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935" windowHeight="7785" tabRatio="931" firstSheet="23" activeTab="39"/>
  </bookViews>
  <sheets>
    <sheet name="参数表" sheetId="4" r:id="rId1"/>
    <sheet name="月度审定利润表" sheetId="65" state="hidden" r:id="rId2"/>
    <sheet name="月度审定现流表" sheetId="64" state="hidden" r:id="rId3"/>
    <sheet name="未审资负表" sheetId="2" r:id="rId4"/>
    <sheet name="未审利润表" sheetId="5" r:id="rId5"/>
    <sheet name="未审现流表" sheetId="6" r:id="rId6"/>
    <sheet name="未审权益表" sheetId="7" r:id="rId7"/>
    <sheet name="本月审定利润表" sheetId="66" state="hidden" r:id="rId8"/>
    <sheet name="本月审定现流表" sheetId="67" state="hidden" r:id="rId9"/>
    <sheet name="未审附注之流动资产" sheetId="18" state="hidden" r:id="rId10"/>
    <sheet name="未审附注之非流动资产" sheetId="17" state="hidden" r:id="rId11"/>
    <sheet name="未审附注之负债及权益" sheetId="16" state="hidden" r:id="rId12"/>
    <sheet name="未审附注之利润及利润分配" sheetId="15" state="hidden" r:id="rId13"/>
    <sheet name="未审附注及报表核对" sheetId="14" state="hidden" r:id="rId14"/>
    <sheet name="资负表及利润表调整分录" sheetId="3" r:id="rId15"/>
    <sheet name="现流表调整分录" sheetId="13" r:id="rId16"/>
    <sheet name="资产负债表对比-0603" sheetId="106" state="hidden" r:id="rId17"/>
    <sheet name="利润表对比-0603" sheetId="107" state="hidden" r:id="rId18"/>
    <sheet name="利润表核对" sheetId="86" r:id="rId19"/>
    <sheet name="资产负债表核对" sheetId="85" r:id="rId20"/>
    <sheet name="审定资负表" sheetId="12" r:id="rId21"/>
    <sheet name="审定利润表" sheetId="11" r:id="rId22"/>
    <sheet name="审定现流表" sheetId="10" r:id="rId23"/>
    <sheet name="审定权益表" sheetId="9" r:id="rId24"/>
    <sheet name="审定附注之流动资产" sheetId="23" state="hidden" r:id="rId25"/>
    <sheet name="审定附注之非流动资产" sheetId="22" state="hidden" r:id="rId26"/>
    <sheet name="审定附注之负债及权益" sheetId="21" state="hidden" r:id="rId27"/>
    <sheet name="审定附注之利润及利润分配" sheetId="20" state="hidden" r:id="rId28"/>
    <sheet name="审定报表及附注核对" sheetId="19" state="hidden" r:id="rId29"/>
    <sheet name="试算平衡表" sheetId="8" r:id="rId30"/>
    <sheet name="报表附注合并用" sheetId="25" r:id="rId31"/>
    <sheet name="审定打印版1" sheetId="76" state="hidden" r:id="rId32"/>
    <sheet name="审定打印版2" sheetId="79" state="hidden" r:id="rId33"/>
    <sheet name="审定打印版3" sheetId="81" state="hidden" r:id="rId34"/>
    <sheet name="审定打印版4" sheetId="82" state="hidden" r:id="rId35"/>
    <sheet name="附注、报表核对" sheetId="43" r:id="rId36"/>
    <sheet name="现流表勾稽" sheetId="31" r:id="rId37"/>
    <sheet name="附注其他核对" sheetId="39" r:id="rId38"/>
    <sheet name="报表分析（合理性复核）" sheetId="41" state="hidden" r:id="rId39"/>
    <sheet name="报表附注" sheetId="62" r:id="rId40"/>
    <sheet name="管理费用披露" sheetId="103" state="hidden" r:id="rId41"/>
    <sheet name="销售费用披露" sheetId="104" state="hidden" r:id="rId42"/>
    <sheet name="财务费用披露" sheetId="105" state="hidden" r:id="rId43"/>
    <sheet name="现金流量表项目测试" sheetId="90" state="hidden" r:id="rId44"/>
    <sheet name="管理费用构成" sheetId="87" state="hidden" r:id="rId45"/>
    <sheet name="销售费用构成" sheetId="88" state="hidden" r:id="rId46"/>
    <sheet name="报表附注合并期初用" sheetId="63" r:id="rId47"/>
    <sheet name="1.管理费用" sheetId="61" r:id="rId48"/>
    <sheet name="2.销售费用" sheetId="55" r:id="rId49"/>
    <sheet name="3.借款" sheetId="51" r:id="rId50"/>
    <sheet name="4、非经常性损益" sheetId="83" r:id="rId51"/>
    <sheet name="5、所得税调整" sheetId="84" state="hidden" r:id="rId52"/>
    <sheet name="5在建工程" sheetId="68" r:id="rId53"/>
    <sheet name="6长摊" sheetId="69" r:id="rId54"/>
    <sheet name="7固定资产" sheetId="73" r:id="rId55"/>
    <sheet name="8无形资产" sheetId="75" r:id="rId56"/>
    <sheet name="固定资产清理" sheetId="60" state="hidden" r:id="rId57"/>
    <sheet name="内部往来账龄" sheetId="56" state="hidden" r:id="rId58"/>
    <sheet name="透视表" sheetId="72" state="hidden" r:id="rId59"/>
    <sheet name="9.实收资本" sheetId="94" r:id="rId60"/>
    <sheet name="Sheet3" sheetId="89" r:id="rId61"/>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s>
  <definedNames>
    <definedName name="_xlnm._FilterDatabase" localSheetId="1" hidden="1">月度审定利润表!$A$5:$P$76</definedName>
    <definedName name="_xlnm._FilterDatabase" localSheetId="2" hidden="1">月度审定现流表!$A$5:$P$183</definedName>
    <definedName name="_xlnm._FilterDatabase" localSheetId="7" hidden="1">本月审定利润表!$A$5:$F$38</definedName>
    <definedName name="_xlnm._FilterDatabase" localSheetId="8" hidden="1">本月审定现流表!$A$5:$F$85</definedName>
    <definedName name="_xlnm._FilterDatabase" localSheetId="14" hidden="1">资负表及利润表调整分录!$A$176:$I$463</definedName>
    <definedName name="_xlnm._FilterDatabase" localSheetId="30" hidden="1">报表附注合并用!$A$1:$F$3760</definedName>
    <definedName name="_xlnm._FilterDatabase" localSheetId="35" hidden="1">附注、报表核对!$H$4:$I$189</definedName>
    <definedName name="_xlnm._FilterDatabase" localSheetId="36" hidden="1">现流表勾稽!$B$4:$G$301</definedName>
    <definedName name="_xlnm._FilterDatabase" localSheetId="40" hidden="1">管理费用披露!$C$22:$H$92</definedName>
    <definedName name="_xlnm._FilterDatabase" localSheetId="41" hidden="1">销售费用披露!$C$20:$H$175</definedName>
    <definedName name="_xlnm._FilterDatabase" localSheetId="46" hidden="1">报表附注合并期初用!$A$1:$IW$2537</definedName>
    <definedName name="_xlnm._FilterDatabase" localSheetId="47" hidden="1">'1.管理费用'!$A$3:$P$81</definedName>
    <definedName name="_xlnm._FilterDatabase" localSheetId="48" hidden="1">'2.销售费用'!$A$3:$P$39</definedName>
    <definedName name="__ControlBit__" hidden="1">"ENCODE_"</definedName>
    <definedName name="__Convert__" hidden="1">"ENCODE_"</definedName>
    <definedName name="__IncludeVoucher__" hidden="1">"ENCODE_"</definedName>
    <definedName name="__LockDescription__" hidden="1">"ENCODE_"</definedName>
    <definedName name="__LockFormula__" hidden="1">"ENCODE_"</definedName>
    <definedName name="__RoundBit__" hidden="1">"ENCODE_"</definedName>
    <definedName name="__RptBeginDate__" hidden="1">"ENCODE_"</definedName>
    <definedName name="__RptCurrency__" hidden="1">"ENCODE_UgBNAEIA"</definedName>
    <definedName name="__RptEndDate__" hidden="1">"ENCODE_"</definedName>
    <definedName name="__RptEndPeriod__" hidden="1">"ENCODE_MQA="</definedName>
    <definedName name="__RptGroupCurrency__" hidden="1">"ENCODE_"</definedName>
    <definedName name="__RptPeriod__" hidden="1">"ENCODE_MQA="</definedName>
    <definedName name="__RptYear__" hidden="1">"ENCODE_MgAwADAANgA="</definedName>
    <definedName name="__SelfDsn__" hidden="1">"ENCODE_"</definedName>
    <definedName name="__VBA__1" hidden="1">"ENCODE_"</definedName>
    <definedName name="_1987">NA()</definedName>
    <definedName name="_xlnm._FilterDatabase" localSheetId="17" hidden="1">#REF!</definedName>
    <definedName name="_xlnm._FilterDatabase" localSheetId="16" hidden="1">#REF!</definedName>
    <definedName name="_xlnm._FilterDatabase" hidden="1">#REF!</definedName>
    <definedName name="_K99">#N/A</definedName>
    <definedName name="_plm2">'[1]P&amp;L'!$K$28</definedName>
    <definedName name="_REP1">[2]cover!$B$5</definedName>
    <definedName name="_tbl1" localSheetId="42">#REF!</definedName>
    <definedName name="_tbl1" localSheetId="17">#REF!</definedName>
    <definedName name="_tbl1" localSheetId="16">#REF!</definedName>
    <definedName name="_tbl1">#REF!</definedName>
    <definedName name="_tbl2" localSheetId="42">#REF!</definedName>
    <definedName name="_tbl2" localSheetId="17">#REF!</definedName>
    <definedName name="_tbl2" localSheetId="16">#REF!</definedName>
    <definedName name="_tbl2">#REF!</definedName>
    <definedName name="_tbl3" localSheetId="42">#REF!</definedName>
    <definedName name="_tbl3" localSheetId="17">#REF!</definedName>
    <definedName name="_tbl3" localSheetId="16">#REF!</definedName>
    <definedName name="_tbl3">#REF!</definedName>
    <definedName name="_tbl4" localSheetId="42">#REF!</definedName>
    <definedName name="_tbl4" localSheetId="17">#REF!</definedName>
    <definedName name="_tbl4" localSheetId="16">#REF!</definedName>
    <definedName name="_tbl4">#REF!</definedName>
    <definedName name="_tbl5" localSheetId="42">#REF!</definedName>
    <definedName name="_tbl5" localSheetId="17">#REF!</definedName>
    <definedName name="_tbl5" localSheetId="16">#REF!</definedName>
    <definedName name="_tbl5">#REF!</definedName>
    <definedName name="_tbl6" localSheetId="42">#REF!</definedName>
    <definedName name="_tbl6" localSheetId="17">#REF!</definedName>
    <definedName name="_tbl6" localSheetId="16">#REF!</definedName>
    <definedName name="_tbl6">#REF!</definedName>
    <definedName name="_tbl7" localSheetId="42">#REF!</definedName>
    <definedName name="_tbl7" localSheetId="17">#REF!</definedName>
    <definedName name="_tbl7" localSheetId="16">#REF!</definedName>
    <definedName name="_tbl7">#REF!</definedName>
    <definedName name="_tbl8" localSheetId="42">#REF!</definedName>
    <definedName name="_tbl8" localSheetId="17">#REF!</definedName>
    <definedName name="_tbl8" localSheetId="16">#REF!</definedName>
    <definedName name="_tbl8">#REF!</definedName>
    <definedName name="a2aindx2">'[3]O adj'!$J$1</definedName>
    <definedName name="abc" localSheetId="40">#REF!</definedName>
    <definedName name="abc" localSheetId="17">#REF!</definedName>
    <definedName name="abc" localSheetId="41">#REF!</definedName>
    <definedName name="abc" localSheetId="16">#REF!</definedName>
    <definedName name="abc">#REF!</definedName>
    <definedName name="abd">[4]cover!$B$5</definedName>
    <definedName name="adksjfls">[5]cover!$E$7</definedName>
    <definedName name="ADMINTOENGINEERING">[6]ADMIN!$F$28</definedName>
    <definedName name="ADMINTOEXEC.COMMITTEE">[6]ADMIN!$B$28</definedName>
    <definedName name="ADMINTOFG">[6]ADMIN!$I$28</definedName>
    <definedName name="ADMINTONOALLOCATION">[6]ADMIN!$J$28</definedName>
    <definedName name="ADMINTOPROD.INTEGRITY">[6]ADMIN!$D$28</definedName>
    <definedName name="ADMINTORAW">[6]ADMIN!$H$28</definedName>
    <definedName name="ADMINTORND">[6]ADMIN!$E$28</definedName>
    <definedName name="ADMINTOSALES">[6]ADMIN!$C$28</definedName>
    <definedName name="ADMINTOWIP">[6]ADMIN!$G$28</definedName>
    <definedName name="ALTENBURG">[6]INPUT!$C$137</definedName>
    <definedName name="area4">#N/A</definedName>
    <definedName name="AS2DocOpenMode" hidden="1">"AS2DocumentBrowse"</definedName>
    <definedName name="BOECK">[6]INPUT!$C$89</definedName>
    <definedName name="bsap">[1]BS!$M$34</definedName>
    <definedName name="bsap_1">[7]BS!$M$34</definedName>
    <definedName name="bsbank">[1]BS!$M$29</definedName>
    <definedName name="bsbank_1">[7]BS!$M$29</definedName>
    <definedName name="bsfacost">[1]BS!$M$16</definedName>
    <definedName name="bsfadepn">[1]BS!$M$17</definedName>
    <definedName name="bsloanlt">[1]BS!$M$47</definedName>
    <definedName name="bsop">[1]BS!$M$38</definedName>
    <definedName name="bsor">[1]BS!$M$25</definedName>
    <definedName name="bssc">[1]BS!$M$52</definedName>
    <definedName name="CALEX">[6]INPUT!$C$15</definedName>
    <definedName name="CAMADMIN">[8]DEPREC!$C$106</definedName>
    <definedName name="CAMCOGSQ4">[8]COGS!$H$44</definedName>
    <definedName name="CAMENG">[8]DEPREC!$C$109</definedName>
    <definedName name="CAMMFG">[8]DEPREC!$C$108</definedName>
    <definedName name="CAMQUALITY">[8]DEPREC!$C$110</definedName>
    <definedName name="CAMSALESQ4">[8]SALES!$I$44</definedName>
    <definedName name="CAMSELLING">[8]DEPREC!$C$107</definedName>
    <definedName name="cap">'[9]CAPEX-96'!A1</definedName>
    <definedName name="CAPEX">'[9]CAPEX-96'!A1</definedName>
    <definedName name="Chris_Carrillo">[6]INPUT!$C$158</definedName>
    <definedName name="Chris_Rodriguez">[6]INPUT!$C$159</definedName>
    <definedName name="CM">[10]Data!$C$2</definedName>
    <definedName name="COL_NUM" localSheetId="17">#REF!</definedName>
    <definedName name="COL_NUM" localSheetId="43">#REF!</definedName>
    <definedName name="COL_NUM" localSheetId="16">#REF!</definedName>
    <definedName name="COL_NUM">#REF!</definedName>
    <definedName name="COMMITMENT">[6]INPUT!$C$12</definedName>
    <definedName name="companyname">'[11]Adjusted BS'!$A$1</definedName>
    <definedName name="Confidence_Factor" localSheetId="17">#REF!</definedName>
    <definedName name="Confidence_Factor" localSheetId="43">#REF!</definedName>
    <definedName name="Confidence_Factor" localSheetId="16">#REF!</definedName>
    <definedName name="Confidence_Factor">#REF!</definedName>
    <definedName name="Constant">100</definedName>
    <definedName name="Constant.Prov">IF([12]Data!$E1="M52ATL1",-689723,IF([12]Data!$E1="M52NII1",-7714,IF([12]Data!$E1="M52TKH1",-114148,0)))</definedName>
    <definedName name="CORNWALL">[6]INPUT!$C$129</definedName>
    <definedName name="Data.AC.name">#N/A</definedName>
    <definedName name="Data.Adj.bal">#N/A</definedName>
    <definedName name="Data.AdmitVal">#N/A</definedName>
    <definedName name="Data.AvailVal">#N/A</definedName>
    <definedName name="Data.Coll.val1">#N/A</definedName>
    <definedName name="Data.Coll.val2">#N/A</definedName>
    <definedName name="Data.Coll.val3">#N/A</definedName>
    <definedName name="Data.HairCut">#N/A</definedName>
    <definedName name="Data.LgCr">#N/A</definedName>
    <definedName name="Data.LgDr">#N/A</definedName>
    <definedName name="Data.MktVal">#N/A</definedName>
    <definedName name="Data.NetCr">#N/A</definedName>
    <definedName name="Data.NetDr">#N/A</definedName>
    <definedName name="Data.Rank.F4T1">#N/A</definedName>
    <definedName name="Data.Rank.F4T2">#N/A</definedName>
    <definedName name="Data.RelBal">#N/A</definedName>
    <definedName name="Data.RelClient">#N/A</definedName>
    <definedName name="Data.Shortfall">#N/A</definedName>
    <definedName name="Data.Stk1">#N/A</definedName>
    <definedName name="Data.Stk2">#N/A</definedName>
    <definedName name="Data.Stk3">#N/A</definedName>
    <definedName name="Data.SuspVal">#N/A</definedName>
    <definedName name="Database">[13]Sheet1!$A$1:$L$6066</definedName>
    <definedName name="db">'[9]CAPEX-96'!$I$267:$I$311</definedName>
    <definedName name="DEFERREDCOMP">[6]INPUT!$C$14</definedName>
    <definedName name="Dick_Uhlman">[6]INPUT!$C$160</definedName>
    <definedName name="DRCOGSQ4">[8]COGS!$H$32</definedName>
    <definedName name="DRMATLQ4">[8]COGS!$I$33</definedName>
    <definedName name="DRMOCOGSQ4">[8]COGS!$H$37</definedName>
    <definedName name="DRONEY">[6]INPUT!$C$159</definedName>
    <definedName name="DRSALESQ4">[8]SALES!$I$45</definedName>
    <definedName name="dxn" localSheetId="44">#REF!</definedName>
    <definedName name="dxn" localSheetId="40">#REF!</definedName>
    <definedName name="dxn" localSheetId="17">#REF!</definedName>
    <definedName name="dxn" localSheetId="43">#REF!</definedName>
    <definedName name="dxn" localSheetId="45">#REF!</definedName>
    <definedName name="dxn" localSheetId="41">#REF!</definedName>
    <definedName name="dxn" localSheetId="16">#REF!</definedName>
    <definedName name="dxn">#REF!</definedName>
    <definedName name="e4index">'[14]Additions to FA'!$G$1</definedName>
    <definedName name="EBINA">[6]INPUT!$C$160</definedName>
    <definedName name="ENGRTOEXEC.COMMITTEE">[6]ENGR!$P$64</definedName>
    <definedName name="ENGRTOFG">[6]ENGR!$U$64</definedName>
    <definedName name="ENGRTONOALLOCATION">[6]ENGR!$V$64</definedName>
    <definedName name="ENGRTORAW">[6]ENGR!$T$64</definedName>
    <definedName name="ENGRTORND">[6]ENGR!$Q$64</definedName>
    <definedName name="ENGRTOSALES">[6]ENGR!$R$64</definedName>
    <definedName name="ENGRTOWIP">[6]ENGR!$S$64</definedName>
    <definedName name="Excel_BuiltIn_Database">[13]Sheet1!$A$1:$L$6066</definedName>
    <definedName name="Excel_BuiltIn_Print_Area">NA()</definedName>
    <definedName name="EXECUTIVE_COMMITTEE">[6]COSTALOC!$B$39</definedName>
    <definedName name="FADJUSTRS1" hidden="1">"ENCODE_"</definedName>
    <definedName name="FCALCSEQUENCE" hidden="1">"ENCODE_UwBoAGUAZQB0ADEA"</definedName>
    <definedName name="FCHECKOUTBY" hidden="1">-5</definedName>
    <definedName name="FCLASSID" hidden="1">-1</definedName>
    <definedName name="FCLASSVERNUMBER" hidden="1">-1</definedName>
    <definedName name="FCOMPANYID" hidden="1">27</definedName>
    <definedName name="FCOMPANYID_1" hidden="1">10</definedName>
    <definedName name="FCURRENCYID" hidden="1">1</definedName>
    <definedName name="FCYCLEID" hidden="1">2</definedName>
    <definedName name="FINTOADMIN">[6]FINANCE!$B$51</definedName>
    <definedName name="FINTOENGR">[6]FINANCE!$G$51</definedName>
    <definedName name="FINTOEXEC.COMMITTEE">[6]FINANCE!$C$51</definedName>
    <definedName name="FINTOFG">[6]FINANCE!$J$51</definedName>
    <definedName name="FINTONOALLOCATION">[6]FINANCE!$K$51</definedName>
    <definedName name="FINTOPROD.INTEGRITY">[6]FINANCE!$D$51</definedName>
    <definedName name="FINTORAW">[6]FINANCE!$I$51</definedName>
    <definedName name="FINTORND">[6]FINANCE!$F$51</definedName>
    <definedName name="FINTOSALES">[6]FINANCE!$E$51</definedName>
    <definedName name="FINTOWIP">[6]FINANCE!$H$51</definedName>
    <definedName name="first">'[15]L1-1'!$K$61</definedName>
    <definedName name="FISACCEPTED" hidden="1">0</definedName>
    <definedName name="FISAUDIT" hidden="1">1</definedName>
    <definedName name="FISCHANGED" hidden="1">0</definedName>
    <definedName name="FISCHECKED" hidden="1">0</definedName>
    <definedName name="FISHOLDEN" hidden="1">0</definedName>
    <definedName name="FISSUBMITED" hidden="1">0</definedName>
    <definedName name="FITEMLIST2" hidden="1">"ENCODE_"</definedName>
    <definedName name="FITZGARRALD">[6]INPUT!$C$139</definedName>
    <definedName name="FPERIOD" hidden="1">1</definedName>
    <definedName name="FRPTFRAMEWORKID" hidden="1">2</definedName>
    <definedName name="Fx.10p.portfolio">#N/A</definedName>
    <definedName name="Fx.Count.RelClient">COUNTIF(OFFSET([12]Data!$A$1,0,0,ROW()-1,1),[12]Data!$A1)</definedName>
    <definedName name="FYEAR" hidden="1">2006</definedName>
    <definedName name="fzxm" localSheetId="42">财务费用披露!#REF!</definedName>
    <definedName name="fzxm" localSheetId="17">#REF!</definedName>
    <definedName name="fzxm" localSheetId="43">'[16]披露表(上市)'!$D$9:$D$20</definedName>
    <definedName name="fzxm" localSheetId="16">#REF!</definedName>
    <definedName name="fzxm">#REF!</definedName>
    <definedName name="fzxm_qt">'[17]披露表(国资)'!$D$48:$D$65</definedName>
    <definedName name="fzxm_xj" localSheetId="43">'[18]披露表（上市）'!$I$2:$I$12</definedName>
    <definedName name="fzxm_xj">'[17]披露表(国资)'!$D$10:$D$27</definedName>
    <definedName name="fzxm_yhck">'[17]披露表(国资)'!$D$29:$D$46</definedName>
    <definedName name="fzxmxj">'[19]披露表(上市)'!$C$11:$C$14</definedName>
    <definedName name="fzxmyh">'[19]披露表(上市)'!$C$16:$C$19</definedName>
    <definedName name="GARNER">[6]INPUT!$C$90</definedName>
    <definedName name="GEHRKE">[6]INPUT!$C$149</definedName>
    <definedName name="get">[20]cover!$B$5</definedName>
    <definedName name="GOFMAN">[6]INPUT!$C$210</definedName>
    <definedName name="GOODWILL">[8]DEPREC!$L$7</definedName>
    <definedName name="GRAHAM">[6]INPUT!$C$81</definedName>
    <definedName name="GRAPH">NA()</definedName>
    <definedName name="GREGORY">[6]INPUT!$C$109</definedName>
    <definedName name="gzfzxm" localSheetId="43">'[16]披露表(国资)'!$C$8:$C$18</definedName>
    <definedName name="gzfzxm">'[16]披露表(国资)'!$C$8:$C$18</definedName>
    <definedName name="HATAKEYAMA">[6]INPUT!$C$140</definedName>
    <definedName name="hello">'[21]损益表 &lt; P1 &gt; '!$B$3</definedName>
    <definedName name="hkd">1.0611</definedName>
    <definedName name="HUANTE">[6]INPUT!$C$141</definedName>
    <definedName name="hyun">'[22]披露表(上市)'!$D$9:$D$24</definedName>
    <definedName name="IMPLOAN">'[23]TR Loan'!$A$1:$H$204</definedName>
    <definedName name="INFORMATION_SYSTEMS">[6]COSTALOC!$B$24</definedName>
    <definedName name="interval">[24]inf!$E$10</definedName>
    <definedName name="INTTOADMIN">[6]INTEREST!$E$12</definedName>
    <definedName name="INTTOENGR">[6]INTEREST!$E$20</definedName>
    <definedName name="INTTOEXEC.COMMITTEE">[6]INTEREST!$E$16</definedName>
    <definedName name="INTTOFG">[6]INTEREST!$E$23</definedName>
    <definedName name="INTTOFIN">[6]INTEREST!$E$15</definedName>
    <definedName name="INTTOIS">[6]INTEREST!$E$14</definedName>
    <definedName name="INTTONOALLOCATION">[6]INTEREST!$E$24</definedName>
    <definedName name="INTTOPERSONNEL">[6]INTEREST!$E$13</definedName>
    <definedName name="INTTOPROD.INTEGRITY">[6]INTEREST!$E$17</definedName>
    <definedName name="INTTORAW">[6]INTEREST!$E$22</definedName>
    <definedName name="INTTORND">[6]INTEREST!$E$19</definedName>
    <definedName name="INTTOSALES">[6]INTEREST!$E$18</definedName>
    <definedName name="INTTOWIP">[6]INTEREST!$E$21</definedName>
    <definedName name="IStk.AvgTO">#N/A</definedName>
    <definedName name="IStk.Code">#N/A</definedName>
    <definedName name="IStk.IColl">#N/A</definedName>
    <definedName name="IStk.MktCap">#N/A</definedName>
    <definedName name="IStk.Name">#N/A</definedName>
    <definedName name="IStk.PortVal">#N/A</definedName>
    <definedName name="IStk.Rank.F5T1">#N/A</definedName>
    <definedName name="ISTOADMIN">[6]INFOSYS!$F$16</definedName>
    <definedName name="ISTOENGR">[6]INFOSYS!$F$23</definedName>
    <definedName name="ISTOEXEC.COMMITTEE">[6]INFOSYS!$F$19</definedName>
    <definedName name="ISTOFG">[6]INFOSYS!$F$26</definedName>
    <definedName name="ISTOFIN">[6]INFOSYS!$F$18</definedName>
    <definedName name="ISTOPERSONNEL">[6]INFOSYS!$F$17</definedName>
    <definedName name="ISTOPROD.INTEGRITY">[6]INFOSYS!$F$20</definedName>
    <definedName name="ISTORAW">[6]INFOSYS!$F$25</definedName>
    <definedName name="ISTORND">[6]INFOSYS!$F$22</definedName>
    <definedName name="ISTOSALES">[6]INFOSYS!$F$21</definedName>
    <definedName name="ISTOWIP">[6]INFOSYS!$F$24</definedName>
    <definedName name="j3duetodir">[14]BS!$G$25</definedName>
    <definedName name="Jenson_Cho">[6]INPUT!$C$161</definedName>
    <definedName name="Jerry_Droney">[6]INPUT!$C$162</definedName>
    <definedName name="KENNER">[6]INPUT!$C$82</definedName>
    <definedName name="KUNG">[6]INPUT!$C$110</definedName>
    <definedName name="labor">[25]RND1299v1!$L$41</definedName>
    <definedName name="LASHLEY">[6]INPUT!$C$100</definedName>
    <definedName name="leadfacost">'[1]FA lead'!$K$18</definedName>
    <definedName name="leadfadepn">'[1]FA lead'!$K$26</definedName>
    <definedName name="leadn1a">'[26]Distrib cost'!$I$19</definedName>
    <definedName name="leadn1b">'[27]Admin cost'!$L$41</definedName>
    <definedName name="LEAHEY">[6]INPUT!$C$195</definedName>
    <definedName name="List.Client">#N/A</definedName>
    <definedName name="List.Data">#N/A</definedName>
    <definedName name="List.IStk">#N/A</definedName>
    <definedName name="LLC">[6]INPUT!$C$13</definedName>
    <definedName name="M1Q">'[28]M11'!$B$14:$H$44</definedName>
    <definedName name="MALINOWSKI">[6]INPUT!$C$153</definedName>
    <definedName name="MCLAUGHLIN">[6]INPUT!$C$131</definedName>
    <definedName name="MEXADMIN">[8]DEPREC!$C$114</definedName>
    <definedName name="MEXCOGSQ4">[8]COGS!$H$14</definedName>
    <definedName name="MEXENG">[8]DEPREC!$C$117</definedName>
    <definedName name="MEXICOSALESQ4">[8]SALES!$I$47</definedName>
    <definedName name="MEXLABORQ4">[8]COGS!$I$17</definedName>
    <definedName name="MEXMFG">[8]DEPREC!$C$116</definedName>
    <definedName name="MEXOHQ4">[8]COGS!$I$18</definedName>
    <definedName name="MEXQUAL">[8]DEPREC!$C$118</definedName>
    <definedName name="Misstatement_Expansion_Factor" localSheetId="17">#REF!</definedName>
    <definedName name="Misstatement_Expansion_Factor" localSheetId="43">#REF!</definedName>
    <definedName name="Misstatement_Expansion_Factor" localSheetId="16">#REF!</definedName>
    <definedName name="Misstatement_Expansion_Factor">#REF!</definedName>
    <definedName name="N9a">[29]cover!$E$7</definedName>
    <definedName name="NCM">[10]Data!$G$2</definedName>
    <definedName name="NO_ALLOCATION">[6]COSTALOC!$B$45</definedName>
    <definedName name="NPM">[10]Data!$E$2</definedName>
    <definedName name="OTH_PROC_RISK" localSheetId="17">#REF!</definedName>
    <definedName name="OTH_PROC_RISK" localSheetId="43">#REF!</definedName>
    <definedName name="OTH_PROC_RISK" localSheetId="16">#REF!</definedName>
    <definedName name="OTH_PROC_RISK">#REF!</definedName>
    <definedName name="other_asset">[30]BS!$F$19+[30]BS!$F$14</definedName>
    <definedName name="other_exp.cp">[30]PL!$J$50+[30]PL!$J$54-[30]PL!$J$28</definedName>
    <definedName name="other_exp.cy">[30]PL!$R$50-[30]PL!$R$28+[30]PL!$R$54</definedName>
    <definedName name="Paiboon_Sirimaha">[6]INPUT!$C$164</definedName>
    <definedName name="PEADMIN">[8]DEPREC!$C$122</definedName>
    <definedName name="PECOGSQ4">[8]COGS!$H$24</definedName>
    <definedName name="PEMATERIAL">[8]COGS!A1+[8]COGS!A2+[8]COGS!A3</definedName>
    <definedName name="PEMATERIALQ1">[8]COGS!$C$25+[8]COGS!$C$27+[8]COGS!$C$28</definedName>
    <definedName name="PEMATERIALQ2">[8]COGS!$E$25+[8]COGS!$E$27+[8]COGS!$E$28</definedName>
    <definedName name="PEMATERIALQ3">[8]COGS!$G$25+[8]COGS!$G$27+[8]COGS!$G$28</definedName>
    <definedName name="PEMATERIALQ4">[8]COGS!$I$25+[8]COGS!$I$27+[8]COGS!$I$28</definedName>
    <definedName name="PEMATLQ4">[8]COGS!$I$25</definedName>
    <definedName name="PEMFG">[8]DEPREC!$C$124</definedName>
    <definedName name="PEMOCOGSQ4">[8]COGS!$H$29</definedName>
    <definedName name="PERSONNELTOADMIN">[6]PERSONNE!$C$12</definedName>
    <definedName name="PERSONNELTOENGR">[6]PERSONNE!$C$18</definedName>
    <definedName name="PERSONNELTOEXEC.COMMITTEE">[6]PERSONNE!$C$14</definedName>
    <definedName name="PERSONNELTOFG">[6]PERSONNE!$C$21</definedName>
    <definedName name="PERSONNELTOFIN">[6]PERSONNE!$C$13</definedName>
    <definedName name="PERSONNELTOPROD.INTEGRITY">[6]PERSONNE!$C$15</definedName>
    <definedName name="PERSONNELTORAW">[6]PERSONNE!$C$20</definedName>
    <definedName name="PERSONNELTORND">[6]PERSONNE!$C$17</definedName>
    <definedName name="PERSONNELTOSALES">[6]PERSONNE!$C$16</definedName>
    <definedName name="PERSONNELTOWIP">[6]PERSONNE!$C$19</definedName>
    <definedName name="PESALESQ4">[8]SALES!$I$46</definedName>
    <definedName name="Peter_Nguyen">[6]INPUT!$C$165</definedName>
    <definedName name="PETOTALCOGS">[8]COGS!$J$25+[8]COGS!$J$27+[8]COGS!$J$28</definedName>
    <definedName name="PITOENGR">[6]QUALITY!$E$62</definedName>
    <definedName name="PITOEXEC.COMMITTEE">[6]QUALITY!$C$62</definedName>
    <definedName name="PITOFG">[6]QUALITY!$H$62</definedName>
    <definedName name="PITONOALLOCATION">[6]QUALITY!$I$62</definedName>
    <definedName name="PITORAW">[6]QUALITY!$G$62</definedName>
    <definedName name="PITORND">[6]QUALITY!$D$62</definedName>
    <definedName name="PITOSALES">[6]QUALITY!$B$62</definedName>
    <definedName name="PITOWIP">[6]QUALITY!$F$62</definedName>
    <definedName name="PLB">'[31]披露表(上市)'!$B$5:$B$8</definedName>
    <definedName name="PLBGZ" localSheetId="17">#REF!</definedName>
    <definedName name="PLBGZ" localSheetId="16">#REF!</definedName>
    <definedName name="PLBGZ">#REF!</definedName>
    <definedName name="PLBSS" localSheetId="17">#REF!</definedName>
    <definedName name="PLBSS" localSheetId="16">#REF!</definedName>
    <definedName name="PLBSS">#REF!</definedName>
    <definedName name="PM">[10]Data!$A$2</definedName>
    <definedName name="Post_Cour.cp">#N/A</definedName>
    <definedName name="_xlnm.Print_Area" localSheetId="38">'报表分析（合理性复核）'!$A$1:$G$147</definedName>
    <definedName name="_xlnm.Print_Area" localSheetId="7">本月审定利润表!$A$1:$I$32</definedName>
    <definedName name="_xlnm.Print_Area" localSheetId="42">#REF!</definedName>
    <definedName name="_xlnm.Print_Area" localSheetId="35">附注、报表核对!$A$1:$J$189</definedName>
    <definedName name="_xlnm.Print_Area" localSheetId="44">管理费用构成!$B$1:$F$19</definedName>
    <definedName name="_xlnm.Print_Area" localSheetId="40">管理费用披露!$B$1:$F$18</definedName>
    <definedName name="_xlnm.Print_Area" localSheetId="17">#REF!</definedName>
    <definedName name="_xlnm.Print_Area" localSheetId="31">审定打印版1!$A$1:$H$48</definedName>
    <definedName name="_xlnm.Print_Area" localSheetId="33">审定打印版3!$A$1:$D$49</definedName>
    <definedName name="_xlnm.Print_Area" localSheetId="21">审定利润表!$A$1:$D$33</definedName>
    <definedName name="_xlnm.Print_Area" localSheetId="22">审定现流表!$A$1:$D$49</definedName>
    <definedName name="_xlnm.Print_Area" localSheetId="4">未审利润表!$A$1:$D$33</definedName>
    <definedName name="_xlnm.Print_Area" localSheetId="5">未审现流表!$A$1:$D$49</definedName>
    <definedName name="_xlnm.Print_Area" localSheetId="43">现金流量表项目测试!$A$1:$E$419</definedName>
    <definedName name="_xlnm.Print_Area" localSheetId="15">现流表调整分录!$A$103:$I$154</definedName>
    <definedName name="_xlnm.Print_Area" localSheetId="16">#REF!</definedName>
    <definedName name="_xlnm.Print_Area" localSheetId="14">资负表及利润表调整分录!$A$1:$I$1227</definedName>
    <definedName name="_xlnm.Print_Area">#REF!</definedName>
    <definedName name="_xlnm.Print_Titles" localSheetId="38">'报表分析（合理性复核）'!$6:$8</definedName>
    <definedName name="_xlnm.Print_Titles" localSheetId="42">财务费用披露!$3:$4</definedName>
    <definedName name="_xlnm.Print_Titles" localSheetId="35">附注、报表核对!$1:$3</definedName>
    <definedName name="_xlnm.Print_Titles" localSheetId="44">管理费用构成!$1:$4</definedName>
    <definedName name="_xlnm.Print_Titles" localSheetId="40">管理费用披露!$1:$4</definedName>
    <definedName name="_xlnm.Print_Titles" localSheetId="43">现金流量表项目测试!$1:$4</definedName>
    <definedName name="_xlnm.Print_Titles" localSheetId="15">现流表调整分录!$103:$109</definedName>
    <definedName name="_xlnm.Print_Titles" localSheetId="45">销售费用构成!$1:$4</definedName>
    <definedName name="_xlnm.Print_Titles" localSheetId="41">销售费用披露!$1:$4</definedName>
    <definedName name="_xlnm.Print_Titles" localSheetId="14">资负表及利润表调整分录!$168:$174</definedName>
    <definedName name="prinｔArea" localSheetId="42">#REF!</definedName>
    <definedName name="prinｔArea" localSheetId="17">#REF!</definedName>
    <definedName name="prinｔArea" localSheetId="16">#REF!</definedName>
    <definedName name="prinｔArea">#REF!</definedName>
    <definedName name="qqqq">[32]纸张!$A$1:$F$29</definedName>
    <definedName name="qqqqqqqqqqqqqqqqqqqqqqq">[32]备件!$A$1:$F$1943</definedName>
    <definedName name="QUALITY_ASSURANCE">[6]INPUT!$C$26</definedName>
    <definedName name="RAAB">[6]INPUT!$C$212</definedName>
    <definedName name="REISTOFFER">[6]INPUT!$C$163</definedName>
    <definedName name="Rene_Miranda">[6]INPUT!$C$166</definedName>
    <definedName name="rent_uti.cp">#N/A</definedName>
    <definedName name="rent_uti.cy">#N/A</definedName>
    <definedName name="rep_cur">[33]cover!$B$5</definedName>
    <definedName name="RMM" localSheetId="17">#REF!</definedName>
    <definedName name="RMM" localSheetId="43">#REF!</definedName>
    <definedName name="RMM" localSheetId="16">#REF!</definedName>
    <definedName name="RMM">#REF!</definedName>
    <definedName name="RNDLABOR">[6]RND1299v1!$L$41</definedName>
    <definedName name="Robert_Gagnon_Tran">[6]INPUT!$C$167</definedName>
    <definedName name="RODRIGUEZ">[6]INPUT!$C$164</definedName>
    <definedName name="ROW_NUM" localSheetId="17">#REF!</definedName>
    <definedName name="ROW_NUM" localSheetId="43">#REF!</definedName>
    <definedName name="ROW_NUM" localSheetId="16">#REF!</definedName>
    <definedName name="ROW_NUM">#REF!</definedName>
    <definedName name="SALES__MARKETING">[6]COSTALOC!$B$17</definedName>
    <definedName name="SAPBEXrevision" hidden="1">1</definedName>
    <definedName name="SAPBEXsysID" hidden="1">"PE4"</definedName>
    <definedName name="SAPBEXwbID" hidden="1">"3Q4R7W3VD66V3CXTGQHGIRCBE"</definedName>
    <definedName name="SOLIZ">[6]INPUT!$C$59</definedName>
    <definedName name="ssfzxm">'[34]披露表(上市)'!$D$10:$D$23</definedName>
    <definedName name="start_date">[33]cover!$E$7</definedName>
    <definedName name="SUSTAINING_ENG.">[6]INPUT!$C$29</definedName>
    <definedName name="SWAP">[6]INPUT!$C$11</definedName>
    <definedName name="TERM">[6]INPUT!$C$10</definedName>
    <definedName name="TOIS">[6]INTEREST!$E$14</definedName>
    <definedName name="TONOALLOC">[6]ENGR!$V$64</definedName>
    <definedName name="Total_ap">[30]BS!$F$28+[30]BS!$F$38</definedName>
    <definedName name="TOTAL_DC_DC">[6]INPUT!$C$126</definedName>
    <definedName name="TOTAL_ENG_ADMIN_LABOR">[6]INPUT!$C$85</definedName>
    <definedName name="TOTAL_ENG_TECHS">[6]INPUT!$C$169</definedName>
    <definedName name="TOTAL_MOD_CUST_DESIGN">[6]INPUT!$C$103</definedName>
    <definedName name="TOTAL_PROTO">[6]INPUT!$C$146</definedName>
    <definedName name="TOTAL_R_D">[6]INPUT!$C$120</definedName>
    <definedName name="TOTAL_SUST_ENG">[6]INPUT!$C$95</definedName>
    <definedName name="UHLMAN">[6]INPUT!$C$165</definedName>
    <definedName name="usd">8.2773</definedName>
    <definedName name="Use_global">'[35]Tfc&amp;toll asmptns'!$K$4</definedName>
    <definedName name="weqe" localSheetId="17">#REF!</definedName>
    <definedName name="weqe" localSheetId="16">#REF!</definedName>
    <definedName name="weqe">#REF!</definedName>
    <definedName name="WESTBROOK">[6]INPUT!$C$93</definedName>
    <definedName name="WHITTAKER">[6]INPUT!$C$60</definedName>
    <definedName name="wwwwww">[36]备件!$A$1:$F$1142</definedName>
    <definedName name="year_end">[33]cover!$B$7</definedName>
    <definedName name="yearended">'[11]Adjusted BS'!$A$2</definedName>
    <definedName name="YEKTAFAR">[6]INPUT!$C$199</definedName>
    <definedName name="yszkfz" localSheetId="17">#REF!</definedName>
    <definedName name="yszkfz" localSheetId="43">#REF!</definedName>
    <definedName name="yszkfz" localSheetId="16">#REF!</definedName>
    <definedName name="yszkfz">#REF!</definedName>
    <definedName name="暗__">[37]企业表一!$F$17</definedName>
    <definedName name="本循环科目" hidden="1">[38]索引!$D$15:$D$76</definedName>
    <definedName name="存货93期初">[39]企业表一!$C$7</definedName>
    <definedName name="存货93期末">[39]企业表一!$D$7</definedName>
    <definedName name="存货94期初">[39]企业表一!$E$7</definedName>
    <definedName name="存货94期末">[39]企业表一!$F$7</definedName>
    <definedName name="存货95期初">[39]企业表一!$G$7</definedName>
    <definedName name="存货95期末">[39]企业表一!$H$7</definedName>
    <definedName name="负债合计93期末">[39]企业表一!$D$17</definedName>
    <definedName name="负债合计94期末">[39]企业表一!$F$17</definedName>
    <definedName name="负债合计95期末">[39]企业表一!$H$17</definedName>
    <definedName name="欢聚一堂">'[37]M-5C'!$D$24</definedName>
    <definedName name="净_利_润93">'[39]M-5C'!$B$24</definedName>
    <definedName name="净_利_润94">'[39]M-5C'!$D$24</definedName>
    <definedName name="净_利_润95">'[39]M-5C'!$F$24</definedName>
    <definedName name="净资产合计93期初">[39]企业表一!$C$20</definedName>
    <definedName name="净资产合计93期末">[39]企业表一!$D$20</definedName>
    <definedName name="净资产合计94">[39]企业表一!$C$20</definedName>
    <definedName name="净资产合计94期初">[39]企业表一!$E$20</definedName>
    <definedName name="净资产合计94期末">[39]企业表一!$F$20</definedName>
    <definedName name="净资产合计95期初">[39]企业表一!$G$20</definedName>
    <definedName name="净资产合计95期末">[39]企业表一!$H$20</definedName>
    <definedName name="利_润_总_额93">'[39]M-5A'!$B$10</definedName>
    <definedName name="利_润_总_额94">'[39]M-5A'!$C$10</definedName>
    <definedName name="利_润_总_额95">'[39]M-5A'!$D$10</definedName>
    <definedName name="流_动_资_产93">'[39]M-5A'!$B$15</definedName>
    <definedName name="流_动_资_产94">'[39]M-5A'!$C$15</definedName>
    <definedName name="流_动_资_产95">'[39]M-5A'!$D$15</definedName>
    <definedName name="流动负债93期末">[39]企业表一!$D$15</definedName>
    <definedName name="流动负债94期末">[39]企业表一!$F$15</definedName>
    <definedName name="流动负债95期末">[39]企业表一!$H$15</definedName>
    <definedName name="明细分类账" localSheetId="17">#REF!</definedName>
    <definedName name="明细分类账" localSheetId="16">#REF!</definedName>
    <definedName name="明细分类账">#REF!</definedName>
    <definedName name="速_动_资_产93">'[39]M-5A'!$B$14</definedName>
    <definedName name="速_动_资_产94">'[39]M-5A'!$C$14</definedName>
    <definedName name="速_动_资_产95">'[39]M-5A'!$D$14</definedName>
    <definedName name="现金流">[40]填表说明!$J$5:$J$25</definedName>
    <definedName name="销售出库序时簿">'[41]９.15-１０.15对帐明细'!$A$4:$K$145</definedName>
    <definedName name="应付票据mxb" localSheetId="17" hidden="1">#REF!</definedName>
    <definedName name="应付票据mxb" localSheetId="16" hidden="1">#REF!</definedName>
    <definedName name="应付票据mxb" hidden="1">#REF!</definedName>
    <definedName name="应收帐款93期初">[39]企业表一!$C$6</definedName>
    <definedName name="应收帐款93期末">[39]企业表一!$D$6</definedName>
    <definedName name="应收帐款94期初">[39]企业表一!$E$6</definedName>
    <definedName name="应收帐款94期末">[39]企业表一!$F$6</definedName>
    <definedName name="应收帐款95期初">[39]企业表一!$G$6</definedName>
    <definedName name="应收帐款95期末">[39]企业表一!$H$6</definedName>
    <definedName name="中国化工集团企业名称">[42]单位名称!$A$3:$A$450</definedName>
    <definedName name="资产合计93期初">[39]企业表一!$C$14</definedName>
    <definedName name="资产合计93期末">[39]企业表一!$D$14</definedName>
    <definedName name="资产合计94期初">[39]企业表一!$E$14</definedName>
    <definedName name="资产合计94期末">[39]企业表一!$F$14</definedName>
    <definedName name="资产合计95期初">[39]企业表一!$G$14</definedName>
    <definedName name="资产合计95期末">[39]企业表一!$H$14</definedName>
  </definedNames>
  <calcPr calcId="144525"/>
  <pivotCaches>
    <pivotCache cacheId="0" r:id="rId62"/>
  </pivotCaches>
</workbook>
</file>

<file path=xl/comments1.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2.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请按照需要自行添加新增科目，新增科目默认为流动资产、加项。</t>
        </r>
      </text>
    </comment>
    <comment ref="E19" authorId="0">
      <text>
        <r>
          <rPr>
            <b/>
            <sz val="9"/>
            <color indexed="12"/>
            <rFont val="宋体"/>
            <charset val="134"/>
          </rPr>
          <t>Pop:</t>
        </r>
        <r>
          <rPr>
            <sz val="9"/>
            <color indexed="12"/>
            <rFont val="宋体"/>
            <charset val="134"/>
          </rPr>
          <t xml:space="preserve">
请按照需要自行添加新增科目，新增科目默认为流动负债、加项。</t>
        </r>
      </text>
    </comment>
    <comment ref="E30" authorId="0">
      <text>
        <r>
          <rPr>
            <b/>
            <sz val="9"/>
            <color indexed="12"/>
            <rFont val="宋体"/>
            <charset val="134"/>
          </rPr>
          <t>Pop:</t>
        </r>
        <r>
          <rPr>
            <sz val="9"/>
            <color indexed="12"/>
            <rFont val="宋体"/>
            <charset val="134"/>
          </rPr>
          <t xml:space="preserve">
请按照需要自行添加新增科目，新增科目默认为非流动负债、加项。</t>
        </r>
      </text>
    </comment>
    <comment ref="A39" authorId="0">
      <text>
        <r>
          <rPr>
            <b/>
            <sz val="9"/>
            <color indexed="12"/>
            <rFont val="宋体"/>
            <charset val="134"/>
          </rPr>
          <t>Pop:</t>
        </r>
        <r>
          <rPr>
            <sz val="9"/>
            <color indexed="12"/>
            <rFont val="宋体"/>
            <charset val="134"/>
          </rPr>
          <t xml:space="preserve">
请按照需要自行添加新增科目，新增科目默认为非流动资产、加项。</t>
        </r>
      </text>
    </comment>
    <comment ref="E42" authorId="0">
      <text>
        <r>
          <rPr>
            <b/>
            <sz val="9"/>
            <color indexed="12"/>
            <rFont val="宋体"/>
            <charset val="134"/>
          </rPr>
          <t>Pop:</t>
        </r>
        <r>
          <rPr>
            <sz val="9"/>
            <color indexed="12"/>
            <rFont val="宋体"/>
            <charset val="134"/>
          </rPr>
          <t xml:space="preserve">
请按照需要自行添加新增科目，新增科目默认为所有者权益、加项。</t>
        </r>
      </text>
    </comment>
  </commentList>
</comments>
</file>

<file path=xl/comments3.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请按照需要自行添加新增科目，新增科目默认为加项。</t>
        </r>
      </text>
    </comment>
    <comment ref="A28" authorId="0">
      <text>
        <r>
          <rPr>
            <b/>
            <sz val="9"/>
            <color indexed="12"/>
            <rFont val="宋体"/>
            <charset val="134"/>
          </rPr>
          <t>Pop:</t>
        </r>
        <r>
          <rPr>
            <sz val="9"/>
            <color indexed="12"/>
            <rFont val="宋体"/>
            <charset val="134"/>
          </rPr>
          <t xml:space="preserve">
请按照需要自行添加新增科目，新增科目默认为减项。</t>
        </r>
      </text>
    </comment>
  </commentList>
</comments>
</file>

<file path=xl/comments4.xml><?xml version="1.0" encoding="utf-8"?>
<comments xmlns="http://schemas.openxmlformats.org/spreadsheetml/2006/main">
  <authors>
    <author>作者</author>
  </authors>
  <commentLis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5.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6.xml><?xml version="1.0" encoding="utf-8"?>
<comments xmlns="http://schemas.openxmlformats.org/spreadsheetml/2006/main">
  <authors>
    <author>作者</author>
  </authors>
  <commentList>
    <comment ref="G48" authorId="0">
      <text>
        <r>
          <rPr>
            <b/>
            <sz val="9"/>
            <rFont val="宋体"/>
            <charset val="134"/>
          </rPr>
          <t>作者:</t>
        </r>
        <r>
          <rPr>
            <sz val="9"/>
            <rFont val="宋体"/>
            <charset val="134"/>
          </rPr>
          <t xml:space="preserve">
可手工填写数据</t>
        </r>
      </text>
    </comment>
    <comment ref="G81" authorId="0">
      <text>
        <r>
          <rPr>
            <b/>
            <sz val="9"/>
            <rFont val="宋体"/>
            <charset val="134"/>
          </rPr>
          <t>作者:</t>
        </r>
        <r>
          <rPr>
            <sz val="9"/>
            <rFont val="宋体"/>
            <charset val="134"/>
          </rPr>
          <t xml:space="preserve">
可手工填写数据</t>
        </r>
      </text>
    </comment>
    <comment ref="G83" authorId="0">
      <text>
        <r>
          <rPr>
            <b/>
            <sz val="9"/>
            <rFont val="宋体"/>
            <charset val="134"/>
          </rPr>
          <t>作者:</t>
        </r>
        <r>
          <rPr>
            <sz val="9"/>
            <rFont val="宋体"/>
            <charset val="134"/>
          </rPr>
          <t xml:space="preserve">
可手工填写数据</t>
        </r>
      </text>
    </comment>
  </commentList>
</comments>
</file>

<file path=xl/comments7.xml><?xml version="1.0" encoding="utf-8"?>
<comments xmlns="http://schemas.openxmlformats.org/spreadsheetml/2006/main">
  <authors>
    <author>201815217</author>
  </authors>
  <commentList>
    <comment ref="G301" authorId="0">
      <text>
        <r>
          <rPr>
            <b/>
            <sz val="9"/>
            <rFont val="宋体"/>
            <charset val="134"/>
          </rPr>
          <t>201815217:</t>
        </r>
        <r>
          <rPr>
            <sz val="9"/>
            <rFont val="宋体"/>
            <charset val="134"/>
          </rPr>
          <t xml:space="preserve">
考虑期初滚调，调整差额</t>
        </r>
      </text>
    </comment>
  </commentList>
</comments>
</file>

<file path=xl/comments8.xml><?xml version="1.0" encoding="utf-8"?>
<comments xmlns="http://schemas.openxmlformats.org/spreadsheetml/2006/main">
  <authors>
    <author>作者</author>
  </authors>
  <commentList>
    <comment ref="C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32" authorId="0">
      <text>
        <r>
          <rPr>
            <b/>
            <sz val="9"/>
            <color indexed="12"/>
            <rFont val="宋体"/>
            <charset val="134"/>
          </rPr>
          <t>Pop:</t>
        </r>
        <r>
          <rPr>
            <sz val="9"/>
            <color indexed="12"/>
            <rFont val="宋体"/>
            <charset val="134"/>
          </rPr>
          <t xml:space="preserve">
手工填列。</t>
        </r>
      </text>
    </comment>
    <comment ref="D32" authorId="0">
      <text>
        <r>
          <rPr>
            <b/>
            <sz val="9"/>
            <color indexed="12"/>
            <rFont val="宋体"/>
            <charset val="134"/>
          </rPr>
          <t>Pop:</t>
        </r>
        <r>
          <rPr>
            <sz val="9"/>
            <color indexed="12"/>
            <rFont val="宋体"/>
            <charset val="134"/>
          </rPr>
          <t xml:space="preserve">
手工填列。</t>
        </r>
      </text>
    </comment>
    <comment ref="C33" authorId="0">
      <text>
        <r>
          <rPr>
            <b/>
            <sz val="9"/>
            <color indexed="12"/>
            <rFont val="宋体"/>
            <charset val="134"/>
          </rPr>
          <t>Pop:</t>
        </r>
        <r>
          <rPr>
            <sz val="9"/>
            <color indexed="12"/>
            <rFont val="宋体"/>
            <charset val="134"/>
          </rPr>
          <t xml:space="preserve">
手工填列。</t>
        </r>
      </text>
    </comment>
    <comment ref="D33" authorId="0">
      <text>
        <r>
          <rPr>
            <b/>
            <sz val="9"/>
            <color indexed="12"/>
            <rFont val="宋体"/>
            <charset val="134"/>
          </rPr>
          <t>Pop:</t>
        </r>
        <r>
          <rPr>
            <sz val="9"/>
            <color indexed="12"/>
            <rFont val="宋体"/>
            <charset val="134"/>
          </rPr>
          <t xml:space="preserve">
手工填列。</t>
        </r>
      </text>
    </comment>
  </commentList>
</comments>
</file>

<file path=xl/comments9.xml><?xml version="1.0" encoding="utf-8"?>
<comments xmlns="http://schemas.openxmlformats.org/spreadsheetml/2006/main">
  <authors>
    <author>作者</author>
  </authors>
  <commentList>
    <comment ref="C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32" authorId="0">
      <text>
        <r>
          <rPr>
            <b/>
            <sz val="9"/>
            <color indexed="12"/>
            <rFont val="宋体"/>
            <charset val="134"/>
          </rPr>
          <t>Pop:</t>
        </r>
        <r>
          <rPr>
            <sz val="9"/>
            <color indexed="12"/>
            <rFont val="宋体"/>
            <charset val="134"/>
          </rPr>
          <t xml:space="preserve">
手工填列。</t>
        </r>
      </text>
    </comment>
    <comment ref="D32" authorId="0">
      <text>
        <r>
          <rPr>
            <b/>
            <sz val="9"/>
            <color indexed="12"/>
            <rFont val="宋体"/>
            <charset val="134"/>
          </rPr>
          <t>Pop:</t>
        </r>
        <r>
          <rPr>
            <sz val="9"/>
            <color indexed="12"/>
            <rFont val="宋体"/>
            <charset val="134"/>
          </rPr>
          <t xml:space="preserve">
手工填列。</t>
        </r>
      </text>
    </comment>
    <comment ref="C33" authorId="0">
      <text>
        <r>
          <rPr>
            <b/>
            <sz val="9"/>
            <color indexed="12"/>
            <rFont val="宋体"/>
            <charset val="134"/>
          </rPr>
          <t>Pop:</t>
        </r>
        <r>
          <rPr>
            <sz val="9"/>
            <color indexed="12"/>
            <rFont val="宋体"/>
            <charset val="134"/>
          </rPr>
          <t xml:space="preserve">
手工填列。</t>
        </r>
      </text>
    </comment>
    <comment ref="D33" authorId="0">
      <text>
        <r>
          <rPr>
            <b/>
            <sz val="9"/>
            <color indexed="12"/>
            <rFont val="宋体"/>
            <charset val="134"/>
          </rPr>
          <t>Pop:</t>
        </r>
        <r>
          <rPr>
            <sz val="9"/>
            <color indexed="12"/>
            <rFont val="宋体"/>
            <charset val="134"/>
          </rPr>
          <t xml:space="preserve">
手工填列。</t>
        </r>
      </text>
    </comment>
  </commentList>
</comments>
</file>

<file path=xl/comments10.xml><?xml version="1.0" encoding="utf-8"?>
<comments xmlns="http://schemas.openxmlformats.org/spreadsheetml/2006/main">
  <authors>
    <author>作者</author>
  </authors>
  <commentList>
    <comment ref="D48"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3"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3" authorId="0">
      <text>
        <r>
          <rPr>
            <b/>
            <sz val="9"/>
            <color indexed="12"/>
            <rFont val="宋体"/>
            <charset val="134"/>
          </rPr>
          <t>Pop:</t>
        </r>
        <r>
          <rPr>
            <sz val="9"/>
            <color indexed="12"/>
            <rFont val="宋体"/>
            <charset val="134"/>
          </rPr>
          <t xml:space="preserve">
默认从未审报表取数，可以根据实际调整情况手工修改填列。</t>
        </r>
      </text>
    </comment>
  </commentList>
</comments>
</file>

<file path=xl/comments11.xml><?xml version="1.0" encoding="utf-8"?>
<comments xmlns="http://schemas.openxmlformats.org/spreadsheetml/2006/main">
  <authors>
    <author>作者</author>
  </authors>
  <commentList>
    <comment ref="B7" authorId="0">
      <text>
        <r>
          <rPr>
            <b/>
            <sz val="9"/>
            <color indexed="12"/>
            <rFont val="宋体"/>
            <charset val="134"/>
          </rPr>
          <t>Pop:</t>
        </r>
        <r>
          <rPr>
            <sz val="9"/>
            <color indexed="12"/>
            <rFont val="宋体"/>
            <charset val="134"/>
          </rPr>
          <t xml:space="preserve">
本表空白数据均默认从未审表中取数，可以根据调整情况手工修改</t>
        </r>
        <r>
          <rPr>
            <sz val="9"/>
            <rFont val="宋体"/>
            <charset val="134"/>
          </rPr>
          <t>。</t>
        </r>
      </text>
    </commen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12.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D1" authorId="0">
      <text>
        <r>
          <rPr>
            <b/>
            <sz val="9"/>
            <rFont val="Tahoma"/>
            <charset val="134"/>
          </rPr>
          <t xml:space="preserve">作者:
</t>
        </r>
      </text>
    </comment>
  </commentList>
</comments>
</file>

<file path=xl/comments13.xml><?xml version="1.0" encoding="utf-8"?>
<comments xmlns="http://schemas.openxmlformats.org/spreadsheetml/2006/main">
  <authors>
    <author>作者</author>
  </authors>
  <commentList>
    <comment ref="G2" authorId="0">
      <text>
        <r>
          <rPr>
            <b/>
            <sz val="9"/>
            <rFont val="宋体"/>
            <charset val="134"/>
          </rPr>
          <t>数据如复杂，可以后附附件。</t>
        </r>
        <r>
          <rPr>
            <sz val="9"/>
            <rFont val="Tahoma"/>
            <charset val="134"/>
          </rPr>
          <t xml:space="preserve">
</t>
        </r>
      </text>
    </comment>
  </commentList>
</comments>
</file>

<file path=xl/comments14.xml><?xml version="1.0" encoding="utf-8"?>
<comments xmlns="http://schemas.openxmlformats.org/spreadsheetml/2006/main">
  <authors>
    <author>作者</author>
  </authors>
  <commentList>
    <comment ref="D3" authorId="0">
      <text>
        <r>
          <rPr>
            <sz val="9"/>
            <rFont val="宋体"/>
            <charset val="134"/>
          </rPr>
          <t>1、此表不能删行、添行
2、填写差异原因时，为便于汇总，各金额只能写在D列，且金额和差异金额方向相反，及解释的金额和差异金额汇总等于0.</t>
        </r>
        <r>
          <rPr>
            <sz val="9"/>
            <rFont val="Tahoma"/>
            <charset val="134"/>
          </rPr>
          <t xml:space="preserve">
</t>
        </r>
      </text>
    </comment>
  </commentList>
</comments>
</file>

<file path=xl/comments15.xml><?xml version="1.0" encoding="utf-8"?>
<comments xmlns="http://schemas.openxmlformats.org/spreadsheetml/2006/main">
  <authors>
    <author>作者</author>
  </authors>
  <commentList>
    <comment ref="G7" authorId="0">
      <text>
        <r>
          <rPr>
            <b/>
            <sz val="9"/>
            <rFont val="宋体"/>
            <charset val="134"/>
          </rPr>
          <t xml:space="preserve">1.数据如复杂，可以后附表格。
</t>
        </r>
        <r>
          <rPr>
            <sz val="9"/>
            <rFont val="Tahoma"/>
            <charset val="134"/>
          </rPr>
          <t xml:space="preserve">
</t>
        </r>
        <r>
          <rPr>
            <sz val="9"/>
            <rFont val="宋体"/>
            <charset val="134"/>
          </rPr>
          <t>2.报告期主要会计报表项目、财务指标发生变动的情况及原因
变动幅度达30%（含30%）以上</t>
        </r>
      </text>
    </comment>
  </commentList>
</comments>
</file>

<file path=xl/comments16.xml><?xml version="1.0" encoding="utf-8"?>
<comments xmlns="http://schemas.openxmlformats.org/spreadsheetml/2006/main">
  <authors>
    <author>作者</author>
  </authors>
  <commentList>
    <comment ref="G1" authorId="0">
      <text>
        <r>
          <rPr>
            <b/>
            <sz val="9"/>
            <rFont val="宋体"/>
            <charset val="134"/>
          </rPr>
          <t>作者:</t>
        </r>
        <r>
          <rPr>
            <sz val="9"/>
            <rFont val="宋体"/>
            <charset val="134"/>
          </rPr>
          <t xml:space="preserve">
请填列该公司的公司名称简称</t>
        </r>
      </text>
    </comment>
    <comment ref="E40" authorId="0">
      <text>
        <r>
          <rPr>
            <b/>
            <sz val="9"/>
            <rFont val="宋体"/>
            <charset val="134"/>
          </rPr>
          <t>作者:</t>
        </r>
        <r>
          <rPr>
            <sz val="9"/>
            <rFont val="宋体"/>
            <charset val="134"/>
          </rPr>
          <t xml:space="preserve">
可以选择修改</t>
        </r>
      </text>
    </comment>
    <comment ref="E72" authorId="0">
      <text>
        <r>
          <rPr>
            <b/>
            <sz val="9"/>
            <rFont val="宋体"/>
            <charset val="134"/>
          </rPr>
          <t>作者:</t>
        </r>
        <r>
          <rPr>
            <sz val="9"/>
            <rFont val="宋体"/>
            <charset val="134"/>
          </rPr>
          <t xml:space="preserve">
另列明细，在《应收应付票据明细表》填写</t>
        </r>
      </text>
    </comment>
    <comment ref="E80" authorId="0">
      <text>
        <r>
          <rPr>
            <b/>
            <sz val="9"/>
            <rFont val="宋体"/>
            <charset val="134"/>
          </rPr>
          <t>作者:</t>
        </r>
        <r>
          <rPr>
            <sz val="9"/>
            <rFont val="宋体"/>
            <charset val="134"/>
          </rPr>
          <t xml:space="preserve">
另列明细在《应收应付票据明细表》填写，此表不填</t>
        </r>
      </text>
    </comment>
    <comment ref="E100" authorId="0">
      <text>
        <r>
          <rPr>
            <b/>
            <sz val="9"/>
            <rFont val="宋体"/>
            <charset val="134"/>
          </rPr>
          <t>作者:</t>
        </r>
        <r>
          <rPr>
            <sz val="9"/>
            <rFont val="宋体"/>
            <charset val="134"/>
          </rPr>
          <t xml:space="preserve">
另列明细</t>
        </r>
      </text>
    </comment>
    <comment ref="E614" authorId="0">
      <text>
        <r>
          <rPr>
            <sz val="9"/>
            <rFont val="Tahoma"/>
            <charset val="134"/>
          </rPr>
          <t xml:space="preserve">
</t>
        </r>
        <r>
          <rPr>
            <sz val="9"/>
            <rFont val="宋体"/>
            <charset val="134"/>
          </rPr>
          <t>可分类合并填列：如员工个人往来合并填列即可</t>
        </r>
      </text>
    </comment>
    <comment ref="E848" authorId="0">
      <text>
        <r>
          <rPr>
            <b/>
            <sz val="9"/>
            <rFont val="宋体"/>
            <charset val="134"/>
          </rPr>
          <t>作者:</t>
        </r>
        <r>
          <rPr>
            <sz val="9"/>
            <rFont val="宋体"/>
            <charset val="134"/>
          </rPr>
          <t xml:space="preserve">
按照13年的审计报告中披露的存货项目进行归类列示</t>
        </r>
      </text>
    </comment>
    <comment ref="E948" authorId="0">
      <text>
        <r>
          <rPr>
            <sz val="9"/>
            <rFont val="宋体"/>
            <charset val="134"/>
          </rPr>
          <t>预交的房产税</t>
        </r>
        <r>
          <rPr>
            <sz val="9"/>
            <rFont val="Tahoma"/>
            <charset val="134"/>
          </rPr>
          <t xml:space="preserve"> </t>
        </r>
        <r>
          <rPr>
            <sz val="9"/>
            <rFont val="宋体"/>
            <charset val="134"/>
          </rPr>
          <t>、土地使用税</t>
        </r>
        <r>
          <rPr>
            <sz val="9"/>
            <rFont val="Tahoma"/>
            <charset val="134"/>
          </rPr>
          <t xml:space="preserve"> </t>
        </r>
        <r>
          <rPr>
            <sz val="9"/>
            <rFont val="宋体"/>
            <charset val="134"/>
          </rPr>
          <t>等</t>
        </r>
        <r>
          <rPr>
            <sz val="9"/>
            <rFont val="Tahoma"/>
            <charset val="134"/>
          </rPr>
          <t xml:space="preserve"> 
</t>
        </r>
      </text>
    </comment>
    <comment ref="M1143" authorId="0">
      <text>
        <r>
          <rPr>
            <b/>
            <sz val="9"/>
            <rFont val="宋体"/>
            <charset val="134"/>
          </rPr>
          <t>作者:</t>
        </r>
        <r>
          <rPr>
            <sz val="9"/>
            <rFont val="宋体"/>
            <charset val="134"/>
          </rPr>
          <t xml:space="preserve">
增加子公司填列用正数，减少子公司填列用负数</t>
        </r>
      </text>
    </comment>
    <comment ref="T1280" authorId="0">
      <text>
        <r>
          <rPr>
            <b/>
            <sz val="9"/>
            <rFont val="宋体"/>
            <charset val="134"/>
          </rPr>
          <t>作者:</t>
        </r>
        <r>
          <rPr>
            <sz val="9"/>
            <rFont val="宋体"/>
            <charset val="134"/>
          </rPr>
          <t xml:space="preserve">
增加子公司填列用正数，减少子公司填列用负数</t>
        </r>
      </text>
    </comment>
    <comment ref="L1420" authorId="0">
      <text>
        <r>
          <rPr>
            <b/>
            <sz val="9"/>
            <rFont val="宋体"/>
            <charset val="134"/>
          </rPr>
          <t>作者:</t>
        </r>
        <r>
          <rPr>
            <sz val="9"/>
            <rFont val="宋体"/>
            <charset val="134"/>
          </rPr>
          <t xml:space="preserve">
增加子公司填列用正数，减少子公司填列用负数</t>
        </r>
      </text>
    </comment>
    <comment ref="N1728" authorId="0">
      <text>
        <r>
          <rPr>
            <b/>
            <sz val="9"/>
            <rFont val="宋体"/>
            <charset val="134"/>
          </rPr>
          <t>作者:</t>
        </r>
        <r>
          <rPr>
            <sz val="9"/>
            <rFont val="宋体"/>
            <charset val="134"/>
          </rPr>
          <t xml:space="preserve">
增加子公司数据用正数，减少子公司数据用负数</t>
        </r>
      </text>
    </comment>
    <comment ref="E2575" authorId="0">
      <text>
        <r>
          <rPr>
            <b/>
            <sz val="9"/>
            <rFont val="宋体"/>
            <charset val="134"/>
          </rPr>
          <t>作者:</t>
        </r>
        <r>
          <rPr>
            <sz val="9"/>
            <rFont val="宋体"/>
            <charset val="134"/>
          </rPr>
          <t xml:space="preserve">
改了</t>
        </r>
      </text>
    </comment>
    <comment ref="J2734" authorId="0">
      <text>
        <r>
          <rPr>
            <sz val="9"/>
            <rFont val="宋体"/>
            <charset val="134"/>
          </rPr>
          <t>“票据贴现利息“请填写“其他-票据贴现”单元格Ｊ2745</t>
        </r>
      </text>
    </comment>
    <comment ref="H2735" authorId="0">
      <text>
        <r>
          <rPr>
            <sz val="9"/>
            <rFont val="宋体"/>
            <charset val="134"/>
          </rPr>
          <t>收入以负号（-）填写</t>
        </r>
      </text>
    </comment>
    <comment ref="F2754" authorId="0">
      <text>
        <r>
          <rPr>
            <b/>
            <sz val="9"/>
            <rFont val="宋体"/>
            <charset val="134"/>
          </rPr>
          <t>作者:</t>
        </r>
        <r>
          <rPr>
            <sz val="9"/>
            <rFont val="宋体"/>
            <charset val="134"/>
          </rPr>
          <t xml:space="preserve">
已含研发费</t>
        </r>
        <r>
          <rPr>
            <sz val="9"/>
            <rFont val="Tahoma"/>
            <charset val="134"/>
          </rPr>
          <t>-</t>
        </r>
        <r>
          <rPr>
            <sz val="9"/>
            <rFont val="宋体"/>
            <charset val="134"/>
          </rPr>
          <t>应付职工薪酬</t>
        </r>
      </text>
    </comment>
    <comment ref="F2765" authorId="0">
      <text>
        <r>
          <rPr>
            <b/>
            <sz val="9"/>
            <rFont val="宋体"/>
            <charset val="134"/>
          </rPr>
          <t>作者:</t>
        </r>
        <r>
          <rPr>
            <sz val="9"/>
            <rFont val="宋体"/>
            <charset val="134"/>
          </rPr>
          <t xml:space="preserve">
已含研发费</t>
        </r>
        <r>
          <rPr>
            <sz val="9"/>
            <rFont val="Tahoma"/>
            <charset val="134"/>
          </rPr>
          <t>-</t>
        </r>
        <r>
          <rPr>
            <sz val="9"/>
            <rFont val="宋体"/>
            <charset val="134"/>
          </rPr>
          <t>折旧</t>
        </r>
      </text>
    </comment>
    <comment ref="F2766" authorId="0">
      <text>
        <r>
          <rPr>
            <b/>
            <sz val="9"/>
            <rFont val="宋体"/>
            <charset val="134"/>
          </rPr>
          <t>作者:</t>
        </r>
        <r>
          <rPr>
            <sz val="9"/>
            <rFont val="宋体"/>
            <charset val="134"/>
          </rPr>
          <t xml:space="preserve">
已含研发费</t>
        </r>
        <r>
          <rPr>
            <sz val="9"/>
            <rFont val="Tahoma"/>
            <charset val="134"/>
          </rPr>
          <t>-</t>
        </r>
        <r>
          <rPr>
            <sz val="9"/>
            <rFont val="宋体"/>
            <charset val="134"/>
          </rPr>
          <t>摊销</t>
        </r>
      </text>
    </comment>
    <comment ref="F2767" authorId="0">
      <text>
        <r>
          <rPr>
            <b/>
            <sz val="9"/>
            <rFont val="宋体"/>
            <charset val="134"/>
          </rPr>
          <t>作者:</t>
        </r>
        <r>
          <rPr>
            <sz val="9"/>
            <rFont val="宋体"/>
            <charset val="134"/>
          </rPr>
          <t xml:space="preserve">
含研发费</t>
        </r>
        <r>
          <rPr>
            <sz val="9"/>
            <rFont val="Tahoma"/>
            <charset val="134"/>
          </rPr>
          <t>-</t>
        </r>
        <r>
          <rPr>
            <sz val="9"/>
            <rFont val="宋体"/>
            <charset val="134"/>
          </rPr>
          <t>税金</t>
        </r>
      </text>
    </comment>
    <comment ref="E2788" authorId="0">
      <text>
        <r>
          <rPr>
            <b/>
            <sz val="9"/>
            <rFont val="宋体"/>
            <charset val="134"/>
          </rPr>
          <t>作者:</t>
        </r>
        <r>
          <rPr>
            <sz val="9"/>
            <rFont val="宋体"/>
            <charset val="134"/>
          </rPr>
          <t xml:space="preserve">
不含
应付职工薪酬
固定资产折旧
无形资产摊销
税金</t>
        </r>
      </text>
    </comment>
    <comment ref="F2830" authorId="0">
      <text>
        <r>
          <rPr>
            <b/>
            <sz val="9"/>
            <rFont val="宋体"/>
            <charset val="134"/>
          </rPr>
          <t>作者:</t>
        </r>
        <r>
          <rPr>
            <sz val="9"/>
            <rFont val="宋体"/>
            <charset val="134"/>
          </rPr>
          <t xml:space="preserve">
工会经费公式变动
原</t>
        </r>
        <r>
          <rPr>
            <sz val="9"/>
            <rFont val="Tahoma"/>
            <charset val="134"/>
          </rPr>
          <t>='2.</t>
        </r>
        <r>
          <rPr>
            <sz val="9"/>
            <rFont val="宋体"/>
            <charset val="134"/>
          </rPr>
          <t>销售费用</t>
        </r>
        <r>
          <rPr>
            <sz val="9"/>
            <rFont val="Tahoma"/>
            <charset val="134"/>
          </rPr>
          <t>'!H14</t>
        </r>
        <r>
          <rPr>
            <sz val="9"/>
            <rFont val="宋体"/>
            <charset val="134"/>
          </rPr>
          <t xml:space="preserve">
改后</t>
        </r>
        <r>
          <rPr>
            <sz val="9"/>
            <rFont val="Tahoma"/>
            <charset val="134"/>
          </rPr>
          <t>='2.</t>
        </r>
        <r>
          <rPr>
            <sz val="9"/>
            <rFont val="宋体"/>
            <charset val="134"/>
          </rPr>
          <t>销售费用</t>
        </r>
        <r>
          <rPr>
            <sz val="9"/>
            <rFont val="Tahoma"/>
            <charset val="134"/>
          </rPr>
          <t>'!H13</t>
        </r>
      </text>
    </comment>
    <comment ref="F2831" authorId="0">
      <text>
        <r>
          <rPr>
            <b/>
            <sz val="9"/>
            <rFont val="宋体"/>
            <charset val="134"/>
          </rPr>
          <t>作者:</t>
        </r>
        <r>
          <rPr>
            <sz val="9"/>
            <rFont val="宋体"/>
            <charset val="134"/>
          </rPr>
          <t xml:space="preserve">
公式变动</t>
        </r>
      </text>
    </comment>
    <comment ref="F2914" authorId="0">
      <text>
        <r>
          <rPr>
            <b/>
            <sz val="9"/>
            <rFont val="Tahoma"/>
            <charset val="134"/>
          </rPr>
          <t>作者:</t>
        </r>
        <r>
          <rPr>
            <sz val="9"/>
            <rFont val="Tahoma"/>
            <charset val="134"/>
          </rPr>
          <t xml:space="preserve">
“</t>
        </r>
        <r>
          <rPr>
            <sz val="9"/>
            <rFont val="宋体"/>
            <charset val="134"/>
          </rPr>
          <t>其他</t>
        </r>
        <r>
          <rPr>
            <sz val="9"/>
            <rFont val="Tahoma"/>
            <charset val="134"/>
          </rPr>
          <t>”</t>
        </r>
        <r>
          <rPr>
            <sz val="9"/>
            <rFont val="宋体"/>
            <charset val="134"/>
          </rPr>
          <t>项目大于</t>
        </r>
        <r>
          <rPr>
            <sz val="9"/>
            <rFont val="Tahoma"/>
            <charset val="134"/>
          </rPr>
          <t>20</t>
        </r>
        <r>
          <rPr>
            <sz val="9"/>
            <rFont val="宋体"/>
            <charset val="134"/>
          </rPr>
          <t>万元，在右边表说明</t>
        </r>
      </text>
    </comment>
    <comment ref="E3035" authorId="0">
      <text>
        <r>
          <rPr>
            <b/>
            <sz val="9"/>
            <rFont val="宋体"/>
            <charset val="134"/>
          </rPr>
          <t>作者:</t>
        </r>
        <r>
          <rPr>
            <sz val="9"/>
            <rFont val="宋体"/>
            <charset val="134"/>
          </rPr>
          <t xml:space="preserve">
前期确认存货跌价转销
递延所得税资产减少</t>
        </r>
      </text>
    </comment>
    <comment ref="E3051" authorId="0">
      <text>
        <r>
          <rPr>
            <sz val="9"/>
            <rFont val="宋体"/>
            <charset val="134"/>
          </rPr>
          <t>前期确认存货跌价转销
递延所得税资产减少，按“+”</t>
        </r>
      </text>
    </comment>
    <comment ref="E3059" authorId="0">
      <text>
        <r>
          <rPr>
            <b/>
            <sz val="9"/>
            <rFont val="宋体"/>
            <charset val="134"/>
          </rPr>
          <t>作者:</t>
        </r>
        <r>
          <rPr>
            <sz val="9"/>
            <rFont val="宋体"/>
            <charset val="134"/>
          </rPr>
          <t xml:space="preserve">
（正数填列）</t>
        </r>
      </text>
    </comment>
    <comment ref="E3757" authorId="0">
      <text>
        <r>
          <rPr>
            <sz val="9"/>
            <rFont val="宋体"/>
            <charset val="134"/>
          </rPr>
          <t>其中：本期收购子公司增加</t>
        </r>
      </text>
    </comment>
    <comment ref="E3761" authorId="0">
      <text>
        <r>
          <rPr>
            <b/>
            <sz val="9"/>
            <rFont val="宋体"/>
            <charset val="134"/>
          </rPr>
          <t>作者:</t>
        </r>
        <r>
          <rPr>
            <sz val="9"/>
            <rFont val="宋体"/>
            <charset val="134"/>
          </rPr>
          <t xml:space="preserve">
投资性房地产转出</t>
        </r>
      </text>
    </comment>
    <comment ref="E3762" authorId="0">
      <text>
        <r>
          <rPr>
            <sz val="9"/>
            <rFont val="宋体"/>
            <charset val="134"/>
          </rPr>
          <t>其中：本期出售子公司减少</t>
        </r>
      </text>
    </comment>
    <comment ref="E3768" authorId="0">
      <text>
        <r>
          <rPr>
            <b/>
            <sz val="9"/>
            <rFont val="宋体"/>
            <charset val="134"/>
          </rPr>
          <t>作者:</t>
        </r>
        <r>
          <rPr>
            <sz val="9"/>
            <rFont val="宋体"/>
            <charset val="134"/>
          </rPr>
          <t xml:space="preserve">
固定资产\无形资产转入</t>
        </r>
      </text>
    </comment>
    <comment ref="E3769" authorId="0">
      <text>
        <r>
          <rPr>
            <b/>
            <sz val="9"/>
            <rFont val="宋体"/>
            <charset val="134"/>
          </rPr>
          <t>作者:</t>
        </r>
        <r>
          <rPr>
            <sz val="9"/>
            <rFont val="宋体"/>
            <charset val="134"/>
          </rPr>
          <t xml:space="preserve">
其中：本期收购子公司增加</t>
        </r>
      </text>
    </comment>
    <comment ref="E3773" authorId="0">
      <text>
        <r>
          <rPr>
            <b/>
            <sz val="9"/>
            <rFont val="宋体"/>
            <charset val="134"/>
          </rPr>
          <t>作者:</t>
        </r>
        <r>
          <rPr>
            <sz val="9"/>
            <rFont val="宋体"/>
            <charset val="134"/>
          </rPr>
          <t xml:space="preserve">
其中：本期出售子公司减少</t>
        </r>
      </text>
    </comment>
    <comment ref="E3796" authorId="0">
      <text>
        <r>
          <rPr>
            <b/>
            <sz val="9"/>
            <rFont val="宋体"/>
            <charset val="134"/>
          </rPr>
          <t>作者:</t>
        </r>
        <r>
          <rPr>
            <sz val="9"/>
            <rFont val="宋体"/>
            <charset val="134"/>
          </rPr>
          <t xml:space="preserve">
注：蓝色字体是深交所固定项目</t>
        </r>
      </text>
    </comment>
    <comment ref="E3802" authorId="0">
      <text>
        <r>
          <rPr>
            <sz val="9"/>
            <rFont val="宋体"/>
            <charset val="134"/>
          </rPr>
          <t>本期新加公司</t>
        </r>
      </text>
    </comment>
    <comment ref="E3804" authorId="0">
      <text>
        <r>
          <rPr>
            <b/>
            <sz val="9"/>
            <rFont val="宋体"/>
            <charset val="134"/>
          </rPr>
          <t>作者:</t>
        </r>
        <r>
          <rPr>
            <sz val="9"/>
            <rFont val="宋体"/>
            <charset val="134"/>
          </rPr>
          <t xml:space="preserve">
法国业务并购</t>
        </r>
      </text>
    </comment>
    <comment ref="E3805" authorId="0">
      <text>
        <r>
          <rPr>
            <sz val="9"/>
            <rFont val="宋体"/>
            <charset val="134"/>
          </rPr>
          <t>外币报表折算</t>
        </r>
      </text>
    </comment>
    <comment ref="E3809" authorId="0">
      <text>
        <r>
          <rPr>
            <b/>
            <sz val="9"/>
            <rFont val="宋体"/>
            <charset val="134"/>
          </rPr>
          <t>作者:</t>
        </r>
        <r>
          <rPr>
            <sz val="9"/>
            <rFont val="宋体"/>
            <charset val="134"/>
          </rPr>
          <t xml:space="preserve">
子公司处置</t>
        </r>
      </text>
    </comment>
    <comment ref="E3817" authorId="0">
      <text>
        <r>
          <rPr>
            <b/>
            <sz val="9"/>
            <rFont val="宋体"/>
            <charset val="134"/>
          </rPr>
          <t>作者:</t>
        </r>
        <r>
          <rPr>
            <sz val="9"/>
            <rFont val="宋体"/>
            <charset val="134"/>
          </rPr>
          <t xml:space="preserve">
江粉房投转回
</t>
        </r>
      </text>
    </comment>
    <comment ref="E3822" authorId="0">
      <text>
        <r>
          <rPr>
            <b/>
            <sz val="9"/>
            <rFont val="宋体"/>
            <charset val="134"/>
          </rPr>
          <t>作者:</t>
        </r>
        <r>
          <rPr>
            <sz val="9"/>
            <rFont val="宋体"/>
            <charset val="134"/>
          </rPr>
          <t xml:space="preserve">
子公司处置减少</t>
        </r>
      </text>
    </comment>
    <comment ref="E3851" authorId="0">
      <text>
        <r>
          <rPr>
            <b/>
            <sz val="9"/>
            <rFont val="宋体"/>
            <charset val="134"/>
          </rPr>
          <t>作者:</t>
        </r>
        <r>
          <rPr>
            <sz val="9"/>
            <rFont val="宋体"/>
            <charset val="134"/>
          </rPr>
          <t xml:space="preserve">
注：：
蓝色字体-深交所系统要求项目；
</t>
        </r>
      </text>
    </comment>
    <comment ref="E3859" authorId="0">
      <text>
        <r>
          <rPr>
            <sz val="9"/>
            <rFont val="宋体"/>
            <charset val="134"/>
          </rPr>
          <t>外币报表折算</t>
        </r>
      </text>
    </comment>
    <comment ref="E3863" authorId="0">
      <text>
        <r>
          <rPr>
            <b/>
            <sz val="9"/>
            <rFont val="宋体"/>
            <charset val="134"/>
          </rPr>
          <t>作者:</t>
        </r>
        <r>
          <rPr>
            <sz val="9"/>
            <rFont val="宋体"/>
            <charset val="134"/>
          </rPr>
          <t xml:space="preserve">
子公司处置</t>
        </r>
      </text>
    </comment>
    <comment ref="E3876" authorId="0">
      <text>
        <r>
          <rPr>
            <b/>
            <sz val="9"/>
            <rFont val="宋体"/>
            <charset val="134"/>
          </rPr>
          <t>作者:</t>
        </r>
        <r>
          <rPr>
            <sz val="9"/>
            <rFont val="宋体"/>
            <charset val="134"/>
          </rPr>
          <t xml:space="preserve">
子公司处置减少</t>
        </r>
      </text>
    </comment>
    <comment ref="E3932" authorId="0">
      <text>
        <r>
          <rPr>
            <b/>
            <sz val="9"/>
            <rFont val="宋体"/>
            <charset val="134"/>
          </rPr>
          <t>作者:</t>
        </r>
        <r>
          <rPr>
            <sz val="9"/>
            <rFont val="宋体"/>
            <charset val="134"/>
          </rPr>
          <t xml:space="preserve">
按深交所系统披露格式2015.9.5</t>
        </r>
      </text>
    </comment>
    <comment ref="E3991" authorId="0">
      <text>
        <r>
          <rPr>
            <b/>
            <sz val="9"/>
            <rFont val="宋体"/>
            <charset val="134"/>
          </rPr>
          <t>作者:</t>
        </r>
        <r>
          <rPr>
            <sz val="9"/>
            <rFont val="宋体"/>
            <charset val="134"/>
          </rPr>
          <t xml:space="preserve">
例如分红</t>
        </r>
      </text>
    </comment>
    <comment ref="E4031" authorId="0">
      <text>
        <r>
          <rPr>
            <b/>
            <sz val="9"/>
            <rFont val="宋体"/>
            <charset val="134"/>
          </rPr>
          <t>作者:</t>
        </r>
        <r>
          <rPr>
            <sz val="9"/>
            <rFont val="宋体"/>
            <charset val="134"/>
          </rPr>
          <t xml:space="preserve">
例如分红</t>
        </r>
      </text>
    </comment>
  </commentList>
</comments>
</file>

<file path=xl/comments17.xml><?xml version="1.0" encoding="utf-8"?>
<comments xmlns="http://schemas.openxmlformats.org/spreadsheetml/2006/main">
  <authors>
    <author>作者</author>
  </authors>
  <commentList>
    <comment ref="A89" authorId="0">
      <text>
        <r>
          <rPr>
            <sz val="9"/>
            <rFont val="宋体"/>
            <charset val="134"/>
          </rPr>
          <t>注：不包括在建工程人员的工资及相关支出，——在投资性现金流量的“购建固定资产、无形资产和其他长期资产所支付的现金”项目反映；
不包括离退休人员的工资及相关支出，——在经营性现金流量的“支付的其他与经营活动有关的现金”反映。</t>
        </r>
      </text>
    </comment>
  </commentList>
</comments>
</file>

<file path=xl/comments18.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E708" authorId="0">
      <text>
        <r>
          <rPr>
            <b/>
            <sz val="9"/>
            <rFont val="宋体"/>
            <charset val="134"/>
          </rPr>
          <t>作者:</t>
        </r>
        <r>
          <rPr>
            <sz val="9"/>
            <rFont val="宋体"/>
            <charset val="134"/>
          </rPr>
          <t xml:space="preserve">
6.29</t>
        </r>
      </text>
    </comment>
  </commentList>
</comments>
</file>

<file path=xl/comments19.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N23" authorId="0">
      <text>
        <r>
          <rPr>
            <b/>
            <sz val="9"/>
            <rFont val="宋体"/>
            <charset val="134"/>
          </rPr>
          <t>作者:</t>
        </r>
        <r>
          <rPr>
            <sz val="9"/>
            <rFont val="宋体"/>
            <charset val="134"/>
          </rPr>
          <t xml:space="preserve">
财产险</t>
        </r>
      </text>
    </comment>
    <comment ref="F75" authorId="0">
      <text>
        <r>
          <rPr>
            <sz val="9"/>
            <rFont val="宋体"/>
            <charset val="134"/>
          </rPr>
          <t>请列明细表</t>
        </r>
      </text>
    </comment>
  </commentList>
</comments>
</file>

<file path=xl/comments20.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List>
</comments>
</file>

<file path=xl/comments21.xml><?xml version="1.0" encoding="utf-8"?>
<comments xmlns="http://schemas.openxmlformats.org/spreadsheetml/2006/main">
  <authors>
    <author>作者</author>
  </authors>
  <commentList>
    <comment ref="C12" authorId="0">
      <text>
        <r>
          <rPr>
            <b/>
            <sz val="9"/>
            <rFont val="宋体"/>
            <charset val="134"/>
          </rPr>
          <t>作者:</t>
        </r>
        <r>
          <rPr>
            <sz val="9"/>
            <rFont val="宋体"/>
            <charset val="134"/>
          </rPr>
          <t xml:space="preserve">
（信用、保证、抵押、质押；抵押加保证、抵押加质押单列）</t>
        </r>
      </text>
    </comment>
    <comment ref="M12" authorId="0">
      <text>
        <r>
          <rPr>
            <b/>
            <sz val="9"/>
            <rFont val="宋体"/>
            <charset val="134"/>
          </rPr>
          <t>作者:</t>
        </r>
        <r>
          <rPr>
            <sz val="9"/>
            <rFont val="宋体"/>
            <charset val="134"/>
          </rPr>
          <t xml:space="preserve">
如遇跨月，算头不算尾，从上月21日至当月21日为一个结算日，上月第21日计算，当月第21日不计算。</t>
        </r>
      </text>
    </comment>
    <comment ref="N12" authorId="0">
      <text>
        <r>
          <rPr>
            <b/>
            <sz val="9"/>
            <rFont val="宋体"/>
            <charset val="134"/>
          </rPr>
          <t>作者:</t>
        </r>
        <r>
          <rPr>
            <sz val="9"/>
            <rFont val="宋体"/>
            <charset val="134"/>
          </rPr>
          <t xml:space="preserve">
按一年360天测算</t>
        </r>
      </text>
    </comment>
    <comment ref="C33" authorId="0">
      <text>
        <r>
          <rPr>
            <b/>
            <sz val="9"/>
            <rFont val="宋体"/>
            <charset val="134"/>
          </rPr>
          <t>作者:</t>
        </r>
        <r>
          <rPr>
            <sz val="9"/>
            <rFont val="宋体"/>
            <charset val="134"/>
          </rPr>
          <t xml:space="preserve">
（信用、保证、抵押、质押；抵押加保证、抵押加质押单列）</t>
        </r>
      </text>
    </comment>
  </commentList>
</comments>
</file>

<file path=xl/comments22.xml><?xml version="1.0" encoding="utf-8"?>
<comments xmlns="http://schemas.openxmlformats.org/spreadsheetml/2006/main">
  <authors>
    <author>作者</author>
  </authors>
  <commentList>
    <comment ref="B1" authorId="0">
      <text>
        <r>
          <rPr>
            <b/>
            <sz val="9"/>
            <rFont val="宋体"/>
            <charset val="134"/>
          </rPr>
          <t xml:space="preserve">4在建工程
</t>
        </r>
        <r>
          <rPr>
            <sz val="9"/>
            <rFont val="宋体"/>
            <charset val="134"/>
          </rPr>
          <t xml:space="preserve">此表不用填，在附注里取数据
</t>
        </r>
      </text>
    </comment>
  </commentList>
</comments>
</file>

<file path=xl/comments23.xml><?xml version="1.0" encoding="utf-8"?>
<comments xmlns="http://schemas.openxmlformats.org/spreadsheetml/2006/main">
  <authors>
    <author>作者</author>
  </authors>
  <commentList>
    <comment ref="B1" authorId="0">
      <text>
        <r>
          <rPr>
            <b/>
            <sz val="9"/>
            <rFont val="宋体"/>
            <charset val="134"/>
          </rPr>
          <t>5长摊</t>
        </r>
        <r>
          <rPr>
            <sz val="9"/>
            <rFont val="宋体"/>
            <charset val="134"/>
          </rPr>
          <t xml:space="preserve">
此表不用填，在附注里取数据
</t>
        </r>
      </text>
    </comment>
  </commentList>
</comments>
</file>

<file path=xl/comments24.xml><?xml version="1.0" encoding="utf-8"?>
<comments xmlns="http://schemas.openxmlformats.org/spreadsheetml/2006/main">
  <authors>
    <author>作者</author>
  </authors>
  <commentList>
    <comment ref="B1" authorId="0">
      <text>
        <r>
          <rPr>
            <b/>
            <sz val="9"/>
            <rFont val="宋体"/>
            <charset val="134"/>
          </rPr>
          <t>6固定资产</t>
        </r>
        <r>
          <rPr>
            <sz val="9"/>
            <rFont val="宋体"/>
            <charset val="134"/>
          </rPr>
          <t xml:space="preserve">
此表不用填，在附注里取数据
</t>
        </r>
      </text>
    </comment>
    <comment ref="B2" authorId="0">
      <text>
        <r>
          <rPr>
            <b/>
            <sz val="9"/>
            <rFont val="宋体"/>
            <charset val="134"/>
          </rPr>
          <t>作者:</t>
        </r>
        <r>
          <rPr>
            <sz val="9"/>
            <rFont val="宋体"/>
            <charset val="134"/>
          </rPr>
          <t xml:space="preserve">
注：蓝色字体是深交所固定项目</t>
        </r>
      </text>
    </comment>
    <comment ref="B8" authorId="0">
      <text>
        <r>
          <rPr>
            <sz val="9"/>
            <rFont val="宋体"/>
            <charset val="134"/>
          </rPr>
          <t>本期新加公司</t>
        </r>
      </text>
    </comment>
    <comment ref="B10" authorId="0">
      <text>
        <r>
          <rPr>
            <b/>
            <sz val="9"/>
            <rFont val="宋体"/>
            <charset val="134"/>
          </rPr>
          <t>作者:</t>
        </r>
        <r>
          <rPr>
            <sz val="9"/>
            <rFont val="宋体"/>
            <charset val="134"/>
          </rPr>
          <t xml:space="preserve">
法国业务并购</t>
        </r>
      </text>
    </comment>
    <comment ref="B11" authorId="0">
      <text>
        <r>
          <rPr>
            <sz val="9"/>
            <rFont val="宋体"/>
            <charset val="134"/>
          </rPr>
          <t>外币报表折算</t>
        </r>
      </text>
    </comment>
    <comment ref="B15" authorId="0">
      <text>
        <r>
          <rPr>
            <b/>
            <sz val="9"/>
            <rFont val="宋体"/>
            <charset val="134"/>
          </rPr>
          <t>作者:</t>
        </r>
        <r>
          <rPr>
            <sz val="9"/>
            <rFont val="宋体"/>
            <charset val="134"/>
          </rPr>
          <t xml:space="preserve">
子公司处置</t>
        </r>
      </text>
    </comment>
    <comment ref="B23" authorId="0">
      <text>
        <r>
          <rPr>
            <b/>
            <sz val="9"/>
            <rFont val="宋体"/>
            <charset val="134"/>
          </rPr>
          <t>作者:</t>
        </r>
        <r>
          <rPr>
            <sz val="9"/>
            <rFont val="宋体"/>
            <charset val="134"/>
          </rPr>
          <t xml:space="preserve">
江粉房投转回
</t>
        </r>
      </text>
    </comment>
    <comment ref="B28" authorId="0">
      <text>
        <r>
          <rPr>
            <b/>
            <sz val="9"/>
            <rFont val="宋体"/>
            <charset val="134"/>
          </rPr>
          <t>作者:</t>
        </r>
        <r>
          <rPr>
            <sz val="9"/>
            <rFont val="宋体"/>
            <charset val="134"/>
          </rPr>
          <t xml:space="preserve">
子公司处置减少</t>
        </r>
      </text>
    </comment>
  </commentList>
</comments>
</file>

<file path=xl/comments25.xml><?xml version="1.0" encoding="utf-8"?>
<comments xmlns="http://schemas.openxmlformats.org/spreadsheetml/2006/main">
  <authors>
    <author>作者</author>
  </authors>
  <commentList>
    <comment ref="B1" authorId="0">
      <text>
        <r>
          <rPr>
            <b/>
            <sz val="9"/>
            <rFont val="宋体"/>
            <charset val="134"/>
          </rPr>
          <t xml:space="preserve">7无形资产
</t>
        </r>
        <r>
          <rPr>
            <sz val="9"/>
            <rFont val="宋体"/>
            <charset val="134"/>
          </rPr>
          <t xml:space="preserve">此表不用填，在附注里取数据
</t>
        </r>
      </text>
    </comment>
    <comment ref="B2" authorId="0">
      <text>
        <r>
          <rPr>
            <b/>
            <sz val="9"/>
            <rFont val="宋体"/>
            <charset val="134"/>
          </rPr>
          <t>作者:</t>
        </r>
        <r>
          <rPr>
            <sz val="9"/>
            <rFont val="宋体"/>
            <charset val="134"/>
          </rPr>
          <t xml:space="preserve">
注：：
蓝色字体-深交所系统要求项目；
</t>
        </r>
      </text>
    </comment>
    <comment ref="B10" authorId="0">
      <text>
        <r>
          <rPr>
            <sz val="9"/>
            <rFont val="宋体"/>
            <charset val="134"/>
          </rPr>
          <t>外币报表折算</t>
        </r>
      </text>
    </comment>
    <comment ref="B14" authorId="0">
      <text>
        <r>
          <rPr>
            <b/>
            <sz val="9"/>
            <rFont val="宋体"/>
            <charset val="134"/>
          </rPr>
          <t>作者:</t>
        </r>
        <r>
          <rPr>
            <sz val="9"/>
            <rFont val="宋体"/>
            <charset val="134"/>
          </rPr>
          <t xml:space="preserve">
子公司处置</t>
        </r>
      </text>
    </comment>
    <comment ref="B27" authorId="0">
      <text>
        <r>
          <rPr>
            <b/>
            <sz val="9"/>
            <rFont val="宋体"/>
            <charset val="134"/>
          </rPr>
          <t>作者:</t>
        </r>
        <r>
          <rPr>
            <sz val="9"/>
            <rFont val="宋体"/>
            <charset val="134"/>
          </rPr>
          <t xml:space="preserve">
子公司处置减少</t>
        </r>
      </text>
    </comment>
  </commentList>
</comments>
</file>

<file path=xl/comments26.xml><?xml version="1.0" encoding="utf-8"?>
<comments xmlns="http://schemas.openxmlformats.org/spreadsheetml/2006/main">
  <authors>
    <author>作者</author>
  </authors>
  <commentList>
    <comment ref="D4" authorId="0">
      <text>
        <r>
          <rPr>
            <b/>
            <sz val="10"/>
            <rFont val="宋体"/>
            <charset val="134"/>
          </rPr>
          <t>作者:</t>
        </r>
        <r>
          <rPr>
            <sz val="10"/>
            <rFont val="宋体"/>
            <charset val="134"/>
          </rPr>
          <t xml:space="preserve">
应收账款＼其他应收款＼预付账款\应收票据等</t>
        </r>
      </text>
    </comment>
    <comment ref="D20" authorId="0">
      <text>
        <r>
          <rPr>
            <b/>
            <sz val="10"/>
            <rFont val="宋体"/>
            <charset val="134"/>
          </rPr>
          <t>作者:</t>
        </r>
        <r>
          <rPr>
            <sz val="10"/>
            <rFont val="宋体"/>
            <charset val="134"/>
          </rPr>
          <t xml:space="preserve">
应付账款＼其他应付款＼预收账款</t>
        </r>
      </text>
    </comment>
  </commentList>
</comments>
</file>

<file path=xl/sharedStrings.xml><?xml version="1.0" encoding="utf-8"?>
<sst xmlns="http://schemas.openxmlformats.org/spreadsheetml/2006/main" count="32256" uniqueCount="6104">
  <si>
    <t>会计报表及附注审计调整单体系统</t>
  </si>
  <si>
    <r>
      <rPr>
        <sz val="10"/>
        <rFont val="宋体"/>
        <charset val="134"/>
      </rPr>
      <t>版本编号</t>
    </r>
    <r>
      <rPr>
        <sz val="10"/>
        <rFont val="Times New Roman"/>
        <charset val="134"/>
      </rPr>
      <t>M20151217</t>
    </r>
  </si>
  <si>
    <t>本期间为特定年</t>
  </si>
  <si>
    <t>被审计单位名称</t>
  </si>
  <si>
    <t>深圳新阳蓝光能源管理科技股份有限公司</t>
  </si>
  <si>
    <t>报表名称</t>
  </si>
  <si>
    <t>进入</t>
  </si>
  <si>
    <t>本期间不为特定年</t>
  </si>
  <si>
    <t>单位负责人</t>
  </si>
  <si>
    <t>袁修庭</t>
  </si>
  <si>
    <t>系统适用企业</t>
  </si>
  <si>
    <t>执行新会计准则的一般企业</t>
  </si>
  <si>
    <t>未审资负表</t>
  </si>
  <si>
    <t>@</t>
  </si>
  <si>
    <t>会计机构负责人</t>
  </si>
  <si>
    <t>谢敏勤</t>
  </si>
  <si>
    <t>制表人</t>
  </si>
  <si>
    <t>夏卫</t>
  </si>
  <si>
    <t>未审利润表</t>
  </si>
  <si>
    <t>会计期间</t>
  </si>
  <si>
    <t>上期</t>
  </si>
  <si>
    <t>2015年度</t>
  </si>
  <si>
    <t>会计截止</t>
  </si>
  <si>
    <t>未审现流表</t>
  </si>
  <si>
    <t>本期</t>
  </si>
  <si>
    <t>2016年度</t>
  </si>
  <si>
    <t>未审权益表</t>
  </si>
  <si>
    <t>财务报表分析（风险评估）</t>
  </si>
  <si>
    <t>审计单位名称</t>
  </si>
  <si>
    <t>资负表及利润表调整分录</t>
  </si>
  <si>
    <t>项目负责经理</t>
  </si>
  <si>
    <t>报表底稿编制人</t>
  </si>
  <si>
    <t>现流表调整分录</t>
  </si>
  <si>
    <t>报表底稿复核人</t>
  </si>
  <si>
    <t>报表金额单位</t>
  </si>
  <si>
    <t>人民币元</t>
  </si>
  <si>
    <t>审定资负表</t>
  </si>
  <si>
    <t>会计期间分类</t>
  </si>
  <si>
    <t>审定利润表</t>
  </si>
  <si>
    <t>审定现流表</t>
  </si>
  <si>
    <r>
      <rPr>
        <b/>
        <sz val="10"/>
        <color indexed="32"/>
        <rFont val="宋体"/>
        <charset val="134"/>
      </rPr>
      <t>版本：</t>
    </r>
    <r>
      <rPr>
        <b/>
        <sz val="10"/>
        <color indexed="32"/>
        <rFont val="Times New Roman"/>
        <charset val="134"/>
      </rPr>
      <t>V5.50</t>
    </r>
  </si>
  <si>
    <t>制作人：Jay</t>
  </si>
  <si>
    <r>
      <rPr>
        <b/>
        <sz val="10"/>
        <color indexed="32"/>
        <rFont val="宋体"/>
        <charset val="134"/>
      </rPr>
      <t>制作日期：</t>
    </r>
    <r>
      <rPr>
        <b/>
        <sz val="10"/>
        <color indexed="32"/>
        <rFont val="Times New Roman"/>
        <charset val="134"/>
      </rPr>
      <t>2012</t>
    </r>
    <r>
      <rPr>
        <b/>
        <sz val="10"/>
        <color indexed="32"/>
        <rFont val="宋体"/>
        <charset val="134"/>
      </rPr>
      <t>年</t>
    </r>
    <r>
      <rPr>
        <b/>
        <sz val="10"/>
        <color indexed="32"/>
        <rFont val="Times New Roman"/>
        <charset val="134"/>
      </rPr>
      <t>1</t>
    </r>
    <r>
      <rPr>
        <b/>
        <sz val="10"/>
        <color indexed="32"/>
        <rFont val="宋体"/>
        <charset val="134"/>
      </rPr>
      <t>月</t>
    </r>
    <r>
      <rPr>
        <b/>
        <sz val="10"/>
        <color indexed="32"/>
        <rFont val="Times New Roman"/>
        <charset val="134"/>
      </rPr>
      <t>10</t>
    </r>
    <r>
      <rPr>
        <b/>
        <sz val="10"/>
        <color indexed="32"/>
        <rFont val="宋体"/>
        <charset val="134"/>
      </rPr>
      <t>日</t>
    </r>
  </si>
  <si>
    <t>审定权益表</t>
  </si>
  <si>
    <t>财务报表分析（总体复核）</t>
  </si>
  <si>
    <t>说明：</t>
  </si>
  <si>
    <t>试算平衡表</t>
  </si>
  <si>
    <r>
      <rPr>
        <b/>
        <sz val="10"/>
        <color indexed="10"/>
        <rFont val="Times New Roman"/>
        <charset val="134"/>
      </rPr>
      <t>1</t>
    </r>
    <r>
      <rPr>
        <b/>
        <sz val="10"/>
        <color indexed="10"/>
        <rFont val="宋体"/>
        <charset val="134"/>
      </rPr>
      <t>、按新会计准则重新调整所有报表科目，删除减值表；</t>
    </r>
  </si>
  <si>
    <t>税项及变更</t>
  </si>
  <si>
    <r>
      <rPr>
        <b/>
        <sz val="10"/>
        <color indexed="10"/>
        <rFont val="Times New Roman"/>
        <charset val="134"/>
      </rPr>
      <t>2</t>
    </r>
    <r>
      <rPr>
        <b/>
        <sz val="10"/>
        <color indexed="10"/>
        <rFont val="宋体"/>
        <charset val="134"/>
      </rPr>
      <t>、除调整分录表等少数个表外，其他表均已加密，以便合并之时格式统一；</t>
    </r>
  </si>
  <si>
    <t>报表附注</t>
  </si>
  <si>
    <r>
      <rPr>
        <b/>
        <sz val="10"/>
        <color indexed="10"/>
        <rFont val="Times New Roman"/>
        <charset val="134"/>
      </rPr>
      <t>3</t>
    </r>
    <r>
      <rPr>
        <b/>
        <sz val="10"/>
        <color indexed="10"/>
        <rFont val="宋体"/>
        <charset val="134"/>
      </rPr>
      <t>、已有的科目，系统设定不能更改，但可直接在未审表添加少量科目；</t>
    </r>
  </si>
  <si>
    <t>报表附注合并用</t>
  </si>
  <si>
    <r>
      <rPr>
        <b/>
        <sz val="10"/>
        <color indexed="59"/>
        <rFont val="Times New Roman"/>
        <charset val="134"/>
      </rPr>
      <t>4</t>
    </r>
    <r>
      <rPr>
        <b/>
        <sz val="10"/>
        <color indexed="59"/>
        <rFont val="宋体"/>
        <charset val="134"/>
      </rPr>
      <t>、会计期间分类将会决定报表金额以</t>
    </r>
    <r>
      <rPr>
        <b/>
        <sz val="10"/>
        <color indexed="59"/>
        <rFont val="Times New Roman"/>
        <charset val="134"/>
      </rPr>
      <t>“</t>
    </r>
    <r>
      <rPr>
        <b/>
        <sz val="10"/>
        <color indexed="59"/>
        <rFont val="宋体"/>
        <charset val="134"/>
      </rPr>
      <t>年</t>
    </r>
    <r>
      <rPr>
        <b/>
        <sz val="10"/>
        <color indexed="59"/>
        <rFont val="Times New Roman"/>
        <charset val="134"/>
      </rPr>
      <t>”</t>
    </r>
    <r>
      <rPr>
        <b/>
        <sz val="10"/>
        <color indexed="59"/>
        <rFont val="宋体"/>
        <charset val="134"/>
      </rPr>
      <t>或</t>
    </r>
    <r>
      <rPr>
        <b/>
        <sz val="10"/>
        <color indexed="59"/>
        <rFont val="Times New Roman"/>
        <charset val="134"/>
      </rPr>
      <t>“</t>
    </r>
    <r>
      <rPr>
        <b/>
        <sz val="10"/>
        <color indexed="59"/>
        <rFont val="宋体"/>
        <charset val="134"/>
      </rPr>
      <t>期</t>
    </r>
    <r>
      <rPr>
        <b/>
        <sz val="10"/>
        <color indexed="59"/>
        <rFont val="Times New Roman"/>
        <charset val="134"/>
      </rPr>
      <t>”</t>
    </r>
    <r>
      <rPr>
        <b/>
        <sz val="10"/>
        <color indexed="59"/>
        <rFont val="宋体"/>
        <charset val="134"/>
      </rPr>
      <t>为单位显示。</t>
    </r>
  </si>
  <si>
    <t>报表附注其他核对</t>
  </si>
  <si>
    <r>
      <rPr>
        <b/>
        <sz val="10"/>
        <color indexed="59"/>
        <rFont val="Times New Roman"/>
        <charset val="134"/>
      </rPr>
      <t>5</t>
    </r>
    <r>
      <rPr>
        <b/>
        <sz val="10"/>
        <color indexed="59"/>
        <rFont val="宋体"/>
        <charset val="134"/>
      </rPr>
      <t>、未审报表和审定报表均为期末余额或本期金额在前。</t>
    </r>
  </si>
  <si>
    <t>现金流量表勾稽核对</t>
  </si>
  <si>
    <t>内部数据</t>
  </si>
  <si>
    <t>非经常损益情况表</t>
  </si>
  <si>
    <t>.</t>
  </si>
  <si>
    <t>利润表</t>
  </si>
  <si>
    <t>项目</t>
  </si>
  <si>
    <t>附注</t>
  </si>
  <si>
    <t>本期金额</t>
  </si>
  <si>
    <t>累计数</t>
  </si>
  <si>
    <t>1月</t>
  </si>
  <si>
    <t>2月</t>
  </si>
  <si>
    <t>3月</t>
  </si>
  <si>
    <t>4月</t>
  </si>
  <si>
    <t>5月</t>
  </si>
  <si>
    <t>6月</t>
  </si>
  <si>
    <t>7月</t>
  </si>
  <si>
    <t>8月</t>
  </si>
  <si>
    <t>9月</t>
  </si>
  <si>
    <t>10月</t>
  </si>
  <si>
    <t>11月</t>
  </si>
  <si>
    <t>12月</t>
  </si>
  <si>
    <t>一、营业收入</t>
  </si>
  <si>
    <t>（五十四）</t>
  </si>
  <si>
    <t>减：营业成本</t>
  </si>
  <si>
    <t xml:space="preserve">    营业税金及附加</t>
  </si>
  <si>
    <t>（五十六）</t>
  </si>
  <si>
    <t xml:space="preserve">    销售费用</t>
  </si>
  <si>
    <t>（六十）</t>
  </si>
  <si>
    <t xml:space="preserve">    管理费用</t>
  </si>
  <si>
    <t xml:space="preserve">    财务费用</t>
  </si>
  <si>
    <t xml:space="preserve">    资产减值损失</t>
  </si>
  <si>
    <t>（五十九）</t>
  </si>
  <si>
    <t>加：公允价值变动收益</t>
  </si>
  <si>
    <t>（五十七）</t>
  </si>
  <si>
    <t xml:space="preserve">    投资收益</t>
  </si>
  <si>
    <t>（五十八）</t>
  </si>
  <si>
    <t xml:space="preserve">    其中：对联营企业和合营企业的投资收益</t>
  </si>
  <si>
    <t xml:space="preserve">    汇兑收益</t>
  </si>
  <si>
    <t>二、营业利润</t>
  </si>
  <si>
    <t>加：营业外收入</t>
  </si>
  <si>
    <t>（六十一）</t>
  </si>
  <si>
    <t>减：营业外支出</t>
  </si>
  <si>
    <t>（六十二）</t>
  </si>
  <si>
    <t xml:space="preserve">    其中：非流动资产处置损失</t>
  </si>
  <si>
    <t>三、利润总额</t>
  </si>
  <si>
    <t>减：所得税费用</t>
  </si>
  <si>
    <t>（六十三）</t>
  </si>
  <si>
    <t>四、净利润</t>
  </si>
  <si>
    <t xml:space="preserve">    归属于母公司所有者的净利润</t>
  </si>
  <si>
    <t xml:space="preserve">    少数股东损益</t>
  </si>
  <si>
    <t>五、每股收益：</t>
  </si>
  <si>
    <t>（一）基本每股收益</t>
  </si>
  <si>
    <t>（二）稀释每股收益</t>
  </si>
  <si>
    <t>注：为便于利润表和资产负债表衔接，系统生成下述表格（本行及下表不打印）</t>
  </si>
  <si>
    <t>净利润</t>
  </si>
  <si>
    <t>加：年初未分配利润</t>
  </si>
  <si>
    <t>减：利润分配</t>
  </si>
  <si>
    <t>等于：未分配利润</t>
  </si>
  <si>
    <t>同期累计数</t>
  </si>
  <si>
    <t>现金流量表</t>
  </si>
  <si>
    <t>一、经营活动产生的现金流量：</t>
  </si>
  <si>
    <t>销售商品、提供劳务收到的现金</t>
  </si>
  <si>
    <t>收到的税费返还</t>
  </si>
  <si>
    <t>收到其他与经营活动有关的现金</t>
  </si>
  <si>
    <t>六十六</t>
  </si>
  <si>
    <t>经营活动现金流入小计</t>
  </si>
  <si>
    <t>购买商品、接受劳务支付的现金</t>
  </si>
  <si>
    <t>支付给职工以及为职工支付的现金</t>
  </si>
  <si>
    <t>支付的各项税费</t>
  </si>
  <si>
    <t>支付其他与经营活动有关的现金</t>
  </si>
  <si>
    <t>经营活动现金流出小计</t>
  </si>
  <si>
    <t>经营活动产生的现金流量净额</t>
  </si>
  <si>
    <t>二、投资活动产生的现金流量：</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</si>
  <si>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</si>
  <si>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</si>
  <si>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</si>
  <si>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</si>
  <si>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</si>
  <si>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六十七</t>
  </si>
  <si>
    <t>投资活动现金流入小计</t>
  </si>
  <si>
    <t>购建固定资产、无形资产和其他长期资产支付的现金</t>
  </si>
  <si>
    <t>投资支付的现金</t>
  </si>
  <si>
    <t>取得子公司及其他营业单位支付的现金净额</t>
  </si>
  <si>
    <t>支付其他与投资活动有关的现金</t>
  </si>
  <si>
    <t>投资活动现金流出小计</t>
  </si>
  <si>
    <t>投资活动产生的现金流量净额</t>
  </si>
  <si>
    <t>三、筹资活动产生的现金流量：</t>
  </si>
  <si>
    <t>吸收投资收到的现金</t>
  </si>
  <si>
    <t>其中：子公司吸收少数股东投资收到的现金</t>
  </si>
  <si>
    <t>取得借款收到的现金</t>
  </si>
  <si>
    <t>发行债券收到的现金</t>
  </si>
  <si>
    <t>收到其他与筹资活动有关的现金</t>
  </si>
  <si>
    <t>六十八</t>
  </si>
  <si>
    <t>筹资活动现金流入小计</t>
  </si>
  <si>
    <t>偿还债务支付的现金</t>
  </si>
  <si>
    <t>分配股利、利润或偿付利息支付的现金</t>
  </si>
  <si>
    <t>其中：子公司支付给少数股东的股利、利润</t>
  </si>
  <si>
    <t>支付其他与筹资活动有关的现金</t>
  </si>
  <si>
    <t>筹资活动现金流出小计</t>
  </si>
  <si>
    <t>筹资活动产生的现金流量净额</t>
  </si>
  <si>
    <t>四、汇率变动对现金及现金等价物的影响</t>
  </si>
  <si>
    <t>五、现金及现金等价物净增加额</t>
  </si>
  <si>
    <t>加：期初现金及现金等价物余额</t>
  </si>
  <si>
    <t>六、期末现金及现金等价物余额</t>
  </si>
  <si>
    <t>现金流量表附注资料</t>
  </si>
  <si>
    <t>补    充    资    料</t>
  </si>
  <si>
    <t>序号</t>
  </si>
  <si>
    <t>汇总数</t>
  </si>
  <si>
    <t>一、将净利润调节为经营活动现金流量：</t>
  </si>
  <si>
    <t>加：计提的资产减值准备</t>
  </si>
  <si>
    <t xml:space="preserve">    固定资产折旧</t>
  </si>
  <si>
    <t xml:space="preserve">    无形资产摊销</t>
  </si>
  <si>
    <t xml:space="preserve">    长期待摊费用摊销</t>
  </si>
  <si>
    <t xml:space="preserve">    处置固定资产、无形资产和其他长期资产的损失</t>
  </si>
  <si>
    <t xml:space="preserve">    固定资产报废损失</t>
  </si>
  <si>
    <t xml:space="preserve">    公允价值变动损失</t>
  </si>
  <si>
    <t xml:space="preserve">    投资损失</t>
  </si>
  <si>
    <t xml:space="preserve">    递延所得税资产减少</t>
  </si>
  <si>
    <t xml:space="preserve">    递延所得税负债增加</t>
  </si>
  <si>
    <t xml:space="preserve">    存货的减少</t>
  </si>
  <si>
    <t xml:space="preserve">    经营性应收项目的减少</t>
  </si>
  <si>
    <t xml:space="preserve">    经营性应付项目的增加</t>
  </si>
  <si>
    <t xml:space="preserve">    其他</t>
  </si>
  <si>
    <t xml:space="preserve">    经营活动产生的现金流量净额</t>
  </si>
  <si>
    <t>二、不涉及现金收支的重大投资和筹资活动：</t>
  </si>
  <si>
    <t>债务转为资本</t>
  </si>
  <si>
    <t>一年内到期的可转换公司债券</t>
  </si>
  <si>
    <t>融资租入固定资产</t>
  </si>
  <si>
    <t>三、现金及现金等价物净变动情况：</t>
  </si>
  <si>
    <t>现金的期末余额</t>
  </si>
  <si>
    <t>减：现金的期初余额</t>
  </si>
  <si>
    <t>加：现金等价物的期末余额</t>
  </si>
  <si>
    <t>减：现金等价物的期初余额</t>
  </si>
  <si>
    <t>现金及现金等价物净增加额</t>
  </si>
  <si>
    <t>资产负债表</t>
  </si>
  <si>
    <r>
      <rPr>
        <sz val="10"/>
        <rFont val="宋体"/>
        <charset val="134"/>
      </rPr>
      <t>会企</t>
    </r>
    <r>
      <rPr>
        <sz val="10"/>
        <rFont val="Times New Roman"/>
        <charset val="134"/>
      </rPr>
      <t>01</t>
    </r>
    <r>
      <rPr>
        <sz val="10"/>
        <rFont val="宋体"/>
        <charset val="134"/>
      </rPr>
      <t>表</t>
    </r>
  </si>
  <si>
    <r>
      <rPr>
        <sz val="10"/>
        <rFont val="宋体"/>
        <charset val="134"/>
      </rPr>
      <t>资</t>
    </r>
    <r>
      <rPr>
        <sz val="10"/>
        <rFont val="Times New Roman"/>
        <charset val="134"/>
      </rPr>
      <t xml:space="preserve"> </t>
    </r>
    <r>
      <rPr>
        <sz val="10"/>
        <rFont val="宋体"/>
        <charset val="134"/>
      </rPr>
      <t>产</t>
    </r>
  </si>
  <si>
    <t>负债和所有者权益</t>
  </si>
  <si>
    <t>流动资产：</t>
  </si>
  <si>
    <t>流动负债：</t>
  </si>
  <si>
    <t>货币资金</t>
  </si>
  <si>
    <t>短期借款</t>
  </si>
  <si>
    <t>以公允价值计量且其变动计入当期损益的金融资产</t>
  </si>
  <si>
    <t>以公允价值计量且其变动计入当期损益的金融负债</t>
  </si>
  <si>
    <t>应收票据</t>
  </si>
  <si>
    <t>应付票据</t>
  </si>
  <si>
    <t>应收账款</t>
  </si>
  <si>
    <t>应付账款</t>
  </si>
  <si>
    <t>预付款项</t>
  </si>
  <si>
    <t>预收款项</t>
  </si>
  <si>
    <t>应收利息</t>
  </si>
  <si>
    <t>应付职工薪酬</t>
  </si>
  <si>
    <t>应收股利</t>
  </si>
  <si>
    <t>应交税费</t>
  </si>
  <si>
    <t>其他应收款</t>
  </si>
  <si>
    <t>应付利息</t>
  </si>
  <si>
    <t>存货</t>
  </si>
  <si>
    <t>应付股利</t>
  </si>
  <si>
    <t>一年内到期的非流动资产</t>
  </si>
  <si>
    <t>其他应付款</t>
  </si>
  <si>
    <t>其他流动资产</t>
  </si>
  <si>
    <t>一年内到期的非流动负债</t>
  </si>
  <si>
    <t>持有待售资产</t>
  </si>
  <si>
    <t>其他流动负债</t>
  </si>
  <si>
    <t>流动资产合计</t>
  </si>
  <si>
    <t>持有待售负债</t>
  </si>
  <si>
    <t>流动负债合计</t>
  </si>
  <si>
    <t>非流动资产：</t>
  </si>
  <si>
    <t>可供出售金融资产</t>
  </si>
  <si>
    <t>非流动负债：</t>
  </si>
  <si>
    <t>持有至到期投资</t>
  </si>
  <si>
    <t>长期借款</t>
  </si>
  <si>
    <t>长期应收款</t>
  </si>
  <si>
    <t>应付债券</t>
  </si>
  <si>
    <t>长期股权投资</t>
  </si>
  <si>
    <t>长期应付款</t>
  </si>
  <si>
    <t>投资性房地产</t>
  </si>
  <si>
    <t>专项应付款</t>
  </si>
  <si>
    <t>固定资产</t>
  </si>
  <si>
    <t>预计负债</t>
  </si>
  <si>
    <t>在建工程</t>
  </si>
  <si>
    <t>递延所得税负债</t>
  </si>
  <si>
    <t>工程物资</t>
  </si>
  <si>
    <t>其他非流动负债</t>
  </si>
  <si>
    <t>固定资产清理</t>
  </si>
  <si>
    <t>递延收益</t>
  </si>
  <si>
    <t>生产性生物资产</t>
  </si>
  <si>
    <t>非流动负债合计</t>
  </si>
  <si>
    <t>油气资产</t>
  </si>
  <si>
    <t>无形资产</t>
  </si>
  <si>
    <t>负债合计</t>
  </si>
  <si>
    <t>开发支出</t>
  </si>
  <si>
    <t>商誉</t>
  </si>
  <si>
    <t>所有者权益：</t>
  </si>
  <si>
    <t>长期待摊费用</t>
  </si>
  <si>
    <t>实收资本（或股本）</t>
  </si>
  <si>
    <t>递延所得税资产</t>
  </si>
  <si>
    <t>资本公积</t>
  </si>
  <si>
    <t>其他非流动资产</t>
  </si>
  <si>
    <t>减：库存股</t>
  </si>
  <si>
    <t>盈余公积</t>
  </si>
  <si>
    <t>非流动资产合计</t>
  </si>
  <si>
    <t>未分配利润</t>
  </si>
  <si>
    <t>外币报表折算差额</t>
  </si>
  <si>
    <t>其他综合收益</t>
  </si>
  <si>
    <t>归属于母公司所有者权益合计</t>
  </si>
  <si>
    <t>少数股东权益</t>
  </si>
  <si>
    <t>所有者权益合计</t>
  </si>
  <si>
    <t>资产总计</t>
  </si>
  <si>
    <t>负债和所有者权益总计</t>
  </si>
  <si>
    <r>
      <rPr>
        <sz val="12"/>
        <rFont val="宋体"/>
        <charset val="134"/>
      </rPr>
      <t xml:space="preserve"> </t>
    </r>
    <r>
      <rPr>
        <sz val="12"/>
        <rFont val="宋体"/>
        <charset val="134"/>
      </rPr>
      <t xml:space="preserve">   </t>
    </r>
    <r>
      <rPr>
        <sz val="12"/>
        <rFont val="宋体"/>
        <charset val="134"/>
      </rPr>
      <t>营业税金及附加</t>
    </r>
  </si>
  <si>
    <t xml:space="preserve">    资产处置收益（亏损以“-”号填列）</t>
  </si>
  <si>
    <t xml:space="preserve">    其他收益</t>
  </si>
  <si>
    <t xml:space="preserve">   （一）持续经营净利润（净亏损以“－”号填列）</t>
  </si>
  <si>
    <t xml:space="preserve">   （二）终止经营净利润（净亏损以“－”号填列）</t>
  </si>
  <si>
    <t>五、其他综合收益的税后净额</t>
  </si>
  <si>
    <t>六、综合收益总额</t>
  </si>
  <si>
    <t>七、每股收益：</t>
  </si>
  <si>
    <t>注：为便于利润表和资产负债表衔接，请填写下述数据（本行及下表不打印）</t>
  </si>
  <si>
    <t>利润分配的详细情况请填列于后附“权益表”。</t>
  </si>
  <si>
    <t>注：为核对经营活动产生的现金流量净额是否正确，请填写以下表格（下表不打印）</t>
  </si>
  <si>
    <t>所有者权益变动表</t>
  </si>
  <si>
    <r>
      <rPr>
        <sz val="10"/>
        <rFont val="宋体"/>
        <charset val="134"/>
      </rPr>
      <t>会企</t>
    </r>
    <r>
      <rPr>
        <sz val="10"/>
        <rFont val="Times New Roman"/>
        <charset val="134"/>
      </rPr>
      <t>04</t>
    </r>
    <r>
      <rPr>
        <sz val="10"/>
        <rFont val="宋体"/>
        <charset val="134"/>
      </rPr>
      <t>表</t>
    </r>
    <r>
      <rPr>
        <sz val="10"/>
        <rFont val="Times New Roman"/>
        <charset val="134"/>
      </rPr>
      <t>-1</t>
    </r>
  </si>
  <si>
    <r>
      <rPr>
        <sz val="10"/>
        <rFont val="宋体"/>
        <charset val="134"/>
      </rPr>
      <t>实收资本</t>
    </r>
    <r>
      <rPr>
        <sz val="10"/>
        <rFont val="Times New Roman"/>
        <charset val="134"/>
      </rPr>
      <t>(</t>
    </r>
    <r>
      <rPr>
        <sz val="10"/>
        <rFont val="宋体"/>
        <charset val="134"/>
      </rPr>
      <t>或股本</t>
    </r>
    <r>
      <rPr>
        <sz val="10"/>
        <rFont val="Times New Roman"/>
        <charset val="134"/>
      </rPr>
      <t>)</t>
    </r>
  </si>
  <si>
    <t>其他</t>
  </si>
  <si>
    <t>一、上年年末余额</t>
  </si>
  <si>
    <t>加：会计政策变更</t>
  </si>
  <si>
    <t xml:space="preserve">    前期差错更正</t>
  </si>
  <si>
    <t>二、本年年初余额</t>
  </si>
  <si>
    <t>三、本年增减变动金额</t>
  </si>
  <si>
    <t>（一）净利润</t>
  </si>
  <si>
    <t>（二）直接计入所有者权益的利得和损失</t>
  </si>
  <si>
    <r>
      <rPr>
        <sz val="10"/>
        <rFont val="Times New Roman"/>
        <charset val="134"/>
      </rPr>
      <t>1</t>
    </r>
    <r>
      <rPr>
        <sz val="10"/>
        <rFont val="宋体"/>
        <charset val="134"/>
      </rPr>
      <t>．可供出售金融资产公允价值变动净额</t>
    </r>
  </si>
  <si>
    <r>
      <rPr>
        <sz val="10"/>
        <rFont val="Times New Roman"/>
        <charset val="134"/>
      </rPr>
      <t>2</t>
    </r>
    <r>
      <rPr>
        <sz val="10"/>
        <rFont val="宋体"/>
        <charset val="134"/>
      </rPr>
      <t>．权益法下被投资单位其他所有者权益变动的影响</t>
    </r>
  </si>
  <si>
    <r>
      <rPr>
        <sz val="10"/>
        <rFont val="Times New Roman"/>
        <charset val="134"/>
      </rPr>
      <t>3</t>
    </r>
    <r>
      <rPr>
        <sz val="10"/>
        <rFont val="宋体"/>
        <charset val="134"/>
      </rPr>
      <t>．与计入所有者权益项目相关的所得税影响</t>
    </r>
  </si>
  <si>
    <r>
      <rPr>
        <sz val="10"/>
        <rFont val="Times New Roman"/>
        <charset val="134"/>
      </rPr>
      <t>4</t>
    </r>
    <r>
      <rPr>
        <sz val="10"/>
        <rFont val="宋体"/>
        <charset val="134"/>
      </rPr>
      <t>．其他</t>
    </r>
  </si>
  <si>
    <t>上述（一）和（二）小计</t>
  </si>
  <si>
    <t>（三）所有者投入和减少资本</t>
  </si>
  <si>
    <r>
      <rPr>
        <sz val="10"/>
        <rFont val="Times New Roman"/>
        <charset val="134"/>
      </rPr>
      <t>1</t>
    </r>
    <r>
      <rPr>
        <sz val="10"/>
        <rFont val="宋体"/>
        <charset val="134"/>
      </rPr>
      <t>．</t>
    </r>
    <r>
      <rPr>
        <sz val="10"/>
        <rFont val="宋体"/>
        <charset val="134"/>
      </rPr>
      <t>所有者投入资本</t>
    </r>
  </si>
  <si>
    <r>
      <rPr>
        <sz val="10"/>
        <rFont val="Times New Roman"/>
        <charset val="134"/>
      </rPr>
      <t>2</t>
    </r>
    <r>
      <rPr>
        <sz val="10"/>
        <rFont val="宋体"/>
        <charset val="134"/>
      </rPr>
      <t>．股份支付计入所有者权益的金额</t>
    </r>
  </si>
  <si>
    <r>
      <rPr>
        <sz val="10"/>
        <rFont val="Times New Roman"/>
        <charset val="134"/>
      </rPr>
      <t>3</t>
    </r>
    <r>
      <rPr>
        <sz val="10"/>
        <rFont val="宋体"/>
        <charset val="134"/>
      </rPr>
      <t>．其他</t>
    </r>
  </si>
  <si>
    <t>（四）利润分配</t>
  </si>
  <si>
    <r>
      <rPr>
        <sz val="10"/>
        <rFont val="Times New Roman"/>
        <charset val="134"/>
      </rPr>
      <t>1</t>
    </r>
    <r>
      <rPr>
        <sz val="10"/>
        <rFont val="宋体"/>
        <charset val="134"/>
      </rPr>
      <t>．提取盈余公积</t>
    </r>
  </si>
  <si>
    <r>
      <rPr>
        <sz val="10"/>
        <rFont val="Times New Roman"/>
        <charset val="134"/>
      </rPr>
      <t>2</t>
    </r>
    <r>
      <rPr>
        <sz val="10"/>
        <rFont val="宋体"/>
        <charset val="134"/>
      </rPr>
      <t>．对所有者（或股东）的分配</t>
    </r>
  </si>
  <si>
    <t>（五）所有者权益内部结转</t>
  </si>
  <si>
    <r>
      <rPr>
        <sz val="10"/>
        <rFont val="Times New Roman"/>
        <charset val="134"/>
      </rPr>
      <t>1</t>
    </r>
    <r>
      <rPr>
        <sz val="10"/>
        <rFont val="宋体"/>
        <charset val="134"/>
      </rPr>
      <t>．资本公积转增资本（或股本）</t>
    </r>
  </si>
  <si>
    <r>
      <rPr>
        <sz val="10"/>
        <rFont val="Times New Roman"/>
        <charset val="134"/>
      </rPr>
      <t>2</t>
    </r>
    <r>
      <rPr>
        <sz val="10"/>
        <rFont val="宋体"/>
        <charset val="134"/>
      </rPr>
      <t>．盈余公积转增资本（或股本）</t>
    </r>
  </si>
  <si>
    <r>
      <rPr>
        <sz val="10"/>
        <rFont val="Times New Roman"/>
        <charset val="134"/>
      </rPr>
      <t>3</t>
    </r>
    <r>
      <rPr>
        <sz val="10"/>
        <rFont val="宋体"/>
        <charset val="134"/>
      </rPr>
      <t>．盈余公积弥补亏损</t>
    </r>
  </si>
  <si>
    <t>四、本年年末余额</t>
  </si>
  <si>
    <r>
      <rPr>
        <sz val="10"/>
        <rFont val="宋体"/>
        <charset val="134"/>
      </rPr>
      <t>会企</t>
    </r>
    <r>
      <rPr>
        <sz val="10"/>
        <rFont val="Times New Roman"/>
        <charset val="134"/>
      </rPr>
      <t>04</t>
    </r>
    <r>
      <rPr>
        <sz val="10"/>
        <rFont val="宋体"/>
        <charset val="134"/>
      </rPr>
      <t>表</t>
    </r>
    <r>
      <rPr>
        <sz val="10"/>
        <rFont val="Times New Roman"/>
        <charset val="134"/>
      </rPr>
      <t>-2</t>
    </r>
  </si>
  <si>
    <t>【返回】报表附注</t>
  </si>
  <si>
    <t>上年同期金额</t>
  </si>
  <si>
    <t>本期累计数</t>
  </si>
  <si>
    <t>上月止累计金额</t>
  </si>
  <si>
    <t>本月金额</t>
  </si>
  <si>
    <t>上期累计数</t>
  </si>
  <si>
    <t xml:space="preserve">     未审附注之非流动资产</t>
  </si>
  <si>
    <r>
      <rPr>
        <b/>
        <sz val="10"/>
        <color indexed="8"/>
        <rFont val="Times New Roman"/>
        <charset val="134"/>
      </rPr>
      <t>1</t>
    </r>
    <r>
      <rPr>
        <b/>
        <sz val="10"/>
        <color indexed="8"/>
        <rFont val="宋体"/>
        <charset val="134"/>
      </rPr>
      <t>．货币资产</t>
    </r>
  </si>
  <si>
    <r>
      <rPr>
        <b/>
        <sz val="10"/>
        <color indexed="8"/>
        <rFont val="宋体"/>
        <charset val="134"/>
      </rPr>
      <t>（</t>
    </r>
    <r>
      <rPr>
        <b/>
        <sz val="10"/>
        <color indexed="8"/>
        <rFont val="Times New Roman"/>
        <charset val="134"/>
      </rPr>
      <t>1</t>
    </r>
    <r>
      <rPr>
        <b/>
        <sz val="10"/>
        <color indexed="8"/>
        <rFont val="宋体"/>
        <charset val="134"/>
      </rPr>
      <t>）分类列示</t>
    </r>
  </si>
  <si>
    <t>项 目</t>
  </si>
  <si>
    <t>期末账面余额</t>
  </si>
  <si>
    <t>年初账面余额</t>
  </si>
  <si>
    <t>原币金额</t>
  </si>
  <si>
    <t>折算汇率</t>
  </si>
  <si>
    <t>折合人民币</t>
  </si>
  <si>
    <t>现金</t>
  </si>
  <si>
    <t>货币资金—现金—小计</t>
  </si>
  <si>
    <t>其中：人民币</t>
  </si>
  <si>
    <t>货币资金—现金—人民币</t>
  </si>
  <si>
    <r>
      <rPr>
        <sz val="10"/>
        <rFont val="Times New Roman"/>
        <charset val="134"/>
      </rPr>
      <t xml:space="preserve">             </t>
    </r>
    <r>
      <rPr>
        <sz val="10"/>
        <rFont val="宋体"/>
        <charset val="134"/>
      </rPr>
      <t>美元</t>
    </r>
  </si>
  <si>
    <t>货币资金—现金—美元</t>
  </si>
  <si>
    <r>
      <rPr>
        <sz val="10"/>
        <rFont val="Times New Roman"/>
        <charset val="134"/>
      </rPr>
      <t xml:space="preserve">             </t>
    </r>
    <r>
      <rPr>
        <sz val="10"/>
        <rFont val="宋体"/>
        <charset val="134"/>
      </rPr>
      <t>港币</t>
    </r>
  </si>
  <si>
    <t>货币资金—现金—港币</t>
  </si>
  <si>
    <r>
      <rPr>
        <sz val="10"/>
        <rFont val="Times New Roman"/>
        <charset val="134"/>
      </rPr>
      <t xml:space="preserve">             </t>
    </r>
    <r>
      <rPr>
        <sz val="10"/>
        <rFont val="宋体"/>
        <charset val="134"/>
      </rPr>
      <t>欧元</t>
    </r>
  </si>
  <si>
    <t>货币资金—现金—欧元</t>
  </si>
  <si>
    <r>
      <rPr>
        <sz val="10"/>
        <rFont val="Times New Roman"/>
        <charset val="134"/>
      </rPr>
      <t xml:space="preserve">             </t>
    </r>
    <r>
      <rPr>
        <sz val="10"/>
        <rFont val="宋体"/>
        <charset val="134"/>
      </rPr>
      <t>日元</t>
    </r>
  </si>
  <si>
    <t>货币资金—现金—日元</t>
  </si>
  <si>
    <t>银行存款</t>
  </si>
  <si>
    <t>货币资金—银行存款—小计</t>
  </si>
  <si>
    <t>货币资金—银行存款—人民币</t>
  </si>
  <si>
    <t>货币资金—银行存款—美元</t>
  </si>
  <si>
    <t>货币资金—银行存款—港币</t>
  </si>
  <si>
    <t>货币资金—银行存款—欧元</t>
  </si>
  <si>
    <t>货币资金—银行存款—日元</t>
  </si>
  <si>
    <t>其他货币资金</t>
  </si>
  <si>
    <t>货币资金—其他货币资金—小计</t>
  </si>
  <si>
    <t>货币资金—其他货币资金—人民币</t>
  </si>
  <si>
    <t>货币资金—其他货币资金—美元</t>
  </si>
  <si>
    <t>货币资金—其他货币资金—港币</t>
  </si>
  <si>
    <t>货币资金—其他货币资金—欧元</t>
  </si>
  <si>
    <t>货币资金—其他货币资金—日元</t>
  </si>
  <si>
    <t>合 计</t>
  </si>
  <si>
    <t>货币资金—合计</t>
  </si>
  <si>
    <r>
      <rPr>
        <b/>
        <sz val="10"/>
        <rFont val="宋体"/>
        <charset val="134"/>
      </rPr>
      <t>（</t>
    </r>
    <r>
      <rPr>
        <b/>
        <sz val="10"/>
        <rFont val="Times New Roman"/>
        <charset val="134"/>
      </rPr>
      <t>2</t>
    </r>
    <r>
      <rPr>
        <b/>
        <sz val="10"/>
        <rFont val="宋体"/>
        <charset val="134"/>
      </rPr>
      <t>）因抵押或冻结等对使用有限制的款项</t>
    </r>
  </si>
  <si>
    <t>受限制原因</t>
  </si>
  <si>
    <t>受限制金额</t>
  </si>
  <si>
    <t>合同文号</t>
  </si>
  <si>
    <t>法院判决书</t>
  </si>
  <si>
    <t>备注</t>
  </si>
  <si>
    <t>货币资金—使用有限制的款项</t>
  </si>
  <si>
    <t>货币资金—使用有限制的款项合计</t>
  </si>
  <si>
    <t>（3）存放在境外的款项</t>
  </si>
  <si>
    <t>存放境外机构</t>
  </si>
  <si>
    <t>存放境外国家</t>
  </si>
  <si>
    <t>存放金额</t>
  </si>
  <si>
    <t>存放原因</t>
  </si>
  <si>
    <t>货币资金—存放境外的款项</t>
  </si>
  <si>
    <t>货币资金—存放境外的款项合计</t>
  </si>
  <si>
    <t>（4）有潜在回收风险的款项</t>
  </si>
  <si>
    <t>潜在风险原因</t>
  </si>
  <si>
    <t>金额</t>
  </si>
  <si>
    <t>预计损失</t>
  </si>
  <si>
    <t>相关文书号</t>
  </si>
  <si>
    <t>回收措施</t>
  </si>
  <si>
    <t>货币资金—有潜在回收风险的款项</t>
  </si>
  <si>
    <t>货币资金—有潜在回收风险的款项合计</t>
  </si>
  <si>
    <r>
      <rPr>
        <b/>
        <sz val="10"/>
        <color indexed="8"/>
        <rFont val="Times New Roman"/>
        <charset val="134"/>
      </rPr>
      <t>2</t>
    </r>
    <r>
      <rPr>
        <b/>
        <sz val="10"/>
        <color indexed="8"/>
        <rFont val="宋体"/>
        <charset val="134"/>
      </rPr>
      <t>．交易性金融资产</t>
    </r>
  </si>
  <si>
    <r>
      <rPr>
        <sz val="10"/>
        <color indexed="8"/>
        <rFont val="宋体"/>
        <charset val="134"/>
      </rPr>
      <t>项</t>
    </r>
    <r>
      <rPr>
        <sz val="10"/>
        <color indexed="8"/>
        <rFont val="Times New Roman"/>
        <charset val="134"/>
      </rPr>
      <t xml:space="preserve"> </t>
    </r>
    <r>
      <rPr>
        <sz val="10"/>
        <color indexed="8"/>
        <rFont val="宋体"/>
        <charset val="134"/>
      </rPr>
      <t>目</t>
    </r>
  </si>
  <si>
    <t>期末公允价值</t>
  </si>
  <si>
    <t>年初公允价值</t>
  </si>
  <si>
    <t>交易性债券投资</t>
  </si>
  <si>
    <r>
      <rPr>
        <sz val="8"/>
        <rFont val="宋体"/>
        <charset val="134"/>
      </rPr>
      <t>交易性金融资产</t>
    </r>
    <r>
      <rPr>
        <sz val="8"/>
        <rFont val="Times New Roman"/>
        <charset val="134"/>
      </rPr>
      <t>—</t>
    </r>
    <r>
      <rPr>
        <sz val="8"/>
        <rFont val="宋体"/>
        <charset val="134"/>
      </rPr>
      <t>债券投资</t>
    </r>
  </si>
  <si>
    <t>交易性权益工具投资</t>
  </si>
  <si>
    <r>
      <rPr>
        <sz val="8"/>
        <rFont val="宋体"/>
        <charset val="134"/>
      </rPr>
      <t>交易性金融资产</t>
    </r>
    <r>
      <rPr>
        <sz val="8"/>
        <rFont val="Times New Roman"/>
        <charset val="134"/>
      </rPr>
      <t>—</t>
    </r>
    <r>
      <rPr>
        <sz val="8"/>
        <rFont val="宋体"/>
        <charset val="134"/>
      </rPr>
      <t>权益工具投资</t>
    </r>
  </si>
  <si>
    <t>指定为以公允价值计量且其变动计入当期损益的金融资产</t>
  </si>
  <si>
    <r>
      <rPr>
        <sz val="8"/>
        <rFont val="宋体"/>
        <charset val="134"/>
      </rPr>
      <t>交易性金融资产</t>
    </r>
    <r>
      <rPr>
        <sz val="8"/>
        <rFont val="Times New Roman"/>
        <charset val="134"/>
      </rPr>
      <t>—</t>
    </r>
    <r>
      <rPr>
        <sz val="8"/>
        <rFont val="宋体"/>
        <charset val="134"/>
      </rPr>
      <t>公允价值计量</t>
    </r>
  </si>
  <si>
    <t>衍生金融资产</t>
  </si>
  <si>
    <r>
      <rPr>
        <sz val="8"/>
        <rFont val="宋体"/>
        <charset val="134"/>
      </rPr>
      <t>交易性金融资产</t>
    </r>
    <r>
      <rPr>
        <sz val="8"/>
        <rFont val="Times New Roman"/>
        <charset val="134"/>
      </rPr>
      <t>—</t>
    </r>
    <r>
      <rPr>
        <sz val="8"/>
        <rFont val="宋体"/>
        <charset val="134"/>
      </rPr>
      <t>衍生金融资产</t>
    </r>
  </si>
  <si>
    <r>
      <rPr>
        <sz val="8"/>
        <rFont val="宋体"/>
        <charset val="134"/>
      </rPr>
      <t>交易性金融资产</t>
    </r>
    <r>
      <rPr>
        <sz val="8"/>
        <rFont val="Times New Roman"/>
        <charset val="134"/>
      </rPr>
      <t>—</t>
    </r>
    <r>
      <rPr>
        <sz val="8"/>
        <rFont val="宋体"/>
        <charset val="134"/>
      </rPr>
      <t>其他</t>
    </r>
  </si>
  <si>
    <r>
      <rPr>
        <sz val="10"/>
        <color indexed="8"/>
        <rFont val="宋体"/>
        <charset val="134"/>
      </rPr>
      <t>合</t>
    </r>
    <r>
      <rPr>
        <sz val="10"/>
        <color indexed="8"/>
        <rFont val="Times New Roman"/>
        <charset val="134"/>
      </rPr>
      <t xml:space="preserve"> </t>
    </r>
    <r>
      <rPr>
        <sz val="10"/>
        <color indexed="8"/>
        <rFont val="宋体"/>
        <charset val="134"/>
      </rPr>
      <t>计</t>
    </r>
  </si>
  <si>
    <r>
      <rPr>
        <sz val="8"/>
        <rFont val="宋体"/>
        <charset val="134"/>
      </rPr>
      <t>交易性金融资产</t>
    </r>
    <r>
      <rPr>
        <sz val="8"/>
        <rFont val="Times New Roman"/>
        <charset val="134"/>
      </rPr>
      <t>—</t>
    </r>
    <r>
      <rPr>
        <sz val="8"/>
        <rFont val="宋体"/>
        <charset val="134"/>
      </rPr>
      <t>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</si>
  <si>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）变现存在重大限制款项</t>
    </r>
  </si>
  <si>
    <r>
      <rPr>
        <sz val="8"/>
        <rFont val="宋体"/>
        <charset val="134"/>
      </rPr>
      <t>交易性金融资产</t>
    </r>
    <r>
      <rPr>
        <sz val="8"/>
        <rFont val="Times New Roman"/>
        <charset val="134"/>
      </rPr>
      <t>—</t>
    </r>
    <r>
      <rPr>
        <sz val="8"/>
        <rFont val="宋体"/>
        <charset val="134"/>
      </rPr>
      <t>变现存在重大限制</t>
    </r>
  </si>
  <si>
    <r>
      <rPr>
        <sz val="8"/>
        <rFont val="宋体"/>
        <charset val="134"/>
      </rPr>
      <t>交易性金融资产</t>
    </r>
    <r>
      <rPr>
        <sz val="8"/>
        <rFont val="Times New Roman"/>
        <charset val="134"/>
      </rPr>
      <t>—</t>
    </r>
    <r>
      <rPr>
        <sz val="8"/>
        <rFont val="宋体"/>
        <charset val="134"/>
      </rPr>
      <t>变现存在重大限制合计</t>
    </r>
  </si>
  <si>
    <r>
      <rPr>
        <b/>
        <sz val="10"/>
        <color indexed="8"/>
        <rFont val="Times New Roman"/>
        <charset val="134"/>
      </rPr>
      <t>3</t>
    </r>
    <r>
      <rPr>
        <b/>
        <sz val="10"/>
        <color indexed="8"/>
        <rFont val="宋体"/>
        <charset val="134"/>
      </rPr>
      <t>．应收票据</t>
    </r>
  </si>
  <si>
    <t>票据种类</t>
  </si>
  <si>
    <t>银行承兑汇票</t>
  </si>
  <si>
    <t>应收票据—银行承兑汇票</t>
  </si>
  <si>
    <t>商业承兑汇票</t>
  </si>
  <si>
    <t>应收票据—商业承兑汇票</t>
  </si>
  <si>
    <r>
      <rPr>
        <sz val="8"/>
        <rFont val="宋体"/>
        <charset val="134"/>
      </rPr>
      <t>应收票据</t>
    </r>
    <r>
      <rPr>
        <sz val="8"/>
        <rFont val="Times New Roman"/>
        <charset val="134"/>
      </rPr>
      <t>—</t>
    </r>
    <r>
      <rPr>
        <sz val="8"/>
        <rFont val="宋体"/>
        <charset val="134"/>
      </rPr>
      <t>合计</t>
    </r>
  </si>
  <si>
    <r>
      <rPr>
        <b/>
        <sz val="10"/>
        <color indexed="8"/>
        <rFont val="宋体"/>
        <charset val="134"/>
      </rPr>
      <t>（</t>
    </r>
    <r>
      <rPr>
        <b/>
        <sz val="10"/>
        <color indexed="8"/>
        <rFont val="Times New Roman"/>
        <charset val="134"/>
      </rPr>
      <t>2</t>
    </r>
    <r>
      <rPr>
        <b/>
        <sz val="10"/>
        <color indexed="8"/>
        <rFont val="宋体"/>
        <charset val="134"/>
      </rPr>
      <t>）已质押、贴现的应收票据</t>
    </r>
  </si>
  <si>
    <t xml:space="preserve">出票单位 </t>
  </si>
  <si>
    <t>出票日期</t>
  </si>
  <si>
    <t xml:space="preserve"> 到期日 </t>
  </si>
  <si>
    <t xml:space="preserve"> 已质押或贴现 </t>
  </si>
  <si>
    <t>应收票据—已质押、贴现</t>
  </si>
  <si>
    <t>应收票据—已质押、贴现合计</t>
  </si>
  <si>
    <r>
      <rPr>
        <b/>
        <sz val="10"/>
        <color indexed="8"/>
        <rFont val="宋体"/>
        <charset val="134"/>
      </rPr>
      <t>（</t>
    </r>
    <r>
      <rPr>
        <b/>
        <sz val="10"/>
        <color indexed="8"/>
        <rFont val="Times New Roman"/>
        <charset val="134"/>
      </rPr>
      <t>3</t>
    </r>
    <r>
      <rPr>
        <b/>
        <sz val="10"/>
        <color indexed="8"/>
        <rFont val="宋体"/>
        <charset val="134"/>
      </rPr>
      <t>）有追索权的票据背书</t>
    </r>
  </si>
  <si>
    <t>背书日</t>
  </si>
  <si>
    <t>背书金额</t>
  </si>
  <si>
    <t>应收票据—有追索权的票据背书</t>
  </si>
  <si>
    <t>应收票据—有追索权的票据背书合计</t>
  </si>
  <si>
    <t>（4）以票据为标的资产的资产证券化安排</t>
  </si>
  <si>
    <t>证券化方式</t>
  </si>
  <si>
    <t>应收票据—资产证券化安排</t>
  </si>
  <si>
    <t>应收票据—资产证券化安排合计</t>
  </si>
  <si>
    <t>（5）转为应收账款的票据</t>
  </si>
  <si>
    <t>应收票据—转为应收账款</t>
  </si>
  <si>
    <t>应收票据—转为应收账款合计</t>
  </si>
  <si>
    <t>（6）期末公司已经背书给他方但尚未到期的票据</t>
  </si>
  <si>
    <t>应收票据—已背书尚未到期</t>
  </si>
  <si>
    <t>应收票据—已背书尚未到期合计</t>
  </si>
  <si>
    <t>4．应收股利</t>
  </si>
  <si>
    <t>被投资单位</t>
  </si>
  <si>
    <t>未收回原因</t>
  </si>
  <si>
    <t>是否减值</t>
  </si>
  <si>
    <t>减值金额</t>
  </si>
  <si>
    <t>一、1年以内应收股利</t>
  </si>
  <si>
    <r>
      <rPr>
        <sz val="8"/>
        <rFont val="宋体"/>
        <charset val="134"/>
      </rPr>
      <t>应收股利—</t>
    </r>
    <r>
      <rPr>
        <sz val="8"/>
        <rFont val="Times New Roman"/>
        <charset val="134"/>
      </rPr>
      <t>1</t>
    </r>
    <r>
      <rPr>
        <sz val="8"/>
        <rFont val="宋体"/>
        <charset val="134"/>
      </rPr>
      <t>年以内</t>
    </r>
  </si>
  <si>
    <t>小 计</t>
  </si>
  <si>
    <r>
      <rPr>
        <sz val="8"/>
        <rFont val="宋体"/>
        <charset val="134"/>
      </rPr>
      <t>应收股利—</t>
    </r>
    <r>
      <rPr>
        <sz val="8"/>
        <rFont val="Times New Roman"/>
        <charset val="134"/>
      </rPr>
      <t>1</t>
    </r>
    <r>
      <rPr>
        <sz val="8"/>
        <rFont val="宋体"/>
        <charset val="134"/>
      </rPr>
      <t>年以内小计</t>
    </r>
  </si>
  <si>
    <t>二、1年以上应收股利</t>
  </si>
  <si>
    <t>应收股利—1年以上</t>
  </si>
  <si>
    <t>应收股利—1年以上小计</t>
  </si>
  <si>
    <t>应收股利—合计</t>
  </si>
  <si>
    <t>5．应收利息</t>
  </si>
  <si>
    <t>对方单位</t>
  </si>
  <si>
    <t>一、1年以内应收利息</t>
  </si>
  <si>
    <t>应收利息—1年以内</t>
  </si>
  <si>
    <t>应收利息—1年以内小计</t>
  </si>
  <si>
    <t>二、1年以上应收利息</t>
  </si>
  <si>
    <t>应收利息—1年以上</t>
  </si>
  <si>
    <t>应收利息—1年以上小计</t>
  </si>
  <si>
    <t>应收利息—合计</t>
  </si>
  <si>
    <r>
      <rPr>
        <b/>
        <sz val="10"/>
        <color indexed="8"/>
        <rFont val="Times New Roman"/>
        <charset val="134"/>
      </rPr>
      <t>6</t>
    </r>
    <r>
      <rPr>
        <b/>
        <sz val="10"/>
        <color indexed="8"/>
        <rFont val="宋体"/>
        <charset val="134"/>
      </rPr>
      <t>．应收账款</t>
    </r>
  </si>
  <si>
    <r>
      <rPr>
        <b/>
        <sz val="10"/>
        <color indexed="8"/>
        <rFont val="宋体"/>
        <charset val="134"/>
      </rPr>
      <t>（</t>
    </r>
    <r>
      <rPr>
        <b/>
        <sz val="10"/>
        <color indexed="8"/>
        <rFont val="Times New Roman"/>
        <charset val="134"/>
      </rPr>
      <t>1</t>
    </r>
    <r>
      <rPr>
        <b/>
        <sz val="10"/>
        <color indexed="8"/>
        <rFont val="宋体"/>
        <charset val="134"/>
      </rPr>
      <t>）应收账款账龄结构</t>
    </r>
  </si>
  <si>
    <t>账龄结构</t>
  </si>
  <si>
    <t>账面余额</t>
  </si>
  <si>
    <t>比例</t>
  </si>
  <si>
    <t>坏账准备金额</t>
  </si>
  <si>
    <t>坏账准备计提比例</t>
  </si>
  <si>
    <r>
      <rPr>
        <sz val="10"/>
        <color indexed="8"/>
        <rFont val="Times New Roman"/>
        <charset val="134"/>
      </rPr>
      <t>1</t>
    </r>
    <r>
      <rPr>
        <sz val="10"/>
        <color indexed="8"/>
        <rFont val="宋体"/>
        <charset val="134"/>
      </rPr>
      <t>年以内（含</t>
    </r>
    <r>
      <rPr>
        <sz val="10"/>
        <color indexed="8"/>
        <rFont val="Times New Roman"/>
        <charset val="134"/>
      </rPr>
      <t>1</t>
    </r>
    <r>
      <rPr>
        <sz val="10"/>
        <color indexed="8"/>
        <rFont val="宋体"/>
        <charset val="134"/>
      </rPr>
      <t>年）</t>
    </r>
  </si>
  <si>
    <t>应收账款—账龄—1年以内（含1年）</t>
  </si>
  <si>
    <r>
      <rPr>
        <sz val="10"/>
        <color indexed="8"/>
        <rFont val="Times New Roman"/>
        <charset val="134"/>
      </rPr>
      <t>1</t>
    </r>
    <r>
      <rPr>
        <sz val="10"/>
        <color indexed="8"/>
        <rFont val="宋体"/>
        <charset val="134"/>
      </rPr>
      <t>年至</t>
    </r>
    <r>
      <rPr>
        <sz val="10"/>
        <color indexed="8"/>
        <rFont val="Times New Roman"/>
        <charset val="134"/>
      </rPr>
      <t>2</t>
    </r>
    <r>
      <rPr>
        <sz val="10"/>
        <color indexed="8"/>
        <rFont val="宋体"/>
        <charset val="134"/>
      </rPr>
      <t>年（含</t>
    </r>
    <r>
      <rPr>
        <sz val="10"/>
        <color indexed="8"/>
        <rFont val="Times New Roman"/>
        <charset val="134"/>
      </rPr>
      <t>2</t>
    </r>
    <r>
      <rPr>
        <sz val="10"/>
        <color indexed="8"/>
        <rFont val="宋体"/>
        <charset val="134"/>
      </rPr>
      <t>年）</t>
    </r>
  </si>
  <si>
    <t>应收账款—账龄—1年至2年（含2年）</t>
  </si>
  <si>
    <r>
      <rPr>
        <sz val="10"/>
        <color indexed="8"/>
        <rFont val="Times New Roman"/>
        <charset val="134"/>
      </rPr>
      <t>2</t>
    </r>
    <r>
      <rPr>
        <sz val="10"/>
        <color indexed="8"/>
        <rFont val="宋体"/>
        <charset val="134"/>
      </rPr>
      <t>年至</t>
    </r>
    <r>
      <rPr>
        <sz val="10"/>
        <color indexed="8"/>
        <rFont val="Times New Roman"/>
        <charset val="134"/>
      </rPr>
      <t>3</t>
    </r>
    <r>
      <rPr>
        <sz val="10"/>
        <color indexed="8"/>
        <rFont val="宋体"/>
        <charset val="134"/>
      </rPr>
      <t>年（含</t>
    </r>
    <r>
      <rPr>
        <sz val="10"/>
        <color indexed="8"/>
        <rFont val="Times New Roman"/>
        <charset val="134"/>
      </rPr>
      <t>3</t>
    </r>
    <r>
      <rPr>
        <sz val="10"/>
        <color indexed="8"/>
        <rFont val="宋体"/>
        <charset val="134"/>
      </rPr>
      <t>年）</t>
    </r>
  </si>
  <si>
    <t>应收账款—账龄—2年至3年（含3年）</t>
  </si>
  <si>
    <r>
      <rPr>
        <sz val="10"/>
        <color indexed="8"/>
        <rFont val="Times New Roman"/>
        <charset val="134"/>
      </rPr>
      <t>3</t>
    </r>
    <r>
      <rPr>
        <sz val="10"/>
        <color indexed="8"/>
        <rFont val="宋体"/>
        <charset val="134"/>
      </rPr>
      <t>年至</t>
    </r>
    <r>
      <rPr>
        <sz val="10"/>
        <color indexed="8"/>
        <rFont val="Times New Roman"/>
        <charset val="134"/>
      </rPr>
      <t>4</t>
    </r>
    <r>
      <rPr>
        <sz val="10"/>
        <color indexed="8"/>
        <rFont val="宋体"/>
        <charset val="134"/>
      </rPr>
      <t>年（或</t>
    </r>
    <r>
      <rPr>
        <sz val="10"/>
        <color indexed="8"/>
        <rFont val="Times New Roman"/>
        <charset val="134"/>
      </rPr>
      <t>3</t>
    </r>
    <r>
      <rPr>
        <sz val="10"/>
        <color indexed="8"/>
        <rFont val="宋体"/>
        <charset val="134"/>
      </rPr>
      <t>年以上）</t>
    </r>
  </si>
  <si>
    <t>应收账款—账龄—3年至4年（或3年以上）</t>
  </si>
  <si>
    <r>
      <rPr>
        <sz val="10"/>
        <color indexed="8"/>
        <rFont val="Times New Roman"/>
        <charset val="134"/>
      </rPr>
      <t>4</t>
    </r>
    <r>
      <rPr>
        <sz val="10"/>
        <color indexed="8"/>
        <rFont val="宋体"/>
        <charset val="134"/>
      </rPr>
      <t>年至</t>
    </r>
    <r>
      <rPr>
        <sz val="10"/>
        <color indexed="8"/>
        <rFont val="Times New Roman"/>
        <charset val="134"/>
      </rPr>
      <t>5</t>
    </r>
    <r>
      <rPr>
        <sz val="10"/>
        <color indexed="8"/>
        <rFont val="宋体"/>
        <charset val="134"/>
      </rPr>
      <t>年（含</t>
    </r>
    <r>
      <rPr>
        <sz val="10"/>
        <color indexed="8"/>
        <rFont val="Times New Roman"/>
        <charset val="134"/>
      </rPr>
      <t>5</t>
    </r>
    <r>
      <rPr>
        <sz val="10"/>
        <color indexed="8"/>
        <rFont val="宋体"/>
        <charset val="134"/>
      </rPr>
      <t>年）</t>
    </r>
  </si>
  <si>
    <t>应收账款—账龄—4年至5年（含5年）</t>
  </si>
  <si>
    <r>
      <rPr>
        <sz val="10"/>
        <color indexed="8"/>
        <rFont val="Times New Roman"/>
        <charset val="134"/>
      </rPr>
      <t>5</t>
    </r>
    <r>
      <rPr>
        <sz val="10"/>
        <color indexed="8"/>
        <rFont val="宋体"/>
        <charset val="134"/>
      </rPr>
      <t>年以上</t>
    </r>
  </si>
  <si>
    <t>应收账款—账龄—5年以上</t>
  </si>
  <si>
    <t>应收账款—账龄—合 计</t>
  </si>
  <si>
    <r>
      <rPr>
        <b/>
        <sz val="10"/>
        <color indexed="8"/>
        <rFont val="宋体"/>
        <charset val="134"/>
      </rPr>
      <t>（</t>
    </r>
    <r>
      <rPr>
        <b/>
        <sz val="10"/>
        <color indexed="8"/>
        <rFont val="Times New Roman"/>
        <charset val="134"/>
      </rPr>
      <t>2</t>
    </r>
    <r>
      <rPr>
        <b/>
        <sz val="10"/>
        <color indexed="8"/>
        <rFont val="宋体"/>
        <charset val="134"/>
      </rPr>
      <t>）分类列示</t>
    </r>
  </si>
  <si>
    <t>单项金额重大的应收款项</t>
  </si>
  <si>
    <t>应收账款—分类—单项金额重大</t>
  </si>
  <si>
    <t>单项金额不重大但按信用风险特征组合后该组合的风险较大的应收款项</t>
  </si>
  <si>
    <t>应收账款—分类—组合的风险较大</t>
  </si>
  <si>
    <t>其他不重大应收款项</t>
  </si>
  <si>
    <t>应收账款—分类—其他不重大</t>
  </si>
  <si>
    <t>应收账款—分类—合 计</t>
  </si>
  <si>
    <t>（3）单项金额重大的应收款项</t>
  </si>
  <si>
    <t>客户名称</t>
  </si>
  <si>
    <t>坏账准备</t>
  </si>
  <si>
    <t>计提理由</t>
  </si>
  <si>
    <t>应收账款—单项金额重大明细</t>
  </si>
  <si>
    <t>应收账款—单项金额重大明细合计</t>
  </si>
  <si>
    <t>（4）单项金额不重大但按信用风险特征组合后该组合的风险较大的应收款项</t>
  </si>
  <si>
    <t>确定该组合的依据</t>
  </si>
  <si>
    <t>应收账款—组合的风险较大明细</t>
  </si>
  <si>
    <t>应收账款—组合的风险较大明细合计</t>
  </si>
  <si>
    <t>（5）已全额计提坏账准备或计提坏账准备的比例较大的应收款项收回</t>
  </si>
  <si>
    <t>收回前余额</t>
  </si>
  <si>
    <t>收回金额</t>
  </si>
  <si>
    <t>收回原因</t>
  </si>
  <si>
    <t>原计提理由</t>
  </si>
  <si>
    <t>原计提依据</t>
  </si>
  <si>
    <t>应收账款—已提准备款项收回</t>
  </si>
  <si>
    <t>应收账款—已提准备款项收回合计</t>
  </si>
  <si>
    <t>（6）本年度实际核销的应收款项</t>
  </si>
  <si>
    <t>核销前余额</t>
  </si>
  <si>
    <t>性质</t>
  </si>
  <si>
    <t>核销原因</t>
  </si>
  <si>
    <t>是否关联交易产生</t>
  </si>
  <si>
    <t>应收账款—实际核销</t>
  </si>
  <si>
    <t>应收账款—实际核销合计</t>
  </si>
  <si>
    <t>（7）持公司5%（含5%）以上表决权股份的股东单位欠款</t>
  </si>
  <si>
    <t>股东名称</t>
  </si>
  <si>
    <t>款项性质</t>
  </si>
  <si>
    <t>应收账款—5%股东款项</t>
  </si>
  <si>
    <t>应收账款—5%股东款项合计</t>
  </si>
  <si>
    <t>（8）应收账款前5名</t>
  </si>
  <si>
    <t>欠款性质</t>
  </si>
  <si>
    <t>欠款年限</t>
  </si>
  <si>
    <t>占应收账款比例</t>
  </si>
  <si>
    <t>应收账款—前5名</t>
  </si>
  <si>
    <t>应收账款—前5名合计</t>
  </si>
  <si>
    <t>（9）应收关联方款项</t>
  </si>
  <si>
    <t>关联方</t>
  </si>
  <si>
    <t>应收账款—关联方款项</t>
  </si>
  <si>
    <t>应收账款—关联方款项合计</t>
  </si>
  <si>
    <t>（10）不符合终止确认条件的应收款项的转移</t>
  </si>
  <si>
    <t>转移前余额</t>
  </si>
  <si>
    <t>转移金额</t>
  </si>
  <si>
    <t>转移原因</t>
  </si>
  <si>
    <t>应收账款—不符合终止确认款项</t>
  </si>
  <si>
    <t>应收账款—不符合终止确认款项合计</t>
  </si>
  <si>
    <t>（11）以应收款项为标的资产进行资产证券化</t>
  </si>
  <si>
    <t>期末余额</t>
  </si>
  <si>
    <t>相关交易安排</t>
  </si>
  <si>
    <t>应收账款—资产证券化</t>
  </si>
  <si>
    <t>应收账款—资产证券化合计</t>
  </si>
  <si>
    <r>
      <rPr>
        <b/>
        <sz val="10"/>
        <color indexed="8"/>
        <rFont val="Times New Roman"/>
        <charset val="134"/>
      </rPr>
      <t>7</t>
    </r>
    <r>
      <rPr>
        <b/>
        <sz val="10"/>
        <color indexed="8"/>
        <rFont val="宋体"/>
        <charset val="134"/>
      </rPr>
      <t>．其他应收款</t>
    </r>
  </si>
  <si>
    <r>
      <rPr>
        <b/>
        <sz val="10"/>
        <color indexed="8"/>
        <rFont val="宋体"/>
        <charset val="134"/>
      </rPr>
      <t>（</t>
    </r>
    <r>
      <rPr>
        <b/>
        <sz val="10"/>
        <color indexed="8"/>
        <rFont val="Times New Roman"/>
        <charset val="134"/>
      </rPr>
      <t>1</t>
    </r>
    <r>
      <rPr>
        <b/>
        <sz val="10"/>
        <color indexed="8"/>
        <rFont val="宋体"/>
        <charset val="134"/>
      </rPr>
      <t>）其他应收款账龄结构</t>
    </r>
  </si>
  <si>
    <t>其他应收款—账龄—1年以内（含1年）</t>
  </si>
  <si>
    <t>其他应收款—账龄—1年至2年（含2年）</t>
  </si>
  <si>
    <t>其他应收款—账龄—2年至3年（含3年）</t>
  </si>
  <si>
    <t>其他应收款—账龄—3年至4年（或3年以上）</t>
  </si>
  <si>
    <t>其他应收款—账龄—4年至5年（含5年）</t>
  </si>
  <si>
    <t>其他应收款—账龄—5年以上</t>
  </si>
  <si>
    <t>其他应收款—账龄—合 计</t>
  </si>
  <si>
    <t>其他应收款—分类—单项金额重大</t>
  </si>
  <si>
    <t>其他应收款—分类—组合的风险较大</t>
  </si>
  <si>
    <t>其他应收款—分类—其他不重大</t>
  </si>
  <si>
    <t>其他应收款—分类—合 计</t>
  </si>
  <si>
    <t>其他应收款—单项金额重大明细</t>
  </si>
  <si>
    <t>其他应收款—单项金额重大明细合计</t>
  </si>
  <si>
    <t>其他应收款—组合的风险较大明细</t>
  </si>
  <si>
    <t>其他应收款—组合的风险较大明细合计</t>
  </si>
  <si>
    <t>其他应收款—已提准备款项收回</t>
  </si>
  <si>
    <t>其他应收款—已提准备款项收回合计</t>
  </si>
  <si>
    <t>其他应收款—实际核销</t>
  </si>
  <si>
    <t>其他应收款—实际核销合计</t>
  </si>
  <si>
    <t>其他应收款—5%股东款项</t>
  </si>
  <si>
    <t>其他应收款—5%股东款项合计</t>
  </si>
  <si>
    <t>（8）其他应收款前5名</t>
  </si>
  <si>
    <t>其他应收款—前5名</t>
  </si>
  <si>
    <t>其他应收款—前5名合计</t>
  </si>
  <si>
    <t>其他应收款—关联方款项</t>
  </si>
  <si>
    <t>其他应收款—关联方款项合计</t>
  </si>
  <si>
    <t>其他应收款—不符合终止确认款项</t>
  </si>
  <si>
    <t>其他应收款—不符合终止确认款项合计</t>
  </si>
  <si>
    <t>其他应收款—资产证券化</t>
  </si>
  <si>
    <t>其他应收款—资产证券化合计</t>
  </si>
  <si>
    <r>
      <rPr>
        <b/>
        <sz val="10"/>
        <color indexed="8"/>
        <rFont val="Times New Roman"/>
        <charset val="134"/>
      </rPr>
      <t>8</t>
    </r>
    <r>
      <rPr>
        <b/>
        <sz val="10"/>
        <color indexed="8"/>
        <rFont val="宋体"/>
        <charset val="134"/>
      </rPr>
      <t>．预付账款</t>
    </r>
  </si>
  <si>
    <r>
      <rPr>
        <b/>
        <sz val="10"/>
        <color indexed="8"/>
        <rFont val="宋体"/>
        <charset val="134"/>
      </rPr>
      <t>（</t>
    </r>
    <r>
      <rPr>
        <b/>
        <sz val="10"/>
        <color indexed="8"/>
        <rFont val="Times New Roman"/>
        <charset val="134"/>
      </rPr>
      <t>1</t>
    </r>
    <r>
      <rPr>
        <b/>
        <sz val="10"/>
        <color indexed="8"/>
        <rFont val="宋体"/>
        <charset val="134"/>
      </rPr>
      <t>）预付账款账龄结构</t>
    </r>
  </si>
  <si>
    <t>预付账款—账龄—1年以内（含1年）</t>
  </si>
  <si>
    <t>预付账款—账龄—1年至2年（含2年）</t>
  </si>
  <si>
    <t>预付账款—账龄—2年至3年（含3年）</t>
  </si>
  <si>
    <r>
      <rPr>
        <sz val="10"/>
        <color indexed="8"/>
        <rFont val="Times New Roman"/>
        <charset val="134"/>
      </rPr>
      <t>3</t>
    </r>
    <r>
      <rPr>
        <sz val="10"/>
        <color indexed="8"/>
        <rFont val="宋体"/>
        <charset val="134"/>
      </rPr>
      <t>年以上</t>
    </r>
  </si>
  <si>
    <t>预付账款—账龄—3年以上</t>
  </si>
  <si>
    <t>预付账款—账龄—合 计</t>
  </si>
  <si>
    <t>（2）账龄超过1年的重要预付账款</t>
  </si>
  <si>
    <t>预付款性质</t>
  </si>
  <si>
    <t>未及时结算原因</t>
  </si>
  <si>
    <t>预付账款—账龄超过1年重要预付款</t>
  </si>
  <si>
    <t>预付账款—账龄超过1年重要预付款合计</t>
  </si>
  <si>
    <t>（3）持公司5%（含5%）以上表决权股份的股东单位款项</t>
  </si>
  <si>
    <t>预付账款—5%股东款项</t>
  </si>
  <si>
    <t>预付账款—5%股东款项合计</t>
  </si>
  <si>
    <t>（4）关联方款项</t>
  </si>
  <si>
    <t>关联方名称</t>
  </si>
  <si>
    <t>预付账款—关联方款项</t>
  </si>
  <si>
    <t>预付账款—关联方款项合计</t>
  </si>
  <si>
    <t>（5）金额较大的预付账款（占期末预付账款总额的30%及以上）</t>
  </si>
  <si>
    <t>内容</t>
  </si>
  <si>
    <t>预付账款—金额较大</t>
  </si>
  <si>
    <t>预付账款—金额较大合计</t>
  </si>
  <si>
    <t>（6）若期末预付账款余额比上期期末预付账款余额增加或减少超过30%或预付账款期末余额超过资产总额的10%的，应说明其原因</t>
  </si>
  <si>
    <t>原因说明</t>
  </si>
  <si>
    <t>预付账款—增减原因</t>
  </si>
  <si>
    <r>
      <rPr>
        <b/>
        <sz val="10"/>
        <color indexed="8"/>
        <rFont val="Times New Roman"/>
        <charset val="134"/>
      </rPr>
      <t>9</t>
    </r>
    <r>
      <rPr>
        <b/>
        <sz val="10"/>
        <color indexed="8"/>
        <rFont val="宋体"/>
        <charset val="134"/>
      </rPr>
      <t>．存货</t>
    </r>
  </si>
  <si>
    <r>
      <rPr>
        <b/>
        <sz val="10"/>
        <color indexed="8"/>
        <rFont val="宋体"/>
        <charset val="134"/>
      </rPr>
      <t>（</t>
    </r>
    <r>
      <rPr>
        <b/>
        <sz val="10"/>
        <color indexed="8"/>
        <rFont val="Times New Roman"/>
        <charset val="134"/>
      </rPr>
      <t>1</t>
    </r>
    <r>
      <rPr>
        <b/>
        <sz val="10"/>
        <color indexed="8"/>
        <rFont val="宋体"/>
        <charset val="134"/>
      </rPr>
      <t>）存货种类</t>
    </r>
  </si>
  <si>
    <t>存货种类</t>
  </si>
  <si>
    <t>本期增加额</t>
  </si>
  <si>
    <t>本期减少额</t>
  </si>
  <si>
    <t>其中：资本化</t>
  </si>
  <si>
    <t>材料采购</t>
  </si>
  <si>
    <r>
      <rPr>
        <sz val="8"/>
        <rFont val="宋体"/>
        <charset val="134"/>
      </rPr>
      <t>存货</t>
    </r>
    <r>
      <rPr>
        <sz val="8"/>
        <rFont val="Times New Roman"/>
        <charset val="134"/>
      </rPr>
      <t>—</t>
    </r>
    <r>
      <rPr>
        <sz val="8"/>
        <rFont val="宋体"/>
        <charset val="134"/>
      </rPr>
      <t>材料采购</t>
    </r>
  </si>
  <si>
    <t>在途物资</t>
  </si>
  <si>
    <r>
      <rPr>
        <sz val="8"/>
        <rFont val="宋体"/>
        <charset val="134"/>
      </rPr>
      <t>存货</t>
    </r>
    <r>
      <rPr>
        <sz val="8"/>
        <rFont val="Times New Roman"/>
        <charset val="134"/>
      </rPr>
      <t>—</t>
    </r>
    <r>
      <rPr>
        <sz val="8"/>
        <rFont val="宋体"/>
        <charset val="134"/>
      </rPr>
      <t>在途物资</t>
    </r>
  </si>
  <si>
    <t>原材料</t>
  </si>
  <si>
    <t>存货—原材料</t>
  </si>
  <si>
    <t>在产品</t>
  </si>
  <si>
    <t>存货—在产品</t>
  </si>
  <si>
    <t>库存商品</t>
  </si>
  <si>
    <t>存货—库存商品</t>
  </si>
  <si>
    <t>发出商品</t>
  </si>
  <si>
    <t>存货—发出商品</t>
  </si>
  <si>
    <t>委托加工物资</t>
  </si>
  <si>
    <t>存货—委托加工物资</t>
  </si>
  <si>
    <t>周转材料</t>
  </si>
  <si>
    <t>存货—周转材料</t>
  </si>
  <si>
    <t>消耗性生物资产</t>
  </si>
  <si>
    <t>存货—消耗性生物资产</t>
  </si>
  <si>
    <t>建造合同形成的资产</t>
  </si>
  <si>
    <t>存货—建造合同形成的资产</t>
  </si>
  <si>
    <t>存货—其他</t>
  </si>
  <si>
    <t>存货—合 计</t>
  </si>
  <si>
    <t>（2）存货跌价准备</t>
  </si>
  <si>
    <t>本期计提额</t>
  </si>
  <si>
    <t>本期计提依据</t>
  </si>
  <si>
    <t>本期转回原因</t>
  </si>
  <si>
    <t>转回金额占存货比</t>
  </si>
  <si>
    <t>转回</t>
  </si>
  <si>
    <t>转销</t>
  </si>
  <si>
    <t>存货跌价准备—材料采购</t>
  </si>
  <si>
    <t>存货跌价准备—在途物资</t>
  </si>
  <si>
    <t>存货跌价准备—原材料</t>
  </si>
  <si>
    <t>存货跌价准备—在产品</t>
  </si>
  <si>
    <t>存货跌价准备—库存商品</t>
  </si>
  <si>
    <t>存货跌价准备—发出商品</t>
  </si>
  <si>
    <t>存货跌价准备—委托加工物资</t>
  </si>
  <si>
    <t>存货跌价准备—周转材料</t>
  </si>
  <si>
    <t>存货跌价准备—消耗性生物资产</t>
  </si>
  <si>
    <t>存货跌价准备—建造合同形成的资产</t>
  </si>
  <si>
    <t>存货跌价准备—其他</t>
  </si>
  <si>
    <t>存货跌价准备—合 计</t>
  </si>
  <si>
    <r>
      <rPr>
        <b/>
        <sz val="10"/>
        <color indexed="8"/>
        <rFont val="Times New Roman"/>
        <charset val="134"/>
      </rPr>
      <t>10</t>
    </r>
    <r>
      <rPr>
        <b/>
        <sz val="10"/>
        <color indexed="8"/>
        <rFont val="宋体"/>
        <charset val="134"/>
      </rPr>
      <t>．其他流动资产</t>
    </r>
  </si>
  <si>
    <t>期末账面价值</t>
  </si>
  <si>
    <t>年初账面价值</t>
  </si>
  <si>
    <t>其他流动资产合计</t>
  </si>
  <si>
    <t>终行</t>
  </si>
  <si>
    <r>
      <rPr>
        <b/>
        <sz val="10"/>
        <color indexed="8"/>
        <rFont val="Times New Roman"/>
        <charset val="134"/>
      </rPr>
      <t>11</t>
    </r>
    <r>
      <rPr>
        <b/>
        <sz val="10"/>
        <color indexed="8"/>
        <rFont val="宋体"/>
        <charset val="134"/>
      </rPr>
      <t>．可供出售金融资产</t>
    </r>
  </si>
  <si>
    <t>其中：持有至到期投资转入</t>
  </si>
  <si>
    <t>转入比例</t>
  </si>
  <si>
    <t>可供出售债券</t>
  </si>
  <si>
    <t>可供出售金融资产—分类—可供出售债券</t>
  </si>
  <si>
    <t>可供出售权益工具</t>
  </si>
  <si>
    <t>可供出售金融资产—分类—可供出售权益工具</t>
  </si>
  <si>
    <t>可供出售金融资产—分类—其他</t>
  </si>
  <si>
    <t>可供出售金融资产—分类—合 计</t>
  </si>
  <si>
    <r>
      <rPr>
        <b/>
        <sz val="10"/>
        <color indexed="8"/>
        <rFont val="宋体"/>
        <charset val="134"/>
      </rPr>
      <t>（</t>
    </r>
    <r>
      <rPr>
        <b/>
        <sz val="10"/>
        <color indexed="8"/>
        <rFont val="Times New Roman"/>
        <charset val="134"/>
      </rPr>
      <t>2</t>
    </r>
    <r>
      <rPr>
        <b/>
        <sz val="10"/>
        <color indexed="8"/>
        <rFont val="宋体"/>
        <charset val="134"/>
      </rPr>
      <t>）可供出售金融资产的长期债权投资</t>
    </r>
  </si>
  <si>
    <t>面值</t>
  </si>
  <si>
    <t>年利率</t>
  </si>
  <si>
    <t>初始投资成本</t>
  </si>
  <si>
    <t>到期日</t>
  </si>
  <si>
    <t>本期利息</t>
  </si>
  <si>
    <t>累计应收利息</t>
  </si>
  <si>
    <t>可供出售金融资产—长期债权投资</t>
  </si>
  <si>
    <t>可供出售金融资产—长期债权投资合计</t>
  </si>
  <si>
    <r>
      <rPr>
        <b/>
        <sz val="10"/>
        <color indexed="8"/>
        <rFont val="Times New Roman"/>
        <charset val="134"/>
      </rPr>
      <t>12</t>
    </r>
    <r>
      <rPr>
        <b/>
        <sz val="10"/>
        <color indexed="8"/>
        <rFont val="宋体"/>
        <charset val="134"/>
      </rPr>
      <t>．持有至到期投资</t>
    </r>
  </si>
  <si>
    <r>
      <rPr>
        <b/>
        <sz val="10"/>
        <color indexed="8"/>
        <rFont val="宋体"/>
        <charset val="134"/>
      </rPr>
      <t>（</t>
    </r>
    <r>
      <rPr>
        <b/>
        <sz val="10"/>
        <color indexed="8"/>
        <rFont val="Times New Roman"/>
        <charset val="134"/>
      </rPr>
      <t>1</t>
    </r>
    <r>
      <rPr>
        <b/>
        <sz val="10"/>
        <color indexed="8"/>
        <rFont val="宋体"/>
        <charset val="134"/>
      </rPr>
      <t>）明细项目</t>
    </r>
  </si>
  <si>
    <t>持有至到期投资—明细</t>
  </si>
  <si>
    <t>持有至到期投资—明细合计</t>
  </si>
  <si>
    <t>（2）本期内出售但尚未到期的持有至到期投资</t>
  </si>
  <si>
    <t>出售金额</t>
  </si>
  <si>
    <t>出售前投资金额</t>
  </si>
  <si>
    <t>持有至到期投资—未到期已出售</t>
  </si>
  <si>
    <t>持有至到期投资—未到期已出售合计</t>
  </si>
  <si>
    <r>
      <rPr>
        <b/>
        <sz val="10"/>
        <color indexed="8"/>
        <rFont val="Times New Roman"/>
        <charset val="134"/>
      </rPr>
      <t>13</t>
    </r>
    <r>
      <rPr>
        <b/>
        <sz val="10"/>
        <color indexed="8"/>
        <rFont val="宋体"/>
        <charset val="134"/>
      </rPr>
      <t>．长期应收款</t>
    </r>
  </si>
  <si>
    <t>融资租赁</t>
  </si>
  <si>
    <t>长期应收款—融资租赁</t>
  </si>
  <si>
    <t>分期收款销售商品</t>
  </si>
  <si>
    <t>长期应收款—分期收款销售商品</t>
  </si>
  <si>
    <t>分期收款提供劳务</t>
  </si>
  <si>
    <t>长期应收款—分期收款提供劳务</t>
  </si>
  <si>
    <t>长期应收款—其他</t>
  </si>
  <si>
    <t>长期应收款—合 计</t>
  </si>
  <si>
    <r>
      <rPr>
        <b/>
        <sz val="10"/>
        <color indexed="8"/>
        <rFont val="Times New Roman"/>
        <charset val="134"/>
      </rPr>
      <t>14</t>
    </r>
    <r>
      <rPr>
        <b/>
        <sz val="10"/>
        <color indexed="8"/>
        <rFont val="宋体"/>
        <charset val="134"/>
      </rPr>
      <t>．长期股权投资</t>
    </r>
  </si>
  <si>
    <r>
      <rPr>
        <b/>
        <sz val="10"/>
        <color indexed="8"/>
        <rFont val="宋体"/>
        <charset val="134"/>
      </rPr>
      <t>（</t>
    </r>
    <r>
      <rPr>
        <b/>
        <sz val="10"/>
        <color indexed="8"/>
        <rFont val="Times New Roman"/>
        <charset val="134"/>
      </rPr>
      <t>1</t>
    </r>
    <r>
      <rPr>
        <b/>
        <sz val="10"/>
        <color indexed="8"/>
        <rFont val="宋体"/>
        <charset val="134"/>
      </rPr>
      <t>）长期股权投资明细</t>
    </r>
  </si>
  <si>
    <t>被投资单位名称</t>
  </si>
  <si>
    <t>初始金额</t>
  </si>
  <si>
    <t>期初余额</t>
  </si>
  <si>
    <t>本期增加</t>
  </si>
  <si>
    <t>本期减少</t>
  </si>
  <si>
    <t>分得现金红利</t>
  </si>
  <si>
    <t>一、成本法核算</t>
  </si>
  <si>
    <t>长期股权投资—明细—成本法</t>
  </si>
  <si>
    <r>
      <rPr>
        <sz val="10"/>
        <color indexed="8"/>
        <rFont val="宋体"/>
        <charset val="134"/>
      </rPr>
      <t>小</t>
    </r>
    <r>
      <rPr>
        <sz val="10"/>
        <color indexed="8"/>
        <rFont val="Times New Roman"/>
        <charset val="134"/>
      </rPr>
      <t xml:space="preserve"> </t>
    </r>
    <r>
      <rPr>
        <sz val="10"/>
        <color indexed="8"/>
        <rFont val="宋体"/>
        <charset val="134"/>
      </rPr>
      <t>计</t>
    </r>
  </si>
  <si>
    <t>长期股权投资—明细—成本法小计</t>
  </si>
  <si>
    <t>二、权益法核算</t>
  </si>
  <si>
    <t>长期股权投资—明细—权益法</t>
  </si>
  <si>
    <t>长期股权投资—明细—权益法小计</t>
  </si>
  <si>
    <t>长期股权投资—明细—成本法权益法合计</t>
  </si>
  <si>
    <t>（2）长期股权投资减值准备</t>
  </si>
  <si>
    <t>减值原因</t>
  </si>
  <si>
    <t>长期股权投资减值准备—明细—成本法</t>
  </si>
  <si>
    <t>长期股权投资减值准备—明细—成本法小计</t>
  </si>
  <si>
    <t>长期股权投资减值准备—明细—权益法</t>
  </si>
  <si>
    <t>长期股权投资减值准备—明细—权益法小计</t>
  </si>
  <si>
    <t>长期股权投资减值准备—明细—合计</t>
  </si>
  <si>
    <t>（3）被投资单位向投资企业转移资金的能力受到限制的情况</t>
  </si>
  <si>
    <t>所在国家或地区</t>
  </si>
  <si>
    <t>长期股权投资—资金受限</t>
  </si>
  <si>
    <t>（4）当期及累计未确认的投资损失金额</t>
  </si>
  <si>
    <t>当期未确认</t>
  </si>
  <si>
    <t>累计未确认</t>
  </si>
  <si>
    <t>长期股权投资—未确认投资损失</t>
  </si>
  <si>
    <t>长期股权投资—未确认投资损失合计</t>
  </si>
  <si>
    <t>（5）对合营企业投资和对联营企业投资</t>
  </si>
  <si>
    <t>注册地</t>
  </si>
  <si>
    <t>业务性质</t>
  </si>
  <si>
    <t>持股比例</t>
  </si>
  <si>
    <t>表决权比例</t>
  </si>
  <si>
    <t>期末净资产</t>
  </si>
  <si>
    <t>本期营业收入</t>
  </si>
  <si>
    <t>本期净利润</t>
  </si>
  <si>
    <t>一、合营企业</t>
  </si>
  <si>
    <t>长期股权投资—明细—合营企业</t>
  </si>
  <si>
    <t>长期股权投资—明细—合营企业小计</t>
  </si>
  <si>
    <t>二、联营企业</t>
  </si>
  <si>
    <t>长期股权投资—明细—联营企业</t>
  </si>
  <si>
    <t>长期股权投资—明细—联营企业小计</t>
  </si>
  <si>
    <t>长期股权投资—明细—合营联营企业合计</t>
  </si>
  <si>
    <r>
      <rPr>
        <b/>
        <sz val="10"/>
        <color indexed="8"/>
        <rFont val="Times New Roman"/>
        <charset val="134"/>
      </rPr>
      <t>15</t>
    </r>
    <r>
      <rPr>
        <b/>
        <sz val="10"/>
        <color indexed="8"/>
        <rFont val="宋体"/>
        <charset val="134"/>
      </rPr>
      <t>．投资性房地产</t>
    </r>
  </si>
  <si>
    <r>
      <rPr>
        <b/>
        <sz val="10"/>
        <color indexed="8"/>
        <rFont val="宋体"/>
        <charset val="134"/>
      </rPr>
      <t>（</t>
    </r>
    <r>
      <rPr>
        <b/>
        <sz val="10"/>
        <color indexed="8"/>
        <rFont val="Times New Roman"/>
        <charset val="134"/>
      </rPr>
      <t>1</t>
    </r>
    <r>
      <rPr>
        <b/>
        <sz val="10"/>
        <color indexed="8"/>
        <rFont val="宋体"/>
        <charset val="134"/>
      </rPr>
      <t>）采用成本模式进行后续计量</t>
    </r>
  </si>
  <si>
    <t>一、原价合计</t>
  </si>
  <si>
    <t>投资性房地产成本模式—原价—合计</t>
  </si>
  <si>
    <r>
      <rPr>
        <sz val="10"/>
        <color indexed="8"/>
        <rFont val="Times New Roman"/>
        <charset val="134"/>
      </rPr>
      <t>1</t>
    </r>
    <r>
      <rPr>
        <sz val="10"/>
        <color indexed="8"/>
        <rFont val="宋体"/>
        <charset val="134"/>
      </rPr>
      <t>．房屋、建筑物</t>
    </r>
  </si>
  <si>
    <t>投资性房地产成本模式—原价—房屋建筑物</t>
  </si>
  <si>
    <r>
      <rPr>
        <sz val="10"/>
        <color indexed="8"/>
        <rFont val="Times New Roman"/>
        <charset val="134"/>
      </rPr>
      <t>2</t>
    </r>
    <r>
      <rPr>
        <sz val="10"/>
        <color indexed="8"/>
        <rFont val="宋体"/>
        <charset val="134"/>
      </rPr>
      <t>．土地使用权</t>
    </r>
  </si>
  <si>
    <t>投资性房地产成本模式—原价—土地使用权</t>
  </si>
  <si>
    <t>二、累计折旧和累计摊销合计</t>
  </si>
  <si>
    <t>投资性房地产成本模式—累计折旧—合计</t>
  </si>
  <si>
    <t>投资性房地产成本模式—累计折旧—房屋建筑物</t>
  </si>
  <si>
    <t>投资性房地产成本模式—累计折旧—土地使用权</t>
  </si>
  <si>
    <t>三、投资性房地产减值准备累计金额合计</t>
  </si>
  <si>
    <t>投资性房地产成本模式—减值准备—合计</t>
  </si>
  <si>
    <t>投资性房地产成本模式—减值准备—房屋建筑物</t>
  </si>
  <si>
    <t>投资性房地产成本模式—减值准备—土地使用权</t>
  </si>
  <si>
    <t>四、投资性房地产账面价值合计</t>
  </si>
  <si>
    <r>
      <rPr>
        <b/>
        <sz val="10"/>
        <color indexed="8"/>
        <rFont val="宋体"/>
        <charset val="134"/>
      </rPr>
      <t>（</t>
    </r>
    <r>
      <rPr>
        <b/>
        <sz val="10"/>
        <color indexed="8"/>
        <rFont val="Times New Roman"/>
        <charset val="134"/>
      </rPr>
      <t>2</t>
    </r>
    <r>
      <rPr>
        <b/>
        <sz val="10"/>
        <color indexed="8"/>
        <rFont val="宋体"/>
        <charset val="134"/>
      </rPr>
      <t>）采用公允价值模式进行后续计量</t>
    </r>
  </si>
  <si>
    <t>价值确定依据</t>
  </si>
  <si>
    <t>投资性房地产公允模式—原价—合计</t>
  </si>
  <si>
    <t>投资性房地产公允模式—原价—房屋建筑物</t>
  </si>
  <si>
    <t>投资性房地产公允模式—原价—土地使用权</t>
  </si>
  <si>
    <t>投资性房地产公允模式—累计折旧—合计</t>
  </si>
  <si>
    <t>投资性房地产公允模式—累计折旧—房屋建筑物</t>
  </si>
  <si>
    <t>投资性房地产公允模式—累计折旧—土地使用权</t>
  </si>
  <si>
    <t>投资性房地产公允模式—减值准备—合计</t>
  </si>
  <si>
    <t>投资性房地产公允模式—减值准备—房屋建筑物</t>
  </si>
  <si>
    <t>投资性房地产公允模式—减值准备—土地使用权</t>
  </si>
  <si>
    <r>
      <rPr>
        <b/>
        <sz val="10"/>
        <color indexed="8"/>
        <rFont val="宋体"/>
        <charset val="134"/>
      </rPr>
      <t>（</t>
    </r>
    <r>
      <rPr>
        <b/>
        <sz val="10"/>
        <color indexed="8"/>
        <rFont val="Times New Roman"/>
        <charset val="134"/>
      </rPr>
      <t>3</t>
    </r>
    <r>
      <rPr>
        <b/>
        <sz val="10"/>
        <color indexed="8"/>
        <rFont val="宋体"/>
        <charset val="134"/>
      </rPr>
      <t>）房地产转换的情况</t>
    </r>
  </si>
  <si>
    <t>被转换房地产名称及产权证号</t>
  </si>
  <si>
    <t>转入或转出</t>
  </si>
  <si>
    <t>转换日账面价值</t>
  </si>
  <si>
    <t>转换日公允价值</t>
  </si>
  <si>
    <t>计入损益差额</t>
  </si>
  <si>
    <t>转换原因</t>
  </si>
  <si>
    <t>投资性房地产—房地产转换</t>
  </si>
  <si>
    <t>投资性房地产—房地产转换合计</t>
  </si>
  <si>
    <r>
      <rPr>
        <b/>
        <sz val="10"/>
        <color indexed="8"/>
        <rFont val="Times New Roman"/>
        <charset val="134"/>
      </rPr>
      <t>16</t>
    </r>
    <r>
      <rPr>
        <b/>
        <sz val="10"/>
        <color indexed="8"/>
        <rFont val="宋体"/>
        <charset val="134"/>
      </rPr>
      <t>．固定资产</t>
    </r>
  </si>
  <si>
    <r>
      <rPr>
        <b/>
        <sz val="10"/>
        <color indexed="8"/>
        <rFont val="宋体"/>
        <charset val="134"/>
      </rPr>
      <t>（</t>
    </r>
    <r>
      <rPr>
        <b/>
        <sz val="10"/>
        <color indexed="8"/>
        <rFont val="Times New Roman"/>
        <charset val="134"/>
      </rPr>
      <t>1</t>
    </r>
    <r>
      <rPr>
        <b/>
        <sz val="10"/>
        <color indexed="8"/>
        <rFont val="宋体"/>
        <charset val="134"/>
      </rPr>
      <t>）固定资产分类</t>
    </r>
  </si>
  <si>
    <t>固定资产—原价—合计</t>
  </si>
  <si>
    <t>固定资产—原价—房屋建筑物</t>
  </si>
  <si>
    <r>
      <rPr>
        <sz val="10"/>
        <color indexed="8"/>
        <rFont val="Times New Roman"/>
        <charset val="134"/>
      </rPr>
      <t>2</t>
    </r>
    <r>
      <rPr>
        <sz val="10"/>
        <color indexed="8"/>
        <rFont val="宋体"/>
        <charset val="134"/>
      </rPr>
      <t>．机器设备</t>
    </r>
  </si>
  <si>
    <t>固定资产—原价—机器设备</t>
  </si>
  <si>
    <r>
      <rPr>
        <sz val="10"/>
        <color indexed="8"/>
        <rFont val="Times New Roman"/>
        <charset val="134"/>
      </rPr>
      <t>3</t>
    </r>
    <r>
      <rPr>
        <sz val="10"/>
        <color indexed="8"/>
        <rFont val="宋体"/>
        <charset val="134"/>
      </rPr>
      <t>．运输工具</t>
    </r>
  </si>
  <si>
    <t>固定资产—原价—运输工具</t>
  </si>
  <si>
    <r>
      <rPr>
        <sz val="10"/>
        <color indexed="8"/>
        <rFont val="Times New Roman"/>
        <charset val="134"/>
      </rPr>
      <t>4</t>
    </r>
    <r>
      <rPr>
        <sz val="10"/>
        <color indexed="8"/>
        <rFont val="宋体"/>
        <charset val="134"/>
      </rPr>
      <t>．电子设备及其他</t>
    </r>
  </si>
  <si>
    <t>固定资产—原价—电子设备及其他</t>
  </si>
  <si>
    <t>二、累计折旧合计</t>
  </si>
  <si>
    <t>固定资产—累计折旧—合计</t>
  </si>
  <si>
    <t>固定资产—累计折旧—房屋建筑物</t>
  </si>
  <si>
    <t>固定资产—累计折旧—机器设备</t>
  </si>
  <si>
    <t>固定资产—累计折旧—运输工具</t>
  </si>
  <si>
    <t>固定资产—累计折旧—电子设备及其他</t>
  </si>
  <si>
    <t>三、固定资产减值准备累计金额合计</t>
  </si>
  <si>
    <t>固定资产—减值准备—合计</t>
  </si>
  <si>
    <t>固定资产—减值准备—房屋建筑物</t>
  </si>
  <si>
    <t>固定资产—减值准备—机器设备</t>
  </si>
  <si>
    <t>固定资产—减值准备—运输工具</t>
  </si>
  <si>
    <t>固定资产—减值准备—电子设备及其他</t>
  </si>
  <si>
    <t>四、固定资产账面价值合计</t>
  </si>
  <si>
    <t>（2）特殊事项</t>
  </si>
  <si>
    <t>账面原值</t>
  </si>
  <si>
    <t>已提累计折旧</t>
  </si>
  <si>
    <t>减值准备</t>
  </si>
  <si>
    <t>账面净值</t>
  </si>
  <si>
    <t>一、本期在建工程完工转入固定资产</t>
  </si>
  <si>
    <t>固定资产—在建工程转入—合计</t>
  </si>
  <si>
    <t>固定资产—在建工程转入—房屋建筑物</t>
  </si>
  <si>
    <t>固定资产—在建工程转入—机器设备</t>
  </si>
  <si>
    <t>固定资产—在建工程转入—运输工具</t>
  </si>
  <si>
    <t>固定资产—在建工程转入—电子设备及其他</t>
  </si>
  <si>
    <t>二、暂时闲置固定资产</t>
  </si>
  <si>
    <t>固定资产—暂时闲置—合计</t>
  </si>
  <si>
    <t>固定资产—暂时闲置—房屋建筑物</t>
  </si>
  <si>
    <t>固定资产—暂时闲置—机器设备</t>
  </si>
  <si>
    <t>固定资产—暂时闲置—运输工具</t>
  </si>
  <si>
    <t>固定资产—暂时闲置—电子设备及其他</t>
  </si>
  <si>
    <t>三、融资租赁租入的固定资产</t>
  </si>
  <si>
    <t>固定资产—融资租赁—合计</t>
  </si>
  <si>
    <t>固定资产—融资租赁—房屋建筑物</t>
  </si>
  <si>
    <t>固定资产—融资租赁—机器设备</t>
  </si>
  <si>
    <t>固定资产—融资租赁—运输工具</t>
  </si>
  <si>
    <t>固定资产—融资租赁—电子设备及其他</t>
  </si>
  <si>
    <t>四、经营租赁租出的固定资产</t>
  </si>
  <si>
    <t>固定资产—经营租赁—合计</t>
  </si>
  <si>
    <t>固定资产—经营租赁—房屋建筑物</t>
  </si>
  <si>
    <t>固定资产—经营租赁—机器设备</t>
  </si>
  <si>
    <t>固定资产—经营租赁—运输工具</t>
  </si>
  <si>
    <t>固定资产—经营租赁—电子设备及其他</t>
  </si>
  <si>
    <t>（3）未计提减值准备的暂时闲置固定资产</t>
  </si>
  <si>
    <t>固定资产名称</t>
  </si>
  <si>
    <t>未提准备原因</t>
  </si>
  <si>
    <t>预计投入经营时间</t>
  </si>
  <si>
    <t>固定资产—未提准备闲置资产</t>
  </si>
  <si>
    <t>固定资产—未提准备闲置资产合计</t>
  </si>
  <si>
    <t>（4）未办妥产权证书的固定资产</t>
  </si>
  <si>
    <t>未办妥原因</t>
  </si>
  <si>
    <t>预计办妥时间</t>
  </si>
  <si>
    <t>固定资产—未办妥产权证书</t>
  </si>
  <si>
    <t>固定资产—未办妥产权证书合计</t>
  </si>
  <si>
    <r>
      <rPr>
        <b/>
        <sz val="10"/>
        <color indexed="8"/>
        <rFont val="Times New Roman"/>
        <charset val="134"/>
      </rPr>
      <t>17</t>
    </r>
    <r>
      <rPr>
        <b/>
        <sz val="10"/>
        <color indexed="8"/>
        <rFont val="宋体"/>
        <charset val="134"/>
      </rPr>
      <t>．在建工程</t>
    </r>
  </si>
  <si>
    <t>（1）分项列示</t>
  </si>
  <si>
    <t>在建工程名称</t>
  </si>
  <si>
    <t>预算数</t>
  </si>
  <si>
    <t>本期转入固定资产</t>
  </si>
  <si>
    <t>其他减少额</t>
  </si>
  <si>
    <t>资金来源</t>
  </si>
  <si>
    <t>工程投入占预算的比例</t>
  </si>
  <si>
    <t>在建工程—分项明细</t>
  </si>
  <si>
    <t>在建工程—分项明细合计</t>
  </si>
  <si>
    <t>（2）借款费用资本化金额</t>
  </si>
  <si>
    <t>在建工程—借款费用资本化</t>
  </si>
  <si>
    <t>在建工程—借款费用资本化合计</t>
  </si>
  <si>
    <t>（3）在建工程减值准备</t>
  </si>
  <si>
    <t>计提原因</t>
  </si>
  <si>
    <t>在建工程减值准备—分项明细</t>
  </si>
  <si>
    <t>在建工程减值准备—分项明细合计</t>
  </si>
  <si>
    <r>
      <rPr>
        <b/>
        <sz val="10"/>
        <color indexed="8"/>
        <rFont val="Times New Roman"/>
        <charset val="134"/>
      </rPr>
      <t>18</t>
    </r>
    <r>
      <rPr>
        <b/>
        <sz val="10"/>
        <color indexed="8"/>
        <rFont val="宋体"/>
        <charset val="134"/>
      </rPr>
      <t>．工程物资</t>
    </r>
  </si>
  <si>
    <t>工程物资合计</t>
  </si>
  <si>
    <r>
      <rPr>
        <b/>
        <sz val="10"/>
        <color indexed="8"/>
        <rFont val="Times New Roman"/>
        <charset val="134"/>
      </rPr>
      <t>19</t>
    </r>
    <r>
      <rPr>
        <b/>
        <sz val="10"/>
        <color indexed="8"/>
        <rFont val="宋体"/>
        <charset val="134"/>
      </rPr>
      <t>．固定资产清理</t>
    </r>
  </si>
  <si>
    <t>转入清理的原因</t>
  </si>
  <si>
    <t>固定资产清理合计</t>
  </si>
  <si>
    <r>
      <rPr>
        <b/>
        <sz val="10"/>
        <color indexed="8"/>
        <rFont val="Times New Roman"/>
        <charset val="134"/>
      </rPr>
      <t>20</t>
    </r>
    <r>
      <rPr>
        <b/>
        <sz val="10"/>
        <color indexed="8"/>
        <rFont val="宋体"/>
        <charset val="134"/>
      </rPr>
      <t>．生产性生物资产和公益性生物资产</t>
    </r>
  </si>
  <si>
    <r>
      <rPr>
        <b/>
        <sz val="10"/>
        <color indexed="8"/>
        <rFont val="宋体"/>
        <charset val="134"/>
      </rPr>
      <t>（</t>
    </r>
    <r>
      <rPr>
        <b/>
        <sz val="10"/>
        <color indexed="8"/>
        <rFont val="Times New Roman"/>
        <charset val="134"/>
      </rPr>
      <t>1</t>
    </r>
    <r>
      <rPr>
        <b/>
        <sz val="10"/>
        <color indexed="8"/>
        <rFont val="宋体"/>
        <charset val="134"/>
      </rPr>
      <t>）生物资产分类</t>
    </r>
  </si>
  <si>
    <t>期末实物数量</t>
  </si>
  <si>
    <t>一、种植业</t>
  </si>
  <si>
    <t>生物资产—种植业</t>
  </si>
  <si>
    <t>生物资产—种植业小计</t>
  </si>
  <si>
    <t>二、畜牧养殖业</t>
  </si>
  <si>
    <t>生物资产—畜牧养殖业</t>
  </si>
  <si>
    <t>生物资产—畜牧养殖业小计</t>
  </si>
  <si>
    <t>三、林业</t>
  </si>
  <si>
    <t>生物资产—林业</t>
  </si>
  <si>
    <t>生物资产—林业小计</t>
  </si>
  <si>
    <t>四、水产业</t>
  </si>
  <si>
    <t>生物资产—水产业</t>
  </si>
  <si>
    <t>生物资产—水产业小计</t>
  </si>
  <si>
    <t>天然起源的生物资产</t>
  </si>
  <si>
    <t>名称</t>
  </si>
  <si>
    <t>类别</t>
  </si>
  <si>
    <t>取得方式</t>
  </si>
  <si>
    <t>数量</t>
  </si>
  <si>
    <t>生物资产—天然起源</t>
  </si>
  <si>
    <r>
      <rPr>
        <b/>
        <sz val="10"/>
        <color indexed="8"/>
        <rFont val="宋体"/>
        <charset val="134"/>
      </rPr>
      <t>（</t>
    </r>
    <r>
      <rPr>
        <b/>
        <sz val="10"/>
        <color indexed="8"/>
        <rFont val="Times New Roman"/>
        <charset val="134"/>
      </rPr>
      <t>2</t>
    </r>
    <r>
      <rPr>
        <b/>
        <sz val="10"/>
        <color indexed="8"/>
        <rFont val="宋体"/>
        <charset val="134"/>
      </rPr>
      <t>）各类生产性生物资产的预计使用寿命、预计净残值、折旧方法、累计折旧和减值准备累计金额</t>
    </r>
  </si>
  <si>
    <t>预计使用寿命</t>
  </si>
  <si>
    <t>预计净残值</t>
  </si>
  <si>
    <t>折旧方法</t>
  </si>
  <si>
    <t>累计折旧</t>
  </si>
  <si>
    <t>种植业</t>
  </si>
  <si>
    <t>生物资产—累计折旧—种植业</t>
  </si>
  <si>
    <t>畜牧养殖业</t>
  </si>
  <si>
    <t>生物资产—累计折旧—畜牧养殖业</t>
  </si>
  <si>
    <t>林业</t>
  </si>
  <si>
    <t>生物资产—累计折旧—林业</t>
  </si>
  <si>
    <t>水产业</t>
  </si>
  <si>
    <t>生物资产—累计折旧—水产业</t>
  </si>
  <si>
    <r>
      <rPr>
        <b/>
        <sz val="10"/>
        <color indexed="8"/>
        <rFont val="宋体"/>
        <charset val="134"/>
      </rPr>
      <t>（</t>
    </r>
    <r>
      <rPr>
        <b/>
        <sz val="10"/>
        <color indexed="8"/>
        <rFont val="Times New Roman"/>
        <charset val="134"/>
      </rPr>
      <t>3</t>
    </r>
    <r>
      <rPr>
        <b/>
        <sz val="10"/>
        <color indexed="8"/>
        <rFont val="宋体"/>
        <charset val="134"/>
      </rPr>
      <t>）与生物资产相关的风险情况与管理措施</t>
    </r>
  </si>
  <si>
    <t>涉及金额</t>
  </si>
  <si>
    <t>风险情况</t>
  </si>
  <si>
    <t>管理措施</t>
  </si>
  <si>
    <t>生物资产—风险管理</t>
  </si>
  <si>
    <r>
      <rPr>
        <b/>
        <sz val="10"/>
        <color indexed="8"/>
        <rFont val="Times New Roman"/>
        <charset val="134"/>
      </rPr>
      <t>21</t>
    </r>
    <r>
      <rPr>
        <b/>
        <sz val="10"/>
        <color indexed="8"/>
        <rFont val="宋体"/>
        <charset val="134"/>
      </rPr>
      <t>．油气资产</t>
    </r>
  </si>
  <si>
    <r>
      <rPr>
        <b/>
        <sz val="10"/>
        <color indexed="8"/>
        <rFont val="宋体"/>
        <charset val="134"/>
      </rPr>
      <t>（</t>
    </r>
    <r>
      <rPr>
        <b/>
        <sz val="10"/>
        <color indexed="8"/>
        <rFont val="Times New Roman"/>
        <charset val="134"/>
      </rPr>
      <t>1</t>
    </r>
    <r>
      <rPr>
        <b/>
        <sz val="10"/>
        <color indexed="8"/>
        <rFont val="宋体"/>
        <charset val="134"/>
      </rPr>
      <t>）当期取得矿区权益</t>
    </r>
  </si>
  <si>
    <t>地理位置及矿区名称</t>
  </si>
  <si>
    <t>取得时间</t>
  </si>
  <si>
    <t>取得矿区权益</t>
  </si>
  <si>
    <t>油气勘探支出</t>
  </si>
  <si>
    <t>油气开发支出</t>
  </si>
  <si>
    <t>油气资产—当期取得</t>
  </si>
  <si>
    <r>
      <rPr>
        <b/>
        <sz val="10"/>
        <color indexed="8"/>
        <rFont val="宋体"/>
        <charset val="134"/>
      </rPr>
      <t>（</t>
    </r>
    <r>
      <rPr>
        <b/>
        <sz val="10"/>
        <color indexed="8"/>
        <rFont val="Times New Roman"/>
        <charset val="134"/>
      </rPr>
      <t>2</t>
    </r>
    <r>
      <rPr>
        <b/>
        <sz val="10"/>
        <color indexed="8"/>
        <rFont val="宋体"/>
        <charset val="134"/>
      </rPr>
      <t>）油气资产</t>
    </r>
  </si>
  <si>
    <t>油气资产—原价—合计</t>
  </si>
  <si>
    <r>
      <rPr>
        <sz val="10"/>
        <color indexed="8"/>
        <rFont val="Times New Roman"/>
        <charset val="134"/>
      </rPr>
      <t>1</t>
    </r>
    <r>
      <rPr>
        <sz val="10"/>
        <color indexed="8"/>
        <rFont val="宋体"/>
        <charset val="134"/>
      </rPr>
      <t>．探明矿区权益</t>
    </r>
  </si>
  <si>
    <t>油气资产—原价—探明矿区</t>
  </si>
  <si>
    <r>
      <rPr>
        <sz val="10"/>
        <color indexed="8"/>
        <rFont val="Times New Roman"/>
        <charset val="134"/>
      </rPr>
      <t>2</t>
    </r>
    <r>
      <rPr>
        <sz val="10"/>
        <color indexed="8"/>
        <rFont val="宋体"/>
        <charset val="134"/>
      </rPr>
      <t>．未探明矿区权益</t>
    </r>
  </si>
  <si>
    <t>油气资产—原价—未探明矿区</t>
  </si>
  <si>
    <r>
      <rPr>
        <sz val="10"/>
        <color indexed="8"/>
        <rFont val="Times New Roman"/>
        <charset val="134"/>
      </rPr>
      <t>3</t>
    </r>
    <r>
      <rPr>
        <sz val="10"/>
        <color indexed="8"/>
        <rFont val="宋体"/>
        <charset val="134"/>
      </rPr>
      <t>．井及相关设施</t>
    </r>
  </si>
  <si>
    <t>油气资产—原价—井及相关设施</t>
  </si>
  <si>
    <t>二、累计折耗合计</t>
  </si>
  <si>
    <t>油气资产—累计折耗—合计</t>
  </si>
  <si>
    <t>油气资产—累计折耗—探明矿区</t>
  </si>
  <si>
    <t>油气资产—累计折耗—未探明矿区</t>
  </si>
  <si>
    <t>油气资产—累计折耗—井及相关设施</t>
  </si>
  <si>
    <t>三、油气资产减值准备累计金额合计</t>
  </si>
  <si>
    <t>油气资产—减值准备—合计</t>
  </si>
  <si>
    <t>油气资产—减值准备—探明矿区</t>
  </si>
  <si>
    <t>油气资产—减值准备—未探明矿区</t>
  </si>
  <si>
    <t>油气资产—减值准备—井及相关设施</t>
  </si>
  <si>
    <t>四、油气资产账面价值合计</t>
  </si>
  <si>
    <r>
      <rPr>
        <b/>
        <sz val="10"/>
        <color indexed="8"/>
        <rFont val="Times New Roman"/>
        <charset val="134"/>
      </rPr>
      <t>22</t>
    </r>
    <r>
      <rPr>
        <b/>
        <sz val="10"/>
        <color indexed="8"/>
        <rFont val="宋体"/>
        <charset val="134"/>
      </rPr>
      <t>．无形资产</t>
    </r>
  </si>
  <si>
    <r>
      <rPr>
        <b/>
        <sz val="10"/>
        <color indexed="8"/>
        <rFont val="宋体"/>
        <charset val="134"/>
      </rPr>
      <t>（</t>
    </r>
    <r>
      <rPr>
        <b/>
        <sz val="10"/>
        <color indexed="8"/>
        <rFont val="Times New Roman"/>
        <charset val="134"/>
      </rPr>
      <t>1</t>
    </r>
    <r>
      <rPr>
        <b/>
        <sz val="10"/>
        <color indexed="8"/>
        <rFont val="宋体"/>
        <charset val="134"/>
      </rPr>
      <t>）各类无形资产的披露格式如下：</t>
    </r>
  </si>
  <si>
    <t>无形资产—原价合计</t>
  </si>
  <si>
    <t>无形资产—原价</t>
  </si>
  <si>
    <t>二、累计摊销额合计</t>
  </si>
  <si>
    <t>无形资产—累计摊销额合计</t>
  </si>
  <si>
    <t>无形资产—累计摊销额</t>
  </si>
  <si>
    <t>三、无形资产减值准备累计金额合计</t>
  </si>
  <si>
    <t>无形资产—减值准备合计</t>
  </si>
  <si>
    <t>无形资产—减值准备</t>
  </si>
  <si>
    <t>四、无形资产账面价值合计</t>
  </si>
  <si>
    <r>
      <rPr>
        <b/>
        <sz val="10"/>
        <color indexed="8"/>
        <rFont val="宋体"/>
        <charset val="134"/>
      </rPr>
      <t>（</t>
    </r>
    <r>
      <rPr>
        <b/>
        <sz val="10"/>
        <color indexed="8"/>
        <rFont val="Times New Roman"/>
        <charset val="134"/>
      </rPr>
      <t>2</t>
    </r>
    <r>
      <rPr>
        <b/>
        <sz val="10"/>
        <color indexed="8"/>
        <rFont val="宋体"/>
        <charset val="134"/>
      </rPr>
      <t>）研究开发支出金额</t>
    </r>
  </si>
  <si>
    <t>计入研究阶段支出</t>
  </si>
  <si>
    <t>计入开发阶段支出</t>
  </si>
  <si>
    <t>总额</t>
  </si>
  <si>
    <t>无形资产—研究开发支出</t>
  </si>
  <si>
    <t>无形资产—研究开发支出合计</t>
  </si>
  <si>
    <t>（3）报告期内发生的单项价值在100万元以上的无形资产</t>
  </si>
  <si>
    <t>原始价值</t>
  </si>
  <si>
    <t>评估值</t>
  </si>
  <si>
    <t>评估机构</t>
  </si>
  <si>
    <t>评估方法</t>
  </si>
  <si>
    <t>无形资产—单项价值100万以上</t>
  </si>
  <si>
    <t>无形资产—单项价值100万以上合计</t>
  </si>
  <si>
    <r>
      <rPr>
        <b/>
        <sz val="10"/>
        <color indexed="8"/>
        <rFont val="Times New Roman"/>
        <charset val="134"/>
      </rPr>
      <t>23</t>
    </r>
    <r>
      <rPr>
        <b/>
        <sz val="10"/>
        <color indexed="8"/>
        <rFont val="宋体"/>
        <charset val="134"/>
      </rPr>
      <t>．商誉</t>
    </r>
  </si>
  <si>
    <t>形成来源</t>
  </si>
  <si>
    <t>商誉合计</t>
  </si>
  <si>
    <r>
      <rPr>
        <b/>
        <sz val="10"/>
        <color indexed="8"/>
        <rFont val="Times New Roman"/>
        <charset val="134"/>
      </rPr>
      <t>24</t>
    </r>
    <r>
      <rPr>
        <b/>
        <sz val="10"/>
        <color indexed="8"/>
        <rFont val="宋体"/>
        <charset val="134"/>
      </rPr>
      <t>．长期待摊费用</t>
    </r>
  </si>
  <si>
    <t>原始发生额</t>
  </si>
  <si>
    <t>剩余摊销年限</t>
  </si>
  <si>
    <t>长期待摊费用合计</t>
  </si>
  <si>
    <r>
      <rPr>
        <b/>
        <sz val="10"/>
        <color indexed="8"/>
        <rFont val="Times New Roman"/>
        <charset val="134"/>
      </rPr>
      <t>25</t>
    </r>
    <r>
      <rPr>
        <b/>
        <sz val="10"/>
        <color indexed="8"/>
        <rFont val="宋体"/>
        <charset val="134"/>
      </rPr>
      <t>．其他非流动资产</t>
    </r>
  </si>
  <si>
    <t>其他非流动资产合计</t>
  </si>
  <si>
    <r>
      <rPr>
        <b/>
        <sz val="10"/>
        <color indexed="8"/>
        <rFont val="Times New Roman"/>
        <charset val="134"/>
      </rPr>
      <t>26</t>
    </r>
    <r>
      <rPr>
        <b/>
        <sz val="10"/>
        <color indexed="8"/>
        <rFont val="宋体"/>
        <charset val="134"/>
      </rPr>
      <t>．递延所得税资产和递延所得税负债</t>
    </r>
  </si>
  <si>
    <t>一、递延所得税资产</t>
  </si>
  <si>
    <t>递延所得税资产合计</t>
  </si>
  <si>
    <t>二、递延所得税负债</t>
  </si>
  <si>
    <t>递延所得税负债合计</t>
  </si>
  <si>
    <r>
      <rPr>
        <b/>
        <sz val="10"/>
        <color indexed="8"/>
        <rFont val="Times New Roman"/>
        <charset val="134"/>
      </rPr>
      <t>27</t>
    </r>
    <r>
      <rPr>
        <b/>
        <sz val="10"/>
        <color indexed="8"/>
        <rFont val="宋体"/>
        <charset val="134"/>
      </rPr>
      <t>．资产减值准备的披露格式如下：</t>
    </r>
  </si>
  <si>
    <t>一、坏账准备</t>
  </si>
  <si>
    <t>资产减值准备—坏账准备</t>
  </si>
  <si>
    <t>二、存货跌价准备</t>
  </si>
  <si>
    <t>资产减值准备—存货跌价准备</t>
  </si>
  <si>
    <t>三、可供出售金融资产减值准备</t>
  </si>
  <si>
    <t>资产减值准备—可供出售金融资产减值准备</t>
  </si>
  <si>
    <t>四、持有至到期投资减值准备</t>
  </si>
  <si>
    <t>资产减值准备—持有至到期投资减值准备</t>
  </si>
  <si>
    <t>五、长期股权投资减值准备</t>
  </si>
  <si>
    <t>资产减值准备—长期股权投资减值准备</t>
  </si>
  <si>
    <t>六、投资性房地产减值准备</t>
  </si>
  <si>
    <t>资产减值准备—投资性房地产减值准备</t>
  </si>
  <si>
    <t>七、固定资产减值准备</t>
  </si>
  <si>
    <t>资产减值准备—固定资产减值准备</t>
  </si>
  <si>
    <t>八、工程物资减值准备</t>
  </si>
  <si>
    <t>资产减值准备—工程物资减值准备</t>
  </si>
  <si>
    <t>九、在建工程减值准备</t>
  </si>
  <si>
    <t>资产减值准备—在建工程减值准备</t>
  </si>
  <si>
    <t>十、生产性生物资产减值准备</t>
  </si>
  <si>
    <t>资产减值准备—生产性生物资产减值准备</t>
  </si>
  <si>
    <t>其中：成熟生产性生物资产减值准备</t>
  </si>
  <si>
    <t>资产减值准备—生产性生物资产—成熟生产性生物资产减值准备</t>
  </si>
  <si>
    <t>十一、油气资产减值准备</t>
  </si>
  <si>
    <t>资产减值准备—油气资产减值准备</t>
  </si>
  <si>
    <t>十二、无形资产减值准备</t>
  </si>
  <si>
    <t>资产减值准备—无形资产减值准备</t>
  </si>
  <si>
    <t>十三、商誉减值准备</t>
  </si>
  <si>
    <t>资产减值准备—商誉减值准备</t>
  </si>
  <si>
    <t>十四、其他</t>
  </si>
  <si>
    <t>资产减值准备—其他</t>
  </si>
  <si>
    <r>
      <rPr>
        <sz val="8"/>
        <rFont val="宋体"/>
        <charset val="134"/>
      </rPr>
      <t>资产减值准备—合</t>
    </r>
    <r>
      <rPr>
        <sz val="8"/>
        <rFont val="Times New Roman"/>
        <charset val="134"/>
      </rPr>
      <t xml:space="preserve"> </t>
    </r>
    <r>
      <rPr>
        <sz val="8"/>
        <rFont val="宋体"/>
        <charset val="134"/>
      </rPr>
      <t>计</t>
    </r>
  </si>
  <si>
    <r>
      <rPr>
        <b/>
        <sz val="10"/>
        <color indexed="8"/>
        <rFont val="Times New Roman"/>
        <charset val="134"/>
      </rPr>
      <t>28</t>
    </r>
    <r>
      <rPr>
        <b/>
        <sz val="10"/>
        <color indexed="8"/>
        <rFont val="宋体"/>
        <charset val="134"/>
      </rPr>
      <t>．所有权受到限制的资产</t>
    </r>
  </si>
  <si>
    <t>所有权受到限制的资产类别</t>
  </si>
  <si>
    <t>受限原因</t>
  </si>
  <si>
    <t>一、用于担保的资产</t>
  </si>
  <si>
    <t>所有权受到限制的资产—用于担保</t>
  </si>
  <si>
    <t>所有权受到限制的资产—用于担保小计</t>
  </si>
  <si>
    <t>二、其他原因造成所有权受到限制的资产</t>
  </si>
  <si>
    <t>所有权受到限制的资产—其他原因</t>
  </si>
  <si>
    <t>所有权受到限制的资产—其他原因小计</t>
  </si>
  <si>
    <t>所有权受到限制的资产—合计</t>
  </si>
  <si>
    <t xml:space="preserve">     未审附注之负债及权益</t>
  </si>
  <si>
    <r>
      <rPr>
        <b/>
        <sz val="10"/>
        <color indexed="8"/>
        <rFont val="Times New Roman"/>
        <charset val="134"/>
      </rPr>
      <t>29</t>
    </r>
    <r>
      <rPr>
        <b/>
        <sz val="10"/>
        <color indexed="8"/>
        <rFont val="宋体"/>
        <charset val="134"/>
      </rPr>
      <t>．短期借款</t>
    </r>
  </si>
  <si>
    <t>信用借款</t>
  </si>
  <si>
    <t>短期借款—分类—信用借款</t>
  </si>
  <si>
    <t>抵押借款</t>
  </si>
  <si>
    <t>短期借款—分类—抵押借款</t>
  </si>
  <si>
    <t>保证借款</t>
  </si>
  <si>
    <t>短期借款—分类—保证借款</t>
  </si>
  <si>
    <t>质押借款</t>
  </si>
  <si>
    <t>短期借款—分类—质押借款</t>
  </si>
  <si>
    <r>
      <rPr>
        <sz val="8"/>
        <rFont val="宋体"/>
        <charset val="134"/>
      </rPr>
      <t>短期借款—分类—合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</si>
  <si>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）已到期未偿还的短期借款</t>
    </r>
  </si>
  <si>
    <t>贷款单位</t>
  </si>
  <si>
    <t>贷款金额</t>
  </si>
  <si>
    <t>贷款利率</t>
  </si>
  <si>
    <t>贷款资金用途</t>
  </si>
  <si>
    <t>未按期偿还的原因</t>
  </si>
  <si>
    <t>预计还款期</t>
  </si>
  <si>
    <t>短期借款—到期未偿还</t>
  </si>
  <si>
    <t>短期借款—到期未偿还合计</t>
  </si>
  <si>
    <r>
      <rPr>
        <b/>
        <sz val="10"/>
        <rFont val="宋体"/>
        <charset val="134"/>
      </rPr>
      <t>（</t>
    </r>
    <r>
      <rPr>
        <b/>
        <sz val="10"/>
        <rFont val="Times New Roman"/>
        <charset val="134"/>
      </rPr>
      <t>3</t>
    </r>
    <r>
      <rPr>
        <b/>
        <sz val="10"/>
        <rFont val="宋体"/>
        <charset val="134"/>
      </rPr>
      <t>）获得展期短期借款</t>
    </r>
  </si>
  <si>
    <t>展期条件</t>
  </si>
  <si>
    <t>新到期日</t>
  </si>
  <si>
    <t>短期借款—获得展期</t>
  </si>
  <si>
    <t>短期借款—获得展期合计</t>
  </si>
  <si>
    <r>
      <rPr>
        <b/>
        <sz val="10"/>
        <color indexed="8"/>
        <rFont val="Times New Roman"/>
        <charset val="134"/>
      </rPr>
      <t>30</t>
    </r>
    <r>
      <rPr>
        <b/>
        <sz val="10"/>
        <color indexed="8"/>
        <rFont val="宋体"/>
        <charset val="134"/>
      </rPr>
      <t>．交易性金融负债</t>
    </r>
  </si>
  <si>
    <t>发行的交易性债券</t>
  </si>
  <si>
    <t>交易性金融负债—发行的交易性债券</t>
  </si>
  <si>
    <t>指定为以公允价值计量且其变动计入当期损益的金融负债</t>
  </si>
  <si>
    <t>交易性金融负债—指定为以公允价值计量且其变动计入当期损益的金融负债</t>
  </si>
  <si>
    <t>衍生金融负债</t>
  </si>
  <si>
    <t>交易性金融负债—衍生金融负债</t>
  </si>
  <si>
    <t>交易性金融负债—其他</t>
  </si>
  <si>
    <r>
      <rPr>
        <sz val="8"/>
        <rFont val="宋体"/>
        <charset val="134"/>
      </rPr>
      <t>交易性金融负债—合</t>
    </r>
    <r>
      <rPr>
        <sz val="8"/>
        <rFont val="Times New Roman"/>
        <charset val="134"/>
      </rPr>
      <t xml:space="preserve"> </t>
    </r>
    <r>
      <rPr>
        <sz val="8"/>
        <rFont val="宋体"/>
        <charset val="134"/>
      </rPr>
      <t>计</t>
    </r>
  </si>
  <si>
    <r>
      <rPr>
        <b/>
        <sz val="10"/>
        <color indexed="8"/>
        <rFont val="Times New Roman"/>
        <charset val="134"/>
      </rPr>
      <t>31</t>
    </r>
    <r>
      <rPr>
        <b/>
        <sz val="10"/>
        <color indexed="8"/>
        <rFont val="宋体"/>
        <charset val="134"/>
      </rPr>
      <t>．应付票据</t>
    </r>
  </si>
  <si>
    <t>下一会计期间将到期金额</t>
  </si>
  <si>
    <t>应付票据—分类—银行承兑汇票</t>
  </si>
  <si>
    <t>应付票据—分类—商业承兑汇票</t>
  </si>
  <si>
    <r>
      <rPr>
        <sz val="8"/>
        <rFont val="宋体"/>
        <charset val="134"/>
      </rPr>
      <t>应付票据—分类—合</t>
    </r>
    <r>
      <rPr>
        <sz val="8"/>
        <rFont val="Times New Roman"/>
        <charset val="134"/>
      </rPr>
      <t xml:space="preserve"> </t>
    </r>
    <r>
      <rPr>
        <sz val="8"/>
        <rFont val="宋体"/>
        <charset val="134"/>
      </rPr>
      <t>计</t>
    </r>
  </si>
  <si>
    <r>
      <rPr>
        <b/>
        <sz val="10"/>
        <color indexed="8"/>
        <rFont val="Times New Roman"/>
        <charset val="134"/>
      </rPr>
      <t>32</t>
    </r>
    <r>
      <rPr>
        <b/>
        <sz val="10"/>
        <color indexed="8"/>
        <rFont val="宋体"/>
        <charset val="134"/>
      </rPr>
      <t>．应付账款</t>
    </r>
  </si>
  <si>
    <r>
      <rPr>
        <b/>
        <sz val="10"/>
        <color indexed="8"/>
        <rFont val="宋体"/>
        <charset val="134"/>
      </rPr>
      <t>（</t>
    </r>
    <r>
      <rPr>
        <b/>
        <sz val="10"/>
        <color indexed="8"/>
        <rFont val="Times New Roman"/>
        <charset val="134"/>
      </rPr>
      <t>1</t>
    </r>
    <r>
      <rPr>
        <b/>
        <sz val="10"/>
        <color indexed="8"/>
        <rFont val="宋体"/>
        <charset val="134"/>
      </rPr>
      <t>）应付账款账龄结构</t>
    </r>
  </si>
  <si>
    <t>应付账款—账龄—1年以内（含1年）</t>
  </si>
  <si>
    <t>应付账款—账龄—1年至2年（含2年）</t>
  </si>
  <si>
    <t>应付账款—账龄—2年至3年（含3年）</t>
  </si>
  <si>
    <t>应付账款—账龄—3年以上</t>
  </si>
  <si>
    <t>应付账款—账龄—合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</si>
  <si>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年的大额应付账款</t>
    </r>
  </si>
  <si>
    <t>未偿还原因</t>
  </si>
  <si>
    <t>应付账款—账龄超过1年大额应付款</t>
  </si>
  <si>
    <t>应付账款—账龄超过1年大额应付款合计</t>
  </si>
  <si>
    <r>
      <rPr>
        <b/>
        <sz val="10"/>
        <color indexed="8"/>
        <rFont val="宋体"/>
        <charset val="134"/>
      </rPr>
      <t>（</t>
    </r>
    <r>
      <rPr>
        <b/>
        <sz val="10"/>
        <color indexed="8"/>
        <rFont val="Times New Roman"/>
        <charset val="134"/>
      </rPr>
      <t>3</t>
    </r>
    <r>
      <rPr>
        <b/>
        <sz val="10"/>
        <color indexed="8"/>
        <rFont val="宋体"/>
        <charset val="134"/>
      </rPr>
      <t>）持公司</t>
    </r>
    <r>
      <rPr>
        <b/>
        <sz val="10"/>
        <color indexed="8"/>
        <rFont val="Times New Roman"/>
        <charset val="134"/>
      </rPr>
      <t>5%</t>
    </r>
    <r>
      <rPr>
        <b/>
        <sz val="10"/>
        <color indexed="8"/>
        <rFont val="宋体"/>
        <charset val="134"/>
      </rPr>
      <t>（含</t>
    </r>
    <r>
      <rPr>
        <b/>
        <sz val="10"/>
        <color indexed="8"/>
        <rFont val="Times New Roman"/>
        <charset val="134"/>
      </rPr>
      <t>5%</t>
    </r>
    <r>
      <rPr>
        <b/>
        <sz val="10"/>
        <color indexed="8"/>
        <rFont val="宋体"/>
        <charset val="134"/>
      </rPr>
      <t>）以上表决权股份的股东单位款项</t>
    </r>
  </si>
  <si>
    <t>应付账款—5%股东款项</t>
  </si>
  <si>
    <t>应付账款—5%股东款项合计</t>
  </si>
  <si>
    <r>
      <rPr>
        <b/>
        <sz val="10"/>
        <color indexed="8"/>
        <rFont val="宋体"/>
        <charset val="134"/>
      </rPr>
      <t>（</t>
    </r>
    <r>
      <rPr>
        <b/>
        <sz val="10"/>
        <color indexed="8"/>
        <rFont val="Times New Roman"/>
        <charset val="134"/>
      </rPr>
      <t>4</t>
    </r>
    <r>
      <rPr>
        <b/>
        <sz val="10"/>
        <color indexed="8"/>
        <rFont val="宋体"/>
        <charset val="134"/>
      </rPr>
      <t>）关联方款项</t>
    </r>
  </si>
  <si>
    <t>应付账款—关联方款项</t>
  </si>
  <si>
    <t>应付账款—关联方款项合计</t>
  </si>
  <si>
    <r>
      <rPr>
        <b/>
        <sz val="10"/>
        <color indexed="8"/>
        <rFont val="Times New Roman"/>
        <charset val="134"/>
      </rPr>
      <t>33</t>
    </r>
    <r>
      <rPr>
        <b/>
        <sz val="10"/>
        <color indexed="8"/>
        <rFont val="宋体"/>
        <charset val="134"/>
      </rPr>
      <t>．预收账款</t>
    </r>
  </si>
  <si>
    <r>
      <rPr>
        <b/>
        <sz val="10"/>
        <color indexed="8"/>
        <rFont val="宋体"/>
        <charset val="134"/>
      </rPr>
      <t>（</t>
    </r>
    <r>
      <rPr>
        <b/>
        <sz val="10"/>
        <color indexed="8"/>
        <rFont val="Times New Roman"/>
        <charset val="134"/>
      </rPr>
      <t>1</t>
    </r>
    <r>
      <rPr>
        <b/>
        <sz val="10"/>
        <color indexed="8"/>
        <rFont val="宋体"/>
        <charset val="134"/>
      </rPr>
      <t>）预收账款账龄结构</t>
    </r>
  </si>
  <si>
    <t>预收账款—账龄—1年以内（含1年）</t>
  </si>
  <si>
    <t>预收账款—账龄—1年至2年（含2年）</t>
  </si>
  <si>
    <t>预收账款—账龄—2年至3年（含3年）</t>
  </si>
  <si>
    <t>预收账款—账龄—3年以上</t>
  </si>
  <si>
    <t>预收账款—账龄—合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</si>
  <si>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年的大额预收账款</t>
    </r>
  </si>
  <si>
    <t>预收账款—账龄超过1年大额预收款</t>
  </si>
  <si>
    <t>预收账款—账龄超过1年大额预收款合计</t>
  </si>
  <si>
    <t>预收账款—5%股东款项</t>
  </si>
  <si>
    <t>预收账款—5%股东款项合计</t>
  </si>
  <si>
    <t>预收账款—关联方款项</t>
  </si>
  <si>
    <t>预收账款—关联方款项合计</t>
  </si>
  <si>
    <r>
      <rPr>
        <b/>
        <sz val="10"/>
        <color indexed="8"/>
        <rFont val="Times New Roman"/>
        <charset val="134"/>
      </rPr>
      <t>34</t>
    </r>
    <r>
      <rPr>
        <b/>
        <sz val="10"/>
        <color indexed="8"/>
        <rFont val="宋体"/>
        <charset val="134"/>
      </rPr>
      <t>．职工薪酬</t>
    </r>
  </si>
  <si>
    <t>本期支付额</t>
  </si>
  <si>
    <t>一、工资、奖金、津贴和补贴</t>
  </si>
  <si>
    <r>
      <rPr>
        <sz val="8"/>
        <rFont val="宋体"/>
        <charset val="134"/>
      </rPr>
      <t>职工薪酬</t>
    </r>
    <r>
      <rPr>
        <sz val="8"/>
        <rFont val="Times New Roman"/>
        <charset val="134"/>
      </rPr>
      <t>—</t>
    </r>
    <r>
      <rPr>
        <sz val="8"/>
        <rFont val="宋体"/>
        <charset val="134"/>
      </rPr>
      <t>一、工资、奖金、津贴和补贴</t>
    </r>
  </si>
  <si>
    <t>二、职工福利费</t>
  </si>
  <si>
    <t>职工薪酬—二、职工福利费</t>
  </si>
  <si>
    <t>三、社会保险费</t>
  </si>
  <si>
    <t>职工薪酬—三、社会保险费</t>
  </si>
  <si>
    <r>
      <rPr>
        <sz val="10"/>
        <color indexed="8"/>
        <rFont val="宋体"/>
        <charset val="134"/>
      </rPr>
      <t>其中：</t>
    </r>
    <r>
      <rPr>
        <sz val="10"/>
        <color indexed="8"/>
        <rFont val="Times New Roman"/>
        <charset val="134"/>
      </rPr>
      <t>1</t>
    </r>
    <r>
      <rPr>
        <sz val="10"/>
        <color indexed="8"/>
        <rFont val="宋体"/>
        <charset val="134"/>
      </rPr>
      <t>．医疗保险费</t>
    </r>
  </si>
  <si>
    <t>职工薪酬—三、社会保险费—1．医疗保险费</t>
  </si>
  <si>
    <r>
      <rPr>
        <sz val="10"/>
        <color indexed="8"/>
        <rFont val="Times New Roman"/>
        <charset val="134"/>
      </rPr>
      <t xml:space="preserve">           2</t>
    </r>
    <r>
      <rPr>
        <sz val="10"/>
        <color indexed="8"/>
        <rFont val="宋体"/>
        <charset val="134"/>
      </rPr>
      <t>．基本养老保险费</t>
    </r>
  </si>
  <si>
    <t>职工薪酬—三、社会保险费—2．基本养老保险费</t>
  </si>
  <si>
    <r>
      <rPr>
        <sz val="10"/>
        <color indexed="8"/>
        <rFont val="Times New Roman"/>
        <charset val="134"/>
      </rPr>
      <t xml:space="preserve">           3</t>
    </r>
    <r>
      <rPr>
        <sz val="10"/>
        <color indexed="8"/>
        <rFont val="宋体"/>
        <charset val="134"/>
      </rPr>
      <t>．年金缴费</t>
    </r>
  </si>
  <si>
    <t>职工薪酬—三、社会保险费—3．年金缴费</t>
  </si>
  <si>
    <r>
      <rPr>
        <sz val="10"/>
        <color indexed="8"/>
        <rFont val="Times New Roman"/>
        <charset val="134"/>
      </rPr>
      <t xml:space="preserve">           4</t>
    </r>
    <r>
      <rPr>
        <sz val="10"/>
        <color indexed="8"/>
        <rFont val="宋体"/>
        <charset val="134"/>
      </rPr>
      <t>．失业保险费</t>
    </r>
  </si>
  <si>
    <t>职工薪酬—三、社会保险费—4．失业保险费</t>
  </si>
  <si>
    <r>
      <rPr>
        <sz val="10"/>
        <color indexed="8"/>
        <rFont val="Times New Roman"/>
        <charset val="134"/>
      </rPr>
      <t xml:space="preserve">           5</t>
    </r>
    <r>
      <rPr>
        <sz val="10"/>
        <color indexed="8"/>
        <rFont val="宋体"/>
        <charset val="134"/>
      </rPr>
      <t>．工伤保险费</t>
    </r>
  </si>
  <si>
    <t>职工薪酬—三、社会保险费—5．工伤保险费</t>
  </si>
  <si>
    <r>
      <rPr>
        <sz val="10"/>
        <color indexed="8"/>
        <rFont val="Times New Roman"/>
        <charset val="134"/>
      </rPr>
      <t xml:space="preserve">           6</t>
    </r>
    <r>
      <rPr>
        <sz val="10"/>
        <color indexed="8"/>
        <rFont val="宋体"/>
        <charset val="134"/>
      </rPr>
      <t>．生育保险费</t>
    </r>
  </si>
  <si>
    <t>职工薪酬—三、社会保险费—6．生育保险费</t>
  </si>
  <si>
    <t>四、住房公积金</t>
  </si>
  <si>
    <t>职工薪酬—四、住房公积金</t>
  </si>
  <si>
    <t>五、工会经费和职工教育经费</t>
  </si>
  <si>
    <t>职工薪酬—五、工会经费和职工教育经费</t>
  </si>
  <si>
    <t>六、非货币性福利</t>
  </si>
  <si>
    <t>职工薪酬—六、非货币性福利</t>
  </si>
  <si>
    <t>七、因解除劳动关系给予的补偿</t>
  </si>
  <si>
    <t>职工薪酬—七、因解除劳动关系给予的补偿</t>
  </si>
  <si>
    <t>八、其他</t>
  </si>
  <si>
    <t>职工薪酬—八、其他</t>
  </si>
  <si>
    <t>其中：以现金结算的股份支付</t>
  </si>
  <si>
    <t>职工薪酬—八、其他—以现金结算的股份支付</t>
  </si>
  <si>
    <t>职工薪酬—合 计</t>
  </si>
  <si>
    <r>
      <rPr>
        <b/>
        <sz val="10"/>
        <color indexed="8"/>
        <rFont val="Times New Roman"/>
        <charset val="134"/>
      </rPr>
      <t>35</t>
    </r>
    <r>
      <rPr>
        <b/>
        <sz val="10"/>
        <color indexed="8"/>
        <rFont val="宋体"/>
        <charset val="134"/>
      </rPr>
      <t>．应交税费</t>
    </r>
  </si>
  <si>
    <t>税费项目</t>
  </si>
  <si>
    <t>增值税</t>
  </si>
  <si>
    <t>应交税费—增值税</t>
  </si>
  <si>
    <t>营业税</t>
  </si>
  <si>
    <t>应交税费—营业税</t>
  </si>
  <si>
    <t>消费税</t>
  </si>
  <si>
    <t>应交税费—消费税</t>
  </si>
  <si>
    <t>城市建设维护税</t>
  </si>
  <si>
    <t>应交税费—城市建设维护税</t>
  </si>
  <si>
    <t>企业所得税</t>
  </si>
  <si>
    <t>应交税费—企业所得税</t>
  </si>
  <si>
    <t>房产税</t>
  </si>
  <si>
    <t>应交税费—房产税</t>
  </si>
  <si>
    <t>土地使用税</t>
  </si>
  <si>
    <t>应交税费—土地使用税</t>
  </si>
  <si>
    <t>车船使用税</t>
  </si>
  <si>
    <t>应交税费—车船使用税</t>
  </si>
  <si>
    <t>印花税</t>
  </si>
  <si>
    <t>应交税费—印花税</t>
  </si>
  <si>
    <t>资源税</t>
  </si>
  <si>
    <t>应交税费—资源税</t>
  </si>
  <si>
    <t>关税</t>
  </si>
  <si>
    <t>应交税费—关税</t>
  </si>
  <si>
    <t>应交税费—其他</t>
  </si>
  <si>
    <t>应交税费—合 计</t>
  </si>
  <si>
    <r>
      <rPr>
        <b/>
        <sz val="10"/>
        <color indexed="8"/>
        <rFont val="Times New Roman"/>
        <charset val="134"/>
      </rPr>
      <t>36</t>
    </r>
    <r>
      <rPr>
        <b/>
        <sz val="10"/>
        <color indexed="8"/>
        <rFont val="宋体"/>
        <charset val="134"/>
      </rPr>
      <t>．应付利息</t>
    </r>
  </si>
  <si>
    <t>欠付原因</t>
  </si>
  <si>
    <t>应付利息合计</t>
  </si>
  <si>
    <r>
      <rPr>
        <b/>
        <sz val="10"/>
        <color indexed="8"/>
        <rFont val="Times New Roman"/>
        <charset val="134"/>
      </rPr>
      <t>37</t>
    </r>
    <r>
      <rPr>
        <b/>
        <sz val="10"/>
        <color indexed="8"/>
        <rFont val="宋体"/>
        <charset val="134"/>
      </rPr>
      <t>．应付股利</t>
    </r>
  </si>
  <si>
    <t>投资者名称</t>
  </si>
  <si>
    <t>应付股利合计</t>
  </si>
  <si>
    <r>
      <rPr>
        <b/>
        <sz val="10"/>
        <color indexed="8"/>
        <rFont val="Times New Roman"/>
        <charset val="134"/>
      </rPr>
      <t>38</t>
    </r>
    <r>
      <rPr>
        <b/>
        <sz val="10"/>
        <color indexed="8"/>
        <rFont val="宋体"/>
        <charset val="134"/>
      </rPr>
      <t>．其他应付款</t>
    </r>
  </si>
  <si>
    <r>
      <rPr>
        <b/>
        <sz val="10"/>
        <color indexed="8"/>
        <rFont val="宋体"/>
        <charset val="134"/>
      </rPr>
      <t>（</t>
    </r>
    <r>
      <rPr>
        <b/>
        <sz val="10"/>
        <color indexed="8"/>
        <rFont val="Times New Roman"/>
        <charset val="134"/>
      </rPr>
      <t>1</t>
    </r>
    <r>
      <rPr>
        <b/>
        <sz val="10"/>
        <color indexed="8"/>
        <rFont val="宋体"/>
        <charset val="134"/>
      </rPr>
      <t>）其他应付款账龄结构</t>
    </r>
  </si>
  <si>
    <t>其他应付款—账龄—1年以内（含1年）</t>
  </si>
  <si>
    <t>其他应付款—账龄—1年至2年（含2年）</t>
  </si>
  <si>
    <t>其他应付款—账龄—2年至3年（含3年）</t>
  </si>
  <si>
    <t>其他应付款—账龄—3年以上</t>
  </si>
  <si>
    <t>其他应付款—账龄—合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</si>
  <si>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年的大额其他应付款</t>
    </r>
  </si>
  <si>
    <t>其他应付款—账龄超过1年大额应付款</t>
  </si>
  <si>
    <t>其他应付款—账龄超过1年大额应付款合计</t>
  </si>
  <si>
    <t>其他应付款—5%股东款项</t>
  </si>
  <si>
    <t>其他应付款—5%股东款项合计</t>
  </si>
  <si>
    <t>其他应付款—关联方款项</t>
  </si>
  <si>
    <t>其他应付款—关联方款项合计</t>
  </si>
  <si>
    <r>
      <rPr>
        <b/>
        <sz val="10"/>
        <color indexed="8"/>
        <rFont val="Times New Roman"/>
        <charset val="134"/>
      </rPr>
      <t>39</t>
    </r>
    <r>
      <rPr>
        <b/>
        <sz val="10"/>
        <color indexed="8"/>
        <rFont val="宋体"/>
        <charset val="134"/>
      </rPr>
      <t>．一年内到期的非流动负债</t>
    </r>
  </si>
  <si>
    <r>
      <rPr>
        <b/>
        <sz val="10"/>
        <color indexed="8"/>
        <rFont val="宋体"/>
        <charset val="134"/>
      </rPr>
      <t>（</t>
    </r>
    <r>
      <rPr>
        <b/>
        <sz val="10"/>
        <color indexed="8"/>
        <rFont val="Times New Roman"/>
        <charset val="134"/>
      </rPr>
      <t>1</t>
    </r>
    <r>
      <rPr>
        <b/>
        <sz val="10"/>
        <color indexed="8"/>
        <rFont val="宋体"/>
        <charset val="134"/>
      </rPr>
      <t>）分项列示</t>
    </r>
  </si>
  <si>
    <t>一年内到期的非流动负债—分类—长期借款</t>
  </si>
  <si>
    <t>一年内到期的非流动负债—分类—应付债券</t>
  </si>
  <si>
    <t>一年内到期的非流动负债—分类—长期应付款</t>
  </si>
  <si>
    <r>
      <rPr>
        <sz val="8"/>
        <rFont val="宋体"/>
        <charset val="134"/>
      </rPr>
      <t>一年内到期的非流动负债—分类—合</t>
    </r>
    <r>
      <rPr>
        <sz val="8"/>
        <rFont val="Times New Roman"/>
        <charset val="134"/>
      </rPr>
      <t xml:space="preserve"> </t>
    </r>
    <r>
      <rPr>
        <sz val="8"/>
        <rFont val="宋体"/>
        <charset val="134"/>
      </rPr>
      <t>计</t>
    </r>
  </si>
  <si>
    <r>
      <rPr>
        <b/>
        <sz val="10"/>
        <color indexed="8"/>
        <rFont val="宋体"/>
        <charset val="134"/>
      </rPr>
      <t>（</t>
    </r>
    <r>
      <rPr>
        <b/>
        <sz val="10"/>
        <color indexed="8"/>
        <rFont val="Times New Roman"/>
        <charset val="134"/>
      </rPr>
      <t>2</t>
    </r>
    <r>
      <rPr>
        <b/>
        <sz val="10"/>
        <color indexed="8"/>
        <rFont val="宋体"/>
        <charset val="134"/>
      </rPr>
      <t>）一年内到期的长期借款</t>
    </r>
  </si>
  <si>
    <t>一年内到期的非流动负债—长期借款—信用借款</t>
  </si>
  <si>
    <t>一年内到期的非流动负债—长期借款—抵押借款</t>
  </si>
  <si>
    <t>一年内到期的非流动负债—长期借款—保证借款</t>
  </si>
  <si>
    <t>一年内到期的非流动负债—长期借款—质押借款</t>
  </si>
  <si>
    <t>一年内到期的非流动负债—长期借款—合计</t>
  </si>
  <si>
    <r>
      <rPr>
        <b/>
        <sz val="10"/>
        <rFont val="宋体"/>
        <charset val="134"/>
      </rPr>
      <t>（</t>
    </r>
    <r>
      <rPr>
        <b/>
        <sz val="10"/>
        <rFont val="Times New Roman"/>
        <charset val="134"/>
      </rPr>
      <t>3</t>
    </r>
    <r>
      <rPr>
        <b/>
        <sz val="10"/>
        <rFont val="宋体"/>
        <charset val="134"/>
      </rPr>
      <t>）逾期长期借款</t>
    </r>
  </si>
  <si>
    <t>逾期时间</t>
  </si>
  <si>
    <t>预期还款期</t>
  </si>
  <si>
    <t>新的到期日</t>
  </si>
  <si>
    <t>一年内到期的非流动负债—逾期借款</t>
  </si>
  <si>
    <t>一年内到期的非流动负债—逾期借款合计</t>
  </si>
  <si>
    <r>
      <rPr>
        <b/>
        <sz val="10"/>
        <color indexed="8"/>
        <rFont val="宋体"/>
        <charset val="134"/>
      </rPr>
      <t>（</t>
    </r>
    <r>
      <rPr>
        <b/>
        <sz val="10"/>
        <color indexed="8"/>
        <rFont val="Times New Roman"/>
        <charset val="134"/>
      </rPr>
      <t>4</t>
    </r>
    <r>
      <rPr>
        <b/>
        <sz val="10"/>
        <color indexed="8"/>
        <rFont val="宋体"/>
        <charset val="134"/>
      </rPr>
      <t>）一年内到期的应付债券</t>
    </r>
  </si>
  <si>
    <t>种类</t>
  </si>
  <si>
    <t>期限</t>
  </si>
  <si>
    <t>发行日期</t>
  </si>
  <si>
    <t>面值总额</t>
  </si>
  <si>
    <t>溢价（折价）额</t>
  </si>
  <si>
    <t>应计利息总额</t>
  </si>
  <si>
    <t>一年内到期的非流动负债—应付债券</t>
  </si>
  <si>
    <t>一年内到期的非流动负债—应付债券合计</t>
  </si>
  <si>
    <r>
      <rPr>
        <b/>
        <sz val="10"/>
        <color indexed="8"/>
        <rFont val="宋体"/>
        <charset val="134"/>
      </rPr>
      <t>（</t>
    </r>
    <r>
      <rPr>
        <b/>
        <sz val="10"/>
        <color indexed="8"/>
        <rFont val="Times New Roman"/>
        <charset val="134"/>
      </rPr>
      <t>5</t>
    </r>
    <r>
      <rPr>
        <b/>
        <sz val="10"/>
        <color indexed="8"/>
        <rFont val="宋体"/>
        <charset val="134"/>
      </rPr>
      <t>）一年内到期的长期应付款</t>
    </r>
  </si>
  <si>
    <t>一年内到期的非流动负债—长期应付款</t>
  </si>
  <si>
    <t>一年内到期的非流动负债—长期应付款合计</t>
  </si>
  <si>
    <r>
      <rPr>
        <b/>
        <sz val="10"/>
        <color indexed="8"/>
        <rFont val="Times New Roman"/>
        <charset val="134"/>
      </rPr>
      <t>40</t>
    </r>
    <r>
      <rPr>
        <b/>
        <sz val="10"/>
        <color indexed="8"/>
        <rFont val="宋体"/>
        <charset val="134"/>
      </rPr>
      <t>．其他流动负债</t>
    </r>
  </si>
  <si>
    <t>其他流动负债合计</t>
  </si>
  <si>
    <r>
      <rPr>
        <b/>
        <sz val="10"/>
        <color indexed="8"/>
        <rFont val="Times New Roman"/>
        <charset val="134"/>
      </rPr>
      <t>41</t>
    </r>
    <r>
      <rPr>
        <b/>
        <sz val="10"/>
        <color indexed="8"/>
        <rFont val="宋体"/>
        <charset val="134"/>
      </rPr>
      <t>．长期借款</t>
    </r>
  </si>
  <si>
    <t>长期借款—分类—信用借款</t>
  </si>
  <si>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抵押借款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</si>
  <si>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保证借款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</si>
  <si>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质押借款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</si>
  <si>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合计</t>
    </r>
  </si>
  <si>
    <r>
      <rPr>
        <b/>
        <sz val="10"/>
        <rFont val="宋体"/>
        <charset val="134"/>
      </rPr>
      <t>（</t>
    </r>
    <r>
      <rPr>
        <b/>
        <sz val="10"/>
        <rFont val="Times New Roman"/>
        <charset val="134"/>
      </rPr>
      <t>2</t>
    </r>
    <r>
      <rPr>
        <b/>
        <sz val="10"/>
        <rFont val="宋体"/>
        <charset val="134"/>
      </rPr>
      <t>）分项列示</t>
    </r>
  </si>
  <si>
    <t>贷款起始日</t>
  </si>
  <si>
    <t>贷款偿还日</t>
  </si>
  <si>
    <t>长期借款—分项明细</t>
  </si>
  <si>
    <t>长期借款—分项明细合计</t>
  </si>
  <si>
    <r>
      <rPr>
        <b/>
        <sz val="10"/>
        <color indexed="8"/>
        <rFont val="Times New Roman"/>
        <charset val="134"/>
      </rPr>
      <t>42</t>
    </r>
    <r>
      <rPr>
        <b/>
        <sz val="10"/>
        <color indexed="8"/>
        <rFont val="宋体"/>
        <charset val="134"/>
      </rPr>
      <t>．应付债券</t>
    </r>
  </si>
  <si>
    <t>应付债券合计</t>
  </si>
  <si>
    <r>
      <rPr>
        <b/>
        <sz val="10"/>
        <color indexed="8"/>
        <rFont val="Times New Roman"/>
        <charset val="134"/>
      </rPr>
      <t>43</t>
    </r>
    <r>
      <rPr>
        <b/>
        <sz val="10"/>
        <color indexed="8"/>
        <rFont val="宋体"/>
        <charset val="134"/>
      </rPr>
      <t>．长期应付款</t>
    </r>
  </si>
  <si>
    <t>长期应付款合计</t>
  </si>
  <si>
    <r>
      <rPr>
        <b/>
        <sz val="10"/>
        <color indexed="8"/>
        <rFont val="Times New Roman"/>
        <charset val="134"/>
      </rPr>
      <t>44</t>
    </r>
    <r>
      <rPr>
        <b/>
        <sz val="10"/>
        <color indexed="8"/>
        <rFont val="宋体"/>
        <charset val="134"/>
      </rPr>
      <t>．专项应付款</t>
    </r>
  </si>
  <si>
    <t>专项应付款合计</t>
  </si>
  <si>
    <r>
      <rPr>
        <b/>
        <sz val="10"/>
        <color indexed="8"/>
        <rFont val="Times New Roman"/>
        <charset val="134"/>
      </rPr>
      <t>45</t>
    </r>
    <r>
      <rPr>
        <b/>
        <sz val="10"/>
        <color indexed="8"/>
        <rFont val="宋体"/>
        <charset val="134"/>
      </rPr>
      <t>．预计负债</t>
    </r>
  </si>
  <si>
    <t>形成原因</t>
  </si>
  <si>
    <t>预计负债合计</t>
  </si>
  <si>
    <r>
      <rPr>
        <b/>
        <sz val="10"/>
        <color indexed="8"/>
        <rFont val="Times New Roman"/>
        <charset val="134"/>
      </rPr>
      <t>46</t>
    </r>
    <r>
      <rPr>
        <b/>
        <sz val="10"/>
        <color indexed="8"/>
        <rFont val="宋体"/>
        <charset val="134"/>
      </rPr>
      <t>．其他非流动负债</t>
    </r>
  </si>
  <si>
    <t>其他非流动负债合计</t>
  </si>
  <si>
    <r>
      <rPr>
        <b/>
        <sz val="10"/>
        <color indexed="8"/>
        <rFont val="Times New Roman"/>
        <charset val="134"/>
      </rPr>
      <t>47</t>
    </r>
    <r>
      <rPr>
        <b/>
        <sz val="10"/>
        <color indexed="8"/>
        <rFont val="宋体"/>
        <charset val="134"/>
      </rPr>
      <t>．股本</t>
    </r>
  </si>
  <si>
    <t>股本</t>
  </si>
  <si>
    <t>股本合计</t>
  </si>
  <si>
    <r>
      <rPr>
        <b/>
        <sz val="10"/>
        <color indexed="8"/>
        <rFont val="Times New Roman"/>
        <charset val="134"/>
      </rPr>
      <t>48</t>
    </r>
    <r>
      <rPr>
        <b/>
        <sz val="10"/>
        <color indexed="8"/>
        <rFont val="宋体"/>
        <charset val="134"/>
      </rPr>
      <t>．资本公积</t>
    </r>
  </si>
  <si>
    <t>资本公积合计</t>
  </si>
  <si>
    <r>
      <rPr>
        <b/>
        <sz val="10"/>
        <rFont val="Times New Roman"/>
        <charset val="134"/>
      </rPr>
      <t>49</t>
    </r>
    <r>
      <rPr>
        <b/>
        <sz val="10"/>
        <rFont val="宋体"/>
        <charset val="134"/>
      </rPr>
      <t>．公司应披露与库存股相关的如下信息：</t>
    </r>
  </si>
  <si>
    <r>
      <rPr>
        <b/>
        <sz val="10"/>
        <rFont val="宋体"/>
        <charset val="134"/>
      </rPr>
      <t>（</t>
    </r>
    <r>
      <rPr>
        <b/>
        <sz val="10"/>
        <rFont val="Times New Roman"/>
        <charset val="134"/>
      </rPr>
      <t>1</t>
    </r>
    <r>
      <rPr>
        <b/>
        <sz val="10"/>
        <rFont val="宋体"/>
        <charset val="134"/>
      </rPr>
      <t>）</t>
    </r>
    <r>
      <rPr>
        <b/>
        <sz val="10"/>
        <rFont val="宋体"/>
        <charset val="134"/>
      </rPr>
      <t>回购本公司股份的原因及对应的库存股成本确定方法；</t>
    </r>
  </si>
  <si>
    <r>
      <rPr>
        <b/>
        <sz val="10"/>
        <rFont val="宋体"/>
        <charset val="134"/>
      </rPr>
      <t>（</t>
    </r>
    <r>
      <rPr>
        <b/>
        <sz val="10"/>
        <rFont val="Times New Roman"/>
        <charset val="134"/>
      </rPr>
      <t>2</t>
    </r>
    <r>
      <rPr>
        <b/>
        <sz val="10"/>
        <rFont val="宋体"/>
        <charset val="134"/>
      </rPr>
      <t>）因库存股注销而减少的股本；</t>
    </r>
  </si>
  <si>
    <r>
      <rPr>
        <b/>
        <sz val="10"/>
        <rFont val="宋体"/>
        <charset val="134"/>
      </rPr>
      <t>（</t>
    </r>
    <r>
      <rPr>
        <b/>
        <sz val="10"/>
        <rFont val="Times New Roman"/>
        <charset val="134"/>
      </rPr>
      <t>3</t>
    </r>
    <r>
      <rPr>
        <b/>
        <sz val="10"/>
        <rFont val="宋体"/>
        <charset val="134"/>
      </rPr>
      <t>）注销的库存股成本高于对应股本成本的，披露依次冲减的</t>
    </r>
    <r>
      <rPr>
        <b/>
        <sz val="10"/>
        <rFont val="宋体"/>
        <charset val="134"/>
      </rPr>
      <t>资本公积、盈余公积、未分配利润的金额；注销的库存股成本低于对应股本成本的，披露增加的资本公积金额；</t>
    </r>
  </si>
  <si>
    <r>
      <rPr>
        <b/>
        <sz val="10"/>
        <rFont val="宋体"/>
        <charset val="134"/>
      </rPr>
      <t>（</t>
    </r>
    <r>
      <rPr>
        <b/>
        <sz val="10"/>
        <rFont val="Times New Roman"/>
        <charset val="134"/>
      </rPr>
      <t>4</t>
    </r>
    <r>
      <rPr>
        <b/>
        <sz val="10"/>
        <rFont val="宋体"/>
        <charset val="134"/>
      </rPr>
      <t>）库存股转让时，转让收入高于库存股成本的，披露增加的资本公积金额；转让收入低于库存股成本的，披露依次冲减的资本公积、盈余公积、未分配利润的金额；</t>
    </r>
  </si>
  <si>
    <r>
      <rPr>
        <b/>
        <sz val="10"/>
        <rFont val="宋体"/>
        <charset val="134"/>
      </rPr>
      <t>（</t>
    </r>
    <r>
      <rPr>
        <b/>
        <sz val="10"/>
        <rFont val="Times New Roman"/>
        <charset val="134"/>
      </rPr>
      <t>5</t>
    </r>
    <r>
      <rPr>
        <b/>
        <sz val="10"/>
        <rFont val="宋体"/>
        <charset val="134"/>
      </rPr>
      <t>）因实行股权激励回购本公司股份的，应披露本期回购股份占本公司已发行股份的总比例和累计库存股占已发行股份的总比例。</t>
    </r>
  </si>
  <si>
    <r>
      <rPr>
        <b/>
        <sz val="10"/>
        <rFont val="Times New Roman"/>
        <charset val="134"/>
      </rPr>
      <t>50</t>
    </r>
    <r>
      <rPr>
        <b/>
        <sz val="10"/>
        <rFont val="宋体"/>
        <charset val="134"/>
      </rPr>
      <t>．盈余公积</t>
    </r>
  </si>
  <si>
    <t>项  目</t>
  </si>
  <si>
    <t>变动原因、依据</t>
  </si>
  <si>
    <t>法定盈余公积金</t>
  </si>
  <si>
    <t>盈余公积—法定盈余公积金</t>
  </si>
  <si>
    <t>任意盈余公积金</t>
  </si>
  <si>
    <t>盈余公积—任意盈余公积金</t>
  </si>
  <si>
    <t>储备基金</t>
  </si>
  <si>
    <t>盈余公积—储备基金</t>
  </si>
  <si>
    <t>企业发展基金</t>
  </si>
  <si>
    <t>盈余公积—企业发展基金</t>
  </si>
  <si>
    <t>盈余公积—其他</t>
  </si>
  <si>
    <t>合  计</t>
  </si>
  <si>
    <t>盈余公积—合  计</t>
  </si>
  <si>
    <r>
      <rPr>
        <b/>
        <sz val="10"/>
        <rFont val="Times New Roman"/>
        <charset val="134"/>
      </rPr>
      <t>51</t>
    </r>
    <r>
      <rPr>
        <b/>
        <sz val="10"/>
        <rFont val="宋体"/>
        <charset val="134"/>
      </rPr>
      <t>．未分配利润</t>
    </r>
  </si>
  <si>
    <t>上年年末余额</t>
  </si>
  <si>
    <t>未分配利润—上年年末余额</t>
  </si>
  <si>
    <t>加：年初未分配利润调整数</t>
  </si>
  <si>
    <t>未分配利润—加：年初未分配利润调整数</t>
  </si>
  <si>
    <t>其中：重大会计差错</t>
  </si>
  <si>
    <t>未分配利润—其中：重大会计差错</t>
  </si>
  <si>
    <r>
      <rPr>
        <sz val="10"/>
        <rFont val="Times New Roman"/>
        <charset val="134"/>
      </rPr>
      <t xml:space="preserve">            </t>
    </r>
    <r>
      <rPr>
        <sz val="10"/>
        <rFont val="宋体"/>
        <charset val="134"/>
      </rPr>
      <t>其他调整因素</t>
    </r>
  </si>
  <si>
    <t>未分配利润—其他调整因素</t>
  </si>
  <si>
    <t>本年年初余额</t>
  </si>
  <si>
    <t>未分配利润—本年年初余额</t>
  </si>
  <si>
    <t>本年增加数</t>
  </si>
  <si>
    <t>未分配利润—本年增加数</t>
  </si>
  <si>
    <t>其中：本年净利润转入</t>
  </si>
  <si>
    <t>未分配利润—其中：本年净利润转入</t>
  </si>
  <si>
    <r>
      <rPr>
        <sz val="10"/>
        <rFont val="Times New Roman"/>
        <charset val="134"/>
      </rPr>
      <t xml:space="preserve">            </t>
    </r>
    <r>
      <rPr>
        <sz val="10"/>
        <rFont val="宋体"/>
        <charset val="134"/>
      </rPr>
      <t>其他增加</t>
    </r>
  </si>
  <si>
    <t>未分配利润—其他增加</t>
  </si>
  <si>
    <t>本年减少数</t>
  </si>
  <si>
    <t>未分配利润—本年减少数</t>
  </si>
  <si>
    <t>其中：本年提取盈余公积数</t>
  </si>
  <si>
    <t>未分配利润—其中：本年提取盈余公积数</t>
  </si>
  <si>
    <r>
      <rPr>
        <sz val="10"/>
        <rFont val="Times New Roman"/>
        <charset val="134"/>
      </rPr>
      <t xml:space="preserve">            </t>
    </r>
    <r>
      <rPr>
        <sz val="10"/>
        <rFont val="宋体"/>
        <charset val="134"/>
      </rPr>
      <t>本年分配现金股利数</t>
    </r>
  </si>
  <si>
    <t>未分配利润—本年分配现金股利数</t>
  </si>
  <si>
    <r>
      <rPr>
        <sz val="10"/>
        <rFont val="Times New Roman"/>
        <charset val="134"/>
      </rPr>
      <t xml:space="preserve">            </t>
    </r>
    <r>
      <rPr>
        <sz val="10"/>
        <rFont val="宋体"/>
        <charset val="134"/>
      </rPr>
      <t>本年分配股票股利数</t>
    </r>
  </si>
  <si>
    <t>未分配利润—本年分配股票股利数</t>
  </si>
  <si>
    <r>
      <rPr>
        <sz val="10"/>
        <rFont val="Times New Roman"/>
        <charset val="134"/>
      </rPr>
      <t xml:space="preserve">            </t>
    </r>
    <r>
      <rPr>
        <sz val="10"/>
        <rFont val="宋体"/>
        <charset val="134"/>
      </rPr>
      <t>其他减少</t>
    </r>
  </si>
  <si>
    <t>未分配利润—其他减少</t>
  </si>
  <si>
    <t>本年年末余额</t>
  </si>
  <si>
    <t>未分配利润—本年年末余额</t>
  </si>
  <si>
    <t>其中：董事会已批准的现金股利数</t>
  </si>
  <si>
    <t>未分配利润—其中：董事会已批准的现金股利数</t>
  </si>
  <si>
    <r>
      <rPr>
        <b/>
        <sz val="10"/>
        <color indexed="8"/>
        <rFont val="Times New Roman"/>
        <charset val="134"/>
      </rPr>
      <t>52</t>
    </r>
    <r>
      <rPr>
        <b/>
        <sz val="10"/>
        <color indexed="8"/>
        <rFont val="宋体"/>
        <charset val="134"/>
      </rPr>
      <t>．营业收入和成本</t>
    </r>
  </si>
  <si>
    <r>
      <rPr>
        <b/>
        <sz val="10"/>
        <color indexed="8"/>
        <rFont val="宋体"/>
        <charset val="134"/>
      </rPr>
      <t>（</t>
    </r>
    <r>
      <rPr>
        <b/>
        <sz val="10"/>
        <color indexed="8"/>
        <rFont val="Times New Roman"/>
        <charset val="134"/>
      </rPr>
      <t>1</t>
    </r>
    <r>
      <rPr>
        <b/>
        <sz val="10"/>
        <color indexed="8"/>
        <rFont val="宋体"/>
        <charset val="134"/>
      </rPr>
      <t>）营业收入和成本</t>
    </r>
  </si>
  <si>
    <t>本期发生额</t>
  </si>
  <si>
    <t>上期发生额</t>
  </si>
  <si>
    <t>收入</t>
  </si>
  <si>
    <t>成本</t>
  </si>
  <si>
    <t>利润</t>
  </si>
  <si>
    <t>主营业务</t>
  </si>
  <si>
    <t>营业收入和成本—分类—主营业务</t>
  </si>
  <si>
    <t>其他业务</t>
  </si>
  <si>
    <t>营业收入和成本—分类—其他业务</t>
  </si>
  <si>
    <t>营业收入和成本—分类—合计</t>
  </si>
  <si>
    <r>
      <rPr>
        <b/>
        <sz val="10"/>
        <rFont val="宋体"/>
        <charset val="134"/>
      </rPr>
      <t>（</t>
    </r>
    <r>
      <rPr>
        <b/>
        <sz val="10"/>
        <rFont val="Times New Roman"/>
        <charset val="134"/>
      </rPr>
      <t>2</t>
    </r>
    <r>
      <rPr>
        <b/>
        <sz val="10"/>
        <rFont val="宋体"/>
        <charset val="134"/>
      </rPr>
      <t>）主营业务收入和成本</t>
    </r>
  </si>
  <si>
    <t>一、按产品分布</t>
  </si>
  <si>
    <t>营业收入和成本—主营业务按产品分布</t>
  </si>
  <si>
    <t>营业收入和成本—主营业务按产品分布合计</t>
  </si>
  <si>
    <t>二、按地区分布</t>
  </si>
  <si>
    <t>营业收入和成本—主营业务按地区分布</t>
  </si>
  <si>
    <t>营业收入和成本—主营业务按地区分布合计</t>
  </si>
  <si>
    <r>
      <rPr>
        <b/>
        <sz val="10"/>
        <rFont val="宋体"/>
        <charset val="134"/>
      </rPr>
      <t>（</t>
    </r>
    <r>
      <rPr>
        <b/>
        <sz val="10"/>
        <rFont val="Times New Roman"/>
        <charset val="134"/>
      </rPr>
      <t>3</t>
    </r>
    <r>
      <rPr>
        <b/>
        <sz val="10"/>
        <rFont val="宋体"/>
        <charset val="134"/>
      </rPr>
      <t>）前五名客户的销售收入</t>
    </r>
  </si>
  <si>
    <r>
      <rPr>
        <sz val="10"/>
        <color indexed="8"/>
        <rFont val="宋体"/>
        <charset val="134"/>
      </rPr>
      <t>客</t>
    </r>
    <r>
      <rPr>
        <sz val="10"/>
        <color indexed="8"/>
        <rFont val="Times New Roman"/>
        <charset val="134"/>
      </rPr>
      <t xml:space="preserve"> </t>
    </r>
    <r>
      <rPr>
        <sz val="10"/>
        <color indexed="8"/>
        <rFont val="宋体"/>
        <charset val="134"/>
      </rPr>
      <t>户</t>
    </r>
  </si>
  <si>
    <t>销售收入</t>
  </si>
  <si>
    <t>占销售总收入比例</t>
  </si>
  <si>
    <t>营业收入和成本—前5名</t>
  </si>
  <si>
    <t>营业收入和成本—前5名合计</t>
  </si>
  <si>
    <r>
      <rPr>
        <b/>
        <sz val="10"/>
        <color indexed="8"/>
        <rFont val="宋体"/>
        <charset val="134"/>
      </rPr>
      <t>（</t>
    </r>
    <r>
      <rPr>
        <b/>
        <sz val="10"/>
        <color indexed="8"/>
        <rFont val="Times New Roman"/>
        <charset val="134"/>
      </rPr>
      <t>4</t>
    </r>
    <r>
      <rPr>
        <b/>
        <sz val="10"/>
        <color indexed="8"/>
        <rFont val="宋体"/>
        <charset val="134"/>
      </rPr>
      <t>）建造合同当期预计损失的原因和金额</t>
    </r>
  </si>
  <si>
    <t>合同项目</t>
  </si>
  <si>
    <t>总金额</t>
  </si>
  <si>
    <t>累计已发生成本</t>
  </si>
  <si>
    <t>累计已确认毛利</t>
  </si>
  <si>
    <t>已办理结算的价款金额</t>
  </si>
  <si>
    <t>一、固定造价合同</t>
  </si>
  <si>
    <t>营业收入和成本—建造合同—固定造价合同</t>
  </si>
  <si>
    <t>营业收入和成本—建造合同—固定造价合同小计</t>
  </si>
  <si>
    <t>二、成本加成合同</t>
  </si>
  <si>
    <t>营业收入和成本—建造合同—成本加成合同</t>
  </si>
  <si>
    <t>营业收入和成本—建造合同—成本加成合同小计</t>
  </si>
  <si>
    <t>营业收入和成本—建造合同—合计</t>
  </si>
  <si>
    <t xml:space="preserve">    </t>
  </si>
  <si>
    <r>
      <rPr>
        <b/>
        <sz val="10"/>
        <rFont val="Times New Roman"/>
        <charset val="134"/>
      </rPr>
      <t>53</t>
    </r>
    <r>
      <rPr>
        <b/>
        <sz val="10"/>
        <rFont val="宋体"/>
        <charset val="134"/>
      </rPr>
      <t>．营业税金及附加</t>
    </r>
  </si>
  <si>
    <t>计缴标准</t>
  </si>
  <si>
    <t>营业税金及附加</t>
  </si>
  <si>
    <t>营业税金及附加合计</t>
  </si>
  <si>
    <r>
      <rPr>
        <b/>
        <sz val="10"/>
        <color indexed="8"/>
        <rFont val="Times New Roman"/>
        <charset val="134"/>
      </rPr>
      <t>54</t>
    </r>
    <r>
      <rPr>
        <b/>
        <sz val="10"/>
        <color indexed="8"/>
        <rFont val="宋体"/>
        <charset val="134"/>
      </rPr>
      <t>．财务费用</t>
    </r>
  </si>
  <si>
    <t>利息支出</t>
  </si>
  <si>
    <t>财务费用—利息支出</t>
  </si>
  <si>
    <t>利息收入(以负数表示)</t>
  </si>
  <si>
    <r>
      <rPr>
        <sz val="8"/>
        <rFont val="宋体"/>
        <charset val="134"/>
      </rPr>
      <t>财务费用—利息收入</t>
    </r>
    <r>
      <rPr>
        <sz val="8"/>
        <rFont val="Times New Roman"/>
        <charset val="134"/>
      </rPr>
      <t>(</t>
    </r>
    <r>
      <rPr>
        <sz val="8"/>
        <rFont val="宋体"/>
        <charset val="134"/>
      </rPr>
      <t>以负数表示</t>
    </r>
    <r>
      <rPr>
        <sz val="8"/>
        <rFont val="Times New Roman"/>
        <charset val="134"/>
      </rPr>
      <t>)</t>
    </r>
  </si>
  <si>
    <t>汇兑损益(收益以负数表示)</t>
  </si>
  <si>
    <r>
      <rPr>
        <sz val="8"/>
        <rFont val="宋体"/>
        <charset val="134"/>
      </rPr>
      <t>财务费用—汇兑损益</t>
    </r>
    <r>
      <rPr>
        <sz val="8"/>
        <rFont val="Times New Roman"/>
        <charset val="134"/>
      </rPr>
      <t>(</t>
    </r>
    <r>
      <rPr>
        <sz val="8"/>
        <rFont val="宋体"/>
        <charset val="134"/>
      </rPr>
      <t>收益以负数表示</t>
    </r>
    <r>
      <rPr>
        <sz val="8"/>
        <rFont val="Times New Roman"/>
        <charset val="134"/>
      </rPr>
      <t>)</t>
    </r>
  </si>
  <si>
    <t>财务费用—其他</t>
  </si>
  <si>
    <r>
      <rPr>
        <sz val="8"/>
        <rFont val="宋体"/>
        <charset val="134"/>
      </rPr>
      <t>财务费用—合</t>
    </r>
    <r>
      <rPr>
        <sz val="8"/>
        <rFont val="Times New Roman"/>
        <charset val="134"/>
      </rPr>
      <t xml:space="preserve"> </t>
    </r>
    <r>
      <rPr>
        <sz val="8"/>
        <rFont val="宋体"/>
        <charset val="134"/>
      </rPr>
      <t>计</t>
    </r>
  </si>
  <si>
    <r>
      <rPr>
        <b/>
        <sz val="10"/>
        <color indexed="8"/>
        <rFont val="Times New Roman"/>
        <charset val="134"/>
      </rPr>
      <t>55</t>
    </r>
    <r>
      <rPr>
        <b/>
        <sz val="10"/>
        <color indexed="8"/>
        <rFont val="宋体"/>
        <charset val="134"/>
      </rPr>
      <t>．资产减值损失</t>
    </r>
  </si>
  <si>
    <t>一、坏账损失</t>
  </si>
  <si>
    <t>资产减值损失—一、坏账损失</t>
  </si>
  <si>
    <t>二、存货跌价损失</t>
  </si>
  <si>
    <t>资产减值损失—二、存货跌价损失</t>
  </si>
  <si>
    <t>三、可供出售金融资产减值损失</t>
  </si>
  <si>
    <t>资产减值损失—三、可供出售金融资产减值损失</t>
  </si>
  <si>
    <t>四、持有至到期投资减值损失</t>
  </si>
  <si>
    <t>资产减值损失—四、持有至到期投资减值损失</t>
  </si>
  <si>
    <t>五、长期股权投资减值损失</t>
  </si>
  <si>
    <t>资产减值损失—五、长期股权投资减值损失</t>
  </si>
  <si>
    <t>六、投资性房地产减值损失</t>
  </si>
  <si>
    <t>资产减值损失—六、投资性房地产减值损失</t>
  </si>
  <si>
    <t>七、固定资产减值损失</t>
  </si>
  <si>
    <t>资产减值损失—七、固定资产减值损失</t>
  </si>
  <si>
    <t>八、工程物资减值损失</t>
  </si>
  <si>
    <t>资产减值损失—八、工程物资减值损失</t>
  </si>
  <si>
    <t>九、在建工程减值损失</t>
  </si>
  <si>
    <t>资产减值损失—九、在建工程减值损失</t>
  </si>
  <si>
    <t>十、生产性生物资产减值损失</t>
  </si>
  <si>
    <t>资产减值损失—十、生产性生物资产减值损失</t>
  </si>
  <si>
    <t>十一、油气资产减值损失</t>
  </si>
  <si>
    <t>资产减值损失—十一、油气资产减值损失</t>
  </si>
  <si>
    <t>十二、无形资产减值损失</t>
  </si>
  <si>
    <t>资产减值损失—十二、无形资产减值损失</t>
  </si>
  <si>
    <t>十三、商誉减值损失</t>
  </si>
  <si>
    <t>资产减值损失—十三、商誉减值损失</t>
  </si>
  <si>
    <t>资产减值损失—十四、其他</t>
  </si>
  <si>
    <t>资产减值损失—合 计</t>
  </si>
  <si>
    <r>
      <rPr>
        <b/>
        <sz val="10"/>
        <color indexed="8"/>
        <rFont val="Times New Roman"/>
        <charset val="134"/>
      </rPr>
      <t>56</t>
    </r>
    <r>
      <rPr>
        <b/>
        <sz val="10"/>
        <color indexed="8"/>
        <rFont val="宋体"/>
        <charset val="134"/>
      </rPr>
      <t>．公允价值变动收益</t>
    </r>
  </si>
  <si>
    <t>产生公允价值变动收益的来源</t>
  </si>
  <si>
    <t>公允价值变动收益</t>
  </si>
  <si>
    <t>公允价值变动收益合计</t>
  </si>
  <si>
    <r>
      <rPr>
        <b/>
        <sz val="10"/>
        <color indexed="8"/>
        <rFont val="Times New Roman"/>
        <charset val="134"/>
      </rPr>
      <t>57</t>
    </r>
    <r>
      <rPr>
        <b/>
        <sz val="10"/>
        <color indexed="8"/>
        <rFont val="宋体"/>
        <charset val="134"/>
      </rPr>
      <t>．投资收益</t>
    </r>
  </si>
  <si>
    <r>
      <rPr>
        <b/>
        <sz val="10"/>
        <color indexed="8"/>
        <rFont val="宋体"/>
        <charset val="134"/>
      </rPr>
      <t>（</t>
    </r>
    <r>
      <rPr>
        <b/>
        <sz val="10"/>
        <color indexed="8"/>
        <rFont val="Times New Roman"/>
        <charset val="134"/>
      </rPr>
      <t>1</t>
    </r>
    <r>
      <rPr>
        <b/>
        <sz val="10"/>
        <color indexed="8"/>
        <rFont val="宋体"/>
        <charset val="134"/>
      </rPr>
      <t>）投资收益</t>
    </r>
  </si>
  <si>
    <t>产生投资收益的来源</t>
  </si>
  <si>
    <t>投资收益—明细</t>
  </si>
  <si>
    <t>投资收益—明细合计</t>
  </si>
  <si>
    <r>
      <rPr>
        <b/>
        <sz val="10"/>
        <rFont val="宋体"/>
        <charset val="134"/>
      </rPr>
      <t>（</t>
    </r>
    <r>
      <rPr>
        <b/>
        <sz val="10"/>
        <rFont val="Times New Roman"/>
        <charset val="134"/>
      </rPr>
      <t>2</t>
    </r>
    <r>
      <rPr>
        <b/>
        <sz val="10"/>
        <rFont val="宋体"/>
        <charset val="134"/>
      </rPr>
      <t>）投资收益汇回的重大限制</t>
    </r>
  </si>
  <si>
    <t>限制的原因</t>
  </si>
  <si>
    <t>投资收益—汇回的重大限制</t>
  </si>
  <si>
    <r>
      <rPr>
        <b/>
        <sz val="10"/>
        <color indexed="8"/>
        <rFont val="Times New Roman"/>
        <charset val="134"/>
      </rPr>
      <t>58</t>
    </r>
    <r>
      <rPr>
        <b/>
        <sz val="10"/>
        <color indexed="8"/>
        <rFont val="宋体"/>
        <charset val="134"/>
      </rPr>
      <t>．营业外收入</t>
    </r>
  </si>
  <si>
    <t>营业外收入</t>
  </si>
  <si>
    <t>营业外收入合计</t>
  </si>
  <si>
    <r>
      <rPr>
        <b/>
        <sz val="10"/>
        <color indexed="8"/>
        <rFont val="Times New Roman"/>
        <charset val="134"/>
      </rPr>
      <t>59</t>
    </r>
    <r>
      <rPr>
        <sz val="10"/>
        <color indexed="8"/>
        <rFont val="宋体"/>
        <charset val="134"/>
      </rPr>
      <t>．营业外支出</t>
    </r>
  </si>
  <si>
    <t>营业外支出</t>
  </si>
  <si>
    <t>营业外支出合计</t>
  </si>
  <si>
    <r>
      <rPr>
        <b/>
        <sz val="10"/>
        <color indexed="8"/>
        <rFont val="Times New Roman"/>
        <charset val="134"/>
      </rPr>
      <t>60</t>
    </r>
    <r>
      <rPr>
        <b/>
        <sz val="10"/>
        <color indexed="8"/>
        <rFont val="宋体"/>
        <charset val="134"/>
      </rPr>
      <t>．所得税费用</t>
    </r>
  </si>
  <si>
    <t>当期所得税</t>
  </si>
  <si>
    <t>所得税费用—当期所得税</t>
  </si>
  <si>
    <t>递延所得税</t>
  </si>
  <si>
    <t>所得税费用—递延所得税</t>
  </si>
  <si>
    <r>
      <rPr>
        <sz val="8"/>
        <rFont val="宋体"/>
        <charset val="134"/>
      </rPr>
      <t>所得税费用—合</t>
    </r>
    <r>
      <rPr>
        <sz val="8"/>
        <rFont val="Times New Roman"/>
        <charset val="134"/>
      </rPr>
      <t xml:space="preserve"> </t>
    </r>
    <r>
      <rPr>
        <sz val="8"/>
        <rFont val="宋体"/>
        <charset val="134"/>
      </rPr>
      <t>计</t>
    </r>
  </si>
  <si>
    <r>
      <rPr>
        <b/>
        <sz val="10"/>
        <color indexed="8"/>
        <rFont val="Times New Roman"/>
        <charset val="134"/>
      </rPr>
      <t>61</t>
    </r>
    <r>
      <rPr>
        <b/>
        <sz val="10"/>
        <color indexed="8"/>
        <rFont val="宋体"/>
        <charset val="134"/>
      </rPr>
      <t>．政府补助情况</t>
    </r>
  </si>
  <si>
    <t>政府补助情况</t>
  </si>
  <si>
    <t>政府补助情况合计</t>
  </si>
  <si>
    <r>
      <rPr>
        <b/>
        <sz val="10"/>
        <rFont val="Times New Roman"/>
        <charset val="134"/>
      </rPr>
      <t>62</t>
    </r>
    <r>
      <rPr>
        <b/>
        <sz val="10"/>
        <rFont val="宋体"/>
        <charset val="134"/>
      </rPr>
      <t>．现金流量表附注资料</t>
    </r>
  </si>
  <si>
    <t>现金流量表附表—净利润调节—净利润</t>
  </si>
  <si>
    <t>现金流量表附表—净利润调节—计提的资产减值准备</t>
  </si>
  <si>
    <t>现金流量表附表—净利润调节—固定资产折旧</t>
  </si>
  <si>
    <t>现金流量表附表—净利润调节—无形资产摊销</t>
  </si>
  <si>
    <t>现金流量表附表—净利润调节—长期待摊费用摊销</t>
  </si>
  <si>
    <t>现金流量表附表—净利润调节—处置长期资产的损失</t>
  </si>
  <si>
    <t>现金流量表附表—净利润调节—固定资产报废损失</t>
  </si>
  <si>
    <t>现金流量表附表—净利润调节—公允价值变动损失</t>
  </si>
  <si>
    <t>现金流量表附表—净利润调节—财务费用</t>
  </si>
  <si>
    <t>现金流量表附表—净利润调节—投资损失</t>
  </si>
  <si>
    <t>现金流量表附表—净利润调节—递延所得税资产减少</t>
  </si>
  <si>
    <t>现金流量表附表—净利润调节—递延所得税负债增加</t>
  </si>
  <si>
    <t>现金流量表附表—净利润调节—存货的减少</t>
  </si>
  <si>
    <t>现金流量表附表—净利润调节—经营性应收项目的减少</t>
  </si>
  <si>
    <t>现金流量表附表—净利润调节—经营性应付项目的增加</t>
  </si>
  <si>
    <t>现金流量表附表—净利润调节—其他</t>
  </si>
  <si>
    <t>现金流量表附表—净利润调节—经营活动产生的现金流量净额</t>
  </si>
  <si>
    <t>现金流量表附表—不涉及现金收支重大投资筹资活动—债务转为资本</t>
  </si>
  <si>
    <t>现金流量表附表—不涉及现金收支重大投资筹资活动—一年内到期的可转换公司债券</t>
  </si>
  <si>
    <t>现金流量表附表—不涉及现金收支重大投资筹资活动—融资租入固定资产</t>
  </si>
  <si>
    <t>现金流量表附表—现金净变动—现金的期末余额</t>
  </si>
  <si>
    <t>现金流量表附表—现金净变动—现金的期初余额</t>
  </si>
  <si>
    <t>现金流量表附表—现金净变动—现金等价物的期末余额</t>
  </si>
  <si>
    <t>现金流量表附表—现金净变动—现金等价物的期初余额</t>
  </si>
  <si>
    <t>现金流量表附表—现金净变动节—现金及现金等价物净增加额</t>
  </si>
  <si>
    <r>
      <rPr>
        <b/>
        <sz val="10"/>
        <rFont val="Times New Roman"/>
        <charset val="134"/>
      </rPr>
      <t>63</t>
    </r>
    <r>
      <rPr>
        <b/>
        <sz val="10"/>
        <rFont val="宋体"/>
        <charset val="134"/>
      </rPr>
      <t>．关联方交易</t>
    </r>
  </si>
  <si>
    <r>
      <rPr>
        <b/>
        <sz val="10"/>
        <rFont val="宋体"/>
        <charset val="134"/>
      </rPr>
      <t>（</t>
    </r>
    <r>
      <rPr>
        <b/>
        <sz val="10"/>
        <rFont val="Times New Roman"/>
        <charset val="134"/>
      </rPr>
      <t>1</t>
    </r>
    <r>
      <rPr>
        <b/>
        <sz val="10"/>
        <rFont val="宋体"/>
        <charset val="134"/>
      </rPr>
      <t>）本公司销售给关联方的货物</t>
    </r>
  </si>
  <si>
    <t>企业名称</t>
  </si>
  <si>
    <t>本期交易金额</t>
  </si>
  <si>
    <t>交易金额相应比例</t>
  </si>
  <si>
    <t>上期交易金额</t>
  </si>
  <si>
    <t>关联方交易—本公司销售</t>
  </si>
  <si>
    <t>关联方交易—本公司销售合计</t>
  </si>
  <si>
    <r>
      <rPr>
        <b/>
        <sz val="10"/>
        <rFont val="宋体"/>
        <charset val="134"/>
      </rPr>
      <t>（</t>
    </r>
    <r>
      <rPr>
        <b/>
        <sz val="10"/>
        <rFont val="Times New Roman"/>
        <charset val="134"/>
      </rPr>
      <t>2</t>
    </r>
    <r>
      <rPr>
        <b/>
        <sz val="10"/>
        <rFont val="宋体"/>
        <charset val="134"/>
      </rPr>
      <t>）关联方销售给本公司的货物和劳务、收取的费用</t>
    </r>
  </si>
  <si>
    <t>关联方交易—关联方销售给本公司</t>
  </si>
  <si>
    <t>关联方交易—关联方销售给本公司合计</t>
  </si>
  <si>
    <r>
      <rPr>
        <b/>
        <sz val="10"/>
        <rFont val="宋体"/>
        <charset val="134"/>
      </rPr>
      <t>（</t>
    </r>
    <r>
      <rPr>
        <b/>
        <sz val="10"/>
        <rFont val="Times New Roman"/>
        <charset val="134"/>
      </rPr>
      <t>3</t>
    </r>
    <r>
      <rPr>
        <b/>
        <sz val="10"/>
        <rFont val="宋体"/>
        <charset val="134"/>
      </rPr>
      <t>）关联方应收应付款项余额</t>
    </r>
  </si>
  <si>
    <t>科目名称</t>
  </si>
  <si>
    <t>款项余额性质</t>
  </si>
  <si>
    <t>占全部余额比重</t>
  </si>
  <si>
    <t>关联方交易—关联方应收应付款项</t>
  </si>
  <si>
    <t>关联方交易—关联方应收应付款项合计</t>
  </si>
  <si>
    <t>未审附注及报表核对—资产类</t>
  </si>
  <si>
    <t>单位：元</t>
  </si>
  <si>
    <t>未审报表数</t>
  </si>
  <si>
    <t>未审附注数</t>
  </si>
  <si>
    <t>差异</t>
  </si>
  <si>
    <t>交易性金融资产</t>
  </si>
  <si>
    <t>未审附注及报表核对—负债及权益类</t>
  </si>
  <si>
    <t>交易性金融负债</t>
  </si>
  <si>
    <t>未审附注及报表核对—利润类</t>
  </si>
  <si>
    <r>
      <rPr>
        <sz val="10"/>
        <rFont val="Times New Roman"/>
        <charset val="134"/>
      </rPr>
      <t xml:space="preserve">   </t>
    </r>
    <r>
      <rPr>
        <sz val="10"/>
        <rFont val="宋体"/>
        <charset val="134"/>
      </rPr>
      <t>单位：元</t>
    </r>
  </si>
  <si>
    <r>
      <rPr>
        <sz val="10"/>
        <rFont val="Times New Roman"/>
        <charset val="134"/>
      </rPr>
      <t>货币资金</t>
    </r>
  </si>
  <si>
    <t>Y</t>
  </si>
  <si>
    <r>
      <rPr>
        <sz val="10"/>
        <rFont val="Times New Roman"/>
        <charset val="134"/>
      </rPr>
      <t>交易性金融资产</t>
    </r>
  </si>
  <si>
    <t>N</t>
  </si>
  <si>
    <r>
      <rPr>
        <sz val="10"/>
        <rFont val="Times New Roman"/>
        <charset val="134"/>
      </rPr>
      <t>应收票据</t>
    </r>
  </si>
  <si>
    <r>
      <rPr>
        <sz val="10"/>
        <rFont val="Times New Roman"/>
        <charset val="134"/>
      </rPr>
      <t>应收账款</t>
    </r>
  </si>
  <si>
    <r>
      <rPr>
        <sz val="10"/>
        <rFont val="Times New Roman"/>
        <charset val="134"/>
      </rPr>
      <t>预付款项</t>
    </r>
  </si>
  <si>
    <r>
      <rPr>
        <sz val="10"/>
        <rFont val="Times New Roman"/>
        <charset val="134"/>
      </rPr>
      <t>应收利息</t>
    </r>
  </si>
  <si>
    <r>
      <rPr>
        <sz val="10"/>
        <rFont val="Times New Roman"/>
        <charset val="134"/>
      </rPr>
      <t>应收股利</t>
    </r>
  </si>
  <si>
    <r>
      <rPr>
        <sz val="10"/>
        <rFont val="Times New Roman"/>
        <charset val="134"/>
      </rPr>
      <t>其他应收款</t>
    </r>
  </si>
  <si>
    <r>
      <rPr>
        <sz val="10"/>
        <rFont val="Times New Roman"/>
        <charset val="134"/>
      </rPr>
      <t>存货</t>
    </r>
  </si>
  <si>
    <r>
      <rPr>
        <sz val="10"/>
        <rFont val="Times New Roman"/>
        <charset val="134"/>
      </rPr>
      <t>一年内到期的非流动资产</t>
    </r>
  </si>
  <si>
    <r>
      <rPr>
        <sz val="10"/>
        <rFont val="Times New Roman"/>
        <charset val="134"/>
      </rPr>
      <t>其他流动资产</t>
    </r>
  </si>
  <si>
    <r>
      <rPr>
        <sz val="10"/>
        <rFont val="Times New Roman"/>
        <charset val="134"/>
      </rPr>
      <t>可供出售金融资产</t>
    </r>
  </si>
  <si>
    <r>
      <rPr>
        <sz val="10"/>
        <rFont val="Times New Roman"/>
        <charset val="134"/>
      </rPr>
      <t>持有至到期投资</t>
    </r>
  </si>
  <si>
    <r>
      <rPr>
        <sz val="10"/>
        <rFont val="Times New Roman"/>
        <charset val="134"/>
      </rPr>
      <t>长期应收款</t>
    </r>
  </si>
  <si>
    <r>
      <rPr>
        <sz val="10"/>
        <rFont val="Times New Roman"/>
        <charset val="134"/>
      </rPr>
      <t>长期股权投资</t>
    </r>
  </si>
  <si>
    <r>
      <rPr>
        <sz val="10"/>
        <rFont val="Times New Roman"/>
        <charset val="134"/>
      </rPr>
      <t>投资性房地产</t>
    </r>
  </si>
  <si>
    <r>
      <rPr>
        <sz val="10"/>
        <rFont val="Times New Roman"/>
        <charset val="134"/>
      </rPr>
      <t>固定资产</t>
    </r>
  </si>
  <si>
    <r>
      <rPr>
        <sz val="10"/>
        <rFont val="Times New Roman"/>
        <charset val="134"/>
      </rPr>
      <t>在建工程</t>
    </r>
  </si>
  <si>
    <r>
      <rPr>
        <sz val="10"/>
        <rFont val="Times New Roman"/>
        <charset val="134"/>
      </rPr>
      <t>工程物资</t>
    </r>
  </si>
  <si>
    <r>
      <rPr>
        <sz val="10"/>
        <rFont val="Times New Roman"/>
        <charset val="134"/>
      </rPr>
      <t>固定资产清理</t>
    </r>
  </si>
  <si>
    <r>
      <rPr>
        <sz val="10"/>
        <rFont val="Times New Roman"/>
        <charset val="134"/>
      </rPr>
      <t>生产性生物资产</t>
    </r>
  </si>
  <si>
    <r>
      <rPr>
        <sz val="10"/>
        <rFont val="Times New Roman"/>
        <charset val="134"/>
      </rPr>
      <t>油气资产</t>
    </r>
  </si>
  <si>
    <r>
      <rPr>
        <sz val="10"/>
        <rFont val="Times New Roman"/>
        <charset val="134"/>
      </rPr>
      <t>无形资产</t>
    </r>
  </si>
  <si>
    <r>
      <rPr>
        <sz val="10"/>
        <rFont val="Times New Roman"/>
        <charset val="134"/>
      </rPr>
      <t>开发支出</t>
    </r>
  </si>
  <si>
    <r>
      <rPr>
        <sz val="10"/>
        <rFont val="Times New Roman"/>
        <charset val="134"/>
      </rPr>
      <t>商誉</t>
    </r>
  </si>
  <si>
    <r>
      <rPr>
        <sz val="10"/>
        <rFont val="Times New Roman"/>
        <charset val="134"/>
      </rPr>
      <t>长期待摊费用</t>
    </r>
  </si>
  <si>
    <r>
      <rPr>
        <sz val="10"/>
        <rFont val="Times New Roman"/>
        <charset val="134"/>
      </rPr>
      <t>递延所得税资产</t>
    </r>
  </si>
  <si>
    <r>
      <rPr>
        <sz val="10"/>
        <rFont val="Times New Roman"/>
        <charset val="134"/>
      </rPr>
      <t>其他非流动资产</t>
    </r>
  </si>
  <si>
    <r>
      <rPr>
        <sz val="10"/>
        <rFont val="Times New Roman"/>
        <charset val="134"/>
      </rPr>
      <t>短期借款</t>
    </r>
  </si>
  <si>
    <r>
      <rPr>
        <sz val="10"/>
        <rFont val="Times New Roman"/>
        <charset val="134"/>
      </rPr>
      <t>交易性金融负债</t>
    </r>
  </si>
  <si>
    <r>
      <rPr>
        <sz val="10"/>
        <rFont val="Times New Roman"/>
        <charset val="134"/>
      </rPr>
      <t>应付票据</t>
    </r>
  </si>
  <si>
    <r>
      <rPr>
        <sz val="10"/>
        <rFont val="Times New Roman"/>
        <charset val="134"/>
      </rPr>
      <t>应付账款</t>
    </r>
  </si>
  <si>
    <r>
      <rPr>
        <sz val="10"/>
        <rFont val="Times New Roman"/>
        <charset val="134"/>
      </rPr>
      <t>预收款项</t>
    </r>
  </si>
  <si>
    <r>
      <rPr>
        <sz val="10"/>
        <rFont val="Times New Roman"/>
        <charset val="134"/>
      </rPr>
      <t>应付职工薪酬</t>
    </r>
  </si>
  <si>
    <r>
      <rPr>
        <sz val="10"/>
        <rFont val="Times New Roman"/>
        <charset val="134"/>
      </rPr>
      <t>应交税费</t>
    </r>
  </si>
  <si>
    <r>
      <rPr>
        <sz val="10"/>
        <rFont val="Times New Roman"/>
        <charset val="134"/>
      </rPr>
      <t>应付利息</t>
    </r>
  </si>
  <si>
    <r>
      <rPr>
        <sz val="10"/>
        <rFont val="Times New Roman"/>
        <charset val="134"/>
      </rPr>
      <t>应付股利</t>
    </r>
  </si>
  <si>
    <r>
      <rPr>
        <sz val="10"/>
        <rFont val="Times New Roman"/>
        <charset val="134"/>
      </rPr>
      <t>其他应付款</t>
    </r>
  </si>
  <si>
    <r>
      <rPr>
        <sz val="10"/>
        <rFont val="Times New Roman"/>
        <charset val="134"/>
      </rPr>
      <t>一年内到期的非流动负债</t>
    </r>
  </si>
  <si>
    <r>
      <rPr>
        <sz val="10"/>
        <rFont val="Times New Roman"/>
        <charset val="134"/>
      </rPr>
      <t>其他流动负债</t>
    </r>
  </si>
  <si>
    <r>
      <rPr>
        <sz val="10"/>
        <rFont val="Times New Roman"/>
        <charset val="134"/>
      </rPr>
      <t>长期借款</t>
    </r>
  </si>
  <si>
    <r>
      <rPr>
        <sz val="10"/>
        <rFont val="Times New Roman"/>
        <charset val="134"/>
      </rPr>
      <t>应付债券</t>
    </r>
  </si>
  <si>
    <r>
      <rPr>
        <sz val="10"/>
        <rFont val="Times New Roman"/>
        <charset val="134"/>
      </rPr>
      <t>长期应付款</t>
    </r>
  </si>
  <si>
    <r>
      <rPr>
        <sz val="10"/>
        <rFont val="Times New Roman"/>
        <charset val="134"/>
      </rPr>
      <t>专项应付款</t>
    </r>
  </si>
  <si>
    <r>
      <rPr>
        <sz val="10"/>
        <rFont val="Times New Roman"/>
        <charset val="134"/>
      </rPr>
      <t>预计负债</t>
    </r>
  </si>
  <si>
    <r>
      <rPr>
        <sz val="10"/>
        <rFont val="Times New Roman"/>
        <charset val="134"/>
      </rPr>
      <t>递延所得税负债</t>
    </r>
  </si>
  <si>
    <r>
      <rPr>
        <sz val="10"/>
        <rFont val="Times New Roman"/>
        <charset val="134"/>
      </rPr>
      <t>其他非流动负债</t>
    </r>
  </si>
  <si>
    <r>
      <rPr>
        <sz val="10"/>
        <rFont val="Times New Roman"/>
        <charset val="134"/>
      </rPr>
      <t>实收资本（或股本）</t>
    </r>
  </si>
  <si>
    <r>
      <rPr>
        <sz val="10"/>
        <rFont val="Times New Roman"/>
        <charset val="134"/>
      </rPr>
      <t>资本公积</t>
    </r>
  </si>
  <si>
    <r>
      <rPr>
        <sz val="10"/>
        <rFont val="宋体"/>
        <charset val="134"/>
      </rPr>
      <t>库存股</t>
    </r>
  </si>
  <si>
    <r>
      <rPr>
        <sz val="10"/>
        <rFont val="Times New Roman"/>
        <charset val="134"/>
      </rPr>
      <t>盈余公积</t>
    </r>
  </si>
  <si>
    <r>
      <rPr>
        <sz val="10"/>
        <rFont val="Times New Roman"/>
        <charset val="134"/>
      </rPr>
      <t>外币报表折算差额</t>
    </r>
  </si>
  <si>
    <r>
      <rPr>
        <sz val="10"/>
        <rFont val="宋体"/>
        <charset val="134"/>
      </rPr>
      <t>营业收入</t>
    </r>
  </si>
  <si>
    <r>
      <rPr>
        <sz val="10"/>
        <rFont val="宋体"/>
        <charset val="134"/>
      </rPr>
      <t>营业成本</t>
    </r>
  </si>
  <si>
    <r>
      <rPr>
        <sz val="10"/>
        <rFont val="宋体"/>
        <charset val="134"/>
      </rPr>
      <t>营业税金及附加</t>
    </r>
  </si>
  <si>
    <r>
      <rPr>
        <sz val="10"/>
        <rFont val="宋体"/>
        <charset val="134"/>
      </rPr>
      <t>销售费用</t>
    </r>
  </si>
  <si>
    <r>
      <rPr>
        <sz val="10"/>
        <rFont val="宋体"/>
        <charset val="134"/>
      </rPr>
      <t>管理费用</t>
    </r>
  </si>
  <si>
    <r>
      <rPr>
        <sz val="10"/>
        <rFont val="宋体"/>
        <charset val="134"/>
      </rPr>
      <t>财务费用</t>
    </r>
  </si>
  <si>
    <r>
      <rPr>
        <sz val="10"/>
        <rFont val="宋体"/>
        <charset val="134"/>
      </rPr>
      <t>资产减值损失</t>
    </r>
  </si>
  <si>
    <r>
      <rPr>
        <sz val="10"/>
        <rFont val="宋体"/>
        <charset val="134"/>
      </rPr>
      <t>公允价值变动收益</t>
    </r>
  </si>
  <si>
    <r>
      <rPr>
        <sz val="10"/>
        <rFont val="宋体"/>
        <charset val="134"/>
      </rPr>
      <t>投资收益</t>
    </r>
  </si>
  <si>
    <r>
      <rPr>
        <sz val="10"/>
        <rFont val="宋体"/>
        <charset val="134"/>
      </rPr>
      <t>汇兑收益</t>
    </r>
  </si>
  <si>
    <r>
      <rPr>
        <sz val="10"/>
        <rFont val="宋体"/>
        <charset val="134"/>
      </rPr>
      <t>营业外收入</t>
    </r>
  </si>
  <si>
    <r>
      <rPr>
        <sz val="10"/>
        <rFont val="宋体"/>
        <charset val="134"/>
      </rPr>
      <t>营业外支出</t>
    </r>
  </si>
  <si>
    <r>
      <rPr>
        <sz val="10"/>
        <rFont val="宋体"/>
        <charset val="134"/>
      </rPr>
      <t>所得税费用</t>
    </r>
  </si>
  <si>
    <r>
      <rPr>
        <sz val="10"/>
        <rFont val="宋体"/>
        <charset val="134"/>
      </rPr>
      <t>年初未分配利润</t>
    </r>
  </si>
  <si>
    <r>
      <rPr>
        <sz val="10"/>
        <rFont val="宋体"/>
        <charset val="134"/>
      </rPr>
      <t>利润分配</t>
    </r>
  </si>
  <si>
    <r>
      <rPr>
        <sz val="10"/>
        <rFont val="宋体"/>
        <charset val="134"/>
      </rPr>
      <t>其他收益</t>
    </r>
  </si>
  <si>
    <r>
      <rPr>
        <sz val="10"/>
        <rFont val="宋体"/>
        <charset val="134"/>
      </rPr>
      <t>资产处置收益</t>
    </r>
  </si>
  <si>
    <r>
      <rPr>
        <sz val="10"/>
        <rFont val="宋体"/>
        <charset val="134"/>
      </rPr>
      <t>上年资产处置收益</t>
    </r>
  </si>
  <si>
    <r>
      <rPr>
        <sz val="10"/>
        <rFont val="宋体"/>
        <charset val="134"/>
      </rPr>
      <t>上年年初未分配利润</t>
    </r>
  </si>
  <si>
    <r>
      <rPr>
        <sz val="10"/>
        <rFont val="宋体"/>
        <charset val="134"/>
      </rPr>
      <t>上年利润分配</t>
    </r>
  </si>
  <si>
    <r>
      <rPr>
        <sz val="10"/>
        <rFont val="宋体"/>
        <charset val="134"/>
      </rPr>
      <t>事项</t>
    </r>
  </si>
  <si>
    <r>
      <rPr>
        <sz val="10"/>
        <rFont val="宋体"/>
        <charset val="134"/>
      </rPr>
      <t>说明</t>
    </r>
  </si>
  <si>
    <r>
      <rPr>
        <sz val="10"/>
        <rFont val="宋体"/>
        <charset val="134"/>
      </rPr>
      <t>借方</t>
    </r>
  </si>
  <si>
    <r>
      <rPr>
        <sz val="10"/>
        <rFont val="宋体"/>
        <charset val="134"/>
      </rPr>
      <t>贷方</t>
    </r>
  </si>
  <si>
    <r>
      <rPr>
        <sz val="10"/>
        <rFont val="宋体"/>
        <charset val="134"/>
      </rPr>
      <t>借贷不平</t>
    </r>
  </si>
  <si>
    <r>
      <rPr>
        <sz val="10"/>
        <rFont val="宋体"/>
        <charset val="134"/>
      </rPr>
      <t>调整分录不平</t>
    </r>
  </si>
  <si>
    <r>
      <rPr>
        <sz val="10"/>
        <rFont val="宋体"/>
        <charset val="134"/>
      </rPr>
      <t>有数无科目</t>
    </r>
  </si>
  <si>
    <r>
      <rPr>
        <sz val="10"/>
        <rFont val="宋体"/>
        <charset val="134"/>
      </rPr>
      <t>调整上年科目</t>
    </r>
  </si>
  <si>
    <r>
      <rPr>
        <sz val="10"/>
        <rFont val="宋体"/>
        <charset val="134"/>
      </rPr>
      <t>上期净利润增减</t>
    </r>
  </si>
  <si>
    <r>
      <rPr>
        <sz val="10"/>
        <rFont val="宋体"/>
        <charset val="134"/>
      </rPr>
      <t>本期净利润增减</t>
    </r>
  </si>
  <si>
    <r>
      <rPr>
        <sz val="10"/>
        <rFont val="宋体"/>
        <charset val="134"/>
      </rPr>
      <t>被审计单位：</t>
    </r>
  </si>
  <si>
    <r>
      <rPr>
        <sz val="10"/>
        <rFont val="宋体"/>
        <charset val="134"/>
      </rPr>
      <t>签</t>
    </r>
    <r>
      <rPr>
        <sz val="10"/>
        <rFont val="Arial Narrow"/>
        <charset val="134"/>
      </rPr>
      <t xml:space="preserve">  </t>
    </r>
    <r>
      <rPr>
        <sz val="10"/>
        <rFont val="宋体"/>
        <charset val="134"/>
      </rPr>
      <t>名</t>
    </r>
  </si>
  <si>
    <r>
      <rPr>
        <sz val="10"/>
        <rFont val="宋体"/>
        <charset val="134"/>
      </rPr>
      <t>日</t>
    </r>
    <r>
      <rPr>
        <sz val="10"/>
        <rFont val="Arial Narrow"/>
        <charset val="134"/>
      </rPr>
      <t xml:space="preserve">  </t>
    </r>
    <r>
      <rPr>
        <sz val="10"/>
        <rFont val="宋体"/>
        <charset val="134"/>
      </rPr>
      <t>期</t>
    </r>
  </si>
  <si>
    <r>
      <rPr>
        <sz val="10"/>
        <rFont val="宋体"/>
        <charset val="134"/>
      </rPr>
      <t>项</t>
    </r>
    <r>
      <rPr>
        <sz val="10"/>
        <rFont val="Arial Narrow"/>
        <charset val="134"/>
      </rPr>
      <t xml:space="preserve">    </t>
    </r>
    <r>
      <rPr>
        <sz val="10"/>
        <rFont val="宋体"/>
        <charset val="134"/>
      </rPr>
      <t>目：</t>
    </r>
  </si>
  <si>
    <r>
      <rPr>
        <b/>
        <sz val="12"/>
        <color indexed="61"/>
        <rFont val="宋体"/>
        <charset val="134"/>
      </rPr>
      <t>资产负债表及利润表调整分录汇总表</t>
    </r>
  </si>
  <si>
    <r>
      <rPr>
        <sz val="10"/>
        <rFont val="宋体"/>
        <charset val="134"/>
      </rPr>
      <t>编</t>
    </r>
    <r>
      <rPr>
        <sz val="10"/>
        <rFont val="Arial Narrow"/>
        <charset val="134"/>
      </rPr>
      <t xml:space="preserve"> </t>
    </r>
    <r>
      <rPr>
        <sz val="10"/>
        <rFont val="宋体"/>
        <charset val="134"/>
      </rPr>
      <t>制</t>
    </r>
    <r>
      <rPr>
        <sz val="10"/>
        <rFont val="Arial Narrow"/>
        <charset val="134"/>
      </rPr>
      <t>:</t>
    </r>
  </si>
  <si>
    <r>
      <rPr>
        <sz val="10"/>
        <rFont val="宋体"/>
        <charset val="134"/>
      </rPr>
      <t>会计期间：</t>
    </r>
  </si>
  <si>
    <r>
      <rPr>
        <sz val="10"/>
        <rFont val="宋体"/>
        <charset val="134"/>
      </rPr>
      <t>复</t>
    </r>
    <r>
      <rPr>
        <sz val="10"/>
        <rFont val="Arial Narrow"/>
        <charset val="134"/>
      </rPr>
      <t xml:space="preserve"> </t>
    </r>
    <r>
      <rPr>
        <sz val="10"/>
        <rFont val="宋体"/>
        <charset val="134"/>
      </rPr>
      <t>核</t>
    </r>
    <r>
      <rPr>
        <sz val="10"/>
        <rFont val="Arial Narrow"/>
        <charset val="134"/>
      </rPr>
      <t>:</t>
    </r>
  </si>
  <si>
    <r>
      <rPr>
        <sz val="10"/>
        <rFont val="宋体"/>
        <charset val="134"/>
      </rPr>
      <t>序号</t>
    </r>
  </si>
  <si>
    <r>
      <rPr>
        <sz val="10"/>
        <rFont val="宋体"/>
        <charset val="134"/>
      </rPr>
      <t>审计调整事项及其会计分录</t>
    </r>
  </si>
  <si>
    <r>
      <rPr>
        <sz val="10"/>
        <rFont val="宋体"/>
        <charset val="134"/>
      </rPr>
      <t>索引号</t>
    </r>
  </si>
  <si>
    <r>
      <rPr>
        <sz val="10"/>
        <rFont val="宋体"/>
        <charset val="134"/>
      </rPr>
      <t>调整金额</t>
    </r>
  </si>
  <si>
    <r>
      <rPr>
        <sz val="10"/>
        <rFont val="宋体"/>
        <charset val="134"/>
      </rPr>
      <t>同意调整</t>
    </r>
  </si>
  <si>
    <r>
      <rPr>
        <sz val="10"/>
        <rFont val="宋体"/>
        <charset val="134"/>
      </rPr>
      <t>报表项目</t>
    </r>
  </si>
  <si>
    <r>
      <rPr>
        <sz val="10"/>
        <rFont val="宋体"/>
        <charset val="134"/>
      </rPr>
      <t>科目或子目</t>
    </r>
  </si>
  <si>
    <r>
      <rPr>
        <sz val="10"/>
        <rFont val="宋体"/>
        <charset val="134"/>
      </rPr>
      <t>贷方</t>
    </r>
    <r>
      <rPr>
        <sz val="10"/>
        <rFont val="Arial Narrow"/>
        <charset val="134"/>
      </rPr>
      <t xml:space="preserve"> </t>
    </r>
  </si>
  <si>
    <r>
      <rPr>
        <sz val="10"/>
        <rFont val="宋体"/>
        <charset val="134"/>
      </rPr>
      <t>调整金额合计</t>
    </r>
  </si>
  <si>
    <t>(Y\N)</t>
  </si>
  <si>
    <r>
      <rPr>
        <b/>
        <sz val="10"/>
        <rFont val="宋体"/>
        <charset val="134"/>
      </rPr>
      <t>以前年度损益调整还原</t>
    </r>
  </si>
  <si>
    <r>
      <rPr>
        <sz val="10"/>
        <rFont val="Arial Narrow"/>
        <charset val="134"/>
      </rPr>
      <t>2015</t>
    </r>
    <r>
      <rPr>
        <sz val="10"/>
        <rFont val="宋体"/>
        <charset val="134"/>
      </rPr>
      <t>年以前年度调整还原</t>
    </r>
  </si>
  <si>
    <t>上年年初未分配利润</t>
  </si>
  <si>
    <t>调表不调账</t>
  </si>
  <si>
    <t>上年利润分配</t>
  </si>
  <si>
    <r>
      <rPr>
        <sz val="10"/>
        <rFont val="Arial Narrow"/>
        <charset val="134"/>
      </rPr>
      <t>2016</t>
    </r>
    <r>
      <rPr>
        <sz val="10"/>
        <rFont val="宋体"/>
        <charset val="134"/>
      </rPr>
      <t>年以前年度损益调整还原</t>
    </r>
  </si>
  <si>
    <t>年初未分配利润</t>
  </si>
  <si>
    <t>利润分配</t>
  </si>
  <si>
    <t>应收账款坏账准备</t>
  </si>
  <si>
    <t>上年资产减值损失</t>
  </si>
  <si>
    <r>
      <rPr>
        <sz val="10"/>
        <rFont val="Arial Narrow"/>
        <charset val="134"/>
      </rPr>
      <t>15</t>
    </r>
    <r>
      <rPr>
        <sz val="10"/>
        <rFont val="宋体"/>
        <charset val="134"/>
      </rPr>
      <t>年</t>
    </r>
  </si>
  <si>
    <t>做进账里面</t>
  </si>
  <si>
    <t>2015-12-214#</t>
  </si>
  <si>
    <t>资产减值损失</t>
  </si>
  <si>
    <r>
      <rPr>
        <sz val="10"/>
        <rFont val="Arial Narrow"/>
        <charset val="134"/>
      </rPr>
      <t>16</t>
    </r>
    <r>
      <rPr>
        <sz val="10"/>
        <rFont val="宋体"/>
        <charset val="134"/>
      </rPr>
      <t>年</t>
    </r>
  </si>
  <si>
    <t>2016-12-408#</t>
  </si>
  <si>
    <t>年初应收账款</t>
  </si>
  <si>
    <t>滚调</t>
  </si>
  <si>
    <t>其他应收款坏账准备</t>
  </si>
  <si>
    <t>年初其他应收款</t>
  </si>
  <si>
    <r>
      <rPr>
        <b/>
        <sz val="10"/>
        <rFont val="Arial Narrow"/>
        <charset val="134"/>
      </rPr>
      <t>2015</t>
    </r>
    <r>
      <rPr>
        <b/>
        <sz val="10"/>
        <rFont val="宋体"/>
        <charset val="134"/>
      </rPr>
      <t>年调整</t>
    </r>
  </si>
  <si>
    <t>重分类调整</t>
  </si>
  <si>
    <t>其他应收款负数重分类调整</t>
  </si>
  <si>
    <t>[YXT]袁修庭</t>
  </si>
  <si>
    <t>2015-12-242#</t>
  </si>
  <si>
    <t>[GQLS]深圳市国侨绿色产业投资发展有限公司</t>
  </si>
  <si>
    <t>2016-01-59#</t>
  </si>
  <si>
    <t>原其他应收改为其他应付</t>
  </si>
  <si>
    <t>[MXG]毛霞光/湘阴霞光建材经营部</t>
  </si>
  <si>
    <t>2016-4-110#</t>
  </si>
  <si>
    <t>原其他应收款拆为其他应付款</t>
  </si>
  <si>
    <t>[XNL]深圳市新能量建设工程有限公司</t>
  </si>
  <si>
    <r>
      <rPr>
        <sz val="10"/>
        <rFont val="Arial Narrow"/>
        <charset val="134"/>
      </rPr>
      <t>2016-1-39#</t>
    </r>
    <r>
      <rPr>
        <sz val="10"/>
        <rFont val="宋体"/>
        <charset val="134"/>
      </rPr>
      <t>、</t>
    </r>
    <r>
      <rPr>
        <sz val="10"/>
        <rFont val="Arial Narrow"/>
        <charset val="134"/>
      </rPr>
      <t>42#</t>
    </r>
    <r>
      <rPr>
        <sz val="10"/>
        <rFont val="宋体"/>
        <charset val="134"/>
      </rPr>
      <t>，</t>
    </r>
    <r>
      <rPr>
        <sz val="10"/>
        <rFont val="Arial Narrow"/>
        <charset val="134"/>
      </rPr>
      <t>2-36#</t>
    </r>
    <r>
      <rPr>
        <sz val="10"/>
        <rFont val="宋体"/>
        <charset val="134"/>
      </rPr>
      <t>，</t>
    </r>
    <r>
      <rPr>
        <sz val="10"/>
        <rFont val="Arial Narrow"/>
        <charset val="134"/>
      </rPr>
      <t>3-109#</t>
    </r>
    <r>
      <rPr>
        <sz val="10"/>
        <rFont val="宋体"/>
        <charset val="134"/>
      </rPr>
      <t>，</t>
    </r>
    <r>
      <rPr>
        <sz val="10"/>
        <rFont val="Arial Narrow"/>
        <charset val="134"/>
      </rPr>
      <t>4-127#</t>
    </r>
    <r>
      <rPr>
        <sz val="10"/>
        <rFont val="宋体"/>
        <charset val="134"/>
      </rPr>
      <t>，</t>
    </r>
    <r>
      <rPr>
        <sz val="10"/>
        <rFont val="Arial Narrow"/>
        <charset val="134"/>
      </rPr>
      <t>4-122#</t>
    </r>
    <r>
      <rPr>
        <sz val="10"/>
        <rFont val="宋体"/>
        <charset val="134"/>
      </rPr>
      <t>，</t>
    </r>
    <r>
      <rPr>
        <sz val="10"/>
        <rFont val="Arial Narrow"/>
        <charset val="134"/>
      </rPr>
      <t>6-23#</t>
    </r>
    <r>
      <rPr>
        <sz val="10"/>
        <rFont val="宋体"/>
        <charset val="134"/>
      </rPr>
      <t>，</t>
    </r>
    <r>
      <rPr>
        <sz val="10"/>
        <rFont val="Arial Narrow"/>
        <charset val="134"/>
      </rPr>
      <t>7-53#</t>
    </r>
  </si>
  <si>
    <t>几笔小的合起来</t>
  </si>
  <si>
    <t>年初其他应付款</t>
  </si>
  <si>
    <t>调整一年内到期的长期借款</t>
  </si>
  <si>
    <t>年初长期借款</t>
  </si>
  <si>
    <t>年初一年内到期的非流动负债</t>
  </si>
  <si>
    <t>其他调整</t>
  </si>
  <si>
    <t>续调期初调整常德城镇化项目收入及应收账款</t>
  </si>
  <si>
    <t>常德市市政公用事业管理局</t>
  </si>
  <si>
    <t>账上做审计调整</t>
  </si>
  <si>
    <t>2015-12-243#</t>
  </si>
  <si>
    <t>根据财审金额调整常德亮化二期收入</t>
  </si>
  <si>
    <t>上年营业收入</t>
  </si>
  <si>
    <r>
      <rPr>
        <sz val="10"/>
        <rFont val="宋体"/>
        <charset val="134"/>
      </rPr>
      <t>照明工程</t>
    </r>
    <r>
      <rPr>
        <sz val="10"/>
        <rFont val="Arial Narrow"/>
        <charset val="134"/>
      </rPr>
      <t>-</t>
    </r>
    <r>
      <rPr>
        <sz val="10"/>
        <rFont val="宋体"/>
        <charset val="134"/>
      </rPr>
      <t>常德亮化</t>
    </r>
  </si>
  <si>
    <t>续调期初常德城镇化、二期收入及应收账款</t>
  </si>
  <si>
    <t>长沙市大光明</t>
  </si>
  <si>
    <t>根据财审金额调整常德一期项目收入</t>
  </si>
  <si>
    <r>
      <rPr>
        <sz val="10"/>
        <rFont val="宋体"/>
        <charset val="134"/>
      </rPr>
      <t>调整佛一环二标段因修路从</t>
    </r>
    <r>
      <rPr>
        <sz val="10"/>
        <rFont val="Arial Narrow"/>
        <charset val="134"/>
      </rPr>
      <t>2015</t>
    </r>
    <r>
      <rPr>
        <sz val="10"/>
        <rFont val="宋体"/>
        <charset val="134"/>
      </rPr>
      <t>年</t>
    </r>
    <r>
      <rPr>
        <sz val="10"/>
        <rFont val="Arial Narrow"/>
        <charset val="134"/>
      </rPr>
      <t>10</t>
    </r>
    <r>
      <rPr>
        <sz val="10"/>
        <rFont val="宋体"/>
        <charset val="134"/>
      </rPr>
      <t>月开始不应确认收入</t>
    </r>
  </si>
  <si>
    <t>佛山市路桥建设有限公司</t>
  </si>
  <si>
    <t>2015-12-244#</t>
  </si>
  <si>
    <r>
      <rPr>
        <sz val="10"/>
        <rFont val="Arial Narrow"/>
        <charset val="134"/>
      </rPr>
      <t>EMC</t>
    </r>
    <r>
      <rPr>
        <sz val="10"/>
        <rFont val="宋体"/>
        <charset val="134"/>
      </rPr>
      <t>收入</t>
    </r>
  </si>
  <si>
    <t>调整佛一环二标段因修路从2015年10月开始不应确认收入</t>
  </si>
  <si>
    <t>佛山路桥</t>
  </si>
  <si>
    <t>2016-12-421#</t>
  </si>
  <si>
    <t>营业收入</t>
  </si>
  <si>
    <t>EMC收入-佛一环二标段</t>
  </si>
  <si>
    <r>
      <rPr>
        <sz val="10"/>
        <rFont val="宋体"/>
        <charset val="134"/>
      </rPr>
      <t>调整广深</t>
    </r>
    <r>
      <rPr>
        <sz val="10"/>
        <rFont val="Arial Narrow"/>
        <charset val="134"/>
      </rPr>
      <t>EMC</t>
    </r>
    <r>
      <rPr>
        <sz val="10"/>
        <rFont val="宋体"/>
        <charset val="134"/>
      </rPr>
      <t>、维护项目收入及应收账款</t>
    </r>
  </si>
  <si>
    <t>广深EMC、维护项目</t>
  </si>
  <si>
    <r>
      <rPr>
        <sz val="10"/>
        <rFont val="Arial Narrow"/>
        <charset val="134"/>
      </rPr>
      <t>EMC</t>
    </r>
    <r>
      <rPr>
        <sz val="10"/>
        <rFont val="宋体"/>
        <charset val="134"/>
      </rPr>
      <t>项目（广深）</t>
    </r>
  </si>
  <si>
    <t>2016-5-104#</t>
  </si>
  <si>
    <t>删掉原来已经做得</t>
  </si>
  <si>
    <t>维护收入（低杆维护）</t>
  </si>
  <si>
    <t>2016-4-105#</t>
  </si>
  <si>
    <t>根据测算结果调整广深项目收入</t>
  </si>
  <si>
    <t>广深珠高速</t>
  </si>
  <si>
    <t>EMC收入</t>
  </si>
  <si>
    <t>维护收入</t>
  </si>
  <si>
    <t>销项税</t>
  </si>
  <si>
    <t>尾数差</t>
  </si>
  <si>
    <t>广深项目-尾差</t>
  </si>
  <si>
    <t>调整广州中心城项目收入</t>
  </si>
  <si>
    <t>广州中心城</t>
  </si>
  <si>
    <t>补计提广州中心城少确认收入</t>
  </si>
  <si>
    <t>EMC-广州中心城项目</t>
  </si>
  <si>
    <t>2016-12-114</t>
  </si>
  <si>
    <t>反结账</t>
  </si>
  <si>
    <t>原先是以前年度损益调整改为营业收入</t>
  </si>
  <si>
    <t>根据财审金额调整禅城项目收入及应收账款</t>
  </si>
  <si>
    <t>年初长期应收款</t>
  </si>
  <si>
    <t>2015-12-245#</t>
  </si>
  <si>
    <r>
      <rPr>
        <sz val="10"/>
        <rFont val="Arial Narrow"/>
        <charset val="134"/>
      </rPr>
      <t>0722</t>
    </r>
    <r>
      <rPr>
        <sz val="10"/>
        <rFont val="宋体"/>
        <charset val="134"/>
      </rPr>
      <t>修改</t>
    </r>
  </si>
  <si>
    <t>未确认融资收益-一年以上</t>
  </si>
  <si>
    <t>年初一年内到期的非流动资产</t>
  </si>
  <si>
    <t>禅城</t>
  </si>
  <si>
    <t>上年财务费用</t>
  </si>
  <si>
    <t>利息收入</t>
  </si>
  <si>
    <r>
      <rPr>
        <sz val="10"/>
        <rFont val="宋体"/>
        <charset val="134"/>
      </rPr>
      <t>照明工程</t>
    </r>
    <r>
      <rPr>
        <sz val="10"/>
        <rFont val="Arial Narrow"/>
        <charset val="134"/>
      </rPr>
      <t>-</t>
    </r>
    <r>
      <rPr>
        <sz val="10"/>
        <rFont val="宋体"/>
        <charset val="134"/>
      </rPr>
      <t>禅城项目</t>
    </r>
  </si>
  <si>
    <t>未确认融资收益-一年以上-禅城</t>
  </si>
  <si>
    <t>滚调期初禅城项目收入、长期应收款以及应收账款</t>
  </si>
  <si>
    <t>年初</t>
  </si>
  <si>
    <r>
      <rPr>
        <sz val="10"/>
        <rFont val="Arial Narrow"/>
        <charset val="134"/>
      </rPr>
      <t>be</t>
    </r>
    <r>
      <rPr>
        <sz val="10"/>
        <rFont val="宋体"/>
        <charset val="134"/>
      </rPr>
      <t>年</t>
    </r>
  </si>
  <si>
    <t>原财务费用</t>
  </si>
  <si>
    <t>原收入</t>
  </si>
  <si>
    <t>9-1</t>
  </si>
  <si>
    <t>根据差额调整禅城项目</t>
  </si>
  <si>
    <t>2016-12-423#</t>
  </si>
  <si>
    <t>0722修改</t>
  </si>
  <si>
    <t>禅城项目</t>
  </si>
  <si>
    <t>未实现融资收益-一年以上-禅城</t>
  </si>
  <si>
    <t>未实现融资收益-一年以内-禅城</t>
  </si>
  <si>
    <t>财务费用</t>
  </si>
  <si>
    <t>未实现融资收益</t>
  </si>
  <si>
    <t>调整佛一环二标段因修路从2015年10月开始不应结转成本</t>
  </si>
  <si>
    <t>上年营业成本</t>
  </si>
  <si>
    <t>EMC-佛一环二标段</t>
  </si>
  <si>
    <t>年初固定资产</t>
  </si>
  <si>
    <t>累计折旧-节能服务资产</t>
  </si>
  <si>
    <t>根据湘阴实际验收时间调整收入成本</t>
  </si>
  <si>
    <t>湘阴二期</t>
  </si>
  <si>
    <t>年初存货</t>
  </si>
  <si>
    <t>湘阴二期成本</t>
  </si>
  <si>
    <t>管理费用-研发</t>
  </si>
  <si>
    <t>调整阳江项目间接费用</t>
  </si>
  <si>
    <t>年初在建工程</t>
  </si>
  <si>
    <t>节能服务资产-阳江项目</t>
  </si>
  <si>
    <t>证通存货跌价</t>
  </si>
  <si>
    <t>上年管理费用</t>
  </si>
  <si>
    <t>管理费用（15年付款）</t>
  </si>
  <si>
    <r>
      <rPr>
        <b/>
        <sz val="10"/>
        <rFont val="Arial Narrow"/>
        <charset val="134"/>
      </rPr>
      <t>2016</t>
    </r>
    <r>
      <rPr>
        <b/>
        <sz val="10"/>
        <rFont val="宋体"/>
        <charset val="134"/>
      </rPr>
      <t>年调整</t>
    </r>
  </si>
  <si>
    <t>没动，企业不用改</t>
  </si>
  <si>
    <t>2016-12-420#</t>
  </si>
  <si>
    <t>调整禅城设计费</t>
  </si>
  <si>
    <t>系统滚调</t>
  </si>
  <si>
    <t>调整多重分类其他流动资产</t>
  </si>
  <si>
    <t>留抵税额</t>
  </si>
  <si>
    <t>待认证进项税额</t>
  </si>
  <si>
    <t>应交增值税（进项税额）</t>
  </si>
  <si>
    <t>待转销销项期末余额重分类</t>
  </si>
  <si>
    <t>应交增值税（待转销销项）</t>
  </si>
  <si>
    <t>根据财审金额调整禅城项目营改增后增值税及收入：</t>
  </si>
  <si>
    <t>2016-5-134#</t>
  </si>
  <si>
    <t>待转销销项税</t>
  </si>
  <si>
    <t>简易计征</t>
  </si>
  <si>
    <r>
      <rPr>
        <sz val="10"/>
        <rFont val="宋体"/>
        <charset val="134"/>
      </rPr>
      <t>调整</t>
    </r>
    <r>
      <rPr>
        <sz val="10"/>
        <rFont val="Arial Narrow"/>
        <charset val="134"/>
      </rPr>
      <t>16</t>
    </r>
    <r>
      <rPr>
        <sz val="10"/>
        <rFont val="宋体"/>
        <charset val="134"/>
      </rPr>
      <t>年收入</t>
    </r>
  </si>
  <si>
    <t>深圳市灯光管理局</t>
  </si>
  <si>
    <t>2016-12-422#</t>
  </si>
  <si>
    <t>EMC-福田项目</t>
  </si>
  <si>
    <t>账面</t>
  </si>
  <si>
    <t>长期应收款 - 宁夏石嘴山市大武口项目/石嘴山市深阳蓝光市政工程有限公司</t>
  </si>
  <si>
    <t xml:space="preserve">                           -  </t>
  </si>
  <si>
    <t>调整大武口收入</t>
  </si>
  <si>
    <t>主营业务收入 - PPP项目 - 宁夏石嘴山市大武口项目</t>
  </si>
  <si>
    <t>大武口</t>
  </si>
  <si>
    <t>2016-12-331#</t>
  </si>
  <si>
    <t>未实现融资收益 - 宁夏石嘴山市大武口项目/石嘴山市深阳蓝光市政工程有限公司 - 一年以上</t>
  </si>
  <si>
    <t>未确认融资收益</t>
  </si>
  <si>
    <t>应交税费 - 待转销销项税</t>
  </si>
  <si>
    <t>一年内到期的非流动资产 - 宁夏石嘴山市大武口项目</t>
  </si>
  <si>
    <t>调整佛一环二标段因修路从2015年10月开始不应确认成本</t>
  </si>
  <si>
    <t>销售费用</t>
  </si>
  <si>
    <t>项目后期维护费（佛一环）</t>
  </si>
  <si>
    <t>调整</t>
  </si>
  <si>
    <t>营业成本</t>
  </si>
  <si>
    <t>调整大武口预提成本</t>
  </si>
  <si>
    <t>根据财审结果调整公主岭分包成本</t>
  </si>
  <si>
    <t>公主岭项目-分包工程</t>
  </si>
  <si>
    <t>公主岭项目-间接费用</t>
  </si>
  <si>
    <t>湖北同星</t>
  </si>
  <si>
    <t>调整盈余公积</t>
  </si>
  <si>
    <t>调整凯里项目收入</t>
  </si>
  <si>
    <t>贵州凯里</t>
  </si>
  <si>
    <t>凯里项目</t>
  </si>
  <si>
    <t>销项</t>
  </si>
  <si>
    <t>调整应收账款坏账坏账准备</t>
  </si>
  <si>
    <t>根据测算结果调整递延所得税费用</t>
  </si>
  <si>
    <t>所得税费用</t>
  </si>
  <si>
    <t>递延所得税费用</t>
  </si>
  <si>
    <t>调整阳江项目在建工程、固定资产及16年成本</t>
  </si>
  <si>
    <t>EMC</t>
  </si>
  <si>
    <t>节能服务资产累计折旧</t>
  </si>
  <si>
    <t>阳江项目</t>
  </si>
  <si>
    <t>工程施工-阳江项目</t>
  </si>
  <si>
    <t>中山盈点</t>
  </si>
  <si>
    <t>调整嘉峪关清理费</t>
  </si>
  <si>
    <t>根据测算结果调整进项税额转出</t>
  </si>
  <si>
    <t>产品购销</t>
  </si>
  <si>
    <t>EMC（各项目维护成本）</t>
  </si>
  <si>
    <t>其他（进项税额转出）</t>
  </si>
  <si>
    <t>管理费用</t>
  </si>
  <si>
    <t>研发费用（其他）</t>
  </si>
  <si>
    <t>相应调整凯里项目成本</t>
  </si>
  <si>
    <t>凯里项目-直接材料</t>
  </si>
  <si>
    <t>研发费用</t>
  </si>
  <si>
    <t>调整大武口大修费用及相应确认递延所得税资产</t>
  </si>
  <si>
    <t>调整禅城设计费，冲收入，计入费用</t>
  </si>
  <si>
    <t>确认大武口大修费用及相应确认递延所得税资产</t>
  </si>
  <si>
    <t>2016-12-352#</t>
  </si>
  <si>
    <t>2016-12-415#</t>
  </si>
  <si>
    <t>根据新测算数调整递延所得税资产</t>
  </si>
  <si>
    <t>重分类</t>
  </si>
  <si>
    <t>待转销项税</t>
  </si>
  <si>
    <r>
      <rPr>
        <sz val="10"/>
        <color indexed="10"/>
        <rFont val="宋体"/>
        <charset val="134"/>
      </rPr>
      <t>注：以上为编辑区。如果不够用，请在本行之前插入行。请不要在本行及之后输入数据，否则系统将不能汇总。</t>
    </r>
  </si>
  <si>
    <t>计提的资产减值准备</t>
  </si>
  <si>
    <t>固定资产折旧</t>
  </si>
  <si>
    <t>无形资产摊销</t>
  </si>
  <si>
    <t>长期待摊费用摊销</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</si>
  <si>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</si>
  <si>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</si>
  <si>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</si>
  <si>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</si>
  <si>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</si>
  <si>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</si>
  <si>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</si>
  <si>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</si>
  <si>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</si>
  <si>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被审计单位：</t>
  </si>
  <si>
    <r>
      <rPr>
        <sz val="10"/>
        <rFont val="宋体"/>
        <charset val="134"/>
      </rPr>
      <t>签</t>
    </r>
    <r>
      <rPr>
        <sz val="10"/>
        <rFont val="Times New Roman"/>
        <charset val="134"/>
      </rPr>
      <t xml:space="preserve">  </t>
    </r>
    <r>
      <rPr>
        <sz val="10"/>
        <rFont val="宋体"/>
        <charset val="134"/>
      </rPr>
      <t>名</t>
    </r>
  </si>
  <si>
    <r>
      <rPr>
        <sz val="10"/>
        <rFont val="宋体"/>
        <charset val="134"/>
      </rPr>
      <t>日</t>
    </r>
    <r>
      <rPr>
        <sz val="10"/>
        <rFont val="Times New Roman"/>
        <charset val="134"/>
      </rPr>
      <t xml:space="preserve">  </t>
    </r>
    <r>
      <rPr>
        <sz val="10"/>
        <rFont val="宋体"/>
        <charset val="134"/>
      </rPr>
      <t>期</t>
    </r>
  </si>
  <si>
    <r>
      <rPr>
        <sz val="10"/>
        <rFont val="宋体"/>
        <charset val="134"/>
      </rPr>
      <t>项</t>
    </r>
    <r>
      <rPr>
        <sz val="10"/>
        <rFont val="Times New Roman"/>
        <charset val="134"/>
      </rPr>
      <t xml:space="preserve">    </t>
    </r>
    <r>
      <rPr>
        <sz val="10"/>
        <rFont val="宋体"/>
        <charset val="134"/>
      </rPr>
      <t>目：</t>
    </r>
  </si>
  <si>
    <t>现金流量表调整分录汇总表</t>
  </si>
  <si>
    <r>
      <rPr>
        <sz val="10"/>
        <rFont val="宋体"/>
        <charset val="134"/>
      </rPr>
      <t>编</t>
    </r>
    <r>
      <rPr>
        <sz val="10"/>
        <rFont val="Times New Roman"/>
        <charset val="134"/>
      </rPr>
      <t xml:space="preserve"> </t>
    </r>
    <r>
      <rPr>
        <sz val="10"/>
        <rFont val="宋体"/>
        <charset val="134"/>
      </rPr>
      <t>制</t>
    </r>
    <r>
      <rPr>
        <sz val="10"/>
        <rFont val="Times New Roman"/>
        <charset val="134"/>
      </rPr>
      <t>:</t>
    </r>
  </si>
  <si>
    <t>会计期间：</t>
  </si>
  <si>
    <r>
      <rPr>
        <sz val="10"/>
        <rFont val="宋体"/>
        <charset val="134"/>
      </rPr>
      <t>复</t>
    </r>
    <r>
      <rPr>
        <sz val="10"/>
        <rFont val="Times New Roman"/>
        <charset val="134"/>
      </rPr>
      <t xml:space="preserve"> </t>
    </r>
    <r>
      <rPr>
        <sz val="10"/>
        <rFont val="宋体"/>
        <charset val="134"/>
      </rPr>
      <t>核</t>
    </r>
    <r>
      <rPr>
        <sz val="10"/>
        <rFont val="Times New Roman"/>
        <charset val="134"/>
      </rPr>
      <t>:</t>
    </r>
  </si>
  <si>
    <t>审计调整事项及其会计分录</t>
  </si>
  <si>
    <t>索引号</t>
  </si>
  <si>
    <t>调整金额</t>
  </si>
  <si>
    <t>同意调整</t>
  </si>
  <si>
    <t>说明</t>
  </si>
  <si>
    <t>报表项目</t>
  </si>
  <si>
    <t>科目或子目</t>
  </si>
  <si>
    <t>收现增加/付现减少/附表发生额增加</t>
  </si>
  <si>
    <t>付现增加/收现减少/附表发生额减少</t>
  </si>
  <si>
    <t>调整金额合计</t>
  </si>
  <si>
    <t>注：以上为编辑区。如果不够用，请在本行之前插入行。请不要在本行及之后输入数据，否则系统将不能汇总。</t>
  </si>
  <si>
    <r>
      <rPr>
        <sz val="10"/>
        <rFont val="宋体"/>
        <charset val="134"/>
      </rPr>
      <t>资</t>
    </r>
    <r>
      <rPr>
        <sz val="10"/>
        <rFont val="Arial Narrow"/>
        <charset val="134"/>
      </rPr>
      <t xml:space="preserve"> </t>
    </r>
    <r>
      <rPr>
        <sz val="10"/>
        <rFont val="宋体"/>
        <charset val="134"/>
      </rPr>
      <t>产</t>
    </r>
  </si>
  <si>
    <r>
      <rPr>
        <sz val="10"/>
        <rFont val="宋体"/>
        <charset val="134"/>
      </rPr>
      <t>附注</t>
    </r>
  </si>
  <si>
    <r>
      <rPr>
        <sz val="10"/>
        <rFont val="宋体"/>
        <charset val="134"/>
      </rPr>
      <t>年末余额</t>
    </r>
  </si>
  <si>
    <r>
      <rPr>
        <sz val="10"/>
        <rFont val="宋体"/>
        <charset val="134"/>
      </rPr>
      <t>年初余额</t>
    </r>
  </si>
  <si>
    <r>
      <rPr>
        <sz val="10"/>
        <rFont val="宋体"/>
        <charset val="134"/>
      </rPr>
      <t>负债和所有者权益</t>
    </r>
  </si>
  <si>
    <r>
      <rPr>
        <sz val="10"/>
        <rFont val="宋体"/>
        <charset val="134"/>
      </rPr>
      <t>流动资产：</t>
    </r>
  </si>
  <si>
    <r>
      <rPr>
        <sz val="10"/>
        <rFont val="宋体"/>
        <charset val="134"/>
      </rPr>
      <t>流动负债：</t>
    </r>
  </si>
  <si>
    <r>
      <rPr>
        <sz val="10"/>
        <rFont val="宋体"/>
        <charset val="134"/>
      </rPr>
      <t>货币资金</t>
    </r>
  </si>
  <si>
    <r>
      <rPr>
        <sz val="10"/>
        <rFont val="宋体"/>
        <charset val="134"/>
      </rPr>
      <t>（一）</t>
    </r>
  </si>
  <si>
    <r>
      <rPr>
        <sz val="10"/>
        <rFont val="宋体"/>
        <charset val="134"/>
      </rPr>
      <t>短期借款</t>
    </r>
  </si>
  <si>
    <r>
      <rPr>
        <sz val="10"/>
        <rFont val="宋体"/>
        <charset val="134"/>
      </rPr>
      <t>（三十）</t>
    </r>
  </si>
  <si>
    <r>
      <rPr>
        <sz val="10"/>
        <rFont val="宋体"/>
        <charset val="134"/>
      </rPr>
      <t>以公允价值计量且其变动计入当期损益的金融资产</t>
    </r>
  </si>
  <si>
    <r>
      <rPr>
        <sz val="10"/>
        <rFont val="宋体"/>
        <charset val="134"/>
      </rPr>
      <t>（二）</t>
    </r>
  </si>
  <si>
    <r>
      <rPr>
        <sz val="10"/>
        <rFont val="宋体"/>
        <charset val="134"/>
      </rPr>
      <t>以公允价值计量且其变动计入当期损益的金融负债</t>
    </r>
  </si>
  <si>
    <r>
      <rPr>
        <sz val="10"/>
        <rFont val="宋体"/>
        <charset val="134"/>
      </rPr>
      <t>（三十一）</t>
    </r>
  </si>
  <si>
    <r>
      <rPr>
        <sz val="10"/>
        <rFont val="宋体"/>
        <charset val="134"/>
      </rPr>
      <t>应收票据</t>
    </r>
  </si>
  <si>
    <r>
      <rPr>
        <sz val="10"/>
        <rFont val="Arial Narrow"/>
        <charset val="134"/>
      </rPr>
      <t>(</t>
    </r>
    <r>
      <rPr>
        <sz val="10"/>
        <rFont val="宋体"/>
        <charset val="134"/>
      </rPr>
      <t>三</t>
    </r>
    <r>
      <rPr>
        <sz val="10"/>
        <rFont val="Arial Narrow"/>
        <charset val="134"/>
      </rPr>
      <t>)</t>
    </r>
  </si>
  <si>
    <r>
      <rPr>
        <sz val="10"/>
        <rFont val="宋体"/>
        <charset val="134"/>
      </rPr>
      <t>应付票据</t>
    </r>
  </si>
  <si>
    <r>
      <rPr>
        <sz val="10"/>
        <rFont val="宋体"/>
        <charset val="134"/>
      </rPr>
      <t>（三十二）</t>
    </r>
  </si>
  <si>
    <r>
      <rPr>
        <sz val="10"/>
        <rFont val="宋体"/>
        <charset val="134"/>
      </rPr>
      <t>应收账款</t>
    </r>
  </si>
  <si>
    <r>
      <rPr>
        <sz val="10"/>
        <rFont val="Arial Narrow"/>
        <charset val="134"/>
      </rPr>
      <t>(</t>
    </r>
    <r>
      <rPr>
        <sz val="10"/>
        <rFont val="宋体"/>
        <charset val="134"/>
      </rPr>
      <t>六</t>
    </r>
    <r>
      <rPr>
        <sz val="10"/>
        <rFont val="Arial Narrow"/>
        <charset val="134"/>
      </rPr>
      <t>)</t>
    </r>
  </si>
  <si>
    <r>
      <rPr>
        <sz val="10"/>
        <rFont val="宋体"/>
        <charset val="134"/>
      </rPr>
      <t>应付账款</t>
    </r>
  </si>
  <si>
    <r>
      <rPr>
        <sz val="10"/>
        <rFont val="宋体"/>
        <charset val="134"/>
      </rPr>
      <t>（三十三）</t>
    </r>
  </si>
  <si>
    <r>
      <rPr>
        <sz val="10"/>
        <rFont val="宋体"/>
        <charset val="134"/>
      </rPr>
      <t>预付款项</t>
    </r>
  </si>
  <si>
    <r>
      <rPr>
        <sz val="10"/>
        <rFont val="宋体"/>
        <charset val="134"/>
      </rPr>
      <t>（七）</t>
    </r>
  </si>
  <si>
    <r>
      <rPr>
        <sz val="10"/>
        <rFont val="宋体"/>
        <charset val="134"/>
      </rPr>
      <t>预收款项</t>
    </r>
  </si>
  <si>
    <r>
      <rPr>
        <sz val="10"/>
        <rFont val="宋体"/>
        <charset val="134"/>
      </rPr>
      <t>（三十四）</t>
    </r>
  </si>
  <si>
    <r>
      <rPr>
        <sz val="10"/>
        <rFont val="宋体"/>
        <charset val="134"/>
      </rPr>
      <t>应收利息</t>
    </r>
  </si>
  <si>
    <r>
      <rPr>
        <sz val="10"/>
        <rFont val="宋体"/>
        <charset val="134"/>
      </rPr>
      <t>（五）</t>
    </r>
  </si>
  <si>
    <r>
      <rPr>
        <sz val="10"/>
        <rFont val="宋体"/>
        <charset val="134"/>
      </rPr>
      <t>应付职工薪酬</t>
    </r>
  </si>
  <si>
    <r>
      <rPr>
        <sz val="10"/>
        <rFont val="Arial Narrow"/>
        <charset val="134"/>
      </rPr>
      <t>(</t>
    </r>
    <r>
      <rPr>
        <sz val="10"/>
        <rFont val="宋体"/>
        <charset val="134"/>
      </rPr>
      <t>三十五</t>
    </r>
    <r>
      <rPr>
        <sz val="10"/>
        <rFont val="Arial Narrow"/>
        <charset val="134"/>
      </rPr>
      <t>)</t>
    </r>
  </si>
  <si>
    <r>
      <rPr>
        <sz val="10"/>
        <rFont val="宋体"/>
        <charset val="134"/>
      </rPr>
      <t>应收股利</t>
    </r>
  </si>
  <si>
    <r>
      <rPr>
        <sz val="10"/>
        <rFont val="Arial Narrow"/>
        <charset val="134"/>
      </rPr>
      <t>(</t>
    </r>
    <r>
      <rPr>
        <sz val="10"/>
        <rFont val="宋体"/>
        <charset val="134"/>
      </rPr>
      <t>四</t>
    </r>
    <r>
      <rPr>
        <sz val="10"/>
        <rFont val="Arial Narrow"/>
        <charset val="134"/>
      </rPr>
      <t>)</t>
    </r>
  </si>
  <si>
    <r>
      <rPr>
        <sz val="10"/>
        <rFont val="宋体"/>
        <charset val="134"/>
      </rPr>
      <t>应交税费</t>
    </r>
  </si>
  <si>
    <r>
      <rPr>
        <sz val="10"/>
        <rFont val="宋体"/>
        <charset val="134"/>
      </rPr>
      <t>（三十六）</t>
    </r>
  </si>
  <si>
    <r>
      <rPr>
        <sz val="10"/>
        <rFont val="宋体"/>
        <charset val="134"/>
      </rPr>
      <t>其他应收款</t>
    </r>
  </si>
  <si>
    <r>
      <rPr>
        <sz val="10"/>
        <rFont val="宋体"/>
        <charset val="134"/>
      </rPr>
      <t>（八）</t>
    </r>
  </si>
  <si>
    <r>
      <rPr>
        <sz val="10"/>
        <rFont val="宋体"/>
        <charset val="134"/>
      </rPr>
      <t>应付利息</t>
    </r>
  </si>
  <si>
    <r>
      <rPr>
        <sz val="10"/>
        <rFont val="宋体"/>
        <charset val="134"/>
      </rPr>
      <t>（三十七）</t>
    </r>
  </si>
  <si>
    <r>
      <rPr>
        <sz val="10"/>
        <rFont val="宋体"/>
        <charset val="134"/>
      </rPr>
      <t>存货</t>
    </r>
  </si>
  <si>
    <r>
      <rPr>
        <sz val="10"/>
        <rFont val="宋体"/>
        <charset val="134"/>
      </rPr>
      <t>（九）</t>
    </r>
  </si>
  <si>
    <r>
      <rPr>
        <sz val="10"/>
        <rFont val="宋体"/>
        <charset val="134"/>
      </rPr>
      <t>应付股利</t>
    </r>
  </si>
  <si>
    <r>
      <rPr>
        <sz val="10"/>
        <rFont val="宋体"/>
        <charset val="134"/>
      </rPr>
      <t>（三十八）</t>
    </r>
  </si>
  <si>
    <r>
      <rPr>
        <sz val="10"/>
        <rFont val="宋体"/>
        <charset val="134"/>
      </rPr>
      <t>一年内到期的非流动资产</t>
    </r>
  </si>
  <si>
    <r>
      <rPr>
        <sz val="10"/>
        <rFont val="宋体"/>
        <charset val="134"/>
      </rPr>
      <t>（六十七）</t>
    </r>
  </si>
  <si>
    <r>
      <rPr>
        <sz val="10"/>
        <rFont val="宋体"/>
        <charset val="134"/>
      </rPr>
      <t>其他应付款</t>
    </r>
  </si>
  <si>
    <r>
      <rPr>
        <sz val="10"/>
        <rFont val="宋体"/>
        <charset val="134"/>
      </rPr>
      <t>（三十九）</t>
    </r>
  </si>
  <si>
    <r>
      <rPr>
        <sz val="10"/>
        <rFont val="宋体"/>
        <charset val="134"/>
      </rPr>
      <t>其他流动资产</t>
    </r>
  </si>
  <si>
    <r>
      <rPr>
        <sz val="10"/>
        <rFont val="宋体"/>
        <charset val="134"/>
      </rPr>
      <t>（十）</t>
    </r>
  </si>
  <si>
    <r>
      <rPr>
        <sz val="10"/>
        <rFont val="宋体"/>
        <charset val="134"/>
      </rPr>
      <t>一年内到期的非流动负债</t>
    </r>
  </si>
  <si>
    <r>
      <rPr>
        <sz val="10"/>
        <rFont val="宋体"/>
        <charset val="134"/>
      </rPr>
      <t>（四十一）</t>
    </r>
  </si>
  <si>
    <r>
      <rPr>
        <sz val="10"/>
        <rFont val="宋体"/>
        <charset val="134"/>
      </rPr>
      <t>持有待售资产</t>
    </r>
  </si>
  <si>
    <r>
      <rPr>
        <sz val="10"/>
        <rFont val="宋体"/>
        <charset val="134"/>
      </rPr>
      <t>（六十五）</t>
    </r>
  </si>
  <si>
    <r>
      <rPr>
        <sz val="10"/>
        <rFont val="宋体"/>
        <charset val="134"/>
      </rPr>
      <t>其他流动负债</t>
    </r>
  </si>
  <si>
    <r>
      <rPr>
        <sz val="10"/>
        <rFont val="宋体"/>
        <charset val="134"/>
      </rPr>
      <t>（四十二）</t>
    </r>
  </si>
  <si>
    <r>
      <rPr>
        <sz val="10"/>
        <rFont val="宋体"/>
        <charset val="134"/>
      </rPr>
      <t>流动资产合计</t>
    </r>
  </si>
  <si>
    <r>
      <rPr>
        <sz val="10"/>
        <rFont val="宋体"/>
        <charset val="134"/>
      </rPr>
      <t>持有待售负债</t>
    </r>
  </si>
  <si>
    <r>
      <rPr>
        <sz val="10"/>
        <rFont val="宋体"/>
        <charset val="134"/>
      </rPr>
      <t>（六十六）</t>
    </r>
  </si>
  <si>
    <r>
      <rPr>
        <sz val="10"/>
        <rFont val="宋体"/>
        <charset val="134"/>
      </rPr>
      <t>流动负债合计</t>
    </r>
  </si>
  <si>
    <r>
      <rPr>
        <sz val="10"/>
        <rFont val="宋体"/>
        <charset val="134"/>
      </rPr>
      <t>非流动资产：</t>
    </r>
  </si>
  <si>
    <r>
      <rPr>
        <sz val="10"/>
        <rFont val="宋体"/>
        <charset val="134"/>
      </rPr>
      <t>可供出售金融资产</t>
    </r>
  </si>
  <si>
    <r>
      <rPr>
        <sz val="10"/>
        <rFont val="宋体"/>
        <charset val="134"/>
      </rPr>
      <t>（十一）</t>
    </r>
  </si>
  <si>
    <r>
      <rPr>
        <sz val="10"/>
        <rFont val="宋体"/>
        <charset val="134"/>
      </rPr>
      <t>非流动负债：</t>
    </r>
  </si>
  <si>
    <r>
      <rPr>
        <sz val="10"/>
        <rFont val="宋体"/>
        <charset val="134"/>
      </rPr>
      <t>持有至到期投资</t>
    </r>
  </si>
  <si>
    <r>
      <rPr>
        <sz val="10"/>
        <rFont val="宋体"/>
        <charset val="134"/>
      </rPr>
      <t>（十二）</t>
    </r>
  </si>
  <si>
    <r>
      <rPr>
        <sz val="10"/>
        <rFont val="宋体"/>
        <charset val="134"/>
      </rPr>
      <t>长期借款</t>
    </r>
  </si>
  <si>
    <r>
      <rPr>
        <sz val="10"/>
        <rFont val="宋体"/>
        <charset val="134"/>
      </rPr>
      <t>（四十三）</t>
    </r>
  </si>
  <si>
    <r>
      <rPr>
        <sz val="10"/>
        <rFont val="宋体"/>
        <charset val="134"/>
      </rPr>
      <t>长期应收款</t>
    </r>
  </si>
  <si>
    <r>
      <rPr>
        <sz val="10"/>
        <rFont val="宋体"/>
        <charset val="134"/>
      </rPr>
      <t>（十三）</t>
    </r>
  </si>
  <si>
    <r>
      <rPr>
        <sz val="10"/>
        <rFont val="宋体"/>
        <charset val="134"/>
      </rPr>
      <t>应付债券</t>
    </r>
  </si>
  <si>
    <r>
      <rPr>
        <sz val="10"/>
        <rFont val="宋体"/>
        <charset val="134"/>
      </rPr>
      <t>（四十四）</t>
    </r>
  </si>
  <si>
    <r>
      <rPr>
        <sz val="10"/>
        <rFont val="宋体"/>
        <charset val="134"/>
      </rPr>
      <t>长期股权投资</t>
    </r>
  </si>
  <si>
    <r>
      <rPr>
        <sz val="10"/>
        <rFont val="宋体"/>
        <charset val="134"/>
      </rPr>
      <t>（十五）</t>
    </r>
  </si>
  <si>
    <r>
      <rPr>
        <sz val="10"/>
        <rFont val="宋体"/>
        <charset val="134"/>
      </rPr>
      <t>长期应付款</t>
    </r>
  </si>
  <si>
    <r>
      <rPr>
        <sz val="10"/>
        <rFont val="宋体"/>
        <charset val="134"/>
      </rPr>
      <t>（四十五）</t>
    </r>
  </si>
  <si>
    <r>
      <rPr>
        <sz val="10"/>
        <rFont val="宋体"/>
        <charset val="134"/>
      </rPr>
      <t>投资性房地产</t>
    </r>
  </si>
  <si>
    <r>
      <rPr>
        <sz val="10"/>
        <rFont val="宋体"/>
        <charset val="134"/>
      </rPr>
      <t>（十六）</t>
    </r>
  </si>
  <si>
    <r>
      <rPr>
        <sz val="10"/>
        <rFont val="宋体"/>
        <charset val="134"/>
      </rPr>
      <t>专项应付款</t>
    </r>
  </si>
  <si>
    <r>
      <rPr>
        <sz val="10"/>
        <rFont val="宋体"/>
        <charset val="134"/>
      </rPr>
      <t>（四十六）</t>
    </r>
  </si>
  <si>
    <r>
      <rPr>
        <sz val="10"/>
        <rFont val="宋体"/>
        <charset val="134"/>
      </rPr>
      <t>固定资产</t>
    </r>
  </si>
  <si>
    <r>
      <rPr>
        <sz val="10"/>
        <rFont val="宋体"/>
        <charset val="134"/>
      </rPr>
      <t>（十七）</t>
    </r>
  </si>
  <si>
    <r>
      <rPr>
        <sz val="10"/>
        <rFont val="宋体"/>
        <charset val="134"/>
      </rPr>
      <t>预计负债</t>
    </r>
  </si>
  <si>
    <r>
      <rPr>
        <sz val="10"/>
        <rFont val="宋体"/>
        <charset val="134"/>
      </rPr>
      <t>（四十）</t>
    </r>
  </si>
  <si>
    <r>
      <rPr>
        <sz val="10"/>
        <rFont val="宋体"/>
        <charset val="134"/>
      </rPr>
      <t>在建工程</t>
    </r>
  </si>
  <si>
    <r>
      <rPr>
        <sz val="10"/>
        <rFont val="宋体"/>
        <charset val="134"/>
      </rPr>
      <t>（十八）</t>
    </r>
  </si>
  <si>
    <r>
      <rPr>
        <sz val="10"/>
        <rFont val="宋体"/>
        <charset val="134"/>
      </rPr>
      <t>递延所得税负债</t>
    </r>
  </si>
  <si>
    <r>
      <rPr>
        <sz val="10"/>
        <rFont val="宋体"/>
        <charset val="134"/>
      </rPr>
      <t>（二十七）</t>
    </r>
  </si>
  <si>
    <r>
      <rPr>
        <sz val="10"/>
        <rFont val="宋体"/>
        <charset val="134"/>
      </rPr>
      <t>工程物资</t>
    </r>
  </si>
  <si>
    <r>
      <rPr>
        <sz val="10"/>
        <rFont val="宋体"/>
        <charset val="134"/>
      </rPr>
      <t>（十九）</t>
    </r>
  </si>
  <si>
    <r>
      <rPr>
        <sz val="10"/>
        <rFont val="宋体"/>
        <charset val="134"/>
      </rPr>
      <t>其他非流动负债</t>
    </r>
  </si>
  <si>
    <r>
      <rPr>
        <sz val="10"/>
        <rFont val="宋体"/>
        <charset val="134"/>
      </rPr>
      <t>（四十七）</t>
    </r>
  </si>
  <si>
    <r>
      <rPr>
        <sz val="10"/>
        <rFont val="宋体"/>
        <charset val="134"/>
      </rPr>
      <t>固定资产清理</t>
    </r>
  </si>
  <si>
    <r>
      <rPr>
        <sz val="10"/>
        <rFont val="宋体"/>
        <charset val="134"/>
      </rPr>
      <t>（二十）</t>
    </r>
  </si>
  <si>
    <r>
      <rPr>
        <sz val="10"/>
        <rFont val="宋体"/>
        <charset val="134"/>
      </rPr>
      <t>递延收益</t>
    </r>
  </si>
  <si>
    <r>
      <rPr>
        <sz val="10"/>
        <rFont val="宋体"/>
        <charset val="134"/>
      </rPr>
      <t>（五十四）</t>
    </r>
  </si>
  <si>
    <r>
      <rPr>
        <sz val="10"/>
        <rFont val="宋体"/>
        <charset val="134"/>
      </rPr>
      <t>生产性生物资产</t>
    </r>
  </si>
  <si>
    <r>
      <rPr>
        <sz val="10"/>
        <rFont val="宋体"/>
        <charset val="134"/>
      </rPr>
      <t>（二十一）</t>
    </r>
  </si>
  <si>
    <r>
      <rPr>
        <sz val="10"/>
        <rFont val="宋体"/>
        <charset val="134"/>
      </rPr>
      <t>非流动负债合计</t>
    </r>
  </si>
  <si>
    <r>
      <rPr>
        <sz val="10"/>
        <rFont val="宋体"/>
        <charset val="134"/>
      </rPr>
      <t>油气资产</t>
    </r>
  </si>
  <si>
    <r>
      <rPr>
        <sz val="10"/>
        <rFont val="宋体"/>
        <charset val="134"/>
      </rPr>
      <t>（二十二）</t>
    </r>
  </si>
  <si>
    <r>
      <rPr>
        <sz val="10"/>
        <rFont val="宋体"/>
        <charset val="134"/>
      </rPr>
      <t>无形资产</t>
    </r>
  </si>
  <si>
    <r>
      <rPr>
        <sz val="10"/>
        <rFont val="宋体"/>
        <charset val="134"/>
      </rPr>
      <t>（二十三）</t>
    </r>
  </si>
  <si>
    <r>
      <rPr>
        <sz val="10"/>
        <rFont val="宋体"/>
        <charset val="134"/>
      </rPr>
      <t>负债合计</t>
    </r>
  </si>
  <si>
    <r>
      <rPr>
        <sz val="10"/>
        <rFont val="宋体"/>
        <charset val="134"/>
      </rPr>
      <t>开发支出</t>
    </r>
  </si>
  <si>
    <r>
      <rPr>
        <sz val="10"/>
        <rFont val="宋体"/>
        <charset val="134"/>
      </rPr>
      <t>商誉</t>
    </r>
  </si>
  <si>
    <r>
      <rPr>
        <sz val="10"/>
        <rFont val="宋体"/>
        <charset val="134"/>
      </rPr>
      <t>（二十五）</t>
    </r>
  </si>
  <si>
    <r>
      <rPr>
        <sz val="10"/>
        <rFont val="宋体"/>
        <charset val="134"/>
      </rPr>
      <t>所有者权益：</t>
    </r>
  </si>
  <si>
    <r>
      <rPr>
        <sz val="10"/>
        <rFont val="宋体"/>
        <charset val="134"/>
      </rPr>
      <t>长期待摊费用</t>
    </r>
  </si>
  <si>
    <r>
      <rPr>
        <sz val="10"/>
        <rFont val="宋体"/>
        <charset val="134"/>
      </rPr>
      <t>（二十四）</t>
    </r>
  </si>
  <si>
    <r>
      <rPr>
        <sz val="10"/>
        <rFont val="宋体"/>
        <charset val="134"/>
      </rPr>
      <t>实收资本（或股本）</t>
    </r>
  </si>
  <si>
    <r>
      <rPr>
        <sz val="10"/>
        <rFont val="宋体"/>
        <charset val="134"/>
      </rPr>
      <t>（四十八）</t>
    </r>
  </si>
  <si>
    <r>
      <rPr>
        <sz val="10"/>
        <rFont val="宋体"/>
        <charset val="134"/>
      </rPr>
      <t>递延所得税资产</t>
    </r>
  </si>
  <si>
    <r>
      <rPr>
        <sz val="10"/>
        <rFont val="宋体"/>
        <charset val="134"/>
      </rPr>
      <t>资本公积</t>
    </r>
  </si>
  <si>
    <r>
      <rPr>
        <sz val="10"/>
        <rFont val="宋体"/>
        <charset val="134"/>
      </rPr>
      <t>（五十一）</t>
    </r>
  </si>
  <si>
    <r>
      <rPr>
        <sz val="10"/>
        <rFont val="宋体"/>
        <charset val="134"/>
      </rPr>
      <t>其他非流动资产</t>
    </r>
  </si>
  <si>
    <r>
      <rPr>
        <sz val="10"/>
        <rFont val="宋体"/>
        <charset val="134"/>
      </rPr>
      <t>（二十六）</t>
    </r>
  </si>
  <si>
    <r>
      <rPr>
        <sz val="10"/>
        <rFont val="宋体"/>
        <charset val="134"/>
      </rPr>
      <t>减：库存股</t>
    </r>
  </si>
  <si>
    <r>
      <rPr>
        <sz val="10"/>
        <rFont val="宋体"/>
        <charset val="134"/>
      </rPr>
      <t>（四十九）</t>
    </r>
  </si>
  <si>
    <t/>
  </si>
  <si>
    <r>
      <rPr>
        <sz val="10"/>
        <rFont val="宋体"/>
        <charset val="134"/>
      </rPr>
      <t>盈余公积</t>
    </r>
  </si>
  <si>
    <r>
      <rPr>
        <sz val="10"/>
        <rFont val="宋体"/>
        <charset val="134"/>
      </rPr>
      <t>（五十二）</t>
    </r>
  </si>
  <si>
    <r>
      <rPr>
        <sz val="10"/>
        <rFont val="宋体"/>
        <charset val="134"/>
      </rPr>
      <t>非流动资产合计</t>
    </r>
  </si>
  <si>
    <r>
      <rPr>
        <sz val="10"/>
        <rFont val="宋体"/>
        <charset val="134"/>
      </rPr>
      <t>未分配利润</t>
    </r>
  </si>
  <si>
    <r>
      <rPr>
        <sz val="10"/>
        <rFont val="宋体"/>
        <charset val="134"/>
      </rPr>
      <t>（五十三）</t>
    </r>
  </si>
  <si>
    <r>
      <rPr>
        <sz val="10"/>
        <rFont val="宋体"/>
        <charset val="134"/>
      </rPr>
      <t>外币报表折算差额</t>
    </r>
  </si>
  <si>
    <r>
      <rPr>
        <sz val="10"/>
        <rFont val="宋体"/>
        <charset val="134"/>
      </rPr>
      <t>其他综合收益</t>
    </r>
  </si>
  <si>
    <r>
      <rPr>
        <sz val="10"/>
        <rFont val="宋体"/>
        <charset val="134"/>
      </rPr>
      <t>（六十四）</t>
    </r>
  </si>
  <si>
    <r>
      <rPr>
        <sz val="10"/>
        <rFont val="宋体"/>
        <charset val="134"/>
      </rPr>
      <t>归属于母公司所有者权益合计</t>
    </r>
  </si>
  <si>
    <r>
      <rPr>
        <sz val="10"/>
        <rFont val="宋体"/>
        <charset val="134"/>
      </rPr>
      <t>少数股东权益</t>
    </r>
  </si>
  <si>
    <r>
      <rPr>
        <sz val="10"/>
        <rFont val="宋体"/>
        <charset val="134"/>
      </rPr>
      <t>所有者权益合计</t>
    </r>
  </si>
  <si>
    <r>
      <rPr>
        <sz val="10"/>
        <rFont val="宋体"/>
        <charset val="134"/>
      </rPr>
      <t>资产总计</t>
    </r>
  </si>
  <si>
    <r>
      <rPr>
        <sz val="10"/>
        <rFont val="宋体"/>
        <charset val="134"/>
      </rPr>
      <t>负债和所有者权益总计</t>
    </r>
  </si>
  <si>
    <r>
      <rPr>
        <sz val="10"/>
        <rFont val="宋体"/>
        <charset val="134"/>
      </rPr>
      <t>项目</t>
    </r>
  </si>
  <si>
    <r>
      <rPr>
        <sz val="10"/>
        <rFont val="宋体"/>
        <charset val="134"/>
      </rPr>
      <t>本年金额</t>
    </r>
  </si>
  <si>
    <r>
      <rPr>
        <sz val="10"/>
        <rFont val="宋体"/>
        <charset val="134"/>
      </rPr>
      <t>上年金额</t>
    </r>
  </si>
  <si>
    <r>
      <rPr>
        <sz val="10"/>
        <rFont val="宋体"/>
        <charset val="134"/>
      </rPr>
      <t>一、营业收入</t>
    </r>
  </si>
  <si>
    <r>
      <rPr>
        <sz val="10"/>
        <rFont val="宋体"/>
        <charset val="134"/>
      </rPr>
      <t>减：营业成本</t>
    </r>
  </si>
  <si>
    <r>
      <rPr>
        <sz val="10"/>
        <rFont val="Arial Narrow"/>
        <charset val="134"/>
      </rPr>
      <t xml:space="preserve">    </t>
    </r>
    <r>
      <rPr>
        <sz val="10"/>
        <rFont val="宋体"/>
        <charset val="134"/>
      </rPr>
      <t>营业税金及附加</t>
    </r>
  </si>
  <si>
    <r>
      <rPr>
        <sz val="10"/>
        <rFont val="宋体"/>
        <charset val="134"/>
      </rPr>
      <t>（五十六）</t>
    </r>
  </si>
  <si>
    <r>
      <rPr>
        <sz val="10"/>
        <rFont val="Arial Narrow"/>
        <charset val="134"/>
      </rPr>
      <t xml:space="preserve">    </t>
    </r>
    <r>
      <rPr>
        <sz val="10"/>
        <rFont val="宋体"/>
        <charset val="134"/>
      </rPr>
      <t>销售费用</t>
    </r>
  </si>
  <si>
    <r>
      <rPr>
        <sz val="10"/>
        <rFont val="宋体"/>
        <charset val="134"/>
      </rPr>
      <t>（六十）</t>
    </r>
  </si>
  <si>
    <r>
      <rPr>
        <sz val="10"/>
        <rFont val="Arial Narrow"/>
        <charset val="134"/>
      </rPr>
      <t xml:space="preserve">    </t>
    </r>
    <r>
      <rPr>
        <sz val="10"/>
        <rFont val="宋体"/>
        <charset val="134"/>
      </rPr>
      <t>管理费用</t>
    </r>
  </si>
  <si>
    <r>
      <rPr>
        <sz val="10"/>
        <rFont val="Arial Narrow"/>
        <charset val="134"/>
      </rPr>
      <t xml:space="preserve">    </t>
    </r>
    <r>
      <rPr>
        <sz val="10"/>
        <rFont val="宋体"/>
        <charset val="134"/>
      </rPr>
      <t>财务费用</t>
    </r>
  </si>
  <si>
    <r>
      <rPr>
        <sz val="10"/>
        <rFont val="Arial Narrow"/>
        <charset val="134"/>
      </rPr>
      <t xml:space="preserve">    </t>
    </r>
    <r>
      <rPr>
        <sz val="10"/>
        <rFont val="宋体"/>
        <charset val="134"/>
      </rPr>
      <t>资产减值损失</t>
    </r>
  </si>
  <si>
    <r>
      <rPr>
        <sz val="10"/>
        <rFont val="宋体"/>
        <charset val="134"/>
      </rPr>
      <t>（五十九）</t>
    </r>
  </si>
  <si>
    <r>
      <rPr>
        <sz val="10"/>
        <rFont val="宋体"/>
        <charset val="134"/>
      </rPr>
      <t>加：公允价值变动收益</t>
    </r>
  </si>
  <si>
    <r>
      <rPr>
        <sz val="10"/>
        <rFont val="宋体"/>
        <charset val="134"/>
      </rPr>
      <t>（五十七）</t>
    </r>
  </si>
  <si>
    <r>
      <rPr>
        <sz val="10"/>
        <rFont val="Arial Narrow"/>
        <charset val="134"/>
      </rPr>
      <t xml:space="preserve">    </t>
    </r>
    <r>
      <rPr>
        <sz val="10"/>
        <rFont val="宋体"/>
        <charset val="134"/>
      </rPr>
      <t>投资收益</t>
    </r>
  </si>
  <si>
    <r>
      <rPr>
        <sz val="10"/>
        <rFont val="宋体"/>
        <charset val="134"/>
      </rPr>
      <t>（五十八）</t>
    </r>
  </si>
  <si>
    <r>
      <rPr>
        <sz val="10"/>
        <rFont val="Arial Narrow"/>
        <charset val="134"/>
      </rPr>
      <t xml:space="preserve">    </t>
    </r>
    <r>
      <rPr>
        <sz val="10"/>
        <rFont val="宋体"/>
        <charset val="134"/>
      </rPr>
      <t>其中：对联营企业和合营企业的投资收益</t>
    </r>
  </si>
  <si>
    <r>
      <rPr>
        <sz val="10"/>
        <rFont val="Arial Narrow"/>
        <charset val="134"/>
      </rPr>
      <t xml:space="preserve">    </t>
    </r>
    <r>
      <rPr>
        <sz val="10"/>
        <rFont val="宋体"/>
        <charset val="134"/>
      </rPr>
      <t>资产处置收益</t>
    </r>
  </si>
  <si>
    <r>
      <rPr>
        <sz val="10"/>
        <rFont val="宋体"/>
        <charset val="134"/>
      </rPr>
      <t>（六十八）</t>
    </r>
  </si>
  <si>
    <r>
      <rPr>
        <sz val="10"/>
        <rFont val="Arial Narrow"/>
        <charset val="134"/>
      </rPr>
      <t xml:space="preserve">    </t>
    </r>
    <r>
      <rPr>
        <sz val="10"/>
        <rFont val="宋体"/>
        <charset val="134"/>
      </rPr>
      <t>汇兑收益</t>
    </r>
  </si>
  <si>
    <r>
      <rPr>
        <sz val="10"/>
        <rFont val="Arial Narrow"/>
        <charset val="134"/>
      </rPr>
      <t xml:space="preserve">    </t>
    </r>
    <r>
      <rPr>
        <sz val="10"/>
        <rFont val="宋体"/>
        <charset val="134"/>
      </rPr>
      <t>其他收益</t>
    </r>
  </si>
  <si>
    <r>
      <rPr>
        <sz val="10"/>
        <rFont val="宋体"/>
        <charset val="134"/>
      </rPr>
      <t>（六十九）</t>
    </r>
  </si>
  <si>
    <r>
      <rPr>
        <sz val="10"/>
        <rFont val="宋体"/>
        <charset val="134"/>
      </rPr>
      <t>二、营业利润</t>
    </r>
  </si>
  <si>
    <r>
      <rPr>
        <sz val="10"/>
        <rFont val="宋体"/>
        <charset val="134"/>
      </rPr>
      <t>加：营业外收入</t>
    </r>
  </si>
  <si>
    <r>
      <rPr>
        <sz val="10"/>
        <rFont val="宋体"/>
        <charset val="134"/>
      </rPr>
      <t>（六十一）</t>
    </r>
  </si>
  <si>
    <r>
      <rPr>
        <sz val="10"/>
        <rFont val="宋体"/>
        <charset val="134"/>
      </rPr>
      <t>减：营业外支出</t>
    </r>
  </si>
  <si>
    <r>
      <rPr>
        <sz val="10"/>
        <rFont val="宋体"/>
        <charset val="134"/>
      </rPr>
      <t>（六十二）</t>
    </r>
  </si>
  <si>
    <r>
      <rPr>
        <sz val="10"/>
        <rFont val="宋体"/>
        <charset val="134"/>
      </rPr>
      <t>三、利润总额</t>
    </r>
  </si>
  <si>
    <r>
      <rPr>
        <sz val="10"/>
        <rFont val="宋体"/>
        <charset val="134"/>
      </rPr>
      <t>减：所得税费用</t>
    </r>
  </si>
  <si>
    <r>
      <rPr>
        <sz val="10"/>
        <rFont val="宋体"/>
        <charset val="134"/>
      </rPr>
      <t>（六十三）</t>
    </r>
  </si>
  <si>
    <r>
      <rPr>
        <sz val="10"/>
        <rFont val="宋体"/>
        <charset val="134"/>
      </rPr>
      <t>四、净利润</t>
    </r>
  </si>
  <si>
    <r>
      <rPr>
        <sz val="10"/>
        <rFont val="Arial Narrow"/>
        <charset val="134"/>
      </rPr>
      <t xml:space="preserve">    </t>
    </r>
    <r>
      <rPr>
        <sz val="10"/>
        <rFont val="宋体"/>
        <charset val="134"/>
      </rPr>
      <t>归属于母公司所有者的净利润</t>
    </r>
  </si>
  <si>
    <r>
      <rPr>
        <sz val="10"/>
        <rFont val="Arial Narrow"/>
        <charset val="134"/>
      </rPr>
      <t xml:space="preserve">    </t>
    </r>
    <r>
      <rPr>
        <sz val="10"/>
        <rFont val="宋体"/>
        <charset val="134"/>
      </rPr>
      <t>少数股东损益</t>
    </r>
  </si>
  <si>
    <r>
      <rPr>
        <sz val="10"/>
        <rFont val="Arial Narrow"/>
        <charset val="134"/>
      </rPr>
      <t xml:space="preserve">   </t>
    </r>
    <r>
      <rPr>
        <sz val="10"/>
        <rFont val="宋体"/>
        <charset val="134"/>
      </rPr>
      <t>（一）持续经营净利润（净亏损以</t>
    </r>
    <r>
      <rPr>
        <sz val="10"/>
        <rFont val="Arial Narrow"/>
        <charset val="134"/>
      </rPr>
      <t>“</t>
    </r>
    <r>
      <rPr>
        <sz val="10"/>
        <rFont val="宋体"/>
        <charset val="134"/>
      </rPr>
      <t>－</t>
    </r>
    <r>
      <rPr>
        <sz val="10"/>
        <rFont val="Arial Narrow"/>
        <charset val="134"/>
      </rPr>
      <t>”</t>
    </r>
    <r>
      <rPr>
        <sz val="10"/>
        <rFont val="宋体"/>
        <charset val="134"/>
      </rPr>
      <t>号填列）</t>
    </r>
  </si>
  <si>
    <r>
      <rPr>
        <sz val="10"/>
        <rFont val="Arial Narrow"/>
        <charset val="134"/>
      </rPr>
      <t xml:space="preserve">   </t>
    </r>
    <r>
      <rPr>
        <sz val="10"/>
        <rFont val="宋体"/>
        <charset val="134"/>
      </rPr>
      <t>（二）终止经营净利润（净亏损以</t>
    </r>
    <r>
      <rPr>
        <sz val="10"/>
        <rFont val="Arial Narrow"/>
        <charset val="134"/>
      </rPr>
      <t>“</t>
    </r>
    <r>
      <rPr>
        <sz val="10"/>
        <rFont val="宋体"/>
        <charset val="134"/>
      </rPr>
      <t>－</t>
    </r>
    <r>
      <rPr>
        <sz val="10"/>
        <rFont val="Arial Narrow"/>
        <charset val="134"/>
      </rPr>
      <t>”</t>
    </r>
    <r>
      <rPr>
        <sz val="10"/>
        <rFont val="宋体"/>
        <charset val="134"/>
      </rPr>
      <t>号填列）</t>
    </r>
  </si>
  <si>
    <r>
      <rPr>
        <sz val="10"/>
        <rFont val="宋体"/>
        <charset val="134"/>
      </rPr>
      <t>五、其他综合收益的税后净额</t>
    </r>
  </si>
  <si>
    <r>
      <rPr>
        <sz val="10"/>
        <rFont val="宋体"/>
        <charset val="134"/>
      </rPr>
      <t>六、综合收益总额</t>
    </r>
  </si>
  <si>
    <r>
      <rPr>
        <sz val="10"/>
        <rFont val="宋体"/>
        <charset val="134"/>
      </rPr>
      <t>七、每股收益：</t>
    </r>
  </si>
  <si>
    <r>
      <rPr>
        <sz val="10"/>
        <rFont val="宋体"/>
        <charset val="134"/>
      </rPr>
      <t>（一）基本每股收益</t>
    </r>
  </si>
  <si>
    <r>
      <rPr>
        <sz val="10"/>
        <rFont val="宋体"/>
        <charset val="134"/>
      </rPr>
      <t>（二）稀释每股收益</t>
    </r>
  </si>
  <si>
    <r>
      <rPr>
        <sz val="10"/>
        <rFont val="宋体"/>
        <charset val="134"/>
      </rPr>
      <t>会企</t>
    </r>
    <r>
      <rPr>
        <sz val="10"/>
        <rFont val="Times New Roman"/>
        <charset val="134"/>
      </rPr>
      <t>02</t>
    </r>
    <r>
      <rPr>
        <sz val="10"/>
        <rFont val="宋体"/>
        <charset val="134"/>
      </rPr>
      <t>表</t>
    </r>
  </si>
  <si>
    <t>编制单位：深圳新阳蓝光能源管理科技股份有限公司</t>
  </si>
  <si>
    <t>金额单位：人民币元</t>
  </si>
  <si>
    <t>本年金额</t>
  </si>
  <si>
    <t>上年金额</t>
  </si>
  <si>
    <t>之前版本未区分14、15年损益影响</t>
  </si>
  <si>
    <t xml:space="preserve">    资产处置收益</t>
  </si>
  <si>
    <t>（六十八）</t>
  </si>
  <si>
    <t>（六十九）</t>
  </si>
  <si>
    <t>（六十四）</t>
  </si>
  <si>
    <t>年末资产</t>
  </si>
  <si>
    <t>年初资产</t>
  </si>
  <si>
    <t>年末负债</t>
  </si>
  <si>
    <t>年初负债</t>
  </si>
  <si>
    <t>（一）</t>
  </si>
  <si>
    <t>（三十）</t>
  </si>
  <si>
    <t>（二）</t>
  </si>
  <si>
    <t>（三十一）</t>
  </si>
  <si>
    <t>(三)</t>
  </si>
  <si>
    <t>（三十二）</t>
  </si>
  <si>
    <t>(六)</t>
  </si>
  <si>
    <t>（三十三）</t>
  </si>
  <si>
    <t>科磊得项目维护部分已开票与原记账金额差异，之前版本未调整该部分，其他流动资产也多重分类了</t>
  </si>
  <si>
    <t>（七）</t>
  </si>
  <si>
    <t>（三十四）</t>
  </si>
  <si>
    <t>（五）</t>
  </si>
  <si>
    <t>(三十五)</t>
  </si>
  <si>
    <t>(四)</t>
  </si>
  <si>
    <t>（三十六）</t>
  </si>
  <si>
    <t>（八）</t>
  </si>
  <si>
    <t>（三十七）</t>
  </si>
  <si>
    <r>
      <rPr>
        <sz val="10"/>
        <rFont val="宋体"/>
        <charset val="134"/>
      </rPr>
      <t>期末原因待查，期初系之前版本多调整</t>
    </r>
    <r>
      <rPr>
        <sz val="10"/>
        <rFont val="Times New Roman"/>
        <charset val="134"/>
      </rPr>
      <t>15000</t>
    </r>
  </si>
  <si>
    <t>（九）</t>
  </si>
  <si>
    <t>（三十八）</t>
  </si>
  <si>
    <t>（六十七）</t>
  </si>
  <si>
    <t>（三十九）</t>
  </si>
  <si>
    <t>（十）</t>
  </si>
  <si>
    <t>（四十一）</t>
  </si>
  <si>
    <t>（六十五）</t>
  </si>
  <si>
    <t>（四十二）</t>
  </si>
  <si>
    <t>（六十六）</t>
  </si>
  <si>
    <t>（十一）</t>
  </si>
  <si>
    <t>（十二）</t>
  </si>
  <si>
    <t>（四十三）</t>
  </si>
  <si>
    <t>（十三）</t>
  </si>
  <si>
    <t>（四十四）</t>
  </si>
  <si>
    <t>（十五）</t>
  </si>
  <si>
    <t>（四十五）</t>
  </si>
  <si>
    <t>（十六）</t>
  </si>
  <si>
    <t>（四十六）</t>
  </si>
  <si>
    <t>（十七）</t>
  </si>
  <si>
    <t>（四十）</t>
  </si>
  <si>
    <t>（十八）</t>
  </si>
  <si>
    <t>（二十七）</t>
  </si>
  <si>
    <t>（十九）</t>
  </si>
  <si>
    <t>（四十七）</t>
  </si>
  <si>
    <t>（二十）</t>
  </si>
  <si>
    <t>（二十一）</t>
  </si>
  <si>
    <t>（二十二）</t>
  </si>
  <si>
    <t>（二十三）</t>
  </si>
  <si>
    <t>（二十五）</t>
  </si>
  <si>
    <t>（二十四）</t>
  </si>
  <si>
    <t>（四十八）</t>
  </si>
  <si>
    <t>（五十一）</t>
  </si>
  <si>
    <t>（二十六）</t>
  </si>
  <si>
    <t>（四十九）</t>
  </si>
  <si>
    <t>（五十二）</t>
  </si>
  <si>
    <t>（五十三）</t>
  </si>
  <si>
    <t>年末余额</t>
  </si>
  <si>
    <t>年初余额</t>
  </si>
  <si>
    <t>注：为核对经营活动产生的现金流量净额是否正确，系统生成以下表格，空白部分手工填列（下表不打印）</t>
  </si>
  <si>
    <t xml:space="preserve">     审定附注之非流动资产</t>
  </si>
  <si>
    <t xml:space="preserve">     审定附注之负债及权益</t>
  </si>
  <si>
    <t>审定附注及报表核对—资产类</t>
  </si>
  <si>
    <t>审定报表数</t>
  </si>
  <si>
    <t>审定附注数</t>
  </si>
  <si>
    <t>审定附注及报表核对—负债及权益类</t>
  </si>
  <si>
    <t>审定附注及报表核对—利润类</t>
  </si>
  <si>
    <t>资产表：</t>
  </si>
  <si>
    <t>编制人：</t>
  </si>
  <si>
    <t xml:space="preserve">   索引号：</t>
  </si>
  <si>
    <t>复核人：</t>
  </si>
  <si>
    <t>期末未审数</t>
  </si>
  <si>
    <t>审计调整或重分类金额</t>
  </si>
  <si>
    <t>期末审定数</t>
  </si>
  <si>
    <t>客户报出
会计报表数</t>
  </si>
  <si>
    <t>客户未调整数</t>
  </si>
  <si>
    <t>未调整数占审定数比率</t>
  </si>
  <si>
    <t>借  方</t>
  </si>
  <si>
    <t>贷  方</t>
  </si>
  <si>
    <t>负债和所有者权益表：</t>
  </si>
  <si>
    <t>利润表：</t>
  </si>
  <si>
    <t>本期未审数</t>
  </si>
  <si>
    <t>本期审定数</t>
  </si>
  <si>
    <t>（此表不能改动公式，如有问题，请电3506021）</t>
  </si>
  <si>
    <t>核对</t>
  </si>
  <si>
    <t>（一）货币资金-批露表</t>
  </si>
  <si>
    <t>期末账面余额（原币）</t>
  </si>
  <si>
    <t>美元</t>
  </si>
  <si>
    <t>港币</t>
  </si>
  <si>
    <t>欧元</t>
  </si>
  <si>
    <t>日元</t>
  </si>
  <si>
    <t xml:space="preserve">     港币</t>
  </si>
  <si>
    <t>英镑</t>
  </si>
  <si>
    <t>俄罗斯卢布</t>
  </si>
  <si>
    <t>期末账面余额（折合人民币）</t>
  </si>
  <si>
    <t>期初账面余额（原币）</t>
  </si>
  <si>
    <t>期初账面余额（折合人民币）</t>
  </si>
  <si>
    <t>（二）交易性金融资产-披露表</t>
  </si>
  <si>
    <t>期初公允价值</t>
  </si>
  <si>
    <t>1.交易性债券投资</t>
  </si>
  <si>
    <t>2.交易性权益工具投资</t>
  </si>
  <si>
    <t>3.指定为以公允价值计量且其变动计入当期损益的金融资产</t>
  </si>
  <si>
    <t>4.衍生金融资产</t>
  </si>
  <si>
    <t>5.套期工具</t>
  </si>
  <si>
    <t>6.其他</t>
  </si>
  <si>
    <t>合    计</t>
  </si>
  <si>
    <t>（三）应收票据-披露表</t>
  </si>
  <si>
    <t>期初账面余额</t>
  </si>
  <si>
    <t>合计</t>
  </si>
  <si>
    <t>（四）应收股利-披露表（单独合并）</t>
  </si>
  <si>
    <r>
      <rPr>
        <b/>
        <sz val="9"/>
        <color rgb="FFFF0000"/>
        <rFont val="宋体"/>
        <charset val="134"/>
      </rPr>
      <t>（四）应收股利</t>
    </r>
    <r>
      <rPr>
        <b/>
        <sz val="9"/>
        <color rgb="FFFF0000"/>
        <rFont val="Arial Narrow"/>
        <charset val="134"/>
      </rPr>
      <t>-</t>
    </r>
    <r>
      <rPr>
        <b/>
        <sz val="9"/>
        <color rgb="FFFF0000"/>
        <rFont val="宋体"/>
        <charset val="134"/>
      </rPr>
      <t>披露表（单独合并）</t>
    </r>
  </si>
  <si>
    <t>（五）应收利息-披露表（单独合并）</t>
  </si>
  <si>
    <t>（六）应收账款-披露表</t>
  </si>
  <si>
    <t>1年以内（含1年）</t>
  </si>
  <si>
    <t>1-2年（含2年）</t>
  </si>
  <si>
    <t>2-3年（含3年）</t>
  </si>
  <si>
    <t>3-4年（含4年）</t>
  </si>
  <si>
    <t>4-5年（含5年）</t>
  </si>
  <si>
    <t>5年以上</t>
  </si>
  <si>
    <t>期初坏账准备</t>
  </si>
  <si>
    <t>期初账面净额</t>
  </si>
  <si>
    <t>期末坏账准备</t>
  </si>
  <si>
    <t>期末账面净额</t>
  </si>
  <si>
    <t>单项金额重大并单项计提坏账准备的的应收账款</t>
  </si>
  <si>
    <t>按组合（账龄分析法）计提坏账准备的应收账款</t>
  </si>
  <si>
    <t>单项金额虽不重大但单项计提坏账准备的应收账款</t>
  </si>
  <si>
    <t>（2）-3按组合（账龄分析法）计提坏账准备的应收账款</t>
  </si>
  <si>
    <t>（七）预付款项-披露表</t>
  </si>
  <si>
    <t>1年以内(含1年)</t>
  </si>
  <si>
    <t>1-2年(含2年)</t>
  </si>
  <si>
    <t>2-3年(含3年)</t>
  </si>
  <si>
    <t xml:space="preserve">3年以上 </t>
  </si>
  <si>
    <t>（八）其他应收款-披露表</t>
  </si>
  <si>
    <t>（九）存货-披露表</t>
  </si>
  <si>
    <t>自制半成品</t>
  </si>
  <si>
    <t>低值易耗品</t>
  </si>
  <si>
    <t>委托代销商品</t>
  </si>
  <si>
    <t>增加项目1-</t>
  </si>
  <si>
    <t>增加项目2-</t>
  </si>
  <si>
    <t>增加项目3-</t>
  </si>
  <si>
    <t>增加项目4-</t>
  </si>
  <si>
    <t>增加项目5-</t>
  </si>
  <si>
    <t>增加项目6-</t>
  </si>
  <si>
    <t>增加项目7-</t>
  </si>
  <si>
    <t>增加项目8-</t>
  </si>
  <si>
    <t>期初存货跌价准备</t>
  </si>
  <si>
    <t>期未账面余额</t>
  </si>
  <si>
    <t>期未存货跌价准备</t>
  </si>
  <si>
    <t>补充表-期初账面余额</t>
  </si>
  <si>
    <t>补充表-本期增加</t>
  </si>
  <si>
    <t>补充表-本期减少</t>
  </si>
  <si>
    <t>存货跌价准备-期初账面余额</t>
  </si>
  <si>
    <r>
      <rPr>
        <b/>
        <sz val="9"/>
        <rFont val="宋体"/>
        <charset val="134"/>
      </rPr>
      <t>存货跌价准备</t>
    </r>
    <r>
      <rPr>
        <b/>
        <sz val="9"/>
        <rFont val="Arial Narrow"/>
        <charset val="134"/>
      </rPr>
      <t>-</t>
    </r>
    <r>
      <rPr>
        <b/>
        <sz val="9"/>
        <rFont val="宋体"/>
        <charset val="134"/>
      </rPr>
      <t>期初账面余额</t>
    </r>
  </si>
  <si>
    <t>存货跌价准备--本期计提</t>
  </si>
  <si>
    <r>
      <rPr>
        <b/>
        <sz val="9"/>
        <rFont val="宋体"/>
        <charset val="134"/>
      </rPr>
      <t>存货跌价准备</t>
    </r>
    <r>
      <rPr>
        <b/>
        <sz val="9"/>
        <rFont val="Arial Narrow"/>
        <charset val="134"/>
      </rPr>
      <t>--</t>
    </r>
    <r>
      <rPr>
        <b/>
        <sz val="9"/>
        <rFont val="宋体"/>
        <charset val="134"/>
      </rPr>
      <t>本期计提</t>
    </r>
  </si>
  <si>
    <t>存货跌价准备--本期减少--转回</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</si>
  <si>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转回</t>
    </r>
  </si>
  <si>
    <t>存货跌价准备--本期减少--转销</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</si>
  <si>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转销</t>
    </r>
  </si>
  <si>
    <t>（十）其他流动资产-披露表（单独合并）</t>
  </si>
  <si>
    <t>（十一）可供出售金融资产-披露表</t>
  </si>
  <si>
    <t>可供出售债权投资</t>
  </si>
  <si>
    <t>(十二)持有至到期投资-披露表（单独合并）</t>
  </si>
  <si>
    <t>（十三）长期应收款-披露表</t>
  </si>
  <si>
    <t>（十四）对合营企业及联营企业投资-披露表（单独合并）</t>
  </si>
  <si>
    <t>（十五）长期股权投资-披露表（单独合并）</t>
  </si>
  <si>
    <t>(十六)投资性房地产-披露表</t>
  </si>
  <si>
    <t>（1）成本法计量的投资性房地产</t>
  </si>
  <si>
    <t>1．房屋、建筑物</t>
  </si>
  <si>
    <t>2．土地使用权</t>
  </si>
  <si>
    <t>二、累计折旧或累计摊销合计</t>
  </si>
  <si>
    <t>三、投资性房地产减值准备合计</t>
  </si>
  <si>
    <t>（2）公允价值计量的投资性房地产</t>
  </si>
  <si>
    <t>期初公充价值</t>
  </si>
  <si>
    <t>1.成本合计</t>
  </si>
  <si>
    <t>（1）房屋、建筑物</t>
  </si>
  <si>
    <t>（2）土地使用权</t>
  </si>
  <si>
    <t>（3）其他</t>
  </si>
  <si>
    <t>2.公允价值变动合计</t>
  </si>
  <si>
    <t>3.投资性房地产账面价值合计</t>
  </si>
  <si>
    <t>本期增加-购置</t>
  </si>
  <si>
    <t>本期增加-自用房地产或存货转入</t>
  </si>
  <si>
    <t>本期增加-公允价值变动损益</t>
  </si>
  <si>
    <t>本期减少-处置</t>
  </si>
  <si>
    <t>本期减少-转为自用房地产</t>
  </si>
  <si>
    <t>(十七)固定资产-披露表</t>
  </si>
  <si>
    <t xml:space="preserve">    其中：房屋、建筑物</t>
  </si>
  <si>
    <t>机器设备</t>
  </si>
  <si>
    <t>运输工具</t>
  </si>
  <si>
    <t>电子设备</t>
  </si>
  <si>
    <t>三、固定资产减值准备合计</t>
  </si>
  <si>
    <t>二、累计折旧合计-本期计提</t>
  </si>
  <si>
    <t>期未余额</t>
  </si>
  <si>
    <t>（2）闲置固定资产情况</t>
  </si>
  <si>
    <t>固定资产原价</t>
  </si>
  <si>
    <t>（3）融资租赁租入的固定资产情况</t>
  </si>
  <si>
    <t>（4）经营租赁租出的固定资产情况</t>
  </si>
  <si>
    <t>（5）期末持有待售的固定资产情况</t>
  </si>
  <si>
    <t>账面价值</t>
  </si>
  <si>
    <t>公充价值</t>
  </si>
  <si>
    <t>预计处置费用</t>
  </si>
  <si>
    <t>（十八）在建工程-披露表（单独合并）</t>
  </si>
  <si>
    <t>（十九）工程物资-披露表（单独合并）</t>
  </si>
  <si>
    <t>(二十)固定资产清理-批露（单独合并）</t>
  </si>
  <si>
    <t>（二十一）生产性生物资产及公益性生物资产-批露表</t>
  </si>
  <si>
    <t xml:space="preserve">一、原价合计 </t>
  </si>
  <si>
    <t>其中：种植业</t>
  </si>
  <si>
    <t>……  水产业</t>
  </si>
  <si>
    <t>三、减值准备累计金额合计</t>
  </si>
  <si>
    <t>(二十二)油气资产-批露表</t>
  </si>
  <si>
    <t>1．探明矿区权益</t>
  </si>
  <si>
    <t>2．未探明矿区权益</t>
  </si>
  <si>
    <t>3．井及相关设施</t>
  </si>
  <si>
    <t>2．井及相关设施</t>
  </si>
  <si>
    <t>(二十三)无形资产-披露表</t>
  </si>
  <si>
    <t>1．软件</t>
  </si>
  <si>
    <t>2．专利权</t>
  </si>
  <si>
    <t>3．商标权</t>
  </si>
  <si>
    <t>4．东芝专利使用许可权</t>
  </si>
  <si>
    <t>项目5--</t>
  </si>
  <si>
    <t>项目6--</t>
  </si>
  <si>
    <t>项目7--</t>
  </si>
  <si>
    <t>项目8--</t>
  </si>
  <si>
    <t>项目9--</t>
  </si>
  <si>
    <t>项目10--</t>
  </si>
  <si>
    <t>项目11--</t>
  </si>
  <si>
    <t>项目12--</t>
  </si>
  <si>
    <t>项目13--</t>
  </si>
  <si>
    <t>项目14--</t>
  </si>
  <si>
    <t>（2）公司内部研究开发项目支出</t>
  </si>
  <si>
    <t>研究支出</t>
  </si>
  <si>
    <t>本期减少-计入当期损益</t>
  </si>
  <si>
    <t>本期减少-确认为无形资产</t>
  </si>
  <si>
    <t>(二十四)长期待摊费用-披露表（单独合并）</t>
  </si>
  <si>
    <t>（二十五）商誉-披露表（单独合并）</t>
  </si>
  <si>
    <t>(二十六)其他期资产-批露表（单独合并）</t>
  </si>
  <si>
    <t>(二十七)递延所得税资产-披露表</t>
  </si>
  <si>
    <t>资产减值准备：</t>
  </si>
  <si>
    <t xml:space="preserve">      其中：坏账准备</t>
  </si>
  <si>
    <t xml:space="preserve">           存货减值</t>
  </si>
  <si>
    <t xml:space="preserve">           在建工程减值</t>
  </si>
  <si>
    <t xml:space="preserve">           长期股权投资减值</t>
  </si>
  <si>
    <t xml:space="preserve">           固定资产减值</t>
  </si>
  <si>
    <t xml:space="preserve">            无形资产减值</t>
  </si>
  <si>
    <t xml:space="preserve">            商誉减值</t>
  </si>
  <si>
    <t xml:space="preserve">            减值-新增项目1……</t>
  </si>
  <si>
    <t xml:space="preserve">            减值-新增项目2……</t>
  </si>
  <si>
    <t>开办费</t>
  </si>
  <si>
    <t>可抵扣亏损</t>
  </si>
  <si>
    <t>新增项目1……</t>
  </si>
  <si>
    <t>新增项目2……</t>
  </si>
  <si>
    <t>交易性金融工具、衍生金融工具的估值</t>
  </si>
  <si>
    <t>计入资本公积的可供出售金融资产公允价值变动</t>
  </si>
  <si>
    <t>新增项目3……</t>
  </si>
  <si>
    <t>新增项目4……</t>
  </si>
  <si>
    <t>新增项目5……</t>
  </si>
  <si>
    <t>新增项目6……</t>
  </si>
  <si>
    <t>新增项目7……</t>
  </si>
  <si>
    <t>新增项目8……</t>
  </si>
  <si>
    <t>新增项目9……</t>
  </si>
  <si>
    <t>新增项目10……</t>
  </si>
  <si>
    <t>对应的暂时性差异金额-期末</t>
  </si>
  <si>
    <t>对应的暂时性差异金额-期初</t>
  </si>
  <si>
    <t>（2）未确认递延所得税资产明细</t>
  </si>
  <si>
    <t>可抵扣暂时性差异</t>
  </si>
  <si>
    <t>（3）未确认递延所得税资产的可抵扣亏损将于以下年度到期</t>
  </si>
  <si>
    <t>（二）递延所得税资产和递延所得税负债以抵销后的净额列示</t>
  </si>
  <si>
    <t>（1）互抵后的递延所得税资产及负债的组成项目</t>
  </si>
  <si>
    <t>报告期末互抵后的递延所得税资产或负债</t>
  </si>
  <si>
    <t>报告期末互抵后的可抵扣或应纳税暂时性差异</t>
  </si>
  <si>
    <t>报告期初互抵后的递延所得税资产或负债</t>
  </si>
  <si>
    <t>报告期初互抵后的可抵扣或应纳税暂时性差异</t>
  </si>
  <si>
    <t>（二十八）资产减值准备-批露表</t>
  </si>
  <si>
    <t>存货跌价准备</t>
  </si>
  <si>
    <t>可供出售金融资产减值准备</t>
  </si>
  <si>
    <t>持有至到期投资减值准备</t>
  </si>
  <si>
    <t>长期股权投资减值准备</t>
  </si>
  <si>
    <t>投资性房地产减值准备</t>
  </si>
  <si>
    <t>固定资产减值准备</t>
  </si>
  <si>
    <t>工程物资减值准备</t>
  </si>
  <si>
    <t>在建工程减值准备</t>
  </si>
  <si>
    <t>生产性生物资产减值准备</t>
  </si>
  <si>
    <t>油气资产减值准备</t>
  </si>
  <si>
    <t>无形资产减值准备</t>
  </si>
  <si>
    <t>商誉减值准备</t>
  </si>
  <si>
    <t>本期计提</t>
  </si>
  <si>
    <t>本期减少-转回</t>
  </si>
  <si>
    <t>本期减少-转销</t>
  </si>
  <si>
    <t>（二十九）所有权受到限制的资产-批露表（单独合并）</t>
  </si>
  <si>
    <t>（三十）短期借款-披露表</t>
  </si>
  <si>
    <t>合   计</t>
  </si>
  <si>
    <t>（三十一）交易性金融负债-披露表</t>
  </si>
  <si>
    <t>（三十二）应付票据-披露表</t>
  </si>
  <si>
    <t>信用证</t>
  </si>
  <si>
    <t>远期支票</t>
  </si>
  <si>
    <t>（三十三）应付账款-披露表</t>
  </si>
  <si>
    <t>（三十四）预收款项-披露表</t>
  </si>
  <si>
    <t>（三十五）应付职工薪酬-披露表</t>
  </si>
  <si>
    <t xml:space="preserve"> 其中：1．医疗保险费</t>
  </si>
  <si>
    <t>2．基本养老保险费</t>
  </si>
  <si>
    <t>3．年金缴费</t>
  </si>
  <si>
    <t>4．失业保险费</t>
  </si>
  <si>
    <t>5．工伤保险费</t>
  </si>
  <si>
    <t>6．生育保险费</t>
  </si>
  <si>
    <t>五、工会经费</t>
  </si>
  <si>
    <t>六、职工教育经费</t>
  </si>
  <si>
    <t>七、非货币性福利</t>
  </si>
  <si>
    <t>八、因解除劳动关系给予的补偿（内退支出）</t>
  </si>
  <si>
    <t>九、其他</t>
  </si>
  <si>
    <t xml:space="preserve"> 其中：以现金结算的股份支付</t>
  </si>
  <si>
    <t>本期支付</t>
  </si>
  <si>
    <t>（三十六）应交税费-披露表</t>
  </si>
  <si>
    <t>1.企业所得税</t>
  </si>
  <si>
    <t>2.增值税</t>
  </si>
  <si>
    <t>3.营业税</t>
  </si>
  <si>
    <t>4．消费税</t>
  </si>
  <si>
    <t>5．资源税</t>
  </si>
  <si>
    <t>6．土地增值税</t>
  </si>
  <si>
    <t>7．土地使用税</t>
  </si>
  <si>
    <t>8．房产税</t>
  </si>
  <si>
    <t>9．车船使用税</t>
  </si>
  <si>
    <t>10．城市维护建设税</t>
  </si>
  <si>
    <t>11．教育附加</t>
  </si>
  <si>
    <t>12．矿产资源补偿费</t>
  </si>
  <si>
    <t>13．代扣代缴个人所得税</t>
  </si>
  <si>
    <t>14．印花税</t>
  </si>
  <si>
    <t>15．防洪保安费（堤围费）</t>
  </si>
  <si>
    <t>16．电力监管费</t>
  </si>
  <si>
    <t>17．水资源费</t>
  </si>
  <si>
    <t>18．库区维护费</t>
  </si>
  <si>
    <t>19．其他1-代扣代缴企业所得税</t>
  </si>
  <si>
    <t>20．其他2-</t>
  </si>
  <si>
    <t>21．其他3-</t>
  </si>
  <si>
    <t>22．其他4-</t>
  </si>
  <si>
    <t>23．其他5-</t>
  </si>
  <si>
    <t>24．其他6-</t>
  </si>
  <si>
    <t>本期应交数</t>
  </si>
  <si>
    <t>本期已交数</t>
  </si>
  <si>
    <t>（三十七） 应付利息-批露表</t>
  </si>
  <si>
    <t>分期付息到期还本的长期借款利息</t>
  </si>
  <si>
    <t>企业债券利息</t>
  </si>
  <si>
    <t>短期借款应付利息</t>
  </si>
  <si>
    <t>（三十八）应付股利-披露表（单独合并）</t>
  </si>
  <si>
    <t>（三十九）其他应付款-披露表</t>
  </si>
  <si>
    <t>（四十）预计负债-批露表</t>
  </si>
  <si>
    <t>对外提供担保</t>
  </si>
  <si>
    <t>未决诉讼</t>
  </si>
  <si>
    <t>产品质量保证</t>
  </si>
  <si>
    <t>重组义务</t>
  </si>
  <si>
    <t>辞退福利</t>
  </si>
  <si>
    <t>待执行的亏损合同</t>
  </si>
  <si>
    <t>（四十一）一年内到期的非流动负债-批露表</t>
  </si>
  <si>
    <t>（1）按类别列示如下：</t>
  </si>
  <si>
    <t>一年内到期的长期借款</t>
  </si>
  <si>
    <t>一年内到期的应付债券</t>
  </si>
  <si>
    <t>一年内到期的长期应付款</t>
  </si>
  <si>
    <t>一年内到期内的预计负债</t>
  </si>
  <si>
    <t>（2）一年内到期的长期借款</t>
  </si>
  <si>
    <t>（四十二）其他流动负债-批露表（单独合并）</t>
  </si>
  <si>
    <t>（四十三）长期借款-披露表</t>
  </si>
  <si>
    <t>（四十四）应付债券-披露表（单独合并）</t>
  </si>
  <si>
    <r>
      <rPr>
        <b/>
        <sz val="9"/>
        <color rgb="FFFF0000"/>
        <rFont val="宋体"/>
        <charset val="134"/>
      </rPr>
      <t>（四十四）应付债券</t>
    </r>
    <r>
      <rPr>
        <b/>
        <sz val="9"/>
        <color rgb="FFFF0000"/>
        <rFont val="Arial Narrow"/>
        <charset val="134"/>
      </rPr>
      <t>-</t>
    </r>
    <r>
      <rPr>
        <b/>
        <sz val="9"/>
        <color rgb="FFFF0000"/>
        <rFont val="宋体"/>
        <charset val="134"/>
      </rPr>
      <t>披露表（单独合并）</t>
    </r>
  </si>
  <si>
    <t>（四十五）长期应付款-披露表（单独合并）</t>
  </si>
  <si>
    <r>
      <rPr>
        <b/>
        <sz val="9"/>
        <color rgb="FFFF0000"/>
        <rFont val="宋体"/>
        <charset val="134"/>
      </rPr>
      <t>（四十五）长期应付款</t>
    </r>
    <r>
      <rPr>
        <b/>
        <sz val="9"/>
        <color rgb="FFFF0000"/>
        <rFont val="Arial Narrow"/>
        <charset val="134"/>
      </rPr>
      <t>-</t>
    </r>
    <r>
      <rPr>
        <b/>
        <sz val="9"/>
        <color rgb="FFFF0000"/>
        <rFont val="宋体"/>
        <charset val="134"/>
      </rPr>
      <t>披露表（单独合并）</t>
    </r>
  </si>
  <si>
    <t>（四十六）专项应付款-披露表（单独合并）</t>
  </si>
  <si>
    <r>
      <rPr>
        <b/>
        <sz val="9"/>
        <color rgb="FFFF0000"/>
        <rFont val="宋体"/>
        <charset val="134"/>
      </rPr>
      <t>（四十六）专项应付款</t>
    </r>
    <r>
      <rPr>
        <b/>
        <sz val="9"/>
        <color rgb="FFFF0000"/>
        <rFont val="Arial Narrow"/>
        <charset val="134"/>
      </rPr>
      <t>-</t>
    </r>
    <r>
      <rPr>
        <b/>
        <sz val="9"/>
        <color rgb="FFFF0000"/>
        <rFont val="宋体"/>
        <charset val="134"/>
      </rPr>
      <t>披露表（单独合并）</t>
    </r>
  </si>
  <si>
    <t>（四十七）其他非流动负债-批露表（单独合并）</t>
  </si>
  <si>
    <t>（四十八）实收资本(股本)-披露表（单独合并）</t>
  </si>
  <si>
    <r>
      <rPr>
        <b/>
        <sz val="9"/>
        <color rgb="FFFF0000"/>
        <rFont val="宋体"/>
        <charset val="134"/>
      </rPr>
      <t>（四十八）实收资本</t>
    </r>
    <r>
      <rPr>
        <b/>
        <sz val="9"/>
        <color rgb="FFFF0000"/>
        <rFont val="Arial Narrow"/>
        <charset val="134"/>
      </rPr>
      <t>(</t>
    </r>
    <r>
      <rPr>
        <b/>
        <sz val="9"/>
        <color rgb="FFFF0000"/>
        <rFont val="宋体"/>
        <charset val="134"/>
      </rPr>
      <t>股本</t>
    </r>
    <r>
      <rPr>
        <b/>
        <sz val="9"/>
        <color rgb="FFFF0000"/>
        <rFont val="Arial Narrow"/>
        <charset val="134"/>
      </rPr>
      <t>)-</t>
    </r>
    <r>
      <rPr>
        <b/>
        <sz val="9"/>
        <color rgb="FFFF0000"/>
        <rFont val="宋体"/>
        <charset val="134"/>
      </rPr>
      <t>披露表（单独合并）</t>
    </r>
  </si>
  <si>
    <t>(四十九)库存股相关的如下信息：（单独合并）</t>
  </si>
  <si>
    <t>（五十）专项储备-批露表（单独合并）</t>
  </si>
  <si>
    <t>（五十一）资本公积-披露表</t>
  </si>
  <si>
    <t>1、股本溢价</t>
  </si>
  <si>
    <t>2、其他资本公积</t>
  </si>
  <si>
    <t>(五十二)盈余公积-披露表</t>
  </si>
  <si>
    <t>法定盈余公积</t>
  </si>
  <si>
    <t>任意盈余公积</t>
  </si>
  <si>
    <t>（五十三）未分配利润-披露表（单独合并）</t>
  </si>
  <si>
    <t>（五十四）营业收入-披露表</t>
  </si>
  <si>
    <t>收入-本期实际数</t>
  </si>
  <si>
    <t>主营业务收入</t>
  </si>
  <si>
    <t>其他业务收入</t>
  </si>
  <si>
    <t>收入-上期实际数</t>
  </si>
  <si>
    <t>成本-本期实际数</t>
  </si>
  <si>
    <t>成本-上期实际数</t>
  </si>
  <si>
    <t>（2）主营业务收入情况</t>
  </si>
  <si>
    <t>主营业务收入-本期实际数</t>
  </si>
  <si>
    <t>类别1--打印机耗材</t>
  </si>
  <si>
    <t>类别2--</t>
  </si>
  <si>
    <t>类别3--</t>
  </si>
  <si>
    <t>类别4--</t>
  </si>
  <si>
    <t>类别5--</t>
  </si>
  <si>
    <t>类别6--</t>
  </si>
  <si>
    <t>类别7--</t>
  </si>
  <si>
    <t>类别8--</t>
  </si>
  <si>
    <t>类别9--</t>
  </si>
  <si>
    <t>类别10--</t>
  </si>
  <si>
    <t>类别11--</t>
  </si>
  <si>
    <t>类别12--</t>
  </si>
  <si>
    <t>类别13--</t>
  </si>
  <si>
    <t>类别14--</t>
  </si>
  <si>
    <t>主营业务收入-上期实际数</t>
  </si>
  <si>
    <t>主营业务成本-本期实际数</t>
  </si>
  <si>
    <t>主营业务成本-上期实际数</t>
  </si>
  <si>
    <t>(3)分产品</t>
  </si>
  <si>
    <t>产品名称1--</t>
  </si>
  <si>
    <t>产品名称2--</t>
  </si>
  <si>
    <t>产品名称3--</t>
  </si>
  <si>
    <t>产品名称4--</t>
  </si>
  <si>
    <t>产品名称5--</t>
  </si>
  <si>
    <t>产品名称6--</t>
  </si>
  <si>
    <t>产品名称7--</t>
  </si>
  <si>
    <t>产品名称8--</t>
  </si>
  <si>
    <t>产品名称9--</t>
  </si>
  <si>
    <t>产品名称10--</t>
  </si>
  <si>
    <t>产品名称11--</t>
  </si>
  <si>
    <t>产品名称12--</t>
  </si>
  <si>
    <t>产品名称13--</t>
  </si>
  <si>
    <t>(4)按地区划分</t>
  </si>
  <si>
    <t>地区1--</t>
  </si>
  <si>
    <t>地区2--</t>
  </si>
  <si>
    <t>地区3--</t>
  </si>
  <si>
    <t>地区4--</t>
  </si>
  <si>
    <t>地区5--</t>
  </si>
  <si>
    <t>地区6--</t>
  </si>
  <si>
    <t>地区7--</t>
  </si>
  <si>
    <t>地区8--</t>
  </si>
  <si>
    <t>地区9--</t>
  </si>
  <si>
    <t>地区10--</t>
  </si>
  <si>
    <t>地区11--</t>
  </si>
  <si>
    <t>地区12--</t>
  </si>
  <si>
    <t>地区13--</t>
  </si>
  <si>
    <t>（五十五） 合同项目收入-批露表（单独合并）</t>
  </si>
  <si>
    <t>(五十六)营业税金及附加-披露表</t>
  </si>
  <si>
    <t>本期实际数</t>
  </si>
  <si>
    <t>城市维护建设税</t>
  </si>
  <si>
    <t>教育费附加</t>
  </si>
  <si>
    <t>地方费附加</t>
  </si>
  <si>
    <t>上期实际数</t>
  </si>
  <si>
    <t>（五十七）公允价值变动损益-披露表（单独合并）</t>
  </si>
  <si>
    <t>（五十八）投资收益-披露表</t>
  </si>
  <si>
    <t>成本法核算的长期股权投资收益</t>
  </si>
  <si>
    <t>权益法核算的长期股权投资收益</t>
  </si>
  <si>
    <t>处置长期股权投资产生的投资收益</t>
  </si>
  <si>
    <t>持有交易性金融资产期间取得的投资收益</t>
  </si>
  <si>
    <t>持有至到期投资期间取得的投资收益</t>
  </si>
  <si>
    <t>持有可供出售金融资产等期间取得的投资收益</t>
  </si>
  <si>
    <t>处置交易性金融资产取得的投资收益</t>
  </si>
  <si>
    <t>持有至到期投资取得的投资收益</t>
  </si>
  <si>
    <t>可供出售金融资产等取得的投资收益</t>
  </si>
  <si>
    <t>增加项目1--</t>
  </si>
  <si>
    <t>增加项目2--</t>
  </si>
  <si>
    <t>合       计</t>
  </si>
  <si>
    <t>(五十九)资产减值损失-披露表</t>
  </si>
  <si>
    <t>1．坏账损失</t>
  </si>
  <si>
    <t>2．存货跌价损失</t>
  </si>
  <si>
    <t>3．可供出售金融资产减值损失</t>
  </si>
  <si>
    <t>4．持有至到期投资减值损失</t>
  </si>
  <si>
    <t>5．长期股权投资减值损失</t>
  </si>
  <si>
    <t>6．投资性房地产减值损失</t>
  </si>
  <si>
    <t>7．固定资产减值损失</t>
  </si>
  <si>
    <t>8．工程物资减值损失</t>
  </si>
  <si>
    <t>9．在建工程减值损失</t>
  </si>
  <si>
    <t>10．生产性生物资产减值损失</t>
  </si>
  <si>
    <t>11．油气资产减值损失</t>
  </si>
  <si>
    <t>12．无形资产减值损失</t>
  </si>
  <si>
    <t>13．商誉减值损失</t>
  </si>
  <si>
    <t>14．其他</t>
  </si>
  <si>
    <t>（六十）财务费用-批露表</t>
  </si>
  <si>
    <t>手续费</t>
  </si>
  <si>
    <t>汇兑损益</t>
  </si>
  <si>
    <t xml:space="preserve">   其 中：货币资金引起汇兑损益</t>
  </si>
  <si>
    <t xml:space="preserve">                      应收账款引起汇兑损益</t>
  </si>
  <si>
    <t xml:space="preserve">                      其他应收账款引起汇兑损益</t>
  </si>
  <si>
    <t xml:space="preserve">                       应付账款引起汇兑损益</t>
  </si>
  <si>
    <t xml:space="preserve">                      其他应付款引起汇兑损益</t>
  </si>
  <si>
    <t xml:space="preserve">                      其他科目1--</t>
  </si>
  <si>
    <t xml:space="preserve">                      其他科目2--</t>
  </si>
  <si>
    <t>（六十一）营业外收入-披露表</t>
  </si>
  <si>
    <t>1．处置非流动资产利得小计</t>
  </si>
  <si>
    <t>其中：处置固定资产利得</t>
  </si>
  <si>
    <t xml:space="preserve">      处置无形资产利得</t>
  </si>
  <si>
    <t>2．非货币性资产交换利得</t>
  </si>
  <si>
    <t>3．债务重组利得</t>
  </si>
  <si>
    <t>4．政府补助</t>
  </si>
  <si>
    <t>5．盘盈利得</t>
  </si>
  <si>
    <t>6．捐赠利得</t>
  </si>
  <si>
    <t>7．罚款收入</t>
  </si>
  <si>
    <t>8．其他</t>
  </si>
  <si>
    <t>本期-计入当期非经常性损益的金额</t>
  </si>
  <si>
    <t>上期-计入当期非经常性损益的金额</t>
  </si>
  <si>
    <t>（六十二）营业外支出-披露表</t>
  </si>
  <si>
    <t>１．处置非流动资损失合计</t>
  </si>
  <si>
    <t xml:space="preserve">  其中：处置固定资产损失</t>
  </si>
  <si>
    <t xml:space="preserve">          处置无形资产损失</t>
  </si>
  <si>
    <t>２．非贷币性资产交换损失</t>
  </si>
  <si>
    <t>３．债务重组损失</t>
  </si>
  <si>
    <t>４．公益性捐赠支出</t>
  </si>
  <si>
    <t>５．非常损失</t>
  </si>
  <si>
    <t>６．盘亏损失</t>
  </si>
  <si>
    <t>７．罚款支出</t>
  </si>
  <si>
    <t>８．其他</t>
  </si>
  <si>
    <t>（六十三）所得税费用-披露表</t>
  </si>
  <si>
    <t>其中：当期所得税</t>
  </si>
  <si>
    <t xml:space="preserve">      递延所得税</t>
  </si>
  <si>
    <t>（六十四）基本每股收益和稀释每股收益的计算过程：（单独合并）</t>
  </si>
  <si>
    <t>（六十五）其他综合收益-批露表</t>
  </si>
  <si>
    <t xml:space="preserve"> 本期金额</t>
  </si>
  <si>
    <t>1．可供出售金融资产产生的利得（损失）金额</t>
  </si>
  <si>
    <t xml:space="preserve">   减：可供出售金融资产产生的所得税影响</t>
  </si>
  <si>
    <t xml:space="preserve">       前期计入其他综合收益当期转入损益的净额</t>
  </si>
  <si>
    <t>小  计</t>
  </si>
  <si>
    <t>2．按照权益法核算的在被投资单位其他综合收益中所享有的份额</t>
  </si>
  <si>
    <t xml:space="preserve">   减：按照权益法核算的在被投资单位其他综合收益中所享有的份额产生的所得税影响</t>
  </si>
  <si>
    <t>3．现金流量套期工具产生的利得（或损失）金额</t>
  </si>
  <si>
    <t xml:space="preserve">   减：现金流量套期工具产生的所得税影响</t>
  </si>
  <si>
    <t>转为被套期项目初始确认金额的调整额</t>
  </si>
  <si>
    <t>4．外币报表折算差额</t>
  </si>
  <si>
    <t xml:space="preserve">   减：处置境外经营当期转入损益的净额</t>
  </si>
  <si>
    <t>5．其他</t>
  </si>
  <si>
    <t xml:space="preserve">   减：与其他计入其他综合收益相关的所得税影响</t>
  </si>
  <si>
    <t xml:space="preserve">       前期其他计入其他综合收益当期转入损益的净额</t>
  </si>
  <si>
    <t xml:space="preserve"> 上期金额</t>
  </si>
  <si>
    <t>（66-87单独合并）</t>
  </si>
  <si>
    <t>补充-管理费用-批露表</t>
  </si>
  <si>
    <t>披露项目</t>
  </si>
  <si>
    <t>补充-营业费用-批露表</t>
  </si>
  <si>
    <t>本期往来款-大额往来款明细：</t>
  </si>
  <si>
    <t>上期数</t>
  </si>
  <si>
    <t>（2）本期政府补助情况</t>
  </si>
  <si>
    <t>房屋、建筑物</t>
  </si>
  <si>
    <t>非经常性损益</t>
  </si>
  <si>
    <t>本期数</t>
  </si>
  <si>
    <t>所得税调整</t>
  </si>
  <si>
    <r>
      <rPr>
        <sz val="12"/>
        <rFont val="宋体"/>
        <charset val="134"/>
      </rPr>
      <t>会企</t>
    </r>
    <r>
      <rPr>
        <sz val="12"/>
        <rFont val="Times New Roman"/>
        <charset val="134"/>
      </rPr>
      <t>02</t>
    </r>
    <r>
      <rPr>
        <sz val="12"/>
        <rFont val="宋体"/>
        <charset val="134"/>
      </rPr>
      <t>表</t>
    </r>
  </si>
  <si>
    <t>上期金额</t>
  </si>
  <si>
    <t>会企03表</t>
  </si>
  <si>
    <t>会企04表-1</t>
  </si>
  <si>
    <t>实收资本(或股本)</t>
  </si>
  <si>
    <t>会企04表-2</t>
  </si>
  <si>
    <t>期末金额</t>
  </si>
  <si>
    <t>期初金额</t>
  </si>
  <si>
    <t>期末结构比率%</t>
  </si>
  <si>
    <t>总体合理性分析</t>
  </si>
  <si>
    <t>报表和附注核对汇总表</t>
  </si>
  <si>
    <t>变动金额</t>
  </si>
  <si>
    <t>幅度%</t>
  </si>
  <si>
    <t>合理性分析</t>
  </si>
  <si>
    <t>4=1-2</t>
  </si>
  <si>
    <t>5=4/2</t>
  </si>
  <si>
    <t>期末</t>
  </si>
  <si>
    <t>期初或上期</t>
  </si>
  <si>
    <t>填写（十七）</t>
  </si>
  <si>
    <t>填写（二十三）</t>
  </si>
  <si>
    <t>（七十）</t>
  </si>
  <si>
    <r>
      <rPr>
        <sz val="10"/>
        <rFont val="Arial Narrow"/>
        <charset val="134"/>
      </rPr>
      <t xml:space="preserve"> </t>
    </r>
    <r>
      <rPr>
        <sz val="12"/>
        <rFont val="宋体"/>
        <charset val="134"/>
      </rPr>
      <t xml:space="preserve">   营业税金及附加</t>
    </r>
  </si>
  <si>
    <t>上年同期</t>
  </si>
  <si>
    <t>【返回】现流表勾稽</t>
  </si>
  <si>
    <t>Q1</t>
  </si>
  <si>
    <t>【返回】附注、报表核对</t>
  </si>
  <si>
    <t>单位名称</t>
  </si>
  <si>
    <t>现金流量项目</t>
  </si>
  <si>
    <t>主表核对：</t>
  </si>
  <si>
    <t>解释之间的勾稽</t>
  </si>
  <si>
    <t>解释说明</t>
  </si>
  <si>
    <t>现金流量表主表：</t>
  </si>
  <si>
    <t>附注：</t>
  </si>
  <si>
    <t>（三十一）应付职工薪酬-披露表：本期支付合计-非货币性福利</t>
  </si>
  <si>
    <t>（三十六）应交税费-披露表：代扣代缴个人所得税（期初-期未）</t>
  </si>
  <si>
    <t>差异原因：</t>
  </si>
  <si>
    <t>本期支付在建工程等长期资产专职人员对应的薪酬</t>
  </si>
  <si>
    <t>公司尚未经营，本期支付的职工薪酬均计入了购建固定资产支付的现金里</t>
  </si>
  <si>
    <t>本期新收购公司的期初数影响</t>
  </si>
  <si>
    <t>本期处置公司的期末应交个税余额数影响</t>
  </si>
  <si>
    <t xml:space="preserve">其他应付款中-代缴个人社保、住房公积金（初-末） </t>
  </si>
  <si>
    <t>调整江粉、江益等关联公司代付社保、住房公积金</t>
  </si>
  <si>
    <t>本期支付-非货币性福利</t>
  </si>
  <si>
    <t>其他(汇差问题)</t>
  </si>
  <si>
    <t>（三十六）应交税费-披露表：本期已交数合计-代扣代缴个人所得税</t>
  </si>
  <si>
    <t>本期支付进入固定资产、在建工程的税费</t>
  </si>
  <si>
    <t>差异为由于公司尚未经营，仍处于在建阶段，本期支付的税费计入了购建固定资产支付的现金里</t>
  </si>
  <si>
    <t>处置固定资产增值税</t>
  </si>
  <si>
    <t>其他非流动资产期初期末变化（期末预缴所得税）</t>
  </si>
  <si>
    <t>(十七)固定资产-披露表-原价合计：本期增加</t>
  </si>
  <si>
    <t>减：在建工程转入固定资产</t>
  </si>
  <si>
    <t>（十八）在建工程-披露表：本期增加-其中：本期利息资本化金额</t>
  </si>
  <si>
    <t>（十九）工程物资-披露表：本期增加</t>
  </si>
  <si>
    <t>(二十三)无形资产-披露表-原价合计：本期增加”</t>
  </si>
  <si>
    <t>预付账款中工程往来款期初期末金额变化</t>
  </si>
  <si>
    <t>预付账款中购买固定资产、无形资产往来款期初期末金额变化</t>
  </si>
  <si>
    <t>其他应收款中工程往来款期初期末金额变化</t>
  </si>
  <si>
    <t>其他应收款中购买固定资产、无形资产往来款期初期末金额变化</t>
  </si>
  <si>
    <t>应付账款中工程往来款期初期末金额变化</t>
  </si>
  <si>
    <t>应付账款中购买固定资产、无形资产往来款期初期末金额变化</t>
  </si>
  <si>
    <t>其他应付款中质保金往来款期初期末余额变化</t>
  </si>
  <si>
    <t>其他应付款中购买固定资产、无形资产往来款、工程款期初期末金额变化</t>
  </si>
  <si>
    <t>本期进入固定资产、在建工程增值税进项税</t>
  </si>
  <si>
    <t>购建固定资产领用本期购入存货（该存货本期购入本期支付款项）</t>
  </si>
  <si>
    <t>计入在建工程的折旧</t>
  </si>
  <si>
    <t>计入在建入工程的无形资产摊销</t>
  </si>
  <si>
    <t>计入在建入工程的长期待摊费用摊销</t>
  </si>
  <si>
    <t>委托贷款资本化利息未抵消影响</t>
  </si>
  <si>
    <t>本期在建工程转入无形资产的金额</t>
  </si>
  <si>
    <t>工程物资的变化</t>
  </si>
  <si>
    <t>本期在建工程转入无形资产+长期待摊费用</t>
  </si>
  <si>
    <t>本期领用上期购入存货</t>
  </si>
  <si>
    <t>EMC项目本期增加额</t>
  </si>
  <si>
    <t>长期应付款本期变动</t>
  </si>
  <si>
    <t>附注+报表</t>
  </si>
  <si>
    <t>一年内到期的长期借款+短期借款+长期借款：期初-期末</t>
  </si>
  <si>
    <t>短融手续费（银行在扣手续费后以净额转入公司账户）</t>
  </si>
  <si>
    <t>本期新增公司短期借款期初余额</t>
  </si>
  <si>
    <t>本期处置公司短期借款期末余额</t>
  </si>
  <si>
    <t>财务费用-汇兑损益</t>
  </si>
  <si>
    <t>分期付款-长期应付款（含融资费用）的减少</t>
  </si>
  <si>
    <t>其他流动资产待摊远期结汇</t>
  </si>
  <si>
    <t>一年内到期长期借款重分类（期初）</t>
  </si>
  <si>
    <t>附注+报表：</t>
  </si>
  <si>
    <t>应付利息：期初-期未</t>
  </si>
  <si>
    <t>应付股利：期初-期未</t>
  </si>
  <si>
    <t>当期利息资本化</t>
  </si>
  <si>
    <t>（六十）财务费用-批露表：利息支出</t>
  </si>
  <si>
    <t>（五十三）未分配利润-披露表：5、分配利润</t>
  </si>
  <si>
    <t>本期分配给少数股东的利润</t>
  </si>
  <si>
    <t>计在建工程的利息支出</t>
  </si>
  <si>
    <t>本期处置公司期末应付利息，本期新增公司期初应付利息</t>
  </si>
  <si>
    <t>融资租赁-未确认融资费用</t>
  </si>
  <si>
    <t>财务费用-利息支出中核算的票据贴息</t>
  </si>
  <si>
    <t>（六十）财务费用-批露表：本期实际数-其 中：货币资金引起汇兑损益</t>
  </si>
  <si>
    <t>附表核对：</t>
  </si>
  <si>
    <t>现金流量表附表：</t>
  </si>
  <si>
    <t>（二十五）资产减值准备-批露表-：本期计提合计-本期转回合计</t>
  </si>
  <si>
    <t xml:space="preserve">  固定资产折旧</t>
  </si>
  <si>
    <t>(十七)固定资产-披露表-二、累计折旧合计：本期计提（报表附注!J3815）</t>
  </si>
  <si>
    <t>(十六)投资性房地产-披露表-：二、累计折旧（1）计提或摊销-房屋、建筑物</t>
  </si>
  <si>
    <t xml:space="preserve"> 无形资产摊销</t>
  </si>
  <si>
    <t>(二十三)无形资产-披露表-二、累计摊销额合计：本期计提</t>
  </si>
  <si>
    <t>(十六)投资性房地产-披露表-：二、累计摊销（1）计提或摊销-土地使用权</t>
  </si>
  <si>
    <t>（二十四）长期待摊费用-批露表：本年摊销数</t>
  </si>
  <si>
    <t>期初期末长期待摊费用摊销转回至固定资产折旧差额：</t>
  </si>
  <si>
    <t>（六十一）营业外收入-披露表：1．处置非流动资产利得小计</t>
  </si>
  <si>
    <t>（六十二）营业外支出-披露表：１．处置非流动资损失合计</t>
  </si>
  <si>
    <t>处置长期资产未收到款项</t>
  </si>
  <si>
    <t>（五十七）公允价值变动损益-披露表：-本期实际数</t>
  </si>
  <si>
    <t xml:space="preserve"> 财务费用</t>
  </si>
  <si>
    <t>（五十四）财务费用-批露表-：利息支出+货币资金引起汇兑损益</t>
  </si>
  <si>
    <t>银行手续费-短融银行直接扣款</t>
  </si>
  <si>
    <t>银行手续费-委贷手续费、对公借款财务顾问费、融资费</t>
  </si>
  <si>
    <t>外币短期借款-汇总损益</t>
  </si>
  <si>
    <t>票据贴现-利息支出</t>
  </si>
  <si>
    <t>融资费用</t>
  </si>
  <si>
    <t xml:space="preserve"> 投资损失</t>
  </si>
  <si>
    <t>报表：</t>
  </si>
  <si>
    <t>减：投资收益</t>
  </si>
  <si>
    <t>递延所得税资产：期初-期末余额</t>
  </si>
  <si>
    <t>本期处置子公司期末数影响</t>
  </si>
  <si>
    <t xml:space="preserve"> 递延所得税负债增加</t>
  </si>
  <si>
    <t>递延所得税负债：期末-期初余额</t>
  </si>
  <si>
    <t>存货：期初-期末余额</t>
  </si>
  <si>
    <t>在建工程领用存货（如本期购入本期领用不用考虑该因素）</t>
  </si>
  <si>
    <t>本期处置公司存货期末余额</t>
  </si>
  <si>
    <t xml:space="preserve">  经营性应收项目的减少</t>
  </si>
  <si>
    <t>期初-期末余额:应收票据</t>
  </si>
  <si>
    <t xml:space="preserve">             应收账款</t>
  </si>
  <si>
    <t xml:space="preserve">             预付款项</t>
  </si>
  <si>
    <t xml:space="preserve">             其他应收款</t>
  </si>
  <si>
    <t>其他应收款中筹资往来款期初期末金额变化（合并范围内）</t>
  </si>
  <si>
    <t>其他应收款中筹资往来款期初期末金额变化（合并范围外）</t>
  </si>
  <si>
    <t>其他应收款/预付款项中的项目前期费用变化</t>
  </si>
  <si>
    <t>应收账款-本期计提的坏账准备</t>
  </si>
  <si>
    <t>其他应收款-本期计提的坏账准备</t>
  </si>
  <si>
    <t>含核销</t>
  </si>
  <si>
    <t>所得税重分类至其他流动资产</t>
  </si>
  <si>
    <t>待抵扣进项税重分类至其他流动资产</t>
  </si>
  <si>
    <t>其他流动资产本期变动</t>
  </si>
  <si>
    <t>货币资金中受限资产的变动</t>
  </si>
  <si>
    <t>预付款项中支付的西南证券费用：支付其他与筹资活动有关的</t>
  </si>
  <si>
    <t>应收利息-经营性</t>
  </si>
  <si>
    <t>其他应收款-股权转让款（扣除）</t>
  </si>
  <si>
    <t>长期应收款本期变动</t>
  </si>
  <si>
    <t>在建工程及固定资产本期变动（EMC项目）</t>
  </si>
  <si>
    <t xml:space="preserve"> 经营性应付项目的增加</t>
  </si>
  <si>
    <t>期末-期初余额:应付票据</t>
  </si>
  <si>
    <t xml:space="preserve">             应付账款</t>
  </si>
  <si>
    <t xml:space="preserve">             预收款项</t>
  </si>
  <si>
    <t xml:space="preserve">             应付职工薪酬</t>
  </si>
  <si>
    <t xml:space="preserve">             应交税费</t>
  </si>
  <si>
    <t xml:space="preserve">             其他应付款</t>
  </si>
  <si>
    <t>进入长期资产的进项税</t>
  </si>
  <si>
    <t>其他应付款中购买固定资产、无形资产往来款期初期末金额变化</t>
  </si>
  <si>
    <t>其他应付款中-前期费支出</t>
  </si>
  <si>
    <t>其他应付款中筹资往来款期初期末金额变化（合并范围内）</t>
  </si>
  <si>
    <t>其他应付款中筹资往来款期初期末金额变化（合并范围外）</t>
  </si>
  <si>
    <t>其他非流动负债变动</t>
  </si>
  <si>
    <t>其他流动负债变动</t>
  </si>
  <si>
    <t>差异原因：（请列明细）</t>
  </si>
  <si>
    <t>核对事项：</t>
  </si>
  <si>
    <t>复核结果</t>
  </si>
  <si>
    <t>差异说明</t>
  </si>
  <si>
    <r>
      <rPr>
        <b/>
        <sz val="9"/>
        <rFont val="宋体"/>
        <charset val="134"/>
      </rPr>
      <t>应收账款：</t>
    </r>
  </si>
  <si>
    <t>1、账龄是否合理</t>
  </si>
  <si>
    <r>
      <rPr>
        <sz val="9"/>
        <rFont val="Arial Narrow"/>
        <charset val="134"/>
      </rPr>
      <t>2</t>
    </r>
    <r>
      <rPr>
        <sz val="9"/>
        <rFont val="宋体"/>
        <charset val="134"/>
      </rPr>
      <t>、按账龄计提坏账是否符合会计政策</t>
    </r>
  </si>
  <si>
    <r>
      <rPr>
        <sz val="9"/>
        <rFont val="Arial Narrow"/>
        <charset val="134"/>
      </rPr>
      <t>3</t>
    </r>
    <r>
      <rPr>
        <sz val="9"/>
        <rFont val="宋体"/>
        <charset val="134"/>
      </rPr>
      <t>、按类别：单项金额重大的应收款项与（</t>
    </r>
    <r>
      <rPr>
        <sz val="9"/>
        <rFont val="Arial Narrow"/>
        <charset val="134"/>
      </rPr>
      <t>3</t>
    </r>
    <r>
      <rPr>
        <sz val="9"/>
        <rFont val="宋体"/>
        <charset val="134"/>
      </rPr>
      <t>）单项金额重大的应收账款</t>
    </r>
  </si>
  <si>
    <t>期未余额核对</t>
  </si>
  <si>
    <t xml:space="preserve">   期未坏账余额核对</t>
  </si>
  <si>
    <r>
      <rPr>
        <sz val="9"/>
        <rFont val="Arial Narrow"/>
        <charset val="134"/>
      </rPr>
      <t>4</t>
    </r>
    <r>
      <rPr>
        <sz val="9"/>
        <rFont val="宋体"/>
        <charset val="134"/>
      </rPr>
      <t>、账龄批露表：期末账面余额比例合计是否为</t>
    </r>
    <r>
      <rPr>
        <sz val="9"/>
        <rFont val="Arial Narrow"/>
        <charset val="134"/>
      </rPr>
      <t>100%</t>
    </r>
  </si>
  <si>
    <r>
      <rPr>
        <sz val="9"/>
        <rFont val="Arial Narrow"/>
        <charset val="134"/>
      </rPr>
      <t>5</t>
    </r>
    <r>
      <rPr>
        <sz val="9"/>
        <rFont val="宋体"/>
        <charset val="134"/>
      </rPr>
      <t>、按类别批露表：期末账面余额比例合计是否为</t>
    </r>
    <r>
      <rPr>
        <sz val="9"/>
        <rFont val="Arial Narrow"/>
        <charset val="134"/>
      </rPr>
      <t>100%</t>
    </r>
  </si>
  <si>
    <r>
      <rPr>
        <sz val="9"/>
        <rFont val="Arial Narrow"/>
        <charset val="134"/>
      </rPr>
      <t>6</t>
    </r>
    <r>
      <rPr>
        <sz val="9"/>
        <rFont val="宋体"/>
        <charset val="134"/>
      </rPr>
      <t>、账龄批露表与按类别批露表核对</t>
    </r>
  </si>
  <si>
    <t>7、期末应收账款金额前五名情况表：“占应收账款总额比例”单项与合计核对</t>
  </si>
  <si>
    <t>8、期末应收关联方款项情况表：“占应收账款总额比例”单项与合计核对</t>
  </si>
  <si>
    <t>预付账款：</t>
  </si>
  <si>
    <r>
      <rPr>
        <sz val="9"/>
        <rFont val="Arial Narrow"/>
        <charset val="134"/>
      </rPr>
      <t>3</t>
    </r>
    <r>
      <rPr>
        <sz val="9"/>
        <rFont val="宋体"/>
        <charset val="134"/>
      </rPr>
      <t>年以上</t>
    </r>
  </si>
  <si>
    <r>
      <rPr>
        <sz val="9"/>
        <rFont val="Arial Narrow"/>
        <charset val="134"/>
      </rPr>
      <t>2</t>
    </r>
    <r>
      <rPr>
        <sz val="9"/>
        <rFont val="宋体"/>
        <charset val="134"/>
      </rPr>
      <t>、账龄批露表：期末账面余额比例合计是否为</t>
    </r>
    <r>
      <rPr>
        <sz val="9"/>
        <rFont val="Arial Narrow"/>
        <charset val="134"/>
      </rPr>
      <t>100%</t>
    </r>
  </si>
  <si>
    <t>3、预付款项金额前五名单位情况表：“占预付账款总额比例”单项与合计核对</t>
  </si>
  <si>
    <t>其他应收款：</t>
  </si>
  <si>
    <t>7、期末其他应收款金额前五名情况表：“占应收账款总额比例”单项与合计核对</t>
  </si>
  <si>
    <t>8、期末其他应收款关联方款项情况表：“占应收账款总额比例”单项与合计核对</t>
  </si>
  <si>
    <t>开发支出：</t>
  </si>
  <si>
    <r>
      <rPr>
        <sz val="9"/>
        <rFont val="Arial Narrow"/>
        <charset val="134"/>
      </rPr>
      <t>1</t>
    </r>
    <r>
      <rPr>
        <sz val="9"/>
        <rFont val="宋体"/>
        <charset val="134"/>
      </rPr>
      <t>、研究支出期未余额是否为</t>
    </r>
    <r>
      <rPr>
        <sz val="9"/>
        <rFont val="Arial Narrow"/>
        <charset val="134"/>
      </rPr>
      <t>0</t>
    </r>
  </si>
  <si>
    <t>递延所得税资产：</t>
  </si>
  <si>
    <r>
      <rPr>
        <sz val="9"/>
        <rFont val="Arial Narrow"/>
        <charset val="134"/>
      </rPr>
      <t>1</t>
    </r>
    <r>
      <rPr>
        <sz val="9"/>
        <rFont val="宋体"/>
        <charset val="134"/>
      </rPr>
      <t>、“（一）</t>
    </r>
    <r>
      <rPr>
        <sz val="9"/>
        <rFont val="Arial Narrow"/>
        <charset val="134"/>
      </rPr>
      <t xml:space="preserve"> </t>
    </r>
    <r>
      <rPr>
        <sz val="9"/>
        <rFont val="宋体"/>
        <charset val="134"/>
      </rPr>
      <t>递延所得税资产和递延所得税负债不以抵销后的净额列示”表“对应的暂时性差异金额”</t>
    </r>
    <r>
      <rPr>
        <sz val="9"/>
        <rFont val="Arial Narrow"/>
        <charset val="134"/>
      </rPr>
      <t>*</t>
    </r>
    <r>
      <rPr>
        <sz val="9"/>
        <rFont val="宋体"/>
        <charset val="134"/>
      </rPr>
      <t>递延所得税率与递延所得税余额核对</t>
    </r>
  </si>
  <si>
    <r>
      <rPr>
        <b/>
        <sz val="9"/>
        <rFont val="宋体"/>
        <charset val="134"/>
      </rPr>
      <t>资产减值准备</t>
    </r>
    <r>
      <rPr>
        <b/>
        <sz val="9"/>
        <rFont val="Arial Narrow"/>
        <charset val="134"/>
      </rPr>
      <t>-</t>
    </r>
    <r>
      <rPr>
        <b/>
        <sz val="9"/>
        <rFont val="宋体"/>
        <charset val="134"/>
      </rPr>
      <t>批露表：</t>
    </r>
  </si>
  <si>
    <t>1、“期未余额”与“各科目减值期未余额核对”核对:</t>
  </si>
  <si>
    <t>2、“期初余额”与“各科目减值期初余额核对”核对:</t>
  </si>
  <si>
    <t>应付账款：</t>
  </si>
  <si>
    <t>预收账款：</t>
  </si>
  <si>
    <t>其他应付款：</t>
  </si>
  <si>
    <t>一年内到期的非流动负债：</t>
  </si>
  <si>
    <r>
      <rPr>
        <sz val="9"/>
        <rFont val="Arial Narrow"/>
        <charset val="134"/>
      </rPr>
      <t>1</t>
    </r>
    <r>
      <rPr>
        <sz val="9"/>
        <rFont val="宋体"/>
        <charset val="134"/>
      </rPr>
      <t>、（</t>
    </r>
    <r>
      <rPr>
        <sz val="9"/>
        <rFont val="Arial Narrow"/>
        <charset val="134"/>
      </rPr>
      <t>1</t>
    </r>
    <r>
      <rPr>
        <sz val="9"/>
        <rFont val="宋体"/>
        <charset val="134"/>
      </rPr>
      <t>）按类别列示：一年内到期的长期借款与（</t>
    </r>
    <r>
      <rPr>
        <sz val="9"/>
        <rFont val="Arial Narrow"/>
        <charset val="134"/>
      </rPr>
      <t>2</t>
    </r>
    <r>
      <rPr>
        <sz val="9"/>
        <rFont val="宋体"/>
        <charset val="134"/>
      </rPr>
      <t>）一年内到期的长期借款期未余额核对</t>
    </r>
  </si>
  <si>
    <r>
      <rPr>
        <sz val="9"/>
        <rFont val="Arial Narrow"/>
        <charset val="134"/>
      </rPr>
      <t>2</t>
    </r>
    <r>
      <rPr>
        <sz val="9"/>
        <rFont val="宋体"/>
        <charset val="134"/>
      </rPr>
      <t>、（</t>
    </r>
    <r>
      <rPr>
        <sz val="9"/>
        <rFont val="Arial Narrow"/>
        <charset val="134"/>
      </rPr>
      <t>1</t>
    </r>
    <r>
      <rPr>
        <sz val="9"/>
        <rFont val="宋体"/>
        <charset val="134"/>
      </rPr>
      <t>）按类别列示：一年内到期的应付债券与（</t>
    </r>
    <r>
      <rPr>
        <sz val="9"/>
        <rFont val="Arial Narrow"/>
        <charset val="134"/>
      </rPr>
      <t>3</t>
    </r>
    <r>
      <rPr>
        <sz val="9"/>
        <rFont val="宋体"/>
        <charset val="134"/>
      </rPr>
      <t>）一年内到期的应付债券期未余额核对</t>
    </r>
  </si>
  <si>
    <t>营业收入：</t>
  </si>
  <si>
    <r>
      <rPr>
        <sz val="9"/>
        <rFont val="Arial Narrow"/>
        <charset val="134"/>
      </rPr>
      <t>1</t>
    </r>
    <r>
      <rPr>
        <sz val="9"/>
        <rFont val="宋体"/>
        <charset val="134"/>
      </rPr>
      <t>、营业收入</t>
    </r>
    <r>
      <rPr>
        <sz val="9"/>
        <rFont val="Arial Narrow"/>
        <charset val="134"/>
      </rPr>
      <t>-</t>
    </r>
    <r>
      <rPr>
        <sz val="9"/>
        <rFont val="宋体"/>
        <charset val="134"/>
      </rPr>
      <t>披露表：主营业务收入与（</t>
    </r>
    <r>
      <rPr>
        <sz val="9"/>
        <rFont val="Arial Narrow"/>
        <charset val="134"/>
      </rPr>
      <t>2</t>
    </r>
    <r>
      <rPr>
        <sz val="9"/>
        <rFont val="宋体"/>
        <charset val="134"/>
      </rPr>
      <t>）主营业务（类别）核对</t>
    </r>
  </si>
  <si>
    <r>
      <rPr>
        <sz val="9"/>
        <rFont val="宋体"/>
        <charset val="134"/>
      </rPr>
      <t>收入</t>
    </r>
    <r>
      <rPr>
        <sz val="9"/>
        <rFont val="Arial Narrow"/>
        <charset val="134"/>
      </rPr>
      <t>-</t>
    </r>
    <r>
      <rPr>
        <sz val="9"/>
        <rFont val="宋体"/>
        <charset val="134"/>
      </rPr>
      <t>本期实际数</t>
    </r>
  </si>
  <si>
    <r>
      <rPr>
        <sz val="9"/>
        <rFont val="宋体"/>
        <charset val="134"/>
      </rPr>
      <t>收入</t>
    </r>
    <r>
      <rPr>
        <sz val="9"/>
        <rFont val="Arial Narrow"/>
        <charset val="134"/>
      </rPr>
      <t>-</t>
    </r>
    <r>
      <rPr>
        <sz val="9"/>
        <rFont val="宋体"/>
        <charset val="134"/>
      </rPr>
      <t>上期实际数</t>
    </r>
  </si>
  <si>
    <r>
      <rPr>
        <sz val="9"/>
        <rFont val="宋体"/>
        <charset val="134"/>
      </rPr>
      <t>成本</t>
    </r>
    <r>
      <rPr>
        <sz val="9"/>
        <rFont val="Arial Narrow"/>
        <charset val="134"/>
      </rPr>
      <t>-</t>
    </r>
    <r>
      <rPr>
        <sz val="9"/>
        <rFont val="宋体"/>
        <charset val="134"/>
      </rPr>
      <t>本期实际数</t>
    </r>
  </si>
  <si>
    <r>
      <rPr>
        <sz val="9"/>
        <rFont val="宋体"/>
        <charset val="134"/>
      </rPr>
      <t>成本</t>
    </r>
    <r>
      <rPr>
        <sz val="9"/>
        <rFont val="Arial Narrow"/>
        <charset val="134"/>
      </rPr>
      <t>-</t>
    </r>
    <r>
      <rPr>
        <sz val="9"/>
        <rFont val="宋体"/>
        <charset val="134"/>
      </rPr>
      <t>上期实际数</t>
    </r>
  </si>
  <si>
    <r>
      <rPr>
        <sz val="9"/>
        <rFont val="Arial Narrow"/>
        <charset val="134"/>
      </rPr>
      <t>2</t>
    </r>
    <r>
      <rPr>
        <sz val="9"/>
        <rFont val="宋体"/>
        <charset val="134"/>
      </rPr>
      <t>、营业收入</t>
    </r>
    <r>
      <rPr>
        <sz val="9"/>
        <rFont val="Arial Narrow"/>
        <charset val="134"/>
      </rPr>
      <t>-</t>
    </r>
    <r>
      <rPr>
        <sz val="9"/>
        <rFont val="宋体"/>
        <charset val="134"/>
      </rPr>
      <t>披露表：主营业务收入与（</t>
    </r>
    <r>
      <rPr>
        <sz val="9"/>
        <rFont val="Arial Narrow"/>
        <charset val="134"/>
      </rPr>
      <t>3</t>
    </r>
    <r>
      <rPr>
        <sz val="9"/>
        <rFont val="宋体"/>
        <charset val="134"/>
      </rPr>
      <t>）主营业务（分产品）核对</t>
    </r>
  </si>
  <si>
    <r>
      <rPr>
        <sz val="9"/>
        <rFont val="Arial Narrow"/>
        <charset val="134"/>
      </rPr>
      <t>3</t>
    </r>
    <r>
      <rPr>
        <sz val="9"/>
        <rFont val="宋体"/>
        <charset val="134"/>
      </rPr>
      <t>、营业收入</t>
    </r>
    <r>
      <rPr>
        <sz val="9"/>
        <rFont val="Arial Narrow"/>
        <charset val="134"/>
      </rPr>
      <t>-</t>
    </r>
    <r>
      <rPr>
        <sz val="9"/>
        <rFont val="宋体"/>
        <charset val="134"/>
      </rPr>
      <t>披露表：主营业务收入与（</t>
    </r>
    <r>
      <rPr>
        <sz val="9"/>
        <rFont val="Arial Narrow"/>
        <charset val="134"/>
      </rPr>
      <t>4</t>
    </r>
    <r>
      <rPr>
        <sz val="9"/>
        <rFont val="宋体"/>
        <charset val="134"/>
      </rPr>
      <t>）主营业务（分地区）核对</t>
    </r>
  </si>
  <si>
    <t>资产减值损失:</t>
  </si>
  <si>
    <r>
      <rPr>
        <sz val="9"/>
        <rFont val="Arial Narrow"/>
        <charset val="134"/>
      </rPr>
      <t>1</t>
    </r>
    <r>
      <rPr>
        <sz val="9"/>
        <rFont val="宋体"/>
        <charset val="134"/>
      </rPr>
      <t>、本期实际与</t>
    </r>
    <r>
      <rPr>
        <sz val="9"/>
        <rFont val="Arial Narrow"/>
        <charset val="134"/>
      </rPr>
      <t>“</t>
    </r>
    <r>
      <rPr>
        <sz val="9"/>
        <rFont val="宋体"/>
        <charset val="134"/>
      </rPr>
      <t>各科目当期计提减值</t>
    </r>
    <r>
      <rPr>
        <sz val="9"/>
        <rFont val="Arial Narrow"/>
        <charset val="134"/>
      </rPr>
      <t>”</t>
    </r>
    <r>
      <rPr>
        <sz val="9"/>
        <rFont val="宋体"/>
        <charset val="134"/>
      </rPr>
      <t>核对</t>
    </r>
    <r>
      <rPr>
        <sz val="9"/>
        <rFont val="Arial Narrow"/>
        <charset val="134"/>
      </rPr>
      <t>:</t>
    </r>
  </si>
  <si>
    <r>
      <rPr>
        <sz val="9"/>
        <rFont val="Arial Narrow"/>
        <charset val="134"/>
      </rPr>
      <t xml:space="preserve">                                      2</t>
    </r>
    <r>
      <rPr>
        <sz val="9"/>
        <rFont val="宋体"/>
        <charset val="134"/>
      </rPr>
      <t>．存货跌价损失</t>
    </r>
  </si>
  <si>
    <r>
      <rPr>
        <sz val="9"/>
        <rFont val="Arial Narrow"/>
        <charset val="134"/>
      </rPr>
      <t xml:space="preserve">                                      5</t>
    </r>
    <r>
      <rPr>
        <sz val="9"/>
        <rFont val="宋体"/>
        <charset val="134"/>
      </rPr>
      <t>．长期股权投资减值损失</t>
    </r>
  </si>
  <si>
    <r>
      <rPr>
        <sz val="9"/>
        <rFont val="Arial Narrow"/>
        <charset val="134"/>
      </rPr>
      <t xml:space="preserve">                                      6</t>
    </r>
    <r>
      <rPr>
        <sz val="9"/>
        <rFont val="宋体"/>
        <charset val="134"/>
      </rPr>
      <t>．投资性房地产减值损失</t>
    </r>
  </si>
  <si>
    <r>
      <rPr>
        <sz val="9"/>
        <rFont val="Arial Narrow"/>
        <charset val="134"/>
      </rPr>
      <t xml:space="preserve">                                      7</t>
    </r>
    <r>
      <rPr>
        <sz val="9"/>
        <rFont val="宋体"/>
        <charset val="134"/>
      </rPr>
      <t>．固定资产减值损失</t>
    </r>
  </si>
  <si>
    <r>
      <rPr>
        <sz val="9"/>
        <rFont val="Arial Narrow"/>
        <charset val="134"/>
      </rPr>
      <t xml:space="preserve">                                      9</t>
    </r>
    <r>
      <rPr>
        <sz val="9"/>
        <rFont val="宋体"/>
        <charset val="134"/>
      </rPr>
      <t>．在建工程减值损失</t>
    </r>
  </si>
  <si>
    <r>
      <rPr>
        <sz val="9"/>
        <rFont val="Arial Narrow"/>
        <charset val="134"/>
      </rPr>
      <t xml:space="preserve">                                      10</t>
    </r>
    <r>
      <rPr>
        <sz val="9"/>
        <rFont val="宋体"/>
        <charset val="134"/>
      </rPr>
      <t>．生产性生物资产减值损失</t>
    </r>
  </si>
  <si>
    <r>
      <rPr>
        <sz val="9"/>
        <rFont val="Arial Narrow"/>
        <charset val="134"/>
      </rPr>
      <t xml:space="preserve">                                      11</t>
    </r>
    <r>
      <rPr>
        <sz val="9"/>
        <rFont val="宋体"/>
        <charset val="134"/>
      </rPr>
      <t>．油气资产减值损失</t>
    </r>
  </si>
  <si>
    <r>
      <rPr>
        <sz val="9"/>
        <rFont val="Arial Narrow"/>
        <charset val="134"/>
      </rPr>
      <t xml:space="preserve">                                      12</t>
    </r>
    <r>
      <rPr>
        <sz val="9"/>
        <rFont val="宋体"/>
        <charset val="134"/>
      </rPr>
      <t>．无形资产减值损失</t>
    </r>
  </si>
  <si>
    <r>
      <rPr>
        <sz val="9"/>
        <rFont val="Arial Narrow"/>
        <charset val="134"/>
      </rPr>
      <t xml:space="preserve">                                      13</t>
    </r>
    <r>
      <rPr>
        <sz val="9"/>
        <rFont val="宋体"/>
        <charset val="134"/>
      </rPr>
      <t>．商誉减值损失</t>
    </r>
  </si>
  <si>
    <r>
      <rPr>
        <sz val="9"/>
        <rFont val="Arial Narrow"/>
        <charset val="134"/>
      </rPr>
      <t>2</t>
    </r>
    <r>
      <rPr>
        <sz val="9"/>
        <rFont val="宋体"/>
        <charset val="134"/>
      </rPr>
      <t>、本期实际与</t>
    </r>
    <r>
      <rPr>
        <sz val="9"/>
        <rFont val="Arial Narrow"/>
        <charset val="134"/>
      </rPr>
      <t>“</t>
    </r>
    <r>
      <rPr>
        <sz val="9"/>
        <rFont val="宋体"/>
        <charset val="134"/>
      </rPr>
      <t>与“（二十八）资产减值准备</t>
    </r>
    <r>
      <rPr>
        <sz val="9"/>
        <rFont val="Arial Narrow"/>
        <charset val="134"/>
      </rPr>
      <t>-</t>
    </r>
    <r>
      <rPr>
        <sz val="9"/>
        <rFont val="宋体"/>
        <charset val="134"/>
      </rPr>
      <t>批露表</t>
    </r>
    <r>
      <rPr>
        <sz val="9"/>
        <rFont val="Arial Narrow"/>
        <charset val="134"/>
      </rPr>
      <t>:</t>
    </r>
    <r>
      <rPr>
        <sz val="9"/>
        <rFont val="宋体"/>
        <charset val="134"/>
      </rPr>
      <t>本期计提”核对</t>
    </r>
    <r>
      <rPr>
        <sz val="9"/>
        <rFont val="Arial Narrow"/>
        <charset val="134"/>
      </rPr>
      <t>:</t>
    </r>
  </si>
  <si>
    <r>
      <rPr>
        <sz val="9"/>
        <rFont val="Arial Narrow"/>
        <charset val="134"/>
      </rPr>
      <t xml:space="preserve">                                      1</t>
    </r>
    <r>
      <rPr>
        <sz val="9"/>
        <rFont val="宋体"/>
        <charset val="134"/>
      </rPr>
      <t>．坏账损失</t>
    </r>
  </si>
  <si>
    <r>
      <rPr>
        <sz val="9"/>
        <rFont val="Arial Narrow"/>
        <charset val="134"/>
      </rPr>
      <t xml:space="preserve">                                      3</t>
    </r>
    <r>
      <rPr>
        <sz val="9"/>
        <rFont val="宋体"/>
        <charset val="134"/>
      </rPr>
      <t>．可供出售金融资产减值损失</t>
    </r>
  </si>
  <si>
    <r>
      <rPr>
        <sz val="9"/>
        <rFont val="Arial Narrow"/>
        <charset val="134"/>
      </rPr>
      <t xml:space="preserve">                                      4</t>
    </r>
    <r>
      <rPr>
        <sz val="9"/>
        <rFont val="宋体"/>
        <charset val="134"/>
      </rPr>
      <t>．持有至到期投资减值损失</t>
    </r>
  </si>
  <si>
    <r>
      <rPr>
        <sz val="9"/>
        <rFont val="Arial Narrow"/>
        <charset val="134"/>
      </rPr>
      <t xml:space="preserve">                                      8</t>
    </r>
    <r>
      <rPr>
        <sz val="9"/>
        <rFont val="宋体"/>
        <charset val="134"/>
      </rPr>
      <t>．工程物资减值损失</t>
    </r>
  </si>
  <si>
    <r>
      <rPr>
        <sz val="9"/>
        <rFont val="Arial Narrow"/>
        <charset val="134"/>
      </rPr>
      <t xml:space="preserve">                                      14</t>
    </r>
    <r>
      <rPr>
        <sz val="9"/>
        <rFont val="宋体"/>
        <charset val="134"/>
      </rPr>
      <t>．其他</t>
    </r>
  </si>
  <si>
    <t>管理费用、销售费用：</t>
  </si>
  <si>
    <r>
      <rPr>
        <sz val="9"/>
        <rFont val="Arial Narrow"/>
        <charset val="134"/>
      </rPr>
      <t>1</t>
    </r>
    <r>
      <rPr>
        <sz val="9"/>
        <rFont val="宋体"/>
        <charset val="134"/>
      </rPr>
      <t>、应付职工薪酬：本期计提与营业费用、管理费用、生产成本：应付职工薪酬核对</t>
    </r>
  </si>
  <si>
    <r>
      <rPr>
        <sz val="9"/>
        <rFont val="Arial Narrow"/>
        <charset val="134"/>
      </rPr>
      <t>2</t>
    </r>
    <r>
      <rPr>
        <sz val="9"/>
        <rFont val="宋体"/>
        <charset val="134"/>
      </rPr>
      <t>、固定资产折旧：本期计提与营业费用、管理费用、生产成本：固定资产折旧核对</t>
    </r>
  </si>
  <si>
    <r>
      <rPr>
        <sz val="9"/>
        <rFont val="Arial Narrow"/>
        <charset val="134"/>
      </rPr>
      <t>3</t>
    </r>
    <r>
      <rPr>
        <sz val="9"/>
        <rFont val="宋体"/>
        <charset val="134"/>
      </rPr>
      <t>、无形资产摊销：本期计提与营业费用、管理费用、生产成本：无形资产摊销核对</t>
    </r>
  </si>
  <si>
    <t>（六十六）收到或支付的其他与经营活动有关的现金：</t>
  </si>
  <si>
    <t>收到其他-利息收入与财务费用利息收入核对</t>
  </si>
  <si>
    <t>支付其他-管理费用与管理费批露表核对</t>
  </si>
  <si>
    <t>支付其他-营业费用与管理费批露表核对</t>
  </si>
  <si>
    <r>
      <rPr>
        <sz val="9"/>
        <rFont val="宋体"/>
        <charset val="134"/>
      </rPr>
      <t>收到其他</t>
    </r>
    <r>
      <rPr>
        <sz val="9"/>
        <rFont val="Arial Narrow"/>
        <charset val="134"/>
      </rPr>
      <t>-</t>
    </r>
    <r>
      <rPr>
        <sz val="9"/>
        <rFont val="宋体"/>
        <charset val="134"/>
      </rPr>
      <t>政府补助与营业外收入</t>
    </r>
    <r>
      <rPr>
        <sz val="9"/>
        <rFont val="宋体"/>
        <charset val="134"/>
      </rPr>
      <t>政府补助收入核对</t>
    </r>
  </si>
  <si>
    <r>
      <rPr>
        <b/>
        <sz val="18"/>
        <rFont val="宋体"/>
        <charset val="134"/>
      </rPr>
      <t>财务报表分析（用作总体合理性分析）</t>
    </r>
  </si>
  <si>
    <r>
      <rPr>
        <sz val="10"/>
        <rFont val="宋体"/>
        <charset val="134"/>
      </rPr>
      <t>索引号：</t>
    </r>
    <r>
      <rPr>
        <sz val="10"/>
        <rFont val="Arial Narrow"/>
        <charset val="134"/>
      </rPr>
      <t>BB</t>
    </r>
  </si>
  <si>
    <r>
      <rPr>
        <b/>
        <sz val="10"/>
        <rFont val="宋体"/>
        <charset val="134"/>
      </rPr>
      <t>项</t>
    </r>
    <r>
      <rPr>
        <b/>
        <sz val="10"/>
        <rFont val="Arial Narrow"/>
        <charset val="134"/>
      </rPr>
      <t xml:space="preserve">            </t>
    </r>
    <r>
      <rPr>
        <b/>
        <sz val="10"/>
        <rFont val="宋体"/>
        <charset val="134"/>
      </rPr>
      <t>目</t>
    </r>
  </si>
  <si>
    <r>
      <rPr>
        <b/>
        <sz val="10"/>
        <rFont val="宋体"/>
        <charset val="134"/>
      </rPr>
      <t>期末金额</t>
    </r>
  </si>
  <si>
    <r>
      <rPr>
        <b/>
        <sz val="10"/>
        <rFont val="宋体"/>
        <charset val="134"/>
      </rPr>
      <t>期初金额</t>
    </r>
  </si>
  <si>
    <r>
      <rPr>
        <b/>
        <sz val="10"/>
        <rFont val="宋体"/>
        <charset val="134"/>
      </rPr>
      <t>期末结构比率</t>
    </r>
    <r>
      <rPr>
        <b/>
        <sz val="10"/>
        <rFont val="Arial Narrow"/>
        <charset val="134"/>
      </rPr>
      <t>%</t>
    </r>
  </si>
  <si>
    <r>
      <rPr>
        <b/>
        <sz val="10"/>
        <rFont val="宋体"/>
        <charset val="134"/>
      </rPr>
      <t>总体合理性分析</t>
    </r>
  </si>
  <si>
    <r>
      <rPr>
        <b/>
        <sz val="10"/>
        <rFont val="宋体"/>
        <charset val="134"/>
      </rPr>
      <t>变动金额</t>
    </r>
  </si>
  <si>
    <r>
      <rPr>
        <b/>
        <sz val="10"/>
        <rFont val="宋体"/>
        <charset val="134"/>
      </rPr>
      <t>幅度</t>
    </r>
    <r>
      <rPr>
        <b/>
        <sz val="10"/>
        <rFont val="Arial Narrow"/>
        <charset val="134"/>
      </rPr>
      <t>%</t>
    </r>
  </si>
  <si>
    <r>
      <rPr>
        <b/>
        <sz val="10"/>
        <rFont val="宋体"/>
        <charset val="134"/>
      </rPr>
      <t>合理性分析</t>
    </r>
  </si>
  <si>
    <r>
      <rPr>
        <sz val="10"/>
        <rFont val="宋体"/>
        <charset val="134"/>
      </rPr>
      <t>本期收入较上期增加</t>
    </r>
    <r>
      <rPr>
        <sz val="10"/>
        <rFont val="Arial Narrow"/>
        <charset val="134"/>
      </rPr>
      <t>5000</t>
    </r>
    <r>
      <rPr>
        <sz val="10"/>
        <rFont val="宋体"/>
        <charset val="134"/>
      </rPr>
      <t>万，但本期收入项目主要系</t>
    </r>
    <r>
      <rPr>
        <sz val="10"/>
        <rFont val="Arial Narrow"/>
        <charset val="134"/>
      </rPr>
      <t>EMC</t>
    </r>
    <r>
      <rPr>
        <sz val="10"/>
        <rFont val="宋体"/>
        <charset val="134"/>
      </rPr>
      <t>（阳春、海陵岛）与分期收款的</t>
    </r>
    <r>
      <rPr>
        <sz val="10"/>
        <rFont val="Arial Narrow"/>
        <charset val="134"/>
      </rPr>
      <t>BT</t>
    </r>
    <r>
      <rPr>
        <sz val="10"/>
        <rFont val="宋体"/>
        <charset val="134"/>
      </rPr>
      <t>项目（大武口），应收账款增加较收入增长幅度小。</t>
    </r>
  </si>
  <si>
    <r>
      <rPr>
        <sz val="10"/>
        <rFont val="宋体"/>
        <charset val="134"/>
      </rPr>
      <t>按照合同约定，采购一般需预付款项，</t>
    </r>
    <r>
      <rPr>
        <sz val="10"/>
        <rFont val="Arial Narrow"/>
        <charset val="134"/>
      </rPr>
      <t>16</t>
    </r>
    <r>
      <rPr>
        <sz val="10"/>
        <rFont val="宋体"/>
        <charset val="134"/>
      </rPr>
      <t>、</t>
    </r>
    <r>
      <rPr>
        <sz val="10"/>
        <rFont val="Arial Narrow"/>
        <charset val="134"/>
      </rPr>
      <t>17</t>
    </r>
    <r>
      <rPr>
        <sz val="10"/>
        <rFont val="宋体"/>
        <charset val="134"/>
      </rPr>
      <t>年初开工项目少，故年末备货预付款项较少，本期增加系正常变动。</t>
    </r>
  </si>
  <si>
    <r>
      <rPr>
        <sz val="10"/>
        <rFont val="宋体"/>
        <charset val="134"/>
      </rPr>
      <t>期末期初余额较大主要系股东及其他单位资金占用利息未收回所致，本期变动系未收回骏汇通</t>
    </r>
    <r>
      <rPr>
        <sz val="10"/>
        <rFont val="Arial Narrow"/>
        <charset val="134"/>
      </rPr>
      <t>950</t>
    </r>
    <r>
      <rPr>
        <sz val="10"/>
        <rFont val="宋体"/>
        <charset val="134"/>
      </rPr>
      <t>万本金利息。</t>
    </r>
  </si>
  <si>
    <r>
      <rPr>
        <sz val="10"/>
        <rFont val="宋体"/>
        <charset val="134"/>
      </rPr>
      <t>主要核算资金拆借、子公司往来款以及投标保证金等内容。期初期末约较大主要系股东及其他单位占用资金，已按同期同等条件利率计提相应利息。截止至</t>
    </r>
    <r>
      <rPr>
        <sz val="10"/>
        <rFont val="Arial Narrow"/>
        <charset val="134"/>
      </rPr>
      <t>2017</t>
    </r>
    <r>
      <rPr>
        <sz val="10"/>
        <rFont val="宋体"/>
        <charset val="134"/>
      </rPr>
      <t>年</t>
    </r>
    <r>
      <rPr>
        <sz val="10"/>
        <rFont val="Arial Narrow"/>
        <charset val="134"/>
      </rPr>
      <t>12</t>
    </r>
    <r>
      <rPr>
        <sz val="10"/>
        <rFont val="宋体"/>
        <charset val="134"/>
      </rPr>
      <t>月</t>
    </r>
    <r>
      <rPr>
        <sz val="10"/>
        <rFont val="Arial Narrow"/>
        <charset val="134"/>
      </rPr>
      <t>31</t>
    </r>
    <r>
      <rPr>
        <sz val="10"/>
        <rFont val="宋体"/>
        <charset val="134"/>
      </rPr>
      <t>日，资金拆借除</t>
    </r>
    <r>
      <rPr>
        <sz val="10"/>
        <rFont val="Arial Narrow"/>
        <charset val="134"/>
      </rPr>
      <t>17</t>
    </r>
    <r>
      <rPr>
        <sz val="10"/>
        <rFont val="宋体"/>
        <charset val="134"/>
      </rPr>
      <t>年新增的恒山公司</t>
    </r>
    <r>
      <rPr>
        <sz val="10"/>
        <rFont val="Arial Narrow"/>
        <charset val="134"/>
      </rPr>
      <t>100</t>
    </r>
    <r>
      <rPr>
        <sz val="10"/>
        <rFont val="宋体"/>
        <charset val="134"/>
      </rPr>
      <t>万外，已全部归还。此外，存在无法收回款项（惠州置信</t>
    </r>
    <r>
      <rPr>
        <sz val="10"/>
        <rFont val="Arial Narrow"/>
        <charset val="134"/>
      </rPr>
      <t>200</t>
    </r>
    <r>
      <rPr>
        <sz val="10"/>
        <rFont val="宋体"/>
        <charset val="134"/>
      </rPr>
      <t>万、安徽华明</t>
    </r>
    <r>
      <rPr>
        <sz val="10"/>
        <rFont val="Arial Narrow"/>
        <charset val="134"/>
      </rPr>
      <t>205</t>
    </r>
    <r>
      <rPr>
        <sz val="10"/>
        <rFont val="宋体"/>
        <charset val="134"/>
      </rPr>
      <t>万），已全额计提坏账。</t>
    </r>
  </si>
  <si>
    <r>
      <rPr>
        <sz val="10"/>
        <rFont val="宋体"/>
        <charset val="134"/>
      </rPr>
      <t>期末余额主要系已完工未验收的公主岭项目，涉及金额</t>
    </r>
    <r>
      <rPr>
        <sz val="10"/>
        <rFont val="Arial Narrow"/>
        <charset val="134"/>
      </rPr>
      <t>2,400</t>
    </r>
    <r>
      <rPr>
        <sz val="10"/>
        <rFont val="宋体"/>
        <charset val="134"/>
      </rPr>
      <t>万以及</t>
    </r>
    <r>
      <rPr>
        <sz val="10"/>
        <rFont val="Arial Narrow"/>
        <charset val="134"/>
      </rPr>
      <t>460</t>
    </r>
    <r>
      <rPr>
        <sz val="10"/>
        <rFont val="宋体"/>
        <charset val="134"/>
      </rPr>
      <t>万项目退回作期末结存的灯具。期初存货主要系滞留库存的路灯、投光灯等灯具，涉及金额</t>
    </r>
    <r>
      <rPr>
        <sz val="10"/>
        <rFont val="Arial Narrow"/>
        <charset val="134"/>
      </rPr>
      <t>907</t>
    </r>
    <r>
      <rPr>
        <sz val="10"/>
        <rFont val="宋体"/>
        <charset val="134"/>
      </rPr>
      <t>万。期初结存工程金额较小，主要系科磊得项目未完工以及湘阴二期未验收所致，涉及金额</t>
    </r>
    <r>
      <rPr>
        <sz val="10"/>
        <rFont val="Arial Narrow"/>
        <charset val="134"/>
      </rPr>
      <t>690</t>
    </r>
    <r>
      <rPr>
        <sz val="10"/>
        <rFont val="宋体"/>
        <charset val="134"/>
      </rPr>
      <t>万。本期变动主要系当期实施工程项目规模大，投入多以及滞留库存消化。</t>
    </r>
  </si>
  <si>
    <r>
      <rPr>
        <sz val="10"/>
        <rFont val="宋体"/>
        <charset val="134"/>
      </rPr>
      <t>一年内到期的非流动资产期末较期初增加</t>
    </r>
    <r>
      <rPr>
        <sz val="10"/>
        <rFont val="Arial Narrow"/>
        <charset val="134"/>
      </rPr>
      <t>748</t>
    </r>
    <r>
      <rPr>
        <sz val="10"/>
        <rFont val="宋体"/>
        <charset val="134"/>
      </rPr>
      <t>万元，主要系新增大武口（分</t>
    </r>
    <r>
      <rPr>
        <sz val="10"/>
        <rFont val="Arial Narrow"/>
        <charset val="134"/>
      </rPr>
      <t>10</t>
    </r>
    <r>
      <rPr>
        <sz val="10"/>
        <rFont val="宋体"/>
        <charset val="134"/>
      </rPr>
      <t>年）长期应收款未来一年回款自长期应收款重分类至一年内到期的非流动资产的金额所致。</t>
    </r>
  </si>
  <si>
    <r>
      <rPr>
        <sz val="10"/>
        <rFont val="宋体"/>
        <charset val="134"/>
      </rPr>
      <t>本期大武口项目验收，确认收入，增加长期应收款</t>
    </r>
    <r>
      <rPr>
        <sz val="10"/>
        <rFont val="Arial Narrow"/>
        <charset val="134"/>
      </rPr>
      <t>6700</t>
    </r>
    <r>
      <rPr>
        <sz val="10"/>
        <rFont val="宋体"/>
        <charset val="134"/>
      </rPr>
      <t>万（重分类前，分</t>
    </r>
    <r>
      <rPr>
        <sz val="10"/>
        <rFont val="Arial Narrow"/>
        <charset val="134"/>
      </rPr>
      <t>10</t>
    </r>
    <r>
      <rPr>
        <sz val="10"/>
        <rFont val="宋体"/>
        <charset val="134"/>
      </rPr>
      <t>年支付）。</t>
    </r>
  </si>
  <si>
    <t>期初期末余额主要系蓝博万投资款，本期未增加对子公司投资，石嘴山、新能量未出资。</t>
  </si>
  <si>
    <r>
      <rPr>
        <sz val="10"/>
        <rFont val="宋体"/>
        <charset val="134"/>
      </rPr>
      <t>主要系</t>
    </r>
    <r>
      <rPr>
        <sz val="10"/>
        <rFont val="Arial Narrow"/>
        <charset val="134"/>
      </rPr>
      <t>EMC</t>
    </r>
    <r>
      <rPr>
        <sz val="10"/>
        <rFont val="宋体"/>
        <charset val="134"/>
      </rPr>
      <t>项目形成的节能服务资产，本期变动小系当期开始分享项目较少。</t>
    </r>
  </si>
  <si>
    <r>
      <rPr>
        <sz val="10"/>
        <rFont val="宋体"/>
        <charset val="134"/>
      </rPr>
      <t>核算内容为</t>
    </r>
    <r>
      <rPr>
        <sz val="10"/>
        <rFont val="Arial Narrow"/>
        <charset val="134"/>
      </rPr>
      <t>EMC</t>
    </r>
    <r>
      <rPr>
        <sz val="10"/>
        <rFont val="宋体"/>
        <charset val="134"/>
      </rPr>
      <t>项目对应的在建节能服务资产，本期变动较大主要系当期项目规模大，且大部分为下半年开工。期末未验收项目主要系</t>
    </r>
    <r>
      <rPr>
        <sz val="10"/>
        <rFont val="Arial Narrow"/>
        <charset val="134"/>
      </rPr>
      <t>3</t>
    </r>
    <r>
      <rPr>
        <sz val="10"/>
        <rFont val="宋体"/>
        <charset val="134"/>
      </rPr>
      <t>个阳江项目（</t>
    </r>
    <r>
      <rPr>
        <sz val="10"/>
        <rFont val="Arial Narrow"/>
        <charset val="134"/>
      </rPr>
      <t>2200</t>
    </r>
    <r>
      <rPr>
        <sz val="10"/>
        <rFont val="宋体"/>
        <charset val="134"/>
      </rPr>
      <t>万）、汕头项目（</t>
    </r>
    <r>
      <rPr>
        <sz val="10"/>
        <rFont val="Arial Narrow"/>
        <charset val="134"/>
      </rPr>
      <t>624</t>
    </r>
    <r>
      <rPr>
        <sz val="10"/>
        <rFont val="宋体"/>
        <charset val="134"/>
      </rPr>
      <t>万）。已验收但未开始分享节能效益项目主要系郎溪项目（</t>
    </r>
    <r>
      <rPr>
        <sz val="10"/>
        <rFont val="Arial Narrow"/>
        <charset val="134"/>
      </rPr>
      <t>820</t>
    </r>
    <r>
      <rPr>
        <sz val="10"/>
        <rFont val="宋体"/>
        <charset val="134"/>
      </rPr>
      <t>万）、机场高速项目（</t>
    </r>
    <r>
      <rPr>
        <sz val="10"/>
        <rFont val="Arial Narrow"/>
        <charset val="134"/>
      </rPr>
      <t>687</t>
    </r>
    <r>
      <rPr>
        <sz val="10"/>
        <rFont val="宋体"/>
        <charset val="134"/>
      </rPr>
      <t>万）。</t>
    </r>
  </si>
  <si>
    <t>正常摊销所致</t>
  </si>
  <si>
    <t>坏账准备增加所致</t>
  </si>
  <si>
    <r>
      <rPr>
        <sz val="10"/>
        <rFont val="宋体"/>
        <charset val="134"/>
      </rPr>
      <t>期末余额系</t>
    </r>
    <r>
      <rPr>
        <sz val="10"/>
        <rFont val="Arial Narrow"/>
        <charset val="134"/>
      </rPr>
      <t>12</t>
    </r>
    <r>
      <rPr>
        <sz val="10"/>
        <rFont val="宋体"/>
        <charset val="134"/>
      </rPr>
      <t>月工资以及年终奖金，除项目团队计算绩效奖金外，其余年终奖一般为一个月的工资，项目团队平时可预支奖金。期末余额较期初增加</t>
    </r>
    <r>
      <rPr>
        <sz val="10"/>
        <rFont val="Arial Narrow"/>
        <charset val="134"/>
      </rPr>
      <t>1.5</t>
    </r>
    <r>
      <rPr>
        <sz val="10"/>
        <rFont val="宋体"/>
        <charset val="134"/>
      </rPr>
      <t>倍主要系本期公司人员增加以及涨薪所致</t>
    </r>
    <r>
      <rPr>
        <sz val="10"/>
        <rFont val="Arial Narrow"/>
        <charset val="134"/>
      </rPr>
      <t>(15</t>
    </r>
    <r>
      <rPr>
        <sz val="10"/>
        <rFont val="宋体"/>
        <charset val="134"/>
      </rPr>
      <t>年期末员工总数为</t>
    </r>
    <r>
      <rPr>
        <sz val="10"/>
        <rFont val="Arial Narrow"/>
        <charset val="134"/>
      </rPr>
      <t>61</t>
    </r>
    <r>
      <rPr>
        <sz val="10"/>
        <rFont val="宋体"/>
        <charset val="134"/>
      </rPr>
      <t>人，</t>
    </r>
    <r>
      <rPr>
        <sz val="10"/>
        <rFont val="Arial Narrow"/>
        <charset val="134"/>
      </rPr>
      <t>16</t>
    </r>
    <r>
      <rPr>
        <sz val="10"/>
        <rFont val="宋体"/>
        <charset val="134"/>
      </rPr>
      <t>年每月有增加，期末员工总数为</t>
    </r>
    <r>
      <rPr>
        <sz val="10"/>
        <rFont val="Arial Narrow"/>
        <charset val="134"/>
      </rPr>
      <t>91</t>
    </r>
    <r>
      <rPr>
        <sz val="10"/>
        <rFont val="宋体"/>
        <charset val="134"/>
      </rPr>
      <t>人；平均工资也有所上涨，</t>
    </r>
    <r>
      <rPr>
        <sz val="10"/>
        <rFont val="Arial Narrow"/>
        <charset val="134"/>
      </rPr>
      <t>15</t>
    </r>
    <r>
      <rPr>
        <sz val="10"/>
        <rFont val="宋体"/>
        <charset val="134"/>
      </rPr>
      <t>年平均工资不到</t>
    </r>
    <r>
      <rPr>
        <sz val="10"/>
        <rFont val="Arial Narrow"/>
        <charset val="134"/>
      </rPr>
      <t>5,650</t>
    </r>
    <r>
      <rPr>
        <sz val="10"/>
        <rFont val="宋体"/>
        <charset val="134"/>
      </rPr>
      <t>元</t>
    </r>
    <r>
      <rPr>
        <sz val="10"/>
        <rFont val="Arial Narrow"/>
        <charset val="134"/>
      </rPr>
      <t>,16</t>
    </r>
    <r>
      <rPr>
        <sz val="10"/>
        <rFont val="宋体"/>
        <charset val="134"/>
      </rPr>
      <t>年平均工资为</t>
    </r>
    <r>
      <rPr>
        <sz val="10"/>
        <rFont val="Arial Narrow"/>
        <charset val="134"/>
      </rPr>
      <t>6,000</t>
    </r>
    <r>
      <rPr>
        <sz val="10"/>
        <rFont val="宋体"/>
        <charset val="134"/>
      </rPr>
      <t>元</t>
    </r>
    <r>
      <rPr>
        <sz val="10"/>
        <rFont val="Arial Narrow"/>
        <charset val="134"/>
      </rPr>
      <t>)</t>
    </r>
    <r>
      <rPr>
        <sz val="10"/>
        <rFont val="宋体"/>
        <charset val="134"/>
      </rPr>
      <t>。此外，本期新增大武口、阳江、公主岭等</t>
    </r>
    <r>
      <rPr>
        <sz val="10"/>
        <rFont val="Arial Narrow"/>
        <charset val="134"/>
      </rPr>
      <t>13</t>
    </r>
    <r>
      <rPr>
        <sz val="10"/>
        <rFont val="宋体"/>
        <charset val="134"/>
      </rPr>
      <t>个项目，且单个项目合同金额远大于</t>
    </r>
    <r>
      <rPr>
        <sz val="10"/>
        <rFont val="Arial Narrow"/>
        <charset val="134"/>
      </rPr>
      <t>15</t>
    </r>
    <r>
      <rPr>
        <sz val="10"/>
        <rFont val="宋体"/>
        <charset val="134"/>
      </rPr>
      <t>年承接项目，市场团队绩效奖金较</t>
    </r>
    <r>
      <rPr>
        <sz val="10"/>
        <rFont val="Arial Narrow"/>
        <charset val="134"/>
      </rPr>
      <t>15</t>
    </r>
    <r>
      <rPr>
        <sz val="10"/>
        <rFont val="宋体"/>
        <charset val="134"/>
      </rPr>
      <t>年增加较多。期末结余较少主要系市场团队预支奖金所致。</t>
    </r>
  </si>
  <si>
    <r>
      <rPr>
        <sz val="10"/>
        <rFont val="宋体"/>
        <charset val="134"/>
      </rPr>
      <t>期末应交税费减少主要系本期非</t>
    </r>
    <r>
      <rPr>
        <sz val="10"/>
        <rFont val="Arial Narrow"/>
        <charset val="134"/>
      </rPr>
      <t>EMC</t>
    </r>
    <r>
      <rPr>
        <sz val="10"/>
        <rFont val="宋体"/>
        <charset val="134"/>
      </rPr>
      <t>业务增加，所购入存货、劳务可抵扣进项税额，本期收入最大的大武口采用分期收款模式，纳税义务时点为合同约定每次收款时间，当期销项税额较少，故进销项税额大于销项，当期实际应缴纳增值税减少，流转税附加也相应减少。</t>
    </r>
  </si>
  <si>
    <t>借款本金减少所致。</t>
  </si>
  <si>
    <r>
      <rPr>
        <sz val="10"/>
        <color theme="1"/>
        <rFont val="宋体"/>
        <charset val="134"/>
      </rPr>
      <t>主要核算内容为员工垫款、应付子公司新能量广深维护项目款、以及其他单位往来款。期初余额主要系深圳市国侨绿色产业投资发展有限公司往来款</t>
    </r>
    <r>
      <rPr>
        <sz val="10"/>
        <color theme="1"/>
        <rFont val="Arial Narrow"/>
        <charset val="134"/>
      </rPr>
      <t>300</t>
    </r>
    <r>
      <rPr>
        <sz val="10"/>
        <color theme="1"/>
        <rFont val="宋体"/>
        <charset val="134"/>
      </rPr>
      <t>万、股东袁修庭</t>
    </r>
    <r>
      <rPr>
        <sz val="10"/>
        <color theme="1"/>
        <rFont val="Arial Narrow"/>
        <charset val="134"/>
      </rPr>
      <t>204</t>
    </r>
    <r>
      <rPr>
        <sz val="10"/>
        <color theme="1"/>
        <rFont val="宋体"/>
        <charset val="134"/>
      </rPr>
      <t>万往来款以及湖南分公司总经理毛霞光代垫湘阴项目材料款，截止至</t>
    </r>
    <r>
      <rPr>
        <sz val="10"/>
        <color theme="1"/>
        <rFont val="Arial Narrow"/>
        <charset val="134"/>
      </rPr>
      <t>2017</t>
    </r>
    <r>
      <rPr>
        <sz val="10"/>
        <color theme="1"/>
        <rFont val="宋体"/>
        <charset val="134"/>
      </rPr>
      <t>年</t>
    </r>
    <r>
      <rPr>
        <sz val="10"/>
        <color theme="1"/>
        <rFont val="Arial Narrow"/>
        <charset val="134"/>
      </rPr>
      <t>12</t>
    </r>
    <r>
      <rPr>
        <sz val="10"/>
        <color theme="1"/>
        <rFont val="宋体"/>
        <charset val="134"/>
      </rPr>
      <t>月</t>
    </r>
    <r>
      <rPr>
        <sz val="10"/>
        <color theme="1"/>
        <rFont val="Arial Narrow"/>
        <charset val="134"/>
      </rPr>
      <t>31</t>
    </r>
    <r>
      <rPr>
        <sz val="10"/>
        <color theme="1"/>
        <rFont val="宋体"/>
        <charset val="134"/>
      </rPr>
      <t>日袁修庭</t>
    </r>
    <r>
      <rPr>
        <sz val="10"/>
        <color theme="1"/>
        <rFont val="Arial Narrow"/>
        <charset val="134"/>
      </rPr>
      <t>204</t>
    </r>
    <r>
      <rPr>
        <sz val="10"/>
        <color theme="1"/>
        <rFont val="宋体"/>
        <charset val="134"/>
      </rPr>
      <t>万仍未归还。本期变动系本期借入深圳市义山供应链管理有限公司</t>
    </r>
    <r>
      <rPr>
        <sz val="10"/>
        <color theme="1"/>
        <rFont val="Arial Narrow"/>
        <charset val="134"/>
      </rPr>
      <t>16,200,000.00</t>
    </r>
    <r>
      <rPr>
        <sz val="10"/>
        <color theme="1"/>
        <rFont val="宋体"/>
        <charset val="134"/>
      </rPr>
      <t>元，已按同期同等条件借款利率计提利息以及归还深圳市国侨绿色产业投资发展有限公司往来款</t>
    </r>
    <r>
      <rPr>
        <sz val="10"/>
        <color theme="1"/>
        <rFont val="Arial Narrow"/>
        <charset val="134"/>
      </rPr>
      <t>300</t>
    </r>
    <r>
      <rPr>
        <sz val="10"/>
        <color theme="1"/>
        <rFont val="宋体"/>
        <charset val="134"/>
      </rPr>
      <t>万。</t>
    </r>
  </si>
  <si>
    <t>一年内到期的长期应付款、长期借款重分类</t>
  </si>
  <si>
    <r>
      <rPr>
        <sz val="10"/>
        <rFont val="宋体"/>
        <charset val="134"/>
      </rPr>
      <t>借款主要系</t>
    </r>
    <r>
      <rPr>
        <sz val="10"/>
        <rFont val="Arial Narrow"/>
        <charset val="134"/>
      </rPr>
      <t>2013-2015</t>
    </r>
    <r>
      <rPr>
        <sz val="10"/>
        <rFont val="宋体"/>
        <charset val="134"/>
      </rPr>
      <t>年借入，均系按期还本付息，借款余额逐年下降且本期无新增借款。</t>
    </r>
  </si>
  <si>
    <t>核算内容为洲明、证通电子分期购货款，按合同约定定期支付长期应付款当期还款额或者转入应付账款并确认当期融资费用。</t>
  </si>
  <si>
    <t>系怀化项目预提后期维护费，根据实际发生金额冲减预计负债，本期已是质保期的最后一年，冲回未发生维护费9万元。</t>
  </si>
  <si>
    <r>
      <rPr>
        <sz val="10"/>
        <rFont val="宋体"/>
        <charset val="134"/>
      </rPr>
      <t>主要系与资产相关的政府补助，本期收到老干部、深圳</t>
    </r>
    <r>
      <rPr>
        <sz val="10"/>
        <rFont val="Arial Narrow"/>
        <charset val="134"/>
      </rPr>
      <t>LED</t>
    </r>
    <r>
      <rPr>
        <sz val="10"/>
        <rFont val="宋体"/>
        <charset val="134"/>
      </rPr>
      <t>路灯节能改造、宝安石岩</t>
    </r>
    <r>
      <rPr>
        <sz val="10"/>
        <rFont val="Arial Narrow"/>
        <charset val="134"/>
      </rPr>
      <t>LED</t>
    </r>
    <r>
      <rPr>
        <sz val="10"/>
        <rFont val="宋体"/>
        <charset val="134"/>
      </rPr>
      <t>改造补助款</t>
    </r>
    <r>
      <rPr>
        <sz val="10"/>
        <rFont val="Arial Narrow"/>
        <charset val="134"/>
      </rPr>
      <t>2,548,810.80</t>
    </r>
    <r>
      <rPr>
        <sz val="10"/>
        <rFont val="宋体"/>
        <charset val="134"/>
      </rPr>
      <t>元。本期变动主要系新增补助款及按期结转的补助款。</t>
    </r>
  </si>
  <si>
    <r>
      <rPr>
        <sz val="10"/>
        <rFont val="宋体"/>
        <charset val="134"/>
      </rPr>
      <t>本期新增</t>
    </r>
    <r>
      <rPr>
        <sz val="10"/>
        <rFont val="Arial Narrow"/>
        <charset val="134"/>
      </rPr>
      <t>14</t>
    </r>
    <r>
      <rPr>
        <sz val="10"/>
        <rFont val="宋体"/>
        <charset val="134"/>
      </rPr>
      <t>位股东，资本金投入所致。</t>
    </r>
  </si>
  <si>
    <t>主要系股东投入资本溢价，股改净资产与股本差额转入。</t>
  </si>
  <si>
    <r>
      <rPr>
        <sz val="10"/>
        <rFont val="宋体"/>
        <charset val="134"/>
      </rPr>
      <t>上期无</t>
    </r>
    <r>
      <rPr>
        <sz val="10"/>
        <rFont val="Arial Narrow"/>
        <charset val="134"/>
      </rPr>
      <t>PPP</t>
    </r>
    <r>
      <rPr>
        <sz val="10"/>
        <rFont val="宋体"/>
        <charset val="134"/>
      </rPr>
      <t>业务，</t>
    </r>
    <r>
      <rPr>
        <sz val="10"/>
        <rFont val="Arial Narrow"/>
        <charset val="134"/>
      </rPr>
      <t>BT</t>
    </r>
    <r>
      <rPr>
        <sz val="10"/>
        <rFont val="宋体"/>
        <charset val="134"/>
      </rPr>
      <t>项目规模小，收入不大，收入主要由</t>
    </r>
    <r>
      <rPr>
        <sz val="10"/>
        <rFont val="Arial Narrow"/>
        <charset val="134"/>
      </rPr>
      <t>EMC</t>
    </r>
    <r>
      <rPr>
        <sz val="10"/>
        <rFont val="宋体"/>
        <charset val="134"/>
      </rPr>
      <t>项目构成，</t>
    </r>
    <r>
      <rPr>
        <sz val="10"/>
        <rFont val="Arial Narrow"/>
        <charset val="134"/>
      </rPr>
      <t>EMC</t>
    </r>
    <r>
      <rPr>
        <sz val="10"/>
        <rFont val="宋体"/>
        <charset val="134"/>
      </rPr>
      <t>业务收入系按约定分享的节能效益，每年变动小。本期较上期增加主要系本期承接的大武口</t>
    </r>
    <r>
      <rPr>
        <sz val="10"/>
        <rFont val="Arial Narrow"/>
        <charset val="134"/>
      </rPr>
      <t>PPP</t>
    </r>
    <r>
      <rPr>
        <sz val="10"/>
        <rFont val="宋体"/>
        <charset val="134"/>
      </rPr>
      <t>项目验收结转收入</t>
    </r>
    <r>
      <rPr>
        <sz val="10"/>
        <rFont val="Arial Narrow"/>
        <charset val="134"/>
      </rPr>
      <t>5800</t>
    </r>
    <r>
      <rPr>
        <sz val="10"/>
        <rFont val="宋体"/>
        <charset val="134"/>
      </rPr>
      <t>万所致。</t>
    </r>
  </si>
  <si>
    <t>成本变动与收入变动趋势一致，因业务毛利较高，成本涨幅较收入低。</t>
  </si>
  <si>
    <r>
      <rPr>
        <sz val="10"/>
        <rFont val="Arial Narrow"/>
        <charset val="134"/>
      </rPr>
      <t xml:space="preserve"> </t>
    </r>
    <r>
      <rPr>
        <sz val="12"/>
        <rFont val="Arial Narrow"/>
        <charset val="134"/>
      </rPr>
      <t xml:space="preserve">  </t>
    </r>
    <r>
      <rPr>
        <sz val="10"/>
        <rFont val="宋体"/>
        <charset val="134"/>
      </rPr>
      <t>营业税金及附加</t>
    </r>
  </si>
  <si>
    <r>
      <rPr>
        <sz val="10"/>
        <rFont val="宋体"/>
        <charset val="134"/>
      </rPr>
      <t>本期税金及附加发生额较上期有所减少主要系本期“营改增”，</t>
    </r>
    <r>
      <rPr>
        <sz val="10"/>
        <rFont val="Arial Narrow"/>
        <charset val="134"/>
      </rPr>
      <t>5</t>
    </r>
    <r>
      <rPr>
        <sz val="10"/>
        <rFont val="宋体"/>
        <charset val="134"/>
      </rPr>
      <t>月以后不需再缴纳营业税。此外，本期进项税额大于销项，实际应缴纳增值税减少。</t>
    </r>
  </si>
  <si>
    <r>
      <rPr>
        <sz val="10"/>
        <rFont val="宋体"/>
        <charset val="134"/>
      </rPr>
      <t>两期费用变动较小主要系</t>
    </r>
    <r>
      <rPr>
        <sz val="10"/>
        <color rgb="FFFF0000"/>
        <rFont val="宋体"/>
        <charset val="134"/>
      </rPr>
      <t>上期沉没成本较大（</t>
    </r>
    <r>
      <rPr>
        <sz val="10"/>
        <color rgb="FFFF0000"/>
        <rFont val="Arial Narrow"/>
        <charset val="134"/>
      </rPr>
      <t>413</t>
    </r>
    <r>
      <rPr>
        <sz val="10"/>
        <color rgb="FFFF0000"/>
        <rFont val="宋体"/>
        <charset val="134"/>
      </rPr>
      <t>万），以前年度管理粗糙，项目中标前投入大额前期勘探、设计咨询费用，项目未成就计入当期损益。</t>
    </r>
    <r>
      <rPr>
        <sz val="10"/>
        <rFont val="宋体"/>
        <charset val="134"/>
      </rPr>
      <t>剔除后，本期较上期增加</t>
    </r>
    <r>
      <rPr>
        <sz val="10"/>
        <rFont val="Arial Narrow"/>
        <charset val="134"/>
      </rPr>
      <t>430</t>
    </r>
    <r>
      <rPr>
        <sz val="10"/>
        <rFont val="宋体"/>
        <charset val="134"/>
      </rPr>
      <t>万。其中，职工薪酬增加</t>
    </r>
    <r>
      <rPr>
        <sz val="10"/>
        <rFont val="Arial Narrow"/>
        <charset val="134"/>
      </rPr>
      <t>300</t>
    </r>
    <r>
      <rPr>
        <sz val="10"/>
        <rFont val="宋体"/>
        <charset val="134"/>
      </rPr>
      <t>万，主要系本期新增大武口、阳江、公主岭等</t>
    </r>
    <r>
      <rPr>
        <sz val="10"/>
        <rFont val="Arial Narrow"/>
        <charset val="134"/>
      </rPr>
      <t>13</t>
    </r>
    <r>
      <rPr>
        <sz val="10"/>
        <rFont val="宋体"/>
        <charset val="134"/>
      </rPr>
      <t>个项目，且单个项目合同金额远大于上期年承接项目，市场团队绩效奖金较多。此外，本期新增照明市场</t>
    </r>
    <r>
      <rPr>
        <sz val="10"/>
        <rFont val="Arial Narrow"/>
        <charset val="134"/>
      </rPr>
      <t>1</t>
    </r>
    <r>
      <rPr>
        <sz val="10"/>
        <rFont val="宋体"/>
        <charset val="134"/>
      </rPr>
      <t>、</t>
    </r>
    <r>
      <rPr>
        <sz val="10"/>
        <rFont val="Arial Narrow"/>
        <charset val="134"/>
      </rPr>
      <t>4</t>
    </r>
    <r>
      <rPr>
        <sz val="10"/>
        <rFont val="宋体"/>
        <charset val="134"/>
      </rPr>
      <t>部以及国际事业部，项目也由广东、湖南地区扩大到宁夏、吉林、贵州等地区，相应交通差旅费大额增加。</t>
    </r>
  </si>
  <si>
    <r>
      <rPr>
        <sz val="10"/>
        <rFont val="宋体"/>
        <charset val="134"/>
      </rPr>
      <t>两期费用变动较小主要系</t>
    </r>
    <r>
      <rPr>
        <sz val="10"/>
        <rFont val="Arial Narrow"/>
        <charset val="134"/>
      </rPr>
      <t>15</t>
    </r>
    <r>
      <rPr>
        <sz val="10"/>
        <rFont val="宋体"/>
        <charset val="134"/>
      </rPr>
      <t>年进行股份支付，发生费用</t>
    </r>
    <r>
      <rPr>
        <sz val="10"/>
        <rFont val="Arial Narrow"/>
        <charset val="134"/>
      </rPr>
      <t>575</t>
    </r>
    <r>
      <rPr>
        <sz val="10"/>
        <rFont val="宋体"/>
        <charset val="134"/>
      </rPr>
      <t>万，剔除股份支付后</t>
    </r>
    <r>
      <rPr>
        <sz val="10"/>
        <rFont val="Arial Narrow"/>
        <charset val="134"/>
      </rPr>
      <t>1</t>
    </r>
    <r>
      <rPr>
        <sz val="10"/>
        <rFont val="宋体"/>
        <charset val="134"/>
      </rPr>
      <t>本期较上期费用增加约</t>
    </r>
    <r>
      <rPr>
        <sz val="10"/>
        <rFont val="Arial Narrow"/>
        <charset val="134"/>
      </rPr>
      <t>560</t>
    </r>
    <r>
      <rPr>
        <sz val="10"/>
        <rFont val="宋体"/>
        <charset val="134"/>
      </rPr>
      <t>万。职工薪酬较上期增加</t>
    </r>
    <r>
      <rPr>
        <sz val="10"/>
        <rFont val="Arial Narrow"/>
        <charset val="134"/>
      </rPr>
      <t>84</t>
    </r>
    <r>
      <rPr>
        <sz val="10"/>
        <rFont val="宋体"/>
        <charset val="134"/>
      </rPr>
      <t>万，系本期公司规模扩大，人员有所增加，人均工资小幅上涨，职工薪酬相应增多。研发项目增加</t>
    </r>
    <r>
      <rPr>
        <sz val="10"/>
        <rFont val="Arial Narrow"/>
        <charset val="134"/>
      </rPr>
      <t>3</t>
    </r>
    <r>
      <rPr>
        <sz val="10"/>
        <rFont val="宋体"/>
        <charset val="134"/>
      </rPr>
      <t>个，且当期研发项目，主要涉及新能源与节能技术，系新领域需大额投入，因此，研发支出增加</t>
    </r>
    <r>
      <rPr>
        <sz val="10"/>
        <rFont val="Arial Narrow"/>
        <charset val="134"/>
      </rPr>
      <t>289</t>
    </r>
    <r>
      <rPr>
        <sz val="10"/>
        <rFont val="宋体"/>
        <charset val="134"/>
      </rPr>
      <t>万。此外，本期支付大华、德恒、华林证券等中介机构申报审计、辅导费用</t>
    </r>
    <r>
      <rPr>
        <sz val="10"/>
        <rFont val="Arial Narrow"/>
        <charset val="134"/>
      </rPr>
      <t>120</t>
    </r>
    <r>
      <rPr>
        <sz val="10"/>
        <rFont val="宋体"/>
        <charset val="134"/>
      </rPr>
      <t>万，因上述中介机构已终止服务，将相关费用计入当期损益。</t>
    </r>
  </si>
  <si>
    <r>
      <rPr>
        <sz val="10"/>
        <rFont val="宋体"/>
        <charset val="134"/>
      </rPr>
      <t>引进投资人（新增</t>
    </r>
    <r>
      <rPr>
        <sz val="10"/>
        <rFont val="Arial Narrow"/>
        <charset val="134"/>
      </rPr>
      <t>14</t>
    </r>
    <r>
      <rPr>
        <sz val="10"/>
        <rFont val="宋体"/>
        <charset val="134"/>
      </rPr>
      <t>位股东）发生</t>
    </r>
    <r>
      <rPr>
        <sz val="10"/>
        <rFont val="Arial Narrow"/>
        <charset val="134"/>
      </rPr>
      <t>1087</t>
    </r>
    <r>
      <rPr>
        <sz val="10"/>
        <rFont val="宋体"/>
        <charset val="134"/>
      </rPr>
      <t>万融资费用，借款本金较大产生利息支出多。</t>
    </r>
  </si>
  <si>
    <r>
      <rPr>
        <sz val="10"/>
        <rFont val="宋体"/>
        <charset val="134"/>
      </rPr>
      <t>本期确认收入增加应收账款，且回款较慢，结余应收账款账龄为</t>
    </r>
    <r>
      <rPr>
        <sz val="10"/>
        <rFont val="Arial Narrow"/>
        <charset val="134"/>
      </rPr>
      <t>1</t>
    </r>
    <r>
      <rPr>
        <sz val="10"/>
        <rFont val="宋体"/>
        <charset val="134"/>
      </rPr>
      <t>年以上的有</t>
    </r>
    <r>
      <rPr>
        <sz val="10"/>
        <rFont val="Arial Narrow"/>
        <charset val="134"/>
      </rPr>
      <t>1400</t>
    </r>
    <r>
      <rPr>
        <sz val="10"/>
        <rFont val="宋体"/>
        <charset val="134"/>
      </rPr>
      <t>万，形成坏账准备</t>
    </r>
    <r>
      <rPr>
        <sz val="10"/>
        <rFont val="Arial Narrow"/>
        <charset val="134"/>
      </rPr>
      <t>338</t>
    </r>
    <r>
      <rPr>
        <sz val="10"/>
        <rFont val="宋体"/>
        <charset val="134"/>
      </rPr>
      <t>万。</t>
    </r>
  </si>
  <si>
    <t>与资产相关政府结转所致。</t>
  </si>
  <si>
    <t>处置固定资产损失</t>
  </si>
  <si>
    <t>六、其他综合收益</t>
  </si>
  <si>
    <t>七、综合收益总额</t>
  </si>
  <si>
    <t>归属于母公司所有者的综合收益总额</t>
  </si>
  <si>
    <t>*归属于少数股东的综合收益总额</t>
  </si>
  <si>
    <r>
      <rPr>
        <b/>
        <sz val="18"/>
        <rFont val="宋体"/>
        <charset val="134"/>
      </rPr>
      <t>企业基本财务指标分析表</t>
    </r>
  </si>
  <si>
    <t>指标</t>
  </si>
  <si>
    <r>
      <rPr>
        <b/>
        <sz val="10"/>
        <rFont val="宋体"/>
        <charset val="134"/>
      </rPr>
      <t>过程</t>
    </r>
  </si>
  <si>
    <t>变动率</t>
  </si>
  <si>
    <t>注释号</t>
  </si>
  <si>
    <t>一、短期偿债能力比率</t>
  </si>
  <si>
    <t>流动比率（%）</t>
  </si>
  <si>
    <t>流动资产/流动负债</t>
  </si>
  <si>
    <t>速动比率（%）</t>
  </si>
  <si>
    <t>（流动资产-存货-一年内到期的非流动资产-其他流动资产）/流动负债</t>
  </si>
  <si>
    <t>现金比率（%）</t>
  </si>
  <si>
    <t>（货币资金+交易性金融资产）/流动负债</t>
  </si>
  <si>
    <t>现金流量比率（%）</t>
  </si>
  <si>
    <t>经营现金净流量/流动负债</t>
  </si>
  <si>
    <t>二、长期偿债能力比率</t>
  </si>
  <si>
    <t>资产负债率（%）</t>
  </si>
  <si>
    <t>负债/资产</t>
  </si>
  <si>
    <t>产权比率</t>
  </si>
  <si>
    <t>负债总额/股东权益</t>
  </si>
  <si>
    <t>长期资本负债率（%）</t>
  </si>
  <si>
    <t>非流动负债/（非流动负债+股东权益）</t>
  </si>
  <si>
    <t>利息保障倍数</t>
  </si>
  <si>
    <t>息税前利润/利息费用</t>
  </si>
  <si>
    <t>现金流量利息保障倍数</t>
  </si>
  <si>
    <t>经营现金净流量/利息费用</t>
  </si>
  <si>
    <t>现金流量债务比（%）</t>
  </si>
  <si>
    <t>经营现金净流量/债务总额</t>
  </si>
  <si>
    <t>三、资产管理比率</t>
  </si>
  <si>
    <t>应收账款周转率（次）</t>
  </si>
  <si>
    <t>销售收入/应收账款</t>
  </si>
  <si>
    <t>存货周转率（次）</t>
  </si>
  <si>
    <t>销售收入/存货</t>
  </si>
  <si>
    <t>流动资产周转率（次）</t>
  </si>
  <si>
    <t>销售收入/流动资产</t>
  </si>
  <si>
    <t>非流动资产周转率（次）</t>
  </si>
  <si>
    <t>销售收入/非流动资产</t>
  </si>
  <si>
    <t>总资产周转率（次）</t>
  </si>
  <si>
    <t>销售收入/总资产</t>
  </si>
  <si>
    <t>四、盈利能力比率</t>
  </si>
  <si>
    <t>销售利润率（%）</t>
  </si>
  <si>
    <t>净利润/销售收入</t>
  </si>
  <si>
    <t>资产利润率（%）</t>
  </si>
  <si>
    <t>净利润/总资产</t>
  </si>
  <si>
    <t>权益净利率（%）</t>
  </si>
  <si>
    <t>净利润/股东权益</t>
  </si>
  <si>
    <r>
      <rPr>
        <sz val="10"/>
        <rFont val="宋体"/>
        <charset val="134"/>
      </rPr>
      <t>说明：注释号请按照业规</t>
    </r>
    <r>
      <rPr>
        <sz val="10"/>
        <rFont val="Arial Narrow"/>
        <charset val="134"/>
      </rPr>
      <t>301</t>
    </r>
    <r>
      <rPr>
        <sz val="10"/>
        <rFont val="宋体"/>
        <charset val="134"/>
      </rPr>
      <t>号《审计策略书》及业规</t>
    </r>
    <r>
      <rPr>
        <sz val="10"/>
        <rFont val="Arial Narrow"/>
        <charset val="134"/>
      </rPr>
      <t>302</t>
    </r>
    <r>
      <rPr>
        <sz val="10"/>
        <rFont val="宋体"/>
        <charset val="134"/>
      </rPr>
      <t>号《审计重要事项概要》的要求对重大异常变动逐项在本表的下方进行说明。</t>
    </r>
  </si>
  <si>
    <t>（一）货币资金-披露表</t>
  </si>
  <si>
    <t>表格名称</t>
  </si>
  <si>
    <t>单位名称：</t>
  </si>
  <si>
    <t>查找</t>
  </si>
  <si>
    <r>
      <rPr>
        <b/>
        <sz val="9"/>
        <rFont val="宋体"/>
        <charset val="134"/>
      </rPr>
      <t>（一）货币资金</t>
    </r>
    <r>
      <rPr>
        <b/>
        <sz val="9"/>
        <rFont val="Arial Narrow"/>
        <charset val="134"/>
      </rPr>
      <t>-</t>
    </r>
    <r>
      <rPr>
        <b/>
        <sz val="9"/>
        <rFont val="宋体"/>
        <charset val="134"/>
      </rPr>
      <t>披露表</t>
    </r>
  </si>
  <si>
    <t>【返回】审定资负表</t>
  </si>
  <si>
    <t>【返回】本月审定利润表</t>
  </si>
  <si>
    <t>【返回】本月审定现流表</t>
  </si>
  <si>
    <r>
      <rPr>
        <sz val="11"/>
        <rFont val="宋体"/>
        <charset val="134"/>
      </rPr>
      <t>填写说明：</t>
    </r>
    <r>
      <rPr>
        <sz val="11"/>
        <rFont val="Arial Narrow"/>
        <charset val="134"/>
      </rPr>
      <t>1</t>
    </r>
    <r>
      <rPr>
        <sz val="11"/>
        <rFont val="宋体"/>
        <charset val="134"/>
      </rPr>
      <t>、请勿插行或删行及修改公式，如确需修改请通知，电</t>
    </r>
    <r>
      <rPr>
        <sz val="11"/>
        <rFont val="Arial Narrow"/>
        <charset val="134"/>
      </rPr>
      <t>3506021</t>
    </r>
    <r>
      <rPr>
        <sz val="11"/>
        <rFont val="宋体"/>
        <charset val="134"/>
      </rPr>
      <t>）</t>
    </r>
  </si>
  <si>
    <r>
      <rPr>
        <sz val="9"/>
        <color theme="0" tint="-0.249977111117893"/>
        <rFont val="宋体"/>
        <charset val="134"/>
      </rPr>
      <t>货币资金</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</si>
  <si>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（一）货币资金</t>
    </r>
    <r>
      <rPr>
        <sz val="9"/>
        <color theme="7" tint="0.599993896298105"/>
        <rFont val="Arial Narrow"/>
        <charset val="134"/>
      </rPr>
      <t>-</t>
    </r>
    <r>
      <rPr>
        <sz val="9"/>
        <color theme="7" tint="0.599993896298105"/>
        <rFont val="宋体"/>
        <charset val="134"/>
      </rPr>
      <t>披露表</t>
    </r>
  </si>
  <si>
    <r>
      <rPr>
        <sz val="9"/>
        <rFont val="Arial Narrow"/>
        <charset val="134"/>
      </rPr>
      <t>2</t>
    </r>
    <r>
      <rPr>
        <sz val="9"/>
        <rFont val="宋体"/>
        <charset val="134"/>
      </rPr>
      <t>、期初数已做链接，如期初不是用此调整系统可自行修改</t>
    </r>
  </si>
  <si>
    <t>折合人民币尾数调整</t>
  </si>
  <si>
    <t>加拿大元</t>
  </si>
  <si>
    <r>
      <rPr>
        <sz val="9"/>
        <rFont val="Arial Narrow"/>
        <charset val="134"/>
      </rPr>
      <t xml:space="preserve">     </t>
    </r>
    <r>
      <rPr>
        <sz val="9"/>
        <rFont val="宋体"/>
        <charset val="134"/>
      </rPr>
      <t>港币</t>
    </r>
  </si>
  <si>
    <t>（2）存在抵押、冻结等对变现有限制或存放在境外、或有潜在回收风险的款项</t>
  </si>
  <si>
    <r>
      <rPr>
        <sz val="9"/>
        <color theme="7" tint="0.599993896298105"/>
        <rFont val="宋体"/>
        <charset val="134"/>
      </rPr>
      <t>（</t>
    </r>
    <r>
      <rPr>
        <sz val="9"/>
        <color theme="7" tint="0.599993896298105"/>
        <rFont val="Arial Narrow"/>
        <charset val="134"/>
      </rPr>
      <t>2</t>
    </r>
    <r>
      <rPr>
        <sz val="9"/>
        <color theme="7" tint="0.599993896298105"/>
        <rFont val="宋体"/>
        <charset val="134"/>
      </rPr>
      <t>）存在抵押、冻结等对变现有限制或存放在境外、或有潜在回收风险的款项</t>
    </r>
  </si>
  <si>
    <t>开户行</t>
  </si>
  <si>
    <t>帐号</t>
  </si>
  <si>
    <t>使用受限制原因</t>
  </si>
  <si>
    <t>宁波银行股份有限公司深圳分行</t>
  </si>
  <si>
    <t>73010099000073565</t>
  </si>
  <si>
    <t>票据保证金</t>
  </si>
  <si>
    <t>兴业银行股份有限公司深圳中心区支行</t>
  </si>
  <si>
    <t>337080100100294495</t>
  </si>
  <si>
    <t>借款保证金</t>
  </si>
  <si>
    <t>337080100200080665</t>
  </si>
  <si>
    <t>北京银行股份有限公司深圳分行营业部</t>
  </si>
  <si>
    <t>00392518000120108116115</t>
  </si>
  <si>
    <t>支付贷款本金及利息，银行监管账户，使用受限</t>
  </si>
  <si>
    <r>
      <rPr>
        <sz val="9"/>
        <rFont val="宋体"/>
        <charset val="134"/>
      </rPr>
      <t>（</t>
    </r>
    <r>
      <rPr>
        <sz val="9"/>
        <rFont val="Arial Narrow"/>
        <charset val="134"/>
      </rPr>
      <t>3</t>
    </r>
    <r>
      <rPr>
        <sz val="9"/>
        <rFont val="宋体"/>
        <charset val="134"/>
      </rPr>
      <t>）其他货币资金明细</t>
    </r>
  </si>
  <si>
    <r>
      <rPr>
        <sz val="9"/>
        <rFont val="宋体"/>
        <charset val="134"/>
      </rPr>
      <t>本期（外币币别</t>
    </r>
    <r>
      <rPr>
        <sz val="9"/>
        <rFont val="Arial Narrow"/>
        <charset val="134"/>
      </rPr>
      <t>+</t>
    </r>
    <r>
      <rPr>
        <sz val="9"/>
        <rFont val="宋体"/>
        <charset val="134"/>
      </rPr>
      <t>原币金额）</t>
    </r>
  </si>
  <si>
    <r>
      <rPr>
        <sz val="9"/>
        <rFont val="宋体"/>
        <charset val="134"/>
      </rPr>
      <t>本期金额（</t>
    </r>
    <r>
      <rPr>
        <sz val="9"/>
        <rFont val="Arial Narrow"/>
        <charset val="134"/>
      </rPr>
      <t>RMB</t>
    </r>
    <r>
      <rPr>
        <sz val="9"/>
        <rFont val="宋体"/>
        <charset val="134"/>
      </rPr>
      <t>）</t>
    </r>
  </si>
  <si>
    <r>
      <rPr>
        <sz val="9"/>
        <rFont val="宋体"/>
        <charset val="134"/>
      </rPr>
      <t>上期（外币币别</t>
    </r>
    <r>
      <rPr>
        <sz val="9"/>
        <rFont val="Arial Narrow"/>
        <charset val="134"/>
      </rPr>
      <t>+</t>
    </r>
    <r>
      <rPr>
        <sz val="9"/>
        <rFont val="宋体"/>
        <charset val="134"/>
      </rPr>
      <t>原币金额）</t>
    </r>
  </si>
  <si>
    <r>
      <rPr>
        <sz val="9"/>
        <rFont val="宋体"/>
        <charset val="134"/>
      </rPr>
      <t>上期金额（</t>
    </r>
    <r>
      <rPr>
        <sz val="9"/>
        <rFont val="Arial Narrow"/>
        <charset val="134"/>
      </rPr>
      <t>RMB</t>
    </r>
    <r>
      <rPr>
        <sz val="9"/>
        <rFont val="宋体"/>
        <charset val="134"/>
      </rPr>
      <t>）</t>
    </r>
  </si>
  <si>
    <r>
      <rPr>
        <sz val="9"/>
        <rFont val="Arial Narrow"/>
        <charset val="134"/>
      </rPr>
      <t>1</t>
    </r>
    <r>
      <rPr>
        <sz val="9"/>
        <rFont val="宋体"/>
        <charset val="134"/>
      </rPr>
      <t>、代管住房基金</t>
    </r>
  </si>
  <si>
    <r>
      <rPr>
        <sz val="9"/>
        <rFont val="Arial Narrow"/>
        <charset val="134"/>
      </rPr>
      <t>2</t>
    </r>
    <r>
      <rPr>
        <sz val="9"/>
        <rFont val="宋体"/>
        <charset val="134"/>
      </rPr>
      <t>、银行承兑汇票保证金</t>
    </r>
  </si>
  <si>
    <r>
      <rPr>
        <sz val="9"/>
        <rFont val="Arial Narrow"/>
        <charset val="134"/>
      </rPr>
      <t>3</t>
    </r>
    <r>
      <rPr>
        <sz val="9"/>
        <rFont val="宋体"/>
        <charset val="134"/>
      </rPr>
      <t>、信用证保证金</t>
    </r>
  </si>
  <si>
    <t>8其他</t>
  </si>
  <si>
    <t>文字描述</t>
  </si>
  <si>
    <t>(4)货币资金中包含定期银行存款金额。</t>
  </si>
  <si>
    <r>
      <rPr>
        <sz val="9"/>
        <color theme="7" tint="0.599993896298105"/>
        <rFont val="Arial Narrow"/>
        <charset val="134"/>
      </rPr>
      <t>(4)</t>
    </r>
    <r>
      <rPr>
        <sz val="9"/>
        <color theme="7" tint="0.599993896298105"/>
        <rFont val="宋体"/>
        <charset val="134"/>
      </rPr>
      <t>货币资金中包含定期银行存款金额。</t>
    </r>
  </si>
  <si>
    <r>
      <rPr>
        <sz val="9"/>
        <color rgb="FFFF0000"/>
        <rFont val="宋体"/>
        <charset val="134"/>
      </rPr>
      <t>本项目银行存款包含定期存款</t>
    </r>
    <r>
      <rPr>
        <sz val="9"/>
        <color rgb="FFFF0000"/>
        <rFont val="Arial Narrow"/>
        <charset val="134"/>
      </rPr>
      <t>8,000,000.00</t>
    </r>
    <r>
      <rPr>
        <sz val="9"/>
        <color rgb="FFFF0000"/>
        <rFont val="宋体"/>
        <charset val="134"/>
      </rPr>
      <t>元。</t>
    </r>
  </si>
  <si>
    <r>
      <rPr>
        <sz val="9"/>
        <rFont val="宋体"/>
        <charset val="134"/>
      </rPr>
      <t>本项目银行存款中包含期限为</t>
    </r>
    <r>
      <rPr>
        <sz val="9"/>
        <rFont val="Arial Narrow"/>
        <charset val="134"/>
      </rPr>
      <t>6</t>
    </r>
    <r>
      <rPr>
        <sz val="9"/>
        <rFont val="宋体"/>
        <charset val="134"/>
      </rPr>
      <t>个月的定期存款</t>
    </r>
    <r>
      <rPr>
        <sz val="9"/>
        <rFont val="Arial Narrow"/>
        <charset val="134"/>
      </rPr>
      <t>20,000,000.00</t>
    </r>
    <r>
      <rPr>
        <sz val="9"/>
        <rFont val="宋体"/>
        <charset val="134"/>
      </rPr>
      <t>元</t>
    </r>
  </si>
  <si>
    <t>（5）其他货币资金包含的内容及金额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</si>
  <si>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）其他货币资金包含的内容及金额</t>
    </r>
  </si>
  <si>
    <t>示例：其他货币资金为证券账户资金985,597.80元、保函保证金129,810.00元。</t>
  </si>
  <si>
    <r>
      <rPr>
        <sz val="9"/>
        <color theme="0" tint="-0.249977111117893"/>
        <rFont val="宋体"/>
        <charset val="134"/>
      </rPr>
      <t>交易性金融资产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</si>
  <si>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（二）交易性金融资产</t>
    </r>
    <r>
      <rPr>
        <sz val="9"/>
        <color theme="7" tint="0.599993896298105"/>
        <rFont val="Arial Narrow"/>
        <charset val="134"/>
      </rPr>
      <t>-</t>
    </r>
    <r>
      <rPr>
        <sz val="9"/>
        <color theme="7" tint="0.599993896298105"/>
        <rFont val="宋体"/>
        <charset val="134"/>
      </rPr>
      <t>披露表</t>
    </r>
  </si>
  <si>
    <r>
      <rPr>
        <b/>
        <sz val="9"/>
        <rFont val="宋体"/>
        <charset val="134"/>
      </rPr>
      <t>（二）交易性金融资产</t>
    </r>
    <r>
      <rPr>
        <b/>
        <sz val="9"/>
        <rFont val="Arial Narrow"/>
        <charset val="134"/>
      </rPr>
      <t>-</t>
    </r>
    <r>
      <rPr>
        <b/>
        <sz val="9"/>
        <rFont val="宋体"/>
        <charset val="134"/>
      </rPr>
      <t>披露表</t>
    </r>
  </si>
  <si>
    <t>项    目</t>
  </si>
  <si>
    <r>
      <rPr>
        <sz val="9"/>
        <rFont val="宋体"/>
        <charset val="134"/>
      </rPr>
      <t>项</t>
    </r>
    <r>
      <rPr>
        <sz val="9"/>
        <rFont val="Arial Narrow"/>
        <charset val="134"/>
      </rPr>
      <t xml:space="preserve">    </t>
    </r>
    <r>
      <rPr>
        <sz val="9"/>
        <rFont val="宋体"/>
        <charset val="134"/>
      </rPr>
      <t>目</t>
    </r>
  </si>
  <si>
    <t>其  他</t>
  </si>
  <si>
    <r>
      <rPr>
        <sz val="9"/>
        <rFont val="宋体"/>
        <charset val="134"/>
      </rPr>
      <t>合</t>
    </r>
    <r>
      <rPr>
        <sz val="9"/>
        <rFont val="Arial Narrow"/>
        <charset val="134"/>
      </rPr>
      <t xml:space="preserve">    </t>
    </r>
    <r>
      <rPr>
        <sz val="9"/>
        <rFont val="宋体"/>
        <charset val="134"/>
      </rPr>
      <t>计</t>
    </r>
  </si>
  <si>
    <t>注：套期工具及对相关套期交易的说明</t>
  </si>
  <si>
    <t>（2）变现有限制的交易性金融资产</t>
  </si>
  <si>
    <r>
      <rPr>
        <sz val="9"/>
        <color theme="7" tint="0.599993896298105"/>
        <rFont val="宋体"/>
        <charset val="134"/>
      </rPr>
      <t>（</t>
    </r>
    <r>
      <rPr>
        <sz val="9"/>
        <color theme="7" tint="0.599993896298105"/>
        <rFont val="Arial Narrow"/>
        <charset val="134"/>
      </rPr>
      <t>2</t>
    </r>
    <r>
      <rPr>
        <sz val="9"/>
        <color theme="7" tint="0.599993896298105"/>
        <rFont val="宋体"/>
        <charset val="134"/>
      </rPr>
      <t>）变现有限制的交易性金融资产</t>
    </r>
  </si>
  <si>
    <r>
      <rPr>
        <sz val="9"/>
        <rFont val="宋体"/>
        <charset val="134"/>
      </rPr>
      <t>（</t>
    </r>
    <r>
      <rPr>
        <sz val="9"/>
        <rFont val="Arial Narrow"/>
        <charset val="134"/>
      </rPr>
      <t>2</t>
    </r>
    <r>
      <rPr>
        <sz val="9"/>
        <rFont val="宋体"/>
        <charset val="134"/>
      </rPr>
      <t>）变现有限制的交易性金融资产</t>
    </r>
  </si>
  <si>
    <t>限售条件或变现方面的其他重大限制</t>
  </si>
  <si>
    <r>
      <rPr>
        <sz val="9"/>
        <rFont val="宋体"/>
        <charset val="134"/>
      </rPr>
      <t>文字描述</t>
    </r>
  </si>
  <si>
    <r>
      <rPr>
        <sz val="9"/>
        <color theme="0" tint="-0.249977111117893"/>
        <rFont val="宋体"/>
        <charset val="134"/>
      </rPr>
      <t>应收票据</t>
    </r>
    <r>
      <rPr>
        <sz val="9"/>
        <color theme="0" tint="-0.249977111117893"/>
        <rFont val="Arial Narrow"/>
        <charset val="134"/>
      </rPr>
      <t>-</t>
    </r>
    <r>
      <rPr>
        <sz val="9"/>
        <color theme="0" tint="-0.249977111117893"/>
        <rFont val="宋体"/>
        <charset val="134"/>
      </rPr>
      <t>披露表</t>
    </r>
  </si>
  <si>
    <t>（1）分类列示</t>
  </si>
  <si>
    <r>
      <rPr>
        <b/>
        <sz val="9"/>
        <rFont val="宋体"/>
        <charset val="134"/>
      </rPr>
      <t>（三）应收票据</t>
    </r>
    <r>
      <rPr>
        <b/>
        <sz val="9"/>
        <rFont val="Arial Narrow"/>
        <charset val="134"/>
      </rPr>
      <t>-</t>
    </r>
    <r>
      <rPr>
        <b/>
        <sz val="9"/>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</si>
  <si>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）分类列示</t>
    </r>
  </si>
  <si>
    <r>
      <rPr>
        <sz val="9"/>
        <rFont val="宋体"/>
        <charset val="134"/>
      </rPr>
      <t>（</t>
    </r>
    <r>
      <rPr>
        <sz val="9"/>
        <rFont val="Arial Narrow"/>
        <charset val="134"/>
      </rPr>
      <t>1</t>
    </r>
    <r>
      <rPr>
        <sz val="9"/>
        <rFont val="宋体"/>
        <charset val="134"/>
      </rPr>
      <t>）分类列示</t>
    </r>
  </si>
  <si>
    <r>
      <rPr>
        <sz val="9"/>
        <color rgb="FF0000FF"/>
        <rFont val="宋体"/>
        <charset val="134"/>
      </rPr>
      <t>（</t>
    </r>
    <r>
      <rPr>
        <sz val="9"/>
        <color rgb="FF0000FF"/>
        <rFont val="Arial Narrow"/>
        <charset val="134"/>
      </rPr>
      <t>2</t>
    </r>
    <r>
      <rPr>
        <sz val="9"/>
        <color rgb="FF0000FF"/>
        <rFont val="宋体"/>
        <charset val="134"/>
      </rPr>
      <t>）期末公司已背书或贴现且在资产负债表日尚未到期的应收票据</t>
    </r>
  </si>
  <si>
    <t>期末终止确认金额</t>
  </si>
  <si>
    <r>
      <rPr>
        <sz val="9"/>
        <color theme="7" tint="0.599993896298105"/>
        <rFont val="宋体"/>
        <charset val="134"/>
      </rPr>
      <t>（</t>
    </r>
    <r>
      <rPr>
        <sz val="9"/>
        <color theme="7" tint="0.599993896298105"/>
        <rFont val="Arial Narrow"/>
        <charset val="134"/>
      </rPr>
      <t>1）分类列示</t>
    </r>
  </si>
  <si>
    <r>
      <rPr>
        <sz val="9"/>
        <rFont val="宋体"/>
        <charset val="134"/>
      </rPr>
      <t>差异</t>
    </r>
  </si>
  <si>
    <t>（2）已质押的应收票据（合并应单独汇总）</t>
  </si>
  <si>
    <r>
      <rPr>
        <sz val="9"/>
        <color theme="7" tint="0.599993896298105"/>
        <rFont val="宋体"/>
        <charset val="134"/>
      </rPr>
      <t>（</t>
    </r>
    <r>
      <rPr>
        <sz val="9"/>
        <color theme="7" tint="0.599993896298105"/>
        <rFont val="Arial Narrow"/>
        <charset val="134"/>
      </rPr>
      <t>2</t>
    </r>
    <r>
      <rPr>
        <sz val="9"/>
        <color theme="7" tint="0.599993896298105"/>
        <rFont val="宋体"/>
        <charset val="134"/>
      </rPr>
      <t>）已质押的应收票据</t>
    </r>
  </si>
  <si>
    <r>
      <rPr>
        <sz val="9"/>
        <rFont val="宋体"/>
        <charset val="134"/>
      </rPr>
      <t>（</t>
    </r>
    <r>
      <rPr>
        <sz val="9"/>
        <rFont val="Arial Narrow"/>
        <charset val="134"/>
      </rPr>
      <t>2</t>
    </r>
    <r>
      <rPr>
        <sz val="9"/>
        <rFont val="宋体"/>
        <charset val="134"/>
      </rPr>
      <t>）已质押的应收票据（</t>
    </r>
    <r>
      <rPr>
        <b/>
        <sz val="9"/>
        <color rgb="FFFF0000"/>
        <rFont val="宋体"/>
        <charset val="134"/>
      </rPr>
      <t>合并应单独汇总</t>
    </r>
    <r>
      <rPr>
        <sz val="9"/>
        <rFont val="宋体"/>
        <charset val="134"/>
      </rPr>
      <t>）</t>
    </r>
  </si>
  <si>
    <t>出票单位</t>
  </si>
  <si>
    <r>
      <rPr>
        <sz val="9"/>
        <color theme="7" tint="0.599993896298105"/>
        <rFont val="宋体"/>
        <charset val="134"/>
      </rPr>
      <t>（</t>
    </r>
    <r>
      <rPr>
        <sz val="9"/>
        <color theme="7" tint="0.599993896298105"/>
        <rFont val="Arial Narrow"/>
        <charset val="134"/>
      </rPr>
      <t>2）已质押的应收票据</t>
    </r>
  </si>
  <si>
    <t>注：披露金额最大的前五项已质押的应收票据(各分子公司填列时应全部列示)</t>
  </si>
  <si>
    <r>
      <rPr>
        <b/>
        <sz val="9"/>
        <color rgb="FF0070C0"/>
        <rFont val="宋体"/>
        <charset val="134"/>
      </rPr>
      <t>注：披露金额最大的前五项已质押的应收票据</t>
    </r>
    <r>
      <rPr>
        <b/>
        <sz val="9"/>
        <color rgb="FF0070C0"/>
        <rFont val="Arial Narrow"/>
        <charset val="134"/>
      </rPr>
      <t>(</t>
    </r>
    <r>
      <rPr>
        <b/>
        <sz val="9"/>
        <color rgb="FF0070C0"/>
        <rFont val="宋体"/>
        <charset val="134"/>
      </rPr>
      <t>各分子公司填列时应全部列示</t>
    </r>
    <r>
      <rPr>
        <b/>
        <sz val="9"/>
        <color rgb="FF0070C0"/>
        <rFont val="Arial Narrow"/>
        <charset val="134"/>
      </rPr>
      <t>)</t>
    </r>
  </si>
  <si>
    <t>（3）因出票人无力履约而将票据转为应收账款的票据以及期末已背书但尚未到期的应收票据情况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</si>
  <si>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）因出票人无力履约而将票据转为应收账款的票据以及期末已背书但尚未到期的应收票据情况</t>
    </r>
  </si>
  <si>
    <r>
      <rPr>
        <sz val="9"/>
        <rFont val="宋体"/>
        <charset val="134"/>
      </rPr>
      <t>（</t>
    </r>
    <r>
      <rPr>
        <sz val="9"/>
        <rFont val="Arial Narrow"/>
        <charset val="134"/>
      </rPr>
      <t>3</t>
    </r>
    <r>
      <rPr>
        <sz val="9"/>
        <rFont val="宋体"/>
        <charset val="134"/>
      </rPr>
      <t>）因出票人无力履约而将票据转为应收账款的票据以及期末已背书但尚未到期的应收票据情况</t>
    </r>
  </si>
  <si>
    <t>因出票人无力履约而将票据转为应收账款的票据</t>
  </si>
  <si>
    <r>
      <rPr>
        <sz val="9"/>
        <color theme="7" tint="0.599993896298105"/>
        <rFont val="宋体"/>
        <charset val="134"/>
      </rPr>
      <t>（</t>
    </r>
    <r>
      <rPr>
        <sz val="9"/>
        <color theme="7" tint="0.599993896298105"/>
        <rFont val="Arial Narrow"/>
        <charset val="134"/>
      </rPr>
      <t>3）因出票人无力履约而将票据转为应收账款的票据以及期末已背书但尚未到期的应收票据情况</t>
    </r>
  </si>
  <si>
    <t>期末已背书但尚未到期的应收票据</t>
  </si>
  <si>
    <t>注：披露金额最大的前五项(各分子公司填列时应全部列示)</t>
  </si>
  <si>
    <r>
      <rPr>
        <b/>
        <sz val="9"/>
        <color rgb="FFFF0000"/>
        <rFont val="宋体"/>
        <charset val="134"/>
      </rPr>
      <t>注：披露金额最大的前五项</t>
    </r>
    <r>
      <rPr>
        <b/>
        <sz val="9"/>
        <color rgb="FFFF0000"/>
        <rFont val="Arial Narrow"/>
        <charset val="134"/>
      </rPr>
      <t>(</t>
    </r>
    <r>
      <rPr>
        <b/>
        <sz val="9"/>
        <color rgb="FFFF0000"/>
        <rFont val="宋体"/>
        <charset val="134"/>
      </rPr>
      <t>各分子公司填列时应全部列示</t>
    </r>
    <r>
      <rPr>
        <b/>
        <sz val="9"/>
        <color rgb="FFFF0000"/>
        <rFont val="Arial Narrow"/>
        <charset val="134"/>
      </rPr>
      <t>)</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</si>
  <si>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</si>
  <si>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</si>
  <si>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（四）应收股利-披露表</t>
  </si>
  <si>
    <r>
      <rPr>
        <sz val="9"/>
        <color theme="0" tint="-0.249977111117893"/>
        <rFont val="宋体"/>
        <charset val="134"/>
      </rPr>
      <t>应收股利</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</si>
  <si>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）按账龄列示</t>
    </r>
  </si>
  <si>
    <r>
      <rPr>
        <b/>
        <sz val="9"/>
        <rFont val="宋体"/>
        <charset val="134"/>
      </rPr>
      <t>（四）应收股利</t>
    </r>
    <r>
      <rPr>
        <b/>
        <sz val="9"/>
        <rFont val="Arial Narrow"/>
        <charset val="134"/>
      </rPr>
      <t>-</t>
    </r>
    <r>
      <rPr>
        <b/>
        <sz val="9"/>
        <rFont val="宋体"/>
        <charset val="134"/>
      </rPr>
      <t>披露表</t>
    </r>
  </si>
  <si>
    <t>单独合并</t>
  </si>
  <si>
    <t>（1）按账龄列示</t>
  </si>
  <si>
    <r>
      <rPr>
        <sz val="9"/>
        <rFont val="宋体"/>
        <charset val="134"/>
      </rPr>
      <t>（</t>
    </r>
    <r>
      <rPr>
        <sz val="9"/>
        <rFont val="Arial Narrow"/>
        <charset val="134"/>
      </rPr>
      <t>1</t>
    </r>
    <r>
      <rPr>
        <sz val="9"/>
        <rFont val="宋体"/>
        <charset val="134"/>
      </rPr>
      <t>）按账龄列示</t>
    </r>
  </si>
  <si>
    <r>
      <rPr>
        <sz val="9"/>
        <color theme="7" tint="0.599993896298105"/>
        <rFont val="宋体"/>
        <charset val="134"/>
      </rPr>
      <t>（</t>
    </r>
    <r>
      <rPr>
        <sz val="9"/>
        <color theme="7" tint="0.599993896298105"/>
        <rFont val="Arial Narrow"/>
        <charset val="134"/>
      </rPr>
      <t>1）按账龄列示</t>
    </r>
  </si>
  <si>
    <t>相关款项是否发生减值</t>
  </si>
  <si>
    <t>账龄1年以内的应收股利：</t>
  </si>
  <si>
    <r>
      <rPr>
        <sz val="9"/>
        <rFont val="宋体"/>
        <charset val="134"/>
      </rPr>
      <t>账龄</t>
    </r>
    <r>
      <rPr>
        <sz val="9"/>
        <rFont val="Arial Narrow"/>
        <charset val="134"/>
      </rPr>
      <t>1</t>
    </r>
    <r>
      <rPr>
        <sz val="9"/>
        <rFont val="宋体"/>
        <charset val="134"/>
      </rPr>
      <t>年以内的应收股利：</t>
    </r>
  </si>
  <si>
    <t>账龄1年以上的应收股利:</t>
  </si>
  <si>
    <r>
      <rPr>
        <sz val="9"/>
        <rFont val="宋体"/>
        <charset val="134"/>
      </rPr>
      <t>账龄</t>
    </r>
    <r>
      <rPr>
        <sz val="9"/>
        <rFont val="Arial Narrow"/>
        <charset val="134"/>
      </rPr>
      <t>1</t>
    </r>
    <r>
      <rPr>
        <sz val="9"/>
        <rFont val="宋体"/>
        <charset val="134"/>
      </rPr>
      <t>年以上的应收股利</t>
    </r>
    <r>
      <rPr>
        <sz val="9"/>
        <rFont val="Arial Narrow"/>
        <charset val="134"/>
      </rPr>
      <t>:</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</si>
  <si>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</si>
  <si>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</si>
  <si>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（五）应收利息-披露表</t>
  </si>
  <si>
    <r>
      <rPr>
        <sz val="9"/>
        <color theme="0" tint="-0.249977111117893"/>
        <rFont val="宋体"/>
        <charset val="134"/>
      </rPr>
      <t>应收利息</t>
    </r>
    <r>
      <rPr>
        <sz val="9"/>
        <color theme="0" tint="-0.249977111117893"/>
        <rFont val="Arial Narrow"/>
        <charset val="134"/>
      </rPr>
      <t>-</t>
    </r>
    <r>
      <rPr>
        <sz val="9"/>
        <color theme="0" tint="-0.249977111117893"/>
        <rFont val="宋体"/>
        <charset val="134"/>
      </rPr>
      <t>披露表</t>
    </r>
  </si>
  <si>
    <r>
      <rPr>
        <b/>
        <sz val="9"/>
        <rFont val="宋体"/>
        <charset val="134"/>
      </rPr>
      <t>（五）应收利息</t>
    </r>
    <r>
      <rPr>
        <b/>
        <sz val="9"/>
        <rFont val="Arial Narrow"/>
        <charset val="134"/>
      </rPr>
      <t>-</t>
    </r>
    <r>
      <rPr>
        <b/>
        <sz val="9"/>
        <rFont val="宋体"/>
        <charset val="134"/>
      </rPr>
      <t>披露表</t>
    </r>
  </si>
  <si>
    <t>账龄1年以内的应收利息：</t>
  </si>
  <si>
    <r>
      <rPr>
        <sz val="9"/>
        <rFont val="宋体"/>
        <charset val="134"/>
      </rPr>
      <t>账龄</t>
    </r>
    <r>
      <rPr>
        <sz val="9"/>
        <rFont val="Arial Narrow"/>
        <charset val="134"/>
      </rPr>
      <t>1</t>
    </r>
    <r>
      <rPr>
        <sz val="9"/>
        <rFont val="宋体"/>
        <charset val="134"/>
      </rPr>
      <t>年以内的应收利息：</t>
    </r>
  </si>
  <si>
    <t>项目1…….</t>
  </si>
  <si>
    <r>
      <rPr>
        <sz val="9"/>
        <rFont val="Arial Narrow"/>
        <charset val="134"/>
      </rPr>
      <t>1</t>
    </r>
    <r>
      <rPr>
        <sz val="9"/>
        <rFont val="宋体"/>
        <charset val="134"/>
      </rPr>
      <t>定期存款利息</t>
    </r>
  </si>
  <si>
    <t>项目2…….</t>
  </si>
  <si>
    <r>
      <rPr>
        <sz val="9"/>
        <rFont val="Arial Narrow"/>
        <charset val="134"/>
      </rPr>
      <t>2</t>
    </r>
    <r>
      <rPr>
        <sz val="9"/>
        <rFont val="宋体"/>
        <charset val="134"/>
      </rPr>
      <t>其他应收利息</t>
    </r>
    <r>
      <rPr>
        <sz val="9"/>
        <rFont val="Arial Narrow"/>
        <charset val="134"/>
      </rPr>
      <t>-</t>
    </r>
    <r>
      <rPr>
        <sz val="9"/>
        <rFont val="宋体"/>
        <charset val="134"/>
      </rPr>
      <t>集团外</t>
    </r>
  </si>
  <si>
    <t>项目3…….</t>
  </si>
  <si>
    <r>
      <rPr>
        <sz val="9"/>
        <rFont val="Arial Narrow"/>
        <charset val="134"/>
      </rPr>
      <t>2</t>
    </r>
    <r>
      <rPr>
        <sz val="9"/>
        <rFont val="宋体"/>
        <charset val="134"/>
      </rPr>
      <t>其他应收利息</t>
    </r>
    <r>
      <rPr>
        <sz val="9"/>
        <rFont val="Arial Narrow"/>
        <charset val="134"/>
      </rPr>
      <t>-</t>
    </r>
    <r>
      <rPr>
        <sz val="9"/>
        <rFont val="宋体"/>
        <charset val="134"/>
      </rPr>
      <t>集团内</t>
    </r>
  </si>
  <si>
    <t>项目4…….</t>
  </si>
  <si>
    <t>3委托贷款应收利息</t>
  </si>
  <si>
    <t>项目5…….</t>
  </si>
  <si>
    <r>
      <rPr>
        <sz val="9"/>
        <rFont val="Arial Narrow"/>
        <charset val="134"/>
      </rPr>
      <t>4</t>
    </r>
    <r>
      <rPr>
        <sz val="9"/>
        <rFont val="宋体"/>
        <charset val="134"/>
      </rPr>
      <t>债券投资应收利息</t>
    </r>
  </si>
  <si>
    <t>项目6…….</t>
  </si>
  <si>
    <r>
      <rPr>
        <sz val="9"/>
        <rFont val="Arial Narrow"/>
        <charset val="134"/>
      </rPr>
      <t>5</t>
    </r>
    <r>
      <rPr>
        <sz val="9"/>
        <rFont val="宋体"/>
        <charset val="134"/>
      </rPr>
      <t>理财产品计提应收利息</t>
    </r>
  </si>
  <si>
    <t>项目7…….</t>
  </si>
  <si>
    <r>
      <rPr>
        <sz val="9"/>
        <rFont val="宋体"/>
        <charset val="134"/>
      </rPr>
      <t>项目</t>
    </r>
    <r>
      <rPr>
        <sz val="9"/>
        <rFont val="Arial Narrow"/>
        <charset val="134"/>
      </rPr>
      <t>7…….</t>
    </r>
  </si>
  <si>
    <t>项目8…….</t>
  </si>
  <si>
    <r>
      <rPr>
        <sz val="9"/>
        <rFont val="宋体"/>
        <charset val="134"/>
      </rPr>
      <t>项目</t>
    </r>
    <r>
      <rPr>
        <sz val="9"/>
        <rFont val="Arial Narrow"/>
        <charset val="134"/>
      </rPr>
      <t>8…….</t>
    </r>
  </si>
  <si>
    <t>项目9…….</t>
  </si>
  <si>
    <r>
      <rPr>
        <sz val="9"/>
        <rFont val="宋体"/>
        <charset val="134"/>
      </rPr>
      <t>项目</t>
    </r>
    <r>
      <rPr>
        <sz val="9"/>
        <rFont val="Arial Narrow"/>
        <charset val="134"/>
      </rPr>
      <t>9…….</t>
    </r>
  </si>
  <si>
    <t>项目10…….</t>
  </si>
  <si>
    <r>
      <rPr>
        <sz val="9"/>
        <rFont val="宋体"/>
        <charset val="134"/>
      </rPr>
      <t>项目</t>
    </r>
    <r>
      <rPr>
        <sz val="9"/>
        <rFont val="Arial Narrow"/>
        <charset val="134"/>
      </rPr>
      <t>10…….</t>
    </r>
  </si>
  <si>
    <t>账龄1年以上的应收利息:</t>
  </si>
  <si>
    <r>
      <rPr>
        <sz val="9"/>
        <rFont val="宋体"/>
        <charset val="134"/>
      </rPr>
      <t>账龄</t>
    </r>
    <r>
      <rPr>
        <sz val="9"/>
        <rFont val="Arial Narrow"/>
        <charset val="134"/>
      </rPr>
      <t>1</t>
    </r>
    <r>
      <rPr>
        <sz val="9"/>
        <rFont val="宋体"/>
        <charset val="134"/>
      </rPr>
      <t>年以上的应收利息</t>
    </r>
    <r>
      <rPr>
        <sz val="9"/>
        <rFont val="Arial Narrow"/>
        <charset val="134"/>
      </rPr>
      <t>:</t>
    </r>
  </si>
  <si>
    <t>1定期存款利息</t>
  </si>
  <si>
    <t>（2）逾期利息</t>
  </si>
  <si>
    <r>
      <rPr>
        <sz val="9"/>
        <color theme="7" tint="0.599993896298105"/>
        <rFont val="宋体"/>
        <charset val="134"/>
      </rPr>
      <t>（</t>
    </r>
    <r>
      <rPr>
        <sz val="9"/>
        <color theme="7" tint="0.599993896298105"/>
        <rFont val="Arial Narrow"/>
        <charset val="134"/>
      </rPr>
      <t>2</t>
    </r>
    <r>
      <rPr>
        <sz val="9"/>
        <color theme="7" tint="0.599993896298105"/>
        <rFont val="宋体"/>
        <charset val="134"/>
      </rPr>
      <t>）逾期利息</t>
    </r>
  </si>
  <si>
    <r>
      <rPr>
        <sz val="9"/>
        <rFont val="宋体"/>
        <charset val="134"/>
      </rPr>
      <t>（</t>
    </r>
    <r>
      <rPr>
        <sz val="9"/>
        <rFont val="Arial Narrow"/>
        <charset val="134"/>
      </rPr>
      <t>2</t>
    </r>
    <r>
      <rPr>
        <sz val="9"/>
        <rFont val="宋体"/>
        <charset val="134"/>
      </rPr>
      <t>）逾期利息</t>
    </r>
  </si>
  <si>
    <t>期末数</t>
  </si>
  <si>
    <r>
      <rPr>
        <sz val="9"/>
        <color theme="7" tint="0.599993896298105"/>
        <rFont val="宋体"/>
        <charset val="134"/>
      </rPr>
      <t>（</t>
    </r>
    <r>
      <rPr>
        <sz val="9"/>
        <color theme="7" tint="0.599993896298105"/>
        <rFont val="Arial Narrow"/>
        <charset val="134"/>
      </rPr>
      <t>2）逾期利息</t>
    </r>
  </si>
  <si>
    <r>
      <rPr>
        <sz val="9"/>
        <color theme="0" tint="-0.249977111117893"/>
        <rFont val="宋体"/>
        <charset val="134"/>
      </rPr>
      <t>应收账款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</si>
  <si>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（六）应收账款</t>
    </r>
    <r>
      <rPr>
        <sz val="9"/>
        <color theme="7" tint="0.599993896298105"/>
        <rFont val="Arial Narrow"/>
        <charset val="134"/>
      </rPr>
      <t>-</t>
    </r>
    <r>
      <rPr>
        <sz val="9"/>
        <color theme="7" tint="0.599993896298105"/>
        <rFont val="宋体"/>
        <charset val="134"/>
      </rPr>
      <t>披露表</t>
    </r>
  </si>
  <si>
    <r>
      <rPr>
        <b/>
        <sz val="9"/>
        <rFont val="宋体"/>
        <charset val="134"/>
      </rPr>
      <t>（六）应收账款</t>
    </r>
    <r>
      <rPr>
        <b/>
        <sz val="9"/>
        <rFont val="Arial Narrow"/>
        <charset val="134"/>
      </rPr>
      <t>-</t>
    </r>
    <r>
      <rPr>
        <b/>
        <sz val="9"/>
        <rFont val="宋体"/>
        <charset val="134"/>
      </rPr>
      <t>披露表</t>
    </r>
  </si>
  <si>
    <t>账龄</t>
  </si>
  <si>
    <t>按账龄计提坏账政策</t>
  </si>
  <si>
    <t>账龄勾稽关系是否合理</t>
  </si>
  <si>
    <t>不合理说明</t>
  </si>
  <si>
    <t>账龄扣除个别认定数据</t>
  </si>
  <si>
    <t>按政策应计提坏账</t>
  </si>
  <si>
    <t>单项比例合计与合计数不符</t>
  </si>
  <si>
    <t>余额</t>
  </si>
  <si>
    <t>计提比例</t>
  </si>
  <si>
    <r>
      <rPr>
        <sz val="9"/>
        <rFont val="宋体"/>
        <charset val="134"/>
      </rPr>
      <t>比例修正值</t>
    </r>
    <r>
      <rPr>
        <sz val="9"/>
        <rFont val="Arial Narrow"/>
        <charset val="134"/>
      </rPr>
      <t>-</t>
    </r>
    <r>
      <rPr>
        <sz val="9"/>
        <rFont val="宋体"/>
        <charset val="134"/>
      </rPr>
      <t>期未</t>
    </r>
  </si>
  <si>
    <r>
      <rPr>
        <sz val="9"/>
        <rFont val="宋体"/>
        <charset val="134"/>
      </rPr>
      <t>比例修正值</t>
    </r>
    <r>
      <rPr>
        <sz val="9"/>
        <rFont val="Arial Narrow"/>
        <charset val="134"/>
      </rPr>
      <t>-</t>
    </r>
    <r>
      <rPr>
        <sz val="9"/>
        <rFont val="宋体"/>
        <charset val="134"/>
      </rPr>
      <t>期初</t>
    </r>
  </si>
  <si>
    <t>坏账</t>
  </si>
  <si>
    <t>占总额的比例</t>
  </si>
  <si>
    <t>坏账计提比例</t>
  </si>
  <si>
    <r>
      <rPr>
        <sz val="9"/>
        <rFont val="Arial Narrow"/>
        <charset val="134"/>
      </rPr>
      <t>1</t>
    </r>
    <r>
      <rPr>
        <sz val="9"/>
        <rFont val="宋体"/>
        <charset val="134"/>
      </rPr>
      <t>年以内（含</t>
    </r>
    <r>
      <rPr>
        <sz val="9"/>
        <rFont val="Arial Narrow"/>
        <charset val="134"/>
      </rPr>
      <t>1</t>
    </r>
    <r>
      <rPr>
        <sz val="9"/>
        <rFont val="宋体"/>
        <charset val="134"/>
      </rPr>
      <t>年）</t>
    </r>
  </si>
  <si>
    <r>
      <rPr>
        <sz val="9"/>
        <rFont val="Arial Narrow"/>
        <charset val="134"/>
      </rPr>
      <t>0-6</t>
    </r>
    <r>
      <rPr>
        <sz val="9"/>
        <rFont val="宋体"/>
        <charset val="134"/>
      </rPr>
      <t>个月</t>
    </r>
  </si>
  <si>
    <r>
      <rPr>
        <sz val="9"/>
        <rFont val="Arial Narrow"/>
        <charset val="134"/>
      </rPr>
      <t>1-2</t>
    </r>
    <r>
      <rPr>
        <sz val="9"/>
        <rFont val="宋体"/>
        <charset val="134"/>
      </rPr>
      <t>年（含</t>
    </r>
    <r>
      <rPr>
        <sz val="9"/>
        <rFont val="Arial Narrow"/>
        <charset val="134"/>
      </rPr>
      <t>2</t>
    </r>
    <r>
      <rPr>
        <sz val="9"/>
        <rFont val="宋体"/>
        <charset val="134"/>
      </rPr>
      <t>年）</t>
    </r>
  </si>
  <si>
    <r>
      <rPr>
        <sz val="9"/>
        <rFont val="Arial Narrow"/>
        <charset val="134"/>
      </rPr>
      <t>7-12</t>
    </r>
    <r>
      <rPr>
        <sz val="9"/>
        <rFont val="宋体"/>
        <charset val="134"/>
      </rPr>
      <t>个月</t>
    </r>
  </si>
  <si>
    <r>
      <rPr>
        <sz val="9"/>
        <rFont val="Arial Narrow"/>
        <charset val="134"/>
      </rPr>
      <t>2-3</t>
    </r>
    <r>
      <rPr>
        <sz val="9"/>
        <rFont val="宋体"/>
        <charset val="134"/>
      </rPr>
      <t>年（含</t>
    </r>
    <r>
      <rPr>
        <sz val="9"/>
        <rFont val="Arial Narrow"/>
        <charset val="134"/>
      </rPr>
      <t>3</t>
    </r>
    <r>
      <rPr>
        <sz val="9"/>
        <rFont val="宋体"/>
        <charset val="134"/>
      </rPr>
      <t>年）</t>
    </r>
  </si>
  <si>
    <r>
      <rPr>
        <sz val="9"/>
        <rFont val="Arial Narrow"/>
        <charset val="134"/>
      </rPr>
      <t>3-4</t>
    </r>
    <r>
      <rPr>
        <sz val="9"/>
        <rFont val="宋体"/>
        <charset val="134"/>
      </rPr>
      <t>年（含</t>
    </r>
    <r>
      <rPr>
        <sz val="9"/>
        <rFont val="Arial Narrow"/>
        <charset val="134"/>
      </rPr>
      <t>4</t>
    </r>
    <r>
      <rPr>
        <sz val="9"/>
        <rFont val="宋体"/>
        <charset val="134"/>
      </rPr>
      <t>年）</t>
    </r>
  </si>
  <si>
    <t>期初</t>
  </si>
  <si>
    <r>
      <rPr>
        <sz val="9"/>
        <rFont val="Arial Narrow"/>
        <charset val="134"/>
      </rPr>
      <t>4-5</t>
    </r>
    <r>
      <rPr>
        <sz val="9"/>
        <rFont val="宋体"/>
        <charset val="134"/>
      </rPr>
      <t>年（含</t>
    </r>
    <r>
      <rPr>
        <sz val="9"/>
        <rFont val="Arial Narrow"/>
        <charset val="134"/>
      </rPr>
      <t>5</t>
    </r>
    <r>
      <rPr>
        <sz val="9"/>
        <rFont val="宋体"/>
        <charset val="134"/>
      </rPr>
      <t>年）</t>
    </r>
  </si>
  <si>
    <r>
      <rPr>
        <sz val="9"/>
        <rFont val="Arial Narrow"/>
        <charset val="134"/>
      </rPr>
      <t>5</t>
    </r>
    <r>
      <rPr>
        <sz val="9"/>
        <rFont val="宋体"/>
        <charset val="134"/>
      </rPr>
      <t>年以上</t>
    </r>
  </si>
  <si>
    <t>0-6个月</t>
  </si>
  <si>
    <t>7-12个月</t>
  </si>
  <si>
    <t>按账龄计提坏账是否符合会计政策</t>
  </si>
  <si>
    <t>按类别列示</t>
  </si>
  <si>
    <t>14年坏账</t>
  </si>
  <si>
    <t>注：单项金额不重大但按信用风险特征组合后该组合的风险较大的应收款项，应说明确定该组合的依据。</t>
  </si>
  <si>
    <t>注：对按组合计提减值准备的应收账款，应披露确定组合的依据、按组合计提减值准备采用的计提方法</t>
  </si>
  <si>
    <t>账龄合计与按类别合计核对：</t>
  </si>
  <si>
    <t>单项金额重大并单项计提坏账准备的的应收账款核对：</t>
  </si>
  <si>
    <t>按组合（账龄分析法）计提坏账准备的应收账款核对：</t>
  </si>
  <si>
    <t>单项金额虽不重大但单项计提坏账准备的应收账款核对：</t>
  </si>
  <si>
    <t>（2）期末按个别认定进行减值测试的应收账款计提坏帐准备的说明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</si>
  <si>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）期末按个别认定进行减值测试的应收账款计提坏帐准备的说明</t>
    </r>
  </si>
  <si>
    <r>
      <rPr>
        <sz val="9"/>
        <rFont val="宋体"/>
        <charset val="134"/>
      </rPr>
      <t>（</t>
    </r>
    <r>
      <rPr>
        <sz val="9"/>
        <rFont val="Arial Narrow"/>
        <charset val="134"/>
      </rPr>
      <t>2</t>
    </r>
    <r>
      <rPr>
        <sz val="9"/>
        <rFont val="宋体"/>
        <charset val="134"/>
      </rPr>
      <t>）</t>
    </r>
    <r>
      <rPr>
        <sz val="9"/>
        <rFont val="Arial Narrow"/>
        <charset val="134"/>
      </rPr>
      <t>-1</t>
    </r>
    <r>
      <rPr>
        <sz val="9"/>
        <rFont val="宋体"/>
        <charset val="134"/>
      </rPr>
      <t>期末按个别认定进行减值测试的应收账款计提坏帐准备的说明</t>
    </r>
  </si>
  <si>
    <t>业务内容</t>
  </si>
  <si>
    <t>坏账金额</t>
  </si>
  <si>
    <r>
      <rPr>
        <b/>
        <sz val="9"/>
        <rFont val="宋体"/>
        <charset val="134"/>
      </rPr>
      <t>计提比例（</t>
    </r>
    <r>
      <rPr>
        <b/>
        <sz val="9"/>
        <rFont val="Arial Narrow"/>
        <charset val="134"/>
      </rPr>
      <t>%</t>
    </r>
    <r>
      <rPr>
        <b/>
        <sz val="9"/>
        <rFont val="宋体"/>
        <charset val="134"/>
      </rPr>
      <t>）</t>
    </r>
  </si>
  <si>
    <t>理由</t>
  </si>
  <si>
    <t>单项金额重大并单项计提坏账准备的的应收账款小计</t>
  </si>
  <si>
    <t>单项金额虽不重大但单项计提坏账准备的应收账款小计</t>
  </si>
  <si>
    <r>
      <rPr>
        <sz val="9"/>
        <color theme="7" tint="0.599993896298105"/>
        <rFont val="宋体"/>
        <charset val="134"/>
      </rPr>
      <t>（</t>
    </r>
    <r>
      <rPr>
        <sz val="9"/>
        <color theme="7" tint="0.599993896298105"/>
        <rFont val="Arial Narrow"/>
        <charset val="134"/>
      </rPr>
      <t>2）期末按个别认定进行减值测试的应收账款计提坏帐准备的说明</t>
    </r>
  </si>
  <si>
    <t>（2）-2期初按个别认定进行减值测试的应收账款计提坏帐准备的说明</t>
  </si>
  <si>
    <t>（3）单项金额重大的应收账款计提坏账准备的说明：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</si>
  <si>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）单项金额重大的应收账款计提坏账准备的说明：</t>
    </r>
  </si>
  <si>
    <r>
      <rPr>
        <b/>
        <sz val="9"/>
        <rFont val="宋体"/>
        <charset val="134"/>
      </rPr>
      <t>（</t>
    </r>
    <r>
      <rPr>
        <b/>
        <sz val="9"/>
        <rFont val="Arial Narrow"/>
        <charset val="134"/>
      </rPr>
      <t>3</t>
    </r>
    <r>
      <rPr>
        <b/>
        <sz val="9"/>
        <rFont val="宋体"/>
        <charset val="134"/>
      </rPr>
      <t>）单项金额重大的应收账款计提坏账准备的说明：</t>
    </r>
  </si>
  <si>
    <t>单项金额重大标准：</t>
  </si>
  <si>
    <t>单项金额重大的应收款项（合并应单独汇总）</t>
  </si>
  <si>
    <r>
      <rPr>
        <b/>
        <sz val="9"/>
        <rFont val="宋体"/>
        <charset val="134"/>
      </rPr>
      <t>单项金额重大的应收款项（</t>
    </r>
    <r>
      <rPr>
        <b/>
        <sz val="9"/>
        <color rgb="FFFF0000"/>
        <rFont val="宋体"/>
        <charset val="134"/>
      </rPr>
      <t>合并应单独汇总</t>
    </r>
    <r>
      <rPr>
        <b/>
        <sz val="9"/>
        <rFont val="宋体"/>
        <charset val="134"/>
      </rPr>
      <t>）</t>
    </r>
  </si>
  <si>
    <r>
      <rPr>
        <sz val="9"/>
        <color theme="7" tint="0.599993896298105"/>
        <rFont val="宋体"/>
        <charset val="134"/>
      </rPr>
      <t>（</t>
    </r>
    <r>
      <rPr>
        <sz val="9"/>
        <color theme="7" tint="0.599993896298105"/>
        <rFont val="Arial Narrow"/>
        <charset val="134"/>
      </rPr>
      <t>3）单项金额重大的应收账款计提坏账准备的说明：</t>
    </r>
  </si>
  <si>
    <r>
      <rPr>
        <sz val="9"/>
        <rFont val="宋体"/>
        <charset val="134"/>
      </rPr>
      <t>计提比例（</t>
    </r>
    <r>
      <rPr>
        <sz val="9"/>
        <rFont val="Arial Narrow"/>
        <charset val="134"/>
      </rPr>
      <t>%</t>
    </r>
    <r>
      <rPr>
        <sz val="9"/>
        <rFont val="宋体"/>
        <charset val="134"/>
      </rPr>
      <t>）</t>
    </r>
  </si>
  <si>
    <t>与按类别核对</t>
  </si>
  <si>
    <t>注：单项金额重大的应收款项，应单独说明其计提的比例及其理由；单项金额不重大但按信用风险特征组合后该组合的风险较大的应收款项，应说明确定该组合的依据；</t>
  </si>
  <si>
    <t>注：单项金额重大的应收款项，应单独说明其计提的比例及其理由</t>
  </si>
  <si>
    <t>（4）本期应收账款收回以前年度已全额计提坏账准备的、以前年度计提坏账准备比例较大的、通过债务重组等其他方式收回的情况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</si>
  <si>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）本期应收账款收回以前年度已全额计提坏账准备的、以前年度计提坏账准备比例较大的、通过债务重组等其他方式收回的情况</t>
    </r>
  </si>
  <si>
    <r>
      <rPr>
        <sz val="9"/>
        <rFont val="宋体"/>
        <charset val="134"/>
      </rPr>
      <t>（</t>
    </r>
    <r>
      <rPr>
        <sz val="9"/>
        <rFont val="Arial Narrow"/>
        <charset val="134"/>
      </rPr>
      <t>4</t>
    </r>
    <r>
      <rPr>
        <sz val="9"/>
        <rFont val="宋体"/>
        <charset val="134"/>
      </rPr>
      <t>）本期应收账款收回以前年度已全额计提坏账准备的、以前年度计提坏账准备比例较大的、通过债务重组等其他方式收回的情况</t>
    </r>
  </si>
  <si>
    <t>（合并应单独汇总）</t>
  </si>
  <si>
    <t>债务人名称</t>
  </si>
  <si>
    <t>转回或收回原因</t>
  </si>
  <si>
    <t>确定原坏账准备的依据</t>
  </si>
  <si>
    <t>转回或收回前累计已计提坏账准备金额</t>
  </si>
  <si>
    <t>转回或收回金额</t>
  </si>
  <si>
    <t>一、以前年度已全额计提坏账准备的</t>
  </si>
  <si>
    <r>
      <rPr>
        <sz val="9"/>
        <color theme="7" tint="0.599993896298105"/>
        <rFont val="宋体"/>
        <charset val="134"/>
      </rPr>
      <t>（</t>
    </r>
    <r>
      <rPr>
        <sz val="9"/>
        <color theme="7" tint="0.599993896298105"/>
        <rFont val="Arial Narrow"/>
        <charset val="134"/>
      </rPr>
      <t>4）本期应收账款收回以前年度已全额计提坏账准备的、以前年度计提坏账准备比例较大的、通过债务重组等其他方式收回的情况</t>
    </r>
  </si>
  <si>
    <t>二、以前年度计提坏账准备比例较大的</t>
  </si>
  <si>
    <t>三、通过债务重组等其他方式收回的</t>
  </si>
  <si>
    <t xml:space="preserve">                      </t>
  </si>
  <si>
    <t>注：本表列报本报告期前已全额计提坏账准备，或计提减值准备的比例较大，但在本期又全额收回或转回，或在本期收回或转回比例较大的应收账款。对本期通过重组等方式收回、金额重大的应收账款，则应逐笔列报，金额不重大的，可汇总列报。</t>
  </si>
  <si>
    <t>（5）本年度实际核销的应收账款性质、原因及其金额。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</si>
  <si>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）本年度实际核销的应收账款性质、原因及其金额。</t>
    </r>
  </si>
  <si>
    <r>
      <rPr>
        <sz val="9"/>
        <rFont val="宋体"/>
        <charset val="134"/>
      </rPr>
      <t>（</t>
    </r>
    <r>
      <rPr>
        <sz val="9"/>
        <rFont val="Arial Narrow"/>
        <charset val="134"/>
      </rPr>
      <t>5</t>
    </r>
    <r>
      <rPr>
        <sz val="9"/>
        <rFont val="宋体"/>
        <charset val="134"/>
      </rPr>
      <t>）本年度实际核销的应收账款性质、原因及其金额。</t>
    </r>
  </si>
  <si>
    <t>项目名称</t>
  </si>
  <si>
    <r>
      <rPr>
        <sz val="9"/>
        <rFont val="Arial Narrow"/>
        <charset val="134"/>
      </rPr>
      <t xml:space="preserve"> </t>
    </r>
    <r>
      <rPr>
        <sz val="9"/>
        <rFont val="宋体"/>
        <charset val="134"/>
      </rPr>
      <t>款项性质</t>
    </r>
    <r>
      <rPr>
        <sz val="9"/>
        <rFont val="Arial Narrow"/>
        <charset val="134"/>
      </rPr>
      <t xml:space="preserve"> </t>
    </r>
  </si>
  <si>
    <r>
      <rPr>
        <sz val="9"/>
        <rFont val="Arial Narrow"/>
        <charset val="134"/>
      </rPr>
      <t xml:space="preserve"> </t>
    </r>
    <r>
      <rPr>
        <sz val="9"/>
        <rFont val="宋体"/>
        <charset val="134"/>
      </rPr>
      <t>核销原因</t>
    </r>
    <r>
      <rPr>
        <sz val="9"/>
        <rFont val="Arial Narrow"/>
        <charset val="134"/>
      </rPr>
      <t xml:space="preserve"> </t>
    </r>
  </si>
  <si>
    <t>是否因关联交易产生</t>
  </si>
  <si>
    <r>
      <rPr>
        <sz val="9"/>
        <color theme="7" tint="0.599993896298105"/>
        <rFont val="宋体"/>
        <charset val="134"/>
      </rPr>
      <t>（</t>
    </r>
    <r>
      <rPr>
        <sz val="9"/>
        <color theme="7" tint="0.599993896298105"/>
        <rFont val="Arial Narrow"/>
        <charset val="134"/>
      </rPr>
      <t>5）本年度实际核销的应收账款性质、原因及其金额。</t>
    </r>
  </si>
  <si>
    <t xml:space="preserve"> 合　计 </t>
  </si>
  <si>
    <r>
      <rPr>
        <sz val="9"/>
        <rFont val="Arial Narrow"/>
        <charset val="134"/>
      </rPr>
      <t xml:space="preserve"> </t>
    </r>
    <r>
      <rPr>
        <sz val="9"/>
        <rFont val="宋体"/>
        <charset val="134"/>
      </rPr>
      <t>合　计</t>
    </r>
    <r>
      <rPr>
        <sz val="9"/>
        <rFont val="Arial Narrow"/>
        <charset val="134"/>
      </rPr>
      <t xml:space="preserve"> </t>
    </r>
  </si>
  <si>
    <t>（6）期末应收账款金额前五名情况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</si>
  <si>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）期末应收账款金额前五名情况</t>
    </r>
  </si>
  <si>
    <t>（1）期末应收账款金额前五名情况</t>
  </si>
  <si>
    <r>
      <rPr>
        <sz val="9"/>
        <color theme="7" tint="0.599993896298105"/>
        <rFont val="宋体"/>
        <charset val="134"/>
      </rPr>
      <t>（</t>
    </r>
    <r>
      <rPr>
        <sz val="9"/>
        <color theme="7" tint="0.599993896298105"/>
        <rFont val="Arial Narrow"/>
        <charset val="134"/>
      </rPr>
      <t>6）期末应收账款金额前五名情况</t>
    </r>
  </si>
  <si>
    <t>与本公司关系</t>
  </si>
  <si>
    <t>年限</t>
  </si>
  <si>
    <t>占应收账款总额比例</t>
  </si>
  <si>
    <t>比例修正值</t>
  </si>
  <si>
    <t>佛山市禅城区市政公用设施管理技术服务中心</t>
  </si>
  <si>
    <t>非关联方</t>
  </si>
  <si>
    <t>0-2年</t>
  </si>
  <si>
    <t>销售商品、提供劳务</t>
  </si>
  <si>
    <t>长沙县星城建设投资有限公司</t>
  </si>
  <si>
    <t>4-5年</t>
  </si>
  <si>
    <t>1年以内</t>
  </si>
  <si>
    <t>长沙经济技术开发区星沙产业基地开发有限公司</t>
  </si>
  <si>
    <t>0-4年</t>
  </si>
  <si>
    <t>贵州省凯里城镇建设投资有限公司</t>
  </si>
  <si>
    <t>核对:</t>
  </si>
  <si>
    <t>（7）期末应收款项中持公司5%（含5%）以上表决权股份的股东单位欠款情况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</si>
  <si>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</si>
  <si>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7</t>
    </r>
    <r>
      <rPr>
        <sz val="9"/>
        <rFont val="宋体"/>
        <charset val="134"/>
      </rPr>
      <t>）期末应收款项中持公司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</si>
  <si>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期末数金额</t>
  </si>
  <si>
    <t>计提坏账金额</t>
  </si>
  <si>
    <t>期初数金额</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</si>
  <si>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</si>
  <si>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t>注：如无此类欠款，也应予以说明。</t>
  </si>
  <si>
    <t>（8）期末应收关联方款项情况</t>
  </si>
  <si>
    <r>
      <rPr>
        <sz val="9"/>
        <color theme="7" tint="0.599993896298105"/>
        <rFont val="宋体"/>
        <charset val="134"/>
      </rPr>
      <t>（</t>
    </r>
    <r>
      <rPr>
        <sz val="9"/>
        <color theme="7" tint="0.599993896298105"/>
        <rFont val="Arial Narrow"/>
        <charset val="134"/>
      </rPr>
      <t>8</t>
    </r>
    <r>
      <rPr>
        <sz val="9"/>
        <color theme="7" tint="0.599993896298105"/>
        <rFont val="宋体"/>
        <charset val="134"/>
      </rPr>
      <t>）期末应收关联方款项情况</t>
    </r>
  </si>
  <si>
    <r>
      <rPr>
        <sz val="9"/>
        <rFont val="宋体"/>
        <charset val="134"/>
      </rPr>
      <t>（</t>
    </r>
    <r>
      <rPr>
        <sz val="9"/>
        <rFont val="Arial Narrow"/>
        <charset val="134"/>
      </rPr>
      <t>8</t>
    </r>
    <r>
      <rPr>
        <sz val="9"/>
        <rFont val="宋体"/>
        <charset val="134"/>
      </rPr>
      <t>）期末应收关联方款项情况</t>
    </r>
  </si>
  <si>
    <r>
      <rPr>
        <sz val="9"/>
        <rFont val="宋体"/>
        <charset val="134"/>
      </rPr>
      <t>占应收账款总额的比例（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</si>
  <si>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8）期末应收关联方款项情况</t>
    </r>
  </si>
  <si>
    <t>核对：</t>
  </si>
  <si>
    <t>（9）终止确认的应收款项情况</t>
  </si>
  <si>
    <r>
      <rPr>
        <sz val="9"/>
        <rFont val="宋体"/>
        <charset val="134"/>
      </rPr>
      <t>（</t>
    </r>
    <r>
      <rPr>
        <sz val="9"/>
        <rFont val="Arial Narrow"/>
        <charset val="134"/>
      </rPr>
      <t>9</t>
    </r>
    <r>
      <rPr>
        <sz val="9"/>
        <rFont val="宋体"/>
        <charset val="134"/>
      </rPr>
      <t>）终止确认的应收款项情况</t>
    </r>
  </si>
  <si>
    <t>终止确认金额</t>
  </si>
  <si>
    <t>与终止确认相关的利得或损失</t>
  </si>
  <si>
    <t>（10）以应收款项为标的进行证券化的，列示继续涉入形成的资产、负债的金额</t>
  </si>
  <si>
    <r>
      <rPr>
        <sz val="9"/>
        <rFont val="宋体"/>
        <charset val="134"/>
      </rPr>
      <t>（</t>
    </r>
    <r>
      <rPr>
        <sz val="9"/>
        <rFont val="Arial Narrow"/>
        <charset val="134"/>
      </rPr>
      <t>10</t>
    </r>
    <r>
      <rPr>
        <sz val="9"/>
        <rFont val="宋体"/>
        <charset val="134"/>
      </rPr>
      <t>）以应收款项为标的进行证券化的，列示继续涉入形成的资产、负债的金额</t>
    </r>
  </si>
  <si>
    <r>
      <rPr>
        <sz val="9"/>
        <color theme="7" tint="0.599993896298105"/>
        <rFont val="宋体"/>
        <charset val="134"/>
      </rPr>
      <t>（</t>
    </r>
    <r>
      <rPr>
        <sz val="9"/>
        <color theme="7" tint="0.599993896298105"/>
        <rFont val="Arial Narrow"/>
        <charset val="134"/>
      </rPr>
      <t>10</t>
    </r>
    <r>
      <rPr>
        <sz val="9"/>
        <color theme="7" tint="0.599993896298105"/>
        <rFont val="宋体"/>
        <charset val="134"/>
      </rPr>
      <t>）以应收款项为标的进行证券化的，列示继续涉入形成的资产、负债的金额</t>
    </r>
  </si>
  <si>
    <t>资产：</t>
  </si>
  <si>
    <r>
      <rPr>
        <sz val="9"/>
        <color theme="7" tint="0.599993896298105"/>
        <rFont val="宋体"/>
        <charset val="134"/>
      </rPr>
      <t>（</t>
    </r>
    <r>
      <rPr>
        <sz val="9"/>
        <color theme="7" tint="0.599993896298105"/>
        <rFont val="Arial Narrow"/>
        <charset val="134"/>
      </rPr>
      <t>10）以应收款项为标的进行证券化的，列示继续涉入形成的资产、负债的金额</t>
    </r>
  </si>
  <si>
    <t>资产小计：</t>
  </si>
  <si>
    <t>负债：</t>
  </si>
  <si>
    <t>负债小计：</t>
  </si>
  <si>
    <r>
      <rPr>
        <sz val="9"/>
        <color theme="0" tint="-0.249977111117893"/>
        <rFont val="宋体"/>
        <charset val="134"/>
      </rPr>
      <t>预付款项</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</si>
  <si>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（七）预付款项</t>
    </r>
    <r>
      <rPr>
        <sz val="9"/>
        <color theme="7" tint="0.599993896298105"/>
        <rFont val="Arial Narrow"/>
        <charset val="134"/>
      </rPr>
      <t>-</t>
    </r>
    <r>
      <rPr>
        <sz val="9"/>
        <color theme="7" tint="0.599993896298105"/>
        <rFont val="宋体"/>
        <charset val="134"/>
      </rPr>
      <t>披露表</t>
    </r>
  </si>
  <si>
    <r>
      <rPr>
        <b/>
        <sz val="9"/>
        <rFont val="宋体"/>
        <charset val="134"/>
      </rPr>
      <t>（七）预付款项</t>
    </r>
    <r>
      <rPr>
        <b/>
        <sz val="9"/>
        <rFont val="Arial Narrow"/>
        <charset val="134"/>
      </rPr>
      <t>-</t>
    </r>
    <r>
      <rPr>
        <b/>
        <sz val="9"/>
        <rFont val="宋体"/>
        <charset val="134"/>
      </rPr>
      <t>披露表</t>
    </r>
  </si>
  <si>
    <r>
      <rPr>
        <sz val="9"/>
        <rFont val="Times New Roman"/>
        <charset val="134"/>
      </rPr>
      <t>比例</t>
    </r>
    <r>
      <rPr>
        <sz val="9"/>
        <rFont val="Arial Narrow"/>
        <charset val="134"/>
      </rPr>
      <t>(%)</t>
    </r>
  </si>
  <si>
    <t>账龄是否合理</t>
  </si>
  <si>
    <t>不合理原因</t>
  </si>
  <si>
    <r>
      <rPr>
        <sz val="9"/>
        <rFont val="Arial Narrow"/>
        <charset val="134"/>
      </rPr>
      <t>1</t>
    </r>
    <r>
      <rPr>
        <sz val="9"/>
        <rFont val="Times New Roman"/>
        <charset val="134"/>
      </rPr>
      <t>年以内</t>
    </r>
    <r>
      <rPr>
        <sz val="9"/>
        <rFont val="Arial Narrow"/>
        <charset val="134"/>
      </rPr>
      <t>(</t>
    </r>
    <r>
      <rPr>
        <sz val="9"/>
        <rFont val="Times New Roman"/>
        <charset val="134"/>
      </rPr>
      <t>含</t>
    </r>
    <r>
      <rPr>
        <sz val="9"/>
        <rFont val="Arial Narrow"/>
        <charset val="134"/>
      </rPr>
      <t>1</t>
    </r>
    <r>
      <rPr>
        <sz val="9"/>
        <rFont val="Times New Roman"/>
        <charset val="134"/>
      </rPr>
      <t>年</t>
    </r>
    <r>
      <rPr>
        <sz val="9"/>
        <rFont val="Arial Narrow"/>
        <charset val="134"/>
      </rPr>
      <t>)</t>
    </r>
  </si>
  <si>
    <r>
      <rPr>
        <sz val="9"/>
        <rFont val="Arial Narrow"/>
        <charset val="134"/>
      </rPr>
      <t>1-2</t>
    </r>
    <r>
      <rPr>
        <sz val="9"/>
        <rFont val="Times New Roman"/>
        <charset val="134"/>
      </rPr>
      <t>年</t>
    </r>
    <r>
      <rPr>
        <sz val="9"/>
        <rFont val="Arial Narrow"/>
        <charset val="134"/>
      </rPr>
      <t>(</t>
    </r>
    <r>
      <rPr>
        <sz val="9"/>
        <rFont val="Times New Roman"/>
        <charset val="134"/>
      </rPr>
      <t>含</t>
    </r>
    <r>
      <rPr>
        <sz val="9"/>
        <rFont val="Arial Narrow"/>
        <charset val="134"/>
      </rPr>
      <t>2</t>
    </r>
    <r>
      <rPr>
        <sz val="9"/>
        <rFont val="Times New Roman"/>
        <charset val="134"/>
      </rPr>
      <t>年</t>
    </r>
    <r>
      <rPr>
        <sz val="9"/>
        <rFont val="Arial Narrow"/>
        <charset val="134"/>
      </rPr>
      <t>)</t>
    </r>
  </si>
  <si>
    <r>
      <rPr>
        <sz val="9"/>
        <rFont val="Arial Narrow"/>
        <charset val="134"/>
      </rPr>
      <t>2-3</t>
    </r>
    <r>
      <rPr>
        <sz val="9"/>
        <rFont val="Times New Roman"/>
        <charset val="134"/>
      </rPr>
      <t>年</t>
    </r>
    <r>
      <rPr>
        <sz val="9"/>
        <rFont val="Arial Narrow"/>
        <charset val="134"/>
      </rPr>
      <t>(</t>
    </r>
    <r>
      <rPr>
        <sz val="9"/>
        <rFont val="Times New Roman"/>
        <charset val="134"/>
      </rPr>
      <t>含</t>
    </r>
    <r>
      <rPr>
        <sz val="9"/>
        <rFont val="Arial Narrow"/>
        <charset val="134"/>
      </rPr>
      <t>3</t>
    </r>
    <r>
      <rPr>
        <sz val="9"/>
        <rFont val="Times New Roman"/>
        <charset val="134"/>
      </rPr>
      <t>年</t>
    </r>
    <r>
      <rPr>
        <sz val="9"/>
        <rFont val="Arial Narrow"/>
        <charset val="134"/>
      </rPr>
      <t>)</t>
    </r>
  </si>
  <si>
    <r>
      <rPr>
        <sz val="9"/>
        <rFont val="Arial Narrow"/>
        <charset val="134"/>
      </rPr>
      <t>3</t>
    </r>
    <r>
      <rPr>
        <sz val="9"/>
        <rFont val="Times New Roman"/>
        <charset val="134"/>
      </rPr>
      <t>年以上</t>
    </r>
    <r>
      <rPr>
        <sz val="9"/>
        <rFont val="Arial Narrow"/>
        <charset val="134"/>
      </rPr>
      <t xml:space="preserve"> </t>
    </r>
  </si>
  <si>
    <t>（2）账龄超过1年的重要预付款项，逐项说明未及时结算的原因。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</si>
  <si>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t>
    </r>
    <r>
      <rPr>
        <sz val="9"/>
        <color theme="7" tint="0.599993896298105"/>
        <rFont val="宋体"/>
        <charset val="134"/>
      </rPr>
      <t>年的重要预付款项，逐项说明未及时结算的原因。</t>
    </r>
  </si>
  <si>
    <r>
      <rPr>
        <sz val="9"/>
        <rFont val="宋体"/>
        <charset val="134"/>
      </rPr>
      <t>（</t>
    </r>
    <r>
      <rPr>
        <sz val="9"/>
        <rFont val="Arial Narrow"/>
        <charset val="134"/>
      </rPr>
      <t>2</t>
    </r>
    <r>
      <rPr>
        <sz val="9"/>
        <rFont val="宋体"/>
        <charset val="134"/>
      </rPr>
      <t>）账龄超过</t>
    </r>
    <r>
      <rPr>
        <sz val="9"/>
        <rFont val="Arial Narrow"/>
        <charset val="134"/>
      </rPr>
      <t>1</t>
    </r>
    <r>
      <rPr>
        <sz val="9"/>
        <rFont val="宋体"/>
        <charset val="134"/>
      </rPr>
      <t>年的重要预付款项，逐项说明未及时结算的原因。（</t>
    </r>
    <r>
      <rPr>
        <sz val="9"/>
        <rFont val="Arial Narrow"/>
        <charset val="134"/>
      </rPr>
      <t>50</t>
    </r>
    <r>
      <rPr>
        <sz val="9"/>
        <rFont val="宋体"/>
        <charset val="134"/>
      </rPr>
      <t>万以上）</t>
    </r>
  </si>
  <si>
    <t>单位</t>
  </si>
  <si>
    <t>未结算原因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</si>
  <si>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1年的重要预付款项，逐项说明未及时结算的原因。</t>
    </r>
  </si>
  <si>
    <t>（3）期末预付账款中持公司5%（含5%）以上表决权股份的股东单位情况</t>
  </si>
  <si>
    <r>
      <rPr>
        <sz val="9"/>
        <rFont val="宋体"/>
        <charset val="134"/>
      </rPr>
      <t>（</t>
    </r>
    <r>
      <rPr>
        <sz val="9"/>
        <rFont val="Arial Narrow"/>
        <charset val="134"/>
      </rPr>
      <t>3</t>
    </r>
    <r>
      <rPr>
        <sz val="9"/>
        <rFont val="宋体"/>
        <charset val="134"/>
      </rPr>
      <t>）期末预付账款中持公司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）以上表决权股份的股东单位情况</t>
    </r>
  </si>
  <si>
    <t>注：如无此类欠款，也应予以说明</t>
  </si>
  <si>
    <t>（4）预付款项金额前五名单位情况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</si>
  <si>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）预付款项金额前五名单位情况</t>
    </r>
  </si>
  <si>
    <r>
      <rPr>
        <sz val="9"/>
        <rFont val="宋体"/>
        <charset val="134"/>
      </rPr>
      <t>（</t>
    </r>
    <r>
      <rPr>
        <sz val="9"/>
        <rFont val="Arial Narrow"/>
        <charset val="134"/>
      </rPr>
      <t>4</t>
    </r>
    <r>
      <rPr>
        <sz val="9"/>
        <rFont val="宋体"/>
        <charset val="134"/>
      </rPr>
      <t>）预付款项金额前五名单位情况</t>
    </r>
  </si>
  <si>
    <r>
      <rPr>
        <sz val="9"/>
        <color theme="7" tint="0.599993896298105"/>
        <rFont val="宋体"/>
        <charset val="134"/>
      </rPr>
      <t>（</t>
    </r>
    <r>
      <rPr>
        <sz val="9"/>
        <color theme="7" tint="0.599993896298105"/>
        <rFont val="Arial Narrow"/>
        <charset val="134"/>
      </rPr>
      <t>4）预付款项金额前五名单位情况</t>
    </r>
  </si>
  <si>
    <t>欠款时间</t>
  </si>
  <si>
    <t>占预付账款总额比例</t>
  </si>
  <si>
    <t>中山市正日照明有限公司</t>
  </si>
  <si>
    <r>
      <rPr>
        <sz val="9"/>
        <rFont val="Arial Narrow"/>
        <charset val="134"/>
      </rPr>
      <t>1</t>
    </r>
    <r>
      <rPr>
        <sz val="9"/>
        <rFont val="宋体"/>
        <charset val="134"/>
      </rPr>
      <t>年以内</t>
    </r>
  </si>
  <si>
    <t>未供货</t>
  </si>
  <si>
    <t>预付材料款</t>
  </si>
  <si>
    <t>广东爱华新光电科技有限公司</t>
  </si>
  <si>
    <t>东莞市鑫勤光电科技有限公司</t>
  </si>
  <si>
    <r>
      <rPr>
        <sz val="9"/>
        <rFont val="Arial Narrow"/>
        <charset val="134"/>
      </rPr>
      <t>1年以内</t>
    </r>
  </si>
  <si>
    <t>山西同兴佳联照明工程有限公司</t>
  </si>
  <si>
    <t>扬州天翊新能源科技有限公司</t>
  </si>
  <si>
    <t>（5）若期末预付账款余额比上期期末预付账款余额增加或减少超过30%，应说明其原因。</t>
  </si>
  <si>
    <r>
      <rPr>
        <sz val="9"/>
        <rFont val="宋体"/>
        <charset val="134"/>
      </rPr>
      <t>（</t>
    </r>
    <r>
      <rPr>
        <sz val="9"/>
        <rFont val="Arial Narrow"/>
        <charset val="134"/>
      </rPr>
      <t>5</t>
    </r>
    <r>
      <rPr>
        <sz val="9"/>
        <rFont val="宋体"/>
        <charset val="134"/>
      </rPr>
      <t>）若期末预付账款余额比上期期末预付账款余额增加或减少超过</t>
    </r>
    <r>
      <rPr>
        <sz val="9"/>
        <rFont val="Arial Narrow"/>
        <charset val="134"/>
      </rPr>
      <t>30%</t>
    </r>
    <r>
      <rPr>
        <sz val="9"/>
        <rFont val="宋体"/>
        <charset val="134"/>
      </rPr>
      <t>，应说明其原因。</t>
    </r>
  </si>
  <si>
    <r>
      <rPr>
        <sz val="9"/>
        <color theme="7" tint="0.599993896298105"/>
        <rFont val="宋体"/>
        <charset val="134"/>
      </rPr>
      <t>（</t>
    </r>
    <r>
      <rPr>
        <sz val="9"/>
        <color theme="7" tint="0.599993896298105"/>
        <rFont val="Arial Narrow"/>
        <charset val="134"/>
      </rPr>
      <t>5</t>
    </r>
    <r>
      <rPr>
        <sz val="9"/>
        <color theme="7" tint="0.599993896298105"/>
        <rFont val="宋体"/>
        <charset val="134"/>
      </rPr>
      <t>）若期末预付账款余额比上期期末预付账款余额增加或减少超过</t>
    </r>
    <r>
      <rPr>
        <sz val="9"/>
        <color theme="7" tint="0.599993896298105"/>
        <rFont val="Arial Narrow"/>
        <charset val="134"/>
      </rPr>
      <t>30%</t>
    </r>
    <r>
      <rPr>
        <sz val="9"/>
        <color theme="7" tint="0.599993896298105"/>
        <rFont val="宋体"/>
        <charset val="134"/>
      </rPr>
      <t>，应说明其原因。</t>
    </r>
  </si>
  <si>
    <t>（6）若期末预付账款账面余额超过资产总额的10%的，应说明其原因。</t>
  </si>
  <si>
    <r>
      <rPr>
        <sz val="9"/>
        <rFont val="宋体"/>
        <charset val="134"/>
      </rPr>
      <t>（</t>
    </r>
    <r>
      <rPr>
        <sz val="9"/>
        <rFont val="Arial Narrow"/>
        <charset val="134"/>
      </rPr>
      <t>6</t>
    </r>
    <r>
      <rPr>
        <sz val="9"/>
        <rFont val="宋体"/>
        <charset val="134"/>
      </rPr>
      <t>）若期末预付账款账面余额超过资产总额的</t>
    </r>
    <r>
      <rPr>
        <sz val="9"/>
        <rFont val="Arial Narrow"/>
        <charset val="134"/>
      </rPr>
      <t>10%</t>
    </r>
    <r>
      <rPr>
        <sz val="9"/>
        <rFont val="宋体"/>
        <charset val="134"/>
      </rPr>
      <t>的，应说明其原因。</t>
    </r>
  </si>
  <si>
    <r>
      <rPr>
        <sz val="9"/>
        <color theme="0" tint="-0.249977111117893"/>
        <rFont val="宋体"/>
        <charset val="134"/>
      </rPr>
      <t>其他应收款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</si>
  <si>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（八）其他应收款</t>
    </r>
    <r>
      <rPr>
        <sz val="9"/>
        <color theme="7" tint="0.599993896298105"/>
        <rFont val="Arial Narrow"/>
        <charset val="134"/>
      </rPr>
      <t>-</t>
    </r>
    <r>
      <rPr>
        <sz val="9"/>
        <color theme="7" tint="0.599993896298105"/>
        <rFont val="宋体"/>
        <charset val="134"/>
      </rPr>
      <t>披露表</t>
    </r>
  </si>
  <si>
    <r>
      <rPr>
        <b/>
        <sz val="9"/>
        <rFont val="宋体"/>
        <charset val="134"/>
      </rPr>
      <t>（八）其他应收款</t>
    </r>
    <r>
      <rPr>
        <b/>
        <sz val="9"/>
        <rFont val="Arial Narrow"/>
        <charset val="134"/>
      </rPr>
      <t>-</t>
    </r>
    <r>
      <rPr>
        <b/>
        <sz val="9"/>
        <rFont val="宋体"/>
        <charset val="134"/>
      </rPr>
      <t>披露表</t>
    </r>
  </si>
  <si>
    <r>
      <rPr>
        <sz val="9"/>
        <rFont val="宋体"/>
        <charset val="134"/>
      </rPr>
      <t>占总额比例（</t>
    </r>
    <r>
      <rPr>
        <sz val="9"/>
        <rFont val="Arial Narrow"/>
        <charset val="134"/>
      </rPr>
      <t>%</t>
    </r>
    <r>
      <rPr>
        <sz val="9"/>
        <rFont val="宋体"/>
        <charset val="134"/>
      </rPr>
      <t>）</t>
    </r>
  </si>
  <si>
    <t>坏账准备
计提比例</t>
  </si>
  <si>
    <r>
      <rPr>
        <sz val="9"/>
        <rFont val="宋体"/>
        <charset val="134"/>
      </rPr>
      <t>坏账准备
计提比例（</t>
    </r>
    <r>
      <rPr>
        <sz val="9"/>
        <rFont val="Arial Narrow"/>
        <charset val="134"/>
      </rPr>
      <t>%</t>
    </r>
    <r>
      <rPr>
        <sz val="9"/>
        <rFont val="宋体"/>
        <charset val="134"/>
      </rPr>
      <t>）</t>
    </r>
  </si>
  <si>
    <t>单项金额重大并单项计提坏账准备的的其他应收款</t>
  </si>
  <si>
    <t>按组合（账龄分析法）计提坏账准备的其他应收款</t>
  </si>
  <si>
    <t>单项金额虽不重大但单项计提坏账准备的其他应收款</t>
  </si>
  <si>
    <t>账龄与类别合计核对</t>
  </si>
  <si>
    <t>单项金额重大并单项计提坏账准备的的其他应收款核对：</t>
  </si>
  <si>
    <t>按组合（账龄分析法）计提坏账准备的其他应收款核对：</t>
  </si>
  <si>
    <t>单项金额虽不重大但单项计提坏账准备的其他应收款核对：</t>
  </si>
  <si>
    <t>（2）-1期末按个别认定进行减值测试的其他应收款计提坏帐准备的说明</t>
  </si>
  <si>
    <r>
      <rPr>
        <b/>
        <sz val="9"/>
        <color rgb="FF0070C0"/>
        <rFont val="宋体"/>
        <charset val="134"/>
      </rPr>
      <t>单项金额重大（</t>
    </r>
    <r>
      <rPr>
        <b/>
        <sz val="9"/>
        <color rgb="FFFF0000"/>
        <rFont val="宋体"/>
        <charset val="134"/>
      </rPr>
      <t>大于100万元</t>
    </r>
    <r>
      <rPr>
        <b/>
        <sz val="9"/>
        <color rgb="FF0070C0"/>
        <rFont val="宋体"/>
        <charset val="134"/>
      </rPr>
      <t>）并单项计提坏账准备的的其他应收款小计</t>
    </r>
  </si>
  <si>
    <t>[SZLBWMY]深圳蓝博万贸易有限公司</t>
  </si>
  <si>
    <t>合并范围内关联方，不计提</t>
  </si>
  <si>
    <r>
      <rPr>
        <b/>
        <sz val="9"/>
        <color rgb="FF0070C0"/>
        <rFont val="宋体"/>
        <charset val="134"/>
      </rPr>
      <t>单项金额虽不重大（</t>
    </r>
    <r>
      <rPr>
        <b/>
        <sz val="9"/>
        <color rgb="FFFF0000"/>
        <rFont val="宋体"/>
        <charset val="134"/>
      </rPr>
      <t>小于100万元</t>
    </r>
    <r>
      <rPr>
        <b/>
        <sz val="9"/>
        <color rgb="FF0070C0"/>
        <rFont val="宋体"/>
        <charset val="134"/>
      </rPr>
      <t>）但单项计提坏账准备的其他应收款小计</t>
    </r>
  </si>
  <si>
    <t>（2）-2期初按个别认定进行减值测试的其他应收款计提坏帐准备的说明</t>
  </si>
  <si>
    <r>
      <rPr>
        <b/>
        <sz val="9"/>
        <color rgb="FF0070C0"/>
        <rFont val="宋体"/>
        <charset val="134"/>
      </rPr>
      <t>单项金额重大（</t>
    </r>
    <r>
      <rPr>
        <b/>
        <sz val="9"/>
        <color rgb="FFFF0000"/>
        <rFont val="宋体"/>
        <charset val="134"/>
      </rPr>
      <t>大于150万元</t>
    </r>
    <r>
      <rPr>
        <b/>
        <sz val="9"/>
        <color rgb="FF0070C0"/>
        <rFont val="宋体"/>
        <charset val="134"/>
      </rPr>
      <t>）并单项计提坏账准备的的其他应收款小计</t>
    </r>
  </si>
  <si>
    <t>[JHT]深圳市骏汇通贸易有限公司</t>
  </si>
  <si>
    <r>
      <rPr>
        <b/>
        <sz val="9"/>
        <color rgb="FF0070C0"/>
        <rFont val="宋体"/>
        <charset val="134"/>
      </rPr>
      <t>单项金额虽不重大（</t>
    </r>
    <r>
      <rPr>
        <b/>
        <sz val="9"/>
        <color rgb="FFFF0000"/>
        <rFont val="宋体"/>
        <charset val="134"/>
      </rPr>
      <t>小于150万元</t>
    </r>
    <r>
      <rPr>
        <b/>
        <sz val="9"/>
        <color rgb="FF0070C0"/>
        <rFont val="宋体"/>
        <charset val="134"/>
      </rPr>
      <t>）但单项计提坏账准备的其他应收款小计</t>
    </r>
  </si>
  <si>
    <t>（2）-3按组合（账龄分析法）计提坏账准备的其他应收款</t>
  </si>
  <si>
    <t>（2）期末单项按个别认定进行减值测试的应收账款计提坏帐准备的说明</t>
  </si>
  <si>
    <t>（3）单项金额重大的其他应收账款计提坏账准备的说明：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</si>
  <si>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）单项金额重大的其他应收账款计提坏账准备的说明：</t>
    </r>
  </si>
  <si>
    <r>
      <rPr>
        <b/>
        <sz val="9"/>
        <rFont val="宋体"/>
        <charset val="134"/>
      </rPr>
      <t>（</t>
    </r>
    <r>
      <rPr>
        <b/>
        <sz val="9"/>
        <rFont val="Arial Narrow"/>
        <charset val="134"/>
      </rPr>
      <t>3</t>
    </r>
    <r>
      <rPr>
        <b/>
        <sz val="9"/>
        <rFont val="宋体"/>
        <charset val="134"/>
      </rPr>
      <t>）单项金额重大的其他应收账款计提坏账准备的说明：</t>
    </r>
  </si>
  <si>
    <t>单项金额重大标准</t>
  </si>
  <si>
    <r>
      <rPr>
        <sz val="9"/>
        <color theme="7" tint="0.599993896298105"/>
        <rFont val="宋体"/>
        <charset val="134"/>
      </rPr>
      <t>（</t>
    </r>
    <r>
      <rPr>
        <sz val="9"/>
        <color theme="7" tint="0.599993896298105"/>
        <rFont val="Arial Narrow"/>
        <charset val="134"/>
      </rPr>
      <t>3）单项金额重大的其他应收账款计提坏账准备的说明：</t>
    </r>
  </si>
  <si>
    <t>合并备注单位名称</t>
  </si>
  <si>
    <t>（4）本期其他应收款收回以前年度已全额计提坏账准备的、以前年度计提坏账准备比例较大的、通过债务重组等其他方式收回的情况</t>
  </si>
  <si>
    <t>（3）本期其他应收款收回以前年度已全额计提坏账准备的、以前年度计提坏账准备比例较大的、通过债务重组等其他方式收回的情况</t>
  </si>
  <si>
    <t>（5）本期实际核销的其他应收款情况</t>
  </si>
  <si>
    <r>
      <rPr>
        <sz val="9"/>
        <color theme="7" tint="0.599993896298105"/>
        <rFont val="宋体"/>
        <charset val="134"/>
      </rPr>
      <t>（</t>
    </r>
    <r>
      <rPr>
        <sz val="9"/>
        <color theme="7" tint="0.599993896298105"/>
        <rFont val="Arial Narrow"/>
        <charset val="134"/>
      </rPr>
      <t>5</t>
    </r>
    <r>
      <rPr>
        <sz val="9"/>
        <color theme="7" tint="0.599993896298105"/>
        <rFont val="宋体"/>
        <charset val="134"/>
      </rPr>
      <t>）本期实际核销的其他应收款情况</t>
    </r>
  </si>
  <si>
    <t>（4）本期实际核销的其他应收款情况</t>
  </si>
  <si>
    <r>
      <rPr>
        <sz val="9"/>
        <rFont val="Arial Narrow"/>
        <charset val="134"/>
      </rPr>
      <t xml:space="preserve"> </t>
    </r>
    <r>
      <rPr>
        <sz val="9"/>
        <rFont val="宋体"/>
        <charset val="134"/>
      </rPr>
      <t>核销理由</t>
    </r>
    <r>
      <rPr>
        <sz val="9"/>
        <rFont val="Arial Narrow"/>
        <charset val="134"/>
      </rPr>
      <t xml:space="preserve"> </t>
    </r>
  </si>
  <si>
    <r>
      <rPr>
        <sz val="9"/>
        <color theme="7" tint="0.599993896298105"/>
        <rFont val="宋体"/>
        <charset val="134"/>
      </rPr>
      <t>（</t>
    </r>
    <r>
      <rPr>
        <sz val="9"/>
        <color theme="7" tint="0.599993896298105"/>
        <rFont val="Arial Narrow"/>
        <charset val="134"/>
      </rPr>
      <t>5）本期实际核销的其他应收款情况</t>
    </r>
  </si>
  <si>
    <t>（6）期末其他应收款金额前五名情况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</si>
  <si>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）期末其他应收款金额前五名情况</t>
    </r>
  </si>
  <si>
    <t>（5）期末其他应收款金额前五名情况</t>
  </si>
  <si>
    <r>
      <rPr>
        <sz val="9"/>
        <color theme="7" tint="0.599993896298105"/>
        <rFont val="宋体"/>
        <charset val="134"/>
      </rPr>
      <t>（</t>
    </r>
    <r>
      <rPr>
        <sz val="9"/>
        <color theme="7" tint="0.599993896298105"/>
        <rFont val="Arial Narrow"/>
        <charset val="134"/>
      </rPr>
      <t>6）期末其他应收款金额前五名情况</t>
    </r>
  </si>
  <si>
    <t>注：单位名称和本公司关系，公司可根据实际情况填写</t>
  </si>
  <si>
    <t>（7）期末其他应收款中持公司5%（含5%）以上表决权股份的股东单位欠款情况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</si>
  <si>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</si>
  <si>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6</t>
    </r>
    <r>
      <rPr>
        <sz val="9"/>
        <rFont val="宋体"/>
        <charset val="134"/>
      </rPr>
      <t>）期末应收关联方款项情况（包括持公司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</si>
  <si>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是否是持公司5%（含5%）以上表决权股份的股东单位</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</si>
  <si>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</si>
  <si>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r>
      <rPr>
        <sz val="9"/>
        <color theme="7" tint="0.599993896298105"/>
        <rFont val="宋体"/>
        <charset val="134"/>
      </rPr>
      <t>（</t>
    </r>
    <r>
      <rPr>
        <sz val="9"/>
        <color theme="7" tint="0.599993896298105"/>
        <rFont val="Arial Narrow"/>
        <charset val="134"/>
      </rPr>
      <t>9</t>
    </r>
    <r>
      <rPr>
        <sz val="9"/>
        <color theme="7" tint="0.599993896298105"/>
        <rFont val="宋体"/>
        <charset val="134"/>
      </rPr>
      <t>）终止确认的应收款项情况</t>
    </r>
  </si>
  <si>
    <r>
      <rPr>
        <sz val="9"/>
        <color theme="7" tint="0.599993896298105"/>
        <rFont val="宋体"/>
        <charset val="134"/>
      </rPr>
      <t>（</t>
    </r>
    <r>
      <rPr>
        <sz val="9"/>
        <color theme="7" tint="0.599993896298105"/>
        <rFont val="Arial Narrow"/>
        <charset val="134"/>
      </rPr>
      <t>9）终止确认的应收款项情况</t>
    </r>
  </si>
  <si>
    <t>（11）期末金额较大的其他应收款情况</t>
  </si>
  <si>
    <r>
      <rPr>
        <sz val="9"/>
        <color theme="7" tint="0.599993896298105"/>
        <rFont val="宋体"/>
        <charset val="134"/>
      </rPr>
      <t>（</t>
    </r>
    <r>
      <rPr>
        <sz val="9"/>
        <color theme="7" tint="0.599993896298105"/>
        <rFont val="Arial Narrow"/>
        <charset val="134"/>
      </rPr>
      <t>11</t>
    </r>
    <r>
      <rPr>
        <sz val="9"/>
        <color theme="7" tint="0.599993896298105"/>
        <rFont val="宋体"/>
        <charset val="134"/>
      </rPr>
      <t>）期末金额较大的其他应收款情况</t>
    </r>
  </si>
  <si>
    <r>
      <rPr>
        <sz val="9"/>
        <rFont val="宋体"/>
        <charset val="134"/>
      </rPr>
      <t>（</t>
    </r>
    <r>
      <rPr>
        <sz val="9"/>
        <rFont val="Arial Narrow"/>
        <charset val="134"/>
      </rPr>
      <t>11</t>
    </r>
    <r>
      <rPr>
        <sz val="9"/>
        <rFont val="宋体"/>
        <charset val="134"/>
      </rPr>
      <t>）期末金额较大的其他应收款情况</t>
    </r>
  </si>
  <si>
    <t>性质或内容</t>
  </si>
  <si>
    <r>
      <rPr>
        <sz val="9"/>
        <color theme="7" tint="0.599993896298105"/>
        <rFont val="宋体"/>
        <charset val="134"/>
      </rPr>
      <t>（</t>
    </r>
    <r>
      <rPr>
        <sz val="9"/>
        <color theme="7" tint="0.599993896298105"/>
        <rFont val="Arial Narrow"/>
        <charset val="134"/>
      </rPr>
      <t>11）期末金额较大的其他应收款情况</t>
    </r>
  </si>
  <si>
    <r>
      <rPr>
        <sz val="9"/>
        <color theme="0" tint="-0.249977111117893"/>
        <rFont val="宋体"/>
        <charset val="134"/>
      </rPr>
      <t>存货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</si>
  <si>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（九）存货</t>
    </r>
    <r>
      <rPr>
        <sz val="9"/>
        <color theme="7" tint="0.599993896298105"/>
        <rFont val="Arial Narrow"/>
        <charset val="134"/>
      </rPr>
      <t>-</t>
    </r>
    <r>
      <rPr>
        <sz val="9"/>
        <color theme="7" tint="0.599993896298105"/>
        <rFont val="宋体"/>
        <charset val="134"/>
      </rPr>
      <t>披露表</t>
    </r>
  </si>
  <si>
    <r>
      <rPr>
        <b/>
        <sz val="9"/>
        <rFont val="宋体"/>
        <charset val="134"/>
      </rPr>
      <t>（九）存货</t>
    </r>
    <r>
      <rPr>
        <b/>
        <sz val="9"/>
        <rFont val="Arial Narrow"/>
        <charset val="134"/>
      </rPr>
      <t>-</t>
    </r>
    <r>
      <rPr>
        <b/>
        <sz val="9"/>
        <rFont val="宋体"/>
        <charset val="134"/>
      </rPr>
      <t>披露表</t>
    </r>
  </si>
  <si>
    <t>期未账面价值</t>
  </si>
  <si>
    <t>期初账面价值</t>
  </si>
  <si>
    <t>自制半成品及在产品在产品</t>
  </si>
  <si>
    <t>产成品</t>
  </si>
  <si>
    <t>包装物</t>
  </si>
  <si>
    <r>
      <rPr>
        <sz val="9"/>
        <rFont val="宋体"/>
        <charset val="134"/>
      </rPr>
      <t>增加项目</t>
    </r>
    <r>
      <rPr>
        <sz val="9"/>
        <rFont val="Arial Narrow"/>
        <charset val="134"/>
      </rPr>
      <t>1-</t>
    </r>
    <r>
      <rPr>
        <sz val="9"/>
        <rFont val="宋体"/>
        <charset val="134"/>
      </rPr>
      <t>工程施工</t>
    </r>
  </si>
  <si>
    <t>劳务成本</t>
  </si>
  <si>
    <r>
      <rPr>
        <sz val="9"/>
        <rFont val="宋体"/>
        <charset val="134"/>
      </rPr>
      <t>增加项目</t>
    </r>
    <r>
      <rPr>
        <sz val="9"/>
        <rFont val="Arial Narrow"/>
        <charset val="134"/>
      </rPr>
      <t>2-</t>
    </r>
  </si>
  <si>
    <r>
      <rPr>
        <sz val="9"/>
        <rFont val="宋体"/>
        <charset val="134"/>
      </rPr>
      <t>增加项目</t>
    </r>
    <r>
      <rPr>
        <sz val="9"/>
        <rFont val="Arial Narrow"/>
        <charset val="134"/>
      </rPr>
      <t>3-</t>
    </r>
  </si>
  <si>
    <r>
      <rPr>
        <sz val="9"/>
        <rFont val="宋体"/>
        <charset val="134"/>
      </rPr>
      <t>增加项目</t>
    </r>
    <r>
      <rPr>
        <sz val="9"/>
        <rFont val="Arial Narrow"/>
        <charset val="134"/>
      </rPr>
      <t>4-</t>
    </r>
  </si>
  <si>
    <r>
      <rPr>
        <sz val="9"/>
        <rFont val="宋体"/>
        <charset val="134"/>
      </rPr>
      <t>增加项目</t>
    </r>
    <r>
      <rPr>
        <sz val="9"/>
        <rFont val="Arial Narrow"/>
        <charset val="134"/>
      </rPr>
      <t>5-</t>
    </r>
  </si>
  <si>
    <r>
      <rPr>
        <sz val="9"/>
        <rFont val="宋体"/>
        <charset val="134"/>
      </rPr>
      <t>增加项目</t>
    </r>
    <r>
      <rPr>
        <sz val="9"/>
        <rFont val="Arial Narrow"/>
        <charset val="134"/>
      </rPr>
      <t>6-</t>
    </r>
  </si>
  <si>
    <r>
      <rPr>
        <sz val="9"/>
        <rFont val="宋体"/>
        <charset val="134"/>
      </rPr>
      <t>增加项目</t>
    </r>
    <r>
      <rPr>
        <sz val="9"/>
        <rFont val="Arial Narrow"/>
        <charset val="134"/>
      </rPr>
      <t>7-</t>
    </r>
  </si>
  <si>
    <r>
      <rPr>
        <sz val="9"/>
        <rFont val="宋体"/>
        <charset val="134"/>
      </rPr>
      <t>增加项目</t>
    </r>
    <r>
      <rPr>
        <sz val="9"/>
        <rFont val="Arial Narrow"/>
        <charset val="134"/>
      </rPr>
      <t>8-</t>
    </r>
  </si>
  <si>
    <t>补充表：（填列补充表，上表自动从补充表中取数）</t>
  </si>
  <si>
    <t>（2）消耗性生物性资产情况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</si>
  <si>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）消耗性生物性资产情况</t>
    </r>
  </si>
  <si>
    <r>
      <rPr>
        <sz val="9"/>
        <rFont val="宋体"/>
        <charset val="134"/>
      </rPr>
      <t>（</t>
    </r>
    <r>
      <rPr>
        <sz val="9"/>
        <rFont val="Arial Narrow"/>
        <charset val="134"/>
      </rPr>
      <t>2</t>
    </r>
    <r>
      <rPr>
        <sz val="9"/>
        <rFont val="宋体"/>
        <charset val="134"/>
      </rPr>
      <t>）消耗性生物性资产情况</t>
    </r>
  </si>
  <si>
    <r>
      <rPr>
        <sz val="9"/>
        <color theme="7" tint="0.599993896298105"/>
        <rFont val="宋体"/>
        <charset val="134"/>
      </rPr>
      <t>（</t>
    </r>
    <r>
      <rPr>
        <sz val="9"/>
        <color theme="7" tint="0.599993896298105"/>
        <rFont val="Arial Narrow"/>
        <charset val="134"/>
      </rPr>
      <t>2）消耗性生物性资产情况</t>
    </r>
  </si>
  <si>
    <t>（3）存货跌价准备</t>
  </si>
  <si>
    <r>
      <rPr>
        <sz val="9"/>
        <color theme="7" tint="0.599993896298105"/>
        <rFont val="宋体"/>
        <charset val="134"/>
      </rPr>
      <t>（</t>
    </r>
    <r>
      <rPr>
        <sz val="9"/>
        <color theme="7" tint="0.599993896298105"/>
        <rFont val="Arial Narrow"/>
        <charset val="134"/>
      </rPr>
      <t>3</t>
    </r>
    <r>
      <rPr>
        <sz val="9"/>
        <color theme="7" tint="0.599993896298105"/>
        <rFont val="宋体"/>
        <charset val="134"/>
      </rPr>
      <t>）存货跌价准备</t>
    </r>
  </si>
  <si>
    <r>
      <rPr>
        <sz val="9"/>
        <rFont val="宋体"/>
        <charset val="134"/>
      </rPr>
      <t>（</t>
    </r>
    <r>
      <rPr>
        <sz val="9"/>
        <rFont val="Arial Narrow"/>
        <charset val="134"/>
      </rPr>
      <t>3</t>
    </r>
    <r>
      <rPr>
        <sz val="9"/>
        <rFont val="宋体"/>
        <charset val="134"/>
      </rPr>
      <t>）存货跌价准备</t>
    </r>
  </si>
  <si>
    <r>
      <rPr>
        <sz val="9"/>
        <color theme="7" tint="0.599993896298105"/>
        <rFont val="宋体"/>
        <charset val="134"/>
      </rPr>
      <t>（</t>
    </r>
    <r>
      <rPr>
        <sz val="9"/>
        <color theme="7" tint="0.599993896298105"/>
        <rFont val="Arial Narrow"/>
        <charset val="134"/>
      </rPr>
      <t>3）存货跌价准备</t>
    </r>
  </si>
  <si>
    <t>（4）存货跌价准备情况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</si>
  <si>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）存货跌价准备情况</t>
    </r>
  </si>
  <si>
    <r>
      <rPr>
        <sz val="9"/>
        <rFont val="宋体"/>
        <charset val="134"/>
      </rPr>
      <t>（</t>
    </r>
    <r>
      <rPr>
        <sz val="9"/>
        <rFont val="Arial Narrow"/>
        <charset val="134"/>
      </rPr>
      <t>4</t>
    </r>
    <r>
      <rPr>
        <sz val="9"/>
        <rFont val="宋体"/>
        <charset val="134"/>
      </rPr>
      <t>）存货跌价准备情况</t>
    </r>
  </si>
  <si>
    <t>计提存货跌价准备的依据</t>
  </si>
  <si>
    <t>本期转回存货跌价准备的原因</t>
  </si>
  <si>
    <r>
      <rPr>
        <sz val="9"/>
        <rFont val="宋体"/>
        <charset val="134"/>
      </rPr>
      <t>本期转回金额占该项存货期末余额的比例（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</si>
  <si>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4）存货跌价准备情况</t>
    </r>
  </si>
  <si>
    <t>（十）其他流动资产-披露表</t>
  </si>
  <si>
    <r>
      <rPr>
        <sz val="9"/>
        <color theme="0" tint="-0.249977111117893"/>
        <rFont val="宋体"/>
        <charset val="134"/>
      </rPr>
      <t>其他流动资产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</si>
  <si>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）明细金额</t>
    </r>
  </si>
  <si>
    <r>
      <rPr>
        <b/>
        <sz val="9"/>
        <rFont val="宋体"/>
        <charset val="134"/>
      </rPr>
      <t>（十）其他流动资产</t>
    </r>
    <r>
      <rPr>
        <b/>
        <sz val="9"/>
        <rFont val="Arial Narrow"/>
        <charset val="134"/>
      </rPr>
      <t>-</t>
    </r>
    <r>
      <rPr>
        <b/>
        <sz val="9"/>
        <rFont val="宋体"/>
        <charset val="134"/>
      </rPr>
      <t>披露表</t>
    </r>
  </si>
  <si>
    <t>（单独合并）</t>
  </si>
  <si>
    <t>（1）明细金额</t>
  </si>
  <si>
    <r>
      <rPr>
        <sz val="9"/>
        <rFont val="宋体"/>
        <charset val="134"/>
      </rPr>
      <t>（</t>
    </r>
    <r>
      <rPr>
        <sz val="9"/>
        <rFont val="Arial Narrow"/>
        <charset val="134"/>
      </rPr>
      <t>1</t>
    </r>
    <r>
      <rPr>
        <sz val="9"/>
        <rFont val="宋体"/>
        <charset val="134"/>
      </rPr>
      <t>）明细金额</t>
    </r>
  </si>
  <si>
    <r>
      <rPr>
        <sz val="9"/>
        <color theme="7" tint="0.599993896298105"/>
        <rFont val="宋体"/>
        <charset val="134"/>
      </rPr>
      <t>（</t>
    </r>
    <r>
      <rPr>
        <sz val="9"/>
        <color theme="7" tint="0.599993896298105"/>
        <rFont val="Arial Narrow"/>
        <charset val="134"/>
      </rPr>
      <t>1）明细金额</t>
    </r>
  </si>
  <si>
    <t>待认证进项</t>
  </si>
  <si>
    <t>其他预交税金</t>
  </si>
  <si>
    <t>委托贷款</t>
  </si>
  <si>
    <t>一年以内保本理财产品</t>
  </si>
  <si>
    <t>待摊销短期美金借款远期结汇差额</t>
  </si>
  <si>
    <t>留抵增值税</t>
  </si>
  <si>
    <t>多缴增值税</t>
  </si>
  <si>
    <r>
      <rPr>
        <sz val="9"/>
        <color theme="0" tint="-0.249977111117893"/>
        <rFont val="宋体"/>
        <charset val="134"/>
      </rPr>
      <t>可供出售金融资产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</si>
  <si>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（十一）可供出售金融资产</t>
    </r>
    <r>
      <rPr>
        <sz val="9"/>
        <color theme="7" tint="0.599993896298105"/>
        <rFont val="Arial Narrow"/>
        <charset val="134"/>
      </rPr>
      <t>-</t>
    </r>
    <r>
      <rPr>
        <sz val="9"/>
        <color theme="7" tint="0.599993896298105"/>
        <rFont val="宋体"/>
        <charset val="134"/>
      </rPr>
      <t>披露表</t>
    </r>
  </si>
  <si>
    <r>
      <rPr>
        <b/>
        <sz val="9"/>
        <rFont val="宋体"/>
        <charset val="134"/>
      </rPr>
      <t>（十一）可供出售金融资产</t>
    </r>
    <r>
      <rPr>
        <b/>
        <sz val="9"/>
        <rFont val="Arial Narrow"/>
        <charset val="134"/>
      </rPr>
      <t>-</t>
    </r>
    <r>
      <rPr>
        <b/>
        <sz val="9"/>
        <rFont val="宋体"/>
        <charset val="134"/>
      </rPr>
      <t>披露表</t>
    </r>
  </si>
  <si>
    <t>注：本期将持有至到期投资重分类为可供出售金融资产的，本期重分类的金额       元，该金额占期末可供出售金融资产总额的比例为          %。</t>
  </si>
  <si>
    <r>
      <rPr>
        <sz val="9"/>
        <rFont val="宋体"/>
        <charset val="134"/>
      </rPr>
      <t>注：本期将持有至到期投资重分类为可供出售金融资产的，本期重分类的金额</t>
    </r>
    <r>
      <rPr>
        <sz val="9"/>
        <rFont val="Arial Narrow"/>
        <charset val="134"/>
      </rPr>
      <t xml:space="preserve">       </t>
    </r>
    <r>
      <rPr>
        <sz val="9"/>
        <rFont val="宋体"/>
        <charset val="134"/>
      </rPr>
      <t>元，该金额占期末可供出售金融资产总额的比例为</t>
    </r>
    <r>
      <rPr>
        <sz val="9"/>
        <rFont val="Arial Narrow"/>
        <charset val="134"/>
      </rPr>
      <t xml:space="preserve">          %</t>
    </r>
    <r>
      <rPr>
        <sz val="9"/>
        <rFont val="宋体"/>
        <charset val="134"/>
      </rPr>
      <t>。</t>
    </r>
  </si>
  <si>
    <t>（2）可供出售金融资产中长期债权投资</t>
  </si>
  <si>
    <r>
      <rPr>
        <sz val="9"/>
        <rFont val="宋体"/>
        <charset val="134"/>
      </rPr>
      <t>（</t>
    </r>
    <r>
      <rPr>
        <sz val="9"/>
        <rFont val="Arial Narrow"/>
        <charset val="134"/>
      </rPr>
      <t>2</t>
    </r>
    <r>
      <rPr>
        <sz val="9"/>
        <rFont val="宋体"/>
        <charset val="134"/>
      </rPr>
      <t>）可供出售金融资产中长期债权投资</t>
    </r>
  </si>
  <si>
    <t>债券项目</t>
  </si>
  <si>
    <r>
      <rPr>
        <sz val="9"/>
        <color theme="7" tint="0.599993896298105"/>
        <rFont val="宋体"/>
        <charset val="134"/>
      </rPr>
      <t>（</t>
    </r>
    <r>
      <rPr>
        <sz val="9"/>
        <color theme="7" tint="0.599993896298105"/>
        <rFont val="Arial Narrow"/>
        <charset val="134"/>
      </rPr>
      <t>2</t>
    </r>
    <r>
      <rPr>
        <sz val="9"/>
        <color theme="7" tint="0.599993896298105"/>
        <rFont val="宋体"/>
        <charset val="134"/>
      </rPr>
      <t>）可供出售金融资产中长期债权投资</t>
    </r>
  </si>
  <si>
    <t>投资种类　</t>
  </si>
  <si>
    <t>面值　</t>
  </si>
  <si>
    <t>年利率　</t>
  </si>
  <si>
    <t>初始投资成本　</t>
  </si>
  <si>
    <t>到期日　</t>
  </si>
  <si>
    <t>累计应收利息　</t>
  </si>
  <si>
    <t>累计已收利息　</t>
  </si>
  <si>
    <t>期末账面余额　</t>
  </si>
  <si>
    <r>
      <rPr>
        <sz val="9"/>
        <color theme="7" tint="0.599993896298105"/>
        <rFont val="宋体"/>
        <charset val="134"/>
      </rPr>
      <t>（</t>
    </r>
    <r>
      <rPr>
        <sz val="9"/>
        <color theme="7" tint="0.599993896298105"/>
        <rFont val="Arial Narrow"/>
        <charset val="134"/>
      </rPr>
      <t>2）可供出售金融资产中长期债权投资</t>
    </r>
  </si>
  <si>
    <t>(十二)持有至到期投资-披露表</t>
  </si>
  <si>
    <r>
      <rPr>
        <sz val="9"/>
        <color theme="0" tint="-0.249977111117893"/>
        <rFont val="宋体"/>
        <charset val="134"/>
      </rPr>
      <t>持有至到期投资</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</si>
  <si>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t>
    </r>
    <r>
      <rPr>
        <sz val="9"/>
        <color theme="7" tint="0.599993896298105"/>
        <rFont val="宋体"/>
        <charset val="134"/>
      </rPr>
      <t>十二</t>
    </r>
    <r>
      <rPr>
        <sz val="9"/>
        <color theme="7" tint="0.599993896298105"/>
        <rFont val="Arial Narrow"/>
        <charset val="134"/>
      </rPr>
      <t>)</t>
    </r>
    <r>
      <rPr>
        <sz val="9"/>
        <color theme="7" tint="0.599993896298105"/>
        <rFont val="宋体"/>
        <charset val="134"/>
      </rPr>
      <t>持有至到期投资</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</si>
  <si>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十二</t>
    </r>
    <r>
      <rPr>
        <b/>
        <sz val="9"/>
        <rFont val="Arial Narrow"/>
        <charset val="134"/>
      </rPr>
      <t>)</t>
    </r>
    <r>
      <rPr>
        <b/>
        <sz val="9"/>
        <rFont val="宋体"/>
        <charset val="134"/>
      </rPr>
      <t>持有至到期投资</t>
    </r>
    <r>
      <rPr>
        <b/>
        <sz val="9"/>
        <rFont val="Arial Narrow"/>
        <charset val="134"/>
      </rPr>
      <t>-</t>
    </r>
    <r>
      <rPr>
        <b/>
        <sz val="9"/>
        <rFont val="宋体"/>
        <charset val="134"/>
      </rPr>
      <t>披露表</t>
    </r>
  </si>
  <si>
    <t>(1)明细金额</t>
  </si>
  <si>
    <r>
      <rPr>
        <sz val="9"/>
        <rFont val="Arial Narrow"/>
        <charset val="134"/>
      </rPr>
      <t>(1)</t>
    </r>
    <r>
      <rPr>
        <sz val="9"/>
        <rFont val="宋体"/>
        <charset val="134"/>
      </rPr>
      <t>明细金额</t>
    </r>
  </si>
  <si>
    <t>（2）本期内出售但尚未到期的持有至到期投资情况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</si>
  <si>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）本期内出售但尚未到期的持有至到期投资情况</t>
    </r>
  </si>
  <si>
    <r>
      <rPr>
        <sz val="9"/>
        <rFont val="宋体"/>
        <charset val="134"/>
      </rPr>
      <t>（</t>
    </r>
    <r>
      <rPr>
        <sz val="9"/>
        <rFont val="Arial Narrow"/>
        <charset val="134"/>
      </rPr>
      <t>2</t>
    </r>
    <r>
      <rPr>
        <sz val="9"/>
        <rFont val="宋体"/>
        <charset val="134"/>
      </rPr>
      <t>）本期内出售但尚未到期的持有至到期投资情况</t>
    </r>
  </si>
  <si>
    <r>
      <rPr>
        <sz val="9"/>
        <rFont val="宋体"/>
        <charset val="134"/>
      </rPr>
      <t>占该项投资出售前金额的比例（</t>
    </r>
    <r>
      <rPr>
        <sz val="9"/>
        <rFont val="Arial Narrow"/>
        <charset val="134"/>
      </rPr>
      <t>%</t>
    </r>
    <r>
      <rPr>
        <sz val="9"/>
        <rFont val="宋体"/>
        <charset val="134"/>
      </rPr>
      <t>）</t>
    </r>
  </si>
  <si>
    <t>该项投资出售前金额</t>
  </si>
  <si>
    <r>
      <rPr>
        <sz val="9"/>
        <color theme="7" tint="0.599993896298105"/>
        <rFont val="宋体"/>
        <charset val="134"/>
      </rPr>
      <t>（</t>
    </r>
    <r>
      <rPr>
        <sz val="9"/>
        <color theme="7" tint="0.599993896298105"/>
        <rFont val="Arial Narrow"/>
        <charset val="134"/>
      </rPr>
      <t>2）本期内出售但尚未到期的持有至到期投资情况</t>
    </r>
  </si>
  <si>
    <t>注：本期内出售但尚未到期的持有至到期投资情况说明：</t>
  </si>
  <si>
    <r>
      <rPr>
        <sz val="9"/>
        <color theme="7" tint="0.599993896298105"/>
        <rFont val="宋体"/>
        <charset val="134"/>
      </rPr>
      <t>（十三）长期应收款</t>
    </r>
    <r>
      <rPr>
        <sz val="9"/>
        <color theme="7" tint="0.599993896298105"/>
        <rFont val="Arial Narrow"/>
        <charset val="134"/>
      </rPr>
      <t>-</t>
    </r>
    <r>
      <rPr>
        <sz val="9"/>
        <color theme="7" tint="0.599993896298105"/>
        <rFont val="宋体"/>
        <charset val="134"/>
      </rPr>
      <t>披露表</t>
    </r>
  </si>
  <si>
    <r>
      <rPr>
        <b/>
        <sz val="9"/>
        <rFont val="宋体"/>
        <charset val="134"/>
      </rPr>
      <t>（十三）长期应收款</t>
    </r>
    <r>
      <rPr>
        <b/>
        <sz val="9"/>
        <rFont val="Arial Narrow"/>
        <charset val="134"/>
      </rPr>
      <t>-</t>
    </r>
    <r>
      <rPr>
        <b/>
        <sz val="9"/>
        <rFont val="宋体"/>
        <charset val="134"/>
      </rPr>
      <t>披露表</t>
    </r>
  </si>
  <si>
    <t>（十四）对合营企业及联营企业投资-披露表</t>
  </si>
  <si>
    <r>
      <rPr>
        <b/>
        <sz val="9"/>
        <rFont val="宋体"/>
        <charset val="134"/>
      </rPr>
      <t>（十四）对合营企业及联营企业投资</t>
    </r>
    <r>
      <rPr>
        <b/>
        <sz val="9"/>
        <rFont val="Arial Narrow"/>
        <charset val="134"/>
      </rPr>
      <t>-</t>
    </r>
    <r>
      <rPr>
        <b/>
        <sz val="9"/>
        <rFont val="宋体"/>
        <charset val="134"/>
      </rPr>
      <t>披露表</t>
    </r>
  </si>
  <si>
    <r>
      <rPr>
        <sz val="9"/>
        <rFont val="宋体"/>
        <charset val="134"/>
      </rPr>
      <t>本企业持股比例（</t>
    </r>
    <r>
      <rPr>
        <sz val="9"/>
        <rFont val="Arial Narrow"/>
        <charset val="134"/>
      </rPr>
      <t>%</t>
    </r>
    <r>
      <rPr>
        <sz val="9"/>
        <rFont val="宋体"/>
        <charset val="134"/>
      </rPr>
      <t>）</t>
    </r>
  </si>
  <si>
    <r>
      <rPr>
        <sz val="9"/>
        <rFont val="宋体"/>
        <charset val="134"/>
      </rPr>
      <t>本企业在被投资单位表决权比例（</t>
    </r>
    <r>
      <rPr>
        <sz val="9"/>
        <rFont val="Arial Narrow"/>
        <charset val="134"/>
      </rPr>
      <t>%</t>
    </r>
    <r>
      <rPr>
        <sz val="9"/>
        <rFont val="宋体"/>
        <charset val="134"/>
      </rPr>
      <t>）</t>
    </r>
  </si>
  <si>
    <t>期末资产总额</t>
  </si>
  <si>
    <t>期末负债总额</t>
  </si>
  <si>
    <t>期末净资产总额</t>
  </si>
  <si>
    <t>本期营业收入总额</t>
  </si>
  <si>
    <t>注：合营企业、联营企业的重要会计政策、会计估计与公司的会计政策、会计估计存在重大差异的说明：</t>
  </si>
  <si>
    <t>（十五）长期股权投资-披露表</t>
  </si>
  <si>
    <r>
      <rPr>
        <sz val="9"/>
        <color theme="0" tint="-0.249977111117893"/>
        <rFont val="宋体"/>
        <charset val="134"/>
      </rPr>
      <t>长期股权投资</t>
    </r>
    <r>
      <rPr>
        <sz val="9"/>
        <color theme="0" tint="-0.249977111117893"/>
        <rFont val="Arial Narrow"/>
        <charset val="134"/>
      </rPr>
      <t>-</t>
    </r>
    <r>
      <rPr>
        <sz val="9"/>
        <color theme="0" tint="-0.249977111117893"/>
        <rFont val="宋体"/>
        <charset val="134"/>
      </rPr>
      <t>披露表</t>
    </r>
  </si>
  <si>
    <r>
      <rPr>
        <b/>
        <sz val="9"/>
        <rFont val="宋体"/>
        <charset val="134"/>
      </rPr>
      <t>（十五）长期股权投资</t>
    </r>
    <r>
      <rPr>
        <b/>
        <sz val="9"/>
        <rFont val="Arial Narrow"/>
        <charset val="134"/>
      </rPr>
      <t>-</t>
    </r>
    <r>
      <rPr>
        <b/>
        <sz val="9"/>
        <rFont val="宋体"/>
        <charset val="134"/>
      </rPr>
      <t>披露表</t>
    </r>
  </si>
  <si>
    <t xml:space="preserve">（1）按核算方法列示 </t>
  </si>
  <si>
    <t>核算方法</t>
  </si>
  <si>
    <t>投资成本</t>
  </si>
  <si>
    <t>期初账面金额</t>
  </si>
  <si>
    <t>期末账面金额</t>
  </si>
  <si>
    <t>在被投资单位的持股比例（%）</t>
  </si>
  <si>
    <t>在被投资单位表决权比例（%）</t>
  </si>
  <si>
    <t>在被投资单位的持股比例与表决权比例不一致的说明</t>
  </si>
  <si>
    <t>本期计提资产减值准备</t>
  </si>
  <si>
    <t>现金红利</t>
  </si>
  <si>
    <t>深圳市新能量建设工程有限公司</t>
  </si>
  <si>
    <t>深圳蓝博万贸易有限公司</t>
  </si>
  <si>
    <t>（2）向投资企业转移资金的能力受到限制的有关情况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</si>
  <si>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）向投资企业转移资金的能力受到限制的有关情况</t>
    </r>
  </si>
  <si>
    <r>
      <rPr>
        <sz val="9"/>
        <rFont val="宋体"/>
        <charset val="134"/>
      </rPr>
      <t>（</t>
    </r>
    <r>
      <rPr>
        <sz val="9"/>
        <rFont val="Arial Narrow"/>
        <charset val="134"/>
      </rPr>
      <t>2</t>
    </r>
    <r>
      <rPr>
        <sz val="9"/>
        <rFont val="宋体"/>
        <charset val="134"/>
      </rPr>
      <t>）向投资企业转移资金的能力受到限制的有关情况</t>
    </r>
  </si>
  <si>
    <t>向投资企业转移资金能力受到限制的长期股权投资项目</t>
  </si>
  <si>
    <t>受限制的原因</t>
  </si>
  <si>
    <t>当期累计未确认的投资损失金额</t>
  </si>
  <si>
    <r>
      <rPr>
        <sz val="9"/>
        <color theme="7" tint="0.599993896298105"/>
        <rFont val="宋体"/>
        <charset val="134"/>
      </rPr>
      <t>（</t>
    </r>
    <r>
      <rPr>
        <sz val="9"/>
        <color theme="7" tint="0.599993896298105"/>
        <rFont val="Arial Narrow"/>
        <charset val="134"/>
      </rPr>
      <t>2）向投资企业转移资金的能力受到限制的有关情况</t>
    </r>
  </si>
  <si>
    <r>
      <rPr>
        <sz val="9"/>
        <color theme="0" tint="-0.249977111117893"/>
        <rFont val="宋体"/>
        <charset val="134"/>
      </rPr>
      <t>投资性房地产</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</si>
  <si>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十六</t>
    </r>
    <r>
      <rPr>
        <b/>
        <sz val="9"/>
        <rFont val="Arial Narrow"/>
        <charset val="134"/>
      </rPr>
      <t>)</t>
    </r>
    <r>
      <rPr>
        <b/>
        <sz val="9"/>
        <rFont val="宋体"/>
        <charset val="134"/>
      </rPr>
      <t>投资性房地产</t>
    </r>
    <r>
      <rPr>
        <b/>
        <sz val="9"/>
        <rFont val="Arial Narrow"/>
        <charset val="134"/>
      </rPr>
      <t>-</t>
    </r>
    <r>
      <rPr>
        <b/>
        <sz val="9"/>
        <rFont val="宋体"/>
        <charset val="134"/>
      </rPr>
      <t>披露表</t>
    </r>
  </si>
  <si>
    <t>《投资性房地产》请点击连接填写</t>
  </si>
  <si>
    <r>
      <rPr>
        <sz val="9"/>
        <rFont val="宋体"/>
        <charset val="134"/>
      </rPr>
      <t>（</t>
    </r>
    <r>
      <rPr>
        <sz val="9"/>
        <rFont val="Arial Narrow"/>
        <charset val="134"/>
      </rPr>
      <t>1</t>
    </r>
    <r>
      <rPr>
        <sz val="9"/>
        <rFont val="宋体"/>
        <charset val="134"/>
      </rPr>
      <t>）成本法计量的投资性房地产</t>
    </r>
    <r>
      <rPr>
        <sz val="9"/>
        <color rgb="FFFF0000"/>
        <rFont val="Arial Narrow"/>
        <charset val="134"/>
      </rPr>
      <t>(</t>
    </r>
    <r>
      <rPr>
        <sz val="9"/>
        <color rgb="FFFF0000"/>
        <rFont val="宋体"/>
        <charset val="134"/>
      </rPr>
      <t>此表已连公式，不用填</t>
    </r>
    <r>
      <rPr>
        <sz val="9"/>
        <color rgb="FFFF0000"/>
        <rFont val="Arial Narrow"/>
        <charset val="134"/>
      </rPr>
      <t>)</t>
    </r>
  </si>
  <si>
    <t>合并用：</t>
  </si>
  <si>
    <t>其中：本期收购子公司增加</t>
  </si>
  <si>
    <t>其中：本期出售子公司减少</t>
  </si>
  <si>
    <r>
      <rPr>
        <sz val="9"/>
        <rFont val="Arial Narrow"/>
        <charset val="134"/>
      </rPr>
      <t>1</t>
    </r>
    <r>
      <rPr>
        <sz val="9"/>
        <rFont val="宋体"/>
        <charset val="134"/>
      </rPr>
      <t>．房屋、建筑物</t>
    </r>
  </si>
  <si>
    <r>
      <rPr>
        <sz val="9"/>
        <rFont val="Arial Narrow"/>
        <charset val="134"/>
      </rPr>
      <t>2</t>
    </r>
    <r>
      <rPr>
        <sz val="9"/>
        <rFont val="宋体"/>
        <charset val="134"/>
      </rPr>
      <t>．土地使用权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</si>
  <si>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）公允价值计量的投资性房地产</t>
    </r>
  </si>
  <si>
    <r>
      <rPr>
        <sz val="9"/>
        <rFont val="宋体"/>
        <charset val="134"/>
      </rPr>
      <t>（</t>
    </r>
    <r>
      <rPr>
        <sz val="9"/>
        <rFont val="Arial Narrow"/>
        <charset val="134"/>
      </rPr>
      <t>2</t>
    </r>
    <r>
      <rPr>
        <sz val="9"/>
        <rFont val="宋体"/>
        <charset val="134"/>
      </rPr>
      <t>）公允价值计量的投资性房地产</t>
    </r>
  </si>
  <si>
    <t>期初公</t>
  </si>
  <si>
    <t>期末公</t>
  </si>
  <si>
    <t>允价值</t>
  </si>
  <si>
    <t>购置</t>
  </si>
  <si>
    <t>自用房地产或存货转入</t>
  </si>
  <si>
    <t>公允价值变动损益</t>
  </si>
  <si>
    <t>处置</t>
  </si>
  <si>
    <t>转为自用房地产</t>
  </si>
  <si>
    <r>
      <rPr>
        <sz val="9"/>
        <color theme="7" tint="0.599993896298105"/>
        <rFont val="宋体"/>
        <charset val="134"/>
      </rPr>
      <t>（</t>
    </r>
    <r>
      <rPr>
        <sz val="9"/>
        <color theme="7" tint="0.599993896298105"/>
        <rFont val="Arial Narrow"/>
        <charset val="134"/>
      </rPr>
      <t>2）公允价值计量的投资性房地产</t>
    </r>
  </si>
  <si>
    <r>
      <rPr>
        <sz val="9"/>
        <rFont val="Arial Narrow"/>
        <charset val="134"/>
      </rPr>
      <t>1.</t>
    </r>
    <r>
      <rPr>
        <sz val="9"/>
        <rFont val="宋体"/>
        <charset val="134"/>
      </rPr>
      <t>成本合计</t>
    </r>
  </si>
  <si>
    <r>
      <rPr>
        <sz val="9"/>
        <rFont val="宋体"/>
        <charset val="134"/>
      </rPr>
      <t>（</t>
    </r>
    <r>
      <rPr>
        <sz val="9"/>
        <rFont val="Arial Narrow"/>
        <charset val="134"/>
      </rPr>
      <t>1</t>
    </r>
    <r>
      <rPr>
        <sz val="9"/>
        <rFont val="宋体"/>
        <charset val="134"/>
      </rPr>
      <t>）房屋、建筑物</t>
    </r>
  </si>
  <si>
    <r>
      <rPr>
        <sz val="9"/>
        <rFont val="宋体"/>
        <charset val="134"/>
      </rPr>
      <t>（</t>
    </r>
    <r>
      <rPr>
        <sz val="9"/>
        <rFont val="Arial Narrow"/>
        <charset val="134"/>
      </rPr>
      <t>2</t>
    </r>
    <r>
      <rPr>
        <sz val="9"/>
        <rFont val="宋体"/>
        <charset val="134"/>
      </rPr>
      <t>）土地使用权</t>
    </r>
  </si>
  <si>
    <r>
      <rPr>
        <sz val="9"/>
        <rFont val="宋体"/>
        <charset val="134"/>
      </rPr>
      <t>（</t>
    </r>
    <r>
      <rPr>
        <sz val="9"/>
        <rFont val="Arial Narrow"/>
        <charset val="134"/>
      </rPr>
      <t>3</t>
    </r>
    <r>
      <rPr>
        <sz val="9"/>
        <rFont val="宋体"/>
        <charset val="134"/>
      </rPr>
      <t>）其他</t>
    </r>
  </si>
  <si>
    <r>
      <rPr>
        <sz val="9"/>
        <rFont val="Arial Narrow"/>
        <charset val="134"/>
      </rPr>
      <t>2.</t>
    </r>
    <r>
      <rPr>
        <sz val="9"/>
        <rFont val="宋体"/>
        <charset val="134"/>
      </rPr>
      <t>公允价值变动合计</t>
    </r>
  </si>
  <si>
    <r>
      <rPr>
        <sz val="9"/>
        <rFont val="Arial Narrow"/>
        <charset val="134"/>
      </rPr>
      <t>3.</t>
    </r>
    <r>
      <rPr>
        <sz val="9"/>
        <rFont val="宋体"/>
        <charset val="134"/>
      </rPr>
      <t>投资性房地产账面价值合计</t>
    </r>
  </si>
  <si>
    <t>（3）本期如有房地产计量模式改变的，应当说明改变的原因及其影响。</t>
  </si>
  <si>
    <r>
      <rPr>
        <sz val="9"/>
        <rFont val="宋体"/>
        <charset val="134"/>
      </rPr>
      <t>（</t>
    </r>
    <r>
      <rPr>
        <sz val="9"/>
        <rFont val="Arial Narrow"/>
        <charset val="134"/>
      </rPr>
      <t>3</t>
    </r>
    <r>
      <rPr>
        <sz val="9"/>
        <rFont val="宋体"/>
        <charset val="134"/>
      </rPr>
      <t>）本期如有房地产计量模式改变的，应当说明改变的原因及其影响。</t>
    </r>
  </si>
  <si>
    <t>（4）未办妥产权证书的投资性房地产有关情况，说明未办妥产权证书的原因和预计办结时间。</t>
  </si>
  <si>
    <r>
      <rPr>
        <sz val="9"/>
        <rFont val="宋体"/>
        <charset val="134"/>
      </rPr>
      <t>（</t>
    </r>
    <r>
      <rPr>
        <sz val="9"/>
        <rFont val="Arial Narrow"/>
        <charset val="134"/>
      </rPr>
      <t>4</t>
    </r>
    <r>
      <rPr>
        <sz val="9"/>
        <rFont val="宋体"/>
        <charset val="134"/>
      </rPr>
      <t>）未办妥产权证书的投资性房地产有关情况，说明未办妥产权证书的原因和预计办结时间。</t>
    </r>
  </si>
  <si>
    <t>固定资产-披露表</t>
  </si>
  <si>
    <r>
      <rPr>
        <sz val="9"/>
        <color theme="7" tint="0.599993896298105"/>
        <rFont val="Arial Narrow"/>
        <charset val="134"/>
      </rPr>
      <t>(</t>
    </r>
    <r>
      <rPr>
        <sz val="9"/>
        <color theme="7" tint="0.599993896298105"/>
        <rFont val="宋体"/>
        <charset val="134"/>
      </rPr>
      <t>十七</t>
    </r>
    <r>
      <rPr>
        <sz val="9"/>
        <color theme="7" tint="0.599993896298105"/>
        <rFont val="Arial Narrow"/>
        <charset val="134"/>
      </rPr>
      <t>)</t>
    </r>
    <r>
      <rPr>
        <sz val="9"/>
        <color theme="7" tint="0.599993896298105"/>
        <rFont val="宋体"/>
        <charset val="134"/>
      </rPr>
      <t>固定资产</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</si>
  <si>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r>
      <rPr>
        <b/>
        <sz val="9"/>
        <rFont val="Arial Narrow"/>
        <charset val="134"/>
      </rPr>
      <t>(</t>
    </r>
    <r>
      <rPr>
        <b/>
        <sz val="9"/>
        <rFont val="宋体"/>
        <charset val="134"/>
      </rPr>
      <t>此表不用填，已连公式）</t>
    </r>
  </si>
  <si>
    <t>《固定资产》请点击连接填写</t>
  </si>
  <si>
    <r>
      <rPr>
        <sz val="9"/>
        <rFont val="宋体"/>
        <charset val="134"/>
      </rPr>
      <t>子公司</t>
    </r>
    <r>
      <rPr>
        <sz val="9"/>
        <rFont val="Arial Narrow"/>
        <charset val="134"/>
      </rPr>
      <t>1--</t>
    </r>
  </si>
  <si>
    <r>
      <rPr>
        <sz val="9"/>
        <rFont val="宋体"/>
        <charset val="134"/>
      </rPr>
      <t>子公司</t>
    </r>
    <r>
      <rPr>
        <sz val="9"/>
        <rFont val="Arial Narrow"/>
        <charset val="134"/>
      </rPr>
      <t>2--</t>
    </r>
  </si>
  <si>
    <r>
      <rPr>
        <sz val="9"/>
        <rFont val="宋体"/>
        <charset val="134"/>
      </rPr>
      <t>子公司</t>
    </r>
    <r>
      <rPr>
        <sz val="9"/>
        <rFont val="Arial Narrow"/>
        <charset val="134"/>
      </rPr>
      <t>3--</t>
    </r>
  </si>
  <si>
    <r>
      <rPr>
        <sz val="9"/>
        <rFont val="宋体"/>
        <charset val="134"/>
      </rPr>
      <t>子公司</t>
    </r>
    <r>
      <rPr>
        <sz val="9"/>
        <rFont val="Arial Narrow"/>
        <charset val="134"/>
      </rPr>
      <t>4--</t>
    </r>
  </si>
  <si>
    <r>
      <rPr>
        <sz val="9"/>
        <rFont val="Arial Narrow"/>
        <charset val="134"/>
      </rPr>
      <t xml:space="preserve">    </t>
    </r>
    <r>
      <rPr>
        <sz val="9"/>
        <rFont val="宋体"/>
        <charset val="134"/>
      </rPr>
      <t>其中：节能服务资产</t>
    </r>
  </si>
  <si>
    <t xml:space="preserve">        机器设备</t>
  </si>
  <si>
    <t xml:space="preserve">        运输工具</t>
  </si>
  <si>
    <t xml:space="preserve">        电子设备及其他</t>
  </si>
  <si>
    <t>其他设备</t>
  </si>
  <si>
    <t>本期新增</t>
  </si>
  <si>
    <t>注：本期折旧额            元。本期由在建工程转入固定资产原价为         元。</t>
  </si>
  <si>
    <r>
      <rPr>
        <b/>
        <sz val="9"/>
        <color rgb="FFFF0000"/>
        <rFont val="宋体"/>
        <charset val="134"/>
      </rPr>
      <t>注：本期折旧额</t>
    </r>
    <r>
      <rPr>
        <b/>
        <sz val="9"/>
        <color rgb="FFFF0000"/>
        <rFont val="Arial Narrow"/>
        <charset val="134"/>
      </rPr>
      <t xml:space="preserve">            </t>
    </r>
    <r>
      <rPr>
        <b/>
        <sz val="9"/>
        <color rgb="FFFF0000"/>
        <rFont val="宋体"/>
        <charset val="134"/>
      </rPr>
      <t>元。本期由在建工程转入固定资产原价为</t>
    </r>
    <r>
      <rPr>
        <b/>
        <sz val="9"/>
        <color rgb="FFFF0000"/>
        <rFont val="Arial Narrow"/>
        <charset val="134"/>
      </rPr>
      <t xml:space="preserve">         </t>
    </r>
    <r>
      <rPr>
        <b/>
        <sz val="9"/>
        <color rgb="FFFF0000"/>
        <rFont val="宋体"/>
        <charset val="134"/>
      </rPr>
      <t>元。</t>
    </r>
  </si>
  <si>
    <r>
      <rPr>
        <sz val="9"/>
        <color rgb="FFFF0000"/>
        <rFont val="宋体"/>
        <charset val="134"/>
      </rPr>
      <t>文字描述</t>
    </r>
  </si>
  <si>
    <r>
      <rPr>
        <sz val="9"/>
        <color theme="7" tint="0.599993896298105"/>
        <rFont val="宋体"/>
        <charset val="134"/>
      </rPr>
      <t>（</t>
    </r>
    <r>
      <rPr>
        <sz val="9"/>
        <color theme="7" tint="0.599993896298105"/>
        <rFont val="Arial Narrow"/>
        <charset val="134"/>
      </rPr>
      <t>2</t>
    </r>
    <r>
      <rPr>
        <sz val="9"/>
        <color theme="7" tint="0.599993896298105"/>
        <rFont val="宋体"/>
        <charset val="134"/>
      </rPr>
      <t>）闲置固定资产情况</t>
    </r>
  </si>
  <si>
    <r>
      <rPr>
        <sz val="9"/>
        <rFont val="宋体"/>
        <charset val="134"/>
      </rPr>
      <t>（</t>
    </r>
    <r>
      <rPr>
        <sz val="9"/>
        <rFont val="Arial Narrow"/>
        <charset val="134"/>
      </rPr>
      <t>2</t>
    </r>
    <r>
      <rPr>
        <sz val="9"/>
        <rFont val="宋体"/>
        <charset val="134"/>
      </rPr>
      <t>）闲置固定资产情况</t>
    </r>
  </si>
  <si>
    <t>固定资产类别</t>
  </si>
  <si>
    <t>固定资产净值</t>
  </si>
  <si>
    <r>
      <rPr>
        <sz val="9"/>
        <color theme="7" tint="0.599993896298105"/>
        <rFont val="宋体"/>
        <charset val="134"/>
      </rPr>
      <t>（</t>
    </r>
    <r>
      <rPr>
        <sz val="9"/>
        <color theme="7" tint="0.599993896298105"/>
        <rFont val="Arial Narrow"/>
        <charset val="134"/>
      </rPr>
      <t>2）闲置固定资产情况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</si>
  <si>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）融资租赁租入的固定资产情况</t>
    </r>
  </si>
  <si>
    <r>
      <rPr>
        <sz val="9"/>
        <rFont val="宋体"/>
        <charset val="134"/>
      </rPr>
      <t>（</t>
    </r>
    <r>
      <rPr>
        <sz val="9"/>
        <rFont val="Arial Narrow"/>
        <charset val="134"/>
      </rPr>
      <t>3</t>
    </r>
    <r>
      <rPr>
        <sz val="9"/>
        <rFont val="宋体"/>
        <charset val="134"/>
      </rPr>
      <t>）融资租赁租入的固定资产情况</t>
    </r>
  </si>
  <si>
    <r>
      <rPr>
        <sz val="9"/>
        <color theme="7" tint="0.599993896298105"/>
        <rFont val="宋体"/>
        <charset val="134"/>
      </rPr>
      <t>（</t>
    </r>
    <r>
      <rPr>
        <sz val="9"/>
        <color theme="7" tint="0.599993896298105"/>
        <rFont val="Arial Narrow"/>
        <charset val="134"/>
      </rPr>
      <t>3）融资租赁租入的固定资产情况</t>
    </r>
  </si>
  <si>
    <r>
      <rPr>
        <sz val="9"/>
        <color theme="7" tint="0.599993896298105"/>
        <rFont val="宋体"/>
        <charset val="134"/>
      </rPr>
      <t>（</t>
    </r>
    <r>
      <rPr>
        <sz val="9"/>
        <color theme="7" tint="0.599993896298105"/>
        <rFont val="Arial Narrow"/>
        <charset val="134"/>
      </rPr>
      <t>4</t>
    </r>
    <r>
      <rPr>
        <sz val="9"/>
        <color theme="7" tint="0.599993896298105"/>
        <rFont val="宋体"/>
        <charset val="134"/>
      </rPr>
      <t>）经营租赁租出的固定资产情况</t>
    </r>
  </si>
  <si>
    <r>
      <rPr>
        <sz val="9"/>
        <rFont val="宋体"/>
        <charset val="134"/>
      </rPr>
      <t>（</t>
    </r>
    <r>
      <rPr>
        <sz val="9"/>
        <rFont val="Arial Narrow"/>
        <charset val="134"/>
      </rPr>
      <t>4</t>
    </r>
    <r>
      <rPr>
        <sz val="9"/>
        <rFont val="宋体"/>
        <charset val="134"/>
      </rPr>
      <t>）经营租赁租出的固定资产情况</t>
    </r>
  </si>
  <si>
    <r>
      <rPr>
        <sz val="9"/>
        <color theme="7" tint="0.599993896298105"/>
        <rFont val="宋体"/>
        <charset val="134"/>
      </rPr>
      <t>（</t>
    </r>
    <r>
      <rPr>
        <sz val="9"/>
        <color theme="7" tint="0.599993896298105"/>
        <rFont val="Arial Narrow"/>
        <charset val="134"/>
      </rPr>
      <t>4）经营租赁租出的固定资产情况</t>
    </r>
  </si>
  <si>
    <r>
      <rPr>
        <sz val="9"/>
        <color theme="7" tint="0.599993896298105"/>
        <rFont val="宋体"/>
        <charset val="134"/>
      </rPr>
      <t>（</t>
    </r>
    <r>
      <rPr>
        <sz val="9"/>
        <color theme="7" tint="0.599993896298105"/>
        <rFont val="Arial Narrow"/>
        <charset val="134"/>
      </rPr>
      <t>5</t>
    </r>
    <r>
      <rPr>
        <sz val="9"/>
        <color theme="7" tint="0.599993896298105"/>
        <rFont val="宋体"/>
        <charset val="134"/>
      </rPr>
      <t>）期末持有待售的固定资产情况</t>
    </r>
  </si>
  <si>
    <r>
      <rPr>
        <sz val="9"/>
        <rFont val="宋体"/>
        <charset val="134"/>
      </rPr>
      <t>（</t>
    </r>
    <r>
      <rPr>
        <sz val="9"/>
        <rFont val="Arial Narrow"/>
        <charset val="134"/>
      </rPr>
      <t>5</t>
    </r>
    <r>
      <rPr>
        <sz val="9"/>
        <rFont val="宋体"/>
        <charset val="134"/>
      </rPr>
      <t>）期末持有待售的固定资产情况</t>
    </r>
  </si>
  <si>
    <t>固定资产项目</t>
  </si>
  <si>
    <t>预计处置时间</t>
  </si>
  <si>
    <r>
      <rPr>
        <sz val="9"/>
        <color theme="7" tint="0.599993896298105"/>
        <rFont val="宋体"/>
        <charset val="134"/>
      </rPr>
      <t>（</t>
    </r>
    <r>
      <rPr>
        <sz val="9"/>
        <color theme="7" tint="0.599993896298105"/>
        <rFont val="Arial Narrow"/>
        <charset val="134"/>
      </rPr>
      <t>5）期末持有待售的固定资产情况</t>
    </r>
  </si>
  <si>
    <t>（6）未办妥产权证书的固定资产情况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</si>
  <si>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）未办妥产权证书的固定资产情况</t>
    </r>
  </si>
  <si>
    <r>
      <rPr>
        <sz val="9"/>
        <rFont val="宋体"/>
        <charset val="134"/>
      </rPr>
      <t>（</t>
    </r>
    <r>
      <rPr>
        <sz val="9"/>
        <rFont val="Arial Narrow"/>
        <charset val="134"/>
      </rPr>
      <t>6</t>
    </r>
    <r>
      <rPr>
        <sz val="9"/>
        <rFont val="宋体"/>
        <charset val="134"/>
      </rPr>
      <t>）未办妥产权证书的固定资产情况（暂不填）</t>
    </r>
  </si>
  <si>
    <t>未办妥产权证书原因</t>
  </si>
  <si>
    <t>预计办结产权证书时间</t>
  </si>
  <si>
    <t>原值</t>
  </si>
  <si>
    <t>净值</t>
  </si>
  <si>
    <r>
      <rPr>
        <sz val="9"/>
        <color theme="7" tint="0.599993896298105"/>
        <rFont val="宋体"/>
        <charset val="134"/>
      </rPr>
      <t>（</t>
    </r>
    <r>
      <rPr>
        <sz val="9"/>
        <color theme="7" tint="0.599993896298105"/>
        <rFont val="Arial Narrow"/>
        <charset val="134"/>
      </rPr>
      <t>6）未办妥产权证书的固定资产情况</t>
    </r>
  </si>
  <si>
    <t>（十八）在建工程-披露表</t>
  </si>
  <si>
    <t>在建工程-披露表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</si>
  <si>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）在建工程余额</t>
    </r>
  </si>
  <si>
    <r>
      <rPr>
        <b/>
        <sz val="9"/>
        <rFont val="宋体"/>
        <charset val="134"/>
      </rPr>
      <t>（十八）在建工程</t>
    </r>
    <r>
      <rPr>
        <b/>
        <sz val="9"/>
        <rFont val="Arial Narrow"/>
        <charset val="134"/>
      </rPr>
      <t>-</t>
    </r>
    <r>
      <rPr>
        <b/>
        <sz val="9"/>
        <rFont val="宋体"/>
        <charset val="134"/>
      </rPr>
      <t>披露表</t>
    </r>
  </si>
  <si>
    <t>（1）在建工程余额</t>
  </si>
  <si>
    <r>
      <rPr>
        <sz val="9"/>
        <rFont val="宋体"/>
        <charset val="134"/>
      </rPr>
      <t>（</t>
    </r>
    <r>
      <rPr>
        <sz val="9"/>
        <rFont val="Arial Narrow"/>
        <charset val="134"/>
      </rPr>
      <t>1</t>
    </r>
    <r>
      <rPr>
        <sz val="9"/>
        <rFont val="宋体"/>
        <charset val="134"/>
      </rPr>
      <t>）在建工程余额</t>
    </r>
  </si>
  <si>
    <r>
      <rPr>
        <sz val="9"/>
        <color theme="7" tint="0.599993896298105"/>
        <rFont val="宋体"/>
        <charset val="134"/>
      </rPr>
      <t>（</t>
    </r>
    <r>
      <rPr>
        <sz val="9"/>
        <color theme="7" tint="0.599993896298105"/>
        <rFont val="Arial Narrow"/>
        <charset val="134"/>
      </rPr>
      <t>1）在建工程余额</t>
    </r>
  </si>
  <si>
    <t>期初数</t>
  </si>
  <si>
    <t>（2）重大在建工程项目变化情况（将所有项目填列）</t>
  </si>
  <si>
    <r>
      <rPr>
        <sz val="9"/>
        <color theme="7" tint="0.599993896298105"/>
        <rFont val="宋体"/>
        <charset val="134"/>
      </rPr>
      <t>（</t>
    </r>
    <r>
      <rPr>
        <sz val="9"/>
        <color theme="7" tint="0.599993896298105"/>
        <rFont val="Arial Narrow"/>
        <charset val="134"/>
      </rPr>
      <t>2</t>
    </r>
    <r>
      <rPr>
        <sz val="9"/>
        <color theme="7" tint="0.599993896298105"/>
        <rFont val="宋体"/>
        <charset val="134"/>
      </rPr>
      <t>）重大在建工程项目变化情况</t>
    </r>
  </si>
  <si>
    <r>
      <rPr>
        <sz val="9"/>
        <rFont val="宋体"/>
        <charset val="134"/>
      </rPr>
      <t>（</t>
    </r>
    <r>
      <rPr>
        <sz val="9"/>
        <rFont val="Arial Narrow"/>
        <charset val="134"/>
      </rPr>
      <t>2</t>
    </r>
    <r>
      <rPr>
        <sz val="9"/>
        <rFont val="宋体"/>
        <charset val="134"/>
      </rPr>
      <t>）重大在建工程项目变化情况（</t>
    </r>
    <r>
      <rPr>
        <b/>
        <sz val="9"/>
        <color rgb="FFFF0000"/>
        <rFont val="宋体"/>
        <charset val="134"/>
      </rPr>
      <t>将所有项目填列</t>
    </r>
    <r>
      <rPr>
        <sz val="9"/>
        <rFont val="宋体"/>
        <charset val="134"/>
      </rPr>
      <t>）</t>
    </r>
  </si>
  <si>
    <t>本期转入固定资产额</t>
  </si>
  <si>
    <r>
      <rPr>
        <b/>
        <sz val="9"/>
        <rFont val="宋体"/>
        <charset val="134"/>
      </rPr>
      <t>工程投入占预算的比例（</t>
    </r>
    <r>
      <rPr>
        <b/>
        <sz val="9"/>
        <rFont val="Arial Narrow"/>
        <charset val="134"/>
      </rPr>
      <t>%</t>
    </r>
    <r>
      <rPr>
        <b/>
        <sz val="9"/>
        <rFont val="宋体"/>
        <charset val="134"/>
      </rPr>
      <t>）</t>
    </r>
  </si>
  <si>
    <t>工程进度</t>
  </si>
  <si>
    <t>利息资本化金额</t>
  </si>
  <si>
    <t>其中：本期利息资本化金额</t>
  </si>
  <si>
    <r>
      <rPr>
        <b/>
        <sz val="9"/>
        <rFont val="宋体"/>
        <charset val="134"/>
      </rPr>
      <t>本期利息资本化率（</t>
    </r>
    <r>
      <rPr>
        <b/>
        <sz val="9"/>
        <rFont val="Arial Narrow"/>
        <charset val="134"/>
      </rPr>
      <t>%</t>
    </r>
    <r>
      <rPr>
        <b/>
        <sz val="9"/>
        <rFont val="宋体"/>
        <charset val="134"/>
      </rPr>
      <t>）</t>
    </r>
  </si>
  <si>
    <r>
      <rPr>
        <sz val="9"/>
        <color theme="7" tint="0.599993896298105"/>
        <rFont val="宋体"/>
        <charset val="134"/>
      </rPr>
      <t>（</t>
    </r>
    <r>
      <rPr>
        <sz val="9"/>
        <color theme="7" tint="0.599993896298105"/>
        <rFont val="Arial Narrow"/>
        <charset val="134"/>
      </rPr>
      <t>2）重大在建工程项目变化情况</t>
    </r>
  </si>
  <si>
    <t>广州中心城区路灯EPC项目</t>
  </si>
  <si>
    <t>朗溪县城区新建及改造LED路灯项目</t>
  </si>
  <si>
    <t>佛一环二标段二期路灯EPC项目</t>
  </si>
  <si>
    <t>广州市北二环高速公路全线路灯节能改造项目</t>
  </si>
  <si>
    <t>阳江市区LED路灯节能改造</t>
  </si>
  <si>
    <t>机场高速</t>
  </si>
  <si>
    <t>阳江市海陵岛LED路灯节能改造</t>
  </si>
  <si>
    <t>阳江市阳东县LED路灯节能改造</t>
  </si>
  <si>
    <t>阳江市阳春市LED路灯节能改造</t>
  </si>
  <si>
    <t>阳江市阳西县LED路灯节能改造</t>
  </si>
  <si>
    <t>[KC]葵涌项目</t>
  </si>
  <si>
    <t>[NSGAJ]南山公安局项目</t>
  </si>
  <si>
    <t>[NSXM]深圳南山教育局项目</t>
  </si>
  <si>
    <t>[STXM]汕头项目</t>
  </si>
  <si>
    <t>[SYDS]深圳水源大厦</t>
  </si>
  <si>
    <t>[YFEQ]云浮二期项目</t>
  </si>
  <si>
    <t>[ZBT]中波台</t>
  </si>
  <si>
    <t>广深高速三期</t>
  </si>
  <si>
    <r>
      <rPr>
        <sz val="9"/>
        <color theme="7" tint="0.599993896298105"/>
        <rFont val="宋体"/>
        <charset val="134"/>
      </rPr>
      <t>（</t>
    </r>
    <r>
      <rPr>
        <sz val="9"/>
        <color theme="7" tint="0.599993896298105"/>
        <rFont val="Arial Narrow"/>
        <charset val="134"/>
      </rPr>
      <t>3</t>
    </r>
    <r>
      <rPr>
        <sz val="9"/>
        <color theme="7" tint="0.599993896298105"/>
        <rFont val="宋体"/>
        <charset val="134"/>
      </rPr>
      <t>）在建工程减值准备</t>
    </r>
  </si>
  <si>
    <r>
      <rPr>
        <sz val="9"/>
        <rFont val="宋体"/>
        <charset val="134"/>
      </rPr>
      <t>（</t>
    </r>
    <r>
      <rPr>
        <sz val="9"/>
        <rFont val="Arial Narrow"/>
        <charset val="134"/>
      </rPr>
      <t>3</t>
    </r>
    <r>
      <rPr>
        <sz val="9"/>
        <rFont val="宋体"/>
        <charset val="134"/>
      </rPr>
      <t>）在建工程减值准备</t>
    </r>
  </si>
  <si>
    <r>
      <rPr>
        <sz val="9"/>
        <color theme="7" tint="0.599993896298105"/>
        <rFont val="宋体"/>
        <charset val="134"/>
      </rPr>
      <t>（</t>
    </r>
    <r>
      <rPr>
        <sz val="9"/>
        <color theme="7" tint="0.599993896298105"/>
        <rFont val="Arial Narrow"/>
        <charset val="134"/>
      </rPr>
      <t>3）在建工程减值准备</t>
    </r>
  </si>
  <si>
    <t>（4）重大在建工程的工程进度情况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</si>
  <si>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）重大在建工程的工程进度情况</t>
    </r>
  </si>
  <si>
    <r>
      <rPr>
        <sz val="9"/>
        <rFont val="宋体"/>
        <charset val="134"/>
      </rPr>
      <t>（</t>
    </r>
    <r>
      <rPr>
        <sz val="9"/>
        <rFont val="Arial Narrow"/>
        <charset val="134"/>
      </rPr>
      <t>4</t>
    </r>
    <r>
      <rPr>
        <sz val="9"/>
        <rFont val="宋体"/>
        <charset val="134"/>
      </rPr>
      <t>）重大在建工程的工程进度情况</t>
    </r>
  </si>
  <si>
    <r>
      <rPr>
        <sz val="9"/>
        <color theme="7" tint="0.599993896298105"/>
        <rFont val="宋体"/>
        <charset val="134"/>
      </rPr>
      <t>（</t>
    </r>
    <r>
      <rPr>
        <sz val="9"/>
        <color theme="7" tint="0.599993896298105"/>
        <rFont val="Arial Narrow"/>
        <charset val="134"/>
      </rPr>
      <t>4）重大在建工程的工程进度情况</t>
    </r>
  </si>
  <si>
    <t>（十九）工程物资-披露表</t>
  </si>
  <si>
    <t>工程物资-披露表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</si>
  <si>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t>
    </r>
  </si>
  <si>
    <r>
      <rPr>
        <b/>
        <sz val="9"/>
        <rFont val="宋体"/>
        <charset val="134"/>
      </rPr>
      <t>（十九）工程物资</t>
    </r>
    <r>
      <rPr>
        <b/>
        <sz val="9"/>
        <rFont val="Arial Narrow"/>
        <charset val="134"/>
      </rPr>
      <t>-</t>
    </r>
    <r>
      <rPr>
        <b/>
        <sz val="9"/>
        <rFont val="宋体"/>
        <charset val="134"/>
      </rPr>
      <t>披露表</t>
    </r>
  </si>
  <si>
    <t>（1）按类别列示</t>
  </si>
  <si>
    <r>
      <rPr>
        <sz val="9"/>
        <rFont val="宋体"/>
        <charset val="134"/>
      </rPr>
      <t>（</t>
    </r>
    <r>
      <rPr>
        <sz val="9"/>
        <rFont val="Arial Narrow"/>
        <charset val="134"/>
      </rPr>
      <t>1</t>
    </r>
    <r>
      <rPr>
        <sz val="9"/>
        <rFont val="宋体"/>
        <charset val="134"/>
      </rPr>
      <t>）按类别列示</t>
    </r>
  </si>
  <si>
    <r>
      <rPr>
        <sz val="9"/>
        <color theme="7" tint="0.599993896298105"/>
        <rFont val="宋体"/>
        <charset val="134"/>
      </rPr>
      <t>（</t>
    </r>
    <r>
      <rPr>
        <sz val="9"/>
        <color theme="7" tint="0.599993896298105"/>
        <rFont val="Arial Narrow"/>
        <charset val="134"/>
      </rPr>
      <t>1）按类别列示</t>
    </r>
  </si>
  <si>
    <t>专用设备</t>
  </si>
  <si>
    <t>专用材料</t>
  </si>
  <si>
    <t>(二十)固定资产清理-批露</t>
  </si>
  <si>
    <r>
      <rPr>
        <sz val="9"/>
        <color theme="0" tint="-0.249977111117893"/>
        <rFont val="宋体"/>
        <charset val="134"/>
      </rPr>
      <t>固定资产清理</t>
    </r>
    <r>
      <rPr>
        <sz val="9"/>
        <color theme="0" tint="-0.249977111117893"/>
        <rFont val="Arial Narrow"/>
        <charset val="134"/>
      </rPr>
      <t>-</t>
    </r>
    <r>
      <rPr>
        <sz val="9"/>
        <color theme="0" tint="-0.249977111117893"/>
        <rFont val="宋体"/>
        <charset val="134"/>
      </rPr>
      <t>批露</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</si>
  <si>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）按项目列示</t>
    </r>
  </si>
  <si>
    <r>
      <rPr>
        <b/>
        <sz val="9"/>
        <rFont val="Arial Narrow"/>
        <charset val="134"/>
      </rPr>
      <t>(</t>
    </r>
    <r>
      <rPr>
        <b/>
        <sz val="9"/>
        <rFont val="宋体"/>
        <charset val="134"/>
      </rPr>
      <t>二十</t>
    </r>
    <r>
      <rPr>
        <b/>
        <sz val="9"/>
        <rFont val="Arial Narrow"/>
        <charset val="134"/>
      </rPr>
      <t>)</t>
    </r>
    <r>
      <rPr>
        <b/>
        <sz val="9"/>
        <rFont val="宋体"/>
        <charset val="134"/>
      </rPr>
      <t>固定资产清理</t>
    </r>
    <r>
      <rPr>
        <b/>
        <sz val="9"/>
        <rFont val="Arial Narrow"/>
        <charset val="134"/>
      </rPr>
      <t>-</t>
    </r>
    <r>
      <rPr>
        <b/>
        <sz val="9"/>
        <rFont val="宋体"/>
        <charset val="134"/>
      </rPr>
      <t>批露</t>
    </r>
  </si>
  <si>
    <t>（1）按项目列示</t>
  </si>
  <si>
    <r>
      <rPr>
        <sz val="9"/>
        <rFont val="宋体"/>
        <charset val="134"/>
      </rPr>
      <t>（</t>
    </r>
    <r>
      <rPr>
        <sz val="9"/>
        <rFont val="Arial Narrow"/>
        <charset val="134"/>
      </rPr>
      <t>1</t>
    </r>
    <r>
      <rPr>
        <sz val="9"/>
        <rFont val="宋体"/>
        <charset val="134"/>
      </rPr>
      <t>）按项目列示</t>
    </r>
  </si>
  <si>
    <r>
      <rPr>
        <sz val="9"/>
        <color theme="7" tint="0.599993896298105"/>
        <rFont val="宋体"/>
        <charset val="134"/>
      </rPr>
      <t>（</t>
    </r>
    <r>
      <rPr>
        <sz val="9"/>
        <color theme="7" tint="0.599993896298105"/>
        <rFont val="Arial Narrow"/>
        <charset val="134"/>
      </rPr>
      <t>1）按项目列示</t>
    </r>
  </si>
  <si>
    <t>（2）说明转入固定资产清理起始时间已超过1年的固定资产清理进展情况。</t>
  </si>
  <si>
    <r>
      <rPr>
        <sz val="9"/>
        <rFont val="宋体"/>
        <charset val="134"/>
      </rPr>
      <t>（</t>
    </r>
    <r>
      <rPr>
        <sz val="9"/>
        <rFont val="Arial Narrow"/>
        <charset val="134"/>
      </rPr>
      <t>2</t>
    </r>
    <r>
      <rPr>
        <sz val="9"/>
        <rFont val="宋体"/>
        <charset val="134"/>
      </rPr>
      <t>）说明转入固定资产清理起始时间已超过</t>
    </r>
    <r>
      <rPr>
        <sz val="9"/>
        <rFont val="Arial Narrow"/>
        <charset val="134"/>
      </rPr>
      <t>1</t>
    </r>
    <r>
      <rPr>
        <sz val="9"/>
        <rFont val="宋体"/>
        <charset val="134"/>
      </rPr>
      <t>年的固定资产清理进展情况。</t>
    </r>
  </si>
  <si>
    <r>
      <rPr>
        <sz val="9"/>
        <color theme="0" tint="-0.249977111117893"/>
        <rFont val="宋体"/>
        <charset val="134"/>
      </rPr>
      <t>生产性生物资产及公益性生物资产</t>
    </r>
    <r>
      <rPr>
        <sz val="9"/>
        <color theme="0" tint="-0.249977111117893"/>
        <rFont val="Arial Narrow"/>
        <charset val="134"/>
      </rPr>
      <t>-</t>
    </r>
    <r>
      <rPr>
        <sz val="9"/>
        <color theme="0" tint="-0.249977111117893"/>
        <rFont val="宋体"/>
        <charset val="134"/>
      </rPr>
      <t>批露表</t>
    </r>
  </si>
  <si>
    <r>
      <rPr>
        <b/>
        <sz val="9"/>
        <rFont val="宋体"/>
        <charset val="134"/>
      </rPr>
      <t>（二十一）生产性生物资产及公益性生物资产</t>
    </r>
    <r>
      <rPr>
        <b/>
        <sz val="9"/>
        <rFont val="Arial Narrow"/>
        <charset val="134"/>
      </rPr>
      <t>-</t>
    </r>
    <r>
      <rPr>
        <b/>
        <sz val="9"/>
        <rFont val="宋体"/>
        <charset val="134"/>
      </rPr>
      <t>批露表</t>
    </r>
  </si>
  <si>
    <r>
      <rPr>
        <sz val="9"/>
        <rFont val="宋体"/>
        <charset val="134"/>
      </rPr>
      <t>一、原价合计</t>
    </r>
    <r>
      <rPr>
        <sz val="9"/>
        <rFont val="Arial Narrow"/>
        <charset val="134"/>
      </rPr>
      <t xml:space="preserve"> </t>
    </r>
  </si>
  <si>
    <r>
      <rPr>
        <sz val="9"/>
        <rFont val="Arial Narrow"/>
        <charset val="134"/>
      </rPr>
      <t xml:space="preserve">……  </t>
    </r>
    <r>
      <rPr>
        <sz val="9"/>
        <rFont val="宋体"/>
        <charset val="134"/>
      </rPr>
      <t>水产业</t>
    </r>
  </si>
  <si>
    <t>四、账面价值合计</t>
  </si>
  <si>
    <r>
      <rPr>
        <sz val="9"/>
        <color theme="0" tint="-0.249977111117893"/>
        <rFont val="宋体"/>
        <charset val="134"/>
      </rPr>
      <t>油气资产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</si>
  <si>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二十二</t>
    </r>
    <r>
      <rPr>
        <b/>
        <sz val="9"/>
        <rFont val="Arial Narrow"/>
        <charset val="134"/>
      </rPr>
      <t>)</t>
    </r>
    <r>
      <rPr>
        <b/>
        <sz val="9"/>
        <rFont val="宋体"/>
        <charset val="134"/>
      </rPr>
      <t>油气资产</t>
    </r>
    <r>
      <rPr>
        <b/>
        <sz val="9"/>
        <rFont val="Arial Narrow"/>
        <charset val="134"/>
      </rPr>
      <t>-</t>
    </r>
    <r>
      <rPr>
        <b/>
        <sz val="9"/>
        <rFont val="宋体"/>
        <charset val="134"/>
      </rPr>
      <t>批露表</t>
    </r>
  </si>
  <si>
    <r>
      <rPr>
        <sz val="9"/>
        <rFont val="Arial Narrow"/>
        <charset val="134"/>
      </rPr>
      <t>1</t>
    </r>
    <r>
      <rPr>
        <sz val="9"/>
        <rFont val="宋体"/>
        <charset val="134"/>
      </rPr>
      <t>．探明矿区权益</t>
    </r>
  </si>
  <si>
    <r>
      <rPr>
        <sz val="9"/>
        <rFont val="Arial Narrow"/>
        <charset val="134"/>
      </rPr>
      <t>2</t>
    </r>
    <r>
      <rPr>
        <sz val="9"/>
        <rFont val="宋体"/>
        <charset val="134"/>
      </rPr>
      <t>．未探明矿区权益</t>
    </r>
  </si>
  <si>
    <r>
      <rPr>
        <sz val="9"/>
        <rFont val="Arial Narrow"/>
        <charset val="134"/>
      </rPr>
      <t>3</t>
    </r>
    <r>
      <rPr>
        <sz val="9"/>
        <rFont val="宋体"/>
        <charset val="134"/>
      </rPr>
      <t>．井及相关设施</t>
    </r>
  </si>
  <si>
    <r>
      <rPr>
        <sz val="9"/>
        <rFont val="Arial Narrow"/>
        <charset val="134"/>
      </rPr>
      <t>2</t>
    </r>
    <r>
      <rPr>
        <sz val="9"/>
        <rFont val="宋体"/>
        <charset val="134"/>
      </rPr>
      <t>．井及相关设施</t>
    </r>
  </si>
  <si>
    <t>（2）当期在国内和国外发生的取得矿区权益、油气勘探和油气开发支出的总额为</t>
  </si>
  <si>
    <r>
      <rPr>
        <sz val="9"/>
        <rFont val="宋体"/>
        <charset val="134"/>
      </rPr>
      <t>（</t>
    </r>
    <r>
      <rPr>
        <sz val="9"/>
        <rFont val="Arial Narrow"/>
        <charset val="134"/>
      </rPr>
      <t>2</t>
    </r>
    <r>
      <rPr>
        <sz val="9"/>
        <rFont val="宋体"/>
        <charset val="134"/>
      </rPr>
      <t>）当期在国内和国外发生的取得矿区权益、油气勘探和油气开发支出的总额为</t>
    </r>
  </si>
  <si>
    <t>元。</t>
  </si>
  <si>
    <r>
      <rPr>
        <sz val="9"/>
        <color theme="0" tint="-0.249977111117893"/>
        <rFont val="宋体"/>
        <charset val="134"/>
      </rPr>
      <t>无形资产</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</si>
  <si>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(1)</t>
    </r>
    <r>
      <rPr>
        <sz val="9"/>
        <color theme="7" tint="0.599993896298105"/>
        <rFont val="宋体"/>
        <charset val="134"/>
      </rPr>
      <t>无形资产</t>
    </r>
  </si>
  <si>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</si>
  <si>
    <t>《无形资产》请点击连接填写</t>
  </si>
  <si>
    <t>(1)无形资产</t>
  </si>
  <si>
    <r>
      <rPr>
        <b/>
        <sz val="9"/>
        <rFont val="Arial Narrow"/>
        <charset val="134"/>
      </rPr>
      <t>(1)</t>
    </r>
    <r>
      <rPr>
        <b/>
        <sz val="9"/>
        <rFont val="宋体"/>
        <charset val="134"/>
      </rPr>
      <t>无形资产</t>
    </r>
    <r>
      <rPr>
        <b/>
        <sz val="9"/>
        <color rgb="FFFF0000"/>
        <rFont val="Arial Narrow"/>
        <charset val="134"/>
      </rPr>
      <t>(</t>
    </r>
    <r>
      <rPr>
        <b/>
        <sz val="9"/>
        <color rgb="FFFF0000"/>
        <rFont val="宋体"/>
        <charset val="134"/>
      </rPr>
      <t>此表不用填，已连公式）</t>
    </r>
  </si>
  <si>
    <r>
      <rPr>
        <sz val="9"/>
        <color theme="7" tint="0.599993896298105"/>
        <rFont val="Arial Narrow"/>
        <charset val="134"/>
      </rPr>
      <t>(1)无形资产</t>
    </r>
  </si>
  <si>
    <t>项目1--</t>
  </si>
  <si>
    <r>
      <rPr>
        <sz val="9"/>
        <rFont val="Arial Narrow"/>
        <charset val="134"/>
      </rPr>
      <t>1</t>
    </r>
    <r>
      <rPr>
        <sz val="9"/>
        <rFont val="宋体"/>
        <charset val="134"/>
      </rPr>
      <t>、土地使用权</t>
    </r>
  </si>
  <si>
    <t>项目2--</t>
  </si>
  <si>
    <r>
      <rPr>
        <sz val="9"/>
        <rFont val="Arial Narrow"/>
        <charset val="134"/>
      </rPr>
      <t>2</t>
    </r>
    <r>
      <rPr>
        <sz val="9"/>
        <rFont val="宋体"/>
        <charset val="134"/>
      </rPr>
      <t>、软件</t>
    </r>
  </si>
  <si>
    <t>项目3--</t>
  </si>
  <si>
    <r>
      <rPr>
        <sz val="9"/>
        <rFont val="Arial Narrow"/>
        <charset val="134"/>
      </rPr>
      <t>3</t>
    </r>
    <r>
      <rPr>
        <sz val="9"/>
        <rFont val="宋体"/>
        <charset val="134"/>
      </rPr>
      <t>、专利权</t>
    </r>
  </si>
  <si>
    <t>项目4--</t>
  </si>
  <si>
    <r>
      <rPr>
        <sz val="9"/>
        <rFont val="Arial Narrow"/>
        <charset val="134"/>
      </rPr>
      <t>4</t>
    </r>
    <r>
      <rPr>
        <sz val="9"/>
        <rFont val="宋体"/>
        <charset val="134"/>
      </rPr>
      <t>、其它</t>
    </r>
  </si>
  <si>
    <t>注：本期摊销额        元。</t>
  </si>
  <si>
    <r>
      <rPr>
        <sz val="9"/>
        <rFont val="宋体"/>
        <charset val="134"/>
      </rPr>
      <t>注：本期摊销额</t>
    </r>
    <r>
      <rPr>
        <sz val="9"/>
        <rFont val="Arial Narrow"/>
        <charset val="134"/>
      </rPr>
      <t xml:space="preserve">        </t>
    </r>
    <r>
      <rPr>
        <sz val="9"/>
        <rFont val="宋体"/>
        <charset val="134"/>
      </rPr>
      <t>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</si>
  <si>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）公司内部研究开发项目支出</t>
    </r>
  </si>
  <si>
    <r>
      <rPr>
        <b/>
        <sz val="9"/>
        <rFont val="宋体"/>
        <charset val="134"/>
      </rPr>
      <t>（</t>
    </r>
    <r>
      <rPr>
        <b/>
        <sz val="9"/>
        <rFont val="Arial Narrow"/>
        <charset val="134"/>
      </rPr>
      <t>2</t>
    </r>
    <r>
      <rPr>
        <b/>
        <sz val="9"/>
        <rFont val="宋体"/>
        <charset val="134"/>
      </rPr>
      <t>）公司内部研究开发项目支出</t>
    </r>
  </si>
  <si>
    <t>研发项目明细表</t>
  </si>
  <si>
    <r>
      <rPr>
        <sz val="9"/>
        <color theme="7" tint="0.599993896298105"/>
        <rFont val="宋体"/>
        <charset val="134"/>
      </rPr>
      <t>（</t>
    </r>
    <r>
      <rPr>
        <sz val="9"/>
        <color theme="7" tint="0.599993896298105"/>
        <rFont val="Arial Narrow"/>
        <charset val="134"/>
      </rPr>
      <t>2）公司内部研究开发项目支出</t>
    </r>
  </si>
  <si>
    <t>计入当期损益</t>
  </si>
  <si>
    <t>确认为无形资产</t>
  </si>
  <si>
    <t>注：本期开发支出占本期研究开发项目支出总额的比例为    。通过公司内部研发形成的无形资产占无形资产期末账面价值的比例为    。</t>
  </si>
  <si>
    <r>
      <rPr>
        <sz val="9"/>
        <rFont val="宋体"/>
        <charset val="134"/>
      </rPr>
      <t>注：本期开发支出占本期研究开发项目支出总额的比例为</t>
    </r>
    <r>
      <rPr>
        <sz val="9"/>
        <rFont val="Arial Narrow"/>
        <charset val="134"/>
      </rPr>
      <t xml:space="preserve">    </t>
    </r>
    <r>
      <rPr>
        <sz val="9"/>
        <rFont val="宋体"/>
        <charset val="134"/>
      </rPr>
      <t>。通过公司内部研发形成的无形资产占无形资产期末账面价值的比例为</t>
    </r>
    <r>
      <rPr>
        <sz val="9"/>
        <rFont val="Arial Narrow"/>
        <charset val="134"/>
      </rPr>
      <t xml:space="preserve">    </t>
    </r>
    <r>
      <rPr>
        <sz val="9"/>
        <rFont val="宋体"/>
        <charset val="134"/>
      </rPr>
      <t>。</t>
    </r>
  </si>
  <si>
    <t>（3）在报告期内发生的单项价值在100万元以上的无形资产，若该资产原始价值是以评估值作为入账依据的，披露评估机构名称、评估方法。</t>
  </si>
  <si>
    <r>
      <rPr>
        <sz val="9"/>
        <rFont val="宋体"/>
        <charset val="134"/>
      </rPr>
      <t>（</t>
    </r>
    <r>
      <rPr>
        <sz val="9"/>
        <rFont val="Arial Narrow"/>
        <charset val="134"/>
      </rPr>
      <t>3</t>
    </r>
    <r>
      <rPr>
        <sz val="9"/>
        <rFont val="宋体"/>
        <charset val="134"/>
      </rPr>
      <t>）在报告期内发生的单项价值在</t>
    </r>
    <r>
      <rPr>
        <sz val="9"/>
        <rFont val="Arial Narrow"/>
        <charset val="134"/>
      </rPr>
      <t>100</t>
    </r>
    <r>
      <rPr>
        <sz val="9"/>
        <rFont val="宋体"/>
        <charset val="134"/>
      </rPr>
      <t>万元以上的无形资产，若该资产原始价值是以评估值作为入账依据的，披露评估机构名称、评估方法。</t>
    </r>
  </si>
  <si>
    <t>（二十四）长期待摊费用-批露表</t>
  </si>
  <si>
    <r>
      <rPr>
        <sz val="9"/>
        <color theme="0" tint="-0.249977111117893"/>
        <rFont val="宋体"/>
        <charset val="134"/>
      </rPr>
      <t>长期待摊费用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</si>
  <si>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（二十四）长期待摊费用</t>
    </r>
    <r>
      <rPr>
        <sz val="9"/>
        <color theme="7" tint="0.599993896298105"/>
        <rFont val="Arial Narrow"/>
        <charset val="134"/>
      </rPr>
      <t>-</t>
    </r>
    <r>
      <rPr>
        <sz val="9"/>
        <color theme="7" tint="0.599993896298105"/>
        <rFont val="宋体"/>
        <charset val="134"/>
      </rPr>
      <t>批露表</t>
    </r>
  </si>
  <si>
    <r>
      <rPr>
        <b/>
        <sz val="9"/>
        <rFont val="宋体"/>
        <charset val="134"/>
      </rPr>
      <t>（二十四）长期待摊费用</t>
    </r>
    <r>
      <rPr>
        <b/>
        <sz val="9"/>
        <rFont val="Arial Narrow"/>
        <charset val="134"/>
      </rPr>
      <t>-</t>
    </r>
    <r>
      <rPr>
        <b/>
        <sz val="9"/>
        <rFont val="宋体"/>
        <charset val="134"/>
      </rPr>
      <t>披露表</t>
    </r>
  </si>
  <si>
    <t>本年摊销数</t>
  </si>
  <si>
    <t>其他减少的原因</t>
  </si>
  <si>
    <t>长园办公楼装修</t>
  </si>
  <si>
    <t>厚街仓库装修</t>
  </si>
  <si>
    <t>欧诺装修款（201511-202010）</t>
  </si>
  <si>
    <r>
      <rPr>
        <sz val="9"/>
        <rFont val="宋体"/>
        <charset val="134"/>
      </rPr>
      <t>项目</t>
    </r>
    <r>
      <rPr>
        <sz val="9"/>
        <rFont val="Arial Narrow"/>
        <charset val="134"/>
      </rPr>
      <t>4</t>
    </r>
  </si>
  <si>
    <r>
      <rPr>
        <sz val="9"/>
        <rFont val="宋体"/>
        <charset val="134"/>
      </rPr>
      <t>项目</t>
    </r>
    <r>
      <rPr>
        <sz val="9"/>
        <rFont val="Arial Narrow"/>
        <charset val="134"/>
      </rPr>
      <t>5</t>
    </r>
  </si>
  <si>
    <r>
      <rPr>
        <sz val="9"/>
        <rFont val="宋体"/>
        <charset val="134"/>
      </rPr>
      <t>项目</t>
    </r>
    <r>
      <rPr>
        <sz val="9"/>
        <rFont val="Arial Narrow"/>
        <charset val="134"/>
      </rPr>
      <t>6</t>
    </r>
  </si>
  <si>
    <r>
      <rPr>
        <sz val="9"/>
        <rFont val="宋体"/>
        <charset val="134"/>
      </rPr>
      <t>项目</t>
    </r>
    <r>
      <rPr>
        <sz val="9"/>
        <rFont val="Arial Narrow"/>
        <charset val="134"/>
      </rPr>
      <t>7</t>
    </r>
  </si>
  <si>
    <r>
      <rPr>
        <sz val="9"/>
        <rFont val="宋体"/>
        <charset val="134"/>
      </rPr>
      <t>项目</t>
    </r>
    <r>
      <rPr>
        <sz val="9"/>
        <rFont val="Arial Narrow"/>
        <charset val="134"/>
      </rPr>
      <t>8</t>
    </r>
  </si>
  <si>
    <r>
      <rPr>
        <sz val="9"/>
        <rFont val="宋体"/>
        <charset val="134"/>
      </rPr>
      <t>项目</t>
    </r>
    <r>
      <rPr>
        <sz val="9"/>
        <rFont val="Arial Narrow"/>
        <charset val="134"/>
      </rPr>
      <t>9</t>
    </r>
  </si>
  <si>
    <r>
      <rPr>
        <sz val="9"/>
        <rFont val="宋体"/>
        <charset val="134"/>
      </rPr>
      <t>项目</t>
    </r>
    <r>
      <rPr>
        <sz val="9"/>
        <rFont val="Arial Narrow"/>
        <charset val="134"/>
      </rPr>
      <t>10</t>
    </r>
  </si>
  <si>
    <r>
      <rPr>
        <sz val="9"/>
        <rFont val="宋体"/>
        <charset val="134"/>
      </rPr>
      <t>项目</t>
    </r>
    <r>
      <rPr>
        <sz val="9"/>
        <rFont val="Arial Narrow"/>
        <charset val="134"/>
      </rPr>
      <t>11</t>
    </r>
  </si>
  <si>
    <r>
      <rPr>
        <sz val="9"/>
        <rFont val="宋体"/>
        <charset val="134"/>
      </rPr>
      <t>项目</t>
    </r>
    <r>
      <rPr>
        <sz val="9"/>
        <rFont val="Arial Narrow"/>
        <charset val="134"/>
      </rPr>
      <t>12</t>
    </r>
  </si>
  <si>
    <r>
      <rPr>
        <sz val="9"/>
        <rFont val="宋体"/>
        <charset val="134"/>
      </rPr>
      <t>项目</t>
    </r>
    <r>
      <rPr>
        <sz val="9"/>
        <rFont val="Arial Narrow"/>
        <charset val="134"/>
      </rPr>
      <t>13</t>
    </r>
  </si>
  <si>
    <r>
      <rPr>
        <sz val="9"/>
        <rFont val="宋体"/>
        <charset val="134"/>
      </rPr>
      <t>项目</t>
    </r>
    <r>
      <rPr>
        <sz val="9"/>
        <rFont val="Arial Narrow"/>
        <charset val="134"/>
      </rPr>
      <t>14</t>
    </r>
  </si>
  <si>
    <r>
      <rPr>
        <sz val="9"/>
        <rFont val="宋体"/>
        <charset val="134"/>
      </rPr>
      <t>项目</t>
    </r>
    <r>
      <rPr>
        <sz val="9"/>
        <rFont val="Arial Narrow"/>
        <charset val="134"/>
      </rPr>
      <t>15</t>
    </r>
  </si>
  <si>
    <r>
      <rPr>
        <sz val="9"/>
        <rFont val="宋体"/>
        <charset val="134"/>
      </rPr>
      <t>项目</t>
    </r>
    <r>
      <rPr>
        <sz val="9"/>
        <rFont val="Arial Narrow"/>
        <charset val="134"/>
      </rPr>
      <t>16</t>
    </r>
  </si>
  <si>
    <r>
      <rPr>
        <sz val="9"/>
        <rFont val="宋体"/>
        <charset val="134"/>
      </rPr>
      <t>项目</t>
    </r>
    <r>
      <rPr>
        <sz val="9"/>
        <rFont val="Arial Narrow"/>
        <charset val="134"/>
      </rPr>
      <t>17</t>
    </r>
  </si>
  <si>
    <r>
      <rPr>
        <sz val="9"/>
        <rFont val="宋体"/>
        <charset val="134"/>
      </rPr>
      <t>项目</t>
    </r>
    <r>
      <rPr>
        <sz val="9"/>
        <rFont val="Arial Narrow"/>
        <charset val="134"/>
      </rPr>
      <t>18</t>
    </r>
  </si>
  <si>
    <r>
      <rPr>
        <sz val="9"/>
        <rFont val="宋体"/>
        <charset val="134"/>
      </rPr>
      <t>项目</t>
    </r>
    <r>
      <rPr>
        <sz val="9"/>
        <rFont val="Arial Narrow"/>
        <charset val="134"/>
      </rPr>
      <t>19</t>
    </r>
  </si>
  <si>
    <r>
      <rPr>
        <sz val="9"/>
        <rFont val="宋体"/>
        <charset val="134"/>
      </rPr>
      <t>项目</t>
    </r>
    <r>
      <rPr>
        <sz val="9"/>
        <rFont val="Arial Narrow"/>
        <charset val="134"/>
      </rPr>
      <t>20</t>
    </r>
  </si>
  <si>
    <r>
      <rPr>
        <sz val="9"/>
        <rFont val="宋体"/>
        <charset val="134"/>
      </rPr>
      <t>项目</t>
    </r>
    <r>
      <rPr>
        <sz val="9"/>
        <rFont val="Arial Narrow"/>
        <charset val="134"/>
      </rPr>
      <t>21</t>
    </r>
  </si>
  <si>
    <r>
      <rPr>
        <sz val="9"/>
        <rFont val="宋体"/>
        <charset val="134"/>
      </rPr>
      <t>项目</t>
    </r>
    <r>
      <rPr>
        <sz val="9"/>
        <rFont val="Arial Narrow"/>
        <charset val="134"/>
      </rPr>
      <t>22</t>
    </r>
  </si>
  <si>
    <r>
      <rPr>
        <sz val="9"/>
        <rFont val="宋体"/>
        <charset val="134"/>
      </rPr>
      <t>项目</t>
    </r>
    <r>
      <rPr>
        <sz val="9"/>
        <rFont val="Arial Narrow"/>
        <charset val="134"/>
      </rPr>
      <t>23</t>
    </r>
  </si>
  <si>
    <r>
      <rPr>
        <sz val="9"/>
        <rFont val="宋体"/>
        <charset val="134"/>
      </rPr>
      <t>项目</t>
    </r>
    <r>
      <rPr>
        <sz val="9"/>
        <rFont val="Arial Narrow"/>
        <charset val="134"/>
      </rPr>
      <t>24</t>
    </r>
  </si>
  <si>
    <r>
      <rPr>
        <sz val="9"/>
        <rFont val="宋体"/>
        <charset val="134"/>
      </rPr>
      <t>项目</t>
    </r>
    <r>
      <rPr>
        <sz val="9"/>
        <rFont val="Arial Narrow"/>
        <charset val="134"/>
      </rPr>
      <t>25</t>
    </r>
  </si>
  <si>
    <r>
      <rPr>
        <sz val="9"/>
        <rFont val="宋体"/>
        <charset val="134"/>
      </rPr>
      <t>项目</t>
    </r>
    <r>
      <rPr>
        <sz val="9"/>
        <rFont val="Arial Narrow"/>
        <charset val="134"/>
      </rPr>
      <t>26</t>
    </r>
  </si>
  <si>
    <r>
      <rPr>
        <sz val="9"/>
        <rFont val="宋体"/>
        <charset val="134"/>
      </rPr>
      <t>项目</t>
    </r>
    <r>
      <rPr>
        <sz val="9"/>
        <rFont val="Arial Narrow"/>
        <charset val="134"/>
      </rPr>
      <t>27</t>
    </r>
  </si>
  <si>
    <r>
      <rPr>
        <sz val="9"/>
        <rFont val="宋体"/>
        <charset val="134"/>
      </rPr>
      <t>项目</t>
    </r>
    <r>
      <rPr>
        <sz val="9"/>
        <rFont val="Arial Narrow"/>
        <charset val="134"/>
      </rPr>
      <t>28</t>
    </r>
  </si>
  <si>
    <r>
      <rPr>
        <sz val="9"/>
        <rFont val="宋体"/>
        <charset val="134"/>
      </rPr>
      <t>项目</t>
    </r>
    <r>
      <rPr>
        <sz val="9"/>
        <rFont val="Arial Narrow"/>
        <charset val="134"/>
      </rPr>
      <t>29</t>
    </r>
  </si>
  <si>
    <r>
      <rPr>
        <sz val="9"/>
        <rFont val="宋体"/>
        <charset val="134"/>
      </rPr>
      <t>项目</t>
    </r>
    <r>
      <rPr>
        <sz val="9"/>
        <rFont val="Arial Narrow"/>
        <charset val="134"/>
      </rPr>
      <t>30</t>
    </r>
  </si>
  <si>
    <t>（二十五）商誉-披露表</t>
  </si>
  <si>
    <r>
      <rPr>
        <sz val="9"/>
        <color theme="0" tint="-0.249977111117893"/>
        <rFont val="宋体"/>
        <charset val="134"/>
      </rPr>
      <t>商誉</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</si>
  <si>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）按明细列示</t>
    </r>
  </si>
  <si>
    <r>
      <rPr>
        <b/>
        <sz val="9"/>
        <rFont val="宋体"/>
        <charset val="134"/>
      </rPr>
      <t>（二十五）商誉</t>
    </r>
    <r>
      <rPr>
        <b/>
        <sz val="9"/>
        <rFont val="Arial Narrow"/>
        <charset val="134"/>
      </rPr>
      <t>-</t>
    </r>
    <r>
      <rPr>
        <b/>
        <sz val="9"/>
        <rFont val="宋体"/>
        <charset val="134"/>
      </rPr>
      <t>披露表</t>
    </r>
  </si>
  <si>
    <t>（1）按明细列示</t>
  </si>
  <si>
    <r>
      <rPr>
        <sz val="9"/>
        <rFont val="宋体"/>
        <charset val="134"/>
      </rPr>
      <t>（</t>
    </r>
    <r>
      <rPr>
        <sz val="9"/>
        <rFont val="Arial Narrow"/>
        <charset val="134"/>
      </rPr>
      <t>1</t>
    </r>
    <r>
      <rPr>
        <sz val="9"/>
        <rFont val="宋体"/>
        <charset val="134"/>
      </rPr>
      <t>）按明细列示</t>
    </r>
  </si>
  <si>
    <r>
      <rPr>
        <sz val="9"/>
        <color theme="7" tint="0.599993896298105"/>
        <rFont val="宋体"/>
        <charset val="134"/>
      </rPr>
      <t>（</t>
    </r>
    <r>
      <rPr>
        <sz val="9"/>
        <color theme="7" tint="0.599993896298105"/>
        <rFont val="Arial Narrow"/>
        <charset val="134"/>
      </rPr>
      <t>1）按明细列示</t>
    </r>
  </si>
  <si>
    <r>
      <rPr>
        <sz val="9"/>
        <rFont val="Times New Roman"/>
        <charset val="134"/>
      </rPr>
      <t>合计</t>
    </r>
    <r>
      <rPr>
        <sz val="9"/>
        <rFont val="Arial Narrow"/>
        <charset val="134"/>
      </rPr>
      <t xml:space="preserve">  </t>
    </r>
  </si>
  <si>
    <t>（2）商誉减值准备</t>
  </si>
  <si>
    <r>
      <rPr>
        <sz val="9"/>
        <color theme="7" tint="0.599993896298105"/>
        <rFont val="宋体"/>
        <charset val="134"/>
      </rPr>
      <t>（</t>
    </r>
    <r>
      <rPr>
        <sz val="9"/>
        <color theme="7" tint="0.599993896298105"/>
        <rFont val="Arial Narrow"/>
        <charset val="134"/>
      </rPr>
      <t>2</t>
    </r>
    <r>
      <rPr>
        <sz val="9"/>
        <color theme="7" tint="0.599993896298105"/>
        <rFont val="宋体"/>
        <charset val="134"/>
      </rPr>
      <t>）商誉减值准备</t>
    </r>
  </si>
  <si>
    <r>
      <rPr>
        <sz val="9"/>
        <rFont val="宋体"/>
        <charset val="134"/>
      </rPr>
      <t>（</t>
    </r>
    <r>
      <rPr>
        <sz val="9"/>
        <rFont val="Arial Narrow"/>
        <charset val="134"/>
      </rPr>
      <t>2</t>
    </r>
    <r>
      <rPr>
        <sz val="9"/>
        <rFont val="宋体"/>
        <charset val="134"/>
      </rPr>
      <t>）商誉减值准备</t>
    </r>
  </si>
  <si>
    <t>（3）对于通过非同一控制下企业合并形成的商誉，应列示商誉的计算过程。</t>
  </si>
  <si>
    <t>(二十六)其他非流动资产-批露表</t>
  </si>
  <si>
    <r>
      <rPr>
        <sz val="9"/>
        <color theme="0" tint="-0.249977111117893"/>
        <rFont val="宋体"/>
        <charset val="134"/>
      </rPr>
      <t>其他非流动资产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</si>
  <si>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二十六</t>
    </r>
    <r>
      <rPr>
        <b/>
        <sz val="9"/>
        <rFont val="Arial Narrow"/>
        <charset val="134"/>
      </rPr>
      <t>)</t>
    </r>
    <r>
      <rPr>
        <b/>
        <sz val="9"/>
        <rFont val="宋体"/>
        <charset val="134"/>
      </rPr>
      <t>其他非流动资产</t>
    </r>
    <r>
      <rPr>
        <b/>
        <sz val="9"/>
        <rFont val="Arial Narrow"/>
        <charset val="134"/>
      </rPr>
      <t>-</t>
    </r>
    <r>
      <rPr>
        <b/>
        <sz val="9"/>
        <rFont val="宋体"/>
        <charset val="134"/>
      </rPr>
      <t>批露表</t>
    </r>
  </si>
  <si>
    <t>预付工程款</t>
  </si>
  <si>
    <t>预付设备款</t>
  </si>
  <si>
    <r>
      <rPr>
        <sz val="9"/>
        <color theme="0" tint="-0.249977111117893"/>
        <rFont val="宋体"/>
        <charset val="134"/>
      </rPr>
      <t>递延所得税资产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</si>
  <si>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）明细列示</t>
    </r>
  </si>
  <si>
    <r>
      <rPr>
        <b/>
        <sz val="9"/>
        <rFont val="Arial Narrow"/>
        <charset val="134"/>
      </rPr>
      <t>(</t>
    </r>
    <r>
      <rPr>
        <b/>
        <sz val="9"/>
        <rFont val="宋体"/>
        <charset val="134"/>
      </rPr>
      <t>二十七</t>
    </r>
    <r>
      <rPr>
        <b/>
        <sz val="9"/>
        <rFont val="Arial Narrow"/>
        <charset val="134"/>
      </rPr>
      <t>)</t>
    </r>
    <r>
      <rPr>
        <b/>
        <sz val="9"/>
        <rFont val="宋体"/>
        <charset val="134"/>
      </rPr>
      <t>递延所得税资产</t>
    </r>
    <r>
      <rPr>
        <b/>
        <sz val="9"/>
        <rFont val="Arial Narrow"/>
        <charset val="134"/>
      </rPr>
      <t>-</t>
    </r>
    <r>
      <rPr>
        <b/>
        <sz val="9"/>
        <rFont val="宋体"/>
        <charset val="134"/>
      </rPr>
      <t>披露表</t>
    </r>
  </si>
  <si>
    <t>特别提示：递延所得税资产和递延所得税负债不以抵销后的净额列示的，填写表格（一），若递延所得税资产和递延所得税负债以抵销后的净额列示的，填写表格（二）及（一）2-4项</t>
  </si>
  <si>
    <r>
      <rPr>
        <b/>
        <sz val="9"/>
        <color rgb="FFFF0000"/>
        <rFont val="宋体"/>
        <charset val="134"/>
      </rPr>
      <t>特别提示：递延所得税资产和递延所得税负债不以抵销后的净额列示的，填写表格（一），若递延所得税资产和递延所得税负债以抵销后的净额列示的，填写表格（二）及（一）</t>
    </r>
    <r>
      <rPr>
        <b/>
        <sz val="9"/>
        <color rgb="FFFF0000"/>
        <rFont val="Arial Narrow"/>
        <charset val="134"/>
      </rPr>
      <t>2-4</t>
    </r>
    <r>
      <rPr>
        <b/>
        <sz val="9"/>
        <color rgb="FFFF0000"/>
        <rFont val="宋体"/>
        <charset val="134"/>
      </rPr>
      <t>项</t>
    </r>
  </si>
  <si>
    <t>（一） 递延所得税资产和递延所得税负债不以抵销后的净额列示</t>
  </si>
  <si>
    <r>
      <rPr>
        <b/>
        <sz val="9"/>
        <rFont val="宋体"/>
        <charset val="134"/>
      </rPr>
      <t>（一）</t>
    </r>
    <r>
      <rPr>
        <b/>
        <sz val="9"/>
        <rFont val="Arial Narrow"/>
        <charset val="134"/>
      </rPr>
      <t xml:space="preserve"> </t>
    </r>
    <r>
      <rPr>
        <b/>
        <sz val="9"/>
        <rFont val="宋体"/>
        <charset val="134"/>
      </rPr>
      <t>递延所得税资产和递延所得税负债不以抵销后的净额列示</t>
    </r>
  </si>
  <si>
    <t>(期初请点击连接填写)</t>
  </si>
  <si>
    <t>（1）明细列示</t>
  </si>
  <si>
    <r>
      <rPr>
        <sz val="9"/>
        <rFont val="宋体"/>
        <charset val="134"/>
      </rPr>
      <t>（</t>
    </r>
    <r>
      <rPr>
        <sz val="9"/>
        <rFont val="Arial Narrow"/>
        <charset val="134"/>
      </rPr>
      <t>1</t>
    </r>
    <r>
      <rPr>
        <sz val="9"/>
        <rFont val="宋体"/>
        <charset val="134"/>
      </rPr>
      <t>）明细列示</t>
    </r>
  </si>
  <si>
    <t>期未递延所得税率：</t>
  </si>
  <si>
    <t>期初递延所得税率：</t>
  </si>
  <si>
    <r>
      <rPr>
        <sz val="9"/>
        <color theme="7" tint="0.599993896298105"/>
        <rFont val="宋体"/>
        <charset val="134"/>
      </rPr>
      <t>（</t>
    </r>
    <r>
      <rPr>
        <sz val="9"/>
        <color theme="7" tint="0.599993896298105"/>
        <rFont val="Arial Narrow"/>
        <charset val="134"/>
      </rPr>
      <t>1）明细列示</t>
    </r>
  </si>
  <si>
    <t>对应的暂时性差异金额</t>
  </si>
  <si>
    <t>递延所得税测算差异</t>
  </si>
  <si>
    <r>
      <rPr>
        <sz val="9"/>
        <rFont val="Arial Narrow"/>
        <charset val="134"/>
      </rPr>
      <t>1</t>
    </r>
    <r>
      <rPr>
        <sz val="9"/>
        <rFont val="宋体"/>
        <charset val="134"/>
      </rPr>
      <t>、资产减值准备：</t>
    </r>
  </si>
  <si>
    <r>
      <rPr>
        <sz val="9"/>
        <rFont val="Arial Narrow"/>
        <charset val="134"/>
      </rPr>
      <t xml:space="preserve">      </t>
    </r>
    <r>
      <rPr>
        <sz val="9"/>
        <rFont val="宋体"/>
        <charset val="134"/>
      </rPr>
      <t>其中：</t>
    </r>
    <r>
      <rPr>
        <sz val="9"/>
        <rFont val="宋体"/>
        <charset val="134"/>
      </rPr>
      <t>坏账准备</t>
    </r>
  </si>
  <si>
    <r>
      <rPr>
        <sz val="9"/>
        <rFont val="Arial Narrow"/>
        <charset val="134"/>
      </rPr>
      <t xml:space="preserve">           </t>
    </r>
    <r>
      <rPr>
        <sz val="9"/>
        <rFont val="宋体"/>
        <charset val="134"/>
      </rPr>
      <t>存货减值</t>
    </r>
  </si>
  <si>
    <r>
      <rPr>
        <sz val="9"/>
        <rFont val="Arial Narrow"/>
        <charset val="134"/>
      </rPr>
      <t xml:space="preserve">           </t>
    </r>
    <r>
      <rPr>
        <sz val="9"/>
        <rFont val="宋体"/>
        <charset val="134"/>
      </rPr>
      <t>在建工程减值</t>
    </r>
  </si>
  <si>
    <r>
      <rPr>
        <sz val="9"/>
        <rFont val="Arial Narrow"/>
        <charset val="134"/>
      </rPr>
      <t xml:space="preserve">           </t>
    </r>
    <r>
      <rPr>
        <sz val="9"/>
        <rFont val="宋体"/>
        <charset val="134"/>
      </rPr>
      <t>长期股权投资减值</t>
    </r>
  </si>
  <si>
    <r>
      <rPr>
        <sz val="9"/>
        <rFont val="Arial Narrow"/>
        <charset val="134"/>
      </rPr>
      <t xml:space="preserve">           </t>
    </r>
    <r>
      <rPr>
        <sz val="9"/>
        <rFont val="宋体"/>
        <charset val="134"/>
      </rPr>
      <t>固定资产减值</t>
    </r>
  </si>
  <si>
    <r>
      <rPr>
        <sz val="9"/>
        <rFont val="Arial Narrow"/>
        <charset val="134"/>
      </rPr>
      <t xml:space="preserve">            </t>
    </r>
    <r>
      <rPr>
        <sz val="9"/>
        <rFont val="宋体"/>
        <charset val="134"/>
      </rPr>
      <t>无形资产减值</t>
    </r>
  </si>
  <si>
    <r>
      <rPr>
        <sz val="9"/>
        <rFont val="Arial Narrow"/>
        <charset val="134"/>
      </rPr>
      <t xml:space="preserve">            </t>
    </r>
    <r>
      <rPr>
        <sz val="9"/>
        <rFont val="宋体"/>
        <charset val="134"/>
      </rPr>
      <t>商誉减值</t>
    </r>
  </si>
  <si>
    <r>
      <rPr>
        <sz val="9"/>
        <rFont val="Arial Narrow"/>
        <charset val="134"/>
      </rPr>
      <t>2</t>
    </r>
    <r>
      <rPr>
        <sz val="9"/>
        <rFont val="宋体"/>
        <charset val="134"/>
      </rPr>
      <t>、预计后期到票的无票支出</t>
    </r>
  </si>
  <si>
    <r>
      <rPr>
        <sz val="9"/>
        <rFont val="Arial Narrow"/>
        <charset val="134"/>
      </rPr>
      <t>3</t>
    </r>
    <r>
      <rPr>
        <sz val="9"/>
        <rFont val="宋体"/>
        <charset val="134"/>
      </rPr>
      <t>、分期付款购入存货融资费用</t>
    </r>
  </si>
  <si>
    <t>4、非同一控制下企业合并产生递延所得税资产</t>
  </si>
  <si>
    <t>5、计提未付的工资</t>
  </si>
  <si>
    <r>
      <rPr>
        <sz val="9"/>
        <rFont val="Arial Narrow"/>
        <charset val="134"/>
      </rPr>
      <t>6</t>
    </r>
    <r>
      <rPr>
        <sz val="9"/>
        <rFont val="宋体"/>
        <charset val="134"/>
      </rPr>
      <t>、递延收益</t>
    </r>
  </si>
  <si>
    <r>
      <rPr>
        <sz val="9"/>
        <rFont val="Arial Narrow"/>
        <charset val="134"/>
      </rPr>
      <t>7</t>
    </r>
    <r>
      <rPr>
        <sz val="9"/>
        <rFont val="宋体"/>
        <charset val="134"/>
      </rPr>
      <t>、内部交易未实现损益</t>
    </r>
  </si>
  <si>
    <r>
      <rPr>
        <sz val="9"/>
        <rFont val="Arial Narrow"/>
        <charset val="134"/>
      </rPr>
      <t>1</t>
    </r>
    <r>
      <rPr>
        <sz val="9"/>
        <rFont val="宋体"/>
        <charset val="134"/>
      </rPr>
      <t>、交易性金融工具、衍生金融工具的估值</t>
    </r>
  </si>
  <si>
    <r>
      <rPr>
        <sz val="9"/>
        <rFont val="Arial Narrow"/>
        <charset val="134"/>
      </rPr>
      <t>2</t>
    </r>
    <r>
      <rPr>
        <sz val="9"/>
        <rFont val="宋体"/>
        <charset val="134"/>
      </rPr>
      <t>、计入资本公积的可供出售金融资产公允价值变动</t>
    </r>
  </si>
  <si>
    <t>3、非同一控制下企业合并产生递延所得税负债</t>
  </si>
  <si>
    <t>4、内部交易未实现损益</t>
  </si>
  <si>
    <t>5、固定资产评估增值</t>
  </si>
  <si>
    <r>
      <rPr>
        <sz val="9"/>
        <rFont val="宋体"/>
        <charset val="134"/>
      </rPr>
      <t>新增项目</t>
    </r>
    <r>
      <rPr>
        <sz val="9"/>
        <rFont val="Arial Narrow"/>
        <charset val="134"/>
      </rPr>
      <t>4……</t>
    </r>
  </si>
  <si>
    <r>
      <rPr>
        <sz val="9"/>
        <rFont val="宋体"/>
        <charset val="134"/>
      </rPr>
      <t>新增项目</t>
    </r>
    <r>
      <rPr>
        <sz val="9"/>
        <rFont val="Arial Narrow"/>
        <charset val="134"/>
      </rPr>
      <t>5……</t>
    </r>
  </si>
  <si>
    <r>
      <rPr>
        <sz val="9"/>
        <rFont val="宋体"/>
        <charset val="134"/>
      </rPr>
      <t>新增项目</t>
    </r>
    <r>
      <rPr>
        <sz val="9"/>
        <rFont val="Arial Narrow"/>
        <charset val="134"/>
      </rPr>
      <t>6……</t>
    </r>
  </si>
  <si>
    <r>
      <rPr>
        <sz val="9"/>
        <rFont val="宋体"/>
        <charset val="134"/>
      </rPr>
      <t>新增项目</t>
    </r>
    <r>
      <rPr>
        <sz val="9"/>
        <rFont val="Arial Narrow"/>
        <charset val="134"/>
      </rPr>
      <t>7……</t>
    </r>
  </si>
  <si>
    <r>
      <rPr>
        <sz val="9"/>
        <rFont val="宋体"/>
        <charset val="134"/>
      </rPr>
      <t>新增项目</t>
    </r>
    <r>
      <rPr>
        <sz val="9"/>
        <rFont val="Arial Narrow"/>
        <charset val="134"/>
      </rPr>
      <t>8……</t>
    </r>
  </si>
  <si>
    <r>
      <rPr>
        <sz val="9"/>
        <rFont val="宋体"/>
        <charset val="134"/>
      </rPr>
      <t>新增项目</t>
    </r>
    <r>
      <rPr>
        <sz val="9"/>
        <rFont val="Arial Narrow"/>
        <charset val="134"/>
      </rPr>
      <t>9……</t>
    </r>
  </si>
  <si>
    <r>
      <rPr>
        <sz val="9"/>
        <rFont val="宋体"/>
        <charset val="134"/>
      </rPr>
      <t>新增项目</t>
    </r>
    <r>
      <rPr>
        <sz val="9"/>
        <rFont val="Arial Narrow"/>
        <charset val="134"/>
      </rPr>
      <t>10……</t>
    </r>
  </si>
  <si>
    <t>报表项目-递延所得税资产</t>
  </si>
  <si>
    <r>
      <rPr>
        <sz val="9"/>
        <rFont val="宋体"/>
        <charset val="134"/>
      </rPr>
      <t>报表项目</t>
    </r>
    <r>
      <rPr>
        <sz val="9"/>
        <rFont val="Arial Narrow"/>
        <charset val="134"/>
      </rPr>
      <t>-</t>
    </r>
    <r>
      <rPr>
        <sz val="9"/>
        <rFont val="宋体"/>
        <charset val="134"/>
      </rPr>
      <t>递延所得税资产</t>
    </r>
  </si>
  <si>
    <t>报表项目-递延所得税负债</t>
  </si>
  <si>
    <r>
      <rPr>
        <sz val="9"/>
        <rFont val="宋体"/>
        <charset val="134"/>
      </rPr>
      <t>报表项目</t>
    </r>
    <r>
      <rPr>
        <sz val="9"/>
        <rFont val="Arial Narrow"/>
        <charset val="134"/>
      </rPr>
      <t>-</t>
    </r>
    <r>
      <rPr>
        <sz val="9"/>
        <rFont val="宋体"/>
        <charset val="134"/>
      </rPr>
      <t>递延所得税负债</t>
    </r>
  </si>
  <si>
    <r>
      <rPr>
        <sz val="9"/>
        <color theme="7" tint="0.599993896298105"/>
        <rFont val="宋体"/>
        <charset val="134"/>
      </rPr>
      <t>（</t>
    </r>
    <r>
      <rPr>
        <sz val="9"/>
        <color theme="7" tint="0.599993896298105"/>
        <rFont val="Arial Narrow"/>
        <charset val="134"/>
      </rPr>
      <t>2</t>
    </r>
    <r>
      <rPr>
        <sz val="9"/>
        <color theme="7" tint="0.599993896298105"/>
        <rFont val="宋体"/>
        <charset val="134"/>
      </rPr>
      <t>）未确认递延所得税资产明细</t>
    </r>
  </si>
  <si>
    <r>
      <rPr>
        <sz val="9"/>
        <rFont val="宋体"/>
        <charset val="134"/>
      </rPr>
      <t>（</t>
    </r>
    <r>
      <rPr>
        <sz val="9"/>
        <rFont val="Arial Narrow"/>
        <charset val="134"/>
      </rPr>
      <t>2</t>
    </r>
    <r>
      <rPr>
        <sz val="9"/>
        <rFont val="宋体"/>
        <charset val="134"/>
      </rPr>
      <t>）未确认递延所得税资产明细</t>
    </r>
  </si>
  <si>
    <r>
      <rPr>
        <sz val="9"/>
        <color theme="7" tint="0.599993896298105"/>
        <rFont val="宋体"/>
        <charset val="134"/>
      </rPr>
      <t>（</t>
    </r>
    <r>
      <rPr>
        <sz val="9"/>
        <color theme="7" tint="0.599993896298105"/>
        <rFont val="Arial Narrow"/>
        <charset val="134"/>
      </rPr>
      <t>2）未确认递延所得税资产明细</t>
    </r>
  </si>
  <si>
    <r>
      <rPr>
        <sz val="9"/>
        <rFont val="宋体"/>
        <charset val="134"/>
      </rPr>
      <t>新增项目</t>
    </r>
    <r>
      <rPr>
        <sz val="9"/>
        <rFont val="Arial Narrow"/>
        <charset val="134"/>
      </rPr>
      <t>1……</t>
    </r>
  </si>
  <si>
    <r>
      <rPr>
        <sz val="9"/>
        <rFont val="宋体"/>
        <charset val="134"/>
      </rPr>
      <t>新增项目</t>
    </r>
    <r>
      <rPr>
        <sz val="9"/>
        <rFont val="Arial Narrow"/>
        <charset val="134"/>
      </rPr>
      <t>2……</t>
    </r>
  </si>
  <si>
    <r>
      <rPr>
        <sz val="9"/>
        <rFont val="宋体"/>
        <charset val="134"/>
      </rPr>
      <t>新增项目</t>
    </r>
    <r>
      <rPr>
        <sz val="9"/>
        <rFont val="Arial Narrow"/>
        <charset val="134"/>
      </rPr>
      <t>3……</t>
    </r>
  </si>
  <si>
    <r>
      <rPr>
        <sz val="9"/>
        <rFont val="宋体"/>
        <charset val="134"/>
      </rPr>
      <t>（</t>
    </r>
    <r>
      <rPr>
        <sz val="9"/>
        <rFont val="Arial Narrow"/>
        <charset val="134"/>
      </rPr>
      <t>3</t>
    </r>
    <r>
      <rPr>
        <sz val="9"/>
        <rFont val="宋体"/>
        <charset val="134"/>
      </rPr>
      <t>）未确认递延所得税资产的可抵扣亏损将于以下年度到期</t>
    </r>
  </si>
  <si>
    <t>年份</t>
  </si>
  <si>
    <t>（4）引起暂时性差异的资产或负债对应的暂时性差异</t>
  </si>
  <si>
    <r>
      <rPr>
        <sz val="9"/>
        <rFont val="宋体"/>
        <charset val="134"/>
      </rPr>
      <t>（</t>
    </r>
    <r>
      <rPr>
        <sz val="9"/>
        <rFont val="Arial Narrow"/>
        <charset val="134"/>
      </rPr>
      <t>4</t>
    </r>
    <r>
      <rPr>
        <sz val="9"/>
        <rFont val="宋体"/>
        <charset val="134"/>
      </rPr>
      <t>）引起暂时性差异的资产或负债对应的暂时性差异</t>
    </r>
  </si>
  <si>
    <t>应纳税差异项目：</t>
  </si>
  <si>
    <t>可抵扣差异项目：</t>
  </si>
  <si>
    <r>
      <rPr>
        <b/>
        <sz val="9"/>
        <rFont val="宋体"/>
        <charset val="134"/>
      </rPr>
      <t>（</t>
    </r>
    <r>
      <rPr>
        <b/>
        <sz val="9"/>
        <rFont val="Arial Narrow"/>
        <charset val="134"/>
      </rPr>
      <t>1</t>
    </r>
    <r>
      <rPr>
        <b/>
        <sz val="9"/>
        <rFont val="宋体"/>
        <charset val="134"/>
      </rPr>
      <t>）互抵后的递延所得税资产及负债的组成项目</t>
    </r>
  </si>
  <si>
    <t>（2）递延所得税资产和递延所得税负债互抵明细</t>
  </si>
  <si>
    <r>
      <rPr>
        <sz val="9"/>
        <rFont val="宋体"/>
        <charset val="134"/>
      </rPr>
      <t>（</t>
    </r>
    <r>
      <rPr>
        <sz val="9"/>
        <rFont val="Arial Narrow"/>
        <charset val="134"/>
      </rPr>
      <t>2</t>
    </r>
    <r>
      <rPr>
        <sz val="9"/>
        <rFont val="宋体"/>
        <charset val="134"/>
      </rPr>
      <t>）递延所得税资产和递延所得税负债互抵明细</t>
    </r>
  </si>
  <si>
    <t>本期互抵金额</t>
  </si>
  <si>
    <t>注：递延所得税资产和递延所得税负债说明：</t>
  </si>
  <si>
    <r>
      <rPr>
        <sz val="9"/>
        <color theme="0" tint="-0.249977111117893"/>
        <rFont val="宋体"/>
        <charset val="134"/>
      </rPr>
      <t>资产减值准备</t>
    </r>
    <r>
      <rPr>
        <sz val="9"/>
        <color theme="0" tint="-0.249977111117893"/>
        <rFont val="Arial Narrow"/>
        <charset val="134"/>
      </rPr>
      <t>-</t>
    </r>
    <r>
      <rPr>
        <sz val="9"/>
        <color theme="0" tint="-0.249977111117893"/>
        <rFont val="宋体"/>
        <charset val="134"/>
      </rPr>
      <t>批露表</t>
    </r>
  </si>
  <si>
    <r>
      <rPr>
        <b/>
        <sz val="9"/>
        <rFont val="宋体"/>
        <charset val="134"/>
      </rPr>
      <t>（二十八）资产减值准备</t>
    </r>
    <r>
      <rPr>
        <b/>
        <sz val="9"/>
        <rFont val="Arial Narrow"/>
        <charset val="134"/>
      </rPr>
      <t>-</t>
    </r>
    <r>
      <rPr>
        <b/>
        <sz val="9"/>
        <rFont val="宋体"/>
        <charset val="134"/>
      </rPr>
      <t>批露表</t>
    </r>
  </si>
  <si>
    <t>本期收购子公司增加</t>
  </si>
  <si>
    <t>本期出售子公司减少</t>
  </si>
  <si>
    <t>附注勾稽：期未余额与各科目减值期未余额核对</t>
  </si>
  <si>
    <t>附注勾稽：期初余额与各科目减值期初余额核对</t>
  </si>
  <si>
    <t>（二十九）所有权受到限制的资产-批露表</t>
  </si>
  <si>
    <r>
      <rPr>
        <sz val="9"/>
        <color theme="0" tint="-0.249977111117893"/>
        <rFont val="宋体"/>
        <charset val="134"/>
      </rPr>
      <t>所有权受到限制的资产</t>
    </r>
    <r>
      <rPr>
        <sz val="9"/>
        <color theme="0" tint="-0.249977111117893"/>
        <rFont val="Arial Narrow"/>
        <charset val="134"/>
      </rPr>
      <t>-</t>
    </r>
    <r>
      <rPr>
        <sz val="9"/>
        <color theme="0" tint="-0.249977111117893"/>
        <rFont val="宋体"/>
        <charset val="134"/>
      </rPr>
      <t>批露表</t>
    </r>
  </si>
  <si>
    <t>（1）所有权受到限制的资产</t>
  </si>
  <si>
    <r>
      <rPr>
        <b/>
        <sz val="9"/>
        <rFont val="宋体"/>
        <charset val="134"/>
      </rPr>
      <t>（二十九）所有权受到限制的资产</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</si>
  <si>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）所有权受到限制的资产</t>
    </r>
  </si>
  <si>
    <t>所有权受到限制的资产</t>
  </si>
  <si>
    <t>1、房屋建筑物</t>
  </si>
  <si>
    <t>2、土地使用权</t>
  </si>
  <si>
    <t>3、机器设备</t>
  </si>
  <si>
    <t>4、在建工程</t>
  </si>
  <si>
    <t>1、应收账款</t>
  </si>
  <si>
    <t>2、应收票据</t>
  </si>
  <si>
    <t>3、货币资金</t>
  </si>
  <si>
    <r>
      <rPr>
        <u val="double"/>
        <sz val="9"/>
        <rFont val="宋体"/>
        <charset val="134"/>
      </rPr>
      <t>合</t>
    </r>
    <r>
      <rPr>
        <u val="double"/>
        <sz val="9"/>
        <rFont val="Arial Narrow"/>
        <charset val="134"/>
      </rPr>
      <t xml:space="preserve">    </t>
    </r>
    <r>
      <rPr>
        <u val="double"/>
        <sz val="9"/>
        <rFont val="宋体"/>
        <charset val="134"/>
      </rPr>
      <t>计</t>
    </r>
  </si>
  <si>
    <t xml:space="preserve">（2）资产所有权受到限制的原因为    </t>
  </si>
  <si>
    <r>
      <rPr>
        <sz val="9"/>
        <rFont val="宋体"/>
        <charset val="134"/>
      </rPr>
      <t>（</t>
    </r>
    <r>
      <rPr>
        <sz val="9"/>
        <rFont val="Arial Narrow"/>
        <charset val="134"/>
      </rPr>
      <t>2</t>
    </r>
    <r>
      <rPr>
        <sz val="9"/>
        <rFont val="宋体"/>
        <charset val="134"/>
      </rPr>
      <t>）资产所有权受到限制的原因为</t>
    </r>
    <r>
      <rPr>
        <sz val="9"/>
        <rFont val="Arial Narrow"/>
        <charset val="134"/>
      </rPr>
      <t xml:space="preserve">    </t>
    </r>
    <r>
      <rPr>
        <sz val="9"/>
        <rFont val="宋体"/>
        <charset val="134"/>
      </rPr>
      <t>（描述参照上市公司的报告</t>
    </r>
  </si>
  <si>
    <r>
      <rPr>
        <sz val="9"/>
        <color theme="0" tint="-0.249977111117893"/>
        <rFont val="宋体"/>
        <charset val="134"/>
      </rPr>
      <t>短期借款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</si>
  <si>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（三十）短期借款</t>
    </r>
    <r>
      <rPr>
        <sz val="9"/>
        <color theme="7" tint="0.599993896298105"/>
        <rFont val="Arial Narrow"/>
        <charset val="134"/>
      </rPr>
      <t>-</t>
    </r>
    <r>
      <rPr>
        <sz val="9"/>
        <color theme="7" tint="0.599993896298105"/>
        <rFont val="宋体"/>
        <charset val="134"/>
      </rPr>
      <t>披露表</t>
    </r>
  </si>
  <si>
    <r>
      <rPr>
        <b/>
        <sz val="9"/>
        <rFont val="宋体"/>
        <charset val="134"/>
      </rPr>
      <t>（三十）短期借款</t>
    </r>
    <r>
      <rPr>
        <b/>
        <sz val="9"/>
        <rFont val="Arial Narrow"/>
        <charset val="134"/>
      </rPr>
      <t>-</t>
    </r>
    <r>
      <rPr>
        <b/>
        <sz val="9"/>
        <rFont val="宋体"/>
        <charset val="134"/>
      </rPr>
      <t>披露表</t>
    </r>
  </si>
  <si>
    <t>借款类别</t>
  </si>
  <si>
    <t>抵押加保证借款</t>
  </si>
  <si>
    <t>抵押加质押借款</t>
  </si>
  <si>
    <r>
      <rPr>
        <sz val="9"/>
        <rFont val="Times New Roman"/>
        <charset val="134"/>
      </rPr>
      <t>合</t>
    </r>
    <r>
      <rPr>
        <sz val="9"/>
        <rFont val="Arial Narrow"/>
        <charset val="134"/>
      </rPr>
      <t xml:space="preserve">   </t>
    </r>
    <r>
      <rPr>
        <sz val="9"/>
        <rFont val="Times New Roman"/>
        <charset val="134"/>
      </rPr>
      <t>计</t>
    </r>
  </si>
  <si>
    <t>（2）已到期未偿还的借款</t>
  </si>
  <si>
    <r>
      <rPr>
        <sz val="9"/>
        <rFont val="宋体"/>
        <charset val="134"/>
      </rPr>
      <t>（</t>
    </r>
    <r>
      <rPr>
        <sz val="9"/>
        <rFont val="Arial Narrow"/>
        <charset val="134"/>
      </rPr>
      <t>2</t>
    </r>
    <r>
      <rPr>
        <sz val="9"/>
        <rFont val="宋体"/>
        <charset val="134"/>
      </rPr>
      <t>）已到期未偿还的借款</t>
    </r>
  </si>
  <si>
    <t>本金</t>
  </si>
  <si>
    <t>资金用途</t>
  </si>
  <si>
    <t>期后是否偿还</t>
  </si>
  <si>
    <t>（3）若已到期的短期借款获得展期，展期条件、新的到期日为。</t>
  </si>
  <si>
    <r>
      <rPr>
        <sz val="9"/>
        <rFont val="宋体"/>
        <charset val="134"/>
      </rPr>
      <t>（</t>
    </r>
    <r>
      <rPr>
        <sz val="9"/>
        <rFont val="Arial Narrow"/>
        <charset val="134"/>
      </rPr>
      <t>3</t>
    </r>
    <r>
      <rPr>
        <sz val="9"/>
        <rFont val="宋体"/>
        <charset val="134"/>
      </rPr>
      <t>）若已到期的短期借款获得展期，展期条件、新的到期日为。</t>
    </r>
  </si>
  <si>
    <r>
      <rPr>
        <sz val="9"/>
        <color theme="0" tint="-0.249977111117893"/>
        <rFont val="宋体"/>
        <charset val="134"/>
      </rPr>
      <t>交易性金融负债</t>
    </r>
    <r>
      <rPr>
        <sz val="9"/>
        <color theme="0" tint="-0.249977111117893"/>
        <rFont val="Arial Narrow"/>
        <charset val="134"/>
      </rPr>
      <t>-</t>
    </r>
    <r>
      <rPr>
        <sz val="9"/>
        <color theme="0" tint="-0.249977111117893"/>
        <rFont val="宋体"/>
        <charset val="134"/>
      </rPr>
      <t>披露表</t>
    </r>
  </si>
  <si>
    <r>
      <rPr>
        <b/>
        <sz val="9"/>
        <rFont val="宋体"/>
        <charset val="134"/>
      </rPr>
      <t>（三十一）交易性金融负债</t>
    </r>
    <r>
      <rPr>
        <b/>
        <sz val="9"/>
        <rFont val="Arial Narrow"/>
        <charset val="134"/>
      </rPr>
      <t>-</t>
    </r>
    <r>
      <rPr>
        <b/>
        <sz val="9"/>
        <rFont val="宋体"/>
        <charset val="134"/>
      </rPr>
      <t>披露表</t>
    </r>
  </si>
  <si>
    <r>
      <rPr>
        <sz val="9"/>
        <rFont val="Times New Roman"/>
        <charset val="134"/>
      </rPr>
      <t>项</t>
    </r>
    <r>
      <rPr>
        <sz val="9"/>
        <rFont val="Arial Narrow"/>
        <charset val="134"/>
      </rPr>
      <t xml:space="preserve"> </t>
    </r>
    <r>
      <rPr>
        <sz val="9"/>
        <rFont val="Times New Roman"/>
        <charset val="134"/>
      </rPr>
      <t>目</t>
    </r>
  </si>
  <si>
    <r>
      <rPr>
        <sz val="9"/>
        <rFont val="Times New Roman"/>
        <charset val="134"/>
      </rPr>
      <t>合</t>
    </r>
    <r>
      <rPr>
        <sz val="9"/>
        <rFont val="Arial Narrow"/>
        <charset val="134"/>
      </rPr>
      <t xml:space="preserve"> </t>
    </r>
    <r>
      <rPr>
        <sz val="9"/>
        <rFont val="Times New Roman"/>
        <charset val="134"/>
      </rPr>
      <t>计</t>
    </r>
  </si>
  <si>
    <t>（2）期末交易性金融负债数据变动幅度达30%（含30%）以上，且占公司期末资产总额5%（含5%）以上的，应当说明变动原因。</t>
  </si>
  <si>
    <r>
      <rPr>
        <sz val="9"/>
        <rFont val="宋体"/>
        <charset val="134"/>
      </rPr>
      <t>（</t>
    </r>
    <r>
      <rPr>
        <sz val="9"/>
        <rFont val="Arial Narrow"/>
        <charset val="134"/>
      </rPr>
      <t>2</t>
    </r>
    <r>
      <rPr>
        <sz val="9"/>
        <rFont val="宋体"/>
        <charset val="134"/>
      </rPr>
      <t>）期末交易性金融负债数据变动幅度达</t>
    </r>
    <r>
      <rPr>
        <sz val="9"/>
        <rFont val="Arial Narrow"/>
        <charset val="134"/>
      </rPr>
      <t>30%</t>
    </r>
    <r>
      <rPr>
        <sz val="9"/>
        <rFont val="宋体"/>
        <charset val="134"/>
      </rPr>
      <t>（含</t>
    </r>
    <r>
      <rPr>
        <sz val="9"/>
        <rFont val="Arial Narrow"/>
        <charset val="134"/>
      </rPr>
      <t>30%</t>
    </r>
    <r>
      <rPr>
        <sz val="9"/>
        <rFont val="宋体"/>
        <charset val="134"/>
      </rPr>
      <t>）以上，且占公司期末资产总额</t>
    </r>
    <r>
      <rPr>
        <sz val="9"/>
        <rFont val="Arial Narrow"/>
        <charset val="134"/>
      </rPr>
      <t>5%</t>
    </r>
    <r>
      <rPr>
        <sz val="9"/>
        <rFont val="宋体"/>
        <charset val="134"/>
      </rPr>
      <t>（含</t>
    </r>
    <r>
      <rPr>
        <sz val="9"/>
        <rFont val="Arial Narrow"/>
        <charset val="134"/>
      </rPr>
      <t>5%</t>
    </r>
    <r>
      <rPr>
        <sz val="9"/>
        <rFont val="宋体"/>
        <charset val="134"/>
      </rPr>
      <t>）以上的，应当说明变动原因。</t>
    </r>
  </si>
  <si>
    <r>
      <rPr>
        <sz val="9"/>
        <color theme="0" tint="-0.249977111117893"/>
        <rFont val="宋体"/>
        <charset val="134"/>
      </rPr>
      <t>应付票据</t>
    </r>
    <r>
      <rPr>
        <sz val="9"/>
        <color theme="0" tint="-0.249977111117893"/>
        <rFont val="Arial Narrow"/>
        <charset val="134"/>
      </rPr>
      <t>-</t>
    </r>
    <r>
      <rPr>
        <sz val="9"/>
        <color theme="0" tint="-0.249977111117893"/>
        <rFont val="宋体"/>
        <charset val="134"/>
      </rPr>
      <t>披露表</t>
    </r>
  </si>
  <si>
    <r>
      <rPr>
        <b/>
        <sz val="9"/>
        <rFont val="宋体"/>
        <charset val="134"/>
      </rPr>
      <t>（三十二）应付票据</t>
    </r>
    <r>
      <rPr>
        <b/>
        <sz val="9"/>
        <rFont val="Arial Narrow"/>
        <charset val="134"/>
      </rPr>
      <t>-</t>
    </r>
    <r>
      <rPr>
        <b/>
        <sz val="9"/>
        <rFont val="宋体"/>
        <charset val="134"/>
      </rPr>
      <t>披露表</t>
    </r>
  </si>
  <si>
    <t>注：下一会计期间将到期的金额     元。</t>
  </si>
  <si>
    <r>
      <rPr>
        <b/>
        <sz val="9"/>
        <color rgb="FFFF0000"/>
        <rFont val="宋体"/>
        <charset val="134"/>
      </rPr>
      <t>注：下一会计期间将到期的金额</t>
    </r>
    <r>
      <rPr>
        <b/>
        <sz val="9"/>
        <color rgb="FFFF0000"/>
        <rFont val="Arial Narrow"/>
        <charset val="134"/>
      </rPr>
      <t xml:space="preserve">     </t>
    </r>
    <r>
      <rPr>
        <b/>
        <sz val="9"/>
        <color rgb="FFFF0000"/>
        <rFont val="宋体"/>
        <charset val="134"/>
      </rPr>
      <t>元。</t>
    </r>
  </si>
  <si>
    <r>
      <rPr>
        <sz val="9"/>
        <color theme="0" tint="-0.249977111117893"/>
        <rFont val="宋体"/>
        <charset val="134"/>
      </rPr>
      <t>应付账款</t>
    </r>
    <r>
      <rPr>
        <sz val="9"/>
        <color theme="0" tint="-0.249977111117893"/>
        <rFont val="Arial Narrow"/>
        <charset val="134"/>
      </rPr>
      <t>-</t>
    </r>
    <r>
      <rPr>
        <sz val="9"/>
        <color theme="0" tint="-0.249977111117893"/>
        <rFont val="宋体"/>
        <charset val="134"/>
      </rPr>
      <t>披露表</t>
    </r>
  </si>
  <si>
    <r>
      <rPr>
        <b/>
        <sz val="9"/>
        <rFont val="宋体"/>
        <charset val="134"/>
      </rPr>
      <t>（三十三）应付账款</t>
    </r>
    <r>
      <rPr>
        <b/>
        <sz val="9"/>
        <rFont val="Arial Narrow"/>
        <charset val="134"/>
      </rPr>
      <t>-</t>
    </r>
    <r>
      <rPr>
        <b/>
        <sz val="9"/>
        <rFont val="宋体"/>
        <charset val="134"/>
      </rPr>
      <t>披露表</t>
    </r>
  </si>
  <si>
    <t>账龄勾稽核对：</t>
  </si>
  <si>
    <t>材料款</t>
  </si>
  <si>
    <t>劳务费</t>
  </si>
  <si>
    <t>服务费</t>
  </si>
  <si>
    <t>节能服务资产款项</t>
  </si>
  <si>
    <t>（1）期末账龄超过1年的大额应付账款元，未偿还或未结转的原因为，在资产负债表日后偿还元。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</si>
  <si>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年的重要应付款，未及时结算的原因</t>
    </r>
    <r>
      <rPr>
        <b/>
        <sz val="9"/>
        <color rgb="FFFF0000"/>
        <rFont val="宋体"/>
        <charset val="134"/>
      </rPr>
      <t>（</t>
    </r>
    <r>
      <rPr>
        <b/>
        <sz val="9"/>
        <color rgb="FFFF0000"/>
        <rFont val="Arial Narrow"/>
        <charset val="134"/>
      </rPr>
      <t>50</t>
    </r>
    <r>
      <rPr>
        <b/>
        <sz val="9"/>
        <color rgb="FFFF0000"/>
        <rFont val="宋体"/>
        <charset val="134"/>
      </rPr>
      <t>万以上）</t>
    </r>
  </si>
  <si>
    <t>分明细列：</t>
  </si>
  <si>
    <t>占总额比例</t>
  </si>
  <si>
    <t>资产负债表日后偿还金额</t>
  </si>
  <si>
    <t>深圳市邦贝尔电子有限公司</t>
  </si>
  <si>
    <t>货款</t>
  </si>
  <si>
    <r>
      <rPr>
        <sz val="9"/>
        <rFont val="Arial Narrow"/>
        <charset val="134"/>
      </rPr>
      <t>1-3</t>
    </r>
    <r>
      <rPr>
        <sz val="9"/>
        <rFont val="宋体"/>
        <charset val="134"/>
      </rPr>
      <t>年</t>
    </r>
  </si>
  <si>
    <r>
      <rPr>
        <sz val="9"/>
        <rFont val="宋体"/>
        <charset val="134"/>
      </rPr>
      <t>合计</t>
    </r>
  </si>
  <si>
    <t>（2）欠持有本公司5%（含5%）以上表决权股份的股东单位金额元。（如无此类欠款，也应说明。）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</si>
  <si>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）以上表决权股份的股东单位金额元。</t>
    </r>
  </si>
  <si>
    <r>
      <rPr>
        <sz val="9"/>
        <rFont val="宋体"/>
        <charset val="134"/>
      </rPr>
      <t>（</t>
    </r>
    <r>
      <rPr>
        <sz val="9"/>
        <rFont val="Arial Narrow"/>
        <charset val="134"/>
      </rPr>
      <t>2</t>
    </r>
    <r>
      <rPr>
        <sz val="9"/>
        <rFont val="宋体"/>
        <charset val="134"/>
      </rPr>
      <t>）欠持有本公司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）以上表决权股份的股东单位金额元。（如无此类欠款，也应说明。）</t>
    </r>
  </si>
  <si>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5%）以上表决权股份的股东单位金额元。</t>
    </r>
  </si>
  <si>
    <t>注：如无此类欠款，也应说明。</t>
  </si>
  <si>
    <t>（4）应付账款前五名</t>
  </si>
  <si>
    <r>
      <rPr>
        <sz val="9"/>
        <rFont val="宋体"/>
        <charset val="134"/>
      </rPr>
      <t>（</t>
    </r>
    <r>
      <rPr>
        <sz val="9"/>
        <rFont val="Arial Narrow"/>
        <charset val="134"/>
      </rPr>
      <t>4</t>
    </r>
    <r>
      <rPr>
        <sz val="9"/>
        <rFont val="宋体"/>
        <charset val="134"/>
      </rPr>
      <t>）应付账款前五名</t>
    </r>
  </si>
  <si>
    <t>占应付账款总额的比例</t>
  </si>
  <si>
    <r>
      <rPr>
        <sz val="9"/>
        <color theme="0" tint="-0.249977111117893"/>
        <rFont val="宋体"/>
        <charset val="134"/>
      </rPr>
      <t>预收款项</t>
    </r>
    <r>
      <rPr>
        <sz val="9"/>
        <color theme="0" tint="-0.249977111117893"/>
        <rFont val="Arial Narrow"/>
        <charset val="134"/>
      </rPr>
      <t>-</t>
    </r>
    <r>
      <rPr>
        <sz val="9"/>
        <color theme="0" tint="-0.249977111117893"/>
        <rFont val="宋体"/>
        <charset val="134"/>
      </rPr>
      <t>披露表</t>
    </r>
  </si>
  <si>
    <r>
      <rPr>
        <b/>
        <sz val="9"/>
        <rFont val="宋体"/>
        <charset val="134"/>
      </rPr>
      <t>（三十四）预收款项</t>
    </r>
    <r>
      <rPr>
        <b/>
        <sz val="9"/>
        <rFont val="Arial Narrow"/>
        <charset val="134"/>
      </rPr>
      <t>-</t>
    </r>
    <r>
      <rPr>
        <b/>
        <sz val="9"/>
        <rFont val="宋体"/>
        <charset val="134"/>
      </rPr>
      <t>披露表</t>
    </r>
  </si>
  <si>
    <t>预收账款</t>
  </si>
  <si>
    <t>（1）账龄超过1年的大额预收款项金额为       ，未偿还或未结转的原因为                。</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</si>
  <si>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年的大额预收款项金额为</t>
    </r>
    <r>
      <rPr>
        <sz val="9"/>
        <rFont val="Arial Narrow"/>
        <charset val="134"/>
      </rPr>
      <t xml:space="preserve">       </t>
    </r>
    <r>
      <rPr>
        <sz val="9"/>
        <rFont val="宋体"/>
        <charset val="134"/>
      </rPr>
      <t>，未偿还或未结转的原因为</t>
    </r>
    <r>
      <rPr>
        <sz val="9"/>
        <rFont val="Arial Narrow"/>
        <charset val="134"/>
      </rPr>
      <t xml:space="preserve">                </t>
    </r>
    <r>
      <rPr>
        <sz val="9"/>
        <rFont val="宋体"/>
        <charset val="134"/>
      </rPr>
      <t>。</t>
    </r>
  </si>
  <si>
    <t>分明细</t>
  </si>
  <si>
    <t>未偿还或未结转的原因</t>
  </si>
  <si>
    <t>（4）预收账款前五名</t>
  </si>
  <si>
    <t>（1）预收账款前五名</t>
  </si>
  <si>
    <r>
      <rPr>
        <sz val="9"/>
        <color theme="0" tint="-0.249977111117893"/>
        <rFont val="宋体"/>
        <charset val="134"/>
      </rPr>
      <t>应付职工薪酬</t>
    </r>
    <r>
      <rPr>
        <sz val="9"/>
        <color theme="0" tint="-0.249977111117893"/>
        <rFont val="Arial Narrow"/>
        <charset val="134"/>
      </rPr>
      <t>-</t>
    </r>
    <r>
      <rPr>
        <sz val="9"/>
        <color theme="0" tint="-0.249977111117893"/>
        <rFont val="宋体"/>
        <charset val="134"/>
      </rPr>
      <t>披露表</t>
    </r>
  </si>
  <si>
    <r>
      <rPr>
        <b/>
        <sz val="9"/>
        <rFont val="宋体"/>
        <charset val="134"/>
      </rPr>
      <t>（三十五）应付职工薪酬</t>
    </r>
    <r>
      <rPr>
        <b/>
        <sz val="9"/>
        <rFont val="Arial Narrow"/>
        <charset val="134"/>
      </rPr>
      <t>-</t>
    </r>
    <r>
      <rPr>
        <b/>
        <sz val="9"/>
        <rFont val="宋体"/>
        <charset val="134"/>
      </rPr>
      <t>披露表</t>
    </r>
  </si>
  <si>
    <t>一、短期薪酬</t>
  </si>
  <si>
    <t xml:space="preserve">    1、工资、奖金、津贴和补贴</t>
  </si>
  <si>
    <t xml:space="preserve">    2、职工福利费</t>
  </si>
  <si>
    <t xml:space="preserve">    3、社会保险费</t>
  </si>
  <si>
    <t xml:space="preserve">     （1）医疗保险费</t>
  </si>
  <si>
    <t xml:space="preserve">     （2）工伤保险费</t>
  </si>
  <si>
    <t xml:space="preserve">     （3）生育保险费</t>
  </si>
  <si>
    <t xml:space="preserve">    4、住房公积金</t>
  </si>
  <si>
    <t xml:space="preserve">    5、工会经费和职工教育经费</t>
  </si>
  <si>
    <t xml:space="preserve">    6、短期带薪缺勤</t>
  </si>
  <si>
    <t xml:space="preserve">    7、短期利润分享计划</t>
  </si>
  <si>
    <t xml:space="preserve">    8、其他短期薪酬</t>
  </si>
  <si>
    <t>二、离职后福利-设定提存计划</t>
  </si>
  <si>
    <t xml:space="preserve">  1、基本养老保险</t>
  </si>
  <si>
    <t xml:space="preserve">    2、失业保险费</t>
  </si>
  <si>
    <t xml:space="preserve">    3、企业年金缴费</t>
  </si>
  <si>
    <t xml:space="preserve">    4、其他</t>
  </si>
  <si>
    <t>三、辞退福利</t>
  </si>
  <si>
    <t xml:space="preserve">    1、因解除劳动关系给予的补偿</t>
  </si>
  <si>
    <t xml:space="preserve">    2、其他</t>
  </si>
  <si>
    <t>四、一年内到期的其他福利</t>
  </si>
  <si>
    <r>
      <rPr>
        <sz val="9"/>
        <rFont val="Arial Narrow"/>
        <charset val="134"/>
      </rPr>
      <t xml:space="preserve">    1</t>
    </r>
    <r>
      <rPr>
        <sz val="9"/>
        <rFont val="宋体"/>
        <charset val="134"/>
      </rPr>
      <t>、项目</t>
    </r>
    <r>
      <rPr>
        <sz val="9"/>
        <rFont val="Arial Narrow"/>
        <charset val="134"/>
      </rPr>
      <t>1</t>
    </r>
  </si>
  <si>
    <r>
      <rPr>
        <sz val="9"/>
        <rFont val="Arial Narrow"/>
        <charset val="134"/>
      </rPr>
      <t xml:space="preserve">    2</t>
    </r>
    <r>
      <rPr>
        <sz val="9"/>
        <rFont val="宋体"/>
        <charset val="134"/>
      </rPr>
      <t>、项目</t>
    </r>
    <r>
      <rPr>
        <sz val="9"/>
        <rFont val="Arial Narrow"/>
        <charset val="134"/>
      </rPr>
      <t>2</t>
    </r>
  </si>
  <si>
    <r>
      <rPr>
        <sz val="9"/>
        <rFont val="宋体"/>
        <charset val="134"/>
      </rPr>
      <t>合</t>
    </r>
    <r>
      <rPr>
        <sz val="9"/>
        <rFont val="Arial Narrow"/>
        <charset val="134"/>
      </rPr>
      <t xml:space="preserve">  </t>
    </r>
    <r>
      <rPr>
        <sz val="9"/>
        <rFont val="宋体"/>
        <charset val="134"/>
      </rPr>
      <t>计</t>
    </r>
  </si>
  <si>
    <r>
      <rPr>
        <sz val="9"/>
        <color rgb="FFFF0000"/>
        <rFont val="宋体"/>
        <charset val="134"/>
      </rPr>
      <t>应付职工薪酬</t>
    </r>
    <r>
      <rPr>
        <sz val="9"/>
        <color rgb="FFFF0000"/>
        <rFont val="Arial Narrow"/>
        <charset val="134"/>
      </rPr>
      <t>-</t>
    </r>
    <r>
      <rPr>
        <sz val="9"/>
        <color rgb="FFFF0000"/>
        <rFont val="宋体"/>
        <charset val="134"/>
      </rPr>
      <t>披露表</t>
    </r>
  </si>
  <si>
    <t>（2）应付职工薪酬中属于拖欠性质的金额   元。工会经费和职工教育经费金额   元，非货币性福利金额   元，因解除劳动关系给予补偿   元。</t>
  </si>
  <si>
    <t>（3）应付职工薪酬预计发放的时间、金额的说明。</t>
  </si>
  <si>
    <r>
      <rPr>
        <sz val="9"/>
        <rFont val="宋体"/>
        <charset val="134"/>
      </rPr>
      <t>（</t>
    </r>
    <r>
      <rPr>
        <sz val="9"/>
        <rFont val="Arial Narrow"/>
        <charset val="134"/>
      </rPr>
      <t>3</t>
    </r>
    <r>
      <rPr>
        <sz val="9"/>
        <rFont val="宋体"/>
        <charset val="134"/>
      </rPr>
      <t>）应付职工薪酬预计发放的时间、金额的说明。</t>
    </r>
  </si>
  <si>
    <r>
      <rPr>
        <sz val="9"/>
        <color theme="0" tint="-0.249977111117893"/>
        <rFont val="宋体"/>
        <charset val="134"/>
      </rPr>
      <t>应交税费</t>
    </r>
    <r>
      <rPr>
        <sz val="9"/>
        <color theme="0" tint="-0.249977111117893"/>
        <rFont val="Arial Narrow"/>
        <charset val="134"/>
      </rPr>
      <t>-</t>
    </r>
    <r>
      <rPr>
        <sz val="9"/>
        <color theme="0" tint="-0.249977111117893"/>
        <rFont val="宋体"/>
        <charset val="134"/>
      </rPr>
      <t>披露表</t>
    </r>
  </si>
  <si>
    <r>
      <rPr>
        <b/>
        <sz val="9"/>
        <rFont val="宋体"/>
        <charset val="134"/>
      </rPr>
      <t>（三十六）应交税费</t>
    </r>
    <r>
      <rPr>
        <b/>
        <sz val="9"/>
        <rFont val="Arial Narrow"/>
        <charset val="134"/>
      </rPr>
      <t>-</t>
    </r>
    <r>
      <rPr>
        <b/>
        <sz val="9"/>
        <rFont val="宋体"/>
        <charset val="134"/>
      </rPr>
      <t>披露表</t>
    </r>
  </si>
  <si>
    <t>1、企业所得税</t>
  </si>
  <si>
    <t>2、增值税</t>
  </si>
  <si>
    <t>3、营业税</t>
  </si>
  <si>
    <t>4、消费税</t>
  </si>
  <si>
    <t>5、资源税</t>
  </si>
  <si>
    <t>6、土地增值税</t>
  </si>
  <si>
    <t>7、土地使用税</t>
  </si>
  <si>
    <t>8、房产税</t>
  </si>
  <si>
    <t>9、车船使用税</t>
  </si>
  <si>
    <t>10、城市维护建设税</t>
  </si>
  <si>
    <t>11、教育附加（含地方）</t>
  </si>
  <si>
    <t>12、矿产资源补偿费</t>
  </si>
  <si>
    <t>13、代扣代缴个人所得税</t>
  </si>
  <si>
    <t>14、印花税</t>
  </si>
  <si>
    <t>15、防洪保安费（堤围费）</t>
  </si>
  <si>
    <t>16、电力监管费</t>
  </si>
  <si>
    <t>17、水资源费</t>
  </si>
  <si>
    <t>18、库区维护费</t>
  </si>
  <si>
    <t>19、代扣代缴企业所得税</t>
  </si>
  <si>
    <t>20、其他1-地方水利建设基金</t>
  </si>
  <si>
    <t>21、其他2-价格调节基金</t>
  </si>
  <si>
    <t>22、其他3-排污费</t>
  </si>
  <si>
    <t>23、其他4-</t>
  </si>
  <si>
    <t>24、其他5-</t>
  </si>
  <si>
    <t>（2）应交税费说明，所在地税务机关同意各分公司、分厂之间应纳税所得额相互调剂的，应说明税款计算过程：</t>
  </si>
  <si>
    <r>
      <rPr>
        <sz val="9"/>
        <rFont val="宋体"/>
        <charset val="134"/>
      </rPr>
      <t>（</t>
    </r>
    <r>
      <rPr>
        <sz val="9"/>
        <rFont val="Arial Narrow"/>
        <charset val="134"/>
      </rPr>
      <t>2</t>
    </r>
    <r>
      <rPr>
        <sz val="9"/>
        <rFont val="宋体"/>
        <charset val="134"/>
      </rPr>
      <t>）应交税费说明，所在地税务机关同意各分公司、分厂之间应纳税所得额相互调剂的，应说明税款计算过程：</t>
    </r>
  </si>
  <si>
    <r>
      <rPr>
        <sz val="9"/>
        <color theme="0" tint="-0.249977111117893"/>
        <rFont val="宋体"/>
        <charset val="134"/>
      </rPr>
      <t>应付利息</t>
    </r>
    <r>
      <rPr>
        <sz val="9"/>
        <color theme="0" tint="-0.249977111117893"/>
        <rFont val="Arial Narrow"/>
        <charset val="134"/>
      </rPr>
      <t>-</t>
    </r>
    <r>
      <rPr>
        <sz val="9"/>
        <color theme="0" tint="-0.249977111117893"/>
        <rFont val="宋体"/>
        <charset val="134"/>
      </rPr>
      <t>批露表</t>
    </r>
  </si>
  <si>
    <r>
      <rPr>
        <b/>
        <sz val="9"/>
        <rFont val="宋体"/>
        <charset val="134"/>
      </rPr>
      <t>（三十七）</t>
    </r>
    <r>
      <rPr>
        <b/>
        <sz val="9"/>
        <rFont val="Arial Narrow"/>
        <charset val="134"/>
      </rPr>
      <t xml:space="preserve"> </t>
    </r>
    <r>
      <rPr>
        <b/>
        <sz val="9"/>
        <rFont val="宋体"/>
        <charset val="134"/>
      </rPr>
      <t>应付利息</t>
    </r>
    <r>
      <rPr>
        <b/>
        <sz val="9"/>
        <rFont val="Arial Narrow"/>
        <charset val="134"/>
      </rPr>
      <t>-</t>
    </r>
    <r>
      <rPr>
        <b/>
        <sz val="9"/>
        <rFont val="宋体"/>
        <charset val="134"/>
      </rPr>
      <t>批露表</t>
    </r>
  </si>
  <si>
    <t>（三十八）应付股利-披露表</t>
  </si>
  <si>
    <r>
      <rPr>
        <sz val="9"/>
        <color theme="0" tint="-0.249977111117893"/>
        <rFont val="宋体"/>
        <charset val="134"/>
      </rPr>
      <t>应付股利</t>
    </r>
    <r>
      <rPr>
        <sz val="9"/>
        <color theme="0" tint="-0.249977111117893"/>
        <rFont val="Arial Narrow"/>
        <charset val="134"/>
      </rPr>
      <t>-</t>
    </r>
    <r>
      <rPr>
        <sz val="9"/>
        <color theme="0" tint="-0.249977111117893"/>
        <rFont val="宋体"/>
        <charset val="134"/>
      </rPr>
      <t>披露表</t>
    </r>
  </si>
  <si>
    <r>
      <rPr>
        <b/>
        <sz val="9"/>
        <rFont val="宋体"/>
        <charset val="134"/>
      </rPr>
      <t>（三十八）应付股利</t>
    </r>
    <r>
      <rPr>
        <b/>
        <sz val="9"/>
        <rFont val="Arial Narrow"/>
        <charset val="134"/>
      </rPr>
      <t>-</t>
    </r>
    <r>
      <rPr>
        <b/>
        <sz val="9"/>
        <rFont val="宋体"/>
        <charset val="134"/>
      </rPr>
      <t>披露表</t>
    </r>
  </si>
  <si>
    <t>主要投资者名称</t>
  </si>
  <si>
    <r>
      <rPr>
        <sz val="9"/>
        <rFont val="宋体"/>
        <charset val="134"/>
      </rPr>
      <t>超过</t>
    </r>
    <r>
      <rPr>
        <sz val="9"/>
        <rFont val="Arial Narrow"/>
        <charset val="134"/>
      </rPr>
      <t>1</t>
    </r>
    <r>
      <rPr>
        <sz val="9"/>
        <rFont val="宋体"/>
        <charset val="134"/>
      </rPr>
      <t>年未支付原因</t>
    </r>
  </si>
  <si>
    <r>
      <rPr>
        <sz val="9"/>
        <color theme="0" tint="-0.249977111117893"/>
        <rFont val="宋体"/>
        <charset val="134"/>
      </rPr>
      <t>其他应付款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</si>
  <si>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（三十九）其他应付款</t>
    </r>
    <r>
      <rPr>
        <sz val="9"/>
        <color theme="7" tint="0.599993896298105"/>
        <rFont val="Arial Narrow"/>
        <charset val="134"/>
      </rPr>
      <t>-</t>
    </r>
    <r>
      <rPr>
        <sz val="9"/>
        <color theme="7" tint="0.599993896298105"/>
        <rFont val="宋体"/>
        <charset val="134"/>
      </rPr>
      <t>披露表</t>
    </r>
  </si>
  <si>
    <r>
      <rPr>
        <b/>
        <sz val="9"/>
        <rFont val="宋体"/>
        <charset val="134"/>
      </rPr>
      <t>（三十九）其他应付款</t>
    </r>
    <r>
      <rPr>
        <b/>
        <sz val="9"/>
        <rFont val="Arial Narrow"/>
        <charset val="134"/>
      </rPr>
      <t>-</t>
    </r>
    <r>
      <rPr>
        <b/>
        <sz val="9"/>
        <rFont val="宋体"/>
        <charset val="134"/>
      </rPr>
      <t>披露表</t>
    </r>
  </si>
  <si>
    <t>（1）账龄超过1年的大额其他应付款金额为元，未偿还的原因为，在资产负债表日后偿还元。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</si>
  <si>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年的大额其他应付款金额为元，未偿还的原因为，在资产负债表日后偿还元。</t>
    </r>
  </si>
  <si>
    <t>（2）期末应付持有本公司5%（含5%）以上表决权股份的股东单位或关联方情况</t>
  </si>
  <si>
    <r>
      <rPr>
        <sz val="9"/>
        <rFont val="宋体"/>
        <charset val="134"/>
      </rPr>
      <t>（</t>
    </r>
    <r>
      <rPr>
        <sz val="9"/>
        <rFont val="Arial Narrow"/>
        <charset val="134"/>
      </rPr>
      <t>2</t>
    </r>
    <r>
      <rPr>
        <sz val="9"/>
        <rFont val="宋体"/>
        <charset val="134"/>
      </rPr>
      <t>）期末应付持有本公司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）以上表决权股份的股东单位或关联方情况</t>
    </r>
  </si>
  <si>
    <t>（3）期末金额较大的其他应付款情况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</si>
  <si>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）期末金额较大的其他应付款情况</t>
    </r>
  </si>
  <si>
    <r>
      <rPr>
        <sz val="9"/>
        <rFont val="宋体"/>
        <charset val="134"/>
      </rPr>
      <t>（</t>
    </r>
    <r>
      <rPr>
        <sz val="9"/>
        <rFont val="Arial Narrow"/>
        <charset val="134"/>
      </rPr>
      <t>3</t>
    </r>
    <r>
      <rPr>
        <sz val="9"/>
        <rFont val="宋体"/>
        <charset val="134"/>
      </rPr>
      <t>）期末金额较大的其他应付款情况</t>
    </r>
  </si>
  <si>
    <t>金额较大标准</t>
  </si>
  <si>
    <t>单位名称/项目</t>
  </si>
  <si>
    <r>
      <rPr>
        <sz val="9"/>
        <rFont val="宋体"/>
        <charset val="134"/>
      </rPr>
      <t>单位名称</t>
    </r>
    <r>
      <rPr>
        <sz val="9"/>
        <rFont val="Arial Narrow"/>
        <charset val="134"/>
      </rPr>
      <t>/</t>
    </r>
    <r>
      <rPr>
        <sz val="9"/>
        <rFont val="宋体"/>
        <charset val="134"/>
      </rPr>
      <t>项目</t>
    </r>
  </si>
  <si>
    <r>
      <rPr>
        <sz val="9"/>
        <rFont val="Arial Narrow"/>
        <charset val="134"/>
      </rPr>
      <t xml:space="preserve">         </t>
    </r>
    <r>
      <rPr>
        <sz val="9"/>
        <rFont val="宋体"/>
        <charset val="134"/>
      </rPr>
      <t>金额</t>
    </r>
  </si>
  <si>
    <t>未付款原因</t>
  </si>
  <si>
    <r>
      <rPr>
        <sz val="9"/>
        <color theme="7" tint="0.599993896298105"/>
        <rFont val="宋体"/>
        <charset val="134"/>
      </rPr>
      <t>（</t>
    </r>
    <r>
      <rPr>
        <sz val="9"/>
        <color theme="7" tint="0.599993896298105"/>
        <rFont val="Arial Narrow"/>
        <charset val="134"/>
      </rPr>
      <t>3）期末金额较大的其他应付款情况</t>
    </r>
  </si>
  <si>
    <t>（5）其他应付款前五名</t>
  </si>
  <si>
    <r>
      <rPr>
        <sz val="9"/>
        <rFont val="宋体"/>
        <charset val="134"/>
      </rPr>
      <t>（</t>
    </r>
    <r>
      <rPr>
        <sz val="9"/>
        <rFont val="Arial Narrow"/>
        <charset val="134"/>
      </rPr>
      <t>5</t>
    </r>
    <r>
      <rPr>
        <sz val="9"/>
        <rFont val="宋体"/>
        <charset val="134"/>
      </rPr>
      <t>）其他应付款前五名</t>
    </r>
  </si>
  <si>
    <r>
      <rPr>
        <sz val="9"/>
        <color theme="0" tint="-0.249977111117893"/>
        <rFont val="宋体"/>
        <charset val="134"/>
      </rPr>
      <t>预计负债</t>
    </r>
    <r>
      <rPr>
        <sz val="9"/>
        <color theme="0" tint="-0.249977111117893"/>
        <rFont val="Arial Narrow"/>
        <charset val="134"/>
      </rPr>
      <t>-</t>
    </r>
    <r>
      <rPr>
        <sz val="9"/>
        <color theme="0" tint="-0.249977111117893"/>
        <rFont val="宋体"/>
        <charset val="134"/>
      </rPr>
      <t>批露表</t>
    </r>
  </si>
  <si>
    <r>
      <rPr>
        <b/>
        <sz val="9"/>
        <rFont val="宋体"/>
        <charset val="134"/>
      </rPr>
      <t>（四十）预计负债</t>
    </r>
    <r>
      <rPr>
        <b/>
        <sz val="9"/>
        <rFont val="Arial Narrow"/>
        <charset val="134"/>
      </rPr>
      <t>-</t>
    </r>
    <r>
      <rPr>
        <b/>
        <sz val="9"/>
        <rFont val="宋体"/>
        <charset val="134"/>
      </rPr>
      <t>批露表</t>
    </r>
  </si>
  <si>
    <t>（1）按种类列示</t>
  </si>
  <si>
    <r>
      <rPr>
        <sz val="9"/>
        <rFont val="宋体"/>
        <charset val="134"/>
      </rPr>
      <t>（</t>
    </r>
    <r>
      <rPr>
        <sz val="9"/>
        <rFont val="Arial Narrow"/>
        <charset val="134"/>
      </rPr>
      <t>1</t>
    </r>
    <r>
      <rPr>
        <sz val="9"/>
        <rFont val="宋体"/>
        <charset val="134"/>
      </rPr>
      <t>）按种类列示</t>
    </r>
  </si>
  <si>
    <r>
      <rPr>
        <u val="double"/>
        <sz val="9"/>
        <rFont val="宋体"/>
        <charset val="134"/>
      </rPr>
      <t>合</t>
    </r>
    <r>
      <rPr>
        <u val="double"/>
        <sz val="9"/>
        <rFont val="Arial Narrow"/>
        <charset val="134"/>
      </rPr>
      <t xml:space="preserve"> </t>
    </r>
    <r>
      <rPr>
        <u val="double"/>
        <sz val="9"/>
        <rFont val="宋体"/>
        <charset val="134"/>
      </rPr>
      <t>计</t>
    </r>
  </si>
  <si>
    <r>
      <rPr>
        <sz val="9"/>
        <color theme="0" tint="-0.249977111117893"/>
        <rFont val="宋体"/>
        <charset val="134"/>
      </rPr>
      <t>一年内到期的非流动负债</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</si>
  <si>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）按类别列示如下：</t>
    </r>
  </si>
  <si>
    <r>
      <rPr>
        <b/>
        <sz val="9"/>
        <rFont val="宋体"/>
        <charset val="134"/>
      </rPr>
      <t>（四十一）一年内到期的非流动负债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</si>
  <si>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）按类别列示如下：</t>
    </r>
  </si>
  <si>
    <r>
      <rPr>
        <sz val="9"/>
        <color theme="7" tint="0.599993896298105"/>
        <rFont val="宋体"/>
        <charset val="134"/>
      </rPr>
      <t>（</t>
    </r>
    <r>
      <rPr>
        <sz val="9"/>
        <color theme="7" tint="0.599993896298105"/>
        <rFont val="Arial Narrow"/>
        <charset val="134"/>
      </rPr>
      <t>1）按类别列示如下：</t>
    </r>
  </si>
  <si>
    <r>
      <rPr>
        <sz val="9"/>
        <rFont val="宋体"/>
        <charset val="134"/>
      </rPr>
      <t>合</t>
    </r>
    <r>
      <rPr>
        <sz val="9"/>
        <rFont val="Arial Narrow"/>
        <charset val="134"/>
      </rPr>
      <t xml:space="preserve">   </t>
    </r>
    <r>
      <rPr>
        <sz val="9"/>
        <rFont val="宋体"/>
        <charset val="134"/>
      </rPr>
      <t>计</t>
    </r>
  </si>
  <si>
    <r>
      <rPr>
        <sz val="9"/>
        <rFont val="宋体"/>
        <charset val="134"/>
      </rPr>
      <t>（</t>
    </r>
    <r>
      <rPr>
        <sz val="9"/>
        <rFont val="Arial Narrow"/>
        <charset val="134"/>
      </rPr>
      <t>2</t>
    </r>
    <r>
      <rPr>
        <sz val="9"/>
        <rFont val="宋体"/>
        <charset val="134"/>
      </rPr>
      <t>）一年内到期的长期借款</t>
    </r>
  </si>
  <si>
    <t>表间核对</t>
  </si>
  <si>
    <t>注：1年内到期的长期借款中属于逾期借款获得展期的金额   元。</t>
  </si>
  <si>
    <r>
      <rPr>
        <b/>
        <sz val="9"/>
        <color rgb="FFFF0000"/>
        <rFont val="宋体"/>
        <charset val="134"/>
      </rPr>
      <t>注：</t>
    </r>
    <r>
      <rPr>
        <b/>
        <sz val="9"/>
        <color rgb="FFFF0000"/>
        <rFont val="Arial Narrow"/>
        <charset val="134"/>
      </rPr>
      <t>1</t>
    </r>
    <r>
      <rPr>
        <b/>
        <sz val="9"/>
        <color rgb="FFFF0000"/>
        <rFont val="宋体"/>
        <charset val="134"/>
      </rPr>
      <t>年内到期的长期借款中属于逾期借款获得展期的金额</t>
    </r>
    <r>
      <rPr>
        <b/>
        <sz val="9"/>
        <color rgb="FFFF0000"/>
        <rFont val="Arial Narrow"/>
        <charset val="134"/>
      </rPr>
      <t xml:space="preserve">   </t>
    </r>
    <r>
      <rPr>
        <b/>
        <sz val="9"/>
        <color rgb="FFFF0000"/>
        <rFont val="宋体"/>
        <charset val="134"/>
      </rPr>
      <t>元。</t>
    </r>
  </si>
  <si>
    <t>①  金额前五名的一年内到期的长期借款</t>
  </si>
  <si>
    <r>
      <rPr>
        <sz val="9"/>
        <rFont val="宋体"/>
        <charset val="134"/>
      </rPr>
      <t>①</t>
    </r>
    <r>
      <rPr>
        <sz val="9"/>
        <rFont val="Arial Narrow"/>
        <charset val="134"/>
      </rPr>
      <t xml:space="preserve">  </t>
    </r>
    <r>
      <rPr>
        <sz val="9"/>
        <rFont val="宋体"/>
        <charset val="134"/>
      </rPr>
      <t>金额前</t>
    </r>
    <r>
      <rPr>
        <sz val="9"/>
        <rFont val="Arial Narrow"/>
        <charset val="134"/>
      </rPr>
      <t>10</t>
    </r>
    <r>
      <rPr>
        <sz val="9"/>
        <rFont val="宋体"/>
        <charset val="134"/>
      </rPr>
      <t>名的一年内到期的长期借款</t>
    </r>
    <r>
      <rPr>
        <b/>
        <sz val="9"/>
        <color rgb="FFFF0000"/>
        <rFont val="宋体"/>
        <charset val="134"/>
      </rPr>
      <t>（在</t>
    </r>
    <r>
      <rPr>
        <b/>
        <sz val="9"/>
        <color rgb="FFFF0000"/>
        <rFont val="Arial Narrow"/>
        <charset val="134"/>
      </rPr>
      <t>TB</t>
    </r>
    <r>
      <rPr>
        <b/>
        <sz val="9"/>
        <color rgb="FFFF0000"/>
        <rFont val="宋体"/>
        <charset val="134"/>
      </rPr>
      <t>附表</t>
    </r>
    <r>
      <rPr>
        <b/>
        <sz val="9"/>
        <color rgb="FFFF0000"/>
        <rFont val="Arial Narrow"/>
        <charset val="134"/>
      </rPr>
      <t>1</t>
    </r>
    <r>
      <rPr>
        <b/>
        <sz val="9"/>
        <color rgb="FFFF0000"/>
        <rFont val="宋体"/>
        <charset val="134"/>
      </rPr>
      <t>中填列）</t>
    </r>
  </si>
  <si>
    <t>借款起始日</t>
  </si>
  <si>
    <t>借款终止日</t>
  </si>
  <si>
    <r>
      <rPr>
        <b/>
        <sz val="9"/>
        <rFont val="宋体"/>
        <charset val="134"/>
      </rPr>
      <t>利率（</t>
    </r>
    <r>
      <rPr>
        <b/>
        <sz val="9"/>
        <rFont val="Arial Narrow"/>
        <charset val="134"/>
      </rPr>
      <t>%</t>
    </r>
    <r>
      <rPr>
        <b/>
        <sz val="9"/>
        <rFont val="宋体"/>
        <charset val="134"/>
      </rPr>
      <t>）</t>
    </r>
  </si>
  <si>
    <t>币种</t>
  </si>
  <si>
    <t>外币金额</t>
  </si>
  <si>
    <t>本币金额</t>
  </si>
  <si>
    <t>②一年内到期的长期借款逾期借款情况</t>
  </si>
  <si>
    <t>借款金额</t>
  </si>
  <si>
    <r>
      <rPr>
        <b/>
        <sz val="9"/>
        <rFont val="宋体"/>
        <charset val="134"/>
      </rPr>
      <t>年利率（</t>
    </r>
    <r>
      <rPr>
        <b/>
        <sz val="9"/>
        <rFont val="Arial Narrow"/>
        <charset val="134"/>
      </rPr>
      <t>%</t>
    </r>
    <r>
      <rPr>
        <b/>
        <sz val="9"/>
        <rFont val="宋体"/>
        <charset val="134"/>
      </rPr>
      <t>）</t>
    </r>
  </si>
  <si>
    <t>借款资金用途</t>
  </si>
  <si>
    <t>逾期未偿还原因</t>
  </si>
  <si>
    <t>逾期还款期</t>
  </si>
  <si>
    <t>注：资产负债表日后已偿还的金额：</t>
  </si>
  <si>
    <t>（3）一年内到期的应付债券</t>
  </si>
  <si>
    <r>
      <rPr>
        <sz val="9"/>
        <rFont val="宋体"/>
        <charset val="134"/>
      </rPr>
      <t>（</t>
    </r>
    <r>
      <rPr>
        <sz val="9"/>
        <rFont val="Arial Narrow"/>
        <charset val="134"/>
      </rPr>
      <t>3</t>
    </r>
    <r>
      <rPr>
        <sz val="9"/>
        <rFont val="宋体"/>
        <charset val="134"/>
      </rPr>
      <t>）一年内到期的应付债券</t>
    </r>
  </si>
  <si>
    <t>债券名称</t>
  </si>
  <si>
    <t>债券期限</t>
  </si>
  <si>
    <t>发行金额</t>
  </si>
  <si>
    <t>期初应付利息</t>
  </si>
  <si>
    <t>本期应计利息</t>
  </si>
  <si>
    <t>本期已付利息</t>
  </si>
  <si>
    <t>期末应付利息</t>
  </si>
  <si>
    <t>1年内到期的应付债券说明：</t>
  </si>
  <si>
    <r>
      <rPr>
        <b/>
        <sz val="9"/>
        <color rgb="FFFF0000"/>
        <rFont val="Arial Narrow"/>
        <charset val="134"/>
      </rPr>
      <t>1</t>
    </r>
    <r>
      <rPr>
        <b/>
        <sz val="9"/>
        <color rgb="FFFF0000"/>
        <rFont val="宋体"/>
        <charset val="134"/>
      </rPr>
      <t>年内到期的应付债券说明：</t>
    </r>
  </si>
  <si>
    <t>（4）一年内到期的长期应付款</t>
  </si>
  <si>
    <r>
      <rPr>
        <sz val="9"/>
        <rFont val="宋体"/>
        <charset val="134"/>
      </rPr>
      <t>（</t>
    </r>
    <r>
      <rPr>
        <sz val="9"/>
        <rFont val="Arial Narrow"/>
        <charset val="134"/>
      </rPr>
      <t>4</t>
    </r>
    <r>
      <rPr>
        <sz val="9"/>
        <rFont val="宋体"/>
        <charset val="134"/>
      </rPr>
      <t>）一年内到期的长期应付款</t>
    </r>
  </si>
  <si>
    <t>参与合并分子公司批露前十名</t>
  </si>
  <si>
    <t>借款单位</t>
  </si>
  <si>
    <t>应计利息</t>
  </si>
  <si>
    <t>借款条件</t>
  </si>
  <si>
    <t>注：披露金额前五名的情况</t>
  </si>
  <si>
    <r>
      <rPr>
        <sz val="9"/>
        <color rgb="FFFF0000"/>
        <rFont val="宋体"/>
        <charset val="134"/>
      </rPr>
      <t>①</t>
    </r>
    <r>
      <rPr>
        <sz val="9"/>
        <color rgb="FFFF0000"/>
        <rFont val="Arial Narrow"/>
        <charset val="134"/>
      </rPr>
      <t xml:space="preserve">  </t>
    </r>
    <r>
      <rPr>
        <sz val="9"/>
        <color rgb="FFFF0000"/>
        <rFont val="宋体"/>
        <charset val="134"/>
      </rPr>
      <t>金额前五名的一年内到期的长期借款（</t>
    </r>
    <r>
      <rPr>
        <b/>
        <sz val="9"/>
        <color rgb="FFFF0000"/>
        <rFont val="宋体"/>
        <charset val="134"/>
      </rPr>
      <t>在</t>
    </r>
    <r>
      <rPr>
        <b/>
        <sz val="9"/>
        <color rgb="FFFF0000"/>
        <rFont val="Arial Narrow"/>
        <charset val="134"/>
      </rPr>
      <t>TB</t>
    </r>
    <r>
      <rPr>
        <b/>
        <sz val="9"/>
        <color rgb="FFFF0000"/>
        <rFont val="宋体"/>
        <charset val="134"/>
      </rPr>
      <t>附表中填列</t>
    </r>
    <r>
      <rPr>
        <sz val="9"/>
        <color rgb="FFFF0000"/>
        <rFont val="宋体"/>
        <charset val="134"/>
      </rPr>
      <t>）</t>
    </r>
  </si>
  <si>
    <t>（四十二）其他流动负债-批露表</t>
  </si>
  <si>
    <r>
      <rPr>
        <sz val="9"/>
        <color theme="0" tint="-0.249977111117893"/>
        <rFont val="宋体"/>
        <charset val="134"/>
      </rPr>
      <t>其他流动负债</t>
    </r>
    <r>
      <rPr>
        <sz val="9"/>
        <color theme="0" tint="-0.249977111117893"/>
        <rFont val="Arial Narrow"/>
        <charset val="134"/>
      </rPr>
      <t>-</t>
    </r>
    <r>
      <rPr>
        <sz val="9"/>
        <color theme="0" tint="-0.249977111117893"/>
        <rFont val="宋体"/>
        <charset val="134"/>
      </rPr>
      <t>批露表</t>
    </r>
  </si>
  <si>
    <t>（1）分类列示如下</t>
  </si>
  <si>
    <r>
      <rPr>
        <b/>
        <sz val="9"/>
        <rFont val="宋体"/>
        <charset val="134"/>
      </rPr>
      <t>（四十二）其他流动负债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</si>
  <si>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）分类列示如下</t>
    </r>
  </si>
  <si>
    <r>
      <rPr>
        <b/>
        <sz val="9"/>
        <rFont val="宋体"/>
        <charset val="134"/>
      </rPr>
      <t>项</t>
    </r>
    <r>
      <rPr>
        <b/>
        <sz val="9"/>
        <rFont val="Arial Narrow"/>
        <charset val="134"/>
      </rPr>
      <t xml:space="preserve"> </t>
    </r>
    <r>
      <rPr>
        <b/>
        <sz val="9"/>
        <rFont val="宋体"/>
        <charset val="134"/>
      </rPr>
      <t>目</t>
    </r>
  </si>
  <si>
    <t>待转销销项</t>
  </si>
  <si>
    <r>
      <rPr>
        <sz val="9"/>
        <rFont val="宋体"/>
        <charset val="134"/>
      </rPr>
      <t>合</t>
    </r>
    <r>
      <rPr>
        <sz val="9"/>
        <rFont val="Arial Narrow"/>
        <charset val="134"/>
      </rPr>
      <t xml:space="preserve"> </t>
    </r>
    <r>
      <rPr>
        <sz val="9"/>
        <rFont val="宋体"/>
        <charset val="134"/>
      </rPr>
      <t>计</t>
    </r>
  </si>
  <si>
    <r>
      <rPr>
        <sz val="9"/>
        <color theme="0" tint="-0.249977111117893"/>
        <rFont val="宋体"/>
        <charset val="134"/>
      </rPr>
      <t>长期借款</t>
    </r>
    <r>
      <rPr>
        <sz val="9"/>
        <color theme="0" tint="-0.249977111117893"/>
        <rFont val="Arial Narrow"/>
        <charset val="134"/>
      </rPr>
      <t>-</t>
    </r>
    <r>
      <rPr>
        <sz val="9"/>
        <color theme="0" tint="-0.249977111117893"/>
        <rFont val="宋体"/>
        <charset val="134"/>
      </rPr>
      <t>披露表</t>
    </r>
  </si>
  <si>
    <r>
      <rPr>
        <b/>
        <sz val="9"/>
        <rFont val="宋体"/>
        <charset val="134"/>
      </rPr>
      <t>（四十三）长期借款</t>
    </r>
    <r>
      <rPr>
        <b/>
        <sz val="9"/>
        <rFont val="Arial Narrow"/>
        <charset val="134"/>
      </rPr>
      <t>-</t>
    </r>
    <r>
      <rPr>
        <b/>
        <sz val="9"/>
        <rFont val="宋体"/>
        <charset val="134"/>
      </rPr>
      <t>披露表</t>
    </r>
  </si>
  <si>
    <t>（2）金额前五名长期借款情况（各子公司请列前十名明细，便于合并）</t>
  </si>
  <si>
    <r>
      <rPr>
        <sz val="9"/>
        <color theme="7" tint="0.599993896298105"/>
        <rFont val="宋体"/>
        <charset val="134"/>
      </rPr>
      <t>（</t>
    </r>
    <r>
      <rPr>
        <sz val="9"/>
        <color theme="7" tint="0.599993896298105"/>
        <rFont val="Arial Narrow"/>
        <charset val="134"/>
      </rPr>
      <t>2</t>
    </r>
    <r>
      <rPr>
        <sz val="9"/>
        <color theme="7" tint="0.599993896298105"/>
        <rFont val="宋体"/>
        <charset val="134"/>
      </rPr>
      <t>）金额前五名长期借款情况</t>
    </r>
  </si>
  <si>
    <r>
      <rPr>
        <sz val="9"/>
        <color rgb="FFFF0000"/>
        <rFont val="宋体"/>
        <charset val="134"/>
      </rPr>
      <t>（</t>
    </r>
    <r>
      <rPr>
        <sz val="9"/>
        <color rgb="FFFF0000"/>
        <rFont val="Arial Narrow"/>
        <charset val="134"/>
      </rPr>
      <t>2</t>
    </r>
    <r>
      <rPr>
        <sz val="9"/>
        <color rgb="FFFF0000"/>
        <rFont val="宋体"/>
        <charset val="134"/>
      </rPr>
      <t>）借款情况</t>
    </r>
    <r>
      <rPr>
        <b/>
        <sz val="9"/>
        <color rgb="FFFF0000"/>
        <rFont val="宋体"/>
        <charset val="134"/>
      </rPr>
      <t>（在</t>
    </r>
    <r>
      <rPr>
        <b/>
        <sz val="9"/>
        <color rgb="FFFF0000"/>
        <rFont val="宋体"/>
        <charset val="134"/>
      </rPr>
      <t>附表</t>
    </r>
    <r>
      <rPr>
        <b/>
        <sz val="9"/>
        <color rgb="FFFF0000"/>
        <rFont val="宋体"/>
        <charset val="134"/>
      </rPr>
      <t>中填列）</t>
    </r>
  </si>
  <si>
    <t>是否为委托贷款</t>
  </si>
  <si>
    <t>质押、抵押情况</t>
  </si>
  <si>
    <r>
      <rPr>
        <sz val="9"/>
        <color theme="7" tint="0.599993896298105"/>
        <rFont val="宋体"/>
        <charset val="134"/>
      </rPr>
      <t>（</t>
    </r>
    <r>
      <rPr>
        <sz val="9"/>
        <color theme="7" tint="0.599993896298105"/>
        <rFont val="Arial Narrow"/>
        <charset val="134"/>
      </rPr>
      <t>2）金额前五名长期借款情况</t>
    </r>
  </si>
  <si>
    <t>（3）长期借款说明，因逾期借款获得展期形成的长期借款，应说明获得展期的条件、本金、利息、预计还款安排等。</t>
  </si>
  <si>
    <t>（四十四）应付债券-披露表</t>
  </si>
  <si>
    <r>
      <rPr>
        <sz val="9"/>
        <color theme="0" tint="-0.249977111117893"/>
        <rFont val="宋体"/>
        <charset val="134"/>
      </rPr>
      <t>应付债券</t>
    </r>
    <r>
      <rPr>
        <sz val="9"/>
        <color theme="0" tint="-0.249977111117893"/>
        <rFont val="Arial Narrow"/>
        <charset val="134"/>
      </rPr>
      <t>-</t>
    </r>
    <r>
      <rPr>
        <sz val="9"/>
        <color theme="0" tint="-0.249977111117893"/>
        <rFont val="宋体"/>
        <charset val="134"/>
      </rPr>
      <t>披露表</t>
    </r>
  </si>
  <si>
    <r>
      <rPr>
        <b/>
        <sz val="9"/>
        <rFont val="宋体"/>
        <charset val="134"/>
      </rPr>
      <t>（四十四）应付债券</t>
    </r>
    <r>
      <rPr>
        <b/>
        <sz val="9"/>
        <rFont val="Arial Narrow"/>
        <charset val="134"/>
      </rPr>
      <t>-</t>
    </r>
    <r>
      <rPr>
        <b/>
        <sz val="9"/>
        <rFont val="宋体"/>
        <charset val="134"/>
      </rPr>
      <t>披露表</t>
    </r>
  </si>
  <si>
    <t>（2）对可转换公司债券可转换公司债券的转股条件、转股时间。</t>
  </si>
  <si>
    <r>
      <rPr>
        <sz val="9"/>
        <rFont val="宋体"/>
        <charset val="134"/>
      </rPr>
      <t>（</t>
    </r>
    <r>
      <rPr>
        <sz val="9"/>
        <rFont val="Arial Narrow"/>
        <charset val="134"/>
      </rPr>
      <t>2</t>
    </r>
    <r>
      <rPr>
        <sz val="9"/>
        <rFont val="宋体"/>
        <charset val="134"/>
      </rPr>
      <t>）对可转换公司债券可转换公司债券的转股条件、转股时间。</t>
    </r>
  </si>
  <si>
    <t>（四十五）长期应付款-披露表</t>
  </si>
  <si>
    <r>
      <rPr>
        <sz val="9"/>
        <color theme="0" tint="-0.249977111117893"/>
        <rFont val="宋体"/>
        <charset val="134"/>
      </rPr>
      <t>长期应付款</t>
    </r>
    <r>
      <rPr>
        <sz val="9"/>
        <color theme="0" tint="-0.249977111117893"/>
        <rFont val="Arial Narrow"/>
        <charset val="134"/>
      </rPr>
      <t>-</t>
    </r>
    <r>
      <rPr>
        <sz val="9"/>
        <color theme="0" tint="-0.249977111117893"/>
        <rFont val="宋体"/>
        <charset val="134"/>
      </rPr>
      <t>披露表</t>
    </r>
  </si>
  <si>
    <r>
      <rPr>
        <b/>
        <sz val="9"/>
        <rFont val="宋体"/>
        <charset val="134"/>
      </rPr>
      <t>（四十五）长期应付款</t>
    </r>
    <r>
      <rPr>
        <b/>
        <sz val="9"/>
        <rFont val="Arial Narrow"/>
        <charset val="134"/>
      </rPr>
      <t>-</t>
    </r>
    <r>
      <rPr>
        <b/>
        <sz val="9"/>
        <rFont val="宋体"/>
        <charset val="134"/>
      </rPr>
      <t>披露表</t>
    </r>
  </si>
  <si>
    <t>长期应付款余额</t>
  </si>
  <si>
    <t>未确认融资费用</t>
  </si>
  <si>
    <t>（2）披露金额前五名的情况</t>
  </si>
  <si>
    <t>（3）长期应付款中的应付融资租赁款明细</t>
  </si>
  <si>
    <t>外币</t>
  </si>
  <si>
    <t>人民币</t>
  </si>
  <si>
    <t>注：由独立第三方为公司融资租赁提供担保的金额   元。</t>
  </si>
  <si>
    <r>
      <rPr>
        <b/>
        <sz val="9"/>
        <color rgb="FFFF0000"/>
        <rFont val="宋体"/>
        <charset val="134"/>
      </rPr>
      <t>注：由独立第三方为公司融资租赁提供担保的金额</t>
    </r>
    <r>
      <rPr>
        <b/>
        <sz val="9"/>
        <color rgb="FFFF0000"/>
        <rFont val="Arial Narrow"/>
        <charset val="134"/>
      </rPr>
      <t xml:space="preserve">   </t>
    </r>
    <r>
      <rPr>
        <b/>
        <sz val="9"/>
        <color rgb="FFFF0000"/>
        <rFont val="宋体"/>
        <charset val="134"/>
      </rPr>
      <t>元。</t>
    </r>
  </si>
  <si>
    <t>（四十六）专项应付款-披露表</t>
  </si>
  <si>
    <r>
      <rPr>
        <sz val="9"/>
        <color theme="0" tint="-0.249977111117893"/>
        <rFont val="宋体"/>
        <charset val="134"/>
      </rPr>
      <t>专项应付款</t>
    </r>
    <r>
      <rPr>
        <sz val="9"/>
        <color theme="0" tint="-0.249977111117893"/>
        <rFont val="Arial Narrow"/>
        <charset val="134"/>
      </rPr>
      <t>-</t>
    </r>
    <r>
      <rPr>
        <sz val="9"/>
        <color theme="0" tint="-0.249977111117893"/>
        <rFont val="宋体"/>
        <charset val="134"/>
      </rPr>
      <t>披露表</t>
    </r>
  </si>
  <si>
    <r>
      <rPr>
        <b/>
        <sz val="9"/>
        <rFont val="宋体"/>
        <charset val="134"/>
      </rPr>
      <t>（四十六）专项应付款</t>
    </r>
    <r>
      <rPr>
        <b/>
        <sz val="9"/>
        <rFont val="Arial Narrow"/>
        <charset val="134"/>
      </rPr>
      <t>-</t>
    </r>
    <r>
      <rPr>
        <b/>
        <sz val="9"/>
        <rFont val="宋体"/>
        <charset val="134"/>
      </rPr>
      <t>披露表</t>
    </r>
  </si>
  <si>
    <t>（3）专项应付款文字说明：</t>
  </si>
  <si>
    <r>
      <rPr>
        <sz val="9"/>
        <rFont val="宋体"/>
        <charset val="134"/>
      </rPr>
      <t>（</t>
    </r>
    <r>
      <rPr>
        <sz val="9"/>
        <rFont val="Arial Narrow"/>
        <charset val="134"/>
      </rPr>
      <t>3</t>
    </r>
    <r>
      <rPr>
        <sz val="9"/>
        <rFont val="宋体"/>
        <charset val="134"/>
      </rPr>
      <t>）专项应付款文字说明：</t>
    </r>
  </si>
  <si>
    <t>（四十七）其他非流动负债-批露表</t>
  </si>
  <si>
    <r>
      <rPr>
        <sz val="9"/>
        <color theme="0" tint="-0.249977111117893"/>
        <rFont val="宋体"/>
        <charset val="134"/>
      </rPr>
      <t>其他非流动负债</t>
    </r>
    <r>
      <rPr>
        <sz val="9"/>
        <color theme="0" tint="-0.249977111117893"/>
        <rFont val="Arial Narrow"/>
        <charset val="134"/>
      </rPr>
      <t>-</t>
    </r>
    <r>
      <rPr>
        <sz val="9"/>
        <color theme="0" tint="-0.249977111117893"/>
        <rFont val="宋体"/>
        <charset val="134"/>
      </rPr>
      <t>批露表</t>
    </r>
  </si>
  <si>
    <r>
      <rPr>
        <b/>
        <sz val="9"/>
        <rFont val="宋体"/>
        <charset val="134"/>
      </rPr>
      <t>（四十七）其他非流动负债</t>
    </r>
    <r>
      <rPr>
        <b/>
        <sz val="9"/>
        <rFont val="Arial Narrow"/>
        <charset val="134"/>
      </rPr>
      <t>-</t>
    </r>
    <r>
      <rPr>
        <b/>
        <sz val="9"/>
        <rFont val="宋体"/>
        <charset val="134"/>
      </rPr>
      <t>批露表</t>
    </r>
  </si>
  <si>
    <t>（四十八）实收资本(股本)-披露表</t>
  </si>
  <si>
    <r>
      <rPr>
        <sz val="9"/>
        <color theme="0" tint="-0.249977111117893"/>
        <rFont val="宋体"/>
        <charset val="134"/>
      </rPr>
      <t>实收资本</t>
    </r>
    <r>
      <rPr>
        <sz val="9"/>
        <color theme="0" tint="-0.249977111117893"/>
        <rFont val="Arial Narrow"/>
        <charset val="134"/>
      </rPr>
      <t>(</t>
    </r>
    <r>
      <rPr>
        <sz val="9"/>
        <color theme="0" tint="-0.249977111117893"/>
        <rFont val="宋体"/>
        <charset val="134"/>
      </rPr>
      <t>股本</t>
    </r>
    <r>
      <rPr>
        <sz val="9"/>
        <color theme="0" tint="-0.249977111117893"/>
        <rFont val="Arial Narrow"/>
        <charset val="134"/>
      </rPr>
      <t>)-</t>
    </r>
    <r>
      <rPr>
        <sz val="9"/>
        <color theme="0" tint="-0.249977111117893"/>
        <rFont val="宋体"/>
        <charset val="134"/>
      </rPr>
      <t>披露表</t>
    </r>
  </si>
  <si>
    <t>上市公司披露表：</t>
  </si>
  <si>
    <r>
      <rPr>
        <b/>
        <sz val="9"/>
        <rFont val="宋体"/>
        <charset val="134"/>
      </rPr>
      <t>（四十八）实收资本</t>
    </r>
    <r>
      <rPr>
        <b/>
        <sz val="9"/>
        <rFont val="Arial Narrow"/>
        <charset val="134"/>
      </rPr>
      <t>(</t>
    </r>
    <r>
      <rPr>
        <b/>
        <sz val="9"/>
        <rFont val="宋体"/>
        <charset val="134"/>
      </rPr>
      <t>股本</t>
    </r>
    <r>
      <rPr>
        <b/>
        <sz val="9"/>
        <rFont val="Arial Narrow"/>
        <charset val="134"/>
      </rPr>
      <t>)-</t>
    </r>
    <r>
      <rPr>
        <b/>
        <sz val="9"/>
        <rFont val="宋体"/>
        <charset val="134"/>
      </rPr>
      <t>披露表</t>
    </r>
  </si>
  <si>
    <r>
      <rPr>
        <b/>
        <sz val="9"/>
        <rFont val="宋体"/>
        <charset val="134"/>
      </rPr>
      <t>本期增减变动（</t>
    </r>
    <r>
      <rPr>
        <b/>
        <sz val="9"/>
        <rFont val="Arial Narrow"/>
        <charset val="134"/>
      </rPr>
      <t>+</t>
    </r>
    <r>
      <rPr>
        <b/>
        <sz val="9"/>
        <rFont val="宋体"/>
        <charset val="134"/>
      </rPr>
      <t>、</t>
    </r>
    <r>
      <rPr>
        <b/>
        <sz val="9"/>
        <rFont val="Arial Narrow"/>
        <charset val="134"/>
      </rPr>
      <t>-</t>
    </r>
    <r>
      <rPr>
        <b/>
        <sz val="9"/>
        <rFont val="宋体"/>
        <charset val="134"/>
      </rPr>
      <t>）</t>
    </r>
  </si>
  <si>
    <t>发行新股</t>
  </si>
  <si>
    <t>送股</t>
  </si>
  <si>
    <t>公积金转股</t>
  </si>
  <si>
    <t>一、有限售条件股份</t>
  </si>
  <si>
    <t>1.国家持股</t>
  </si>
  <si>
    <r>
      <rPr>
        <sz val="9"/>
        <rFont val="Arial Narrow"/>
        <charset val="134"/>
      </rPr>
      <t>1.</t>
    </r>
    <r>
      <rPr>
        <sz val="9"/>
        <rFont val="宋体"/>
        <charset val="134"/>
      </rPr>
      <t>国家持股</t>
    </r>
  </si>
  <si>
    <t>2.国有法人持股</t>
  </si>
  <si>
    <r>
      <rPr>
        <sz val="9"/>
        <rFont val="Arial Narrow"/>
        <charset val="134"/>
      </rPr>
      <t>2.</t>
    </r>
    <r>
      <rPr>
        <sz val="9"/>
        <rFont val="宋体"/>
        <charset val="134"/>
      </rPr>
      <t>国有法人持股</t>
    </r>
  </si>
  <si>
    <t>3.其他内资持股</t>
  </si>
  <si>
    <r>
      <rPr>
        <sz val="9"/>
        <rFont val="Arial Narrow"/>
        <charset val="134"/>
      </rPr>
      <t>3.</t>
    </r>
    <r>
      <rPr>
        <sz val="9"/>
        <rFont val="宋体"/>
        <charset val="134"/>
      </rPr>
      <t>其他内资持股</t>
    </r>
  </si>
  <si>
    <t>其中：境内法人持股</t>
  </si>
  <si>
    <t>境内自然人持股</t>
  </si>
  <si>
    <t>4.境外持股</t>
  </si>
  <si>
    <r>
      <rPr>
        <sz val="9"/>
        <rFont val="Arial Narrow"/>
        <charset val="134"/>
      </rPr>
      <t>4.</t>
    </r>
    <r>
      <rPr>
        <sz val="9"/>
        <rFont val="宋体"/>
        <charset val="134"/>
      </rPr>
      <t>境外持股</t>
    </r>
  </si>
  <si>
    <t>其中：境外法人持股</t>
  </si>
  <si>
    <t>境外自然人持股</t>
  </si>
  <si>
    <t>二、无限售条件流通股份</t>
  </si>
  <si>
    <t>1.人民币普通股</t>
  </si>
  <si>
    <r>
      <rPr>
        <sz val="9"/>
        <rFont val="Arial Narrow"/>
        <charset val="134"/>
      </rPr>
      <t>1.</t>
    </r>
    <r>
      <rPr>
        <sz val="9"/>
        <rFont val="宋体"/>
        <charset val="134"/>
      </rPr>
      <t>人民币普通股</t>
    </r>
  </si>
  <si>
    <t>2.境内上市外资股</t>
  </si>
  <si>
    <r>
      <rPr>
        <sz val="9"/>
        <rFont val="Arial Narrow"/>
        <charset val="134"/>
      </rPr>
      <t>2.</t>
    </r>
    <r>
      <rPr>
        <sz val="9"/>
        <rFont val="宋体"/>
        <charset val="134"/>
      </rPr>
      <t>境内上市外资股</t>
    </r>
  </si>
  <si>
    <t>3.境外上市外资股</t>
  </si>
  <si>
    <r>
      <rPr>
        <sz val="9"/>
        <rFont val="Arial Narrow"/>
        <charset val="134"/>
      </rPr>
      <t>3.</t>
    </r>
    <r>
      <rPr>
        <sz val="9"/>
        <rFont val="宋体"/>
        <charset val="134"/>
      </rPr>
      <t>境外上市外资股</t>
    </r>
  </si>
  <si>
    <t>4.其他</t>
  </si>
  <si>
    <r>
      <rPr>
        <sz val="9"/>
        <rFont val="Arial Narrow"/>
        <charset val="134"/>
      </rPr>
      <t>4.</t>
    </r>
    <r>
      <rPr>
        <sz val="9"/>
        <rFont val="宋体"/>
        <charset val="134"/>
      </rPr>
      <t>其他</t>
    </r>
  </si>
  <si>
    <t>股份合计</t>
  </si>
  <si>
    <t>非上市公司披露表：</t>
  </si>
  <si>
    <t>期初投资金额</t>
  </si>
  <si>
    <t>期初所占比例</t>
  </si>
  <si>
    <t>期末投资金额</t>
  </si>
  <si>
    <t>期末所占比例</t>
  </si>
  <si>
    <t>深圳市中投华业创业投资发展有限公司</t>
  </si>
  <si>
    <t>深圳市新阳和光科技开发管理中心（有限合伙）</t>
  </si>
  <si>
    <t>芜湖富海浩研创业投资基金（有限合伙）</t>
  </si>
  <si>
    <t>中南成长（天津市）股权投资基金合伙企业（有限合伙）</t>
  </si>
  <si>
    <t>黄苇苗</t>
  </si>
  <si>
    <t>邹浩</t>
  </si>
  <si>
    <r>
      <rPr>
        <sz val="9"/>
        <rFont val="宋体"/>
        <charset val="134"/>
      </rPr>
      <t>详见附表</t>
    </r>
    <r>
      <rPr>
        <sz val="9"/>
        <rFont val="Arial Narrow"/>
        <charset val="134"/>
      </rPr>
      <t>9</t>
    </r>
  </si>
  <si>
    <t>与报表核对：</t>
  </si>
  <si>
    <t>注：1.如果报告期内有出资或增资行为的，应披露验资的会计师事务所名称和验资报告文号。</t>
  </si>
  <si>
    <r>
      <rPr>
        <sz val="9"/>
        <rFont val="宋体"/>
        <charset val="134"/>
      </rPr>
      <t>注：</t>
    </r>
    <r>
      <rPr>
        <sz val="9"/>
        <rFont val="Arial Narrow"/>
        <charset val="134"/>
      </rPr>
      <t>1.</t>
    </r>
    <r>
      <rPr>
        <sz val="9"/>
        <rFont val="宋体"/>
        <charset val="134"/>
      </rPr>
      <t>如果报告期内有出资或增资行为的，应披露验资的会计师事务所名称和验资报告文号。</t>
    </r>
  </si>
  <si>
    <t>注：2.运行不足三年的股份有限公司，设立前的年份只需说明净资产情况。</t>
  </si>
  <si>
    <r>
      <rPr>
        <sz val="9"/>
        <rFont val="宋体"/>
        <charset val="134"/>
      </rPr>
      <t>注：</t>
    </r>
    <r>
      <rPr>
        <sz val="9"/>
        <rFont val="Arial Narrow"/>
        <charset val="134"/>
      </rPr>
      <t>2.</t>
    </r>
    <r>
      <rPr>
        <sz val="9"/>
        <rFont val="宋体"/>
        <charset val="134"/>
      </rPr>
      <t>运行不足三年的股份有限公司，设立前的年份只需说明净资产情况。</t>
    </r>
  </si>
  <si>
    <t>注：3.有限责任公司整体变更为股份公司应说明公司设立时的验资情况。</t>
  </si>
  <si>
    <r>
      <rPr>
        <sz val="9"/>
        <rFont val="宋体"/>
        <charset val="134"/>
      </rPr>
      <t>注：</t>
    </r>
    <r>
      <rPr>
        <sz val="9"/>
        <rFont val="Arial Narrow"/>
        <charset val="134"/>
      </rPr>
      <t>3.</t>
    </r>
    <r>
      <rPr>
        <sz val="9"/>
        <rFont val="宋体"/>
        <charset val="134"/>
      </rPr>
      <t>有限责任公司整体变更为股份公司应说明公司设立时的验资情况。</t>
    </r>
  </si>
  <si>
    <t>(四十九)库存股相关的如下信息：</t>
  </si>
  <si>
    <t>（1）回购本公司股份的原因及对应的库存股成本确定方法；</t>
  </si>
  <si>
    <r>
      <rPr>
        <b/>
        <sz val="9"/>
        <rFont val="Arial Narrow"/>
        <charset val="134"/>
      </rPr>
      <t>(</t>
    </r>
    <r>
      <rPr>
        <b/>
        <sz val="9"/>
        <rFont val="宋体"/>
        <charset val="134"/>
      </rPr>
      <t>四十九</t>
    </r>
    <r>
      <rPr>
        <b/>
        <sz val="9"/>
        <rFont val="Arial Narrow"/>
        <charset val="134"/>
      </rPr>
      <t>)</t>
    </r>
    <r>
      <rPr>
        <b/>
        <sz val="9"/>
        <rFont val="宋体"/>
        <charset val="134"/>
      </rPr>
      <t>库存股相关的如下信息：</t>
    </r>
  </si>
  <si>
    <r>
      <rPr>
        <sz val="9"/>
        <rFont val="宋体"/>
        <charset val="134"/>
      </rPr>
      <t>（</t>
    </r>
    <r>
      <rPr>
        <sz val="9"/>
        <rFont val="Arial Narrow"/>
        <charset val="134"/>
      </rPr>
      <t>1</t>
    </r>
    <r>
      <rPr>
        <sz val="9"/>
        <rFont val="宋体"/>
        <charset val="134"/>
      </rPr>
      <t>）回购本公司股份的原因及对应的库存股成本确定方法；</t>
    </r>
  </si>
  <si>
    <t>（2）因库存股注销而减少的股本；</t>
  </si>
  <si>
    <r>
      <rPr>
        <sz val="9"/>
        <rFont val="宋体"/>
        <charset val="134"/>
      </rPr>
      <t>（</t>
    </r>
    <r>
      <rPr>
        <sz val="9"/>
        <rFont val="Arial Narrow"/>
        <charset val="134"/>
      </rPr>
      <t>2</t>
    </r>
    <r>
      <rPr>
        <sz val="9"/>
        <rFont val="宋体"/>
        <charset val="134"/>
      </rPr>
      <t>）因库存股注销而减少的股本；</t>
    </r>
  </si>
  <si>
    <t>（3）注销的库存股成本高于对应股本成本的，披露依次冲减的资本公积、盈余公积、未分配利润的金额；注销的库存股成本低于对应股本成本的，披露增加的资本公积金额；</t>
  </si>
  <si>
    <r>
      <rPr>
        <sz val="9"/>
        <rFont val="宋体"/>
        <charset val="134"/>
      </rPr>
      <t>（</t>
    </r>
    <r>
      <rPr>
        <sz val="9"/>
        <rFont val="Arial Narrow"/>
        <charset val="134"/>
      </rPr>
      <t>3</t>
    </r>
    <r>
      <rPr>
        <sz val="9"/>
        <rFont val="宋体"/>
        <charset val="134"/>
      </rPr>
      <t>）注销的库存股成本高于对应股本成本的，披露依次冲减的资本公积、盈余公积、未分配利润的金额；注销的库存股成本低于对应股本成本的，披露增加的资本公积金额；</t>
    </r>
  </si>
  <si>
    <t>（4）库存股转让时，转让收入高于库存股成本的，披露增加的资本公积金额；转让收入低于库存股成本的，披露依次冲减的资本公积、盈余公积、未分配利润的金额；</t>
  </si>
  <si>
    <r>
      <rPr>
        <sz val="9"/>
        <rFont val="宋体"/>
        <charset val="134"/>
      </rPr>
      <t>（</t>
    </r>
    <r>
      <rPr>
        <sz val="9"/>
        <rFont val="Arial Narrow"/>
        <charset val="134"/>
      </rPr>
      <t>4</t>
    </r>
    <r>
      <rPr>
        <sz val="9"/>
        <rFont val="宋体"/>
        <charset val="134"/>
      </rPr>
      <t>）库存股转让时，转让收入高于库存股成本的，披露增加的资本公积金额；转让收入低于库存股成本的，披露依次冲减的资本公积、盈余公积、未分配利润的金额；</t>
    </r>
  </si>
  <si>
    <t>（5）实行股权激励回购本公司股份的，应披露本期回购股份占本公司已发行股份的总比例和累计库存股占已发行股份的总比例。</t>
  </si>
  <si>
    <r>
      <rPr>
        <sz val="9"/>
        <rFont val="宋体"/>
        <charset val="134"/>
      </rPr>
      <t>（</t>
    </r>
    <r>
      <rPr>
        <sz val="9"/>
        <rFont val="Arial Narrow"/>
        <charset val="134"/>
      </rPr>
      <t>5</t>
    </r>
    <r>
      <rPr>
        <sz val="9"/>
        <rFont val="宋体"/>
        <charset val="134"/>
      </rPr>
      <t>）实行股权激励回购本公司股份的，应披露本期回购股份占本公司已发行股份的总比例和累计库存股占已发行股份的总比例。</t>
    </r>
  </si>
  <si>
    <t>（五十）专项储备-批露表</t>
  </si>
  <si>
    <r>
      <rPr>
        <b/>
        <sz val="9"/>
        <rFont val="宋体"/>
        <charset val="134"/>
      </rPr>
      <t>（五十）专项储备</t>
    </r>
    <r>
      <rPr>
        <b/>
        <sz val="9"/>
        <rFont val="Arial Narrow"/>
        <charset val="134"/>
      </rPr>
      <t>-</t>
    </r>
    <r>
      <rPr>
        <b/>
        <sz val="9"/>
        <rFont val="宋体"/>
        <charset val="134"/>
      </rPr>
      <t>批露表</t>
    </r>
  </si>
  <si>
    <r>
      <rPr>
        <sz val="9"/>
        <color theme="0" tint="-0.249977111117893"/>
        <rFont val="宋体"/>
        <charset val="134"/>
      </rPr>
      <t>资本公积</t>
    </r>
    <r>
      <rPr>
        <sz val="9"/>
        <color theme="0" tint="-0.249977111117893"/>
        <rFont val="Arial Narrow"/>
        <charset val="134"/>
      </rPr>
      <t>-</t>
    </r>
    <r>
      <rPr>
        <sz val="9"/>
        <color theme="0" tint="-0.249977111117893"/>
        <rFont val="宋体"/>
        <charset val="134"/>
      </rPr>
      <t>披露表</t>
    </r>
  </si>
  <si>
    <r>
      <rPr>
        <b/>
        <sz val="9"/>
        <rFont val="宋体"/>
        <charset val="134"/>
      </rPr>
      <t>（五十一）资本公积</t>
    </r>
    <r>
      <rPr>
        <b/>
        <sz val="9"/>
        <rFont val="Arial Narrow"/>
        <charset val="134"/>
      </rPr>
      <t>-</t>
    </r>
    <r>
      <rPr>
        <b/>
        <sz val="9"/>
        <rFont val="宋体"/>
        <charset val="134"/>
      </rPr>
      <t>披露表</t>
    </r>
  </si>
  <si>
    <r>
      <rPr>
        <sz val="9"/>
        <rFont val="Arial Narrow"/>
        <charset val="134"/>
      </rPr>
      <t>1</t>
    </r>
    <r>
      <rPr>
        <sz val="9"/>
        <rFont val="宋体"/>
        <charset val="134"/>
      </rPr>
      <t>、股本溢价</t>
    </r>
  </si>
  <si>
    <r>
      <rPr>
        <sz val="9"/>
        <rFont val="Arial Narrow"/>
        <charset val="134"/>
      </rPr>
      <t>2</t>
    </r>
    <r>
      <rPr>
        <sz val="9"/>
        <rFont val="宋体"/>
        <charset val="134"/>
      </rPr>
      <t>、其他资本公积</t>
    </r>
  </si>
  <si>
    <t>注：若用资本公积转增股本、应说明其履行的法律程序及有关决议。</t>
  </si>
  <si>
    <r>
      <rPr>
        <sz val="9"/>
        <color theme="0" tint="-0.249977111117893"/>
        <rFont val="宋体"/>
        <charset val="134"/>
      </rPr>
      <t>盈余公积</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</si>
  <si>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五十二</t>
    </r>
    <r>
      <rPr>
        <b/>
        <sz val="9"/>
        <rFont val="Arial Narrow"/>
        <charset val="134"/>
      </rPr>
      <t>)</t>
    </r>
    <r>
      <rPr>
        <b/>
        <sz val="9"/>
        <rFont val="宋体"/>
        <charset val="134"/>
      </rPr>
      <t>盈余公积</t>
    </r>
    <r>
      <rPr>
        <b/>
        <sz val="9"/>
        <rFont val="Arial Narrow"/>
        <charset val="134"/>
      </rPr>
      <t>-</t>
    </r>
    <r>
      <rPr>
        <b/>
        <sz val="9"/>
        <rFont val="宋体"/>
        <charset val="134"/>
      </rPr>
      <t>披露表</t>
    </r>
  </si>
  <si>
    <t>注：用盈余公积转增股本、弥补亏损、分派股利的，应说明有关决议。</t>
  </si>
  <si>
    <t>（五十三）未分配利润-披露表</t>
  </si>
  <si>
    <r>
      <rPr>
        <sz val="9"/>
        <color theme="0" tint="-0.249977111117893"/>
        <rFont val="宋体"/>
        <charset val="134"/>
      </rPr>
      <t>未分配利润</t>
    </r>
    <r>
      <rPr>
        <sz val="9"/>
        <color theme="0" tint="-0.249977111117893"/>
        <rFont val="Arial Narrow"/>
        <charset val="134"/>
      </rPr>
      <t>-</t>
    </r>
    <r>
      <rPr>
        <sz val="9"/>
        <color theme="0" tint="-0.249977111117893"/>
        <rFont val="宋体"/>
        <charset val="134"/>
      </rPr>
      <t>披露表</t>
    </r>
  </si>
  <si>
    <r>
      <rPr>
        <b/>
        <sz val="9"/>
        <rFont val="宋体"/>
        <charset val="134"/>
      </rPr>
      <t>（五十三）未分配利润</t>
    </r>
    <r>
      <rPr>
        <b/>
        <sz val="9"/>
        <rFont val="Arial Narrow"/>
        <charset val="134"/>
      </rPr>
      <t>-</t>
    </r>
    <r>
      <rPr>
        <b/>
        <sz val="9"/>
        <rFont val="宋体"/>
        <charset val="134"/>
      </rPr>
      <t>披露表</t>
    </r>
  </si>
  <si>
    <t>一、上期期末账面余额</t>
  </si>
  <si>
    <t xml:space="preserve">    前期会计差错</t>
  </si>
  <si>
    <r>
      <rPr>
        <sz val="9"/>
        <rFont val="Arial Narrow"/>
        <charset val="134"/>
      </rPr>
      <t xml:space="preserve">    </t>
    </r>
    <r>
      <rPr>
        <sz val="9"/>
        <rFont val="宋体"/>
        <charset val="134"/>
      </rPr>
      <t>前期会计差错</t>
    </r>
  </si>
  <si>
    <t xml:space="preserve">    其他 </t>
  </si>
  <si>
    <r>
      <rPr>
        <sz val="9"/>
        <rFont val="Arial Narrow"/>
        <charset val="134"/>
      </rPr>
      <t xml:space="preserve">    </t>
    </r>
    <r>
      <rPr>
        <sz val="9"/>
        <rFont val="宋体"/>
        <charset val="134"/>
      </rPr>
      <t>其他</t>
    </r>
    <r>
      <rPr>
        <sz val="9"/>
        <rFont val="Arial Narrow"/>
        <charset val="134"/>
      </rPr>
      <t xml:space="preserve"> </t>
    </r>
  </si>
  <si>
    <t>二、本期期初账面余额</t>
  </si>
  <si>
    <t>三、本期增加</t>
  </si>
  <si>
    <t xml:space="preserve">    1、本期净利润</t>
  </si>
  <si>
    <r>
      <rPr>
        <sz val="9"/>
        <rFont val="Arial Narrow"/>
        <charset val="134"/>
      </rPr>
      <t xml:space="preserve">    1</t>
    </r>
    <r>
      <rPr>
        <sz val="9"/>
        <rFont val="宋体"/>
        <charset val="134"/>
      </rPr>
      <t>、本期净利润</t>
    </r>
  </si>
  <si>
    <r>
      <rPr>
        <sz val="9"/>
        <rFont val="Arial Narrow"/>
        <charset val="134"/>
      </rPr>
      <t xml:space="preserve">    2</t>
    </r>
    <r>
      <rPr>
        <sz val="9"/>
        <rFont val="宋体"/>
        <charset val="134"/>
      </rPr>
      <t>、其他</t>
    </r>
  </si>
  <si>
    <t>四、本期减少</t>
  </si>
  <si>
    <t xml:space="preserve">    1、提取法定盈余公积</t>
  </si>
  <si>
    <r>
      <rPr>
        <sz val="9"/>
        <rFont val="Arial Narrow"/>
        <charset val="134"/>
      </rPr>
      <t xml:space="preserve">    1</t>
    </r>
    <r>
      <rPr>
        <sz val="9"/>
        <rFont val="宋体"/>
        <charset val="134"/>
      </rPr>
      <t>、提取法定盈余公积</t>
    </r>
  </si>
  <si>
    <t xml:space="preserve">    2、提取任意盈余公积</t>
  </si>
  <si>
    <r>
      <rPr>
        <sz val="9"/>
        <rFont val="Arial Narrow"/>
        <charset val="134"/>
      </rPr>
      <t xml:space="preserve">    2</t>
    </r>
    <r>
      <rPr>
        <sz val="9"/>
        <rFont val="宋体"/>
        <charset val="134"/>
      </rPr>
      <t>、提取任意盈余公积</t>
    </r>
  </si>
  <si>
    <t xml:space="preserve">    3、提取储备基金</t>
  </si>
  <si>
    <r>
      <rPr>
        <sz val="9"/>
        <rFont val="Arial Narrow"/>
        <charset val="134"/>
      </rPr>
      <t xml:space="preserve">    3</t>
    </r>
    <r>
      <rPr>
        <sz val="9"/>
        <rFont val="宋体"/>
        <charset val="134"/>
      </rPr>
      <t>、提取储备基金</t>
    </r>
  </si>
  <si>
    <t xml:space="preserve">    4、提取企业发展基金</t>
  </si>
  <si>
    <r>
      <rPr>
        <sz val="9"/>
        <rFont val="Arial Narrow"/>
        <charset val="134"/>
      </rPr>
      <t xml:space="preserve">    4</t>
    </r>
    <r>
      <rPr>
        <sz val="9"/>
        <rFont val="宋体"/>
        <charset val="134"/>
      </rPr>
      <t>、提取企业发展基金</t>
    </r>
  </si>
  <si>
    <t xml:space="preserve">    5、分配利润</t>
  </si>
  <si>
    <r>
      <rPr>
        <sz val="9"/>
        <rFont val="Arial Narrow"/>
        <charset val="134"/>
      </rPr>
      <t xml:space="preserve">    5</t>
    </r>
    <r>
      <rPr>
        <sz val="9"/>
        <rFont val="宋体"/>
        <charset val="134"/>
      </rPr>
      <t>、分配利润</t>
    </r>
  </si>
  <si>
    <t xml:space="preserve">    6、其他</t>
  </si>
  <si>
    <r>
      <rPr>
        <sz val="9"/>
        <rFont val="Arial Narrow"/>
        <charset val="134"/>
      </rPr>
      <t xml:space="preserve">    6</t>
    </r>
    <r>
      <rPr>
        <sz val="9"/>
        <rFont val="宋体"/>
        <charset val="134"/>
      </rPr>
      <t>、其他</t>
    </r>
  </si>
  <si>
    <t>五、期末账面余额</t>
  </si>
  <si>
    <t>调整期初未分配利润明细：</t>
  </si>
  <si>
    <t>（1）由于《企业会计准则》及其相关新规定进行追溯调整，影响期初未分配利润       元。</t>
  </si>
  <si>
    <r>
      <rPr>
        <sz val="9"/>
        <rFont val="宋体"/>
        <charset val="134"/>
      </rPr>
      <t>（</t>
    </r>
    <r>
      <rPr>
        <sz val="9"/>
        <rFont val="Arial Narrow"/>
        <charset val="134"/>
      </rPr>
      <t>1</t>
    </r>
    <r>
      <rPr>
        <sz val="9"/>
        <rFont val="宋体"/>
        <charset val="134"/>
      </rPr>
      <t>）由于《企业会计准则》及其相关新规定进行追溯调整，影响期初未分配利润</t>
    </r>
    <r>
      <rPr>
        <sz val="9"/>
        <rFont val="Arial Narrow"/>
        <charset val="134"/>
      </rPr>
      <t xml:space="preserve">       </t>
    </r>
    <r>
      <rPr>
        <sz val="9"/>
        <rFont val="宋体"/>
        <charset val="134"/>
      </rPr>
      <t>元。</t>
    </r>
  </si>
  <si>
    <t>（2）由于会计政策变更，影响期初未分配利润        元。</t>
  </si>
  <si>
    <r>
      <rPr>
        <sz val="9"/>
        <rFont val="宋体"/>
        <charset val="134"/>
      </rPr>
      <t>（</t>
    </r>
    <r>
      <rPr>
        <sz val="9"/>
        <rFont val="Arial Narrow"/>
        <charset val="134"/>
      </rPr>
      <t>2</t>
    </r>
    <r>
      <rPr>
        <sz val="9"/>
        <rFont val="宋体"/>
        <charset val="134"/>
      </rPr>
      <t>）由于会计政策变更，影响期初未分配利润</t>
    </r>
    <r>
      <rPr>
        <sz val="9"/>
        <rFont val="Arial Narrow"/>
        <charset val="134"/>
      </rPr>
      <t xml:space="preserve">        </t>
    </r>
    <r>
      <rPr>
        <sz val="9"/>
        <rFont val="宋体"/>
        <charset val="134"/>
      </rPr>
      <t>元。</t>
    </r>
  </si>
  <si>
    <t>（3）由于重大会计差错更正，影响期初未分配利润     元。</t>
  </si>
  <si>
    <r>
      <rPr>
        <sz val="9"/>
        <rFont val="宋体"/>
        <charset val="134"/>
      </rPr>
      <t>（</t>
    </r>
    <r>
      <rPr>
        <sz val="9"/>
        <rFont val="Arial Narrow"/>
        <charset val="134"/>
      </rPr>
      <t>3</t>
    </r>
    <r>
      <rPr>
        <sz val="9"/>
        <rFont val="宋体"/>
        <charset val="134"/>
      </rPr>
      <t>）由于重大会计差错更正，影响期初未分配利润</t>
    </r>
    <r>
      <rPr>
        <sz val="9"/>
        <rFont val="Arial Narrow"/>
        <charset val="134"/>
      </rPr>
      <t xml:space="preserve">     </t>
    </r>
    <r>
      <rPr>
        <sz val="9"/>
        <rFont val="宋体"/>
        <charset val="134"/>
      </rPr>
      <t>元。</t>
    </r>
  </si>
  <si>
    <t>（4）由于同一控制导致的合并范围变更，影响期初未分配利润      元。</t>
  </si>
  <si>
    <r>
      <rPr>
        <sz val="9"/>
        <rFont val="宋体"/>
        <charset val="134"/>
      </rPr>
      <t>（</t>
    </r>
    <r>
      <rPr>
        <sz val="9"/>
        <rFont val="Arial Narrow"/>
        <charset val="134"/>
      </rPr>
      <t>4</t>
    </r>
    <r>
      <rPr>
        <sz val="9"/>
        <rFont val="宋体"/>
        <charset val="134"/>
      </rPr>
      <t>）由于同一控制导致的合并范围变更，影响期初未分配利润</t>
    </r>
    <r>
      <rPr>
        <sz val="9"/>
        <rFont val="Arial Narrow"/>
        <charset val="134"/>
      </rPr>
      <t xml:space="preserve">      </t>
    </r>
    <r>
      <rPr>
        <sz val="9"/>
        <rFont val="宋体"/>
        <charset val="134"/>
      </rPr>
      <t>元。</t>
    </r>
  </si>
  <si>
    <t>（5）其他调整合计影响期初未分配利润      元。</t>
  </si>
  <si>
    <r>
      <rPr>
        <sz val="9"/>
        <rFont val="宋体"/>
        <charset val="134"/>
      </rPr>
      <t>（</t>
    </r>
    <r>
      <rPr>
        <sz val="9"/>
        <rFont val="Arial Narrow"/>
        <charset val="134"/>
      </rPr>
      <t>5</t>
    </r>
    <r>
      <rPr>
        <sz val="9"/>
        <rFont val="宋体"/>
        <charset val="134"/>
      </rPr>
      <t>）其他调整合计影响期初未分配利润</t>
    </r>
    <r>
      <rPr>
        <sz val="9"/>
        <rFont val="Arial Narrow"/>
        <charset val="134"/>
      </rPr>
      <t xml:space="preserve">      </t>
    </r>
    <r>
      <rPr>
        <sz val="9"/>
        <rFont val="宋体"/>
        <charset val="134"/>
      </rPr>
      <t>元。</t>
    </r>
  </si>
  <si>
    <t>注：1.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</si>
  <si>
    <r>
      <rPr>
        <sz val="9"/>
        <rFont val="宋体"/>
        <charset val="134"/>
      </rPr>
      <t>注：</t>
    </r>
    <r>
      <rPr>
        <sz val="9"/>
        <rFont val="Arial Narrow"/>
        <charset val="134"/>
      </rPr>
      <t>1.</t>
    </r>
    <r>
      <rPr>
        <sz val="9"/>
        <rFont val="宋体"/>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</si>
  <si>
    <r>
      <rPr>
        <sz val="9"/>
        <color theme="0" tint="-0.249977111117893"/>
        <rFont val="宋体"/>
        <charset val="134"/>
      </rPr>
      <t>营业收入</t>
    </r>
    <r>
      <rPr>
        <sz val="9"/>
        <color theme="0" tint="-0.249977111117893"/>
        <rFont val="Arial Narrow"/>
        <charset val="134"/>
      </rPr>
      <t>-</t>
    </r>
    <r>
      <rPr>
        <sz val="9"/>
        <color theme="0" tint="-0.249977111117893"/>
        <rFont val="宋体"/>
        <charset val="134"/>
      </rPr>
      <t>披露表</t>
    </r>
  </si>
  <si>
    <r>
      <rPr>
        <b/>
        <sz val="9"/>
        <rFont val="宋体"/>
        <charset val="134"/>
      </rPr>
      <t>（五十四）营业收入</t>
    </r>
    <r>
      <rPr>
        <b/>
        <sz val="9"/>
        <rFont val="Arial Narrow"/>
        <charset val="134"/>
      </rPr>
      <t>-</t>
    </r>
    <r>
      <rPr>
        <b/>
        <sz val="9"/>
        <rFont val="宋体"/>
        <charset val="134"/>
      </rPr>
      <t>披露表</t>
    </r>
  </si>
  <si>
    <t>(上期请点击连接填写)</t>
  </si>
  <si>
    <r>
      <rPr>
        <sz val="9"/>
        <rFont val="宋体"/>
        <charset val="134"/>
      </rPr>
      <t>项</t>
    </r>
    <r>
      <rPr>
        <sz val="9"/>
        <rFont val="Arial Narrow"/>
        <charset val="134"/>
      </rPr>
      <t xml:space="preserve"> </t>
    </r>
    <r>
      <rPr>
        <sz val="9"/>
        <rFont val="宋体"/>
        <charset val="134"/>
      </rPr>
      <t>目</t>
    </r>
  </si>
  <si>
    <t>收入本期实际数</t>
  </si>
  <si>
    <t>收入上期实际数</t>
  </si>
  <si>
    <t>成本本期实际数</t>
  </si>
  <si>
    <t>成本上期实际数</t>
  </si>
  <si>
    <t>（2）主营业务（类别）</t>
  </si>
  <si>
    <r>
      <rPr>
        <sz val="9"/>
        <rFont val="宋体"/>
        <charset val="134"/>
      </rPr>
      <t>（</t>
    </r>
    <r>
      <rPr>
        <sz val="9"/>
        <rFont val="Arial Narrow"/>
        <charset val="134"/>
      </rPr>
      <t>2</t>
    </r>
    <r>
      <rPr>
        <sz val="9"/>
        <rFont val="宋体"/>
        <charset val="134"/>
      </rPr>
      <t>）主营业务（类别）</t>
    </r>
  </si>
  <si>
    <t>主要业务类别/产品类别</t>
  </si>
  <si>
    <r>
      <rPr>
        <sz val="9"/>
        <rFont val="宋体"/>
        <charset val="134"/>
      </rPr>
      <t>主要业务类别</t>
    </r>
    <r>
      <rPr>
        <sz val="9"/>
        <rFont val="Arial Narrow"/>
        <charset val="134"/>
      </rPr>
      <t>/</t>
    </r>
    <r>
      <rPr>
        <sz val="9"/>
        <rFont val="宋体"/>
        <charset val="134"/>
      </rPr>
      <t>产品类别</t>
    </r>
  </si>
  <si>
    <t>主营业务成本</t>
  </si>
  <si>
    <t>主营业务利润</t>
  </si>
  <si>
    <t>产品销售</t>
  </si>
  <si>
    <t>EMC项目</t>
  </si>
  <si>
    <t>照明工程</t>
  </si>
  <si>
    <t>维护服务</t>
  </si>
  <si>
    <r>
      <rPr>
        <sz val="9"/>
        <rFont val="宋体"/>
        <charset val="134"/>
      </rPr>
      <t>类别</t>
    </r>
    <r>
      <rPr>
        <sz val="9"/>
        <rFont val="Arial Narrow"/>
        <charset val="134"/>
      </rPr>
      <t>5-</t>
    </r>
  </si>
  <si>
    <r>
      <rPr>
        <sz val="9"/>
        <rFont val="宋体"/>
        <charset val="134"/>
      </rPr>
      <t>类别</t>
    </r>
    <r>
      <rPr>
        <sz val="9"/>
        <rFont val="Arial Narrow"/>
        <charset val="134"/>
      </rPr>
      <t>6--</t>
    </r>
  </si>
  <si>
    <r>
      <rPr>
        <sz val="9"/>
        <rFont val="宋体"/>
        <charset val="134"/>
      </rPr>
      <t>类别</t>
    </r>
    <r>
      <rPr>
        <sz val="9"/>
        <rFont val="Arial Narrow"/>
        <charset val="134"/>
      </rPr>
      <t>7-</t>
    </r>
  </si>
  <si>
    <r>
      <rPr>
        <sz val="9"/>
        <rFont val="宋体"/>
        <charset val="134"/>
      </rPr>
      <t>类别</t>
    </r>
    <r>
      <rPr>
        <sz val="9"/>
        <rFont val="Arial Narrow"/>
        <charset val="134"/>
      </rPr>
      <t>8--</t>
    </r>
  </si>
  <si>
    <r>
      <rPr>
        <sz val="9"/>
        <rFont val="宋体"/>
        <charset val="134"/>
      </rPr>
      <t>类别</t>
    </r>
    <r>
      <rPr>
        <sz val="9"/>
        <rFont val="Arial Narrow"/>
        <charset val="134"/>
      </rPr>
      <t>9--</t>
    </r>
  </si>
  <si>
    <r>
      <rPr>
        <sz val="9"/>
        <rFont val="宋体"/>
        <charset val="134"/>
      </rPr>
      <t>类别</t>
    </r>
    <r>
      <rPr>
        <sz val="9"/>
        <rFont val="Arial Narrow"/>
        <charset val="134"/>
      </rPr>
      <t>10--</t>
    </r>
  </si>
  <si>
    <r>
      <rPr>
        <sz val="9"/>
        <rFont val="宋体"/>
        <charset val="134"/>
      </rPr>
      <t>类别</t>
    </r>
    <r>
      <rPr>
        <sz val="9"/>
        <rFont val="Arial Narrow"/>
        <charset val="134"/>
      </rPr>
      <t>11--</t>
    </r>
  </si>
  <si>
    <r>
      <rPr>
        <sz val="9"/>
        <rFont val="宋体"/>
        <charset val="134"/>
      </rPr>
      <t>类别</t>
    </r>
    <r>
      <rPr>
        <sz val="9"/>
        <rFont val="Arial Narrow"/>
        <charset val="134"/>
      </rPr>
      <t>12--</t>
    </r>
  </si>
  <si>
    <r>
      <rPr>
        <sz val="9"/>
        <rFont val="宋体"/>
        <charset val="134"/>
      </rPr>
      <t>类别</t>
    </r>
    <r>
      <rPr>
        <sz val="9"/>
        <rFont val="Arial Narrow"/>
        <charset val="134"/>
      </rPr>
      <t>13--</t>
    </r>
  </si>
  <si>
    <r>
      <rPr>
        <sz val="9"/>
        <rFont val="宋体"/>
        <charset val="134"/>
      </rPr>
      <t>类别</t>
    </r>
    <r>
      <rPr>
        <sz val="9"/>
        <rFont val="Arial Narrow"/>
        <charset val="134"/>
      </rPr>
      <t>14--</t>
    </r>
  </si>
  <si>
    <t>表间核对：</t>
  </si>
  <si>
    <t>(3)主营业务（分产品）</t>
  </si>
  <si>
    <r>
      <rPr>
        <sz val="9"/>
        <rFont val="Arial Narrow"/>
        <charset val="134"/>
      </rPr>
      <t>(3)</t>
    </r>
    <r>
      <rPr>
        <sz val="9"/>
        <rFont val="宋体"/>
        <charset val="134"/>
      </rPr>
      <t>主营业务（分产品）</t>
    </r>
  </si>
  <si>
    <t>产品名称</t>
  </si>
  <si>
    <r>
      <rPr>
        <sz val="9"/>
        <rFont val="宋体"/>
        <charset val="134"/>
      </rPr>
      <t>类别</t>
    </r>
    <r>
      <rPr>
        <sz val="9"/>
        <rFont val="Arial Narrow"/>
        <charset val="134"/>
      </rPr>
      <t>1--</t>
    </r>
  </si>
  <si>
    <r>
      <rPr>
        <sz val="9"/>
        <rFont val="宋体"/>
        <charset val="134"/>
      </rPr>
      <t>类别</t>
    </r>
    <r>
      <rPr>
        <sz val="9"/>
        <rFont val="Arial Narrow"/>
        <charset val="134"/>
      </rPr>
      <t>2--</t>
    </r>
  </si>
  <si>
    <r>
      <rPr>
        <sz val="9"/>
        <rFont val="宋体"/>
        <charset val="134"/>
      </rPr>
      <t>类别</t>
    </r>
    <r>
      <rPr>
        <sz val="9"/>
        <rFont val="Arial Narrow"/>
        <charset val="134"/>
      </rPr>
      <t>3--</t>
    </r>
  </si>
  <si>
    <r>
      <rPr>
        <sz val="9"/>
        <rFont val="宋体"/>
        <charset val="134"/>
      </rPr>
      <t>类别</t>
    </r>
    <r>
      <rPr>
        <sz val="9"/>
        <rFont val="Arial Narrow"/>
        <charset val="134"/>
      </rPr>
      <t>4-</t>
    </r>
  </si>
  <si>
    <r>
      <rPr>
        <sz val="9"/>
        <rFont val="宋体"/>
        <charset val="134"/>
      </rPr>
      <t>产品名称</t>
    </r>
    <r>
      <rPr>
        <sz val="9"/>
        <rFont val="Arial Narrow"/>
        <charset val="134"/>
      </rPr>
      <t>11--</t>
    </r>
  </si>
  <si>
    <r>
      <rPr>
        <sz val="9"/>
        <rFont val="宋体"/>
        <charset val="134"/>
      </rPr>
      <t>产品名称</t>
    </r>
    <r>
      <rPr>
        <sz val="9"/>
        <rFont val="Arial Narrow"/>
        <charset val="134"/>
      </rPr>
      <t>12--</t>
    </r>
  </si>
  <si>
    <r>
      <rPr>
        <sz val="9"/>
        <rFont val="宋体"/>
        <charset val="134"/>
      </rPr>
      <t>产品名称</t>
    </r>
    <r>
      <rPr>
        <sz val="9"/>
        <rFont val="Arial Narrow"/>
        <charset val="134"/>
      </rPr>
      <t>13--</t>
    </r>
  </si>
  <si>
    <t>(4)主营业务（按地区划分）</t>
  </si>
  <si>
    <r>
      <rPr>
        <sz val="9"/>
        <rFont val="Arial Narrow"/>
        <charset val="134"/>
      </rPr>
      <t>(4)</t>
    </r>
    <r>
      <rPr>
        <sz val="9"/>
        <rFont val="宋体"/>
        <charset val="134"/>
      </rPr>
      <t>主营业务（按地区划分）</t>
    </r>
  </si>
  <si>
    <t>主要地区</t>
  </si>
  <si>
    <r>
      <rPr>
        <sz val="9"/>
        <rFont val="宋体"/>
        <charset val="134"/>
      </rPr>
      <t>地区</t>
    </r>
    <r>
      <rPr>
        <sz val="9"/>
        <rFont val="Arial Narrow"/>
        <charset val="134"/>
      </rPr>
      <t>1--</t>
    </r>
    <r>
      <rPr>
        <sz val="9"/>
        <rFont val="宋体"/>
        <charset val="134"/>
      </rPr>
      <t>国内销售</t>
    </r>
  </si>
  <si>
    <r>
      <rPr>
        <sz val="9"/>
        <rFont val="宋体"/>
        <charset val="134"/>
      </rPr>
      <t>地区</t>
    </r>
    <r>
      <rPr>
        <sz val="9"/>
        <rFont val="Arial Narrow"/>
        <charset val="134"/>
      </rPr>
      <t>2--</t>
    </r>
    <r>
      <rPr>
        <sz val="9"/>
        <rFont val="宋体"/>
        <charset val="134"/>
      </rPr>
      <t>国外销售</t>
    </r>
  </si>
  <si>
    <r>
      <rPr>
        <sz val="9"/>
        <rFont val="宋体"/>
        <charset val="134"/>
      </rPr>
      <t>地区</t>
    </r>
    <r>
      <rPr>
        <sz val="9"/>
        <rFont val="Arial Narrow"/>
        <charset val="134"/>
      </rPr>
      <t>3--</t>
    </r>
    <r>
      <rPr>
        <sz val="9"/>
        <rFont val="宋体"/>
        <charset val="134"/>
      </rPr>
      <t>港澳台销售</t>
    </r>
  </si>
  <si>
    <r>
      <rPr>
        <sz val="9"/>
        <rFont val="宋体"/>
        <charset val="134"/>
      </rPr>
      <t>地区</t>
    </r>
    <r>
      <rPr>
        <sz val="9"/>
        <rFont val="Arial Narrow"/>
        <charset val="134"/>
      </rPr>
      <t>6--</t>
    </r>
  </si>
  <si>
    <r>
      <rPr>
        <sz val="9"/>
        <rFont val="宋体"/>
        <charset val="134"/>
      </rPr>
      <t>地区</t>
    </r>
    <r>
      <rPr>
        <sz val="9"/>
        <rFont val="Arial Narrow"/>
        <charset val="134"/>
      </rPr>
      <t>7--</t>
    </r>
  </si>
  <si>
    <r>
      <rPr>
        <sz val="9"/>
        <rFont val="宋体"/>
        <charset val="134"/>
      </rPr>
      <t>地区</t>
    </r>
    <r>
      <rPr>
        <sz val="9"/>
        <rFont val="Arial Narrow"/>
        <charset val="134"/>
      </rPr>
      <t>8--</t>
    </r>
  </si>
  <si>
    <r>
      <rPr>
        <sz val="9"/>
        <rFont val="宋体"/>
        <charset val="134"/>
      </rPr>
      <t>地区</t>
    </r>
    <r>
      <rPr>
        <sz val="9"/>
        <rFont val="Arial Narrow"/>
        <charset val="134"/>
      </rPr>
      <t>9--</t>
    </r>
  </si>
  <si>
    <r>
      <rPr>
        <sz val="9"/>
        <rFont val="宋体"/>
        <charset val="134"/>
      </rPr>
      <t>地区</t>
    </r>
    <r>
      <rPr>
        <sz val="9"/>
        <rFont val="Arial Narrow"/>
        <charset val="134"/>
      </rPr>
      <t>10--</t>
    </r>
  </si>
  <si>
    <r>
      <rPr>
        <sz val="9"/>
        <rFont val="宋体"/>
        <charset val="134"/>
      </rPr>
      <t>地区</t>
    </r>
    <r>
      <rPr>
        <sz val="9"/>
        <rFont val="Arial Narrow"/>
        <charset val="134"/>
      </rPr>
      <t>11--</t>
    </r>
  </si>
  <si>
    <r>
      <rPr>
        <sz val="9"/>
        <rFont val="宋体"/>
        <charset val="134"/>
      </rPr>
      <t>地区</t>
    </r>
    <r>
      <rPr>
        <sz val="9"/>
        <rFont val="Arial Narrow"/>
        <charset val="134"/>
      </rPr>
      <t>12--</t>
    </r>
  </si>
  <si>
    <r>
      <rPr>
        <sz val="9"/>
        <rFont val="宋体"/>
        <charset val="134"/>
      </rPr>
      <t>地区</t>
    </r>
    <r>
      <rPr>
        <sz val="9"/>
        <rFont val="Arial Narrow"/>
        <charset val="134"/>
      </rPr>
      <t>13--</t>
    </r>
  </si>
  <si>
    <t>（5）公司前五名客户的销售收入总额元，占公司全部销售收入的比例%。</t>
  </si>
  <si>
    <r>
      <rPr>
        <sz val="9"/>
        <rFont val="宋体"/>
        <charset val="134"/>
      </rPr>
      <t>（</t>
    </r>
    <r>
      <rPr>
        <sz val="9"/>
        <rFont val="Arial Narrow"/>
        <charset val="134"/>
      </rPr>
      <t>5</t>
    </r>
    <r>
      <rPr>
        <sz val="9"/>
        <rFont val="宋体"/>
        <charset val="134"/>
      </rPr>
      <t>）公司前五名客户的销售收入总额元，占公司全部销售收入的比例</t>
    </r>
    <r>
      <rPr>
        <sz val="9"/>
        <rFont val="Arial Narrow"/>
        <charset val="134"/>
      </rPr>
      <t>%</t>
    </r>
    <r>
      <rPr>
        <sz val="9"/>
        <rFont val="宋体"/>
        <charset val="134"/>
      </rPr>
      <t>。</t>
    </r>
  </si>
  <si>
    <t>销售金额</t>
  </si>
  <si>
    <t>全部销售收入的比例</t>
  </si>
  <si>
    <t>（6）营业收入变动幅度达30%（含30%）以上，或占报告期利润总额10%（含10%）以上的原因为。</t>
  </si>
  <si>
    <r>
      <rPr>
        <sz val="9"/>
        <rFont val="宋体"/>
        <charset val="134"/>
      </rPr>
      <t>（</t>
    </r>
    <r>
      <rPr>
        <sz val="9"/>
        <rFont val="Arial Narrow"/>
        <charset val="134"/>
      </rPr>
      <t>6</t>
    </r>
    <r>
      <rPr>
        <sz val="9"/>
        <rFont val="宋体"/>
        <charset val="134"/>
      </rPr>
      <t>）营业收入变动幅度达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</si>
  <si>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（五十五） 合同项目收入-批露表</t>
  </si>
  <si>
    <r>
      <rPr>
        <b/>
        <sz val="9"/>
        <rFont val="宋体"/>
        <charset val="134"/>
      </rPr>
      <t>（五十五）</t>
    </r>
    <r>
      <rPr>
        <b/>
        <sz val="9"/>
        <rFont val="Arial Narrow"/>
        <charset val="134"/>
      </rPr>
      <t xml:space="preserve"> </t>
    </r>
    <r>
      <rPr>
        <b/>
        <sz val="9"/>
        <rFont val="宋体"/>
        <charset val="134"/>
      </rPr>
      <t>合同项目收入</t>
    </r>
    <r>
      <rPr>
        <b/>
        <sz val="9"/>
        <rFont val="Arial Narrow"/>
        <charset val="134"/>
      </rPr>
      <t>-</t>
    </r>
    <r>
      <rPr>
        <b/>
        <sz val="9"/>
        <rFont val="宋体"/>
        <charset val="134"/>
      </rPr>
      <t>批露表</t>
    </r>
  </si>
  <si>
    <t>累计已发生</t>
  </si>
  <si>
    <t>已办理结算的</t>
  </si>
  <si>
    <t>（亏损以“-”号表示）</t>
  </si>
  <si>
    <t>价款金额</t>
  </si>
  <si>
    <t>固定造价合同</t>
  </si>
  <si>
    <t>成本加成合同</t>
  </si>
  <si>
    <t>注：披露单项合同本期确认收入占营业收入10%以上的项目。</t>
  </si>
  <si>
    <r>
      <rPr>
        <sz val="9"/>
        <rFont val="宋体"/>
        <charset val="134"/>
      </rPr>
      <t>注：披露单项合同本期确认收入占营业收入</t>
    </r>
    <r>
      <rPr>
        <sz val="9"/>
        <rFont val="Arial Narrow"/>
        <charset val="134"/>
      </rPr>
      <t>10%</t>
    </r>
    <r>
      <rPr>
        <sz val="9"/>
        <rFont val="宋体"/>
        <charset val="134"/>
      </rPr>
      <t>以上的项目。</t>
    </r>
  </si>
  <si>
    <r>
      <rPr>
        <sz val="9"/>
        <color theme="0" tint="-0.249977111117893"/>
        <rFont val="宋体"/>
        <charset val="134"/>
      </rPr>
      <t>营业税金及附加</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</si>
  <si>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五十六</t>
    </r>
    <r>
      <rPr>
        <b/>
        <sz val="9"/>
        <rFont val="Arial Narrow"/>
        <charset val="134"/>
      </rPr>
      <t>)</t>
    </r>
    <r>
      <rPr>
        <b/>
        <sz val="9"/>
        <rFont val="宋体"/>
        <charset val="134"/>
      </rPr>
      <t>营业税金及附加</t>
    </r>
    <r>
      <rPr>
        <b/>
        <sz val="9"/>
        <rFont val="Arial Narrow"/>
        <charset val="134"/>
      </rPr>
      <t>-</t>
    </r>
    <r>
      <rPr>
        <b/>
        <sz val="9"/>
        <rFont val="宋体"/>
        <charset val="134"/>
      </rPr>
      <t>披露表</t>
    </r>
  </si>
  <si>
    <t>（2）营业税金及附加变动幅度达30%（含30%）以上，或占报告期利润总额10%（含10%）以上的原因为。</t>
  </si>
  <si>
    <r>
      <rPr>
        <sz val="9"/>
        <rFont val="宋体"/>
        <charset val="134"/>
      </rPr>
      <t>（</t>
    </r>
    <r>
      <rPr>
        <sz val="9"/>
        <rFont val="Arial Narrow"/>
        <charset val="134"/>
      </rPr>
      <t>2</t>
    </r>
    <r>
      <rPr>
        <sz val="9"/>
        <rFont val="宋体"/>
        <charset val="134"/>
      </rPr>
      <t>）营业税金及附加变动幅度达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</si>
  <si>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（五十七）公允价值变动损益-披露表</t>
  </si>
  <si>
    <r>
      <rPr>
        <sz val="9"/>
        <color theme="0" tint="-0.249977111117893"/>
        <rFont val="宋体"/>
        <charset val="134"/>
      </rPr>
      <t>公允价值变动损益</t>
    </r>
    <r>
      <rPr>
        <sz val="9"/>
        <color theme="0" tint="-0.249977111117893"/>
        <rFont val="Arial Narrow"/>
        <charset val="134"/>
      </rPr>
      <t>-</t>
    </r>
    <r>
      <rPr>
        <sz val="9"/>
        <color theme="0" tint="-0.249977111117893"/>
        <rFont val="宋体"/>
        <charset val="134"/>
      </rPr>
      <t>披露表</t>
    </r>
  </si>
  <si>
    <r>
      <rPr>
        <b/>
        <sz val="9"/>
        <rFont val="宋体"/>
        <charset val="134"/>
      </rPr>
      <t>（五十七）公允价值变动损益</t>
    </r>
    <r>
      <rPr>
        <b/>
        <sz val="9"/>
        <rFont val="Arial Narrow"/>
        <charset val="134"/>
      </rPr>
      <t>-</t>
    </r>
    <r>
      <rPr>
        <b/>
        <sz val="9"/>
        <rFont val="宋体"/>
        <charset val="134"/>
      </rPr>
      <t>披露表</t>
    </r>
  </si>
  <si>
    <t xml:space="preserve"> 其中：衍生金融工具产生的公允价值变动收益</t>
  </si>
  <si>
    <r>
      <rPr>
        <sz val="9"/>
        <rFont val="Arial Narrow"/>
        <charset val="134"/>
      </rPr>
      <t xml:space="preserve"> </t>
    </r>
    <r>
      <rPr>
        <sz val="9"/>
        <rFont val="宋体"/>
        <charset val="134"/>
      </rPr>
      <t>其中：衍生金融工具产生的公允价值变动收益</t>
    </r>
  </si>
  <si>
    <t>按公允价值计量的投资性房地产</t>
  </si>
  <si>
    <t>（2）公允价值变动收益变动幅度达30%（含30%）以上，或占报告期利润总额10%（含10%）以上的原因为。</t>
  </si>
  <si>
    <r>
      <rPr>
        <sz val="9"/>
        <rFont val="宋体"/>
        <charset val="134"/>
      </rPr>
      <t>（</t>
    </r>
    <r>
      <rPr>
        <sz val="9"/>
        <rFont val="Arial Narrow"/>
        <charset val="134"/>
      </rPr>
      <t>2</t>
    </r>
    <r>
      <rPr>
        <sz val="9"/>
        <rFont val="宋体"/>
        <charset val="134"/>
      </rPr>
      <t>）公允价值变动收益变动幅度达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</si>
  <si>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投资收益</t>
    </r>
    <r>
      <rPr>
        <sz val="9"/>
        <color theme="0" tint="-0.249977111117893"/>
        <rFont val="Arial Narrow"/>
        <charset val="134"/>
      </rPr>
      <t>-</t>
    </r>
    <r>
      <rPr>
        <sz val="9"/>
        <color theme="0" tint="-0.249977111117893"/>
        <rFont val="宋体"/>
        <charset val="134"/>
      </rPr>
      <t>披露表</t>
    </r>
  </si>
  <si>
    <r>
      <rPr>
        <b/>
        <sz val="9"/>
        <rFont val="宋体"/>
        <charset val="134"/>
      </rPr>
      <t>（五十八）投资收益</t>
    </r>
    <r>
      <rPr>
        <b/>
        <sz val="9"/>
        <rFont val="Arial Narrow"/>
        <charset val="134"/>
      </rPr>
      <t>-</t>
    </r>
    <r>
      <rPr>
        <b/>
        <sz val="9"/>
        <rFont val="宋体"/>
        <charset val="134"/>
      </rPr>
      <t>披露表</t>
    </r>
  </si>
  <si>
    <t>本期实际额</t>
  </si>
  <si>
    <t>上期实际额</t>
  </si>
  <si>
    <t>变动原因</t>
  </si>
  <si>
    <t>本期处置长期股权投资明细</t>
  </si>
  <si>
    <t>处置长期股权投资项目名</t>
  </si>
  <si>
    <t>处置产生的投资收益金额</t>
  </si>
  <si>
    <t>处置可供出售金融资产等取得的投资收益</t>
  </si>
  <si>
    <t>（2）按成本法核算的长期股权投资按投资投资单位分项列示投资收益</t>
  </si>
  <si>
    <r>
      <rPr>
        <sz val="9"/>
        <rFont val="宋体"/>
        <charset val="134"/>
      </rPr>
      <t>（</t>
    </r>
    <r>
      <rPr>
        <sz val="9"/>
        <rFont val="Arial Narrow"/>
        <charset val="134"/>
      </rPr>
      <t>2</t>
    </r>
    <r>
      <rPr>
        <sz val="9"/>
        <rFont val="宋体"/>
        <charset val="134"/>
      </rPr>
      <t>）按成本法核算的长期股权投资按投资单位分项列示投资收益</t>
    </r>
  </si>
  <si>
    <t>本期比上期增减变动的原因</t>
  </si>
  <si>
    <t>注：1.本期未取得投资收益的，不在本表填列；</t>
  </si>
  <si>
    <r>
      <rPr>
        <sz val="9"/>
        <rFont val="宋体"/>
        <charset val="134"/>
      </rPr>
      <t>注：</t>
    </r>
    <r>
      <rPr>
        <sz val="9"/>
        <rFont val="Arial Narrow"/>
        <charset val="134"/>
      </rPr>
      <t>1.</t>
    </r>
    <r>
      <rPr>
        <sz val="9"/>
        <rFont val="宋体"/>
        <charset val="134"/>
      </rPr>
      <t>本期未取得投资收益的，不在本表填列；</t>
    </r>
  </si>
  <si>
    <t xml:space="preserve">注2.仅列示投资收益占利润总额5%以上的投资单位，或占利润总额比例最高的前5家投资单位。 </t>
  </si>
  <si>
    <r>
      <rPr>
        <sz val="9"/>
        <rFont val="宋体"/>
        <charset val="134"/>
      </rPr>
      <t>注</t>
    </r>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r>
      <rPr>
        <sz val="9"/>
        <rFont val="Arial Narrow"/>
        <charset val="134"/>
      </rPr>
      <t xml:space="preserve"> </t>
    </r>
  </si>
  <si>
    <t>（3）按权益法核算的长期股权投资按投资投资单位分项列示投资收益</t>
  </si>
  <si>
    <r>
      <rPr>
        <sz val="9"/>
        <rFont val="宋体"/>
        <charset val="134"/>
      </rPr>
      <t>（</t>
    </r>
    <r>
      <rPr>
        <sz val="9"/>
        <rFont val="Arial Narrow"/>
        <charset val="134"/>
      </rPr>
      <t>3</t>
    </r>
    <r>
      <rPr>
        <sz val="9"/>
        <rFont val="宋体"/>
        <charset val="134"/>
      </rPr>
      <t>）按权益法核算的长期股权投资按投资投资单位分项列示投资收益</t>
    </r>
  </si>
  <si>
    <t>2.仅列示投资收益占利润总额5%以上的投资单位，或占利润总额比例最高的前5家投资单位。</t>
  </si>
  <si>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</si>
  <si>
    <t>（4）投资收益汇回的重大限制的原因为。（若不存在重大限制，也应做出说明。）</t>
  </si>
  <si>
    <r>
      <rPr>
        <sz val="9"/>
        <rFont val="宋体"/>
        <charset val="134"/>
      </rPr>
      <t>（</t>
    </r>
    <r>
      <rPr>
        <sz val="9"/>
        <rFont val="Arial Narrow"/>
        <charset val="134"/>
      </rPr>
      <t>4</t>
    </r>
    <r>
      <rPr>
        <sz val="9"/>
        <rFont val="宋体"/>
        <charset val="134"/>
      </rPr>
      <t>）投资收益汇回的重大限制的原因为。（若不存在重大限制，也应做出说明。）</t>
    </r>
  </si>
  <si>
    <t>（5）投资收益变动幅度达30%（含30%）以上，或占报告期利润总额10%（含10%）以上的原因为。</t>
  </si>
  <si>
    <r>
      <rPr>
        <sz val="9"/>
        <rFont val="宋体"/>
        <charset val="134"/>
      </rPr>
      <t>（</t>
    </r>
    <r>
      <rPr>
        <sz val="9"/>
        <rFont val="Arial Narrow"/>
        <charset val="134"/>
      </rPr>
      <t>5</t>
    </r>
    <r>
      <rPr>
        <sz val="9"/>
        <rFont val="宋体"/>
        <charset val="134"/>
      </rPr>
      <t>）投资收益变动幅度达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</si>
  <si>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资产减值损失</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</si>
  <si>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五十九</t>
    </r>
    <r>
      <rPr>
        <b/>
        <sz val="9"/>
        <rFont val="Arial Narrow"/>
        <charset val="134"/>
      </rPr>
      <t>)</t>
    </r>
    <r>
      <rPr>
        <b/>
        <sz val="9"/>
        <rFont val="宋体"/>
        <charset val="134"/>
      </rPr>
      <t>资产减值损失</t>
    </r>
    <r>
      <rPr>
        <b/>
        <sz val="9"/>
        <rFont val="Arial Narrow"/>
        <charset val="134"/>
      </rPr>
      <t>-</t>
    </r>
    <r>
      <rPr>
        <b/>
        <sz val="9"/>
        <rFont val="宋体"/>
        <charset val="134"/>
      </rPr>
      <t>披露表</t>
    </r>
  </si>
  <si>
    <t>与“各科目当期计提减值核对”核对</t>
  </si>
  <si>
    <r>
      <rPr>
        <sz val="9"/>
        <rFont val="宋体"/>
        <charset val="134"/>
      </rPr>
      <t>与</t>
    </r>
    <r>
      <rPr>
        <sz val="9"/>
        <rFont val="Arial Narrow"/>
        <charset val="134"/>
      </rPr>
      <t>“</t>
    </r>
    <r>
      <rPr>
        <sz val="9"/>
        <rFont val="宋体"/>
        <charset val="134"/>
      </rPr>
      <t>（二十八）资产减值准备-批露表:本期计提</t>
    </r>
    <r>
      <rPr>
        <sz val="9"/>
        <rFont val="Arial Narrow"/>
        <charset val="134"/>
      </rPr>
      <t>”</t>
    </r>
    <r>
      <rPr>
        <sz val="9"/>
        <rFont val="宋体"/>
        <charset val="134"/>
      </rPr>
      <t>核对</t>
    </r>
  </si>
  <si>
    <r>
      <rPr>
        <sz val="9"/>
        <rFont val="Arial Narrow"/>
        <charset val="134"/>
      </rPr>
      <t>1</t>
    </r>
    <r>
      <rPr>
        <sz val="9"/>
        <rFont val="宋体"/>
        <charset val="134"/>
      </rPr>
      <t>．坏账损失</t>
    </r>
  </si>
  <si>
    <r>
      <rPr>
        <sz val="9"/>
        <rFont val="Arial Narrow"/>
        <charset val="134"/>
      </rPr>
      <t>2</t>
    </r>
    <r>
      <rPr>
        <sz val="9"/>
        <rFont val="宋体"/>
        <charset val="134"/>
      </rPr>
      <t>．存货跌价损失</t>
    </r>
  </si>
  <si>
    <r>
      <rPr>
        <sz val="9"/>
        <rFont val="Arial Narrow"/>
        <charset val="134"/>
      </rPr>
      <t>3</t>
    </r>
    <r>
      <rPr>
        <sz val="9"/>
        <rFont val="宋体"/>
        <charset val="134"/>
      </rPr>
      <t>．可供出售金融资产减值损失</t>
    </r>
  </si>
  <si>
    <r>
      <rPr>
        <sz val="9"/>
        <rFont val="Arial Narrow"/>
        <charset val="134"/>
      </rPr>
      <t>4</t>
    </r>
    <r>
      <rPr>
        <sz val="9"/>
        <rFont val="宋体"/>
        <charset val="134"/>
      </rPr>
      <t>．持有至到期投资减值损失</t>
    </r>
  </si>
  <si>
    <r>
      <rPr>
        <sz val="9"/>
        <rFont val="Arial Narrow"/>
        <charset val="134"/>
      </rPr>
      <t>5</t>
    </r>
    <r>
      <rPr>
        <sz val="9"/>
        <rFont val="宋体"/>
        <charset val="134"/>
      </rPr>
      <t>．长期股权投资减值损失</t>
    </r>
  </si>
  <si>
    <r>
      <rPr>
        <sz val="9"/>
        <rFont val="Arial Narrow"/>
        <charset val="134"/>
      </rPr>
      <t>6</t>
    </r>
    <r>
      <rPr>
        <sz val="9"/>
        <rFont val="宋体"/>
        <charset val="134"/>
      </rPr>
      <t>．投资性房地产减值损失</t>
    </r>
  </si>
  <si>
    <r>
      <rPr>
        <sz val="9"/>
        <rFont val="Arial Narrow"/>
        <charset val="134"/>
      </rPr>
      <t>7</t>
    </r>
    <r>
      <rPr>
        <sz val="9"/>
        <rFont val="宋体"/>
        <charset val="134"/>
      </rPr>
      <t>．固定资产减值损失</t>
    </r>
  </si>
  <si>
    <r>
      <rPr>
        <sz val="9"/>
        <rFont val="Arial Narrow"/>
        <charset val="134"/>
      </rPr>
      <t>8</t>
    </r>
    <r>
      <rPr>
        <sz val="9"/>
        <rFont val="宋体"/>
        <charset val="134"/>
      </rPr>
      <t>．工程物资减值损失</t>
    </r>
  </si>
  <si>
    <r>
      <rPr>
        <sz val="9"/>
        <rFont val="Arial Narrow"/>
        <charset val="134"/>
      </rPr>
      <t>9</t>
    </r>
    <r>
      <rPr>
        <sz val="9"/>
        <rFont val="宋体"/>
        <charset val="134"/>
      </rPr>
      <t>．在建工程减值损失</t>
    </r>
  </si>
  <si>
    <r>
      <rPr>
        <sz val="9"/>
        <rFont val="Arial Narrow"/>
        <charset val="134"/>
      </rPr>
      <t>10</t>
    </r>
    <r>
      <rPr>
        <sz val="9"/>
        <rFont val="宋体"/>
        <charset val="134"/>
      </rPr>
      <t>．生产性生物资产减值损失</t>
    </r>
  </si>
  <si>
    <r>
      <rPr>
        <sz val="9"/>
        <rFont val="Arial Narrow"/>
        <charset val="134"/>
      </rPr>
      <t>11</t>
    </r>
    <r>
      <rPr>
        <sz val="9"/>
        <rFont val="宋体"/>
        <charset val="134"/>
      </rPr>
      <t>．油气资产减值损失</t>
    </r>
  </si>
  <si>
    <r>
      <rPr>
        <sz val="9"/>
        <rFont val="Arial Narrow"/>
        <charset val="134"/>
      </rPr>
      <t>12</t>
    </r>
    <r>
      <rPr>
        <sz val="9"/>
        <rFont val="宋体"/>
        <charset val="134"/>
      </rPr>
      <t>．无形资产减值损失</t>
    </r>
  </si>
  <si>
    <r>
      <rPr>
        <sz val="9"/>
        <rFont val="Arial Narrow"/>
        <charset val="134"/>
      </rPr>
      <t>13</t>
    </r>
    <r>
      <rPr>
        <sz val="9"/>
        <rFont val="宋体"/>
        <charset val="134"/>
      </rPr>
      <t>．商誉减值损失</t>
    </r>
  </si>
  <si>
    <r>
      <rPr>
        <sz val="9"/>
        <rFont val="Arial Narrow"/>
        <charset val="134"/>
      </rPr>
      <t>14</t>
    </r>
    <r>
      <rPr>
        <sz val="9"/>
        <rFont val="宋体"/>
        <charset val="134"/>
      </rPr>
      <t>．其他</t>
    </r>
  </si>
  <si>
    <t>（2）资产减值损失变动幅度达30%（含30%）以上，或占报告期利润总额10%（含10%）以上的原因为。</t>
  </si>
  <si>
    <r>
      <rPr>
        <sz val="9"/>
        <rFont val="宋体"/>
        <charset val="134"/>
      </rPr>
      <t>（</t>
    </r>
    <r>
      <rPr>
        <sz val="9"/>
        <rFont val="Arial Narrow"/>
        <charset val="134"/>
      </rPr>
      <t>2</t>
    </r>
    <r>
      <rPr>
        <sz val="9"/>
        <rFont val="宋体"/>
        <charset val="134"/>
      </rPr>
      <t>）资产减值损失变动幅度达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</si>
  <si>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财务费用</t>
    </r>
    <r>
      <rPr>
        <sz val="9"/>
        <color theme="0" tint="-0.249977111117893"/>
        <rFont val="Arial Narrow"/>
        <charset val="134"/>
      </rPr>
      <t>-</t>
    </r>
    <r>
      <rPr>
        <sz val="9"/>
        <color theme="0" tint="-0.249977111117893"/>
        <rFont val="宋体"/>
        <charset val="134"/>
      </rPr>
      <t>批露表</t>
    </r>
  </si>
  <si>
    <r>
      <rPr>
        <b/>
        <sz val="9"/>
        <rFont val="宋体"/>
        <charset val="134"/>
      </rPr>
      <t>（六十）财务费用</t>
    </r>
    <r>
      <rPr>
        <b/>
        <sz val="9"/>
        <rFont val="Arial Narrow"/>
        <charset val="134"/>
      </rPr>
      <t>-</t>
    </r>
    <r>
      <rPr>
        <b/>
        <sz val="9"/>
        <rFont val="宋体"/>
        <charset val="134"/>
      </rPr>
      <t>批露表</t>
    </r>
  </si>
  <si>
    <r>
      <rPr>
        <sz val="9"/>
        <rFont val="宋体"/>
        <charset val="134"/>
      </rPr>
      <t>银行（贷款</t>
    </r>
    <r>
      <rPr>
        <sz val="9"/>
        <rFont val="Arial Narrow"/>
        <charset val="134"/>
      </rPr>
      <t>/</t>
    </r>
    <r>
      <rPr>
        <sz val="9"/>
        <rFont val="宋体"/>
        <charset val="134"/>
      </rPr>
      <t>存款）利息</t>
    </r>
  </si>
  <si>
    <t>委托贷款利息</t>
  </si>
  <si>
    <t>票据贴现</t>
  </si>
  <si>
    <r>
      <rPr>
        <sz val="9"/>
        <rFont val="Arial Narrow"/>
        <charset val="134"/>
      </rPr>
      <t xml:space="preserve">   </t>
    </r>
    <r>
      <rPr>
        <sz val="9"/>
        <rFont val="宋体"/>
        <charset val="134"/>
      </rPr>
      <t>其</t>
    </r>
    <r>
      <rPr>
        <sz val="9"/>
        <rFont val="Arial Narrow"/>
        <charset val="134"/>
      </rPr>
      <t xml:space="preserve"> </t>
    </r>
    <r>
      <rPr>
        <sz val="9"/>
        <rFont val="宋体"/>
        <charset val="134"/>
      </rPr>
      <t>中：货币资金引起汇兑损益</t>
    </r>
  </si>
  <si>
    <r>
      <rPr>
        <sz val="9"/>
        <rFont val="Arial Narrow"/>
        <charset val="134"/>
      </rPr>
      <t xml:space="preserve">                      </t>
    </r>
    <r>
      <rPr>
        <sz val="9"/>
        <rFont val="宋体"/>
        <charset val="134"/>
      </rPr>
      <t>应收账款引起汇兑损益</t>
    </r>
  </si>
  <si>
    <r>
      <rPr>
        <sz val="9"/>
        <rFont val="Arial Narrow"/>
        <charset val="134"/>
      </rPr>
      <t xml:space="preserve">                      </t>
    </r>
    <r>
      <rPr>
        <sz val="9"/>
        <rFont val="宋体"/>
        <charset val="134"/>
      </rPr>
      <t>其他应收账款引起汇兑损益</t>
    </r>
  </si>
  <si>
    <r>
      <rPr>
        <sz val="9"/>
        <rFont val="Arial Narrow"/>
        <charset val="134"/>
      </rPr>
      <t xml:space="preserve">                       </t>
    </r>
    <r>
      <rPr>
        <sz val="9"/>
        <rFont val="宋体"/>
        <charset val="134"/>
      </rPr>
      <t>应付账款引起汇兑损益</t>
    </r>
  </si>
  <si>
    <r>
      <rPr>
        <sz val="9"/>
        <rFont val="Arial Narrow"/>
        <charset val="134"/>
      </rPr>
      <t xml:space="preserve">                      </t>
    </r>
    <r>
      <rPr>
        <sz val="9"/>
        <rFont val="宋体"/>
        <charset val="134"/>
      </rPr>
      <t>其他应付款引起汇兑损益</t>
    </r>
  </si>
  <si>
    <t>现金折扣</t>
  </si>
  <si>
    <t>（2）财务费用变动幅度达30%（含30%）以上，或占报告期利润总额10%（含10%）以上的原因为。</t>
  </si>
  <si>
    <r>
      <rPr>
        <sz val="9"/>
        <rFont val="宋体"/>
        <charset val="134"/>
      </rPr>
      <t>（</t>
    </r>
    <r>
      <rPr>
        <sz val="9"/>
        <rFont val="Arial Narrow"/>
        <charset val="134"/>
      </rPr>
      <t>2</t>
    </r>
    <r>
      <rPr>
        <sz val="9"/>
        <rFont val="宋体"/>
        <charset val="134"/>
      </rPr>
      <t>）财务费用变动幅度达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</si>
  <si>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管理费用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</si>
  <si>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管理费用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</si>
  <si>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管理费用</t>
    </r>
    <r>
      <rPr>
        <b/>
        <sz val="9"/>
        <rFont val="Arial Narrow"/>
        <charset val="134"/>
      </rPr>
      <t>-</t>
    </r>
    <r>
      <rPr>
        <b/>
        <sz val="9"/>
        <rFont val="宋体"/>
        <charset val="134"/>
      </rPr>
      <t>批露表（请点右表填写“</t>
    </r>
    <r>
      <rPr>
        <b/>
        <sz val="9"/>
        <rFont val="Arial Narrow"/>
        <charset val="134"/>
      </rPr>
      <t>1</t>
    </r>
    <r>
      <rPr>
        <b/>
        <sz val="9"/>
        <rFont val="宋体"/>
        <charset val="134"/>
      </rPr>
      <t>管理费用”）</t>
    </r>
  </si>
  <si>
    <t>连接表“1.管理费用”</t>
  </si>
  <si>
    <t>增减变化</t>
  </si>
  <si>
    <t>应付职工薪酬小计</t>
  </si>
  <si>
    <t xml:space="preserve">                        工资</t>
  </si>
  <si>
    <t>工资</t>
  </si>
  <si>
    <t xml:space="preserve">                        职工福利费</t>
  </si>
  <si>
    <t>职工福利费</t>
  </si>
  <si>
    <t>社会保险费</t>
  </si>
  <si>
    <t>住房公积金</t>
  </si>
  <si>
    <t>工会经费</t>
  </si>
  <si>
    <t xml:space="preserve">                        社会保险费</t>
  </si>
  <si>
    <t>职工教育经费</t>
  </si>
  <si>
    <t xml:space="preserve">                        住房公积金</t>
  </si>
  <si>
    <t>非货币性福利</t>
  </si>
  <si>
    <t xml:space="preserve">                        工会经费</t>
  </si>
  <si>
    <t>因解除劳动关系给予的补偿（内退支出）</t>
  </si>
  <si>
    <t xml:space="preserve">                        职工教育经费</t>
  </si>
  <si>
    <t>企业年金</t>
  </si>
  <si>
    <t xml:space="preserve">                                                薪酬 -其他</t>
  </si>
  <si>
    <t>薪酬-其他</t>
  </si>
  <si>
    <t>固定资产拆旧</t>
  </si>
  <si>
    <t>税金小计</t>
  </si>
  <si>
    <t>税费</t>
  </si>
  <si>
    <t xml:space="preserve">                        税金1---</t>
  </si>
  <si>
    <t>税金1---印花税</t>
  </si>
  <si>
    <t xml:space="preserve">                        税金2---</t>
  </si>
  <si>
    <t>税金2---房产税</t>
  </si>
  <si>
    <t>税金3---车船税</t>
  </si>
  <si>
    <t>税金4---土地使用税</t>
  </si>
  <si>
    <t>税金5---堤围费（防洪费）</t>
  </si>
  <si>
    <t xml:space="preserve">                        税金3---</t>
  </si>
  <si>
    <r>
      <rPr>
        <sz val="9"/>
        <rFont val="宋体"/>
        <charset val="134"/>
      </rPr>
      <t>税金</t>
    </r>
    <r>
      <rPr>
        <sz val="9"/>
        <rFont val="Arial Narrow"/>
        <charset val="134"/>
      </rPr>
      <t>6---</t>
    </r>
    <r>
      <rPr>
        <sz val="9"/>
        <rFont val="宋体"/>
        <charset val="134"/>
      </rPr>
      <t>研发费</t>
    </r>
    <r>
      <rPr>
        <sz val="9"/>
        <rFont val="Arial Narrow"/>
        <charset val="134"/>
      </rPr>
      <t>-</t>
    </r>
    <r>
      <rPr>
        <sz val="9"/>
        <rFont val="宋体"/>
        <charset val="134"/>
      </rPr>
      <t>税金</t>
    </r>
  </si>
  <si>
    <t xml:space="preserve">                        税金4---</t>
  </si>
  <si>
    <t>税金7---</t>
  </si>
  <si>
    <t xml:space="preserve">                        税金5---</t>
  </si>
  <si>
    <t>税金8---</t>
  </si>
  <si>
    <t>其他项目如下：</t>
  </si>
  <si>
    <t>其他项目（该项目填其他项目的合计数，管理费用明细附表填列）</t>
  </si>
  <si>
    <r>
      <rPr>
        <sz val="9"/>
        <color theme="0" tint="-0.249977111117893"/>
        <rFont val="宋体"/>
        <charset val="134"/>
      </rPr>
      <t>营业费用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</si>
  <si>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营业费用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</si>
  <si>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营业费用</t>
    </r>
    <r>
      <rPr>
        <b/>
        <sz val="9"/>
        <rFont val="Arial Narrow"/>
        <charset val="134"/>
      </rPr>
      <t>-</t>
    </r>
    <r>
      <rPr>
        <b/>
        <sz val="9"/>
        <rFont val="宋体"/>
        <charset val="134"/>
      </rPr>
      <t>批露表（请点右表填写“</t>
    </r>
    <r>
      <rPr>
        <b/>
        <sz val="9"/>
        <rFont val="Arial Narrow"/>
        <charset val="134"/>
      </rPr>
      <t>2</t>
    </r>
    <r>
      <rPr>
        <b/>
        <sz val="9"/>
        <rFont val="宋体"/>
        <charset val="134"/>
      </rPr>
      <t>销售费用”）</t>
    </r>
  </si>
  <si>
    <t>连接表“2.销售费用”</t>
  </si>
  <si>
    <t xml:space="preserve">              工资</t>
  </si>
  <si>
    <t xml:space="preserve">              职工福利费</t>
  </si>
  <si>
    <t xml:space="preserve">              社会保险费</t>
  </si>
  <si>
    <t xml:space="preserve">              住房公积金</t>
  </si>
  <si>
    <t xml:space="preserve">              工会经费</t>
  </si>
  <si>
    <t xml:space="preserve">              职工教育经费</t>
  </si>
  <si>
    <r>
      <rPr>
        <sz val="9"/>
        <rFont val="Arial Narrow"/>
        <charset val="134"/>
      </rPr>
      <t xml:space="preserve">                            </t>
    </r>
    <r>
      <rPr>
        <sz val="9"/>
        <rFont val="宋体"/>
        <charset val="134"/>
      </rPr>
      <t>非货币性福利</t>
    </r>
  </si>
  <si>
    <t xml:space="preserve">              因解除劳动关系给予的补偿（内退支出）</t>
  </si>
  <si>
    <r>
      <rPr>
        <sz val="9"/>
        <rFont val="Arial Narrow"/>
        <charset val="134"/>
      </rPr>
      <t xml:space="preserve">                            </t>
    </r>
    <r>
      <rPr>
        <sz val="9"/>
        <rFont val="宋体"/>
        <charset val="134"/>
      </rPr>
      <t>企业年金</t>
    </r>
  </si>
  <si>
    <r>
      <rPr>
        <sz val="9"/>
        <rFont val="Arial Narrow"/>
        <charset val="134"/>
      </rPr>
      <t xml:space="preserve">                            </t>
    </r>
    <r>
      <rPr>
        <sz val="9"/>
        <rFont val="宋体"/>
        <charset val="134"/>
      </rPr>
      <t>其他</t>
    </r>
  </si>
  <si>
    <r>
      <rPr>
        <sz val="9"/>
        <rFont val="Arial Narrow"/>
        <charset val="134"/>
      </rPr>
      <t xml:space="preserve">                   </t>
    </r>
    <r>
      <rPr>
        <sz val="9"/>
        <rFont val="宋体"/>
        <charset val="134"/>
      </rPr>
      <t>税金</t>
    </r>
    <r>
      <rPr>
        <sz val="9"/>
        <rFont val="Arial Narrow"/>
        <charset val="134"/>
      </rPr>
      <t>1---</t>
    </r>
    <r>
      <rPr>
        <sz val="9"/>
        <rFont val="宋体"/>
        <charset val="134"/>
      </rPr>
      <t>印花税</t>
    </r>
  </si>
  <si>
    <r>
      <rPr>
        <sz val="9"/>
        <rFont val="Arial Narrow"/>
        <charset val="134"/>
      </rPr>
      <t xml:space="preserve">                   </t>
    </r>
    <r>
      <rPr>
        <sz val="9"/>
        <rFont val="宋体"/>
        <charset val="134"/>
      </rPr>
      <t>税金</t>
    </r>
    <r>
      <rPr>
        <sz val="9"/>
        <rFont val="Arial Narrow"/>
        <charset val="134"/>
      </rPr>
      <t>2---</t>
    </r>
    <r>
      <rPr>
        <sz val="9"/>
        <rFont val="宋体"/>
        <charset val="134"/>
      </rPr>
      <t>房产税</t>
    </r>
  </si>
  <si>
    <r>
      <rPr>
        <sz val="9"/>
        <rFont val="Arial Narrow"/>
        <charset val="134"/>
      </rPr>
      <t xml:space="preserve">                   </t>
    </r>
    <r>
      <rPr>
        <sz val="9"/>
        <rFont val="宋体"/>
        <charset val="134"/>
      </rPr>
      <t>税金</t>
    </r>
    <r>
      <rPr>
        <sz val="9"/>
        <rFont val="Arial Narrow"/>
        <charset val="134"/>
      </rPr>
      <t>3---</t>
    </r>
    <r>
      <rPr>
        <sz val="9"/>
        <rFont val="宋体"/>
        <charset val="134"/>
      </rPr>
      <t>车船税</t>
    </r>
  </si>
  <si>
    <r>
      <rPr>
        <sz val="9"/>
        <rFont val="Arial Narrow"/>
        <charset val="134"/>
      </rPr>
      <t xml:space="preserve">                           </t>
    </r>
    <r>
      <rPr>
        <sz val="9"/>
        <rFont val="宋体"/>
        <charset val="134"/>
      </rPr>
      <t>税金</t>
    </r>
    <r>
      <rPr>
        <sz val="9"/>
        <rFont val="Arial Narrow"/>
        <charset val="134"/>
      </rPr>
      <t>4---</t>
    </r>
    <r>
      <rPr>
        <sz val="9"/>
        <rFont val="宋体"/>
        <charset val="134"/>
      </rPr>
      <t>土地使用税</t>
    </r>
  </si>
  <si>
    <r>
      <rPr>
        <sz val="9"/>
        <rFont val="Arial Narrow"/>
        <charset val="134"/>
      </rPr>
      <t xml:space="preserve">                                       </t>
    </r>
    <r>
      <rPr>
        <sz val="9"/>
        <rFont val="宋体"/>
        <charset val="134"/>
      </rPr>
      <t>税金</t>
    </r>
    <r>
      <rPr>
        <sz val="9"/>
        <rFont val="Arial Narrow"/>
        <charset val="134"/>
      </rPr>
      <t>5---</t>
    </r>
    <r>
      <rPr>
        <sz val="9"/>
        <rFont val="宋体"/>
        <charset val="134"/>
      </rPr>
      <t>堤围费（防洪费）</t>
    </r>
  </si>
  <si>
    <r>
      <rPr>
        <sz val="9"/>
        <rFont val="Arial Narrow"/>
        <charset val="134"/>
      </rPr>
      <t xml:space="preserve">       </t>
    </r>
    <r>
      <rPr>
        <sz val="9"/>
        <rFont val="宋体"/>
        <charset val="134"/>
      </rPr>
      <t>税金</t>
    </r>
    <r>
      <rPr>
        <sz val="9"/>
        <rFont val="Arial Narrow"/>
        <charset val="134"/>
      </rPr>
      <t>6---</t>
    </r>
  </si>
  <si>
    <r>
      <rPr>
        <sz val="9"/>
        <rFont val="Arial Narrow"/>
        <charset val="134"/>
      </rPr>
      <t xml:space="preserve">       </t>
    </r>
    <r>
      <rPr>
        <sz val="9"/>
        <rFont val="宋体"/>
        <charset val="134"/>
      </rPr>
      <t>税金</t>
    </r>
    <r>
      <rPr>
        <sz val="9"/>
        <rFont val="Arial Narrow"/>
        <charset val="134"/>
      </rPr>
      <t>7---</t>
    </r>
  </si>
  <si>
    <r>
      <rPr>
        <sz val="9"/>
        <rFont val="Arial Narrow"/>
        <charset val="134"/>
      </rPr>
      <t xml:space="preserve">       </t>
    </r>
    <r>
      <rPr>
        <sz val="9"/>
        <rFont val="宋体"/>
        <charset val="134"/>
      </rPr>
      <t>税金</t>
    </r>
    <r>
      <rPr>
        <sz val="9"/>
        <rFont val="Arial Narrow"/>
        <charset val="134"/>
      </rPr>
      <t>8---</t>
    </r>
  </si>
  <si>
    <t>补充-生产成本-批露表</t>
  </si>
  <si>
    <r>
      <rPr>
        <sz val="9"/>
        <color theme="0" tint="-0.249977111117893"/>
        <rFont val="宋体"/>
        <charset val="134"/>
      </rPr>
      <t>生产成本</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</si>
  <si>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生产成本</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</si>
  <si>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生产成本</t>
    </r>
    <r>
      <rPr>
        <b/>
        <sz val="9"/>
        <rFont val="Arial Narrow"/>
        <charset val="134"/>
      </rPr>
      <t>-</t>
    </r>
    <r>
      <rPr>
        <b/>
        <sz val="9"/>
        <rFont val="宋体"/>
        <charset val="134"/>
      </rPr>
      <t>批露表（上期可不填）</t>
    </r>
  </si>
  <si>
    <t>应付职工薪酬：本期计提与营业费用、管理费用、生产成本：应付职工薪酬核对</t>
  </si>
  <si>
    <t>固定资产折旧：本期计提与营业费用、管理费用、生产成本：固定资产折旧核对</t>
  </si>
  <si>
    <t>无形资产摊销：本期计提与营业费用、管理费用、生产成本：无形资产摊销核对</t>
  </si>
  <si>
    <r>
      <rPr>
        <sz val="9"/>
        <color theme="0" tint="-0.249977111117893"/>
        <rFont val="宋体"/>
        <charset val="134"/>
      </rPr>
      <t>营业外收入</t>
    </r>
    <r>
      <rPr>
        <sz val="9"/>
        <color theme="0" tint="-0.249977111117893"/>
        <rFont val="Arial Narrow"/>
        <charset val="134"/>
      </rPr>
      <t>-</t>
    </r>
    <r>
      <rPr>
        <sz val="9"/>
        <color theme="0" tint="-0.249977111117893"/>
        <rFont val="宋体"/>
        <charset val="134"/>
      </rPr>
      <t>披露表</t>
    </r>
  </si>
  <si>
    <r>
      <rPr>
        <b/>
        <sz val="9"/>
        <rFont val="宋体"/>
        <charset val="134"/>
      </rPr>
      <t>（六十一）营业外收入</t>
    </r>
    <r>
      <rPr>
        <b/>
        <sz val="9"/>
        <rFont val="Arial Narrow"/>
        <charset val="134"/>
      </rPr>
      <t>-</t>
    </r>
    <r>
      <rPr>
        <b/>
        <sz val="9"/>
        <rFont val="宋体"/>
        <charset val="134"/>
      </rPr>
      <t>披露表</t>
    </r>
  </si>
  <si>
    <t>“其他”项目大于20万元，在右边表说明</t>
  </si>
  <si>
    <r>
      <rPr>
        <sz val="9"/>
        <rFont val="Arial Narrow"/>
        <charset val="134"/>
      </rPr>
      <t>1</t>
    </r>
    <r>
      <rPr>
        <sz val="9"/>
        <rFont val="宋体"/>
        <charset val="134"/>
      </rPr>
      <t>．处置非流动资产利得小计</t>
    </r>
  </si>
  <si>
    <r>
      <rPr>
        <sz val="9"/>
        <rFont val="Arial Narrow"/>
        <charset val="134"/>
      </rPr>
      <t xml:space="preserve">      </t>
    </r>
    <r>
      <rPr>
        <sz val="9"/>
        <rFont val="宋体"/>
        <charset val="134"/>
      </rPr>
      <t>处置无形资产利得</t>
    </r>
  </si>
  <si>
    <r>
      <rPr>
        <sz val="9"/>
        <rFont val="Arial Narrow"/>
        <charset val="134"/>
      </rPr>
      <t>2</t>
    </r>
    <r>
      <rPr>
        <sz val="9"/>
        <rFont val="宋体"/>
        <charset val="134"/>
      </rPr>
      <t>．非货币性资产交换利得</t>
    </r>
  </si>
  <si>
    <r>
      <rPr>
        <sz val="9"/>
        <rFont val="Arial Narrow"/>
        <charset val="134"/>
      </rPr>
      <t>3</t>
    </r>
    <r>
      <rPr>
        <sz val="9"/>
        <rFont val="宋体"/>
        <charset val="134"/>
      </rPr>
      <t>．债务重组利得</t>
    </r>
  </si>
  <si>
    <r>
      <rPr>
        <sz val="9"/>
        <rFont val="Arial Narrow"/>
        <charset val="134"/>
      </rPr>
      <t>4</t>
    </r>
    <r>
      <rPr>
        <sz val="9"/>
        <rFont val="宋体"/>
        <charset val="134"/>
      </rPr>
      <t>．政府补助</t>
    </r>
  </si>
  <si>
    <r>
      <rPr>
        <sz val="9"/>
        <rFont val="Arial Narrow"/>
        <charset val="134"/>
      </rPr>
      <t>5</t>
    </r>
    <r>
      <rPr>
        <sz val="9"/>
        <rFont val="宋体"/>
        <charset val="134"/>
      </rPr>
      <t>．盘盈利得</t>
    </r>
  </si>
  <si>
    <r>
      <rPr>
        <sz val="9"/>
        <rFont val="Arial Narrow"/>
        <charset val="134"/>
      </rPr>
      <t>6</t>
    </r>
    <r>
      <rPr>
        <sz val="9"/>
        <rFont val="宋体"/>
        <charset val="134"/>
      </rPr>
      <t>．捐赠利得</t>
    </r>
  </si>
  <si>
    <r>
      <rPr>
        <sz val="9"/>
        <rFont val="Arial Narrow"/>
        <charset val="134"/>
      </rPr>
      <t>7</t>
    </r>
    <r>
      <rPr>
        <sz val="9"/>
        <rFont val="宋体"/>
        <charset val="134"/>
      </rPr>
      <t>．罚款收入</t>
    </r>
  </si>
  <si>
    <r>
      <rPr>
        <sz val="9"/>
        <rFont val="Arial Narrow"/>
        <charset val="134"/>
      </rPr>
      <t>8</t>
    </r>
    <r>
      <rPr>
        <sz val="9"/>
        <rFont val="宋体"/>
        <charset val="134"/>
      </rPr>
      <t>．其他</t>
    </r>
  </si>
  <si>
    <r>
      <rPr>
        <sz val="9"/>
        <color theme="0" tint="-0.249977111117893"/>
        <rFont val="宋体"/>
        <charset val="134"/>
      </rPr>
      <t>本期政府补助情况</t>
    </r>
    <r>
      <rPr>
        <sz val="9"/>
        <color theme="0" tint="-0.249977111117893"/>
        <rFont val="Arial Narrow"/>
        <charset val="134"/>
      </rPr>
      <t>-</t>
    </r>
    <r>
      <rPr>
        <sz val="9"/>
        <color theme="0" tint="-0.249977111117893"/>
        <rFont val="宋体"/>
        <charset val="134"/>
      </rPr>
      <t>批露表</t>
    </r>
  </si>
  <si>
    <t>来源和依据</t>
  </si>
  <si>
    <t>江门市市区LED路灯节能改造合同能源管理服务项目</t>
  </si>
  <si>
    <t>广深高速公路全线低杆路灯合同能源管理EPC节能工程项目</t>
  </si>
  <si>
    <t>市老干部活动中心办公楼综合节能改造项目</t>
  </si>
  <si>
    <t>深圳市LED路灯节能改造标段二项目</t>
  </si>
  <si>
    <t>深圳市宝安区石岩街道办事处LED照明节能改造工程（F包）项目</t>
  </si>
  <si>
    <t>深圳市科技创新委员会示范区科研资金</t>
  </si>
  <si>
    <t>社保局返还失业稳岗补贴</t>
  </si>
  <si>
    <t>注1：政府补助有附加性限制条件的，应同时披露附加性限制条件。对政府补助限定了用途及会计处理的，也应做出说明。</t>
  </si>
  <si>
    <r>
      <rPr>
        <sz val="9"/>
        <rFont val="宋体"/>
        <charset val="134"/>
      </rPr>
      <t>注</t>
    </r>
    <r>
      <rPr>
        <sz val="9"/>
        <rFont val="Arial Narrow"/>
        <charset val="134"/>
      </rPr>
      <t>1</t>
    </r>
    <r>
      <rPr>
        <sz val="9"/>
        <rFont val="宋体"/>
        <charset val="134"/>
      </rPr>
      <t>：政府补助有附加性限制条件的，应同时披露附加性限制条件。对政府补助限定了用途及会计处理的，也应做出说明。</t>
    </r>
  </si>
  <si>
    <t>注2：对上述政府补助进行文字描述。（依据***文件，收到**局**款**元。）</t>
  </si>
  <si>
    <t>（3）营业外收入变动幅度达30%（含30%）以上，或占报告期利润总额10%（含10%）以上的原因为。</t>
  </si>
  <si>
    <r>
      <rPr>
        <sz val="9"/>
        <rFont val="宋体"/>
        <charset val="134"/>
      </rPr>
      <t>（</t>
    </r>
    <r>
      <rPr>
        <sz val="9"/>
        <rFont val="Arial Narrow"/>
        <charset val="134"/>
      </rPr>
      <t>3</t>
    </r>
    <r>
      <rPr>
        <sz val="9"/>
        <rFont val="宋体"/>
        <charset val="134"/>
      </rPr>
      <t>）营业外收入变动幅度达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</si>
  <si>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营业外支出</t>
    </r>
    <r>
      <rPr>
        <sz val="9"/>
        <color theme="0" tint="-0.249977111117893"/>
        <rFont val="Arial Narrow"/>
        <charset val="134"/>
      </rPr>
      <t>-</t>
    </r>
    <r>
      <rPr>
        <sz val="9"/>
        <color theme="0" tint="-0.249977111117893"/>
        <rFont val="宋体"/>
        <charset val="134"/>
      </rPr>
      <t>披露表</t>
    </r>
  </si>
  <si>
    <r>
      <rPr>
        <b/>
        <sz val="9"/>
        <rFont val="宋体"/>
        <charset val="134"/>
      </rPr>
      <t>（六十二）营业外支出</t>
    </r>
    <r>
      <rPr>
        <b/>
        <sz val="9"/>
        <rFont val="Arial Narrow"/>
        <charset val="134"/>
      </rPr>
      <t>-</t>
    </r>
    <r>
      <rPr>
        <b/>
        <sz val="9"/>
        <rFont val="宋体"/>
        <charset val="134"/>
      </rPr>
      <t>披露表</t>
    </r>
  </si>
  <si>
    <r>
      <rPr>
        <sz val="9"/>
        <rFont val="Arial Narrow"/>
        <charset val="134"/>
      </rPr>
      <t xml:space="preserve">  </t>
    </r>
    <r>
      <rPr>
        <sz val="9"/>
        <rFont val="宋体"/>
        <charset val="134"/>
      </rPr>
      <t>其中：处置固定资产损失</t>
    </r>
  </si>
  <si>
    <r>
      <rPr>
        <sz val="9"/>
        <rFont val="Arial Narrow"/>
        <charset val="134"/>
      </rPr>
      <t xml:space="preserve">          </t>
    </r>
    <r>
      <rPr>
        <sz val="9"/>
        <rFont val="宋体"/>
        <charset val="134"/>
      </rPr>
      <t>处置无形资产损失</t>
    </r>
  </si>
  <si>
    <t>（2）营业外支出变动幅度达30%（含30%）以上，或占报告期利润总额10%（含10%）以上的原因为。</t>
  </si>
  <si>
    <r>
      <rPr>
        <sz val="9"/>
        <rFont val="宋体"/>
        <charset val="134"/>
      </rPr>
      <t>（</t>
    </r>
    <r>
      <rPr>
        <sz val="9"/>
        <rFont val="Arial Narrow"/>
        <charset val="134"/>
      </rPr>
      <t>2</t>
    </r>
    <r>
      <rPr>
        <sz val="9"/>
        <rFont val="宋体"/>
        <charset val="134"/>
      </rPr>
      <t>）营业外支出变动幅度达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</si>
  <si>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所得税费用</t>
    </r>
    <r>
      <rPr>
        <sz val="9"/>
        <color theme="0" tint="-0.249977111117893"/>
        <rFont val="Arial Narrow"/>
        <charset val="134"/>
      </rPr>
      <t>-</t>
    </r>
    <r>
      <rPr>
        <sz val="9"/>
        <color theme="0" tint="-0.249977111117893"/>
        <rFont val="宋体"/>
        <charset val="134"/>
      </rPr>
      <t>披露表</t>
    </r>
  </si>
  <si>
    <r>
      <rPr>
        <b/>
        <sz val="9"/>
        <rFont val="宋体"/>
        <charset val="134"/>
      </rPr>
      <t>（六十三）所得税费用</t>
    </r>
    <r>
      <rPr>
        <b/>
        <sz val="9"/>
        <rFont val="Arial Narrow"/>
        <charset val="134"/>
      </rPr>
      <t>-</t>
    </r>
    <r>
      <rPr>
        <b/>
        <sz val="9"/>
        <rFont val="宋体"/>
        <charset val="134"/>
      </rPr>
      <t>披露表</t>
    </r>
  </si>
  <si>
    <t xml:space="preserve">项 目 </t>
  </si>
  <si>
    <r>
      <rPr>
        <sz val="9"/>
        <rFont val="Times New Roman"/>
        <charset val="134"/>
      </rPr>
      <t>项</t>
    </r>
    <r>
      <rPr>
        <sz val="9"/>
        <rFont val="Arial Narrow"/>
        <charset val="134"/>
      </rPr>
      <t xml:space="preserve"> </t>
    </r>
    <r>
      <rPr>
        <sz val="9"/>
        <rFont val="Times New Roman"/>
        <charset val="134"/>
      </rPr>
      <t>目</t>
    </r>
    <r>
      <rPr>
        <sz val="9"/>
        <rFont val="Arial Narrow"/>
        <charset val="134"/>
      </rPr>
      <t xml:space="preserve"> </t>
    </r>
  </si>
  <si>
    <r>
      <rPr>
        <sz val="9"/>
        <rFont val="Arial Narrow"/>
        <charset val="134"/>
      </rPr>
      <t xml:space="preserve">      </t>
    </r>
    <r>
      <rPr>
        <sz val="9"/>
        <rFont val="宋体"/>
        <charset val="134"/>
      </rPr>
      <t>递延所得税</t>
    </r>
  </si>
  <si>
    <t>（2）所得税费用变动幅度达30%（含30%）以上，或占报告期利润总额10%（含10%）以上的原因为。</t>
  </si>
  <si>
    <r>
      <rPr>
        <sz val="9"/>
        <rFont val="宋体"/>
        <charset val="134"/>
      </rPr>
      <t>（</t>
    </r>
    <r>
      <rPr>
        <sz val="9"/>
        <rFont val="Arial Narrow"/>
        <charset val="134"/>
      </rPr>
      <t>2</t>
    </r>
    <r>
      <rPr>
        <sz val="9"/>
        <rFont val="宋体"/>
        <charset val="134"/>
      </rPr>
      <t>）所得税费用变动幅度达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</si>
  <si>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（3）所得税费用（收益）与会计利润关系的说明。</t>
  </si>
  <si>
    <r>
      <rPr>
        <sz val="9"/>
        <rFont val="宋体"/>
        <charset val="134"/>
      </rPr>
      <t>（</t>
    </r>
    <r>
      <rPr>
        <sz val="9"/>
        <rFont val="Arial Narrow"/>
        <charset val="134"/>
      </rPr>
      <t>3</t>
    </r>
    <r>
      <rPr>
        <sz val="9"/>
        <rFont val="宋体"/>
        <charset val="134"/>
      </rPr>
      <t>）所得税费用（收益）与会计利润关系的说明（上期可不填）。</t>
    </r>
  </si>
  <si>
    <t>期未金额</t>
  </si>
  <si>
    <t>一、利润总额</t>
  </si>
  <si>
    <t>二、调整事项：</t>
  </si>
  <si>
    <t>1、归属于合营企业和联营企业的损益</t>
  </si>
  <si>
    <r>
      <rPr>
        <sz val="9"/>
        <color rgb="FF000000"/>
        <rFont val="Arial Narrow"/>
        <charset val="134"/>
      </rPr>
      <t>1</t>
    </r>
    <r>
      <rPr>
        <sz val="9"/>
        <color rgb="FF000000"/>
        <rFont val="宋体"/>
        <charset val="134"/>
      </rPr>
      <t>、归属于合营企业和联营企业的损益</t>
    </r>
  </si>
  <si>
    <t>2、无须纳税的收入:</t>
  </si>
  <si>
    <r>
      <rPr>
        <sz val="9"/>
        <color rgb="FF000000"/>
        <rFont val="Arial Narrow"/>
        <charset val="134"/>
      </rPr>
      <t>2</t>
    </r>
    <r>
      <rPr>
        <sz val="9"/>
        <color rgb="FF000000"/>
        <rFont val="宋体"/>
        <charset val="134"/>
      </rPr>
      <t>、无须纳税的收入</t>
    </r>
    <r>
      <rPr>
        <sz val="9"/>
        <color rgb="FF000000"/>
        <rFont val="Arial Narrow"/>
        <charset val="134"/>
      </rPr>
      <t>:</t>
    </r>
  </si>
  <si>
    <t>其中：项目1-</t>
  </si>
  <si>
    <r>
      <rPr>
        <sz val="9"/>
        <color rgb="FF000000"/>
        <rFont val="宋体"/>
        <charset val="134"/>
      </rPr>
      <t>其中：项目</t>
    </r>
    <r>
      <rPr>
        <sz val="9"/>
        <color rgb="FF000000"/>
        <rFont val="Arial Narrow"/>
        <charset val="134"/>
      </rPr>
      <t>1-</t>
    </r>
    <r>
      <rPr>
        <sz val="9"/>
        <color rgb="FF000000"/>
        <rFont val="宋体"/>
        <charset val="134"/>
      </rPr>
      <t>收到政府补助</t>
    </r>
  </si>
  <si>
    <t xml:space="preserve">      项目2-</t>
  </si>
  <si>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成本法</t>
    </r>
    <r>
      <rPr>
        <sz val="9"/>
        <color rgb="FF000000"/>
        <rFont val="Arial Narrow"/>
        <charset val="134"/>
      </rPr>
      <t>-</t>
    </r>
    <r>
      <rPr>
        <sz val="9"/>
        <color rgb="FF000000"/>
        <rFont val="宋体"/>
        <charset val="134"/>
      </rPr>
      <t>子公司分红</t>
    </r>
  </si>
  <si>
    <t xml:space="preserve">      项目3-</t>
  </si>
  <si>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其他投资分红</t>
    </r>
  </si>
  <si>
    <t xml:space="preserve">      项目4-</t>
  </si>
  <si>
    <r>
      <rPr>
        <sz val="9"/>
        <color rgb="FF000000"/>
        <rFont val="Arial Narrow"/>
        <charset val="134"/>
      </rPr>
      <t xml:space="preserve">            </t>
    </r>
    <r>
      <rPr>
        <sz val="9"/>
        <color rgb="FF000000"/>
        <rFont val="宋体"/>
        <charset val="134"/>
      </rPr>
      <t>项目</t>
    </r>
    <r>
      <rPr>
        <sz val="9"/>
        <color rgb="FF000000"/>
        <rFont val="Arial Narrow"/>
        <charset val="134"/>
      </rPr>
      <t>4-</t>
    </r>
  </si>
  <si>
    <t>业务招待费</t>
  </si>
  <si>
    <t xml:space="preserve">      项目5-</t>
  </si>
  <si>
    <r>
      <rPr>
        <sz val="9"/>
        <color rgb="FF000000"/>
        <rFont val="Arial Narrow"/>
        <charset val="134"/>
      </rPr>
      <t xml:space="preserve">            </t>
    </r>
    <r>
      <rPr>
        <sz val="9"/>
        <color rgb="FF000000"/>
        <rFont val="宋体"/>
        <charset val="134"/>
      </rPr>
      <t>项目</t>
    </r>
    <r>
      <rPr>
        <sz val="9"/>
        <color rgb="FF000000"/>
        <rFont val="Arial Narrow"/>
        <charset val="134"/>
      </rPr>
      <t>5-</t>
    </r>
  </si>
  <si>
    <t>3、不可抵扣的费用:</t>
  </si>
  <si>
    <r>
      <rPr>
        <sz val="9"/>
        <color rgb="FF000000"/>
        <rFont val="Arial Narrow"/>
        <charset val="134"/>
      </rPr>
      <t>3</t>
    </r>
    <r>
      <rPr>
        <sz val="9"/>
        <color rgb="FF000000"/>
        <rFont val="宋体"/>
        <charset val="134"/>
      </rPr>
      <t>、不可抵扣的费用</t>
    </r>
    <r>
      <rPr>
        <sz val="9"/>
        <color rgb="FF000000"/>
        <rFont val="Arial Narrow"/>
        <charset val="134"/>
      </rPr>
      <t>:</t>
    </r>
  </si>
  <si>
    <t>抵扣限额1</t>
  </si>
  <si>
    <r>
      <rPr>
        <sz val="9"/>
        <rFont val="宋体"/>
        <charset val="134"/>
      </rPr>
      <t>抵扣限额</t>
    </r>
    <r>
      <rPr>
        <sz val="9"/>
        <rFont val="Arial Narrow"/>
        <charset val="134"/>
      </rPr>
      <t>2</t>
    </r>
  </si>
  <si>
    <t>可税前扣除</t>
  </si>
  <si>
    <r>
      <rPr>
        <sz val="9"/>
        <color rgb="FF000000"/>
        <rFont val="宋体"/>
        <charset val="134"/>
      </rPr>
      <t>其中：项目</t>
    </r>
    <r>
      <rPr>
        <sz val="9"/>
        <color rgb="FF000000"/>
        <rFont val="Arial Narrow"/>
        <charset val="134"/>
      </rPr>
      <t>1-</t>
    </r>
    <r>
      <rPr>
        <sz val="9"/>
        <color rgb="FF000000"/>
        <rFont val="宋体"/>
        <charset val="134"/>
      </rPr>
      <t>超标准业务费</t>
    </r>
  </si>
  <si>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财产损失</t>
    </r>
  </si>
  <si>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t>
    </r>
  </si>
  <si>
    <t>未申报固定资产处置损失</t>
  </si>
  <si>
    <r>
      <rPr>
        <sz val="9"/>
        <color rgb="FF000000"/>
        <rFont val="Arial Narrow"/>
        <charset val="134"/>
      </rPr>
      <t xml:space="preserve">            </t>
    </r>
    <r>
      <rPr>
        <sz val="9"/>
        <color rgb="FF000000"/>
        <rFont val="宋体"/>
        <charset val="134"/>
      </rPr>
      <t>项目</t>
    </r>
    <r>
      <rPr>
        <sz val="9"/>
        <color rgb="FF000000"/>
        <rFont val="Arial Narrow"/>
        <charset val="134"/>
      </rPr>
      <t>4-</t>
    </r>
    <r>
      <rPr>
        <sz val="9"/>
        <color rgb="FF000000"/>
        <rFont val="宋体"/>
        <charset val="134"/>
      </rPr>
      <t>罚款及滞纳金</t>
    </r>
  </si>
  <si>
    <t>无票支出</t>
  </si>
  <si>
    <r>
      <rPr>
        <sz val="9"/>
        <color rgb="FF000000"/>
        <rFont val="Arial Narrow"/>
        <charset val="134"/>
      </rPr>
      <t xml:space="preserve">            </t>
    </r>
    <r>
      <rPr>
        <sz val="9"/>
        <color rgb="FF000000"/>
        <rFont val="宋体"/>
        <charset val="134"/>
      </rPr>
      <t>项目</t>
    </r>
    <r>
      <rPr>
        <sz val="9"/>
        <color rgb="FF000000"/>
        <rFont val="Arial Narrow"/>
        <charset val="134"/>
      </rPr>
      <t>5-</t>
    </r>
    <r>
      <rPr>
        <sz val="9"/>
        <color rgb="FF000000"/>
        <rFont val="宋体"/>
        <charset val="134"/>
      </rPr>
      <t>资产增值调整折旧</t>
    </r>
  </si>
  <si>
    <t>预计以后年度取得发票</t>
  </si>
  <si>
    <t>4、利用以前年度可抵扣亏损</t>
  </si>
  <si>
    <r>
      <rPr>
        <sz val="9"/>
        <color rgb="FF000000"/>
        <rFont val="Arial Narrow"/>
        <charset val="134"/>
      </rPr>
      <t>4</t>
    </r>
    <r>
      <rPr>
        <sz val="9"/>
        <color rgb="FF000000"/>
        <rFont val="宋体"/>
        <charset val="134"/>
      </rPr>
      <t>、利用以前年度可抵扣亏损</t>
    </r>
  </si>
  <si>
    <t>长期应付款融资费用</t>
  </si>
  <si>
    <t>5、加计扣除的技术开发费用</t>
  </si>
  <si>
    <r>
      <rPr>
        <sz val="9"/>
        <color rgb="FF000000"/>
        <rFont val="Arial Narrow"/>
        <charset val="134"/>
      </rPr>
      <t>5</t>
    </r>
    <r>
      <rPr>
        <sz val="9"/>
        <color rgb="FF000000"/>
        <rFont val="宋体"/>
        <charset val="134"/>
      </rPr>
      <t>、加计扣除的技术开发费用</t>
    </r>
  </si>
  <si>
    <t>永久性差异</t>
  </si>
  <si>
    <r>
      <rPr>
        <sz val="9"/>
        <color rgb="FF000000"/>
        <rFont val="Arial Narrow"/>
        <charset val="134"/>
      </rPr>
      <t xml:space="preserve">     </t>
    </r>
    <r>
      <rPr>
        <sz val="9"/>
        <color rgb="FF000000"/>
        <rFont val="宋体"/>
        <charset val="134"/>
      </rPr>
      <t>加计扣除的安置残疾人员所支付的工资</t>
    </r>
  </si>
  <si>
    <t>未申报坏账损失</t>
  </si>
  <si>
    <t>6、抵扣应纳税所得额</t>
  </si>
  <si>
    <r>
      <rPr>
        <sz val="9"/>
        <color rgb="FF000000"/>
        <rFont val="Arial Narrow"/>
        <charset val="134"/>
      </rPr>
      <t>6</t>
    </r>
    <r>
      <rPr>
        <sz val="9"/>
        <color rgb="FF000000"/>
        <rFont val="宋体"/>
        <charset val="134"/>
      </rPr>
      <t>、抵扣应纳税所得额</t>
    </r>
  </si>
  <si>
    <r>
      <rPr>
        <sz val="9"/>
        <color rgb="FF000000"/>
        <rFont val="宋体"/>
        <charset val="134"/>
      </rPr>
      <t>其中：项目</t>
    </r>
    <r>
      <rPr>
        <sz val="9"/>
        <color rgb="FF000000"/>
        <rFont val="Arial Narrow"/>
        <charset val="134"/>
      </rPr>
      <t>1-EMC</t>
    </r>
    <r>
      <rPr>
        <sz val="9"/>
        <color rgb="FF000000"/>
        <rFont val="宋体"/>
        <charset val="134"/>
      </rPr>
      <t>项目减免税所得</t>
    </r>
  </si>
  <si>
    <r>
      <rPr>
        <sz val="9"/>
        <color rgb="FF000000"/>
        <rFont val="Arial Narrow"/>
        <charset val="134"/>
      </rPr>
      <t xml:space="preserve">      </t>
    </r>
    <r>
      <rPr>
        <sz val="9"/>
        <color rgb="FF000000"/>
        <rFont val="宋体"/>
        <charset val="134"/>
      </rPr>
      <t>项目</t>
    </r>
    <r>
      <rPr>
        <sz val="9"/>
        <color rgb="FF000000"/>
        <rFont val="Arial Narrow"/>
        <charset val="134"/>
      </rPr>
      <t>2-</t>
    </r>
  </si>
  <si>
    <t>大武口项目所得</t>
  </si>
  <si>
    <r>
      <rPr>
        <sz val="9"/>
        <color rgb="FF000000"/>
        <rFont val="Arial Narrow"/>
        <charset val="134"/>
      </rPr>
      <t xml:space="preserve">      </t>
    </r>
    <r>
      <rPr>
        <sz val="9"/>
        <color rgb="FF000000"/>
        <rFont val="宋体"/>
        <charset val="134"/>
      </rPr>
      <t>项目</t>
    </r>
    <r>
      <rPr>
        <sz val="9"/>
        <color rgb="FF000000"/>
        <rFont val="Arial Narrow"/>
        <charset val="134"/>
      </rPr>
      <t>3-</t>
    </r>
  </si>
  <si>
    <t>7、其他调整</t>
  </si>
  <si>
    <r>
      <rPr>
        <sz val="9"/>
        <color rgb="FF000000"/>
        <rFont val="Arial Narrow"/>
        <charset val="134"/>
      </rPr>
      <t>7</t>
    </r>
    <r>
      <rPr>
        <sz val="9"/>
        <color rgb="FF000000"/>
        <rFont val="宋体"/>
        <charset val="134"/>
      </rPr>
      <t>、其他调整</t>
    </r>
  </si>
  <si>
    <t>其中：1-坏账损失</t>
  </si>
  <si>
    <t xml:space="preserve">            2-存货跌价损失</t>
  </si>
  <si>
    <t>预计以后年度取得发票的无票支出</t>
  </si>
  <si>
    <r>
      <rPr>
        <sz val="9"/>
        <rFont val="Arial Narrow"/>
        <charset val="134"/>
      </rPr>
      <t xml:space="preserve">              </t>
    </r>
    <r>
      <rPr>
        <sz val="9"/>
        <rFont val="宋体"/>
        <charset val="134"/>
      </rPr>
      <t>项目</t>
    </r>
    <r>
      <rPr>
        <sz val="9"/>
        <rFont val="Arial Narrow"/>
        <charset val="134"/>
      </rPr>
      <t>4-</t>
    </r>
    <r>
      <rPr>
        <sz val="9"/>
        <rFont val="宋体"/>
        <charset val="134"/>
      </rPr>
      <t>未计入营业外收入的政府补助</t>
    </r>
  </si>
  <si>
    <t>三、应纳税所得额</t>
  </si>
  <si>
    <t>纳税调整后所得</t>
  </si>
  <si>
    <t>四、当期适用税率</t>
  </si>
  <si>
    <t>五、按法定(或适用)税率计算的所得税费用</t>
  </si>
  <si>
    <r>
      <rPr>
        <b/>
        <sz val="9"/>
        <color rgb="FF000000"/>
        <rFont val="宋体"/>
        <charset val="134"/>
      </rPr>
      <t>五、按法定</t>
    </r>
    <r>
      <rPr>
        <b/>
        <sz val="9"/>
        <color rgb="FF000000"/>
        <rFont val="Arial Narrow"/>
        <charset val="134"/>
      </rPr>
      <t>(</t>
    </r>
    <r>
      <rPr>
        <b/>
        <sz val="9"/>
        <color rgb="FF000000"/>
        <rFont val="宋体"/>
        <charset val="134"/>
      </rPr>
      <t>或适用</t>
    </r>
    <r>
      <rPr>
        <b/>
        <sz val="9"/>
        <color rgb="FF000000"/>
        <rFont val="Arial Narrow"/>
        <charset val="134"/>
      </rPr>
      <t>)</t>
    </r>
    <r>
      <rPr>
        <b/>
        <sz val="9"/>
        <color rgb="FF000000"/>
        <rFont val="宋体"/>
        <charset val="134"/>
      </rPr>
      <t>税率计算的所得税费用</t>
    </r>
  </si>
  <si>
    <t>六、对以前期间当期所得税的调整</t>
  </si>
  <si>
    <t>七、调整后当期所得税费用</t>
  </si>
  <si>
    <t>八、递延所得税费用</t>
  </si>
  <si>
    <t>1、期初确认递延所得税使用税率</t>
  </si>
  <si>
    <r>
      <rPr>
        <sz val="9"/>
        <rFont val="Arial Narrow"/>
        <charset val="134"/>
      </rPr>
      <t>1</t>
    </r>
    <r>
      <rPr>
        <sz val="9"/>
        <rFont val="宋体"/>
        <charset val="134"/>
      </rPr>
      <t>、期初确认递延所得税使用税率</t>
    </r>
  </si>
  <si>
    <t>2、当期确认递延所得税使用税率</t>
  </si>
  <si>
    <r>
      <rPr>
        <sz val="9"/>
        <rFont val="Arial Narrow"/>
        <charset val="134"/>
      </rPr>
      <t>2</t>
    </r>
    <r>
      <rPr>
        <sz val="9"/>
        <rFont val="宋体"/>
        <charset val="134"/>
      </rPr>
      <t>、当期确认递延所得税使用税率</t>
    </r>
  </si>
  <si>
    <t>3、税率变动对期初递延所得税余额的影响</t>
  </si>
  <si>
    <r>
      <rPr>
        <sz val="9"/>
        <color rgb="FF000000"/>
        <rFont val="Arial Narrow"/>
        <charset val="134"/>
      </rPr>
      <t>3</t>
    </r>
    <r>
      <rPr>
        <sz val="9"/>
        <color rgb="FF000000"/>
        <rFont val="宋体"/>
        <charset val="134"/>
      </rPr>
      <t>、税率变动对期初递延所得税余额的影响</t>
    </r>
  </si>
  <si>
    <t>①期初确认的可抵扣暂时性差异</t>
  </si>
  <si>
    <r>
      <rPr>
        <sz val="9"/>
        <color rgb="FF000000"/>
        <rFont val="宋体"/>
        <charset val="134"/>
      </rPr>
      <t>其中：项目</t>
    </r>
    <r>
      <rPr>
        <sz val="9"/>
        <color rgb="FF000000"/>
        <rFont val="Arial Narrow"/>
        <charset val="134"/>
      </rPr>
      <t>1-</t>
    </r>
  </si>
  <si>
    <r>
      <rPr>
        <sz val="9"/>
        <color rgb="FF000000"/>
        <rFont val="Arial Narrow"/>
        <charset val="134"/>
      </rPr>
      <t xml:space="preserve">      </t>
    </r>
    <r>
      <rPr>
        <sz val="9"/>
        <color rgb="FF000000"/>
        <rFont val="宋体"/>
        <charset val="134"/>
      </rPr>
      <t>项目</t>
    </r>
    <r>
      <rPr>
        <sz val="9"/>
        <color rgb="FF000000"/>
        <rFont val="Arial Narrow"/>
        <charset val="134"/>
      </rPr>
      <t>4-</t>
    </r>
  </si>
  <si>
    <t>②已确认可抵扣暂时性差异转销</t>
  </si>
  <si>
    <t>4、未确认的可抵扣暂时性差异的影响和可抵扣亏损</t>
  </si>
  <si>
    <r>
      <rPr>
        <sz val="9"/>
        <color rgb="FF000000"/>
        <rFont val="Arial Narrow"/>
        <charset val="134"/>
      </rPr>
      <t>4</t>
    </r>
    <r>
      <rPr>
        <sz val="9"/>
        <color rgb="FF000000"/>
        <rFont val="宋体"/>
        <charset val="134"/>
      </rPr>
      <t>、未确认的可抵扣暂时性差异的影响和可抵扣亏损</t>
    </r>
  </si>
  <si>
    <t>①未确认的可抵扣暂时性差异</t>
  </si>
  <si>
    <r>
      <rPr>
        <sz val="9"/>
        <color rgb="FF000000"/>
        <rFont val="宋体"/>
        <charset val="134"/>
      </rPr>
      <t>其中：</t>
    </r>
    <r>
      <rPr>
        <sz val="9"/>
        <color rgb="FF000000"/>
        <rFont val="Arial Narrow"/>
        <charset val="134"/>
      </rPr>
      <t>1-</t>
    </r>
    <r>
      <rPr>
        <sz val="9"/>
        <color rgb="FF000000"/>
        <rFont val="宋体"/>
        <charset val="134"/>
      </rPr>
      <t>坏账损失</t>
    </r>
  </si>
  <si>
    <r>
      <rPr>
        <sz val="9"/>
        <color rgb="FF000000"/>
        <rFont val="Arial Narrow"/>
        <charset val="134"/>
      </rPr>
      <t xml:space="preserve">            2-</t>
    </r>
    <r>
      <rPr>
        <sz val="9"/>
        <color rgb="FF000000"/>
        <rFont val="宋体"/>
        <charset val="134"/>
      </rPr>
      <t>存货跌价损失</t>
    </r>
  </si>
  <si>
    <r>
      <rPr>
        <sz val="9"/>
        <color rgb="FF000000"/>
        <rFont val="Arial Narrow"/>
        <charset val="134"/>
      </rPr>
      <t xml:space="preserve">      </t>
    </r>
    <r>
      <rPr>
        <sz val="9"/>
        <color rgb="FF000000"/>
        <rFont val="宋体"/>
        <charset val="134"/>
      </rPr>
      <t>项目</t>
    </r>
    <r>
      <rPr>
        <sz val="9"/>
        <color rgb="FF000000"/>
        <rFont val="Arial Narrow"/>
        <charset val="134"/>
      </rPr>
      <t>5-</t>
    </r>
  </si>
  <si>
    <t>②未确认可抵扣亏损</t>
  </si>
  <si>
    <t>附注批露表：</t>
  </si>
  <si>
    <t>利润总额</t>
  </si>
  <si>
    <t>按法定(或适用)税率计算的所得税费用</t>
  </si>
  <si>
    <r>
      <rPr>
        <sz val="9"/>
        <color rgb="FF000000"/>
        <rFont val="宋体"/>
        <charset val="134"/>
      </rPr>
      <t>按法定</t>
    </r>
    <r>
      <rPr>
        <sz val="9"/>
        <color rgb="FF000000"/>
        <rFont val="Arial Narrow"/>
        <charset val="134"/>
      </rPr>
      <t>(</t>
    </r>
    <r>
      <rPr>
        <sz val="9"/>
        <color rgb="FF000000"/>
        <rFont val="宋体"/>
        <charset val="134"/>
      </rPr>
      <t>或适用</t>
    </r>
    <r>
      <rPr>
        <sz val="9"/>
        <color rgb="FF000000"/>
        <rFont val="Arial Narrow"/>
        <charset val="134"/>
      </rPr>
      <t>)</t>
    </r>
    <r>
      <rPr>
        <sz val="9"/>
        <color rgb="FF000000"/>
        <rFont val="宋体"/>
        <charset val="134"/>
      </rPr>
      <t>税率计算的所得税费用</t>
    </r>
  </si>
  <si>
    <t>子公司适用不同税率的影响（合并用）</t>
  </si>
  <si>
    <t>核定征收的子公司的纳税影响</t>
  </si>
  <si>
    <t>对以前期间当期所得税的调整</t>
  </si>
  <si>
    <t>归属于合营企业和联营企业的损益</t>
  </si>
  <si>
    <t>无须纳税的收入</t>
  </si>
  <si>
    <r>
      <rPr>
        <sz val="9"/>
        <color rgb="FF000000"/>
        <rFont val="Arial Narrow"/>
        <charset val="134"/>
      </rPr>
      <t>EMC</t>
    </r>
    <r>
      <rPr>
        <sz val="9"/>
        <color rgb="FF000000"/>
        <rFont val="宋体"/>
        <charset val="134"/>
      </rPr>
      <t>项目、节能减排项目所得额减免影响</t>
    </r>
  </si>
  <si>
    <t>不可抵扣的费用</t>
  </si>
  <si>
    <t>加计扣除的技术开发费用</t>
  </si>
  <si>
    <t>不可抵扣的费用影响</t>
  </si>
  <si>
    <t>加计扣除的安置残疾人员所支付的工资</t>
  </si>
  <si>
    <t>利用以前年度可抵扣亏损</t>
  </si>
  <si>
    <t>其他调整影响</t>
  </si>
  <si>
    <t>税率变动对期初递延所得税余额的影响</t>
  </si>
  <si>
    <t>未确认的可抵扣暂时性差异的影响和可抵扣亏损</t>
  </si>
  <si>
    <t>(4)补充表：弥补亏损明细表</t>
  </si>
  <si>
    <r>
      <rPr>
        <b/>
        <sz val="9"/>
        <rFont val="Arial Narrow"/>
        <charset val="134"/>
      </rPr>
      <t>(4)</t>
    </r>
    <r>
      <rPr>
        <b/>
        <sz val="9"/>
        <rFont val="宋体"/>
        <charset val="134"/>
      </rPr>
      <t>补充表：弥补亏损明细表</t>
    </r>
  </si>
  <si>
    <t>行次</t>
  </si>
  <si>
    <t>年　度</t>
  </si>
  <si>
    <t>亏损或盈利金额</t>
  </si>
  <si>
    <t>已弥补过的亏损额</t>
  </si>
  <si>
    <t>本年度可弥补的亏损额</t>
  </si>
  <si>
    <t>可结转下一年度未弥补完的亏损额</t>
  </si>
  <si>
    <t>未确认递延所税金亏损</t>
  </si>
  <si>
    <t>（各年的亏损额在以后年度的弥补情况）</t>
  </si>
  <si>
    <t>第二年</t>
  </si>
  <si>
    <t>第三年</t>
  </si>
  <si>
    <t>第四年</t>
  </si>
  <si>
    <t>第五年</t>
  </si>
  <si>
    <t>合　计</t>
  </si>
  <si>
    <t>第一年</t>
  </si>
  <si>
    <t>*</t>
  </si>
  <si>
    <t>本　年</t>
  </si>
  <si>
    <t>　本年度可弥补的以前年度亏损额</t>
  </si>
  <si>
    <t>　可结转下一年度未弥补完的亏损额</t>
  </si>
  <si>
    <t>（六十四）基本每股收益和稀释每股收益的计算过程：</t>
  </si>
  <si>
    <t>基本每股收益和稀释每股收益的计算过程：</t>
  </si>
  <si>
    <r>
      <rPr>
        <sz val="9"/>
        <color theme="0" tint="-0.249977111117893"/>
        <rFont val="宋体"/>
        <charset val="134"/>
      </rPr>
      <t>其他综合收益</t>
    </r>
    <r>
      <rPr>
        <sz val="9"/>
        <color theme="0" tint="-0.249977111117893"/>
        <rFont val="Arial Narrow"/>
        <charset val="134"/>
      </rPr>
      <t>-</t>
    </r>
    <r>
      <rPr>
        <sz val="9"/>
        <color theme="0" tint="-0.249977111117893"/>
        <rFont val="宋体"/>
        <charset val="134"/>
      </rPr>
      <t>批露表</t>
    </r>
  </si>
  <si>
    <r>
      <rPr>
        <b/>
        <sz val="9"/>
        <rFont val="宋体"/>
        <charset val="134"/>
      </rPr>
      <t>（六十五）其他综合收益</t>
    </r>
    <r>
      <rPr>
        <b/>
        <sz val="9"/>
        <rFont val="Arial Narrow"/>
        <charset val="134"/>
      </rPr>
      <t>-</t>
    </r>
    <r>
      <rPr>
        <b/>
        <sz val="9"/>
        <rFont val="宋体"/>
        <charset val="134"/>
      </rPr>
      <t>批露表</t>
    </r>
  </si>
  <si>
    <t xml:space="preserve">          项   目</t>
  </si>
  <si>
    <r>
      <rPr>
        <sz val="9"/>
        <rFont val="Arial Narrow"/>
        <charset val="134"/>
      </rPr>
      <t xml:space="preserve">          </t>
    </r>
    <r>
      <rPr>
        <sz val="9"/>
        <rFont val="宋体"/>
        <charset val="134"/>
      </rPr>
      <t>项</t>
    </r>
    <r>
      <rPr>
        <sz val="9"/>
        <rFont val="Arial Narrow"/>
        <charset val="134"/>
      </rPr>
      <t xml:space="preserve">   </t>
    </r>
    <r>
      <rPr>
        <sz val="9"/>
        <rFont val="宋体"/>
        <charset val="134"/>
      </rPr>
      <t>目</t>
    </r>
  </si>
  <si>
    <r>
      <rPr>
        <sz val="9"/>
        <rFont val="Arial Narrow"/>
        <charset val="134"/>
      </rPr>
      <t xml:space="preserve"> </t>
    </r>
    <r>
      <rPr>
        <sz val="9"/>
        <rFont val="宋体"/>
        <charset val="134"/>
      </rPr>
      <t>本期金额</t>
    </r>
  </si>
  <si>
    <r>
      <rPr>
        <sz val="9"/>
        <rFont val="Arial Narrow"/>
        <charset val="134"/>
      </rPr>
      <t>1</t>
    </r>
    <r>
      <rPr>
        <sz val="9"/>
        <rFont val="宋体"/>
        <charset val="134"/>
      </rPr>
      <t>．可供出售金融资产产生的利得（损失）金额</t>
    </r>
  </si>
  <si>
    <r>
      <rPr>
        <sz val="9"/>
        <rFont val="Arial Narrow"/>
        <charset val="134"/>
      </rPr>
      <t xml:space="preserve">   </t>
    </r>
    <r>
      <rPr>
        <sz val="9"/>
        <rFont val="宋体"/>
        <charset val="134"/>
      </rPr>
      <t>减：可供出售金融资产产生的所得税影响</t>
    </r>
  </si>
  <si>
    <r>
      <rPr>
        <sz val="9"/>
        <rFont val="Arial Narrow"/>
        <charset val="134"/>
      </rPr>
      <t xml:space="preserve">       </t>
    </r>
    <r>
      <rPr>
        <sz val="9"/>
        <rFont val="宋体"/>
        <charset val="134"/>
      </rPr>
      <t>前期计入其他综合收益当期转入损益的净额</t>
    </r>
  </si>
  <si>
    <r>
      <rPr>
        <u/>
        <sz val="9"/>
        <rFont val="宋体"/>
        <charset val="134"/>
      </rPr>
      <t>小</t>
    </r>
    <r>
      <rPr>
        <u/>
        <sz val="9"/>
        <rFont val="Arial Narrow"/>
        <charset val="134"/>
      </rPr>
      <t xml:space="preserve">  </t>
    </r>
    <r>
      <rPr>
        <u/>
        <sz val="9"/>
        <rFont val="宋体"/>
        <charset val="134"/>
      </rPr>
      <t>计</t>
    </r>
  </si>
  <si>
    <r>
      <rPr>
        <sz val="9"/>
        <rFont val="Arial Narrow"/>
        <charset val="134"/>
      </rPr>
      <t>2</t>
    </r>
    <r>
      <rPr>
        <sz val="9"/>
        <rFont val="宋体"/>
        <charset val="134"/>
      </rPr>
      <t>．按照权益法核算的在被投资单位其他综合收益中所享有的份额</t>
    </r>
  </si>
  <si>
    <r>
      <rPr>
        <sz val="9"/>
        <rFont val="Arial Narrow"/>
        <charset val="134"/>
      </rPr>
      <t xml:space="preserve">   </t>
    </r>
    <r>
      <rPr>
        <sz val="9"/>
        <rFont val="宋体"/>
        <charset val="134"/>
      </rPr>
      <t>减：按照权益法核算的在被投资单位其他综合收益中所享有的份额产生的所得税影响</t>
    </r>
  </si>
  <si>
    <r>
      <rPr>
        <sz val="9"/>
        <rFont val="Arial Narrow"/>
        <charset val="134"/>
      </rPr>
      <t>3</t>
    </r>
    <r>
      <rPr>
        <sz val="9"/>
        <rFont val="宋体"/>
        <charset val="134"/>
      </rPr>
      <t>．现金流量套期工具产生的利得（或损失）金额</t>
    </r>
  </si>
  <si>
    <r>
      <rPr>
        <sz val="9"/>
        <rFont val="Arial Narrow"/>
        <charset val="134"/>
      </rPr>
      <t xml:space="preserve">   </t>
    </r>
    <r>
      <rPr>
        <sz val="9"/>
        <rFont val="宋体"/>
        <charset val="134"/>
      </rPr>
      <t>减：现金流量套期工具产生的所得税影响</t>
    </r>
  </si>
  <si>
    <r>
      <rPr>
        <sz val="9"/>
        <rFont val="Arial Narrow"/>
        <charset val="134"/>
      </rPr>
      <t>4</t>
    </r>
    <r>
      <rPr>
        <sz val="9"/>
        <rFont val="宋体"/>
        <charset val="134"/>
      </rPr>
      <t>．外币报表折算差额</t>
    </r>
  </si>
  <si>
    <r>
      <rPr>
        <sz val="9"/>
        <rFont val="Arial Narrow"/>
        <charset val="134"/>
      </rPr>
      <t xml:space="preserve">   </t>
    </r>
    <r>
      <rPr>
        <sz val="9"/>
        <rFont val="宋体"/>
        <charset val="134"/>
      </rPr>
      <t>减：处置境外经营当期转入损益的净额</t>
    </r>
  </si>
  <si>
    <r>
      <rPr>
        <sz val="9"/>
        <rFont val="Arial Narrow"/>
        <charset val="134"/>
      </rPr>
      <t>5</t>
    </r>
    <r>
      <rPr>
        <sz val="9"/>
        <rFont val="宋体"/>
        <charset val="134"/>
      </rPr>
      <t>．其他</t>
    </r>
  </si>
  <si>
    <r>
      <rPr>
        <sz val="9"/>
        <rFont val="Arial Narrow"/>
        <charset val="134"/>
      </rPr>
      <t xml:space="preserve">   </t>
    </r>
    <r>
      <rPr>
        <sz val="9"/>
        <rFont val="宋体"/>
        <charset val="134"/>
      </rPr>
      <t>减：与其他计入其他综合收益相关的所得税影响</t>
    </r>
  </si>
  <si>
    <r>
      <rPr>
        <sz val="9"/>
        <rFont val="Arial Narrow"/>
        <charset val="134"/>
      </rPr>
      <t xml:space="preserve">       </t>
    </r>
    <r>
      <rPr>
        <sz val="9"/>
        <rFont val="宋体"/>
        <charset val="134"/>
      </rPr>
      <t>前期其他计入其他综合收益当期转入损益的净额</t>
    </r>
  </si>
  <si>
    <r>
      <rPr>
        <u val="double"/>
        <sz val="9"/>
        <rFont val="宋体"/>
        <charset val="134"/>
      </rPr>
      <t>合</t>
    </r>
    <r>
      <rPr>
        <u val="double"/>
        <sz val="9"/>
        <rFont val="Arial Narrow"/>
        <charset val="134"/>
      </rPr>
      <t xml:space="preserve">   </t>
    </r>
    <r>
      <rPr>
        <u val="double"/>
        <sz val="9"/>
        <rFont val="宋体"/>
        <charset val="134"/>
      </rPr>
      <t>计</t>
    </r>
  </si>
  <si>
    <t>（六十六）收到或支付的其他与经营活动有关的现金</t>
  </si>
  <si>
    <t>收到或支付的其他与经营活动有关的现金</t>
  </si>
  <si>
    <t>一、收到的其他与经营活动有关的现金</t>
  </si>
  <si>
    <t>大额项目</t>
  </si>
  <si>
    <t>上期往来款-大额往来款明细：</t>
  </si>
  <si>
    <t>往来单位</t>
  </si>
  <si>
    <t>其中：往来款</t>
  </si>
  <si>
    <t xml:space="preserve">      利息收入</t>
  </si>
  <si>
    <r>
      <rPr>
        <sz val="9"/>
        <rFont val="Arial Narrow"/>
        <charset val="134"/>
      </rPr>
      <t xml:space="preserve">      </t>
    </r>
    <r>
      <rPr>
        <sz val="9"/>
        <rFont val="宋体"/>
        <charset val="134"/>
      </rPr>
      <t>利息收入</t>
    </r>
  </si>
  <si>
    <t>政府补助</t>
  </si>
  <si>
    <t>其他…….</t>
  </si>
  <si>
    <r>
      <rPr>
        <sz val="9"/>
        <rFont val="宋体"/>
        <charset val="134"/>
      </rPr>
      <t>其他</t>
    </r>
    <r>
      <rPr>
        <sz val="9"/>
        <rFont val="Arial Narrow"/>
        <charset val="134"/>
      </rPr>
      <t>…….</t>
    </r>
  </si>
  <si>
    <t>非关联方租金收入</t>
  </si>
  <si>
    <t>关联方租金收入</t>
  </si>
  <si>
    <t>银行承兑汇票保证金收入</t>
  </si>
  <si>
    <t>二、支付的其他与经营活动有关的现金</t>
  </si>
  <si>
    <t>其中：管理费用</t>
  </si>
  <si>
    <t>往来款</t>
  </si>
  <si>
    <t>营业费用</t>
  </si>
  <si>
    <t>手续费支出</t>
  </si>
  <si>
    <t>支付银行承兑汇票保证金</t>
  </si>
  <si>
    <t>报表项目-收到其他</t>
  </si>
  <si>
    <r>
      <rPr>
        <sz val="9"/>
        <rFont val="宋体"/>
        <charset val="134"/>
      </rPr>
      <t>报表项目</t>
    </r>
    <r>
      <rPr>
        <sz val="9"/>
        <rFont val="Arial Narrow"/>
        <charset val="134"/>
      </rPr>
      <t>-</t>
    </r>
    <r>
      <rPr>
        <sz val="9"/>
        <rFont val="宋体"/>
        <charset val="134"/>
      </rPr>
      <t>收到其他</t>
    </r>
  </si>
  <si>
    <r>
      <rPr>
        <sz val="9"/>
        <rFont val="宋体"/>
        <charset val="134"/>
      </rPr>
      <t>收到其他</t>
    </r>
    <r>
      <rPr>
        <sz val="9"/>
        <rFont val="Arial Narrow"/>
        <charset val="134"/>
      </rPr>
      <t>-</t>
    </r>
    <r>
      <rPr>
        <sz val="9"/>
        <rFont val="宋体"/>
        <charset val="134"/>
      </rPr>
      <t>利息收入与财务费用利息收入核对</t>
    </r>
  </si>
  <si>
    <t>原因是：</t>
  </si>
  <si>
    <t>报表项目-支付其他</t>
  </si>
  <si>
    <r>
      <rPr>
        <sz val="9"/>
        <rFont val="宋体"/>
        <charset val="134"/>
      </rPr>
      <t>报表项目</t>
    </r>
    <r>
      <rPr>
        <sz val="9"/>
        <rFont val="Arial Narrow"/>
        <charset val="134"/>
      </rPr>
      <t>-</t>
    </r>
    <r>
      <rPr>
        <sz val="9"/>
        <rFont val="宋体"/>
        <charset val="134"/>
      </rPr>
      <t>支付其他</t>
    </r>
  </si>
  <si>
    <r>
      <rPr>
        <sz val="9"/>
        <rFont val="宋体"/>
        <charset val="134"/>
      </rPr>
      <t>支付其他</t>
    </r>
    <r>
      <rPr>
        <sz val="9"/>
        <rFont val="Arial Narrow"/>
        <charset val="134"/>
      </rPr>
      <t>-</t>
    </r>
    <r>
      <rPr>
        <sz val="9"/>
        <rFont val="宋体"/>
        <charset val="134"/>
      </rPr>
      <t>管理费用与管理费批露表核对</t>
    </r>
  </si>
  <si>
    <r>
      <rPr>
        <sz val="9"/>
        <rFont val="宋体"/>
        <charset val="134"/>
      </rPr>
      <t>支付其他</t>
    </r>
    <r>
      <rPr>
        <sz val="9"/>
        <rFont val="Arial Narrow"/>
        <charset val="134"/>
      </rPr>
      <t>-</t>
    </r>
    <r>
      <rPr>
        <sz val="9"/>
        <rFont val="宋体"/>
        <charset val="134"/>
      </rPr>
      <t>营业费用与管理费批露表核对</t>
    </r>
  </si>
  <si>
    <t>注：收到其他与经营活动有关的现金的说明：</t>
  </si>
  <si>
    <t>收到其他-政府补助与营业外收入政府补助收入核对</t>
  </si>
  <si>
    <t>注：支付的其他与经营活动有关的现金的说明：</t>
  </si>
  <si>
    <t>(六十七) 收到或支付的其他与投资活动有关的现金</t>
  </si>
  <si>
    <t>收到或支付的其他与投资活动有关的现金</t>
  </si>
  <si>
    <t>一、收到的其他与投资活动有关的现金</t>
  </si>
  <si>
    <r>
      <rPr>
        <b/>
        <sz val="9"/>
        <rFont val="Arial Narrow"/>
        <charset val="134"/>
      </rPr>
      <t>(</t>
    </r>
    <r>
      <rPr>
        <b/>
        <sz val="9"/>
        <rFont val="宋体"/>
        <charset val="134"/>
      </rPr>
      <t>六十七</t>
    </r>
    <r>
      <rPr>
        <b/>
        <sz val="9"/>
        <rFont val="Arial Narrow"/>
        <charset val="134"/>
      </rPr>
      <t xml:space="preserve">) </t>
    </r>
    <r>
      <rPr>
        <b/>
        <sz val="9"/>
        <rFont val="宋体"/>
        <charset val="134"/>
      </rPr>
      <t>收到或支付的其他与投资活动有关的现金（上期可不填）</t>
    </r>
  </si>
  <si>
    <t>其中：</t>
  </si>
  <si>
    <t>投资性利息收入</t>
  </si>
  <si>
    <t>二、支付的其他与投资活动有关的现金</t>
  </si>
  <si>
    <t>理财产品</t>
  </si>
  <si>
    <t>报表项目-收到其他投资</t>
  </si>
  <si>
    <r>
      <rPr>
        <sz val="9"/>
        <rFont val="宋体"/>
        <charset val="134"/>
      </rPr>
      <t>报表项目</t>
    </r>
    <r>
      <rPr>
        <sz val="9"/>
        <rFont val="Arial Narrow"/>
        <charset val="134"/>
      </rPr>
      <t>-</t>
    </r>
    <r>
      <rPr>
        <sz val="9"/>
        <rFont val="宋体"/>
        <charset val="134"/>
      </rPr>
      <t>收到其他投资</t>
    </r>
  </si>
  <si>
    <t>报表项目-支付其他投资</t>
  </si>
  <si>
    <r>
      <rPr>
        <sz val="9"/>
        <rFont val="宋体"/>
        <charset val="134"/>
      </rPr>
      <t>报表项目</t>
    </r>
    <r>
      <rPr>
        <sz val="9"/>
        <rFont val="Arial Narrow"/>
        <charset val="134"/>
      </rPr>
      <t>-</t>
    </r>
    <r>
      <rPr>
        <sz val="9"/>
        <rFont val="宋体"/>
        <charset val="134"/>
      </rPr>
      <t>支付其他投资</t>
    </r>
  </si>
  <si>
    <t>注：收到的其他与投资活动有关的现金的说明：</t>
  </si>
  <si>
    <t>注：支付的其他与投资活动有关的现金的说明：</t>
  </si>
  <si>
    <t>(六十八) 收到或支付的其他与筹资活动有关的现金</t>
  </si>
  <si>
    <t>收到或支付的其他与筹资活动有关的现金</t>
  </si>
  <si>
    <t>一、收到的其他与筹资活动有关的现金</t>
  </si>
  <si>
    <r>
      <rPr>
        <b/>
        <sz val="9"/>
        <rFont val="Arial Narrow"/>
        <charset val="134"/>
      </rPr>
      <t>(</t>
    </r>
    <r>
      <rPr>
        <b/>
        <sz val="9"/>
        <rFont val="宋体"/>
        <charset val="134"/>
      </rPr>
      <t>六十八</t>
    </r>
    <r>
      <rPr>
        <b/>
        <sz val="9"/>
        <rFont val="Arial Narrow"/>
        <charset val="134"/>
      </rPr>
      <t xml:space="preserve">) </t>
    </r>
    <r>
      <rPr>
        <b/>
        <sz val="9"/>
        <rFont val="宋体"/>
        <charset val="134"/>
      </rPr>
      <t>收到或支付的其他与筹资活动有关的现金（上期可不填）</t>
    </r>
  </si>
  <si>
    <t>收回的贷款质押保证金</t>
  </si>
  <si>
    <t>二、支付的其他与筹资活动有关的现金</t>
  </si>
  <si>
    <t>支付的贷款质押保证金</t>
  </si>
  <si>
    <t>支付的西南证券融资顾问费</t>
  </si>
  <si>
    <t>财务顾问费</t>
  </si>
  <si>
    <t>报表项目-收到其他筹资</t>
  </si>
  <si>
    <r>
      <rPr>
        <sz val="9"/>
        <rFont val="宋体"/>
        <charset val="134"/>
      </rPr>
      <t>报表项目</t>
    </r>
    <r>
      <rPr>
        <sz val="9"/>
        <rFont val="Arial Narrow"/>
        <charset val="134"/>
      </rPr>
      <t>-</t>
    </r>
    <r>
      <rPr>
        <sz val="9"/>
        <rFont val="宋体"/>
        <charset val="134"/>
      </rPr>
      <t>收到其他筹资</t>
    </r>
  </si>
  <si>
    <t>报表项目-支付其他筹资</t>
  </si>
  <si>
    <r>
      <rPr>
        <sz val="9"/>
        <rFont val="宋体"/>
        <charset val="134"/>
      </rPr>
      <t>报表项目</t>
    </r>
    <r>
      <rPr>
        <sz val="9"/>
        <rFont val="Arial Narrow"/>
        <charset val="134"/>
      </rPr>
      <t>-</t>
    </r>
    <r>
      <rPr>
        <sz val="9"/>
        <rFont val="宋体"/>
        <charset val="134"/>
      </rPr>
      <t>支付其他筹资</t>
    </r>
  </si>
  <si>
    <t>注：收到的其他与筹资活动有关的现金的说明：</t>
  </si>
  <si>
    <t>注：支付的其他与筹资活动有关的现金的说明：</t>
  </si>
  <si>
    <t>（六十九）当期取得或处置子公司及其他营业单位的有关信息</t>
  </si>
  <si>
    <t>当期取得或处置子公司及其他营业单位的有关信息</t>
  </si>
  <si>
    <t>一、取得子公司及其他营业单位的有关信息：</t>
  </si>
  <si>
    <r>
      <rPr>
        <sz val="9"/>
        <rFont val="宋体"/>
        <charset val="134"/>
      </rPr>
      <t>公司名称</t>
    </r>
    <r>
      <rPr>
        <sz val="9"/>
        <rFont val="Arial Narrow"/>
        <charset val="134"/>
      </rPr>
      <t>1</t>
    </r>
  </si>
  <si>
    <r>
      <rPr>
        <sz val="9"/>
        <rFont val="宋体"/>
        <charset val="134"/>
      </rPr>
      <t>公司名称</t>
    </r>
    <r>
      <rPr>
        <sz val="9"/>
        <rFont val="Arial Narrow"/>
        <charset val="134"/>
      </rPr>
      <t>2</t>
    </r>
  </si>
  <si>
    <r>
      <rPr>
        <sz val="9"/>
        <rFont val="宋体"/>
        <charset val="134"/>
      </rPr>
      <t>公司名称</t>
    </r>
    <r>
      <rPr>
        <sz val="9"/>
        <rFont val="Arial Narrow"/>
        <charset val="134"/>
      </rPr>
      <t>3</t>
    </r>
  </si>
  <si>
    <t xml:space="preserve">  1.取得子公司及其他营业单位的价格</t>
  </si>
  <si>
    <r>
      <rPr>
        <sz val="9"/>
        <rFont val="Arial Narrow"/>
        <charset val="134"/>
      </rPr>
      <t xml:space="preserve">  1.</t>
    </r>
    <r>
      <rPr>
        <sz val="9"/>
        <rFont val="宋体"/>
        <charset val="134"/>
      </rPr>
      <t>取得子公司及其他营业单位的价格</t>
    </r>
  </si>
  <si>
    <t xml:space="preserve">  2.取得子公司及其他营业.单位支付的现金和现金等价物</t>
  </si>
  <si>
    <r>
      <rPr>
        <sz val="9"/>
        <rFont val="Arial Narrow"/>
        <charset val="134"/>
      </rPr>
      <t xml:space="preserve">  2.</t>
    </r>
    <r>
      <rPr>
        <sz val="9"/>
        <rFont val="宋体"/>
        <charset val="134"/>
      </rPr>
      <t>取得子公司及其他营业</t>
    </r>
    <r>
      <rPr>
        <sz val="9"/>
        <rFont val="Arial Narrow"/>
        <charset val="134"/>
      </rPr>
      <t>.</t>
    </r>
    <r>
      <rPr>
        <sz val="9"/>
        <rFont val="宋体"/>
        <charset val="134"/>
      </rPr>
      <t>单位支付的现金和现金等价物</t>
    </r>
  </si>
  <si>
    <t xml:space="preserve">    减：子公司及其他营业单位持有的现金和现金等价物</t>
  </si>
  <si>
    <r>
      <rPr>
        <sz val="9"/>
        <rFont val="Arial Narrow"/>
        <charset val="134"/>
      </rPr>
      <t xml:space="preserve">    </t>
    </r>
    <r>
      <rPr>
        <sz val="9"/>
        <rFont val="宋体"/>
        <charset val="134"/>
      </rPr>
      <t>减：子公司及其他营业单位持有的现金和现金等价物</t>
    </r>
  </si>
  <si>
    <t xml:space="preserve">  3.取得子公司及其他营业单位支付的现金净额</t>
  </si>
  <si>
    <r>
      <rPr>
        <sz val="9"/>
        <rFont val="Arial Narrow"/>
        <charset val="134"/>
      </rPr>
      <t xml:space="preserve">  3.</t>
    </r>
    <r>
      <rPr>
        <sz val="9"/>
        <rFont val="宋体"/>
        <charset val="134"/>
      </rPr>
      <t>取得子公司及其他营业单位支付的现金净额</t>
    </r>
  </si>
  <si>
    <t xml:space="preserve">  4.取得子公司的净资产</t>
  </si>
  <si>
    <r>
      <rPr>
        <sz val="9"/>
        <rFont val="Arial Narrow"/>
        <charset val="134"/>
      </rPr>
      <t xml:space="preserve">  4.</t>
    </r>
    <r>
      <rPr>
        <sz val="9"/>
        <rFont val="宋体"/>
        <charset val="134"/>
      </rPr>
      <t>取得子公司的净资产</t>
    </r>
  </si>
  <si>
    <t xml:space="preserve">    流动资产</t>
  </si>
  <si>
    <r>
      <rPr>
        <sz val="9"/>
        <rFont val="Arial Narrow"/>
        <charset val="134"/>
      </rPr>
      <t xml:space="preserve">    </t>
    </r>
    <r>
      <rPr>
        <sz val="9"/>
        <rFont val="宋体"/>
        <charset val="134"/>
      </rPr>
      <t>流动资产</t>
    </r>
  </si>
  <si>
    <t xml:space="preserve">    非流动资产</t>
  </si>
  <si>
    <r>
      <rPr>
        <sz val="9"/>
        <rFont val="Arial Narrow"/>
        <charset val="134"/>
      </rPr>
      <t xml:space="preserve">    </t>
    </r>
    <r>
      <rPr>
        <sz val="9"/>
        <rFont val="宋体"/>
        <charset val="134"/>
      </rPr>
      <t>非流动资产</t>
    </r>
  </si>
  <si>
    <t xml:space="preserve">    流动负债</t>
  </si>
  <si>
    <r>
      <rPr>
        <sz val="9"/>
        <rFont val="Arial Narrow"/>
        <charset val="134"/>
      </rPr>
      <t xml:space="preserve">    </t>
    </r>
    <r>
      <rPr>
        <sz val="9"/>
        <rFont val="宋体"/>
        <charset val="134"/>
      </rPr>
      <t>流动负债</t>
    </r>
  </si>
  <si>
    <t xml:space="preserve">    非流动负债</t>
  </si>
  <si>
    <r>
      <rPr>
        <sz val="9"/>
        <rFont val="Arial Narrow"/>
        <charset val="134"/>
      </rPr>
      <t xml:space="preserve">    </t>
    </r>
    <r>
      <rPr>
        <sz val="9"/>
        <rFont val="宋体"/>
        <charset val="134"/>
      </rPr>
      <t>非流动负债</t>
    </r>
  </si>
  <si>
    <t>二、处置子公司及其他营业单位的有关信息：</t>
  </si>
  <si>
    <t xml:space="preserve">  1.处置子公司及其他营业单位的价格</t>
  </si>
  <si>
    <r>
      <rPr>
        <sz val="9"/>
        <rFont val="Arial Narrow"/>
        <charset val="134"/>
      </rPr>
      <t xml:space="preserve">  1.</t>
    </r>
    <r>
      <rPr>
        <sz val="9"/>
        <rFont val="宋体"/>
        <charset val="134"/>
      </rPr>
      <t>处置子公司及其他营业单位的价格</t>
    </r>
  </si>
  <si>
    <t xml:space="preserve">  2.处置子公司及其他营业单位收到的现金和现金等价物</t>
  </si>
  <si>
    <r>
      <rPr>
        <sz val="9"/>
        <rFont val="Arial Narrow"/>
        <charset val="134"/>
      </rPr>
      <t xml:space="preserve">  2.</t>
    </r>
    <r>
      <rPr>
        <sz val="9"/>
        <rFont val="宋体"/>
        <charset val="134"/>
      </rPr>
      <t>处置子公司及其他营业单位收到的现金和现金等价物</t>
    </r>
  </si>
  <si>
    <t xml:space="preserve">  3.处置子公司及其他营业单位收到的现金净额</t>
  </si>
  <si>
    <r>
      <rPr>
        <sz val="9"/>
        <rFont val="Arial Narrow"/>
        <charset val="134"/>
      </rPr>
      <t xml:space="preserve">  3.</t>
    </r>
    <r>
      <rPr>
        <sz val="9"/>
        <rFont val="宋体"/>
        <charset val="134"/>
      </rPr>
      <t>处置子公司及其他营业单位收到的现金净额</t>
    </r>
  </si>
  <si>
    <t xml:space="preserve">  4.处置子公司的净资产</t>
  </si>
  <si>
    <r>
      <rPr>
        <sz val="9"/>
        <rFont val="Arial Narrow"/>
        <charset val="134"/>
      </rPr>
      <t xml:space="preserve">  4.</t>
    </r>
    <r>
      <rPr>
        <sz val="9"/>
        <rFont val="宋体"/>
        <charset val="134"/>
      </rPr>
      <t>处置子公司的净资产</t>
    </r>
  </si>
  <si>
    <t>（七十）现金和现金等价物的构成</t>
  </si>
  <si>
    <t>现金和现金等价物的构成</t>
  </si>
  <si>
    <t>一、现金</t>
  </si>
  <si>
    <r>
      <rPr>
        <b/>
        <sz val="9"/>
        <rFont val="宋体"/>
        <charset val="134"/>
      </rPr>
      <t>项</t>
    </r>
    <r>
      <rPr>
        <b/>
        <sz val="9"/>
        <rFont val="Arial Narrow"/>
        <charset val="134"/>
      </rPr>
      <t xml:space="preserve">    </t>
    </r>
    <r>
      <rPr>
        <b/>
        <sz val="9"/>
        <rFont val="宋体"/>
        <charset val="134"/>
      </rPr>
      <t>目</t>
    </r>
  </si>
  <si>
    <t xml:space="preserve">    其中：1.库存现金</t>
  </si>
  <si>
    <r>
      <rPr>
        <sz val="9"/>
        <rFont val="Arial Narrow"/>
        <charset val="134"/>
      </rPr>
      <t xml:space="preserve">    </t>
    </r>
    <r>
      <rPr>
        <sz val="9"/>
        <rFont val="宋体"/>
        <charset val="134"/>
      </rPr>
      <t>其中：</t>
    </r>
    <r>
      <rPr>
        <sz val="9"/>
        <rFont val="Arial Narrow"/>
        <charset val="134"/>
      </rPr>
      <t>1.</t>
    </r>
    <r>
      <rPr>
        <sz val="9"/>
        <rFont val="宋体"/>
        <charset val="134"/>
      </rPr>
      <t>库存现金</t>
    </r>
  </si>
  <si>
    <t xml:space="preserve">          2.可随时用于支付地银行存款</t>
  </si>
  <si>
    <r>
      <rPr>
        <sz val="9"/>
        <rFont val="Arial Narrow"/>
        <charset val="134"/>
      </rPr>
      <t xml:space="preserve">          2.</t>
    </r>
    <r>
      <rPr>
        <sz val="9"/>
        <rFont val="宋体"/>
        <charset val="134"/>
      </rPr>
      <t>可随时用于支付地银行存款</t>
    </r>
  </si>
  <si>
    <t xml:space="preserve">          3.可随时用于支付的其他货币资金</t>
  </si>
  <si>
    <r>
      <rPr>
        <sz val="9"/>
        <rFont val="Arial Narrow"/>
        <charset val="134"/>
      </rPr>
      <t xml:space="preserve">          3.</t>
    </r>
    <r>
      <rPr>
        <sz val="9"/>
        <rFont val="宋体"/>
        <charset val="134"/>
      </rPr>
      <t>可随时用于支付的其他货币资金</t>
    </r>
  </si>
  <si>
    <t xml:space="preserve">          4.可用于支付的存放中央银行款项</t>
  </si>
  <si>
    <r>
      <rPr>
        <sz val="9"/>
        <rFont val="Arial Narrow"/>
        <charset val="134"/>
      </rPr>
      <t xml:space="preserve">          4.</t>
    </r>
    <r>
      <rPr>
        <sz val="9"/>
        <rFont val="宋体"/>
        <charset val="134"/>
      </rPr>
      <t>可用于支付的存放中央银行款项</t>
    </r>
  </si>
  <si>
    <t xml:space="preserve">          5.存放同业款项</t>
  </si>
  <si>
    <r>
      <rPr>
        <sz val="9"/>
        <rFont val="Arial Narrow"/>
        <charset val="134"/>
      </rPr>
      <t xml:space="preserve">          5.</t>
    </r>
    <r>
      <rPr>
        <sz val="9"/>
        <rFont val="宋体"/>
        <charset val="134"/>
      </rPr>
      <t>存放同业款项</t>
    </r>
  </si>
  <si>
    <t xml:space="preserve">          6.拆放同业款项</t>
  </si>
  <si>
    <r>
      <rPr>
        <sz val="9"/>
        <rFont val="Arial Narrow"/>
        <charset val="134"/>
      </rPr>
      <t xml:space="preserve">          6.</t>
    </r>
    <r>
      <rPr>
        <sz val="9"/>
        <rFont val="宋体"/>
        <charset val="134"/>
      </rPr>
      <t>拆放同业款项</t>
    </r>
  </si>
  <si>
    <t>二、现金等价物</t>
  </si>
  <si>
    <t xml:space="preserve">    其中：三个月内到期的债券投资</t>
  </si>
  <si>
    <r>
      <rPr>
        <sz val="9"/>
        <rFont val="Arial Narrow"/>
        <charset val="134"/>
      </rPr>
      <t xml:space="preserve">    </t>
    </r>
    <r>
      <rPr>
        <sz val="9"/>
        <rFont val="宋体"/>
        <charset val="134"/>
      </rPr>
      <t>其中：三个月内到期的债券投资</t>
    </r>
  </si>
  <si>
    <t>三、期末现金及现金等价物余额</t>
  </si>
  <si>
    <t>其中：母公司或集团内子公司使用受限制的现金和现金等价物</t>
  </si>
  <si>
    <t>（4）现金流量表补充资料的说明：</t>
  </si>
  <si>
    <r>
      <rPr>
        <sz val="9"/>
        <rFont val="宋体"/>
        <charset val="134"/>
      </rPr>
      <t>（</t>
    </r>
    <r>
      <rPr>
        <sz val="9"/>
        <rFont val="Arial Narrow"/>
        <charset val="134"/>
      </rPr>
      <t>4</t>
    </r>
    <r>
      <rPr>
        <sz val="9"/>
        <rFont val="宋体"/>
        <charset val="134"/>
      </rPr>
      <t>）现金流量表补充资料的说明：</t>
    </r>
  </si>
  <si>
    <t>（七十一）所有者权益变动项目注释</t>
  </si>
  <si>
    <t>所有者权益变动项目注释</t>
  </si>
  <si>
    <t>对上年年末余额进行调整的“其他”项目的说明（要求披露由同一控制下企业合并产生的追溯调整等事项）：</t>
  </si>
  <si>
    <r>
      <rPr>
        <sz val="9"/>
        <rFont val="宋体"/>
        <charset val="134"/>
      </rPr>
      <t>对上年年末余额进行调整的</t>
    </r>
    <r>
      <rPr>
        <sz val="9"/>
        <rFont val="Arial Narrow"/>
        <charset val="134"/>
      </rPr>
      <t>“</t>
    </r>
    <r>
      <rPr>
        <sz val="9"/>
        <rFont val="宋体"/>
        <charset val="134"/>
      </rPr>
      <t>其他</t>
    </r>
    <r>
      <rPr>
        <sz val="9"/>
        <rFont val="Arial Narrow"/>
        <charset val="134"/>
      </rPr>
      <t>”</t>
    </r>
    <r>
      <rPr>
        <sz val="9"/>
        <rFont val="宋体"/>
        <charset val="134"/>
      </rPr>
      <t>项目的说明（要求披露由同一控制下企业合并产生的追溯调整等事项）：</t>
    </r>
  </si>
  <si>
    <t>（七十二）资产证券化业务会计处理</t>
  </si>
  <si>
    <t>资产证券化业务会计处理</t>
  </si>
  <si>
    <t>注：1.说明金融资产证券化业务的主要交易安排及其会计处理。涉及非金融资产的资产证券化业务，参照《信贷资产证券化试点管理办法》和《企业会计准则第23号――金融资产转移》的有关规定，披露资产证券化业务的主要交易安排及其会计处理。同时，应详细说明资产证券化业务的破产隔离条款。</t>
  </si>
  <si>
    <r>
      <rPr>
        <sz val="9"/>
        <rFont val="宋体"/>
        <charset val="134"/>
      </rPr>
      <t>注：</t>
    </r>
    <r>
      <rPr>
        <sz val="9"/>
        <rFont val="Arial Narrow"/>
        <charset val="134"/>
      </rPr>
      <t>1.</t>
    </r>
    <r>
      <rPr>
        <sz val="9"/>
        <rFont val="宋体"/>
        <charset val="134"/>
      </rPr>
      <t>说明金融资产证券化业务的主要交易安排及其会计处理。涉及非金融资产的资产证券化业务，参照《信贷资产证券化试点管理办法》和《企业会计准则第</t>
    </r>
    <r>
      <rPr>
        <sz val="9"/>
        <rFont val="Arial Narrow"/>
        <charset val="134"/>
      </rPr>
      <t>23</t>
    </r>
    <r>
      <rPr>
        <sz val="9"/>
        <rFont val="宋体"/>
        <charset val="134"/>
      </rPr>
      <t>号</t>
    </r>
    <r>
      <rPr>
        <sz val="9"/>
        <rFont val="Arial Narrow"/>
        <charset val="134"/>
      </rPr>
      <t>――</t>
    </r>
    <r>
      <rPr>
        <sz val="9"/>
        <rFont val="宋体"/>
        <charset val="134"/>
      </rPr>
      <t>金融资产转移》的有关规定，披露资产证券化业务的主要交易安排及其会计处理。同时，应详细说明资产证券化业务的破产隔离条款。</t>
    </r>
  </si>
  <si>
    <t>注：2.公司不具有控制权但实质上承担其风险的特殊目的主体情况</t>
  </si>
  <si>
    <r>
      <rPr>
        <sz val="9"/>
        <rFont val="宋体"/>
        <charset val="134"/>
      </rPr>
      <t>注：</t>
    </r>
    <r>
      <rPr>
        <sz val="9"/>
        <rFont val="Arial Narrow"/>
        <charset val="134"/>
      </rPr>
      <t>2.</t>
    </r>
    <r>
      <rPr>
        <sz val="9"/>
        <rFont val="宋体"/>
        <charset val="134"/>
      </rPr>
      <t>公司不具有控制权但实质上承担其风险的特殊目的主体情况</t>
    </r>
  </si>
  <si>
    <t>（七十三）关联方关系及其交易</t>
  </si>
  <si>
    <t>关联方关系及其交易</t>
  </si>
  <si>
    <t>1、关联方的认定标准：一方控制、共同控制另一方或对另一方施加重大影响，以及两方或两方以上同受一方控制、共同控制或重大影响的，构成关联方。</t>
  </si>
  <si>
    <r>
      <rPr>
        <sz val="9"/>
        <rFont val="Arial Narrow"/>
        <charset val="134"/>
      </rPr>
      <t>1</t>
    </r>
    <r>
      <rPr>
        <sz val="9"/>
        <rFont val="宋体"/>
        <charset val="134"/>
      </rPr>
      <t>、关联方的认定标准：一方控制、共同控制另一方或对另一方施加重大影响，以及两方或两方以上同受一方控制、共同控制或重大影响的，构成关联方。</t>
    </r>
  </si>
  <si>
    <t>2.本公司的母公司有关信息</t>
  </si>
  <si>
    <r>
      <rPr>
        <b/>
        <sz val="9"/>
        <rFont val="Arial Narrow"/>
        <charset val="134"/>
      </rPr>
      <t>2.</t>
    </r>
    <r>
      <rPr>
        <b/>
        <sz val="9"/>
        <rFont val="宋体"/>
        <charset val="134"/>
      </rPr>
      <t>本公司的母公司有关信息</t>
    </r>
  </si>
  <si>
    <t>母公司名称</t>
  </si>
  <si>
    <t>企业类型</t>
  </si>
  <si>
    <t>法人代表</t>
  </si>
  <si>
    <t>注册资本</t>
  </si>
  <si>
    <r>
      <rPr>
        <b/>
        <sz val="9"/>
        <rFont val="宋体"/>
        <charset val="134"/>
      </rPr>
      <t>母公司对本企业的持股比例（</t>
    </r>
    <r>
      <rPr>
        <b/>
        <sz val="9"/>
        <rFont val="Arial Narrow"/>
        <charset val="134"/>
      </rPr>
      <t>%</t>
    </r>
    <r>
      <rPr>
        <b/>
        <sz val="9"/>
        <rFont val="宋体"/>
        <charset val="134"/>
      </rPr>
      <t>）</t>
    </r>
  </si>
  <si>
    <r>
      <rPr>
        <b/>
        <sz val="9"/>
        <rFont val="宋体"/>
        <charset val="134"/>
      </rPr>
      <t>母公司对本企业的表决权比例（</t>
    </r>
    <r>
      <rPr>
        <b/>
        <sz val="9"/>
        <rFont val="Arial Narrow"/>
        <charset val="134"/>
      </rPr>
      <t>%</t>
    </r>
    <r>
      <rPr>
        <b/>
        <sz val="9"/>
        <rFont val="宋体"/>
        <charset val="134"/>
      </rPr>
      <t>）</t>
    </r>
  </si>
  <si>
    <t>本企业最终控制方</t>
  </si>
  <si>
    <t>组织机构代码</t>
  </si>
  <si>
    <t>注：1.母公司和最终控制方均不对外提供财务报表的，说明母公司之上与其最相近的对外提供财务报表的母公司名称。</t>
  </si>
  <si>
    <r>
      <rPr>
        <sz val="9"/>
        <rFont val="宋体"/>
        <charset val="134"/>
      </rPr>
      <t>注：</t>
    </r>
    <r>
      <rPr>
        <sz val="9"/>
        <rFont val="Arial Narrow"/>
        <charset val="134"/>
      </rPr>
      <t>1.</t>
    </r>
    <r>
      <rPr>
        <sz val="9"/>
        <rFont val="宋体"/>
        <charset val="134"/>
      </rPr>
      <t>母公司和最终控制方均不对外提供财务报表的，说明母公司之上与其最相近的对外提供财务报表的母公司名称。</t>
    </r>
  </si>
  <si>
    <t>3.本企业的子公司情况</t>
  </si>
  <si>
    <r>
      <rPr>
        <b/>
        <sz val="9"/>
        <rFont val="Arial Narrow"/>
        <charset val="134"/>
      </rPr>
      <t>3.</t>
    </r>
    <r>
      <rPr>
        <b/>
        <sz val="9"/>
        <rFont val="宋体"/>
        <charset val="134"/>
      </rPr>
      <t>本企业的子公司情况</t>
    </r>
  </si>
  <si>
    <t>子公司类型</t>
  </si>
  <si>
    <r>
      <rPr>
        <b/>
        <sz val="9"/>
        <rFont val="宋体"/>
        <charset val="134"/>
      </rPr>
      <t>持股比例（</t>
    </r>
    <r>
      <rPr>
        <b/>
        <sz val="9"/>
        <rFont val="Arial Narrow"/>
        <charset val="134"/>
      </rPr>
      <t>%</t>
    </r>
    <r>
      <rPr>
        <b/>
        <sz val="9"/>
        <rFont val="宋体"/>
        <charset val="134"/>
      </rPr>
      <t>）</t>
    </r>
  </si>
  <si>
    <r>
      <rPr>
        <b/>
        <sz val="9"/>
        <rFont val="宋体"/>
        <charset val="134"/>
      </rPr>
      <t>表决权比例（</t>
    </r>
    <r>
      <rPr>
        <b/>
        <sz val="9"/>
        <rFont val="Arial Narrow"/>
        <charset val="134"/>
      </rPr>
      <t>%</t>
    </r>
    <r>
      <rPr>
        <b/>
        <sz val="9"/>
        <rFont val="宋体"/>
        <charset val="134"/>
      </rPr>
      <t>）</t>
    </r>
  </si>
  <si>
    <t>4.本企业的合营和联营企业情况</t>
  </si>
  <si>
    <t>一、合营企业　</t>
  </si>
  <si>
    <r>
      <rPr>
        <sz val="9"/>
        <rFont val="Arial Narrow"/>
        <charset val="134"/>
      </rPr>
      <t>4.</t>
    </r>
    <r>
      <rPr>
        <sz val="9"/>
        <rFont val="宋体"/>
        <charset val="134"/>
      </rPr>
      <t>本企业的合营和联营企业情况</t>
    </r>
  </si>
  <si>
    <r>
      <rPr>
        <b/>
        <sz val="9"/>
        <rFont val="宋体"/>
        <charset val="134"/>
      </rPr>
      <t>本企业持股比例（</t>
    </r>
    <r>
      <rPr>
        <b/>
        <sz val="9"/>
        <rFont val="Arial Narrow"/>
        <charset val="134"/>
      </rPr>
      <t>%</t>
    </r>
    <r>
      <rPr>
        <b/>
        <sz val="9"/>
        <rFont val="宋体"/>
        <charset val="134"/>
      </rPr>
      <t>）</t>
    </r>
  </si>
  <si>
    <r>
      <rPr>
        <b/>
        <sz val="9"/>
        <rFont val="宋体"/>
        <charset val="134"/>
      </rPr>
      <t>本企业在被投资单位表决权比例（</t>
    </r>
    <r>
      <rPr>
        <b/>
        <sz val="9"/>
        <rFont val="Arial Narrow"/>
        <charset val="134"/>
      </rPr>
      <t>%</t>
    </r>
    <r>
      <rPr>
        <b/>
        <sz val="9"/>
        <rFont val="宋体"/>
        <charset val="134"/>
      </rPr>
      <t>）</t>
    </r>
  </si>
  <si>
    <t>关联关系</t>
  </si>
  <si>
    <t>二、联营企业　</t>
  </si>
  <si>
    <t>5.本企业的其他关联方情况</t>
  </si>
  <si>
    <r>
      <rPr>
        <sz val="9"/>
        <rFont val="Arial Narrow"/>
        <charset val="134"/>
      </rPr>
      <t>5.</t>
    </r>
    <r>
      <rPr>
        <sz val="9"/>
        <rFont val="宋体"/>
        <charset val="134"/>
      </rPr>
      <t>本企业的其他关联方情况</t>
    </r>
  </si>
  <si>
    <t>其他关联方名称</t>
  </si>
  <si>
    <t>其他关联方与本企业关系</t>
  </si>
  <si>
    <t xml:space="preserve">6.关联方交易                                             </t>
  </si>
  <si>
    <t>(1)购销交易、提供和接受劳务的关联交易</t>
  </si>
  <si>
    <r>
      <rPr>
        <b/>
        <sz val="9"/>
        <rFont val="Arial Narrow"/>
        <charset val="134"/>
      </rPr>
      <t>6.</t>
    </r>
    <r>
      <rPr>
        <b/>
        <sz val="9"/>
        <rFont val="宋体"/>
        <charset val="134"/>
      </rPr>
      <t>关联方交易（</t>
    </r>
    <r>
      <rPr>
        <b/>
        <sz val="9"/>
        <color rgb="FFFF0000"/>
        <rFont val="宋体"/>
        <charset val="134"/>
      </rPr>
      <t>如有，需填写清楚</t>
    </r>
    <r>
      <rPr>
        <b/>
        <sz val="9"/>
        <rFont val="宋体"/>
        <charset val="134"/>
      </rPr>
      <t>）</t>
    </r>
    <r>
      <rPr>
        <b/>
        <sz val="9"/>
        <rFont val="Arial Narrow"/>
        <charset val="134"/>
      </rPr>
      <t xml:space="preserve">                                             </t>
    </r>
  </si>
  <si>
    <r>
      <rPr>
        <sz val="9"/>
        <rFont val="Arial Narrow"/>
        <charset val="134"/>
      </rPr>
      <t>(1)</t>
    </r>
    <r>
      <rPr>
        <sz val="9"/>
        <rFont val="宋体"/>
        <charset val="134"/>
      </rPr>
      <t>购销交易、提供和接受劳务的关联交易</t>
    </r>
  </si>
  <si>
    <t>(金额单位：    )</t>
  </si>
  <si>
    <r>
      <rPr>
        <sz val="9"/>
        <rFont val="Arial Narrow"/>
        <charset val="134"/>
      </rPr>
      <t>(</t>
    </r>
    <r>
      <rPr>
        <sz val="9"/>
        <rFont val="宋体"/>
        <charset val="134"/>
      </rPr>
      <t>金额单位：</t>
    </r>
    <r>
      <rPr>
        <sz val="9"/>
        <rFont val="Arial Narrow"/>
        <charset val="134"/>
      </rPr>
      <t xml:space="preserve">    )</t>
    </r>
  </si>
  <si>
    <t>交易类型</t>
  </si>
  <si>
    <t>关联交易内容</t>
  </si>
  <si>
    <t>关联交易定价方式及决策程序</t>
  </si>
  <si>
    <r>
      <rPr>
        <b/>
        <sz val="9"/>
        <rFont val="宋体"/>
        <charset val="134"/>
      </rPr>
      <t>占同类交易金额的比例（</t>
    </r>
    <r>
      <rPr>
        <b/>
        <sz val="9"/>
        <rFont val="Arial Narrow"/>
        <charset val="134"/>
      </rPr>
      <t>%</t>
    </r>
    <r>
      <rPr>
        <b/>
        <sz val="9"/>
        <rFont val="宋体"/>
        <charset val="134"/>
      </rPr>
      <t>）</t>
    </r>
  </si>
  <si>
    <t>（2）关联方托管情况</t>
  </si>
  <si>
    <r>
      <rPr>
        <sz val="9"/>
        <color rgb="FF0070C0"/>
        <rFont val="宋体"/>
        <charset val="134"/>
      </rPr>
      <t>（</t>
    </r>
    <r>
      <rPr>
        <sz val="9"/>
        <color rgb="FF0070C0"/>
        <rFont val="Arial Narrow"/>
        <charset val="134"/>
      </rPr>
      <t>2</t>
    </r>
    <r>
      <rPr>
        <sz val="9"/>
        <color rgb="FF0070C0"/>
        <rFont val="宋体"/>
        <charset val="134"/>
      </rPr>
      <t>）关联方受托管理情况</t>
    </r>
  </si>
  <si>
    <t>委托方名称</t>
  </si>
  <si>
    <t>受托方名称</t>
  </si>
  <si>
    <t>受托资产</t>
  </si>
  <si>
    <t>受托起始日</t>
  </si>
  <si>
    <t>受托终止日</t>
  </si>
  <si>
    <t>托管收益确定依据</t>
  </si>
  <si>
    <t>年度确认的托管收益</t>
  </si>
  <si>
    <t>类型</t>
  </si>
  <si>
    <t>注：关联托管情况说明：</t>
  </si>
  <si>
    <t>关联方承包管理情况</t>
  </si>
  <si>
    <t>出包方名称</t>
  </si>
  <si>
    <t>承包方名称</t>
  </si>
  <si>
    <t>承包资产</t>
  </si>
  <si>
    <t>承包起始日</t>
  </si>
  <si>
    <t>承包终止日</t>
  </si>
  <si>
    <t>承包收益确定依据</t>
  </si>
  <si>
    <t>年度确认的承包收益</t>
  </si>
  <si>
    <t>注：托管资产类型包括：股权托管、其他资产托管。</t>
  </si>
  <si>
    <t>（3）关联方委托管理情况</t>
  </si>
  <si>
    <t>委托资产</t>
  </si>
  <si>
    <t>委托起始日</t>
  </si>
  <si>
    <t>委托终止日</t>
  </si>
  <si>
    <t>托管费确定依据</t>
  </si>
  <si>
    <t>年度确认的托管费</t>
  </si>
  <si>
    <t>关联方出包管理情况</t>
  </si>
  <si>
    <t>出包资产</t>
  </si>
  <si>
    <t>出包起始日</t>
  </si>
  <si>
    <t>出包终止日</t>
  </si>
  <si>
    <t>出包费确定依据</t>
  </si>
  <si>
    <t>年度确认的出包费</t>
  </si>
  <si>
    <t>（3）关联承包情况</t>
  </si>
  <si>
    <r>
      <rPr>
        <b/>
        <sz val="9"/>
        <color rgb="FF0070C0"/>
        <rFont val="宋体"/>
        <charset val="134"/>
      </rPr>
      <t>关联托管</t>
    </r>
    <r>
      <rPr>
        <b/>
        <sz val="9"/>
        <color rgb="FF0070C0"/>
        <rFont val="Times New Roman"/>
        <charset val="134"/>
      </rPr>
      <t>/</t>
    </r>
    <r>
      <rPr>
        <b/>
        <sz val="9"/>
        <color rgb="FF0070C0"/>
        <rFont val="宋体"/>
        <charset val="134"/>
      </rPr>
      <t>承包情况说明：</t>
    </r>
  </si>
  <si>
    <t>（4）关联租赁情况</t>
  </si>
  <si>
    <r>
      <rPr>
        <sz val="9"/>
        <rFont val="宋体"/>
        <charset val="134"/>
      </rPr>
      <t>（</t>
    </r>
    <r>
      <rPr>
        <sz val="9"/>
        <rFont val="Arial Narrow"/>
        <charset val="134"/>
      </rPr>
      <t>4</t>
    </r>
    <r>
      <rPr>
        <sz val="9"/>
        <rFont val="宋体"/>
        <charset val="134"/>
      </rPr>
      <t>）关联租赁情况</t>
    </r>
  </si>
  <si>
    <t>公司出租情况表</t>
  </si>
  <si>
    <t>租赁方名称</t>
  </si>
  <si>
    <t>出租方名称</t>
  </si>
  <si>
    <t>承租方名称</t>
  </si>
  <si>
    <t>租赁资产</t>
  </si>
  <si>
    <t>租赁起始日</t>
  </si>
  <si>
    <t>租赁终止日</t>
  </si>
  <si>
    <t>租赁收益定价依据</t>
  </si>
  <si>
    <t>年度确认的租赁收益</t>
  </si>
  <si>
    <t>公司承租情况表</t>
  </si>
  <si>
    <t>租赁费定价依据</t>
  </si>
  <si>
    <t>年度确认的租赁费</t>
  </si>
  <si>
    <t>关联方租赁情况说明：</t>
  </si>
  <si>
    <t>（5）关联担保情况</t>
  </si>
  <si>
    <r>
      <rPr>
        <sz val="9"/>
        <rFont val="宋体"/>
        <charset val="134"/>
      </rPr>
      <t>（</t>
    </r>
    <r>
      <rPr>
        <sz val="9"/>
        <rFont val="Arial Narrow"/>
        <charset val="134"/>
      </rPr>
      <t>5</t>
    </r>
    <r>
      <rPr>
        <sz val="9"/>
        <rFont val="宋体"/>
        <charset val="134"/>
      </rPr>
      <t>）关联担保情况</t>
    </r>
  </si>
  <si>
    <t>担保方</t>
  </si>
  <si>
    <t>被担保方</t>
  </si>
  <si>
    <t>担保金额</t>
  </si>
  <si>
    <t>担保起始日</t>
  </si>
  <si>
    <t>担保到期日</t>
  </si>
  <si>
    <t>担保是否已经履行完毕</t>
  </si>
  <si>
    <t>（6）关联方资金拆借</t>
  </si>
  <si>
    <r>
      <rPr>
        <sz val="9"/>
        <rFont val="宋体"/>
        <charset val="134"/>
      </rPr>
      <t>（</t>
    </r>
    <r>
      <rPr>
        <sz val="9"/>
        <rFont val="Arial Narrow"/>
        <charset val="134"/>
      </rPr>
      <t>6</t>
    </r>
    <r>
      <rPr>
        <sz val="9"/>
        <rFont val="宋体"/>
        <charset val="134"/>
      </rPr>
      <t>）关联方资金拆借</t>
    </r>
  </si>
  <si>
    <t>拆借金额</t>
  </si>
  <si>
    <t>起始日</t>
  </si>
  <si>
    <t>拆入</t>
  </si>
  <si>
    <t>拆出</t>
  </si>
  <si>
    <t>（7）关联方资产转让、债务重组情况</t>
  </si>
  <si>
    <r>
      <rPr>
        <sz val="9"/>
        <rFont val="宋体"/>
        <charset val="134"/>
      </rPr>
      <t>（</t>
    </r>
    <r>
      <rPr>
        <sz val="9"/>
        <rFont val="Arial Narrow"/>
        <charset val="134"/>
      </rPr>
      <t>7</t>
    </r>
    <r>
      <rPr>
        <sz val="9"/>
        <rFont val="宋体"/>
        <charset val="134"/>
      </rPr>
      <t>）关联方资产转让、债务重组情况</t>
    </r>
  </si>
  <si>
    <t>关联方定价原则</t>
  </si>
  <si>
    <t>（7）其他关联交易：</t>
  </si>
  <si>
    <r>
      <rPr>
        <sz val="9"/>
        <rFont val="宋体"/>
        <charset val="134"/>
      </rPr>
      <t>（</t>
    </r>
    <r>
      <rPr>
        <sz val="9"/>
        <rFont val="Arial Narrow"/>
        <charset val="134"/>
      </rPr>
      <t>7</t>
    </r>
    <r>
      <rPr>
        <sz val="9"/>
        <rFont val="宋体"/>
        <charset val="134"/>
      </rPr>
      <t>）其他关联交易：</t>
    </r>
  </si>
  <si>
    <t>7.关联方应收应付款项</t>
  </si>
  <si>
    <r>
      <rPr>
        <sz val="9"/>
        <rFont val="Arial Narrow"/>
        <charset val="134"/>
      </rPr>
      <t>7.</t>
    </r>
    <r>
      <rPr>
        <sz val="9"/>
        <rFont val="宋体"/>
        <charset val="134"/>
      </rPr>
      <t>关联方应收应付款项</t>
    </r>
  </si>
  <si>
    <t>应收关联方款项：</t>
  </si>
  <si>
    <t>应付关联方款项：</t>
  </si>
  <si>
    <t>8、其他用文字描述的关联交易</t>
  </si>
  <si>
    <r>
      <rPr>
        <sz val="9"/>
        <color theme="7" tint="0.599993896298105"/>
        <rFont val="Arial Narrow"/>
        <charset val="134"/>
      </rPr>
      <t>8</t>
    </r>
    <r>
      <rPr>
        <sz val="9"/>
        <color theme="7" tint="0.599993896298105"/>
        <rFont val="宋体"/>
        <charset val="134"/>
      </rPr>
      <t>、其他用文字描述的关联交易</t>
    </r>
  </si>
  <si>
    <r>
      <rPr>
        <sz val="9"/>
        <rFont val="Arial Narrow"/>
        <charset val="134"/>
      </rPr>
      <t>8</t>
    </r>
    <r>
      <rPr>
        <sz val="9"/>
        <rFont val="宋体"/>
        <charset val="134"/>
      </rPr>
      <t>、其他用文字描述的关联交易</t>
    </r>
  </si>
  <si>
    <t>关联交易可以用文字描述</t>
  </si>
  <si>
    <r>
      <rPr>
        <b/>
        <sz val="9"/>
        <color rgb="FFFF0000"/>
        <rFont val="宋体"/>
        <charset val="134"/>
      </rPr>
      <t>桂冠请参照</t>
    </r>
    <r>
      <rPr>
        <b/>
        <sz val="9"/>
        <color rgb="FFFF0000"/>
        <rFont val="Arial Narrow"/>
        <charset val="134"/>
      </rPr>
      <t>09</t>
    </r>
    <r>
      <rPr>
        <b/>
        <sz val="9"/>
        <color rgb="FFFF0000"/>
        <rFont val="宋体"/>
        <charset val="134"/>
      </rPr>
      <t>年年报用文字描述</t>
    </r>
  </si>
  <si>
    <t>文字描述：</t>
  </si>
  <si>
    <t>（七十四）股份支付</t>
  </si>
  <si>
    <t>股份支付</t>
  </si>
  <si>
    <t>1.股份支付总体情况</t>
  </si>
  <si>
    <r>
      <rPr>
        <sz val="9"/>
        <rFont val="Arial Narrow"/>
        <charset val="134"/>
      </rPr>
      <t>1.</t>
    </r>
    <r>
      <rPr>
        <sz val="9"/>
        <rFont val="宋体"/>
        <charset val="134"/>
      </rPr>
      <t>股份支付总体情况</t>
    </r>
  </si>
  <si>
    <t>公司本期授予的各项权益工具总额</t>
  </si>
  <si>
    <t>公司本期行权的各项权益工具总额</t>
  </si>
  <si>
    <t>公司本期失效的各项权益工具总额</t>
  </si>
  <si>
    <t>公司期末发行在外的股份期权价格的范围和合同剩余期限</t>
  </si>
  <si>
    <t>公司期末其他权益工具行权价格的范围和合同剩余期限</t>
  </si>
  <si>
    <t>注：股份支付情况的说明：</t>
  </si>
  <si>
    <t>2.以权益结算的股份支付情况</t>
  </si>
  <si>
    <r>
      <rPr>
        <sz val="9"/>
        <rFont val="Arial Narrow"/>
        <charset val="134"/>
      </rPr>
      <t>2.</t>
    </r>
    <r>
      <rPr>
        <sz val="9"/>
        <rFont val="宋体"/>
        <charset val="134"/>
      </rPr>
      <t>以权益结算的股份支付情况</t>
    </r>
  </si>
  <si>
    <t>授予日权益工具公允价值的确定方法</t>
  </si>
  <si>
    <t>对可行权权益工具数量的最佳估计的确定方法</t>
  </si>
  <si>
    <t>本期估计与上期估计有重大差异的原因</t>
  </si>
  <si>
    <t>资本公积中以权益结算的股份支付的累计金额</t>
  </si>
  <si>
    <t>以权益结算的股份支付确认的费用总额</t>
  </si>
  <si>
    <t>注：（1）本期估计与上期估计有重大的原因，如没有，应填写无。</t>
  </si>
  <si>
    <r>
      <rPr>
        <sz val="9"/>
        <rFont val="宋体"/>
        <charset val="134"/>
      </rPr>
      <t>注：（</t>
    </r>
    <r>
      <rPr>
        <sz val="9"/>
        <rFont val="Arial Narrow"/>
        <charset val="134"/>
      </rPr>
      <t>1</t>
    </r>
    <r>
      <rPr>
        <sz val="9"/>
        <rFont val="宋体"/>
        <charset val="134"/>
      </rPr>
      <t>）本期估计与上期估计有重大的原因，如没有，应填写无。</t>
    </r>
  </si>
  <si>
    <t>（2）以权益结算的股份支付情况的说明：</t>
  </si>
  <si>
    <r>
      <rPr>
        <sz val="9"/>
        <rFont val="宋体"/>
        <charset val="134"/>
      </rPr>
      <t>（</t>
    </r>
    <r>
      <rPr>
        <sz val="9"/>
        <rFont val="Arial Narrow"/>
        <charset val="134"/>
      </rPr>
      <t>2</t>
    </r>
    <r>
      <rPr>
        <sz val="9"/>
        <rFont val="宋体"/>
        <charset val="134"/>
      </rPr>
      <t>）以权益结算的股份支付情况的说明：</t>
    </r>
  </si>
  <si>
    <t>3.以现金结算的股份支付情况</t>
  </si>
  <si>
    <r>
      <rPr>
        <sz val="9"/>
        <rFont val="Arial Narrow"/>
        <charset val="134"/>
      </rPr>
      <t>3.</t>
    </r>
    <r>
      <rPr>
        <sz val="9"/>
        <rFont val="宋体"/>
        <charset val="134"/>
      </rPr>
      <t>以现金结算的股份支付情况</t>
    </r>
  </si>
  <si>
    <t>公司承担的、以股份或其他权益工具为基础计算确定的负债的公允价值确定方法</t>
  </si>
  <si>
    <t>负债中因以现金结算的股份支付产生的累计负债金额</t>
  </si>
  <si>
    <t>以现金结算的股份支付而确认的费用总额</t>
  </si>
  <si>
    <t>4.股份支付服务的情况</t>
  </si>
  <si>
    <r>
      <rPr>
        <sz val="9"/>
        <rFont val="Arial Narrow"/>
        <charset val="134"/>
      </rPr>
      <t>4.</t>
    </r>
    <r>
      <rPr>
        <sz val="9"/>
        <rFont val="宋体"/>
        <charset val="134"/>
      </rPr>
      <t>股份支付服务的情况</t>
    </r>
  </si>
  <si>
    <t>以股份支付换取的职工服务总额</t>
  </si>
  <si>
    <t>以股份支付换取的其他服务总额</t>
  </si>
  <si>
    <t>5.股份支付的修改、终止情况的说明：</t>
  </si>
  <si>
    <r>
      <rPr>
        <sz val="9"/>
        <rFont val="Arial Narrow"/>
        <charset val="134"/>
      </rPr>
      <t>5.</t>
    </r>
    <r>
      <rPr>
        <sz val="9"/>
        <rFont val="宋体"/>
        <charset val="134"/>
      </rPr>
      <t>股份支付的修改、终止情况的说明：</t>
    </r>
  </si>
  <si>
    <t>（七十五）或有事项</t>
  </si>
  <si>
    <t>或有事项</t>
  </si>
  <si>
    <t>说明或有负债应按未决诉讼或仲裁形成的或有负债、对外提供担保形成的或有负债、其他或有负债（不包括极小可能导致经济利益流出公司的或有负债）等分项披露该事项形成的原因、预计产生的财务影响（如无法预计，应说明理由）、获得补偿的可能性。</t>
  </si>
  <si>
    <t>（七十六）承诺事项</t>
  </si>
  <si>
    <t>承诺事项</t>
  </si>
  <si>
    <t>应说明如下内容:</t>
  </si>
  <si>
    <r>
      <rPr>
        <sz val="9"/>
        <rFont val="宋体"/>
        <charset val="134"/>
      </rPr>
      <t>应说明如下内容</t>
    </r>
    <r>
      <rPr>
        <sz val="9"/>
        <rFont val="Arial Narrow"/>
        <charset val="134"/>
      </rPr>
      <t>:</t>
    </r>
  </si>
  <si>
    <t>1.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</si>
  <si>
    <r>
      <rPr>
        <sz val="9"/>
        <rFont val="Arial Narrow"/>
        <charset val="134"/>
      </rPr>
      <t>1.</t>
    </r>
    <r>
      <rPr>
        <sz val="9"/>
        <rFont val="宋体"/>
        <charset val="134"/>
      </rPr>
      <t>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r>
  </si>
  <si>
    <t>2．前期承诺的履行情况：</t>
  </si>
  <si>
    <r>
      <rPr>
        <sz val="9"/>
        <rFont val="Arial Narrow"/>
        <charset val="134"/>
      </rPr>
      <t>2</t>
    </r>
    <r>
      <rPr>
        <sz val="9"/>
        <rFont val="宋体"/>
        <charset val="134"/>
      </rPr>
      <t>．前期承诺的履行情况：</t>
    </r>
  </si>
  <si>
    <t>（七十七）资产负债表日后事项</t>
  </si>
  <si>
    <t>资产负债表日后事项</t>
  </si>
  <si>
    <t>1.每项重要的资产负债表日后非调整事项的性质、内容，及其对财务状况和经营成果的影响。无法做出估计的，应当说明原因。</t>
  </si>
  <si>
    <r>
      <rPr>
        <sz val="9"/>
        <rFont val="Arial Narrow"/>
        <charset val="134"/>
      </rPr>
      <t>1.</t>
    </r>
    <r>
      <rPr>
        <sz val="9"/>
        <rFont val="宋体"/>
        <charset val="134"/>
      </rPr>
      <t>每项重要的资产负债表日后非调整事项的性质、内容，及其对财务状况和经营成果的影响。无法做出估计的，应当说明原因。</t>
    </r>
  </si>
  <si>
    <t>对财务状况和经营成果的影响数</t>
  </si>
  <si>
    <t>无法估计影响数的原因</t>
  </si>
  <si>
    <t>2.资产负债表日后，企业利润分配方案中拟分配的以及经审议批准宣告发放 的股利或利润。</t>
  </si>
  <si>
    <r>
      <rPr>
        <sz val="9"/>
        <rFont val="Arial Narrow"/>
        <charset val="134"/>
      </rPr>
      <t>2.</t>
    </r>
    <r>
      <rPr>
        <sz val="9"/>
        <rFont val="宋体"/>
        <charset val="134"/>
      </rPr>
      <t>资产负债表日后，企业利润分配方案中拟分配的以及经审议批准宣告发放</t>
    </r>
    <r>
      <rPr>
        <sz val="9"/>
        <rFont val="Arial Narrow"/>
        <charset val="134"/>
      </rPr>
      <t xml:space="preserve"> </t>
    </r>
    <r>
      <rPr>
        <sz val="9"/>
        <rFont val="宋体"/>
        <charset val="134"/>
      </rPr>
      <t>的股利或利润。</t>
    </r>
  </si>
  <si>
    <t>3.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</si>
  <si>
    <r>
      <rPr>
        <sz val="9"/>
        <rFont val="Arial Narrow"/>
        <charset val="134"/>
      </rPr>
      <t>3.</t>
    </r>
    <r>
      <rPr>
        <sz val="9"/>
        <rFont val="宋体"/>
        <charset val="134"/>
      </rPr>
      <t>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r>
  </si>
  <si>
    <t>（七十八）非货币性资产交换</t>
  </si>
  <si>
    <t>非货币性资产交换</t>
  </si>
  <si>
    <t>应当说明如下内容:</t>
  </si>
  <si>
    <r>
      <rPr>
        <sz val="9"/>
        <rFont val="宋体"/>
        <charset val="134"/>
      </rPr>
      <t>应当说明如下内容</t>
    </r>
    <r>
      <rPr>
        <sz val="9"/>
        <rFont val="Arial Narrow"/>
        <charset val="134"/>
      </rPr>
      <t>:</t>
    </r>
  </si>
  <si>
    <t>1.换入资产、换出资产的类别。</t>
  </si>
  <si>
    <r>
      <rPr>
        <sz val="9"/>
        <rFont val="Arial Narrow"/>
        <charset val="134"/>
      </rPr>
      <t>1.</t>
    </r>
    <r>
      <rPr>
        <sz val="9"/>
        <rFont val="宋体"/>
        <charset val="134"/>
      </rPr>
      <t>换入资产、换出资产的类别。</t>
    </r>
  </si>
  <si>
    <t>2.换入资产成本的确定方式。</t>
  </si>
  <si>
    <r>
      <rPr>
        <sz val="9"/>
        <rFont val="Arial Narrow"/>
        <charset val="134"/>
      </rPr>
      <t>2.</t>
    </r>
    <r>
      <rPr>
        <sz val="9"/>
        <rFont val="宋体"/>
        <charset val="134"/>
      </rPr>
      <t>换入资产成本的确定方式。</t>
    </r>
  </si>
  <si>
    <t>3.换入资产、换出资产的公允价值及换出资产的账面价值。</t>
  </si>
  <si>
    <r>
      <rPr>
        <sz val="9"/>
        <rFont val="Arial Narrow"/>
        <charset val="134"/>
      </rPr>
      <t>3.</t>
    </r>
    <r>
      <rPr>
        <sz val="9"/>
        <rFont val="宋体"/>
        <charset val="134"/>
      </rPr>
      <t>换入资产、换出资产的公允价值及换出资产的账面价值。</t>
    </r>
  </si>
  <si>
    <t>（七十九）债务重组</t>
  </si>
  <si>
    <t>债务重组</t>
  </si>
  <si>
    <t>（一）债务人应当说明如下内容:</t>
  </si>
  <si>
    <r>
      <rPr>
        <sz val="9"/>
        <rFont val="宋体"/>
        <charset val="134"/>
      </rPr>
      <t>（一）债务人应当说明如下内容</t>
    </r>
    <r>
      <rPr>
        <sz val="9"/>
        <rFont val="Arial Narrow"/>
        <charset val="134"/>
      </rPr>
      <t>:</t>
    </r>
  </si>
  <si>
    <t>1.债务重组方式。</t>
  </si>
  <si>
    <r>
      <rPr>
        <sz val="9"/>
        <rFont val="Arial Narrow"/>
        <charset val="134"/>
      </rPr>
      <t>1.</t>
    </r>
    <r>
      <rPr>
        <sz val="9"/>
        <rFont val="宋体"/>
        <charset val="134"/>
      </rPr>
      <t>债务重组方式。</t>
    </r>
  </si>
  <si>
    <t>2.确认的债务重组利得总额及债务重组损失总额。</t>
  </si>
  <si>
    <r>
      <rPr>
        <sz val="9"/>
        <rFont val="Arial Narrow"/>
        <charset val="134"/>
      </rPr>
      <t>2.</t>
    </r>
    <r>
      <rPr>
        <sz val="9"/>
        <rFont val="宋体"/>
        <charset val="134"/>
      </rPr>
      <t>确认的债务重组利得总额及债务重组损失总额。</t>
    </r>
  </si>
  <si>
    <t>3.将债务（债权）转为资本所导致的股本（或者实收资本）增加额。</t>
  </si>
  <si>
    <r>
      <rPr>
        <sz val="9"/>
        <rFont val="Arial Narrow"/>
        <charset val="134"/>
      </rPr>
      <t>3.</t>
    </r>
    <r>
      <rPr>
        <sz val="9"/>
        <rFont val="宋体"/>
        <charset val="134"/>
      </rPr>
      <t>将债务（债权）转为资本所导致的股本（或者实收资本）增加额。</t>
    </r>
  </si>
  <si>
    <t>4.或有应付及应付金额。</t>
  </si>
  <si>
    <r>
      <rPr>
        <sz val="9"/>
        <rFont val="Arial Narrow"/>
        <charset val="134"/>
      </rPr>
      <t>4.</t>
    </r>
    <r>
      <rPr>
        <sz val="9"/>
        <rFont val="宋体"/>
        <charset val="134"/>
      </rPr>
      <t>或有应付及应付金额。</t>
    </r>
  </si>
  <si>
    <t>5.债务重组中转让的非现金资产的公允价值、由债务（债权）转成的股份的公允价值和修改其他债务条件后债务的公允价值的确定方法及依据。</t>
  </si>
  <si>
    <r>
      <rPr>
        <sz val="9"/>
        <rFont val="Arial Narrow"/>
        <charset val="134"/>
      </rPr>
      <t>5.</t>
    </r>
    <r>
      <rPr>
        <sz val="9"/>
        <rFont val="宋体"/>
        <charset val="134"/>
      </rPr>
      <t>债务重组中转让的非现金资产的公允价值、由债务（债权）转成的股份的公允价值和修改其他债务条件后债务的公允价值的确定方法及依据。</t>
    </r>
  </si>
  <si>
    <t>（二）债权人应当说明如下内容：</t>
  </si>
  <si>
    <t>1.债务重组方式；</t>
  </si>
  <si>
    <r>
      <rPr>
        <sz val="9"/>
        <rFont val="Arial Narrow"/>
        <charset val="134"/>
      </rPr>
      <t>1.</t>
    </r>
    <r>
      <rPr>
        <sz val="9"/>
        <rFont val="宋体"/>
        <charset val="134"/>
      </rPr>
      <t>债务重组方式；</t>
    </r>
  </si>
  <si>
    <t>2.确认的债务重组损失总额；</t>
  </si>
  <si>
    <r>
      <rPr>
        <sz val="9"/>
        <rFont val="Arial Narrow"/>
        <charset val="134"/>
      </rPr>
      <t>2.</t>
    </r>
    <r>
      <rPr>
        <sz val="9"/>
        <rFont val="宋体"/>
        <charset val="134"/>
      </rPr>
      <t>确认的债务重组损失总额；</t>
    </r>
  </si>
  <si>
    <t>3.债权转为股份所导致的投资增加额及该投资占债务人股份总额的比例；</t>
  </si>
  <si>
    <r>
      <rPr>
        <sz val="9"/>
        <rFont val="Arial Narrow"/>
        <charset val="134"/>
      </rPr>
      <t>3.</t>
    </r>
    <r>
      <rPr>
        <sz val="9"/>
        <rFont val="宋体"/>
        <charset val="134"/>
      </rPr>
      <t>债权转为股份所导致的投资增加额及该投资占债务人股份总额的比例；</t>
    </r>
  </si>
  <si>
    <t>4.或有应收金额。</t>
  </si>
  <si>
    <r>
      <rPr>
        <sz val="9"/>
        <rFont val="Arial Narrow"/>
        <charset val="134"/>
      </rPr>
      <t>4.</t>
    </r>
    <r>
      <rPr>
        <sz val="9"/>
        <rFont val="宋体"/>
        <charset val="134"/>
      </rPr>
      <t>或有应收金额。</t>
    </r>
  </si>
  <si>
    <t>（八十）借款费用</t>
  </si>
  <si>
    <t>借款费用</t>
  </si>
  <si>
    <t>1.当期资本化的借款费用金额。</t>
  </si>
  <si>
    <r>
      <rPr>
        <sz val="9"/>
        <rFont val="Arial Narrow"/>
        <charset val="134"/>
      </rPr>
      <t>1.</t>
    </r>
    <r>
      <rPr>
        <sz val="9"/>
        <rFont val="宋体"/>
        <charset val="134"/>
      </rPr>
      <t>当期资本化的借款费用金额。</t>
    </r>
  </si>
  <si>
    <t>2.当期用于计算确定借款费用资本化金额的资本化率。</t>
  </si>
  <si>
    <r>
      <rPr>
        <sz val="9"/>
        <rFont val="Arial Narrow"/>
        <charset val="134"/>
      </rPr>
      <t>2.</t>
    </r>
    <r>
      <rPr>
        <sz val="9"/>
        <rFont val="宋体"/>
        <charset val="134"/>
      </rPr>
      <t>当期用于计算确定借款费用资本化金额的资本化率。</t>
    </r>
  </si>
  <si>
    <t>（八十一）外币折算</t>
  </si>
  <si>
    <t>外币折算</t>
  </si>
  <si>
    <t>1.计入当期损益的汇兑差额。</t>
  </si>
  <si>
    <r>
      <rPr>
        <sz val="9"/>
        <rFont val="Arial Narrow"/>
        <charset val="134"/>
      </rPr>
      <t>1.</t>
    </r>
    <r>
      <rPr>
        <sz val="9"/>
        <rFont val="宋体"/>
        <charset val="134"/>
      </rPr>
      <t>计入当期损益的汇兑差额。</t>
    </r>
  </si>
  <si>
    <t>2.处置境外经营对外币财务报表折算差额的影响。</t>
  </si>
  <si>
    <r>
      <rPr>
        <sz val="9"/>
        <rFont val="Arial Narrow"/>
        <charset val="134"/>
      </rPr>
      <t>2.</t>
    </r>
    <r>
      <rPr>
        <sz val="9"/>
        <rFont val="宋体"/>
        <charset val="134"/>
      </rPr>
      <t>处置境外经营对外币财务报表折算差额的影响。</t>
    </r>
  </si>
  <si>
    <t>（八十二）租赁</t>
  </si>
  <si>
    <t>租赁</t>
  </si>
  <si>
    <t>1.融资租赁出租人最低租赁收款额情况</t>
  </si>
  <si>
    <r>
      <rPr>
        <sz val="9"/>
        <rFont val="Arial Narrow"/>
        <charset val="134"/>
      </rPr>
      <t>1.</t>
    </r>
    <r>
      <rPr>
        <sz val="9"/>
        <rFont val="宋体"/>
        <charset val="134"/>
      </rPr>
      <t>融资租赁出租人最低租赁收款额情况</t>
    </r>
  </si>
  <si>
    <t>剩余租赁期</t>
  </si>
  <si>
    <t>最低租赁收款额</t>
  </si>
  <si>
    <t>1年以上2年以内（含2年）</t>
  </si>
  <si>
    <r>
      <rPr>
        <sz val="9"/>
        <rFont val="Arial Narrow"/>
        <charset val="134"/>
      </rPr>
      <t>1</t>
    </r>
    <r>
      <rPr>
        <sz val="9"/>
        <rFont val="宋体"/>
        <charset val="134"/>
      </rPr>
      <t>年以上</t>
    </r>
    <r>
      <rPr>
        <sz val="9"/>
        <rFont val="Arial Narrow"/>
        <charset val="134"/>
      </rPr>
      <t>2</t>
    </r>
    <r>
      <rPr>
        <sz val="9"/>
        <rFont val="宋体"/>
        <charset val="134"/>
      </rPr>
      <t>年以内（含</t>
    </r>
    <r>
      <rPr>
        <sz val="9"/>
        <rFont val="Arial Narrow"/>
        <charset val="134"/>
      </rPr>
      <t>2</t>
    </r>
    <r>
      <rPr>
        <sz val="9"/>
        <rFont val="宋体"/>
        <charset val="134"/>
      </rPr>
      <t>年）</t>
    </r>
  </si>
  <si>
    <t>2年以上3年以内（含3年）</t>
  </si>
  <si>
    <r>
      <rPr>
        <sz val="9"/>
        <rFont val="Arial Narrow"/>
        <charset val="134"/>
      </rPr>
      <t>2</t>
    </r>
    <r>
      <rPr>
        <sz val="9"/>
        <rFont val="宋体"/>
        <charset val="134"/>
      </rPr>
      <t>年以上</t>
    </r>
    <r>
      <rPr>
        <sz val="9"/>
        <rFont val="Arial Narrow"/>
        <charset val="134"/>
      </rPr>
      <t>3</t>
    </r>
    <r>
      <rPr>
        <sz val="9"/>
        <rFont val="宋体"/>
        <charset val="134"/>
      </rPr>
      <t>年以内（含</t>
    </r>
    <r>
      <rPr>
        <sz val="9"/>
        <rFont val="Arial Narrow"/>
        <charset val="134"/>
      </rPr>
      <t>3</t>
    </r>
    <r>
      <rPr>
        <sz val="9"/>
        <rFont val="宋体"/>
        <charset val="134"/>
      </rPr>
      <t>年）</t>
    </r>
  </si>
  <si>
    <t>3年以上</t>
  </si>
  <si>
    <t>注：融资租赁出租人还应当说明未实现融资收益的余额。</t>
  </si>
  <si>
    <t>2.经营租赁出租人租出资产情况</t>
  </si>
  <si>
    <r>
      <rPr>
        <sz val="9"/>
        <rFont val="Arial Narrow"/>
        <charset val="134"/>
      </rPr>
      <t>2.</t>
    </r>
    <r>
      <rPr>
        <sz val="9"/>
        <rFont val="宋体"/>
        <charset val="134"/>
      </rPr>
      <t>经营租赁出租人租出资产情况</t>
    </r>
  </si>
  <si>
    <t>资产类别</t>
  </si>
  <si>
    <t>1．机器设备</t>
  </si>
  <si>
    <r>
      <rPr>
        <sz val="9"/>
        <rFont val="Arial Narrow"/>
        <charset val="134"/>
      </rPr>
      <t>1</t>
    </r>
    <r>
      <rPr>
        <sz val="9"/>
        <rFont val="宋体"/>
        <charset val="134"/>
      </rPr>
      <t>．机器设备</t>
    </r>
  </si>
  <si>
    <t>2．运输工具</t>
  </si>
  <si>
    <r>
      <rPr>
        <sz val="9"/>
        <rFont val="Arial Narrow"/>
        <charset val="134"/>
      </rPr>
      <t>2</t>
    </r>
    <r>
      <rPr>
        <sz val="9"/>
        <rFont val="宋体"/>
        <charset val="134"/>
      </rPr>
      <t>．运输工具</t>
    </r>
  </si>
  <si>
    <t>……</t>
  </si>
  <si>
    <t>3.融资租赁承租人</t>
  </si>
  <si>
    <r>
      <rPr>
        <sz val="9"/>
        <rFont val="Arial Narrow"/>
        <charset val="134"/>
      </rPr>
      <t>3.</t>
    </r>
    <r>
      <rPr>
        <sz val="9"/>
        <rFont val="宋体"/>
        <charset val="134"/>
      </rPr>
      <t>融资租赁承租人</t>
    </r>
  </si>
  <si>
    <t>（1）租入固定资产情况</t>
  </si>
  <si>
    <r>
      <rPr>
        <sz val="9"/>
        <rFont val="宋体"/>
        <charset val="134"/>
      </rPr>
      <t>（</t>
    </r>
    <r>
      <rPr>
        <sz val="9"/>
        <rFont val="Arial Narrow"/>
        <charset val="134"/>
      </rPr>
      <t>1</t>
    </r>
    <r>
      <rPr>
        <sz val="9"/>
        <rFont val="宋体"/>
        <charset val="134"/>
      </rPr>
      <t>）租入固定资产情况</t>
    </r>
  </si>
  <si>
    <t>原价</t>
  </si>
  <si>
    <t>累计减值准备</t>
  </si>
  <si>
    <t>注:还应说明未确认融资费用的余额。</t>
  </si>
  <si>
    <r>
      <rPr>
        <sz val="9"/>
        <rFont val="宋体"/>
        <charset val="134"/>
      </rPr>
      <t>注</t>
    </r>
    <r>
      <rPr>
        <sz val="9"/>
        <rFont val="Arial Narrow"/>
        <charset val="134"/>
      </rPr>
      <t>:</t>
    </r>
    <r>
      <rPr>
        <sz val="9"/>
        <rFont val="宋体"/>
        <charset val="134"/>
      </rPr>
      <t>还应说明未确认融资费用的余额。</t>
    </r>
  </si>
  <si>
    <t>（2）以后年度最低租赁付款额情况</t>
  </si>
  <si>
    <r>
      <rPr>
        <sz val="9"/>
        <rFont val="宋体"/>
        <charset val="134"/>
      </rPr>
      <t>（</t>
    </r>
    <r>
      <rPr>
        <sz val="9"/>
        <rFont val="Arial Narrow"/>
        <charset val="134"/>
      </rPr>
      <t>2</t>
    </r>
    <r>
      <rPr>
        <sz val="9"/>
        <rFont val="宋体"/>
        <charset val="134"/>
      </rPr>
      <t>）以后年度最低租赁付款额情况</t>
    </r>
  </si>
  <si>
    <t>最低租赁付款额</t>
  </si>
  <si>
    <t>1 年以内（含 1 年）</t>
  </si>
  <si>
    <r>
      <rPr>
        <sz val="9"/>
        <rFont val="Arial Narrow"/>
        <charset val="134"/>
      </rPr>
      <t xml:space="preserve">1 </t>
    </r>
    <r>
      <rPr>
        <sz val="9"/>
        <rFont val="宋体"/>
        <charset val="134"/>
      </rPr>
      <t>年以内（含</t>
    </r>
    <r>
      <rPr>
        <sz val="9"/>
        <rFont val="Arial Narrow"/>
        <charset val="134"/>
      </rPr>
      <t xml:space="preserve"> 1 </t>
    </r>
    <r>
      <rPr>
        <sz val="9"/>
        <rFont val="宋体"/>
        <charset val="134"/>
      </rPr>
      <t>年）</t>
    </r>
  </si>
  <si>
    <t>1 年以上 2 年以内（含 2 年）</t>
  </si>
  <si>
    <r>
      <rPr>
        <sz val="9"/>
        <rFont val="Arial Narrow"/>
        <charset val="134"/>
      </rPr>
      <t xml:space="preserve">1 </t>
    </r>
    <r>
      <rPr>
        <sz val="9"/>
        <rFont val="宋体"/>
        <charset val="134"/>
      </rPr>
      <t>年以上</t>
    </r>
    <r>
      <rPr>
        <sz val="9"/>
        <rFont val="Arial Narrow"/>
        <charset val="134"/>
      </rPr>
      <t xml:space="preserve"> 2 </t>
    </r>
    <r>
      <rPr>
        <sz val="9"/>
        <rFont val="宋体"/>
        <charset val="134"/>
      </rPr>
      <t>年以内（含</t>
    </r>
    <r>
      <rPr>
        <sz val="9"/>
        <rFont val="Arial Narrow"/>
        <charset val="134"/>
      </rPr>
      <t xml:space="preserve"> 2 </t>
    </r>
    <r>
      <rPr>
        <sz val="9"/>
        <rFont val="宋体"/>
        <charset val="134"/>
      </rPr>
      <t>年）</t>
    </r>
  </si>
  <si>
    <t>2 年以上 3 年以内（含 3 年）</t>
  </si>
  <si>
    <r>
      <rPr>
        <sz val="9"/>
        <rFont val="Arial Narrow"/>
        <charset val="134"/>
      </rPr>
      <t xml:space="preserve">2 </t>
    </r>
    <r>
      <rPr>
        <sz val="9"/>
        <rFont val="宋体"/>
        <charset val="134"/>
      </rPr>
      <t>年以上</t>
    </r>
    <r>
      <rPr>
        <sz val="9"/>
        <rFont val="Arial Narrow"/>
        <charset val="134"/>
      </rPr>
      <t xml:space="preserve"> 3 </t>
    </r>
    <r>
      <rPr>
        <sz val="9"/>
        <rFont val="宋体"/>
        <charset val="134"/>
      </rPr>
      <t>年以内（含</t>
    </r>
    <r>
      <rPr>
        <sz val="9"/>
        <rFont val="Arial Narrow"/>
        <charset val="134"/>
      </rPr>
      <t xml:space="preserve"> 3 </t>
    </r>
    <r>
      <rPr>
        <sz val="9"/>
        <rFont val="宋体"/>
        <charset val="134"/>
      </rPr>
      <t>年）</t>
    </r>
  </si>
  <si>
    <t>3 年以上</t>
  </si>
  <si>
    <r>
      <rPr>
        <sz val="9"/>
        <rFont val="Arial Narrow"/>
        <charset val="134"/>
      </rPr>
      <t xml:space="preserve">3 </t>
    </r>
    <r>
      <rPr>
        <sz val="9"/>
        <rFont val="宋体"/>
        <charset val="134"/>
      </rPr>
      <t>年以上</t>
    </r>
  </si>
  <si>
    <t>4.经营租赁承租人最低租赁付款额情况</t>
  </si>
  <si>
    <r>
      <rPr>
        <sz val="9"/>
        <rFont val="Arial Narrow"/>
        <charset val="134"/>
      </rPr>
      <t>4.</t>
    </r>
    <r>
      <rPr>
        <sz val="9"/>
        <rFont val="宋体"/>
        <charset val="134"/>
      </rPr>
      <t>经营租赁承租人最低租赁付款额情况</t>
    </r>
  </si>
  <si>
    <t>5.披露各售后租回交易以及售后租回合同中的重要条款。</t>
  </si>
  <si>
    <r>
      <rPr>
        <sz val="9"/>
        <rFont val="Arial Narrow"/>
        <charset val="134"/>
      </rPr>
      <t>5.</t>
    </r>
    <r>
      <rPr>
        <sz val="9"/>
        <rFont val="宋体"/>
        <charset val="134"/>
      </rPr>
      <t>披露各售后租回交易以及售后租回合同中的重要条款。</t>
    </r>
  </si>
  <si>
    <t>（八十三）期末发行在外的、可转换为股份的金融工具</t>
  </si>
  <si>
    <t>期末发行在外的、可转换为股份的金融工具</t>
  </si>
  <si>
    <t>（八十四）以公允价值计量的资产和负债</t>
  </si>
  <si>
    <t>以公允价值计量的资产和负债</t>
  </si>
  <si>
    <t>本期公允价值变动损益</t>
  </si>
  <si>
    <t>计入权益的累计公允价值变动</t>
  </si>
  <si>
    <t>本期计提的减值</t>
  </si>
  <si>
    <t>金融资产</t>
  </si>
  <si>
    <t>1.以公允价值计量且其变动计入当期损益的金融资产（不含衍生金融资产）</t>
  </si>
  <si>
    <r>
      <rPr>
        <sz val="9"/>
        <rFont val="Arial Narrow"/>
        <charset val="134"/>
      </rPr>
      <t>1.</t>
    </r>
    <r>
      <rPr>
        <sz val="9"/>
        <rFont val="宋体"/>
        <charset val="134"/>
      </rPr>
      <t>以公允价值计量且其变动计入当期损益的金融资产（不含衍生金融资产）</t>
    </r>
  </si>
  <si>
    <t>2.衍生金融资产</t>
  </si>
  <si>
    <r>
      <rPr>
        <sz val="9"/>
        <rFont val="Arial Narrow"/>
        <charset val="134"/>
      </rPr>
      <t>2.</t>
    </r>
    <r>
      <rPr>
        <sz val="9"/>
        <rFont val="宋体"/>
        <charset val="134"/>
      </rPr>
      <t>衍生金融资产</t>
    </r>
  </si>
  <si>
    <t>3.可供出售金融资产</t>
  </si>
  <si>
    <r>
      <rPr>
        <sz val="9"/>
        <rFont val="Arial Narrow"/>
        <charset val="134"/>
      </rPr>
      <t>3.</t>
    </r>
    <r>
      <rPr>
        <sz val="9"/>
        <rFont val="宋体"/>
        <charset val="134"/>
      </rPr>
      <t>可供出售金融资产</t>
    </r>
  </si>
  <si>
    <t>金融资产小计</t>
  </si>
  <si>
    <t>上述合计</t>
  </si>
  <si>
    <t>金融负债</t>
  </si>
  <si>
    <t>（八十五）外币金融资产和外币金融负债</t>
  </si>
  <si>
    <t>外币金融资产和外币金融负债</t>
  </si>
  <si>
    <t>3.贷款和应收款</t>
  </si>
  <si>
    <r>
      <rPr>
        <sz val="9"/>
        <rFont val="Arial Narrow"/>
        <charset val="134"/>
      </rPr>
      <t>3.</t>
    </r>
    <r>
      <rPr>
        <sz val="9"/>
        <rFont val="宋体"/>
        <charset val="134"/>
      </rPr>
      <t>贷款和应收款</t>
    </r>
  </si>
  <si>
    <t>4.可供出售金融资产</t>
  </si>
  <si>
    <r>
      <rPr>
        <sz val="9"/>
        <rFont val="Arial Narrow"/>
        <charset val="134"/>
      </rPr>
      <t>4.</t>
    </r>
    <r>
      <rPr>
        <sz val="9"/>
        <rFont val="宋体"/>
        <charset val="134"/>
      </rPr>
      <t>可供出售金融资产</t>
    </r>
  </si>
  <si>
    <t>5.持有至到期投资</t>
  </si>
  <si>
    <r>
      <rPr>
        <sz val="9"/>
        <rFont val="Arial Narrow"/>
        <charset val="134"/>
      </rPr>
      <t>5.</t>
    </r>
    <r>
      <rPr>
        <sz val="9"/>
        <rFont val="宋体"/>
        <charset val="134"/>
      </rPr>
      <t>持有至到期投资</t>
    </r>
  </si>
  <si>
    <t>（八十六）终止经营</t>
  </si>
  <si>
    <t>终止经营</t>
  </si>
  <si>
    <t>1.终止经营收入</t>
  </si>
  <si>
    <r>
      <rPr>
        <sz val="9"/>
        <rFont val="Arial Narrow"/>
        <charset val="134"/>
      </rPr>
      <t>1.</t>
    </r>
    <r>
      <rPr>
        <sz val="9"/>
        <rFont val="宋体"/>
        <charset val="134"/>
      </rPr>
      <t>终止经营收入</t>
    </r>
  </si>
  <si>
    <t>减：终止经营费用</t>
  </si>
  <si>
    <t>2.终止经营利润总额</t>
  </si>
  <si>
    <r>
      <rPr>
        <sz val="9"/>
        <rFont val="Arial Narrow"/>
        <charset val="134"/>
      </rPr>
      <t>2.</t>
    </r>
    <r>
      <rPr>
        <sz val="9"/>
        <rFont val="宋体"/>
        <charset val="134"/>
      </rPr>
      <t>终止经营利润总额</t>
    </r>
  </si>
  <si>
    <t>减：终止经营所得税费用</t>
  </si>
  <si>
    <t>3.终止经营净利润</t>
  </si>
  <si>
    <r>
      <rPr>
        <sz val="9"/>
        <rFont val="Arial Narrow"/>
        <charset val="134"/>
      </rPr>
      <t>3.</t>
    </r>
    <r>
      <rPr>
        <sz val="9"/>
        <rFont val="宋体"/>
        <charset val="134"/>
      </rPr>
      <t>终止经营净利润</t>
    </r>
  </si>
  <si>
    <t>（八十七）分部报告</t>
  </si>
  <si>
    <t>分部报告</t>
  </si>
  <si>
    <t>1.主要报告形式为经营分部</t>
  </si>
  <si>
    <r>
      <rPr>
        <sz val="9"/>
        <rFont val="Arial Narrow"/>
        <charset val="134"/>
      </rPr>
      <t>1.</t>
    </r>
    <r>
      <rPr>
        <sz val="9"/>
        <rFont val="宋体"/>
        <charset val="134"/>
      </rPr>
      <t>主要报告形式为经营分部</t>
    </r>
  </si>
  <si>
    <r>
      <rPr>
        <b/>
        <sz val="9"/>
        <rFont val="Arial Narrow"/>
        <charset val="134"/>
      </rPr>
      <t>××</t>
    </r>
    <r>
      <rPr>
        <b/>
        <sz val="9"/>
        <rFont val="宋体"/>
        <charset val="134"/>
      </rPr>
      <t>业务</t>
    </r>
  </si>
  <si>
    <t>抵销</t>
  </si>
  <si>
    <t>其中：对外交易收入</t>
  </si>
  <si>
    <t>分部间交易收入</t>
  </si>
  <si>
    <t>二、营业费用</t>
  </si>
  <si>
    <t>三、营业利润（亏损）</t>
  </si>
  <si>
    <t>四、资产总额</t>
  </si>
  <si>
    <t>五、负债总额</t>
  </si>
  <si>
    <t>六、补充信息</t>
  </si>
  <si>
    <t>1．折旧和摊销费用</t>
  </si>
  <si>
    <r>
      <rPr>
        <sz val="9"/>
        <rFont val="Arial Narrow"/>
        <charset val="134"/>
      </rPr>
      <t>1</t>
    </r>
    <r>
      <rPr>
        <sz val="9"/>
        <rFont val="宋体"/>
        <charset val="134"/>
      </rPr>
      <t>．折旧和摊销费用</t>
    </r>
  </si>
  <si>
    <t>2．资本性支出</t>
  </si>
  <si>
    <r>
      <rPr>
        <sz val="9"/>
        <rFont val="Arial Narrow"/>
        <charset val="134"/>
      </rPr>
      <t>2</t>
    </r>
    <r>
      <rPr>
        <sz val="9"/>
        <rFont val="宋体"/>
        <charset val="134"/>
      </rPr>
      <t>．资本性支出</t>
    </r>
  </si>
  <si>
    <t>3．折旧和摊销以外的非现金费用</t>
  </si>
  <si>
    <r>
      <rPr>
        <sz val="9"/>
        <rFont val="Arial Narrow"/>
        <charset val="134"/>
      </rPr>
      <t>3</t>
    </r>
    <r>
      <rPr>
        <sz val="9"/>
        <rFont val="宋体"/>
        <charset val="134"/>
      </rPr>
      <t>．折旧和摊销以外的非现金费用</t>
    </r>
  </si>
  <si>
    <t>注：1. 报告分部的数量通常不应超过10个。报告分部的数量超过10个需要合并的，应当以经营分部的合并条件为基础，对相关的报告分部予以合并。</t>
  </si>
  <si>
    <r>
      <rPr>
        <sz val="9"/>
        <rFont val="宋体"/>
        <charset val="134"/>
      </rPr>
      <t>注：</t>
    </r>
    <r>
      <rPr>
        <sz val="9"/>
        <rFont val="Arial Narrow"/>
        <charset val="134"/>
      </rPr>
      <t xml:space="preserve">1. </t>
    </r>
    <r>
      <rPr>
        <sz val="9"/>
        <rFont val="宋体"/>
        <charset val="134"/>
      </rPr>
      <t>报告分部的数量通常不应超过</t>
    </r>
    <r>
      <rPr>
        <sz val="9"/>
        <rFont val="Arial Narrow"/>
        <charset val="134"/>
      </rPr>
      <t>10</t>
    </r>
    <r>
      <rPr>
        <sz val="9"/>
        <rFont val="宋体"/>
        <charset val="134"/>
      </rPr>
      <t>个。报告分部的数量超过</t>
    </r>
    <r>
      <rPr>
        <sz val="9"/>
        <rFont val="Arial Narrow"/>
        <charset val="134"/>
      </rPr>
      <t>10</t>
    </r>
    <r>
      <rPr>
        <sz val="9"/>
        <rFont val="宋体"/>
        <charset val="134"/>
      </rPr>
      <t>个需要合并的，应当以经营分部的合并条件为基础，对相关的报告分部予以合并。</t>
    </r>
  </si>
  <si>
    <t>注：2.在主要报告形式的基础上，对于次要报告形式，企业还应披露对外交易收入、分部资产总额。</t>
  </si>
  <si>
    <r>
      <rPr>
        <sz val="9"/>
        <rFont val="宋体"/>
        <charset val="134"/>
      </rPr>
      <t>注：</t>
    </r>
    <r>
      <rPr>
        <sz val="9"/>
        <rFont val="Arial Narrow"/>
        <charset val="134"/>
      </rPr>
      <t>2.</t>
    </r>
    <r>
      <rPr>
        <sz val="9"/>
        <rFont val="宋体"/>
        <charset val="134"/>
      </rPr>
      <t>在主要报告形式的基础上，对于次要报告形式，企业还应披露对外交易收入、分部资产总额。</t>
    </r>
  </si>
  <si>
    <t>（返回公式连接表）</t>
  </si>
  <si>
    <r>
      <rPr>
        <sz val="9"/>
        <color theme="7" tint="0.599993896298105"/>
        <rFont val="宋体"/>
        <charset val="134"/>
      </rPr>
      <t>房投</t>
    </r>
    <r>
      <rPr>
        <sz val="9"/>
        <color theme="7" tint="0.599993896298105"/>
        <rFont val="Arial Narrow"/>
        <charset val="134"/>
      </rPr>
      <t>1</t>
    </r>
  </si>
  <si>
    <t>房投1</t>
  </si>
  <si>
    <r>
      <rPr>
        <b/>
        <sz val="9"/>
        <rFont val="Arial Narrow"/>
        <charset val="134"/>
      </rPr>
      <t>（</t>
    </r>
    <r>
      <rPr>
        <b/>
        <sz val="10.5"/>
        <color theme="1"/>
        <rFont val="Times New Roman"/>
        <charset val="134"/>
      </rPr>
      <t>1</t>
    </r>
    <r>
      <rPr>
        <b/>
        <sz val="10.5"/>
        <color theme="1"/>
        <rFont val="宋体"/>
        <charset val="134"/>
      </rPr>
      <t>）采用成本计量模式的投资性房地产</t>
    </r>
  </si>
  <si>
    <r>
      <rPr>
        <sz val="9"/>
        <color theme="7" tint="0.599993896298105"/>
        <rFont val="宋体"/>
        <charset val="134"/>
      </rPr>
      <t>房投</t>
    </r>
    <r>
      <rPr>
        <sz val="9"/>
        <color theme="7" tint="0.599993896298105"/>
        <rFont val="Arial Narrow"/>
        <charset val="134"/>
      </rPr>
      <t>2</t>
    </r>
  </si>
  <si>
    <t>房投2</t>
  </si>
  <si>
    <t>土地使用权</t>
  </si>
  <si>
    <r>
      <rPr>
        <sz val="9"/>
        <color theme="7" tint="0.599993896298105"/>
        <rFont val="宋体"/>
        <charset val="134"/>
      </rPr>
      <t>房投</t>
    </r>
    <r>
      <rPr>
        <sz val="9"/>
        <color theme="7" tint="0.599993896298105"/>
        <rFont val="Arial Narrow"/>
        <charset val="134"/>
      </rPr>
      <t>3</t>
    </r>
  </si>
  <si>
    <t>房投3</t>
  </si>
  <si>
    <t>一、账面原值</t>
  </si>
  <si>
    <r>
      <rPr>
        <sz val="9"/>
        <color theme="7" tint="0.599993896298105"/>
        <rFont val="宋体"/>
        <charset val="134"/>
      </rPr>
      <t>房投</t>
    </r>
    <r>
      <rPr>
        <sz val="9"/>
        <color theme="7" tint="0.599993896298105"/>
        <rFont val="Arial Narrow"/>
        <charset val="134"/>
      </rPr>
      <t>4</t>
    </r>
  </si>
  <si>
    <t>房投4</t>
  </si>
  <si>
    <r>
      <rPr>
        <sz val="9"/>
        <color theme="1"/>
        <rFont val="宋体"/>
        <charset val="134"/>
      </rPr>
      <t>　　</t>
    </r>
    <r>
      <rPr>
        <sz val="9"/>
        <color theme="1"/>
        <rFont val="Times New Roman"/>
        <charset val="134"/>
      </rPr>
      <t>1.</t>
    </r>
    <r>
      <rPr>
        <sz val="9"/>
        <color theme="1"/>
        <rFont val="宋体"/>
        <charset val="134"/>
      </rPr>
      <t>期初余额</t>
    </r>
  </si>
  <si>
    <r>
      <rPr>
        <sz val="9"/>
        <color theme="7" tint="0.599993896298105"/>
        <rFont val="宋体"/>
        <charset val="134"/>
      </rPr>
      <t>房投</t>
    </r>
    <r>
      <rPr>
        <sz val="9"/>
        <color theme="7" tint="0.599993896298105"/>
        <rFont val="Arial Narrow"/>
        <charset val="134"/>
      </rPr>
      <t>5</t>
    </r>
  </si>
  <si>
    <t>房投5</t>
  </si>
  <si>
    <r>
      <rPr>
        <sz val="9"/>
        <color theme="1"/>
        <rFont val="宋体"/>
        <charset val="134"/>
      </rPr>
      <t>　　</t>
    </r>
    <r>
      <rPr>
        <sz val="9"/>
        <color theme="1"/>
        <rFont val="Times New Roman"/>
        <charset val="134"/>
      </rPr>
      <t>2.</t>
    </r>
    <r>
      <rPr>
        <sz val="9"/>
        <color theme="1"/>
        <rFont val="宋体"/>
        <charset val="134"/>
      </rPr>
      <t>本期增加金额</t>
    </r>
  </si>
  <si>
    <r>
      <rPr>
        <sz val="9"/>
        <color theme="7" tint="0.599993896298105"/>
        <rFont val="宋体"/>
        <charset val="134"/>
      </rPr>
      <t>房投</t>
    </r>
    <r>
      <rPr>
        <sz val="9"/>
        <color theme="7" tint="0.599993896298105"/>
        <rFont val="Arial Narrow"/>
        <charset val="134"/>
      </rPr>
      <t>6</t>
    </r>
  </si>
  <si>
    <t>房投6</t>
  </si>
  <si>
    <r>
      <rPr>
        <sz val="9"/>
        <color theme="1"/>
        <rFont val="宋体"/>
        <charset val="134"/>
      </rPr>
      <t>　　（</t>
    </r>
    <r>
      <rPr>
        <sz val="9"/>
        <color theme="1"/>
        <rFont val="Times New Roman"/>
        <charset val="134"/>
      </rPr>
      <t>1</t>
    </r>
    <r>
      <rPr>
        <sz val="9"/>
        <color theme="1"/>
        <rFont val="宋体"/>
        <charset val="134"/>
      </rPr>
      <t>）外购</t>
    </r>
  </si>
  <si>
    <r>
      <rPr>
        <sz val="9"/>
        <color theme="7" tint="0.599993896298105"/>
        <rFont val="宋体"/>
        <charset val="134"/>
      </rPr>
      <t>房投</t>
    </r>
    <r>
      <rPr>
        <sz val="9"/>
        <color theme="7" tint="0.599993896298105"/>
        <rFont val="Arial Narrow"/>
        <charset val="134"/>
      </rPr>
      <t>7</t>
    </r>
  </si>
  <si>
    <t>房投7</t>
  </si>
  <si>
    <r>
      <rPr>
        <sz val="9"/>
        <color theme="1"/>
        <rFont val="宋体"/>
        <charset val="134"/>
      </rPr>
      <t>　　（</t>
    </r>
    <r>
      <rPr>
        <sz val="9"/>
        <color theme="1"/>
        <rFont val="Times New Roman"/>
        <charset val="134"/>
      </rPr>
      <t>2</t>
    </r>
    <r>
      <rPr>
        <sz val="9"/>
        <color theme="1"/>
        <rFont val="宋体"/>
        <charset val="134"/>
      </rPr>
      <t>）存货</t>
    </r>
    <r>
      <rPr>
        <sz val="9"/>
        <color theme="1"/>
        <rFont val="Times New Roman"/>
        <charset val="134"/>
      </rPr>
      <t>\</t>
    </r>
    <r>
      <rPr>
        <sz val="9"/>
        <color theme="1"/>
        <rFont val="宋体"/>
        <charset val="134"/>
      </rPr>
      <t>固定资产</t>
    </r>
    <r>
      <rPr>
        <sz val="9"/>
        <color theme="1"/>
        <rFont val="Times New Roman"/>
        <charset val="134"/>
      </rPr>
      <t>\</t>
    </r>
    <r>
      <rPr>
        <sz val="9"/>
        <color theme="1"/>
        <rFont val="宋体"/>
        <charset val="134"/>
      </rPr>
      <t>在建工程转入</t>
    </r>
  </si>
  <si>
    <r>
      <rPr>
        <sz val="9"/>
        <color theme="7" tint="0.599993896298105"/>
        <rFont val="宋体"/>
        <charset val="134"/>
      </rPr>
      <t>房投</t>
    </r>
    <r>
      <rPr>
        <sz val="9"/>
        <color theme="7" tint="0.599993896298105"/>
        <rFont val="Arial Narrow"/>
        <charset val="134"/>
      </rPr>
      <t>8</t>
    </r>
  </si>
  <si>
    <t>房投8</t>
  </si>
  <si>
    <r>
      <rPr>
        <sz val="9"/>
        <color theme="1"/>
        <rFont val="宋体"/>
        <charset val="134"/>
      </rPr>
      <t>　　（</t>
    </r>
    <r>
      <rPr>
        <sz val="9"/>
        <color theme="1"/>
        <rFont val="Times New Roman"/>
        <charset val="134"/>
      </rPr>
      <t>3</t>
    </r>
    <r>
      <rPr>
        <sz val="9"/>
        <color theme="1"/>
        <rFont val="宋体"/>
        <charset val="134"/>
      </rPr>
      <t>）企业合并增加</t>
    </r>
  </si>
  <si>
    <r>
      <rPr>
        <sz val="9"/>
        <color theme="7" tint="0.599993896298105"/>
        <rFont val="宋体"/>
        <charset val="134"/>
      </rPr>
      <t>房投</t>
    </r>
    <r>
      <rPr>
        <sz val="9"/>
        <color theme="7" tint="0.599993896298105"/>
        <rFont val="Arial Narrow"/>
        <charset val="134"/>
      </rPr>
      <t>9</t>
    </r>
  </si>
  <si>
    <t>房投9</t>
  </si>
  <si>
    <r>
      <rPr>
        <sz val="9"/>
        <color theme="7" tint="0.599993896298105"/>
        <rFont val="宋体"/>
        <charset val="134"/>
      </rPr>
      <t>房投</t>
    </r>
    <r>
      <rPr>
        <sz val="9"/>
        <color theme="7" tint="0.599993896298105"/>
        <rFont val="Arial Narrow"/>
        <charset val="134"/>
      </rPr>
      <t>10</t>
    </r>
  </si>
  <si>
    <t>房投10</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</si>
  <si>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</si>
  <si>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11</t>
    </r>
  </si>
  <si>
    <t>房投11</t>
  </si>
  <si>
    <r>
      <rPr>
        <sz val="9"/>
        <color theme="1"/>
        <rFont val="宋体"/>
        <charset val="134"/>
      </rPr>
      <t>　　（</t>
    </r>
    <r>
      <rPr>
        <sz val="9"/>
        <color theme="1"/>
        <rFont val="Times New Roman"/>
        <charset val="134"/>
      </rPr>
      <t>1</t>
    </r>
    <r>
      <rPr>
        <sz val="9"/>
        <color theme="1"/>
        <rFont val="宋体"/>
        <charset val="134"/>
      </rPr>
      <t>）处置</t>
    </r>
  </si>
  <si>
    <r>
      <rPr>
        <sz val="9"/>
        <color theme="7" tint="0.599993896298105"/>
        <rFont val="宋体"/>
        <charset val="134"/>
      </rPr>
      <t>房投</t>
    </r>
    <r>
      <rPr>
        <sz val="9"/>
        <color theme="7" tint="0.599993896298105"/>
        <rFont val="Arial Narrow"/>
        <charset val="134"/>
      </rPr>
      <t>12</t>
    </r>
  </si>
  <si>
    <t>房投12</t>
  </si>
  <si>
    <r>
      <rPr>
        <sz val="9"/>
        <color theme="1"/>
        <rFont val="宋体"/>
        <charset val="134"/>
      </rPr>
      <t>　　（</t>
    </r>
    <r>
      <rPr>
        <sz val="9"/>
        <color theme="1"/>
        <rFont val="Times New Roman"/>
        <charset val="134"/>
      </rPr>
      <t>2</t>
    </r>
    <r>
      <rPr>
        <sz val="9"/>
        <color theme="1"/>
        <rFont val="宋体"/>
        <charset val="134"/>
      </rPr>
      <t>）其他转出</t>
    </r>
  </si>
  <si>
    <r>
      <rPr>
        <sz val="9"/>
        <color theme="7" tint="0.599993896298105"/>
        <rFont val="宋体"/>
        <charset val="134"/>
      </rPr>
      <t>房投</t>
    </r>
    <r>
      <rPr>
        <sz val="9"/>
        <color theme="7" tint="0.599993896298105"/>
        <rFont val="Arial Narrow"/>
        <charset val="134"/>
      </rPr>
      <t>13</t>
    </r>
  </si>
  <si>
    <t>房投13</t>
  </si>
  <si>
    <r>
      <rPr>
        <sz val="9"/>
        <color theme="1"/>
        <rFont val="宋体"/>
        <charset val="134"/>
      </rPr>
      <t>　　（</t>
    </r>
    <r>
      <rPr>
        <sz val="9"/>
        <color theme="1"/>
        <rFont val="Times New Roman"/>
        <charset val="134"/>
      </rPr>
      <t>3</t>
    </r>
    <r>
      <rPr>
        <sz val="9"/>
        <color theme="1"/>
        <rFont val="宋体"/>
        <charset val="134"/>
      </rPr>
      <t>）企业合并减少</t>
    </r>
  </si>
  <si>
    <r>
      <rPr>
        <sz val="9"/>
        <color theme="7" tint="0.599993896298105"/>
        <rFont val="宋体"/>
        <charset val="134"/>
      </rPr>
      <t>房投</t>
    </r>
    <r>
      <rPr>
        <sz val="9"/>
        <color theme="7" tint="0.599993896298105"/>
        <rFont val="Arial Narrow"/>
        <charset val="134"/>
      </rPr>
      <t>14</t>
    </r>
  </si>
  <si>
    <t>房投14</t>
  </si>
  <si>
    <r>
      <rPr>
        <sz val="9"/>
        <color theme="1"/>
        <rFont val="宋体"/>
        <charset val="134"/>
      </rPr>
      <t>　　</t>
    </r>
    <r>
      <rPr>
        <sz val="9"/>
        <color theme="1"/>
        <rFont val="Times New Roman"/>
        <charset val="134"/>
      </rPr>
      <t>4.</t>
    </r>
    <r>
      <rPr>
        <sz val="9"/>
        <color theme="1"/>
        <rFont val="宋体"/>
        <charset val="134"/>
      </rPr>
      <t>期末余额</t>
    </r>
  </si>
  <si>
    <r>
      <rPr>
        <sz val="9"/>
        <color theme="7" tint="0.599993896298105"/>
        <rFont val="宋体"/>
        <charset val="134"/>
      </rPr>
      <t>房投</t>
    </r>
    <r>
      <rPr>
        <sz val="9"/>
        <color theme="7" tint="0.599993896298105"/>
        <rFont val="Arial Narrow"/>
        <charset val="134"/>
      </rPr>
      <t>15</t>
    </r>
  </si>
  <si>
    <t>房投15</t>
  </si>
  <si>
    <t>二、累计折旧和累计摊销</t>
  </si>
  <si>
    <r>
      <rPr>
        <sz val="9"/>
        <color theme="7" tint="0.599993896298105"/>
        <rFont val="宋体"/>
        <charset val="134"/>
      </rPr>
      <t>房投</t>
    </r>
    <r>
      <rPr>
        <sz val="9"/>
        <color theme="7" tint="0.599993896298105"/>
        <rFont val="Arial Narrow"/>
        <charset val="134"/>
      </rPr>
      <t>16</t>
    </r>
  </si>
  <si>
    <t>房投16</t>
  </si>
  <si>
    <r>
      <rPr>
        <sz val="9"/>
        <color theme="7" tint="0.599993896298105"/>
        <rFont val="宋体"/>
        <charset val="134"/>
      </rPr>
      <t>房投</t>
    </r>
    <r>
      <rPr>
        <sz val="9"/>
        <color theme="7" tint="0.599993896298105"/>
        <rFont val="Arial Narrow"/>
        <charset val="134"/>
      </rPr>
      <t>17</t>
    </r>
  </si>
  <si>
    <t>房投17</t>
  </si>
  <si>
    <r>
      <rPr>
        <sz val="9"/>
        <color theme="7" tint="0.599993896298105"/>
        <rFont val="宋体"/>
        <charset val="134"/>
      </rPr>
      <t>房投</t>
    </r>
    <r>
      <rPr>
        <sz val="9"/>
        <color theme="7" tint="0.599993896298105"/>
        <rFont val="Arial Narrow"/>
        <charset val="134"/>
      </rPr>
      <t>18</t>
    </r>
  </si>
  <si>
    <t>房投18</t>
  </si>
  <si>
    <r>
      <rPr>
        <sz val="9"/>
        <color theme="1"/>
        <rFont val="宋体"/>
        <charset val="134"/>
      </rPr>
      <t>　　（</t>
    </r>
    <r>
      <rPr>
        <sz val="9"/>
        <color theme="1"/>
        <rFont val="Times New Roman"/>
        <charset val="134"/>
      </rPr>
      <t>1</t>
    </r>
    <r>
      <rPr>
        <sz val="9"/>
        <color theme="1"/>
        <rFont val="宋体"/>
        <charset val="134"/>
      </rPr>
      <t>）计提或摊销</t>
    </r>
  </si>
  <si>
    <r>
      <rPr>
        <sz val="9"/>
        <color theme="7" tint="0.599993896298105"/>
        <rFont val="宋体"/>
        <charset val="134"/>
      </rPr>
      <t>房投</t>
    </r>
    <r>
      <rPr>
        <sz val="9"/>
        <color theme="7" tint="0.599993896298105"/>
        <rFont val="Arial Narrow"/>
        <charset val="134"/>
      </rPr>
      <t>19</t>
    </r>
  </si>
  <si>
    <t>房投19</t>
  </si>
  <si>
    <r>
      <rPr>
        <sz val="9"/>
        <color theme="1"/>
        <rFont val="宋体"/>
        <charset val="134"/>
      </rPr>
      <t>　　（</t>
    </r>
    <r>
      <rPr>
        <sz val="9"/>
        <color theme="1"/>
        <rFont val="Times New Roman"/>
        <charset val="134"/>
      </rPr>
      <t>2</t>
    </r>
    <r>
      <rPr>
        <sz val="9"/>
        <color theme="1"/>
        <rFont val="宋体"/>
        <charset val="134"/>
      </rPr>
      <t>）固定资产</t>
    </r>
    <r>
      <rPr>
        <sz val="9"/>
        <color theme="1"/>
        <rFont val="Times New Roman"/>
        <charset val="134"/>
      </rPr>
      <t>\</t>
    </r>
    <r>
      <rPr>
        <sz val="9"/>
        <color theme="1"/>
        <rFont val="宋体"/>
        <charset val="134"/>
      </rPr>
      <t>无形资产转入</t>
    </r>
  </si>
  <si>
    <r>
      <rPr>
        <sz val="9"/>
        <color theme="7" tint="0.599993896298105"/>
        <rFont val="宋体"/>
        <charset val="134"/>
      </rPr>
      <t>房投</t>
    </r>
    <r>
      <rPr>
        <sz val="9"/>
        <color theme="7" tint="0.599993896298105"/>
        <rFont val="Arial Narrow"/>
        <charset val="134"/>
      </rPr>
      <t>20</t>
    </r>
  </si>
  <si>
    <t>房投20</t>
  </si>
  <si>
    <t>　　（3）企业合并增加</t>
  </si>
  <si>
    <r>
      <rPr>
        <sz val="9"/>
        <color theme="7" tint="0.599993896298105"/>
        <rFont val="宋体"/>
        <charset val="134"/>
      </rPr>
      <t>房投</t>
    </r>
    <r>
      <rPr>
        <sz val="9"/>
        <color theme="7" tint="0.599993896298105"/>
        <rFont val="Arial Narrow"/>
        <charset val="134"/>
      </rPr>
      <t>21</t>
    </r>
  </si>
  <si>
    <t>房投21</t>
  </si>
  <si>
    <r>
      <rPr>
        <sz val="9"/>
        <color theme="7" tint="0.599993896298105"/>
        <rFont val="宋体"/>
        <charset val="134"/>
      </rPr>
      <t>房投</t>
    </r>
    <r>
      <rPr>
        <sz val="9"/>
        <color theme="7" tint="0.599993896298105"/>
        <rFont val="Arial Narrow"/>
        <charset val="134"/>
      </rPr>
      <t>22</t>
    </r>
  </si>
  <si>
    <t>房投22</t>
  </si>
  <si>
    <r>
      <rPr>
        <sz val="9"/>
        <color theme="7" tint="0.599993896298105"/>
        <rFont val="宋体"/>
        <charset val="134"/>
      </rPr>
      <t>房投</t>
    </r>
    <r>
      <rPr>
        <sz val="9"/>
        <color theme="7" tint="0.599993896298105"/>
        <rFont val="Arial Narrow"/>
        <charset val="134"/>
      </rPr>
      <t>23</t>
    </r>
  </si>
  <si>
    <t>房投23</t>
  </si>
  <si>
    <r>
      <rPr>
        <sz val="9"/>
        <color theme="7" tint="0.599993896298105"/>
        <rFont val="宋体"/>
        <charset val="134"/>
      </rPr>
      <t>房投</t>
    </r>
    <r>
      <rPr>
        <sz val="9"/>
        <color theme="7" tint="0.599993896298105"/>
        <rFont val="Arial Narrow"/>
        <charset val="134"/>
      </rPr>
      <t>24</t>
    </r>
  </si>
  <si>
    <t>房投24</t>
  </si>
  <si>
    <t>　　（3）企业合并减少</t>
  </si>
  <si>
    <r>
      <rPr>
        <sz val="9"/>
        <color theme="7" tint="0.599993896298105"/>
        <rFont val="宋体"/>
        <charset val="134"/>
      </rPr>
      <t>房投</t>
    </r>
    <r>
      <rPr>
        <sz val="9"/>
        <color theme="7" tint="0.599993896298105"/>
        <rFont val="Arial Narrow"/>
        <charset val="134"/>
      </rPr>
      <t>25</t>
    </r>
  </si>
  <si>
    <t>房投25</t>
  </si>
  <si>
    <r>
      <rPr>
        <sz val="9"/>
        <color theme="7" tint="0.599993896298105"/>
        <rFont val="宋体"/>
        <charset val="134"/>
      </rPr>
      <t>房投</t>
    </r>
    <r>
      <rPr>
        <sz val="9"/>
        <color theme="7" tint="0.599993896298105"/>
        <rFont val="Arial Narrow"/>
        <charset val="134"/>
      </rPr>
      <t>26</t>
    </r>
  </si>
  <si>
    <t>房投26</t>
  </si>
  <si>
    <t>三、减值准备</t>
  </si>
  <si>
    <r>
      <rPr>
        <sz val="9"/>
        <color theme="7" tint="0.599993896298105"/>
        <rFont val="宋体"/>
        <charset val="134"/>
      </rPr>
      <t>房投</t>
    </r>
    <r>
      <rPr>
        <sz val="9"/>
        <color theme="7" tint="0.599993896298105"/>
        <rFont val="Arial Narrow"/>
        <charset val="134"/>
      </rPr>
      <t>27</t>
    </r>
  </si>
  <si>
    <t>房投27</t>
  </si>
  <si>
    <r>
      <rPr>
        <sz val="9"/>
        <color theme="7" tint="0.599993896298105"/>
        <rFont val="宋体"/>
        <charset val="134"/>
      </rPr>
      <t>房投</t>
    </r>
    <r>
      <rPr>
        <sz val="9"/>
        <color theme="7" tint="0.599993896298105"/>
        <rFont val="Arial Narrow"/>
        <charset val="134"/>
      </rPr>
      <t>28</t>
    </r>
  </si>
  <si>
    <t>房投28</t>
  </si>
  <si>
    <r>
      <rPr>
        <sz val="9"/>
        <color theme="7" tint="0.599993896298105"/>
        <rFont val="宋体"/>
        <charset val="134"/>
      </rPr>
      <t>房投</t>
    </r>
    <r>
      <rPr>
        <sz val="9"/>
        <color theme="7" tint="0.599993896298105"/>
        <rFont val="Arial Narrow"/>
        <charset val="134"/>
      </rPr>
      <t>29</t>
    </r>
  </si>
  <si>
    <t>房投29</t>
  </si>
  <si>
    <r>
      <rPr>
        <sz val="9"/>
        <color theme="1"/>
        <rFont val="宋体"/>
        <charset val="134"/>
      </rPr>
      <t>　　（</t>
    </r>
    <r>
      <rPr>
        <sz val="9"/>
        <color theme="1"/>
        <rFont val="Times New Roman"/>
        <charset val="134"/>
      </rPr>
      <t>1</t>
    </r>
    <r>
      <rPr>
        <sz val="9"/>
        <color theme="1"/>
        <rFont val="宋体"/>
        <charset val="134"/>
      </rPr>
      <t>）计提</t>
    </r>
  </si>
  <si>
    <r>
      <rPr>
        <sz val="9"/>
        <color theme="7" tint="0.599993896298105"/>
        <rFont val="宋体"/>
        <charset val="134"/>
      </rPr>
      <t>房投</t>
    </r>
    <r>
      <rPr>
        <sz val="9"/>
        <color theme="7" tint="0.599993896298105"/>
        <rFont val="Arial Narrow"/>
        <charset val="134"/>
      </rPr>
      <t>30</t>
    </r>
  </si>
  <si>
    <t>房投30</t>
  </si>
  <si>
    <r>
      <rPr>
        <sz val="9"/>
        <color theme="7" tint="0.599993896298105"/>
        <rFont val="宋体"/>
        <charset val="134"/>
      </rPr>
      <t>房投</t>
    </r>
    <r>
      <rPr>
        <sz val="9"/>
        <color theme="7" tint="0.599993896298105"/>
        <rFont val="Arial Narrow"/>
        <charset val="134"/>
      </rPr>
      <t>31</t>
    </r>
  </si>
  <si>
    <t>房投31</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</si>
  <si>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</si>
  <si>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32</t>
    </r>
  </si>
  <si>
    <t>房投32</t>
  </si>
  <si>
    <r>
      <rPr>
        <sz val="9"/>
        <color theme="7" tint="0.599993896298105"/>
        <rFont val="宋体"/>
        <charset val="134"/>
      </rPr>
      <t>房投</t>
    </r>
    <r>
      <rPr>
        <sz val="9"/>
        <color theme="7" tint="0.599993896298105"/>
        <rFont val="Arial Narrow"/>
        <charset val="134"/>
      </rPr>
      <t>33</t>
    </r>
  </si>
  <si>
    <t>房投33</t>
  </si>
  <si>
    <r>
      <rPr>
        <sz val="9"/>
        <color theme="7" tint="0.599993896298105"/>
        <rFont val="宋体"/>
        <charset val="134"/>
      </rPr>
      <t>房投</t>
    </r>
    <r>
      <rPr>
        <sz val="9"/>
        <color theme="7" tint="0.599993896298105"/>
        <rFont val="Arial Narrow"/>
        <charset val="134"/>
      </rPr>
      <t>34</t>
    </r>
  </si>
  <si>
    <t>房投34</t>
  </si>
  <si>
    <r>
      <rPr>
        <sz val="9"/>
        <color theme="7" tint="0.599993896298105"/>
        <rFont val="宋体"/>
        <charset val="134"/>
      </rPr>
      <t>房投</t>
    </r>
    <r>
      <rPr>
        <sz val="9"/>
        <color theme="7" tint="0.599993896298105"/>
        <rFont val="Arial Narrow"/>
        <charset val="134"/>
      </rPr>
      <t>35</t>
    </r>
  </si>
  <si>
    <t>房投35</t>
  </si>
  <si>
    <r>
      <rPr>
        <sz val="9"/>
        <color theme="7" tint="0.599993896298105"/>
        <rFont val="宋体"/>
        <charset val="134"/>
      </rPr>
      <t>房投</t>
    </r>
    <r>
      <rPr>
        <sz val="9"/>
        <color theme="7" tint="0.599993896298105"/>
        <rFont val="Arial Narrow"/>
        <charset val="134"/>
      </rPr>
      <t>36</t>
    </r>
  </si>
  <si>
    <t>房投36</t>
  </si>
  <si>
    <t>四、账面价值</t>
  </si>
  <si>
    <r>
      <rPr>
        <sz val="9"/>
        <color theme="7" tint="0.599993896298105"/>
        <rFont val="宋体"/>
        <charset val="134"/>
      </rPr>
      <t>房投</t>
    </r>
    <r>
      <rPr>
        <sz val="9"/>
        <color theme="7" tint="0.599993896298105"/>
        <rFont val="Arial Narrow"/>
        <charset val="134"/>
      </rPr>
      <t>37</t>
    </r>
  </si>
  <si>
    <t>房投37</t>
  </si>
  <si>
    <r>
      <rPr>
        <sz val="9"/>
        <color theme="1"/>
        <rFont val="宋体"/>
        <charset val="134"/>
      </rPr>
      <t>　　</t>
    </r>
    <r>
      <rPr>
        <sz val="9"/>
        <color theme="1"/>
        <rFont val="Times New Roman"/>
        <charset val="134"/>
      </rPr>
      <t>1.</t>
    </r>
    <r>
      <rPr>
        <sz val="9"/>
        <color theme="1"/>
        <rFont val="宋体"/>
        <charset val="134"/>
      </rPr>
      <t>期末账面价值</t>
    </r>
  </si>
  <si>
    <r>
      <rPr>
        <sz val="9"/>
        <color theme="7" tint="0.599993896298105"/>
        <rFont val="宋体"/>
        <charset val="134"/>
      </rPr>
      <t>房投</t>
    </r>
    <r>
      <rPr>
        <sz val="9"/>
        <color theme="7" tint="0.599993896298105"/>
        <rFont val="Arial Narrow"/>
        <charset val="134"/>
      </rPr>
      <t>38</t>
    </r>
  </si>
  <si>
    <t>房投38</t>
  </si>
  <si>
    <r>
      <rPr>
        <sz val="9"/>
        <color theme="1"/>
        <rFont val="宋体"/>
        <charset val="134"/>
      </rPr>
      <t>　　</t>
    </r>
    <r>
      <rPr>
        <sz val="9"/>
        <color theme="1"/>
        <rFont val="Times New Roman"/>
        <charset val="134"/>
      </rPr>
      <t>2.</t>
    </r>
    <r>
      <rPr>
        <sz val="9"/>
        <color theme="1"/>
        <rFont val="宋体"/>
        <charset val="134"/>
      </rPr>
      <t>期初账面价值</t>
    </r>
  </si>
  <si>
    <r>
      <rPr>
        <sz val="9"/>
        <color theme="7" tint="0.599993896298105"/>
        <rFont val="宋体"/>
        <charset val="134"/>
      </rPr>
      <t>房投</t>
    </r>
    <r>
      <rPr>
        <sz val="9"/>
        <color theme="7" tint="0.599993896298105"/>
        <rFont val="Arial Narrow"/>
        <charset val="134"/>
      </rPr>
      <t>39</t>
    </r>
  </si>
  <si>
    <t>房投39</t>
  </si>
  <si>
    <t>期末报表项目</t>
  </si>
  <si>
    <r>
      <rPr>
        <sz val="9"/>
        <color theme="7" tint="0.599993896298105"/>
        <rFont val="宋体"/>
        <charset val="134"/>
      </rPr>
      <t>房投</t>
    </r>
    <r>
      <rPr>
        <sz val="9"/>
        <color theme="7" tint="0.599993896298105"/>
        <rFont val="Arial Narrow"/>
        <charset val="134"/>
      </rPr>
      <t>40</t>
    </r>
  </si>
  <si>
    <t>房投40</t>
  </si>
  <si>
    <t>与固定资产表数据差异</t>
  </si>
  <si>
    <t>与无形资产表之间数据差异</t>
  </si>
  <si>
    <r>
      <rPr>
        <sz val="9"/>
        <color theme="7" tint="0.599993896298105"/>
        <rFont val="宋体"/>
        <charset val="134"/>
      </rPr>
      <t>房投</t>
    </r>
    <r>
      <rPr>
        <sz val="9"/>
        <color theme="7" tint="0.599993896298105"/>
        <rFont val="Arial Narrow"/>
        <charset val="134"/>
      </rPr>
      <t>41</t>
    </r>
  </si>
  <si>
    <t>房投41</t>
  </si>
  <si>
    <t>期初报表项目</t>
  </si>
  <si>
    <r>
      <rPr>
        <sz val="9"/>
        <color theme="7" tint="0.599993896298105"/>
        <rFont val="宋体"/>
        <charset val="134"/>
      </rPr>
      <t>房投</t>
    </r>
    <r>
      <rPr>
        <sz val="9"/>
        <color theme="7" tint="0.599993896298105"/>
        <rFont val="Arial Narrow"/>
        <charset val="134"/>
      </rPr>
      <t>42</t>
    </r>
  </si>
  <si>
    <t>房投42</t>
  </si>
  <si>
    <r>
      <rPr>
        <sz val="9"/>
        <color theme="7" tint="0.599993896298105"/>
        <rFont val="宋体"/>
        <charset val="134"/>
      </rPr>
      <t>房投</t>
    </r>
    <r>
      <rPr>
        <sz val="9"/>
        <color theme="7" tint="0.599993896298105"/>
        <rFont val="Arial Narrow"/>
        <charset val="134"/>
      </rPr>
      <t>43</t>
    </r>
  </si>
  <si>
    <t>房投43</t>
  </si>
  <si>
    <t>文字说明：</t>
  </si>
  <si>
    <r>
      <rPr>
        <sz val="9"/>
        <color theme="7" tint="0.599993896298105"/>
        <rFont val="宋体"/>
        <charset val="134"/>
      </rPr>
      <t>固资</t>
    </r>
    <r>
      <rPr>
        <sz val="9"/>
        <color theme="7" tint="0.599993896298105"/>
        <rFont val="Arial Narrow"/>
        <charset val="134"/>
      </rPr>
      <t>1</t>
    </r>
  </si>
  <si>
    <t>固资1</t>
  </si>
  <si>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</si>
  <si>
    <r>
      <rPr>
        <sz val="9"/>
        <color theme="7" tint="0.599993896298105"/>
        <rFont val="宋体"/>
        <charset val="134"/>
      </rPr>
      <t>固资</t>
    </r>
    <r>
      <rPr>
        <sz val="9"/>
        <color theme="7" tint="0.599993896298105"/>
        <rFont val="Arial Narrow"/>
        <charset val="134"/>
      </rPr>
      <t>2</t>
    </r>
  </si>
  <si>
    <t>固资2</t>
  </si>
  <si>
    <t>节能服务资产</t>
  </si>
  <si>
    <t>运输设备</t>
  </si>
  <si>
    <t>电子设备及其他</t>
  </si>
  <si>
    <r>
      <rPr>
        <sz val="9"/>
        <color theme="7" tint="0.599993896298105"/>
        <rFont val="宋体"/>
        <charset val="134"/>
      </rPr>
      <t>固资</t>
    </r>
    <r>
      <rPr>
        <sz val="9"/>
        <color theme="7" tint="0.599993896298105"/>
        <rFont val="Arial Narrow"/>
        <charset val="134"/>
      </rPr>
      <t>3</t>
    </r>
  </si>
  <si>
    <t>固资3</t>
  </si>
  <si>
    <t>一、账面原值：</t>
  </si>
  <si>
    <r>
      <rPr>
        <sz val="9"/>
        <color theme="7" tint="0.599993896298105"/>
        <rFont val="宋体"/>
        <charset val="134"/>
      </rPr>
      <t>固资</t>
    </r>
    <r>
      <rPr>
        <sz val="9"/>
        <color theme="7" tint="0.599993896298105"/>
        <rFont val="Arial Narrow"/>
        <charset val="134"/>
      </rPr>
      <t>4</t>
    </r>
  </si>
  <si>
    <t>固资4</t>
  </si>
  <si>
    <t>　　1.期初余额</t>
  </si>
  <si>
    <r>
      <rPr>
        <sz val="9"/>
        <color theme="7" tint="0.599993896298105"/>
        <rFont val="宋体"/>
        <charset val="134"/>
      </rPr>
      <t>固资</t>
    </r>
    <r>
      <rPr>
        <sz val="9"/>
        <color theme="7" tint="0.599993896298105"/>
        <rFont val="Arial Narrow"/>
        <charset val="134"/>
      </rPr>
      <t>5</t>
    </r>
  </si>
  <si>
    <t>固资5</t>
  </si>
  <si>
    <t>　　2.本期增加金额</t>
  </si>
  <si>
    <r>
      <rPr>
        <sz val="9"/>
        <color theme="7" tint="0.599993896298105"/>
        <rFont val="宋体"/>
        <charset val="134"/>
      </rPr>
      <t>固资</t>
    </r>
    <r>
      <rPr>
        <sz val="9"/>
        <color theme="7" tint="0.599993896298105"/>
        <rFont val="Arial Narrow"/>
        <charset val="134"/>
      </rPr>
      <t>6</t>
    </r>
  </si>
  <si>
    <t>固资6</t>
  </si>
  <si>
    <t>　　　（1）购置</t>
  </si>
  <si>
    <r>
      <rPr>
        <sz val="9"/>
        <color theme="7" tint="0.599993896298105"/>
        <rFont val="宋体"/>
        <charset val="134"/>
      </rPr>
      <t>固资</t>
    </r>
    <r>
      <rPr>
        <sz val="9"/>
        <color theme="7" tint="0.599993896298105"/>
        <rFont val="Arial Narrow"/>
        <charset val="134"/>
      </rPr>
      <t>7</t>
    </r>
  </si>
  <si>
    <t>固资7</t>
  </si>
  <si>
    <t>　　　（2）在建工程转入</t>
  </si>
  <si>
    <r>
      <rPr>
        <sz val="9"/>
        <color theme="7" tint="0.599993896298105"/>
        <rFont val="宋体"/>
        <charset val="134"/>
      </rPr>
      <t>固资</t>
    </r>
    <r>
      <rPr>
        <sz val="9"/>
        <color theme="7" tint="0.599993896298105"/>
        <rFont val="Arial Narrow"/>
        <charset val="134"/>
      </rPr>
      <t>8</t>
    </r>
  </si>
  <si>
    <t>固资8</t>
  </si>
  <si>
    <t>　　　（3）企业合并增加</t>
  </si>
  <si>
    <r>
      <rPr>
        <sz val="9"/>
        <color theme="7" tint="0.599993896298105"/>
        <rFont val="宋体"/>
        <charset val="134"/>
      </rPr>
      <t>固资</t>
    </r>
    <r>
      <rPr>
        <sz val="9"/>
        <color theme="7" tint="0.599993896298105"/>
        <rFont val="Arial Narrow"/>
        <charset val="134"/>
      </rPr>
      <t>9</t>
    </r>
  </si>
  <si>
    <t>固资9</t>
  </si>
  <si>
    <t>　　　（4）投资性房地产转回</t>
  </si>
  <si>
    <r>
      <rPr>
        <sz val="9"/>
        <color theme="7" tint="0.599993896298105"/>
        <rFont val="宋体"/>
        <charset val="134"/>
      </rPr>
      <t>固资</t>
    </r>
    <r>
      <rPr>
        <sz val="9"/>
        <color theme="7" tint="0.599993896298105"/>
        <rFont val="Arial Narrow"/>
        <charset val="134"/>
      </rPr>
      <t>10</t>
    </r>
  </si>
  <si>
    <t>固资10</t>
  </si>
  <si>
    <t>　　　（5）业务并购</t>
  </si>
  <si>
    <r>
      <rPr>
        <sz val="9"/>
        <color theme="7" tint="0.599993896298105"/>
        <rFont val="宋体"/>
        <charset val="134"/>
      </rPr>
      <t>固资</t>
    </r>
    <r>
      <rPr>
        <sz val="9"/>
        <color theme="7" tint="0.599993896298105"/>
        <rFont val="Arial Narrow"/>
        <charset val="134"/>
      </rPr>
      <t>11</t>
    </r>
  </si>
  <si>
    <t>固资11</t>
  </si>
  <si>
    <t>　　　（6）其他</t>
  </si>
  <si>
    <r>
      <rPr>
        <sz val="9"/>
        <color theme="7" tint="0.599993896298105"/>
        <rFont val="宋体"/>
        <charset val="134"/>
      </rPr>
      <t>固资</t>
    </r>
    <r>
      <rPr>
        <sz val="9"/>
        <color theme="7" tint="0.599993896298105"/>
        <rFont val="Arial Narrow"/>
        <charset val="134"/>
      </rPr>
      <t>12</t>
    </r>
  </si>
  <si>
    <t>固资12</t>
  </si>
  <si>
    <t>　　3.本期减少金额</t>
  </si>
  <si>
    <r>
      <rPr>
        <sz val="9"/>
        <color theme="7" tint="0.599993896298105"/>
        <rFont val="宋体"/>
        <charset val="134"/>
      </rPr>
      <t>固资</t>
    </r>
    <r>
      <rPr>
        <sz val="9"/>
        <color theme="7" tint="0.599993896298105"/>
        <rFont val="Arial Narrow"/>
        <charset val="134"/>
      </rPr>
      <t>13</t>
    </r>
  </si>
  <si>
    <t>固资13</t>
  </si>
  <si>
    <t>　　　（1）处置或报废</t>
  </si>
  <si>
    <r>
      <rPr>
        <sz val="9"/>
        <color theme="7" tint="0.599993896298105"/>
        <rFont val="宋体"/>
        <charset val="134"/>
      </rPr>
      <t>固资</t>
    </r>
    <r>
      <rPr>
        <sz val="9"/>
        <color theme="7" tint="0.599993896298105"/>
        <rFont val="Arial Narrow"/>
        <charset val="134"/>
      </rPr>
      <t>14</t>
    </r>
  </si>
  <si>
    <t>固资14</t>
  </si>
  <si>
    <t>　　　（2）转入投资性房地产</t>
  </si>
  <si>
    <r>
      <rPr>
        <sz val="9"/>
        <color theme="7" tint="0.599993896298105"/>
        <rFont val="宋体"/>
        <charset val="134"/>
      </rPr>
      <t>固资</t>
    </r>
    <r>
      <rPr>
        <sz val="9"/>
        <color theme="7" tint="0.599993896298105"/>
        <rFont val="Arial Narrow"/>
        <charset val="134"/>
      </rPr>
      <t>15</t>
    </r>
  </si>
  <si>
    <t>固资15</t>
  </si>
  <si>
    <t xml:space="preserve">      （3）企业合并减少</t>
  </si>
  <si>
    <r>
      <rPr>
        <sz val="9"/>
        <color theme="7" tint="0.599993896298105"/>
        <rFont val="宋体"/>
        <charset val="134"/>
      </rPr>
      <t>固资</t>
    </r>
    <r>
      <rPr>
        <sz val="9"/>
        <color theme="7" tint="0.599993896298105"/>
        <rFont val="Arial Narrow"/>
        <charset val="134"/>
      </rPr>
      <t>16</t>
    </r>
  </si>
  <si>
    <t>固资16</t>
  </si>
  <si>
    <t xml:space="preserve">      （4）其他减少</t>
  </si>
  <si>
    <r>
      <rPr>
        <sz val="9"/>
        <color theme="7" tint="0.599993896298105"/>
        <rFont val="宋体"/>
        <charset val="134"/>
      </rPr>
      <t>固资</t>
    </r>
    <r>
      <rPr>
        <sz val="9"/>
        <color theme="7" tint="0.599993896298105"/>
        <rFont val="Arial Narrow"/>
        <charset val="134"/>
      </rPr>
      <t>17</t>
    </r>
  </si>
  <si>
    <t>固资17</t>
  </si>
  <si>
    <t>　　4.期末余额</t>
  </si>
  <si>
    <r>
      <rPr>
        <sz val="9"/>
        <color theme="7" tint="0.599993896298105"/>
        <rFont val="宋体"/>
        <charset val="134"/>
      </rPr>
      <t>固资</t>
    </r>
    <r>
      <rPr>
        <sz val="9"/>
        <color theme="7" tint="0.599993896298105"/>
        <rFont val="Arial Narrow"/>
        <charset val="134"/>
      </rPr>
      <t>18</t>
    </r>
  </si>
  <si>
    <t>固资18</t>
  </si>
  <si>
    <t>二、累计折旧</t>
  </si>
  <si>
    <r>
      <rPr>
        <sz val="9"/>
        <color theme="7" tint="0.599993896298105"/>
        <rFont val="宋体"/>
        <charset val="134"/>
      </rPr>
      <t>固资</t>
    </r>
    <r>
      <rPr>
        <sz val="9"/>
        <color theme="7" tint="0.599993896298105"/>
        <rFont val="Arial Narrow"/>
        <charset val="134"/>
      </rPr>
      <t>19</t>
    </r>
  </si>
  <si>
    <t>固资19</t>
  </si>
  <si>
    <r>
      <rPr>
        <sz val="9"/>
        <color theme="7" tint="0.599993896298105"/>
        <rFont val="宋体"/>
        <charset val="134"/>
      </rPr>
      <t>固资</t>
    </r>
    <r>
      <rPr>
        <sz val="9"/>
        <color theme="7" tint="0.599993896298105"/>
        <rFont val="Arial Narrow"/>
        <charset val="134"/>
      </rPr>
      <t>20</t>
    </r>
  </si>
  <si>
    <t>固资20</t>
  </si>
  <si>
    <r>
      <rPr>
        <sz val="9"/>
        <color theme="7" tint="0.599993896298105"/>
        <rFont val="宋体"/>
        <charset val="134"/>
      </rPr>
      <t>固资</t>
    </r>
    <r>
      <rPr>
        <sz val="9"/>
        <color theme="7" tint="0.599993896298105"/>
        <rFont val="Arial Narrow"/>
        <charset val="134"/>
      </rPr>
      <t>21</t>
    </r>
  </si>
  <si>
    <t>固资21</t>
  </si>
  <si>
    <t>　　　（1）计提</t>
  </si>
  <si>
    <r>
      <rPr>
        <sz val="9"/>
        <color theme="7" tint="0.599993896298105"/>
        <rFont val="宋体"/>
        <charset val="134"/>
      </rPr>
      <t>固资</t>
    </r>
    <r>
      <rPr>
        <sz val="9"/>
        <color theme="7" tint="0.599993896298105"/>
        <rFont val="Arial Narrow"/>
        <charset val="134"/>
      </rPr>
      <t>22</t>
    </r>
  </si>
  <si>
    <t>固资22</t>
  </si>
  <si>
    <t xml:space="preserve">      （2）企业合并增加</t>
  </si>
  <si>
    <r>
      <rPr>
        <sz val="9"/>
        <color theme="7" tint="0.599993896298105"/>
        <rFont val="宋体"/>
        <charset val="134"/>
      </rPr>
      <t>固资</t>
    </r>
    <r>
      <rPr>
        <sz val="9"/>
        <color theme="7" tint="0.599993896298105"/>
        <rFont val="Arial Narrow"/>
        <charset val="134"/>
      </rPr>
      <t>23</t>
    </r>
  </si>
  <si>
    <t>固资23</t>
  </si>
  <si>
    <t>　　　（3）投资性房地产转回</t>
  </si>
  <si>
    <r>
      <rPr>
        <sz val="9"/>
        <color theme="7" tint="0.599993896298105"/>
        <rFont val="宋体"/>
        <charset val="134"/>
      </rPr>
      <t>固资</t>
    </r>
    <r>
      <rPr>
        <sz val="9"/>
        <color theme="7" tint="0.599993896298105"/>
        <rFont val="Arial Narrow"/>
        <charset val="134"/>
      </rPr>
      <t>24</t>
    </r>
  </si>
  <si>
    <t>固资24</t>
  </si>
  <si>
    <t>　　　（4）其他转入</t>
  </si>
  <si>
    <r>
      <rPr>
        <sz val="9"/>
        <color theme="7" tint="0.599993896298105"/>
        <rFont val="宋体"/>
        <charset val="134"/>
      </rPr>
      <t>固资</t>
    </r>
    <r>
      <rPr>
        <sz val="9"/>
        <color theme="7" tint="0.599993896298105"/>
        <rFont val="Arial Narrow"/>
        <charset val="134"/>
      </rPr>
      <t>25</t>
    </r>
  </si>
  <si>
    <t>固资25</t>
  </si>
  <si>
    <r>
      <rPr>
        <sz val="9"/>
        <color theme="7" tint="0.599993896298105"/>
        <rFont val="宋体"/>
        <charset val="134"/>
      </rPr>
      <t>固资</t>
    </r>
    <r>
      <rPr>
        <sz val="9"/>
        <color theme="7" tint="0.599993896298105"/>
        <rFont val="Arial Narrow"/>
        <charset val="134"/>
      </rPr>
      <t>26</t>
    </r>
  </si>
  <si>
    <t>固资26</t>
  </si>
  <si>
    <r>
      <rPr>
        <sz val="9"/>
        <color theme="7" tint="0.599993896298105"/>
        <rFont val="宋体"/>
        <charset val="134"/>
      </rPr>
      <t>固资</t>
    </r>
    <r>
      <rPr>
        <sz val="9"/>
        <color theme="7" tint="0.599993896298105"/>
        <rFont val="Arial Narrow"/>
        <charset val="134"/>
      </rPr>
      <t>27</t>
    </r>
  </si>
  <si>
    <t>固资27</t>
  </si>
  <si>
    <r>
      <rPr>
        <sz val="9"/>
        <color theme="7" tint="0.599993896298105"/>
        <rFont val="宋体"/>
        <charset val="134"/>
      </rPr>
      <t>固资</t>
    </r>
    <r>
      <rPr>
        <sz val="9"/>
        <color theme="7" tint="0.599993896298105"/>
        <rFont val="Arial Narrow"/>
        <charset val="134"/>
      </rPr>
      <t>28</t>
    </r>
  </si>
  <si>
    <t>固资28</t>
  </si>
  <si>
    <r>
      <rPr>
        <sz val="9"/>
        <color theme="7" tint="0.599993896298105"/>
        <rFont val="宋体"/>
        <charset val="134"/>
      </rPr>
      <t>固资</t>
    </r>
    <r>
      <rPr>
        <sz val="9"/>
        <color theme="7" tint="0.599993896298105"/>
        <rFont val="Arial Narrow"/>
        <charset val="134"/>
      </rPr>
      <t>29</t>
    </r>
  </si>
  <si>
    <t>固资29</t>
  </si>
  <si>
    <t>　　　（4）其他转出</t>
  </si>
  <si>
    <r>
      <rPr>
        <sz val="9"/>
        <color theme="7" tint="0.599993896298105"/>
        <rFont val="宋体"/>
        <charset val="134"/>
      </rPr>
      <t>固资</t>
    </r>
    <r>
      <rPr>
        <sz val="9"/>
        <color theme="7" tint="0.599993896298105"/>
        <rFont val="Arial Narrow"/>
        <charset val="134"/>
      </rPr>
      <t>30</t>
    </r>
  </si>
  <si>
    <t>固资30</t>
  </si>
  <si>
    <r>
      <rPr>
        <sz val="9"/>
        <color theme="7" tint="0.599993896298105"/>
        <rFont val="宋体"/>
        <charset val="134"/>
      </rPr>
      <t>固资</t>
    </r>
    <r>
      <rPr>
        <sz val="9"/>
        <color theme="7" tint="0.599993896298105"/>
        <rFont val="Arial Narrow"/>
        <charset val="134"/>
      </rPr>
      <t>31</t>
    </r>
  </si>
  <si>
    <t>固资31</t>
  </si>
  <si>
    <r>
      <rPr>
        <sz val="9"/>
        <color theme="7" tint="0.599993896298105"/>
        <rFont val="宋体"/>
        <charset val="134"/>
      </rPr>
      <t>固资</t>
    </r>
    <r>
      <rPr>
        <sz val="9"/>
        <color theme="7" tint="0.599993896298105"/>
        <rFont val="Arial Narrow"/>
        <charset val="134"/>
      </rPr>
      <t>32</t>
    </r>
  </si>
  <si>
    <t>固资32</t>
  </si>
  <si>
    <r>
      <rPr>
        <sz val="9"/>
        <color theme="7" tint="0.599993896298105"/>
        <rFont val="宋体"/>
        <charset val="134"/>
      </rPr>
      <t>固资</t>
    </r>
    <r>
      <rPr>
        <sz val="9"/>
        <color theme="7" tint="0.599993896298105"/>
        <rFont val="Arial Narrow"/>
        <charset val="134"/>
      </rPr>
      <t>33</t>
    </r>
  </si>
  <si>
    <t>固资33</t>
  </si>
  <si>
    <r>
      <rPr>
        <sz val="9"/>
        <color theme="7" tint="0.599993896298105"/>
        <rFont val="宋体"/>
        <charset val="134"/>
      </rPr>
      <t>固资</t>
    </r>
    <r>
      <rPr>
        <sz val="9"/>
        <color theme="7" tint="0.599993896298105"/>
        <rFont val="Arial Narrow"/>
        <charset val="134"/>
      </rPr>
      <t>34</t>
    </r>
  </si>
  <si>
    <t>固资34</t>
  </si>
  <si>
    <r>
      <rPr>
        <sz val="9"/>
        <color theme="7" tint="0.599993896298105"/>
        <rFont val="宋体"/>
        <charset val="134"/>
      </rPr>
      <t>固资</t>
    </r>
    <r>
      <rPr>
        <sz val="9"/>
        <color theme="7" tint="0.599993896298105"/>
        <rFont val="Arial Narrow"/>
        <charset val="134"/>
      </rPr>
      <t>35</t>
    </r>
  </si>
  <si>
    <t>固资35</t>
  </si>
  <si>
    <r>
      <rPr>
        <sz val="9"/>
        <color theme="7" tint="0.599993896298105"/>
        <rFont val="宋体"/>
        <charset val="134"/>
      </rPr>
      <t>固资</t>
    </r>
    <r>
      <rPr>
        <sz val="9"/>
        <color theme="7" tint="0.599993896298105"/>
        <rFont val="Arial Narrow"/>
        <charset val="134"/>
      </rPr>
      <t>36</t>
    </r>
  </si>
  <si>
    <t>固资36</t>
  </si>
  <si>
    <r>
      <rPr>
        <sz val="9"/>
        <color theme="7" tint="0.599993896298105"/>
        <rFont val="宋体"/>
        <charset val="134"/>
      </rPr>
      <t>固资</t>
    </r>
    <r>
      <rPr>
        <sz val="9"/>
        <color theme="7" tint="0.599993896298105"/>
        <rFont val="Arial Narrow"/>
        <charset val="134"/>
      </rPr>
      <t>37</t>
    </r>
  </si>
  <si>
    <t>固资37</t>
  </si>
  <si>
    <r>
      <rPr>
        <sz val="9"/>
        <color theme="7" tint="0.599993896298105"/>
        <rFont val="宋体"/>
        <charset val="134"/>
      </rPr>
      <t>固资</t>
    </r>
    <r>
      <rPr>
        <sz val="9"/>
        <color theme="7" tint="0.599993896298105"/>
        <rFont val="Arial Narrow"/>
        <charset val="134"/>
      </rPr>
      <t>38</t>
    </r>
  </si>
  <si>
    <t>固资38</t>
  </si>
  <si>
    <r>
      <rPr>
        <sz val="9"/>
        <color theme="7" tint="0.599993896298105"/>
        <rFont val="宋体"/>
        <charset val="134"/>
      </rPr>
      <t>固资</t>
    </r>
    <r>
      <rPr>
        <sz val="9"/>
        <color theme="7" tint="0.599993896298105"/>
        <rFont val="Arial Narrow"/>
        <charset val="134"/>
      </rPr>
      <t>39</t>
    </r>
  </si>
  <si>
    <t>固资39</t>
  </si>
  <si>
    <r>
      <rPr>
        <sz val="9"/>
        <color theme="7" tint="0.599993896298105"/>
        <rFont val="宋体"/>
        <charset val="134"/>
      </rPr>
      <t>固资</t>
    </r>
    <r>
      <rPr>
        <sz val="9"/>
        <color theme="7" tint="0.599993896298105"/>
        <rFont val="Arial Narrow"/>
        <charset val="134"/>
      </rPr>
      <t>40</t>
    </r>
  </si>
  <si>
    <t>固资40</t>
  </si>
  <si>
    <r>
      <rPr>
        <sz val="9"/>
        <color theme="7" tint="0.599993896298105"/>
        <rFont val="宋体"/>
        <charset val="134"/>
      </rPr>
      <t>固资</t>
    </r>
    <r>
      <rPr>
        <sz val="9"/>
        <color theme="7" tint="0.599993896298105"/>
        <rFont val="Arial Narrow"/>
        <charset val="134"/>
      </rPr>
      <t>41</t>
    </r>
  </si>
  <si>
    <t>固资41</t>
  </si>
  <si>
    <t>　　1.期末账面价值</t>
  </si>
  <si>
    <r>
      <rPr>
        <sz val="9"/>
        <color theme="7" tint="0.599993896298105"/>
        <rFont val="宋体"/>
        <charset val="134"/>
      </rPr>
      <t>固资</t>
    </r>
    <r>
      <rPr>
        <sz val="9"/>
        <color theme="7" tint="0.599993896298105"/>
        <rFont val="Arial Narrow"/>
        <charset val="134"/>
      </rPr>
      <t>42</t>
    </r>
  </si>
  <si>
    <t>固资42</t>
  </si>
  <si>
    <t>　　2.期初账面价值</t>
  </si>
  <si>
    <r>
      <rPr>
        <sz val="9"/>
        <color theme="7" tint="0.599993896298105"/>
        <rFont val="宋体"/>
        <charset val="134"/>
      </rPr>
      <t>固资</t>
    </r>
    <r>
      <rPr>
        <sz val="9"/>
        <color theme="7" tint="0.599993896298105"/>
        <rFont val="Arial Narrow"/>
        <charset val="134"/>
      </rPr>
      <t>43</t>
    </r>
  </si>
  <si>
    <t>固资43</t>
  </si>
  <si>
    <r>
      <rPr>
        <sz val="9"/>
        <color theme="7" tint="0.599993896298105"/>
        <rFont val="宋体"/>
        <charset val="134"/>
      </rPr>
      <t>固资</t>
    </r>
    <r>
      <rPr>
        <sz val="9"/>
        <color theme="7" tint="0.599993896298105"/>
        <rFont val="Arial Narrow"/>
        <charset val="134"/>
      </rPr>
      <t>44</t>
    </r>
  </si>
  <si>
    <t>固资44</t>
  </si>
  <si>
    <r>
      <rPr>
        <sz val="9"/>
        <color theme="7" tint="0.599993896298105"/>
        <rFont val="宋体"/>
        <charset val="134"/>
      </rPr>
      <t>固资</t>
    </r>
    <r>
      <rPr>
        <sz val="9"/>
        <color theme="7" tint="0.599993896298105"/>
        <rFont val="Arial Narrow"/>
        <charset val="134"/>
      </rPr>
      <t>45</t>
    </r>
  </si>
  <si>
    <t>固资45</t>
  </si>
  <si>
    <r>
      <rPr>
        <sz val="9"/>
        <color theme="7" tint="0.599993896298105"/>
        <rFont val="宋体"/>
        <charset val="134"/>
      </rPr>
      <t>固资</t>
    </r>
    <r>
      <rPr>
        <sz val="9"/>
        <color theme="7" tint="0.599993896298105"/>
        <rFont val="Arial Narrow"/>
        <charset val="134"/>
      </rPr>
      <t>46</t>
    </r>
  </si>
  <si>
    <t>固资46</t>
  </si>
  <si>
    <t>在建工程本期结转入固定资产</t>
  </si>
  <si>
    <r>
      <rPr>
        <sz val="9"/>
        <color theme="7" tint="0.599993896298105"/>
        <rFont val="宋体"/>
        <charset val="134"/>
      </rPr>
      <t>固资</t>
    </r>
    <r>
      <rPr>
        <sz val="9"/>
        <color theme="7" tint="0.599993896298105"/>
        <rFont val="Arial Narrow"/>
        <charset val="134"/>
      </rPr>
      <t>47</t>
    </r>
  </si>
  <si>
    <t>固资47</t>
  </si>
  <si>
    <r>
      <rPr>
        <sz val="9"/>
        <color theme="7" tint="0.599993896298105"/>
        <rFont val="宋体"/>
        <charset val="134"/>
      </rPr>
      <t>固资</t>
    </r>
    <r>
      <rPr>
        <sz val="9"/>
        <color theme="7" tint="0.599993896298105"/>
        <rFont val="Arial Narrow"/>
        <charset val="134"/>
      </rPr>
      <t>48</t>
    </r>
  </si>
  <si>
    <t>固资48</t>
  </si>
  <si>
    <t>房屋及建筑物</t>
  </si>
  <si>
    <r>
      <rPr>
        <sz val="9"/>
        <color theme="7" tint="0.599993896298105"/>
        <rFont val="宋体"/>
        <charset val="134"/>
      </rPr>
      <t>固资</t>
    </r>
    <r>
      <rPr>
        <sz val="9"/>
        <color theme="7" tint="0.599993896298105"/>
        <rFont val="Arial Narrow"/>
        <charset val="134"/>
      </rPr>
      <t>49</t>
    </r>
  </si>
  <si>
    <t>固资49</t>
  </si>
  <si>
    <t>处置或报废部分处置日净额</t>
  </si>
  <si>
    <r>
      <rPr>
        <sz val="9"/>
        <color theme="7" tint="0.599993896298105"/>
        <rFont val="宋体"/>
        <charset val="134"/>
      </rPr>
      <t>固资</t>
    </r>
    <r>
      <rPr>
        <sz val="9"/>
        <color theme="7" tint="0.599993896298105"/>
        <rFont val="Arial Narrow"/>
        <charset val="134"/>
      </rPr>
      <t>50</t>
    </r>
  </si>
  <si>
    <t>固资50</t>
  </si>
  <si>
    <t>其中属关联交易</t>
  </si>
  <si>
    <r>
      <rPr>
        <sz val="9"/>
        <color theme="7" tint="0.599993896298105"/>
        <rFont val="宋体"/>
        <charset val="134"/>
      </rPr>
      <t>固资</t>
    </r>
    <r>
      <rPr>
        <sz val="9"/>
        <color theme="7" tint="0.599993896298105"/>
        <rFont val="Arial Narrow"/>
        <charset val="134"/>
      </rPr>
      <t>51</t>
    </r>
  </si>
  <si>
    <t>固资51</t>
  </si>
  <si>
    <t>其中属非关联交易</t>
  </si>
  <si>
    <r>
      <rPr>
        <sz val="9"/>
        <color theme="7" tint="0.599993896298105"/>
        <rFont val="宋体"/>
        <charset val="134"/>
      </rPr>
      <t>固资</t>
    </r>
    <r>
      <rPr>
        <sz val="9"/>
        <color theme="7" tint="0.599993896298105"/>
        <rFont val="Arial Narrow"/>
        <charset val="134"/>
      </rPr>
      <t>52</t>
    </r>
  </si>
  <si>
    <t>固资52</t>
  </si>
  <si>
    <r>
      <rPr>
        <sz val="9"/>
        <color theme="7" tint="0.599993896298105"/>
        <rFont val="宋体"/>
        <charset val="134"/>
      </rPr>
      <t>固资</t>
    </r>
    <r>
      <rPr>
        <sz val="9"/>
        <color theme="7" tint="0.599993896298105"/>
        <rFont val="Arial Narrow"/>
        <charset val="134"/>
      </rPr>
      <t>53</t>
    </r>
  </si>
  <si>
    <t>固资53</t>
  </si>
  <si>
    <r>
      <rPr>
        <sz val="9"/>
        <color theme="7" tint="0.599993896298105"/>
        <rFont val="宋体"/>
        <charset val="134"/>
      </rPr>
      <t>无资</t>
    </r>
    <r>
      <rPr>
        <sz val="9"/>
        <color theme="7" tint="0.599993896298105"/>
        <rFont val="Arial Narrow"/>
        <charset val="134"/>
      </rPr>
      <t>1</t>
    </r>
  </si>
  <si>
    <t>无资1</t>
  </si>
  <si>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r>
      <rPr>
        <b/>
        <sz val="9"/>
        <color rgb="FF0070C0"/>
        <rFont val="宋体"/>
        <charset val="134"/>
      </rPr>
      <t>（请填此表）</t>
    </r>
  </si>
  <si>
    <r>
      <rPr>
        <sz val="9"/>
        <color theme="7" tint="0.599993896298105"/>
        <rFont val="宋体"/>
        <charset val="134"/>
      </rPr>
      <t>无资</t>
    </r>
    <r>
      <rPr>
        <sz val="9"/>
        <color theme="7" tint="0.599993896298105"/>
        <rFont val="Arial Narrow"/>
        <charset val="134"/>
      </rPr>
      <t>2</t>
    </r>
  </si>
  <si>
    <t>无资2</t>
  </si>
  <si>
    <t>专利权</t>
  </si>
  <si>
    <t>软件</t>
  </si>
  <si>
    <r>
      <rPr>
        <sz val="9"/>
        <color theme="7" tint="0.599993896298105"/>
        <rFont val="宋体"/>
        <charset val="134"/>
      </rPr>
      <t>无资</t>
    </r>
    <r>
      <rPr>
        <sz val="9"/>
        <color theme="7" tint="0.599993896298105"/>
        <rFont val="Arial Narrow"/>
        <charset val="134"/>
      </rPr>
      <t>3</t>
    </r>
  </si>
  <si>
    <t>无资3</t>
  </si>
  <si>
    <r>
      <rPr>
        <sz val="9"/>
        <color theme="7" tint="0.599993896298105"/>
        <rFont val="宋体"/>
        <charset val="134"/>
      </rPr>
      <t>无资</t>
    </r>
    <r>
      <rPr>
        <sz val="9"/>
        <color theme="7" tint="0.599993896298105"/>
        <rFont val="Arial Narrow"/>
        <charset val="134"/>
      </rPr>
      <t>4</t>
    </r>
  </si>
  <si>
    <t>无资4</t>
  </si>
  <si>
    <r>
      <rPr>
        <sz val="9"/>
        <color theme="7" tint="0.599993896298105"/>
        <rFont val="宋体"/>
        <charset val="134"/>
      </rPr>
      <t>无资</t>
    </r>
    <r>
      <rPr>
        <sz val="9"/>
        <color theme="7" tint="0.599993896298105"/>
        <rFont val="Arial Narrow"/>
        <charset val="134"/>
      </rPr>
      <t>5</t>
    </r>
  </si>
  <si>
    <t>无资5</t>
  </si>
  <si>
    <r>
      <rPr>
        <sz val="9"/>
        <color theme="7" tint="0.599993896298105"/>
        <rFont val="宋体"/>
        <charset val="134"/>
      </rPr>
      <t>无资</t>
    </r>
    <r>
      <rPr>
        <sz val="9"/>
        <color theme="7" tint="0.599993896298105"/>
        <rFont val="Arial Narrow"/>
        <charset val="134"/>
      </rPr>
      <t>6</t>
    </r>
  </si>
  <si>
    <t>无资6</t>
  </si>
  <si>
    <r>
      <rPr>
        <sz val="9"/>
        <color rgb="FF0070C0"/>
        <rFont val="宋体"/>
        <charset val="134"/>
      </rPr>
      <t>　　　（</t>
    </r>
    <r>
      <rPr>
        <sz val="9"/>
        <color rgb="FF0070C0"/>
        <rFont val="Times New Roman"/>
        <charset val="134"/>
      </rPr>
      <t>1</t>
    </r>
    <r>
      <rPr>
        <sz val="9"/>
        <color rgb="FF0070C0"/>
        <rFont val="宋体"/>
        <charset val="134"/>
      </rPr>
      <t>）购置</t>
    </r>
  </si>
  <si>
    <r>
      <rPr>
        <sz val="9"/>
        <color theme="7" tint="0.599993896298105"/>
        <rFont val="宋体"/>
        <charset val="134"/>
      </rPr>
      <t>无资</t>
    </r>
    <r>
      <rPr>
        <sz val="9"/>
        <color theme="7" tint="0.599993896298105"/>
        <rFont val="Arial Narrow"/>
        <charset val="134"/>
      </rPr>
      <t>7</t>
    </r>
  </si>
  <si>
    <t>无资7</t>
  </si>
  <si>
    <r>
      <rPr>
        <sz val="9"/>
        <color rgb="FF0070C0"/>
        <rFont val="宋体"/>
        <charset val="134"/>
      </rPr>
      <t>　　　（</t>
    </r>
    <r>
      <rPr>
        <sz val="9"/>
        <color rgb="FF0070C0"/>
        <rFont val="Times New Roman"/>
        <charset val="134"/>
      </rPr>
      <t>2</t>
    </r>
    <r>
      <rPr>
        <sz val="9"/>
        <color rgb="FF0070C0"/>
        <rFont val="宋体"/>
        <charset val="134"/>
      </rPr>
      <t>）内部研发</t>
    </r>
  </si>
  <si>
    <r>
      <rPr>
        <sz val="9"/>
        <color theme="7" tint="0.599993896298105"/>
        <rFont val="宋体"/>
        <charset val="134"/>
      </rPr>
      <t>无资</t>
    </r>
    <r>
      <rPr>
        <sz val="9"/>
        <color theme="7" tint="0.599993896298105"/>
        <rFont val="Arial Narrow"/>
        <charset val="134"/>
      </rPr>
      <t>8</t>
    </r>
  </si>
  <si>
    <t>无资8</t>
  </si>
  <si>
    <r>
      <rPr>
        <sz val="9"/>
        <color rgb="FF0070C0"/>
        <rFont val="宋体"/>
        <charset val="134"/>
      </rPr>
      <t>　　　（</t>
    </r>
    <r>
      <rPr>
        <sz val="9"/>
        <color rgb="FF0070C0"/>
        <rFont val="Times New Roman"/>
        <charset val="134"/>
      </rPr>
      <t>3</t>
    </r>
    <r>
      <rPr>
        <sz val="9"/>
        <color rgb="FF0070C0"/>
        <rFont val="宋体"/>
        <charset val="134"/>
      </rPr>
      <t>）企业合并增加</t>
    </r>
  </si>
  <si>
    <r>
      <rPr>
        <sz val="9"/>
        <color theme="7" tint="0.599993896298105"/>
        <rFont val="宋体"/>
        <charset val="134"/>
      </rPr>
      <t>无资</t>
    </r>
    <r>
      <rPr>
        <sz val="9"/>
        <color theme="7" tint="0.599993896298105"/>
        <rFont val="Arial Narrow"/>
        <charset val="134"/>
      </rPr>
      <t>9</t>
    </r>
  </si>
  <si>
    <t>无资9</t>
  </si>
  <si>
    <r>
      <rPr>
        <sz val="9"/>
        <color theme="7" tint="0.599993896298105"/>
        <rFont val="宋体"/>
        <charset val="134"/>
      </rPr>
      <t>无资</t>
    </r>
    <r>
      <rPr>
        <sz val="9"/>
        <color theme="7" tint="0.599993896298105"/>
        <rFont val="Arial Narrow"/>
        <charset val="134"/>
      </rPr>
      <t>10</t>
    </r>
  </si>
  <si>
    <t>无资10</t>
  </si>
  <si>
    <t>　　　（5）其他</t>
  </si>
  <si>
    <r>
      <rPr>
        <sz val="9"/>
        <color theme="7" tint="0.599993896298105"/>
        <rFont val="宋体"/>
        <charset val="134"/>
      </rPr>
      <t>无资</t>
    </r>
    <r>
      <rPr>
        <sz val="9"/>
        <color theme="7" tint="0.599993896298105"/>
        <rFont val="Arial Narrow"/>
        <charset val="134"/>
      </rPr>
      <t>11</t>
    </r>
  </si>
  <si>
    <t>无资11</t>
  </si>
  <si>
    <r>
      <rPr>
        <sz val="9"/>
        <color theme="7" tint="0.599993896298105"/>
        <rFont val="宋体"/>
        <charset val="134"/>
      </rPr>
      <t>无资</t>
    </r>
    <r>
      <rPr>
        <sz val="9"/>
        <color theme="7" tint="0.599993896298105"/>
        <rFont val="Arial Narrow"/>
        <charset val="134"/>
      </rPr>
      <t>12</t>
    </r>
  </si>
  <si>
    <t>无资12</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</si>
  <si>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</si>
  <si>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13</t>
    </r>
  </si>
  <si>
    <t>无资13</t>
  </si>
  <si>
    <r>
      <rPr>
        <sz val="9"/>
        <color theme="7" tint="0.599993896298105"/>
        <rFont val="宋体"/>
        <charset val="134"/>
      </rPr>
      <t>无资</t>
    </r>
    <r>
      <rPr>
        <sz val="9"/>
        <color theme="7" tint="0.599993896298105"/>
        <rFont val="Arial Narrow"/>
        <charset val="134"/>
      </rPr>
      <t>14</t>
    </r>
  </si>
  <si>
    <t>无资14</t>
  </si>
  <si>
    <r>
      <rPr>
        <sz val="9"/>
        <color theme="7" tint="0.599993896298105"/>
        <rFont val="宋体"/>
        <charset val="134"/>
      </rPr>
      <t>无资</t>
    </r>
    <r>
      <rPr>
        <sz val="9"/>
        <color theme="7" tint="0.599993896298105"/>
        <rFont val="Arial Narrow"/>
        <charset val="134"/>
      </rPr>
      <t>15</t>
    </r>
  </si>
  <si>
    <t>无资15</t>
  </si>
  <si>
    <r>
      <rPr>
        <sz val="9"/>
        <color theme="7" tint="0.599993896298105"/>
        <rFont val="宋体"/>
        <charset val="134"/>
      </rPr>
      <t>无资</t>
    </r>
    <r>
      <rPr>
        <sz val="9"/>
        <color theme="7" tint="0.599993896298105"/>
        <rFont val="Arial Narrow"/>
        <charset val="134"/>
      </rPr>
      <t>16</t>
    </r>
  </si>
  <si>
    <t>无资16</t>
  </si>
  <si>
    <r>
      <rPr>
        <sz val="9"/>
        <color theme="7" tint="0.599993896298105"/>
        <rFont val="宋体"/>
        <charset val="134"/>
      </rPr>
      <t>无资</t>
    </r>
    <r>
      <rPr>
        <sz val="9"/>
        <color theme="7" tint="0.599993896298105"/>
        <rFont val="Arial Narrow"/>
        <charset val="134"/>
      </rPr>
      <t>17</t>
    </r>
  </si>
  <si>
    <t>无资17</t>
  </si>
  <si>
    <t>二、累计摊销</t>
  </si>
  <si>
    <r>
      <rPr>
        <sz val="9"/>
        <color theme="7" tint="0.599993896298105"/>
        <rFont val="宋体"/>
        <charset val="134"/>
      </rPr>
      <t>无资</t>
    </r>
    <r>
      <rPr>
        <sz val="9"/>
        <color theme="7" tint="0.599993896298105"/>
        <rFont val="Arial Narrow"/>
        <charset val="134"/>
      </rPr>
      <t>18</t>
    </r>
  </si>
  <si>
    <t>无资18</t>
  </si>
  <si>
    <r>
      <rPr>
        <sz val="9"/>
        <color theme="7" tint="0.599993896298105"/>
        <rFont val="宋体"/>
        <charset val="134"/>
      </rPr>
      <t>无资</t>
    </r>
    <r>
      <rPr>
        <sz val="9"/>
        <color theme="7" tint="0.599993896298105"/>
        <rFont val="Arial Narrow"/>
        <charset val="134"/>
      </rPr>
      <t>19</t>
    </r>
  </si>
  <si>
    <t>无资19</t>
  </si>
  <si>
    <r>
      <rPr>
        <sz val="9"/>
        <color theme="7" tint="0.599993896298105"/>
        <rFont val="宋体"/>
        <charset val="134"/>
      </rPr>
      <t>无资</t>
    </r>
    <r>
      <rPr>
        <sz val="9"/>
        <color theme="7" tint="0.599993896298105"/>
        <rFont val="Arial Narrow"/>
        <charset val="134"/>
      </rPr>
      <t>20</t>
    </r>
  </si>
  <si>
    <t>无资20</t>
  </si>
  <si>
    <r>
      <rPr>
        <sz val="9"/>
        <color rgb="FF0070C0"/>
        <rFont val="宋体"/>
        <charset val="134"/>
      </rPr>
      <t>　　　（</t>
    </r>
    <r>
      <rPr>
        <sz val="9"/>
        <color rgb="FF0070C0"/>
        <rFont val="Times New Roman"/>
        <charset val="134"/>
      </rPr>
      <t>1</t>
    </r>
    <r>
      <rPr>
        <sz val="9"/>
        <color rgb="FF0070C0"/>
        <rFont val="宋体"/>
        <charset val="134"/>
      </rPr>
      <t>）计提</t>
    </r>
  </si>
  <si>
    <r>
      <rPr>
        <sz val="9"/>
        <color theme="7" tint="0.599993896298105"/>
        <rFont val="宋体"/>
        <charset val="134"/>
      </rPr>
      <t>无资</t>
    </r>
    <r>
      <rPr>
        <sz val="9"/>
        <color theme="7" tint="0.599993896298105"/>
        <rFont val="Arial Narrow"/>
        <charset val="134"/>
      </rPr>
      <t>21</t>
    </r>
  </si>
  <si>
    <t>无资21</t>
  </si>
  <si>
    <r>
      <rPr>
        <sz val="9"/>
        <color theme="7" tint="0.599993896298105"/>
        <rFont val="宋体"/>
        <charset val="134"/>
      </rPr>
      <t>无资</t>
    </r>
    <r>
      <rPr>
        <sz val="9"/>
        <color theme="7" tint="0.599993896298105"/>
        <rFont val="Arial Narrow"/>
        <charset val="134"/>
      </rPr>
      <t>22</t>
    </r>
  </si>
  <si>
    <t>无资22</t>
  </si>
  <si>
    <r>
      <rPr>
        <sz val="9"/>
        <color theme="7" tint="0.599993896298105"/>
        <rFont val="宋体"/>
        <charset val="134"/>
      </rPr>
      <t>无资</t>
    </r>
    <r>
      <rPr>
        <sz val="9"/>
        <color theme="7" tint="0.599993896298105"/>
        <rFont val="Arial Narrow"/>
        <charset val="134"/>
      </rPr>
      <t>23</t>
    </r>
  </si>
  <si>
    <t>无资23</t>
  </si>
  <si>
    <r>
      <rPr>
        <sz val="9"/>
        <color theme="7" tint="0.599993896298105"/>
        <rFont val="宋体"/>
        <charset val="134"/>
      </rPr>
      <t>无资</t>
    </r>
    <r>
      <rPr>
        <sz val="9"/>
        <color theme="7" tint="0.599993896298105"/>
        <rFont val="Arial Narrow"/>
        <charset val="134"/>
      </rPr>
      <t>24</t>
    </r>
  </si>
  <si>
    <t>无资24</t>
  </si>
  <si>
    <r>
      <rPr>
        <sz val="9"/>
        <color theme="7" tint="0.599993896298105"/>
        <rFont val="宋体"/>
        <charset val="134"/>
      </rPr>
      <t>无资</t>
    </r>
    <r>
      <rPr>
        <sz val="9"/>
        <color theme="7" tint="0.599993896298105"/>
        <rFont val="Arial Narrow"/>
        <charset val="134"/>
      </rPr>
      <t>25</t>
    </r>
  </si>
  <si>
    <t>无资25</t>
  </si>
  <si>
    <r>
      <rPr>
        <sz val="9"/>
        <color theme="7" tint="0.599993896298105"/>
        <rFont val="宋体"/>
        <charset val="134"/>
      </rPr>
      <t>无资</t>
    </r>
    <r>
      <rPr>
        <sz val="9"/>
        <color theme="7" tint="0.599993896298105"/>
        <rFont val="Arial Narrow"/>
        <charset val="134"/>
      </rPr>
      <t>26</t>
    </r>
  </si>
  <si>
    <t>无资26</t>
  </si>
  <si>
    <r>
      <rPr>
        <sz val="9"/>
        <color theme="7" tint="0.599993896298105"/>
        <rFont val="宋体"/>
        <charset val="134"/>
      </rPr>
      <t>无资</t>
    </r>
    <r>
      <rPr>
        <sz val="9"/>
        <color theme="7" tint="0.599993896298105"/>
        <rFont val="Arial Narrow"/>
        <charset val="134"/>
      </rPr>
      <t>27</t>
    </r>
  </si>
  <si>
    <t>无资27</t>
  </si>
  <si>
    <r>
      <rPr>
        <sz val="9"/>
        <color theme="7" tint="0.599993896298105"/>
        <rFont val="宋体"/>
        <charset val="134"/>
      </rPr>
      <t>无资</t>
    </r>
    <r>
      <rPr>
        <sz val="9"/>
        <color theme="7" tint="0.599993896298105"/>
        <rFont val="Arial Narrow"/>
        <charset val="134"/>
      </rPr>
      <t>28</t>
    </r>
  </si>
  <si>
    <t>无资28</t>
  </si>
  <si>
    <r>
      <rPr>
        <sz val="9"/>
        <color theme="7" tint="0.599993896298105"/>
        <rFont val="宋体"/>
        <charset val="134"/>
      </rPr>
      <t>无资</t>
    </r>
    <r>
      <rPr>
        <sz val="9"/>
        <color theme="7" tint="0.599993896298105"/>
        <rFont val="Arial Narrow"/>
        <charset val="134"/>
      </rPr>
      <t>29</t>
    </r>
  </si>
  <si>
    <t>无资29</t>
  </si>
  <si>
    <r>
      <rPr>
        <sz val="9"/>
        <color theme="7" tint="0.599993896298105"/>
        <rFont val="宋体"/>
        <charset val="134"/>
      </rPr>
      <t>无资</t>
    </r>
    <r>
      <rPr>
        <sz val="9"/>
        <color theme="7" tint="0.599993896298105"/>
        <rFont val="Arial Narrow"/>
        <charset val="134"/>
      </rPr>
      <t>30</t>
    </r>
  </si>
  <si>
    <t>无资30</t>
  </si>
  <si>
    <r>
      <rPr>
        <sz val="9"/>
        <color theme="7" tint="0.599993896298105"/>
        <rFont val="宋体"/>
        <charset val="134"/>
      </rPr>
      <t>无资</t>
    </r>
    <r>
      <rPr>
        <sz val="9"/>
        <color theme="7" tint="0.599993896298105"/>
        <rFont val="Arial Narrow"/>
        <charset val="134"/>
      </rPr>
      <t>31</t>
    </r>
  </si>
  <si>
    <t>无资31</t>
  </si>
  <si>
    <r>
      <rPr>
        <sz val="9"/>
        <color theme="7" tint="0.599993896298105"/>
        <rFont val="宋体"/>
        <charset val="134"/>
      </rPr>
      <t>无资</t>
    </r>
    <r>
      <rPr>
        <sz val="9"/>
        <color theme="7" tint="0.599993896298105"/>
        <rFont val="Arial Narrow"/>
        <charset val="134"/>
      </rPr>
      <t>32</t>
    </r>
  </si>
  <si>
    <t>无资32</t>
  </si>
  <si>
    <r>
      <rPr>
        <sz val="9"/>
        <color theme="7" tint="0.599993896298105"/>
        <rFont val="宋体"/>
        <charset val="134"/>
      </rPr>
      <t>无资</t>
    </r>
    <r>
      <rPr>
        <sz val="9"/>
        <color theme="7" tint="0.599993896298105"/>
        <rFont val="Arial Narrow"/>
        <charset val="134"/>
      </rPr>
      <t>33</t>
    </r>
  </si>
  <si>
    <t>无资33</t>
  </si>
  <si>
    <r>
      <rPr>
        <sz val="9"/>
        <color theme="7" tint="0.599993896298105"/>
        <rFont val="宋体"/>
        <charset val="134"/>
      </rPr>
      <t>无资</t>
    </r>
    <r>
      <rPr>
        <sz val="9"/>
        <color theme="7" tint="0.599993896298105"/>
        <rFont val="Arial Narrow"/>
        <charset val="134"/>
      </rPr>
      <t>34</t>
    </r>
  </si>
  <si>
    <t>无资34</t>
  </si>
  <si>
    <r>
      <rPr>
        <sz val="9"/>
        <color theme="7" tint="0.599993896298105"/>
        <rFont val="宋体"/>
        <charset val="134"/>
      </rPr>
      <t>无资</t>
    </r>
    <r>
      <rPr>
        <sz val="9"/>
        <color theme="7" tint="0.599993896298105"/>
        <rFont val="Arial Narrow"/>
        <charset val="134"/>
      </rPr>
      <t>35</t>
    </r>
  </si>
  <si>
    <t>无资35</t>
  </si>
  <si>
    <r>
      <rPr>
        <sz val="9"/>
        <color theme="7" tint="0.599993896298105"/>
        <rFont val="宋体"/>
        <charset val="134"/>
      </rPr>
      <t>无资</t>
    </r>
    <r>
      <rPr>
        <sz val="9"/>
        <color theme="7" tint="0.599993896298105"/>
        <rFont val="Arial Narrow"/>
        <charset val="134"/>
      </rPr>
      <t>36</t>
    </r>
  </si>
  <si>
    <t>无资36</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</si>
  <si>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</si>
  <si>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37</t>
    </r>
  </si>
  <si>
    <t>无资37</t>
  </si>
  <si>
    <r>
      <rPr>
        <sz val="9"/>
        <color theme="7" tint="0.599993896298105"/>
        <rFont val="宋体"/>
        <charset val="134"/>
      </rPr>
      <t>无资</t>
    </r>
    <r>
      <rPr>
        <sz val="9"/>
        <color theme="7" tint="0.599993896298105"/>
        <rFont val="Arial Narrow"/>
        <charset val="134"/>
      </rPr>
      <t>38</t>
    </r>
  </si>
  <si>
    <t>无资38</t>
  </si>
  <si>
    <r>
      <rPr>
        <sz val="9"/>
        <color theme="7" tint="0.599993896298105"/>
        <rFont val="宋体"/>
        <charset val="134"/>
      </rPr>
      <t>无资</t>
    </r>
    <r>
      <rPr>
        <sz val="9"/>
        <color theme="7" tint="0.599993896298105"/>
        <rFont val="Arial Narrow"/>
        <charset val="134"/>
      </rPr>
      <t>39</t>
    </r>
  </si>
  <si>
    <t>无资39</t>
  </si>
  <si>
    <r>
      <rPr>
        <sz val="9"/>
        <color theme="7" tint="0.599993896298105"/>
        <rFont val="宋体"/>
        <charset val="134"/>
      </rPr>
      <t>无资</t>
    </r>
    <r>
      <rPr>
        <sz val="9"/>
        <color theme="7" tint="0.599993896298105"/>
        <rFont val="Arial Narrow"/>
        <charset val="134"/>
      </rPr>
      <t>40</t>
    </r>
  </si>
  <si>
    <t>无资40</t>
  </si>
  <si>
    <r>
      <rPr>
        <sz val="9"/>
        <color theme="7" tint="0.599993896298105"/>
        <rFont val="宋体"/>
        <charset val="134"/>
      </rPr>
      <t>无资</t>
    </r>
    <r>
      <rPr>
        <sz val="9"/>
        <color theme="7" tint="0.599993896298105"/>
        <rFont val="Arial Narrow"/>
        <charset val="134"/>
      </rPr>
      <t>41</t>
    </r>
  </si>
  <si>
    <t>无资41</t>
  </si>
  <si>
    <r>
      <rPr>
        <sz val="9"/>
        <color theme="7" tint="0.599993896298105"/>
        <rFont val="宋体"/>
        <charset val="134"/>
      </rPr>
      <t>无资</t>
    </r>
    <r>
      <rPr>
        <sz val="9"/>
        <color theme="7" tint="0.599993896298105"/>
        <rFont val="Arial Narrow"/>
        <charset val="134"/>
      </rPr>
      <t>42</t>
    </r>
  </si>
  <si>
    <t>无资42</t>
  </si>
  <si>
    <r>
      <rPr>
        <sz val="9"/>
        <color theme="7" tint="0.599993896298105"/>
        <rFont val="宋体"/>
        <charset val="134"/>
      </rPr>
      <t>无资</t>
    </r>
    <r>
      <rPr>
        <sz val="9"/>
        <color theme="7" tint="0.599993896298105"/>
        <rFont val="Arial Narrow"/>
        <charset val="134"/>
      </rPr>
      <t>43</t>
    </r>
  </si>
  <si>
    <t>无资43</t>
  </si>
  <si>
    <r>
      <rPr>
        <sz val="9"/>
        <color theme="7" tint="0.599993896298105"/>
        <rFont val="宋体"/>
        <charset val="134"/>
      </rPr>
      <t>无资</t>
    </r>
    <r>
      <rPr>
        <sz val="9"/>
        <color theme="7" tint="0.599993896298105"/>
        <rFont val="Arial Narrow"/>
        <charset val="134"/>
      </rPr>
      <t>44</t>
    </r>
  </si>
  <si>
    <t>无资44</t>
  </si>
  <si>
    <r>
      <rPr>
        <sz val="9"/>
        <color theme="7" tint="0.599993896298105"/>
        <rFont val="宋体"/>
        <charset val="134"/>
      </rPr>
      <t>无资</t>
    </r>
    <r>
      <rPr>
        <sz val="9"/>
        <color theme="7" tint="0.599993896298105"/>
        <rFont val="Arial Narrow"/>
        <charset val="134"/>
      </rPr>
      <t>45</t>
    </r>
  </si>
  <si>
    <t>无资45</t>
  </si>
  <si>
    <r>
      <rPr>
        <sz val="9"/>
        <color theme="7" tint="0.599993896298105"/>
        <rFont val="宋体"/>
        <charset val="134"/>
      </rPr>
      <t>无资</t>
    </r>
    <r>
      <rPr>
        <sz val="9"/>
        <color theme="7" tint="0.599993896298105"/>
        <rFont val="Arial Narrow"/>
        <charset val="134"/>
      </rPr>
      <t>46</t>
    </r>
  </si>
  <si>
    <t>无资46</t>
  </si>
  <si>
    <t>其中本期处置或报废部分：</t>
  </si>
  <si>
    <r>
      <rPr>
        <sz val="9"/>
        <color theme="7" tint="0.599993896298105"/>
        <rFont val="宋体"/>
        <charset val="134"/>
      </rPr>
      <t>无资</t>
    </r>
    <r>
      <rPr>
        <sz val="9"/>
        <color theme="7" tint="0.599993896298105"/>
        <rFont val="Arial Narrow"/>
        <charset val="134"/>
      </rPr>
      <t>47</t>
    </r>
  </si>
  <si>
    <t>无资47</t>
  </si>
  <si>
    <t>非专利技术</t>
  </si>
  <si>
    <r>
      <rPr>
        <sz val="9"/>
        <color theme="7" tint="0.599993896298105"/>
        <rFont val="宋体"/>
        <charset val="134"/>
      </rPr>
      <t>无资</t>
    </r>
    <r>
      <rPr>
        <sz val="9"/>
        <color theme="7" tint="0.599993896298105"/>
        <rFont val="Arial Narrow"/>
        <charset val="134"/>
      </rPr>
      <t>48</t>
    </r>
  </si>
  <si>
    <t>无资48</t>
  </si>
  <si>
    <r>
      <rPr>
        <sz val="9"/>
        <color theme="7" tint="0.599993896298105"/>
        <rFont val="宋体"/>
        <charset val="134"/>
      </rPr>
      <t>无资</t>
    </r>
    <r>
      <rPr>
        <sz val="9"/>
        <color theme="7" tint="0.599993896298105"/>
        <rFont val="Arial Narrow"/>
        <charset val="134"/>
      </rPr>
      <t>49</t>
    </r>
  </si>
  <si>
    <t>无资49</t>
  </si>
  <si>
    <r>
      <rPr>
        <sz val="9"/>
        <color theme="7" tint="0.599993896298105"/>
        <rFont val="宋体"/>
        <charset val="134"/>
      </rPr>
      <t>无资</t>
    </r>
    <r>
      <rPr>
        <sz val="9"/>
        <color theme="7" tint="0.599993896298105"/>
        <rFont val="Arial Narrow"/>
        <charset val="134"/>
      </rPr>
      <t>50</t>
    </r>
  </si>
  <si>
    <t>无资50</t>
  </si>
  <si>
    <r>
      <rPr>
        <sz val="9"/>
        <color theme="7" tint="0.599993896298105"/>
        <rFont val="宋体"/>
        <charset val="134"/>
      </rPr>
      <t>无资</t>
    </r>
    <r>
      <rPr>
        <sz val="9"/>
        <color theme="7" tint="0.599993896298105"/>
        <rFont val="Arial Narrow"/>
        <charset val="134"/>
      </rPr>
      <t>51</t>
    </r>
  </si>
  <si>
    <t>无资51</t>
  </si>
  <si>
    <r>
      <rPr>
        <sz val="9"/>
        <color theme="7" tint="0.599993896298105"/>
        <rFont val="宋体"/>
        <charset val="134"/>
      </rPr>
      <t>无资</t>
    </r>
    <r>
      <rPr>
        <sz val="9"/>
        <color theme="7" tint="0.599993896298105"/>
        <rFont val="Arial Narrow"/>
        <charset val="134"/>
      </rPr>
      <t>52</t>
    </r>
  </si>
  <si>
    <t>无资52</t>
  </si>
  <si>
    <t>（五十四）递延收益-披露表</t>
  </si>
  <si>
    <r>
      <rPr>
        <b/>
        <sz val="9"/>
        <rFont val="宋体"/>
        <charset val="134"/>
      </rPr>
      <t>（五十四）递延收益</t>
    </r>
    <r>
      <rPr>
        <b/>
        <sz val="9"/>
        <rFont val="Arial Narrow"/>
        <charset val="134"/>
      </rPr>
      <t>-</t>
    </r>
    <r>
      <rPr>
        <b/>
        <sz val="9"/>
        <rFont val="宋体"/>
        <charset val="134"/>
      </rPr>
      <t>披露表</t>
    </r>
  </si>
  <si>
    <t>项目金额</t>
  </si>
  <si>
    <t>期初累计已结转金额</t>
  </si>
  <si>
    <t>本期计入营业外收入金额</t>
  </si>
  <si>
    <t>其他变动</t>
  </si>
  <si>
    <t>与资产相关/与收益相关</t>
  </si>
  <si>
    <t>（2）递延收益明细文字说明:</t>
  </si>
  <si>
    <r>
      <rPr>
        <sz val="9"/>
        <rFont val="宋体"/>
        <charset val="134"/>
      </rPr>
      <t>（</t>
    </r>
    <r>
      <rPr>
        <sz val="9"/>
        <rFont val="Arial Narrow"/>
        <charset val="134"/>
      </rPr>
      <t>2</t>
    </r>
    <r>
      <rPr>
        <sz val="9"/>
        <rFont val="宋体"/>
        <charset val="134"/>
      </rPr>
      <t>）递延收益明细文字说明</t>
    </r>
    <r>
      <rPr>
        <sz val="9"/>
        <rFont val="Arial Narrow"/>
        <charset val="134"/>
      </rPr>
      <t>:</t>
    </r>
  </si>
  <si>
    <t>(1)</t>
  </si>
  <si>
    <t>(2)</t>
  </si>
  <si>
    <t>(3)</t>
  </si>
  <si>
    <t>(4)</t>
  </si>
  <si>
    <t>(5)</t>
  </si>
  <si>
    <t>(6)</t>
  </si>
  <si>
    <t>(7)</t>
  </si>
  <si>
    <t>(8)</t>
  </si>
  <si>
    <t>(9)</t>
  </si>
  <si>
    <t>(10)</t>
  </si>
  <si>
    <r>
      <rPr>
        <b/>
        <sz val="9"/>
        <rFont val="宋体"/>
        <charset val="134"/>
      </rPr>
      <t>（</t>
    </r>
    <r>
      <rPr>
        <b/>
        <sz val="9"/>
        <rFont val="Arial Narrow"/>
        <charset val="134"/>
      </rPr>
      <t>1</t>
    </r>
    <r>
      <rPr>
        <b/>
        <sz val="9"/>
        <rFont val="宋体"/>
        <charset val="134"/>
      </rPr>
      <t>）合营企业或联营企业</t>
    </r>
  </si>
  <si>
    <t>主要经营地</t>
  </si>
  <si>
    <t>持股比例（%）</t>
  </si>
  <si>
    <t>本公司在被投资单位表决权比例（%）</t>
  </si>
  <si>
    <t>对公司活动是否具有战略性</t>
  </si>
  <si>
    <t>直接</t>
  </si>
  <si>
    <t>间接</t>
  </si>
  <si>
    <r>
      <rPr>
        <b/>
        <sz val="9"/>
        <rFont val="宋体"/>
        <charset val="134"/>
      </rPr>
      <t>（</t>
    </r>
    <r>
      <rPr>
        <b/>
        <sz val="9"/>
        <rFont val="Arial Narrow"/>
        <charset val="134"/>
      </rPr>
      <t>2</t>
    </r>
    <r>
      <rPr>
        <b/>
        <sz val="9"/>
        <rFont val="宋体"/>
        <charset val="134"/>
      </rPr>
      <t>）合营企业或联营企业的主要财务信息</t>
    </r>
  </si>
  <si>
    <t>期末余额或本期发生额</t>
  </si>
  <si>
    <t>流动资产</t>
  </si>
  <si>
    <t>非流动资产</t>
  </si>
  <si>
    <t>资产合计</t>
  </si>
  <si>
    <t>流动负债</t>
  </si>
  <si>
    <t>非流动负债</t>
  </si>
  <si>
    <t>净资产</t>
  </si>
  <si>
    <t>按持股比例计算的净资产份额</t>
  </si>
  <si>
    <t>调整事项</t>
  </si>
  <si>
    <t>对联营企业权益投资的账面价值</t>
  </si>
  <si>
    <t>存在公开报价的权益投资的公允价值</t>
  </si>
  <si>
    <t>综合收益总额</t>
  </si>
  <si>
    <t>收到的来自联营企业的股利</t>
  </si>
  <si>
    <t>合营企业　接上表：</t>
  </si>
  <si>
    <t>期初余额或上期发生额（2014年1-12月）</t>
  </si>
  <si>
    <t>期初与期末权益变动勾稽</t>
  </si>
  <si>
    <t>联营企业　接上表：</t>
  </si>
  <si>
    <t>（3）合营企业、联营企业的重要会计政策、会计估计与公司的会计政策、会计估计存在重大差异的说明：</t>
  </si>
  <si>
    <t>说明1</t>
  </si>
  <si>
    <t>说明2</t>
  </si>
  <si>
    <r>
      <rPr>
        <b/>
        <sz val="9"/>
        <rFont val="宋体"/>
        <charset val="134"/>
      </rPr>
      <t>（六十四）其他综合收益</t>
    </r>
    <r>
      <rPr>
        <b/>
        <sz val="9"/>
        <rFont val="Arial Narrow"/>
        <charset val="134"/>
      </rPr>
      <t>-</t>
    </r>
    <r>
      <rPr>
        <b/>
        <sz val="9"/>
        <rFont val="宋体"/>
        <charset val="134"/>
      </rPr>
      <t>披露表</t>
    </r>
  </si>
  <si>
    <t>本期所得税前发生额</t>
  </si>
  <si>
    <t>减：前期计入其他综合收益当期转入损益</t>
  </si>
  <si>
    <t>税后归属于母公司</t>
  </si>
  <si>
    <t>税后归属于少数股东</t>
  </si>
  <si>
    <t>一、以后不能重分类进损益的其他综合收益</t>
  </si>
  <si>
    <t>其中：重新计算设定受益计划净负债和净资产的变动</t>
  </si>
  <si>
    <t>　　　权益法下在被投资单位不能重分类进损益的其他综合收益中享有的份额</t>
  </si>
  <si>
    <t>二、以后将重分类进损益的其他综合收益</t>
  </si>
  <si>
    <t>其中：权益法下在被投资单位以后将重分类进损益的其他综合收益中享有的份额</t>
  </si>
  <si>
    <t>　　　可供出售金融资产公允价值变动损益</t>
  </si>
  <si>
    <t>　　　持有至到期投资重分类为可供出售金融资产损益</t>
  </si>
  <si>
    <t>　　　现金流量套期损益的有效部分</t>
  </si>
  <si>
    <t>　　　外币财务报表折算差额</t>
  </si>
  <si>
    <t>其他综合收益合计</t>
  </si>
  <si>
    <r>
      <rPr>
        <sz val="9"/>
        <rFont val="Arial Narrow"/>
        <charset val="134"/>
      </rPr>
      <t>注：期初余额、期末余额对应资产负债表中的其他综合收益项目。期初余额</t>
    </r>
    <r>
      <rPr>
        <sz val="9"/>
        <rFont val="Times New Roman"/>
        <charset val="134"/>
      </rPr>
      <t>+</t>
    </r>
    <r>
      <rPr>
        <sz val="9"/>
        <rFont val="宋体"/>
        <charset val="134"/>
      </rPr>
      <t>税后归属于母公司的其他综合收益</t>
    </r>
    <r>
      <rPr>
        <sz val="9"/>
        <rFont val="Times New Roman"/>
        <charset val="134"/>
      </rPr>
      <t>=</t>
    </r>
    <r>
      <rPr>
        <sz val="9"/>
        <rFont val="宋体"/>
        <charset val="134"/>
      </rPr>
      <t>期末余额。本期发生额对应利润表中的其他综合收益项目，本期所得税前发生额</t>
    </r>
    <r>
      <rPr>
        <sz val="9"/>
        <rFont val="Times New Roman"/>
        <charset val="134"/>
      </rPr>
      <t>-</t>
    </r>
    <r>
      <rPr>
        <sz val="9"/>
        <rFont val="宋体"/>
        <charset val="134"/>
      </rPr>
      <t>前期计入其他综合收益当期转入损益</t>
    </r>
    <r>
      <rPr>
        <sz val="9"/>
        <rFont val="Times New Roman"/>
        <charset val="134"/>
      </rPr>
      <t>-</t>
    </r>
    <r>
      <rPr>
        <sz val="9"/>
        <rFont val="宋体"/>
        <charset val="134"/>
      </rPr>
      <t>所得税费用</t>
    </r>
    <r>
      <rPr>
        <sz val="9"/>
        <rFont val="Times New Roman"/>
        <charset val="134"/>
      </rPr>
      <t>=</t>
    </r>
    <r>
      <rPr>
        <sz val="9"/>
        <rFont val="宋体"/>
        <charset val="134"/>
      </rPr>
      <t>税后归属于母公司的其他综合收益</t>
    </r>
    <r>
      <rPr>
        <sz val="9"/>
        <rFont val="Times New Roman"/>
        <charset val="134"/>
      </rPr>
      <t>+</t>
    </r>
    <r>
      <rPr>
        <sz val="9"/>
        <rFont val="宋体"/>
        <charset val="134"/>
      </rPr>
      <t>税后归属于少数股东的其他综合收益。</t>
    </r>
  </si>
  <si>
    <t>其他说明，包括对现金流量套期损益的有效部分转为被套期项目初始确认金额调整：</t>
  </si>
  <si>
    <t>其他说明：</t>
  </si>
  <si>
    <t>审定报表</t>
  </si>
  <si>
    <r>
      <rPr>
        <b/>
        <sz val="9"/>
        <rFont val="宋体"/>
        <charset val="134"/>
      </rPr>
      <t>（六十五）持有待售资产</t>
    </r>
    <r>
      <rPr>
        <b/>
        <sz val="9"/>
        <rFont val="Arial Narrow"/>
        <charset val="134"/>
      </rPr>
      <t>-</t>
    </r>
    <r>
      <rPr>
        <b/>
        <sz val="9"/>
        <rFont val="宋体"/>
        <charset val="134"/>
      </rPr>
      <t>披露表</t>
    </r>
  </si>
  <si>
    <r>
      <rPr>
        <b/>
        <sz val="9"/>
        <rFont val="宋体"/>
        <charset val="134"/>
      </rPr>
      <t>（六十六）持有待售负债</t>
    </r>
    <r>
      <rPr>
        <b/>
        <sz val="9"/>
        <rFont val="Arial Narrow"/>
        <charset val="134"/>
      </rPr>
      <t>-</t>
    </r>
    <r>
      <rPr>
        <b/>
        <sz val="9"/>
        <rFont val="宋体"/>
        <charset val="134"/>
      </rPr>
      <t>披露表</t>
    </r>
  </si>
  <si>
    <t>（六十七）一年内到期的非流动资产</t>
  </si>
  <si>
    <t>（六十八）资产处置收益</t>
  </si>
  <si>
    <t>（六十九）其他收益</t>
  </si>
  <si>
    <r>
      <rPr>
        <b/>
        <sz val="9"/>
        <rFont val="宋体"/>
        <charset val="134"/>
      </rPr>
      <t>（七十）库存股</t>
    </r>
    <r>
      <rPr>
        <b/>
        <sz val="9"/>
        <rFont val="Arial Narrow"/>
        <charset val="134"/>
      </rPr>
      <t>-</t>
    </r>
    <r>
      <rPr>
        <b/>
        <sz val="9"/>
        <rFont val="宋体"/>
        <charset val="134"/>
      </rPr>
      <t>披露表</t>
    </r>
  </si>
  <si>
    <t xml:space="preserve">
---表名---
披露表(上市)
---end---</t>
  </si>
  <si>
    <t>calction</t>
  </si>
  <si>
    <t>不刷新</t>
  </si>
  <si>
    <t>管理费用披露表</t>
  </si>
  <si>
    <t>被审计单位: 深圳新阳蓝光能源科技股份有限公司      编制: 彭壹达             日期: 2017-11-16         索引号: 6414-03
报表期间: 2015年01月—2017年12月                  复核: 潘平平             日期: 2018-01-16         项目: 管理费用-披露表</t>
  </si>
  <si>
    <t>2014年</t>
  </si>
  <si>
    <t>2015年金额</t>
  </si>
  <si>
    <t>2016年金额</t>
  </si>
  <si>
    <t>2017年金额</t>
  </si>
  <si>
    <t>1:K5504.01</t>
  </si>
  <si>
    <t xml:space="preserve">  </t>
  </si>
  <si>
    <t>职工薪酬</t>
  </si>
  <si>
    <t>办公费</t>
  </si>
  <si>
    <t>1:K5504.03</t>
  </si>
  <si>
    <t>折旧摊销</t>
  </si>
  <si>
    <t>研发支出</t>
  </si>
  <si>
    <t>交通差旅费</t>
  </si>
  <si>
    <t>房租水电物管费</t>
  </si>
  <si>
    <t>中介机构费</t>
  </si>
  <si>
    <t>1:K5504.11</t>
  </si>
  <si>
    <t>明细</t>
  </si>
  <si>
    <t>分类</t>
  </si>
  <si>
    <t>2015年</t>
  </si>
  <si>
    <t>2016年</t>
  </si>
  <si>
    <t>2017年</t>
  </si>
  <si>
    <t>销售费用披露表</t>
  </si>
  <si>
    <t>被审计单位: 深圳新阳蓝光能源科技股份有限公司      编制: 彭壹达             日期: 2017-11-16              索引号: 6413-03
报表期间: 2015年01月—2017年12月                  复核: 潘平平             日期: 2018-01-16              项目: 销售费用-披露表</t>
  </si>
  <si>
    <t>2014年金额</t>
  </si>
  <si>
    <r>
      <rPr>
        <sz val="9"/>
        <rFont val="宋体"/>
        <charset val="134"/>
        <scheme val="minor"/>
      </rPr>
      <t>2015</t>
    </r>
    <r>
      <rPr>
        <sz val="9"/>
        <rFont val="宋体"/>
        <charset val="134"/>
      </rPr>
      <t>年金额</t>
    </r>
  </si>
  <si>
    <t>1:K5505.01</t>
  </si>
  <si>
    <t>1:K5505.03</t>
  </si>
  <si>
    <t>1:K5505.12</t>
  </si>
  <si>
    <t>折旧摊销费</t>
  </si>
  <si>
    <t>投标费用</t>
  </si>
  <si>
    <t>后期维护费用</t>
  </si>
  <si>
    <t>项目前期费用</t>
  </si>
  <si>
    <t>归类</t>
  </si>
  <si>
    <t>前期勘探费用</t>
  </si>
  <si>
    <t>奖金</t>
  </si>
  <si>
    <t>李远飞</t>
  </si>
  <si>
    <t>培训费</t>
  </si>
  <si>
    <t>财务费用披露表</t>
  </si>
  <si>
    <t>被审计单位：深圳新阳蓝光能源科技股份有限公司                 索引号：6415.03
项目：财务费用-披露表                                        报表期间：2015年01月01日至2017年12月31日
编制：廖思远                                                 复核：潘平平
日期：2017-11-16                                             日期：2018-01-16</t>
  </si>
  <si>
    <t>减：利息收入</t>
  </si>
  <si>
    <t>兑汇损失</t>
  </si>
  <si>
    <t>减：兑汇收益</t>
  </si>
  <si>
    <t>2016年度及2015年度现金流量表项目测试表</t>
  </si>
  <si>
    <t>返回目录</t>
  </si>
  <si>
    <t>索引号：I2-1</t>
  </si>
  <si>
    <r>
      <rPr>
        <b/>
        <sz val="14"/>
        <rFont val="宋体"/>
        <charset val="134"/>
      </rPr>
      <t>经营活动现金流入测试</t>
    </r>
  </si>
  <si>
    <t>一、销售商品、提供劳务收到的现金测试</t>
  </si>
  <si>
    <t>映射号</t>
  </si>
  <si>
    <t>保证金（3个月以上）</t>
  </si>
  <si>
    <t>本期借方</t>
  </si>
  <si>
    <t>本期贷方</t>
  </si>
  <si>
    <r>
      <rPr>
        <sz val="10"/>
        <rFont val="宋体"/>
        <charset val="134"/>
      </rPr>
      <t>涉及的会计科目</t>
    </r>
  </si>
  <si>
    <t>库存现金</t>
  </si>
  <si>
    <r>
      <rPr>
        <sz val="10"/>
        <rFont val="宋体"/>
        <charset val="134"/>
      </rPr>
      <t>主营业务收入</t>
    </r>
  </si>
  <si>
    <r>
      <rPr>
        <sz val="10"/>
        <rFont val="宋体"/>
        <charset val="134"/>
      </rPr>
      <t>（</t>
    </r>
    <r>
      <rPr>
        <sz val="10"/>
        <rFont val="Arial Narrow"/>
        <charset val="134"/>
      </rPr>
      <t>1</t>
    </r>
    <r>
      <rPr>
        <sz val="10"/>
        <rFont val="宋体"/>
        <charset val="134"/>
      </rPr>
      <t>）</t>
    </r>
  </si>
  <si>
    <r>
      <rPr>
        <sz val="10"/>
        <rFont val="宋体"/>
        <charset val="134"/>
      </rPr>
      <t>其他业务收入</t>
    </r>
  </si>
  <si>
    <r>
      <rPr>
        <sz val="10"/>
        <rFont val="宋体"/>
        <charset val="134"/>
      </rPr>
      <t>（</t>
    </r>
    <r>
      <rPr>
        <sz val="10"/>
        <rFont val="Arial Narrow"/>
        <charset val="134"/>
      </rPr>
      <t>2</t>
    </r>
    <r>
      <rPr>
        <sz val="10"/>
        <rFont val="宋体"/>
        <charset val="134"/>
      </rPr>
      <t>）</t>
    </r>
  </si>
  <si>
    <r>
      <rPr>
        <sz val="10"/>
        <rFont val="宋体"/>
        <charset val="134"/>
      </rPr>
      <t>销项税</t>
    </r>
  </si>
  <si>
    <r>
      <rPr>
        <sz val="10"/>
        <rFont val="宋体"/>
        <charset val="134"/>
      </rPr>
      <t>（</t>
    </r>
    <r>
      <rPr>
        <sz val="10"/>
        <rFont val="Arial Narrow"/>
        <charset val="134"/>
      </rPr>
      <t>3</t>
    </r>
    <r>
      <rPr>
        <sz val="10"/>
        <rFont val="宋体"/>
        <charset val="134"/>
      </rPr>
      <t>）</t>
    </r>
  </si>
  <si>
    <r>
      <rPr>
        <sz val="10"/>
        <rFont val="宋体"/>
        <charset val="134"/>
      </rPr>
      <t>应交税金</t>
    </r>
    <r>
      <rPr>
        <sz val="10"/>
        <rFont val="Arial Narrow"/>
        <charset val="134"/>
      </rPr>
      <t>-</t>
    </r>
    <r>
      <rPr>
        <sz val="10"/>
        <rFont val="宋体"/>
        <charset val="134"/>
      </rPr>
      <t>增值税销项（含待转销销项）</t>
    </r>
  </si>
  <si>
    <t>内部结转</t>
  </si>
  <si>
    <r>
      <rPr>
        <sz val="10"/>
        <rFont val="宋体"/>
        <charset val="134"/>
      </rPr>
      <t>加：长期应收款的减少</t>
    </r>
    <r>
      <rPr>
        <sz val="10"/>
        <rFont val="Arial Narrow"/>
        <charset val="134"/>
      </rPr>
      <t>(</t>
    </r>
    <r>
      <rPr>
        <sz val="10"/>
        <rFont val="宋体"/>
        <charset val="134"/>
      </rPr>
      <t>期初－期末</t>
    </r>
    <r>
      <rPr>
        <sz val="10"/>
        <rFont val="Arial Narrow"/>
        <charset val="134"/>
      </rPr>
      <t>)</t>
    </r>
  </si>
  <si>
    <r>
      <rPr>
        <sz val="10"/>
        <rFont val="宋体"/>
        <charset val="134"/>
      </rPr>
      <t>（</t>
    </r>
    <r>
      <rPr>
        <sz val="10"/>
        <rFont val="Arial Narrow"/>
        <charset val="134"/>
      </rPr>
      <t>4</t>
    </r>
    <r>
      <rPr>
        <sz val="10"/>
        <rFont val="宋体"/>
        <charset val="134"/>
      </rPr>
      <t>）</t>
    </r>
  </si>
  <si>
    <t>CF</t>
  </si>
  <si>
    <r>
      <rPr>
        <sz val="10"/>
        <rFont val="Arial Narrow"/>
        <charset val="134"/>
      </rPr>
      <t xml:space="preserve">    </t>
    </r>
    <r>
      <rPr>
        <sz val="10"/>
        <rFont val="宋体"/>
        <charset val="134"/>
      </rPr>
      <t>应收账款的减少</t>
    </r>
    <r>
      <rPr>
        <sz val="10"/>
        <rFont val="Arial Narrow"/>
        <charset val="134"/>
      </rPr>
      <t>(</t>
    </r>
    <r>
      <rPr>
        <sz val="10"/>
        <rFont val="宋体"/>
        <charset val="134"/>
      </rPr>
      <t>期初－期末</t>
    </r>
    <r>
      <rPr>
        <sz val="10"/>
        <rFont val="Arial Narrow"/>
        <charset val="134"/>
      </rPr>
      <t>)</t>
    </r>
  </si>
  <si>
    <r>
      <rPr>
        <sz val="10"/>
        <rFont val="宋体"/>
        <charset val="134"/>
      </rPr>
      <t>（</t>
    </r>
    <r>
      <rPr>
        <sz val="10"/>
        <rFont val="Arial Narrow"/>
        <charset val="134"/>
      </rPr>
      <t>5</t>
    </r>
    <r>
      <rPr>
        <sz val="10"/>
        <rFont val="宋体"/>
        <charset val="134"/>
      </rPr>
      <t>）</t>
    </r>
  </si>
  <si>
    <t>未审现金流</t>
  </si>
  <si>
    <r>
      <rPr>
        <sz val="10"/>
        <rFont val="Arial Narrow"/>
        <charset val="134"/>
      </rPr>
      <t xml:space="preserve">    </t>
    </r>
    <r>
      <rPr>
        <sz val="10"/>
        <rFont val="宋体"/>
        <charset val="134"/>
      </rPr>
      <t>预收账款的增加</t>
    </r>
    <r>
      <rPr>
        <sz val="10"/>
        <rFont val="Arial Narrow"/>
        <charset val="134"/>
      </rPr>
      <t>(</t>
    </r>
    <r>
      <rPr>
        <sz val="10"/>
        <rFont val="宋体"/>
        <charset val="134"/>
      </rPr>
      <t>期末－期初</t>
    </r>
    <r>
      <rPr>
        <sz val="10"/>
        <rFont val="Arial Narrow"/>
        <charset val="134"/>
      </rPr>
      <t>)</t>
    </r>
  </si>
  <si>
    <r>
      <rPr>
        <sz val="10"/>
        <rFont val="宋体"/>
        <charset val="134"/>
      </rPr>
      <t>（</t>
    </r>
    <r>
      <rPr>
        <sz val="10"/>
        <rFont val="Arial Narrow"/>
        <charset val="134"/>
      </rPr>
      <t>6</t>
    </r>
    <r>
      <rPr>
        <sz val="10"/>
        <rFont val="宋体"/>
        <charset val="134"/>
      </rPr>
      <t>）</t>
    </r>
  </si>
  <si>
    <t>测试结果</t>
  </si>
  <si>
    <r>
      <rPr>
        <sz val="10"/>
        <rFont val="Arial Narrow"/>
        <charset val="134"/>
      </rPr>
      <t xml:space="preserve">    </t>
    </r>
    <r>
      <rPr>
        <sz val="10"/>
        <rFont val="宋体"/>
        <charset val="134"/>
      </rPr>
      <t>当期收回前期核销的坏账</t>
    </r>
  </si>
  <si>
    <r>
      <rPr>
        <sz val="10"/>
        <rFont val="宋体"/>
        <charset val="134"/>
      </rPr>
      <t>（</t>
    </r>
    <r>
      <rPr>
        <sz val="10"/>
        <rFont val="Arial Narrow"/>
        <charset val="134"/>
      </rPr>
      <t>7</t>
    </r>
    <r>
      <rPr>
        <sz val="10"/>
        <rFont val="宋体"/>
        <charset val="134"/>
      </rPr>
      <t>）</t>
    </r>
  </si>
  <si>
    <r>
      <rPr>
        <sz val="10"/>
        <rFont val="宋体"/>
        <charset val="134"/>
      </rPr>
      <t>核对</t>
    </r>
    <r>
      <rPr>
        <sz val="10"/>
        <rFont val="Arial Narrow"/>
        <charset val="134"/>
      </rPr>
      <t>1-CF-</t>
    </r>
    <r>
      <rPr>
        <sz val="10"/>
        <rFont val="宋体"/>
        <charset val="134"/>
      </rPr>
      <t>测试结果</t>
    </r>
  </si>
  <si>
    <r>
      <rPr>
        <sz val="10"/>
        <rFont val="宋体"/>
        <charset val="134"/>
      </rPr>
      <t>减：票据贴现的利息</t>
    </r>
  </si>
  <si>
    <r>
      <rPr>
        <sz val="10"/>
        <rFont val="宋体"/>
        <charset val="134"/>
      </rPr>
      <t>（</t>
    </r>
    <r>
      <rPr>
        <sz val="10"/>
        <rFont val="Arial Narrow"/>
        <charset val="134"/>
      </rPr>
      <t>8</t>
    </r>
    <r>
      <rPr>
        <sz val="10"/>
        <rFont val="宋体"/>
        <charset val="134"/>
      </rPr>
      <t>）</t>
    </r>
  </si>
  <si>
    <r>
      <rPr>
        <sz val="10"/>
        <rFont val="宋体"/>
        <charset val="134"/>
      </rPr>
      <t>财务费用（根据审计工作底稿）</t>
    </r>
  </si>
  <si>
    <r>
      <rPr>
        <sz val="10"/>
        <rFont val="Arial Narrow"/>
        <charset val="134"/>
      </rPr>
      <t xml:space="preserve">    </t>
    </r>
    <r>
      <rPr>
        <sz val="10"/>
        <rFont val="宋体"/>
        <charset val="134"/>
      </rPr>
      <t>本期计提的坏账准备</t>
    </r>
  </si>
  <si>
    <r>
      <rPr>
        <sz val="10"/>
        <rFont val="宋体"/>
        <charset val="134"/>
      </rPr>
      <t>（</t>
    </r>
    <r>
      <rPr>
        <sz val="10"/>
        <rFont val="Arial Narrow"/>
        <charset val="134"/>
      </rPr>
      <t>9</t>
    </r>
    <r>
      <rPr>
        <sz val="10"/>
        <rFont val="宋体"/>
        <charset val="134"/>
      </rPr>
      <t>）</t>
    </r>
  </si>
  <si>
    <r>
      <rPr>
        <sz val="10"/>
        <rFont val="宋体"/>
        <charset val="134"/>
      </rPr>
      <t>资产减值损失、坏账准备（根据审计工作底稿）</t>
    </r>
  </si>
  <si>
    <r>
      <rPr>
        <sz val="10"/>
        <rFont val="Arial Narrow"/>
        <charset val="134"/>
      </rPr>
      <t xml:space="preserve">    </t>
    </r>
    <r>
      <rPr>
        <sz val="10"/>
        <rFont val="宋体"/>
        <charset val="134"/>
      </rPr>
      <t>应收票据的减少中背书转让的金额</t>
    </r>
  </si>
  <si>
    <r>
      <rPr>
        <sz val="10"/>
        <rFont val="宋体"/>
        <charset val="134"/>
      </rPr>
      <t>（</t>
    </r>
    <r>
      <rPr>
        <sz val="10"/>
        <rFont val="Arial Narrow"/>
        <charset val="134"/>
      </rPr>
      <t>10</t>
    </r>
    <r>
      <rPr>
        <sz val="10"/>
        <rFont val="宋体"/>
        <charset val="134"/>
      </rPr>
      <t>）</t>
    </r>
  </si>
  <si>
    <r>
      <rPr>
        <sz val="10"/>
        <rFont val="宋体"/>
        <charset val="134"/>
      </rPr>
      <t>应收票据（根据企业填列的明细表）</t>
    </r>
  </si>
  <si>
    <r>
      <rPr>
        <sz val="10"/>
        <rFont val="Arial Narrow"/>
        <charset val="134"/>
      </rPr>
      <t xml:space="preserve">    </t>
    </r>
    <r>
      <rPr>
        <sz val="10"/>
        <rFont val="宋体"/>
        <charset val="134"/>
      </rPr>
      <t>应收账款的减少中的债务重组金额收到非现金资产抵应收款</t>
    </r>
  </si>
  <si>
    <r>
      <rPr>
        <sz val="10"/>
        <rFont val="宋体"/>
        <charset val="134"/>
      </rPr>
      <t>（</t>
    </r>
    <r>
      <rPr>
        <sz val="10"/>
        <rFont val="Arial Narrow"/>
        <charset val="134"/>
      </rPr>
      <t>11</t>
    </r>
    <r>
      <rPr>
        <sz val="10"/>
        <rFont val="宋体"/>
        <charset val="134"/>
      </rPr>
      <t>）</t>
    </r>
  </si>
  <si>
    <r>
      <rPr>
        <sz val="10"/>
        <rFont val="宋体"/>
        <charset val="134"/>
      </rPr>
      <t>应收账款（根据审计工作底稿）</t>
    </r>
  </si>
  <si>
    <r>
      <rPr>
        <sz val="10"/>
        <rFont val="Arial Narrow"/>
        <charset val="134"/>
      </rPr>
      <t xml:space="preserve">    </t>
    </r>
    <r>
      <rPr>
        <sz val="10"/>
        <rFont val="宋体"/>
        <charset val="134"/>
      </rPr>
      <t>应收账款减少中的与应付款对冲金额</t>
    </r>
  </si>
  <si>
    <r>
      <rPr>
        <sz val="10"/>
        <rFont val="宋体"/>
        <charset val="134"/>
      </rPr>
      <t>（</t>
    </r>
    <r>
      <rPr>
        <sz val="10"/>
        <rFont val="Arial Narrow"/>
        <charset val="134"/>
      </rPr>
      <t>12</t>
    </r>
    <r>
      <rPr>
        <sz val="10"/>
        <rFont val="宋体"/>
        <charset val="134"/>
      </rPr>
      <t>）</t>
    </r>
  </si>
  <si>
    <r>
      <rPr>
        <sz val="10"/>
        <rFont val="宋体"/>
        <charset val="134"/>
      </rPr>
      <t>应收账款、应付账款（根据审计工作底稿）</t>
    </r>
  </si>
  <si>
    <r>
      <rPr>
        <sz val="10"/>
        <rFont val="Arial Narrow"/>
        <charset val="134"/>
      </rPr>
      <t xml:space="preserve">    </t>
    </r>
    <r>
      <rPr>
        <sz val="10"/>
        <rFont val="宋体"/>
        <charset val="134"/>
      </rPr>
      <t>预收账款的预提费用的增加额</t>
    </r>
    <r>
      <rPr>
        <sz val="10"/>
        <rFont val="Arial Narrow"/>
        <charset val="134"/>
      </rPr>
      <t>(</t>
    </r>
    <r>
      <rPr>
        <sz val="10"/>
        <rFont val="宋体"/>
        <charset val="134"/>
      </rPr>
      <t>减少额为负数表示</t>
    </r>
    <r>
      <rPr>
        <sz val="10"/>
        <rFont val="Arial Narrow"/>
        <charset val="134"/>
      </rPr>
      <t>)</t>
    </r>
  </si>
  <si>
    <r>
      <rPr>
        <sz val="10"/>
        <rFont val="宋体"/>
        <charset val="134"/>
      </rPr>
      <t>（</t>
    </r>
    <r>
      <rPr>
        <sz val="10"/>
        <rFont val="Arial Narrow"/>
        <charset val="134"/>
      </rPr>
      <t>13</t>
    </r>
    <r>
      <rPr>
        <sz val="10"/>
        <rFont val="宋体"/>
        <charset val="134"/>
      </rPr>
      <t>）</t>
    </r>
  </si>
  <si>
    <r>
      <rPr>
        <sz val="10"/>
        <rFont val="宋体"/>
        <charset val="134"/>
      </rPr>
      <t>预提费用（根据企业提供的明细表</t>
    </r>
  </si>
  <si>
    <r>
      <rPr>
        <sz val="10"/>
        <rFont val="Arial Narrow"/>
        <charset val="134"/>
      </rPr>
      <t xml:space="preserve">    </t>
    </r>
    <r>
      <rPr>
        <sz val="10"/>
        <rFont val="宋体"/>
        <charset val="134"/>
      </rPr>
      <t>应收账款核销</t>
    </r>
  </si>
  <si>
    <r>
      <rPr>
        <sz val="10"/>
        <rFont val="宋体"/>
        <charset val="134"/>
      </rPr>
      <t>（</t>
    </r>
    <r>
      <rPr>
        <sz val="10"/>
        <rFont val="Arial Narrow"/>
        <charset val="134"/>
      </rPr>
      <t>14</t>
    </r>
    <r>
      <rPr>
        <sz val="10"/>
        <rFont val="宋体"/>
        <charset val="134"/>
      </rPr>
      <t>）</t>
    </r>
  </si>
  <si>
    <r>
      <rPr>
        <sz val="10"/>
        <rFont val="Arial Narrow"/>
        <charset val="134"/>
      </rPr>
      <t xml:space="preserve">    </t>
    </r>
    <r>
      <rPr>
        <sz val="10"/>
        <rFont val="宋体"/>
        <charset val="134"/>
      </rPr>
      <t>其他非经营活动项目剔除额</t>
    </r>
  </si>
  <si>
    <r>
      <rPr>
        <sz val="10"/>
        <rFont val="宋体"/>
        <charset val="134"/>
      </rPr>
      <t>（</t>
    </r>
    <r>
      <rPr>
        <sz val="10"/>
        <rFont val="Arial Narrow"/>
        <charset val="134"/>
      </rPr>
      <t>15</t>
    </r>
    <r>
      <rPr>
        <sz val="10"/>
        <rFont val="宋体"/>
        <charset val="134"/>
      </rPr>
      <t>）</t>
    </r>
  </si>
  <si>
    <r>
      <rPr>
        <sz val="10"/>
        <rFont val="宋体"/>
        <charset val="134"/>
      </rPr>
      <t>应收账款、固定资产、应收票据（根据审计工作底稿）</t>
    </r>
  </si>
  <si>
    <t>测试结果：
=(1)+(3)+…+(7)-(8)-(9)-…-(15)…</t>
  </si>
  <si>
    <t>OK</t>
  </si>
  <si>
    <t>未审报表金额：</t>
  </si>
  <si>
    <r>
      <rPr>
        <sz val="10"/>
        <rFont val="宋体"/>
        <charset val="134"/>
      </rPr>
      <t>测试差异：</t>
    </r>
  </si>
  <si>
    <r>
      <rPr>
        <sz val="10"/>
        <rFont val="宋体"/>
        <charset val="134"/>
      </rPr>
      <t>差异原因：</t>
    </r>
  </si>
  <si>
    <r>
      <rPr>
        <b/>
        <sz val="10"/>
        <rFont val="宋体"/>
        <charset val="134"/>
      </rPr>
      <t>二、</t>
    </r>
    <r>
      <rPr>
        <b/>
        <sz val="10"/>
        <rFont val="Arial Narrow"/>
        <charset val="134"/>
      </rPr>
      <t xml:space="preserve"> </t>
    </r>
    <r>
      <rPr>
        <b/>
        <sz val="10"/>
        <rFont val="宋体"/>
        <charset val="134"/>
      </rPr>
      <t>收到的税费返还的现金测试</t>
    </r>
  </si>
  <si>
    <r>
      <rPr>
        <sz val="10"/>
        <rFont val="宋体"/>
        <charset val="134"/>
      </rPr>
      <t>对方科目</t>
    </r>
  </si>
  <si>
    <r>
      <rPr>
        <sz val="10"/>
        <rFont val="宋体"/>
        <charset val="134"/>
      </rPr>
      <t>增值税</t>
    </r>
  </si>
  <si>
    <r>
      <rPr>
        <sz val="10"/>
        <rFont val="宋体"/>
        <charset val="134"/>
      </rPr>
      <t>营业税金及附加、营业外收入、其他应收款</t>
    </r>
  </si>
  <si>
    <r>
      <rPr>
        <sz val="10"/>
        <rFont val="宋体"/>
        <charset val="134"/>
      </rPr>
      <t>营业税</t>
    </r>
  </si>
  <si>
    <r>
      <rPr>
        <sz val="10"/>
        <rFont val="宋体"/>
        <charset val="134"/>
      </rPr>
      <t>所得税</t>
    </r>
  </si>
  <si>
    <r>
      <rPr>
        <sz val="10"/>
        <rFont val="宋体"/>
        <charset val="134"/>
      </rPr>
      <t>消费税</t>
    </r>
  </si>
  <si>
    <r>
      <rPr>
        <sz val="10"/>
        <rFont val="宋体"/>
        <charset val="134"/>
      </rPr>
      <t>教育费附加返还</t>
    </r>
  </si>
  <si>
    <r>
      <rPr>
        <sz val="10"/>
        <rFont val="宋体"/>
        <charset val="134"/>
      </rPr>
      <t>其他</t>
    </r>
  </si>
  <si>
    <t>测试结果：=(1)+……+(6)</t>
  </si>
  <si>
    <t>三、收到的其他与经营活动有关的现金测试</t>
  </si>
  <si>
    <r>
      <rPr>
        <sz val="10"/>
        <rFont val="宋体"/>
        <charset val="134"/>
      </rPr>
      <t>违约金收入</t>
    </r>
  </si>
  <si>
    <r>
      <rPr>
        <sz val="10"/>
        <rFont val="宋体"/>
        <charset val="134"/>
      </rPr>
      <t>罚款收入</t>
    </r>
  </si>
  <si>
    <t>罚款及打款验证</t>
  </si>
  <si>
    <r>
      <rPr>
        <sz val="10"/>
        <rFont val="宋体"/>
        <charset val="134"/>
      </rPr>
      <t>实际收到的赔偿收入</t>
    </r>
  </si>
  <si>
    <t>保险赔款</t>
  </si>
  <si>
    <r>
      <rPr>
        <sz val="10"/>
        <rFont val="宋体"/>
        <charset val="134"/>
      </rPr>
      <t>财务费用</t>
    </r>
    <r>
      <rPr>
        <sz val="10"/>
        <rFont val="Arial Narrow"/>
        <charset val="134"/>
      </rPr>
      <t>--</t>
    </r>
    <r>
      <rPr>
        <sz val="10"/>
        <rFont val="宋体"/>
        <charset val="134"/>
      </rPr>
      <t>利息收入</t>
    </r>
  </si>
  <si>
    <t>履约、投标保证金退回</t>
  </si>
  <si>
    <r>
      <rPr>
        <sz val="10"/>
        <rFont val="宋体"/>
        <charset val="134"/>
      </rPr>
      <t>除税费返还外的其他政府补助收入</t>
    </r>
  </si>
  <si>
    <t>天河区自主创业补贴</t>
  </si>
  <si>
    <t>承兑汇票保证金退回</t>
  </si>
  <si>
    <r>
      <rPr>
        <sz val="10"/>
        <rFont val="宋体"/>
        <charset val="134"/>
      </rPr>
      <t>（</t>
    </r>
    <r>
      <rPr>
        <sz val="10"/>
        <rFont val="Arial Narrow"/>
        <charset val="134"/>
      </rPr>
      <t>7）</t>
    </r>
  </si>
  <si>
    <r>
      <rPr>
        <sz val="10"/>
        <rFont val="宋体"/>
        <charset val="134"/>
      </rPr>
      <t>（</t>
    </r>
    <r>
      <rPr>
        <sz val="10"/>
        <rFont val="Arial Narrow"/>
        <charset val="134"/>
      </rPr>
      <t>8）</t>
    </r>
  </si>
  <si>
    <t>测试结果：=(1)+…+(7)…</t>
  </si>
  <si>
    <r>
      <rPr>
        <b/>
        <sz val="14"/>
        <rFont val="宋体"/>
        <charset val="134"/>
      </rPr>
      <t>经营活动现金流出测试</t>
    </r>
  </si>
  <si>
    <t>一、购买商品、接受劳务支付的现金测试</t>
  </si>
  <si>
    <r>
      <rPr>
        <sz val="10"/>
        <rFont val="宋体"/>
        <charset val="134"/>
      </rPr>
      <t>主营业务成本</t>
    </r>
  </si>
  <si>
    <t>EMC项目投入</t>
  </si>
  <si>
    <r>
      <rPr>
        <sz val="10"/>
        <rFont val="宋体"/>
        <charset val="134"/>
      </rPr>
      <t>购买商品接受劳务对应的进项税支出</t>
    </r>
  </si>
  <si>
    <r>
      <rPr>
        <sz val="10"/>
        <rFont val="宋体"/>
        <charset val="134"/>
      </rPr>
      <t>加</t>
    </r>
    <r>
      <rPr>
        <sz val="10"/>
        <rFont val="Arial Narrow"/>
        <charset val="134"/>
      </rPr>
      <t>:</t>
    </r>
    <r>
      <rPr>
        <sz val="10"/>
        <rFont val="宋体"/>
        <charset val="134"/>
      </rPr>
      <t>存货的增加（期末－期初）</t>
    </r>
  </si>
  <si>
    <r>
      <rPr>
        <sz val="10"/>
        <rFont val="宋体"/>
        <charset val="134"/>
      </rPr>
      <t>加</t>
    </r>
    <r>
      <rPr>
        <sz val="10"/>
        <rFont val="Arial Narrow"/>
        <charset val="134"/>
      </rPr>
      <t>:</t>
    </r>
    <r>
      <rPr>
        <sz val="10"/>
        <rFont val="宋体"/>
        <charset val="134"/>
      </rPr>
      <t>当期计提的存货跌价准备</t>
    </r>
  </si>
  <si>
    <t>加：工程项目领用、投资、盘亏、报废、捐赠等影响存货的减少数</t>
  </si>
  <si>
    <r>
      <rPr>
        <sz val="10"/>
        <rFont val="宋体"/>
        <charset val="134"/>
      </rPr>
      <t>减</t>
    </r>
    <r>
      <rPr>
        <sz val="10"/>
        <rFont val="Arial Narrow"/>
        <charset val="134"/>
      </rPr>
      <t>:</t>
    </r>
    <r>
      <rPr>
        <sz val="10"/>
        <rFont val="宋体"/>
        <charset val="134"/>
      </rPr>
      <t>投资投入、非货币性交换、债务重组等非购入增加存货的价税合计</t>
    </r>
  </si>
  <si>
    <r>
      <rPr>
        <sz val="10"/>
        <rFont val="宋体"/>
        <charset val="134"/>
      </rPr>
      <t>存货的增加的非付现部分</t>
    </r>
  </si>
  <si>
    <r>
      <rPr>
        <sz val="10"/>
        <rFont val="宋体"/>
        <charset val="134"/>
      </rPr>
      <t>减：列入生产成本及制造费用中的职工薪酬</t>
    </r>
  </si>
  <si>
    <t>已在支付职工现金中体现</t>
  </si>
  <si>
    <r>
      <rPr>
        <sz val="10"/>
        <rFont val="宋体"/>
        <charset val="134"/>
      </rPr>
      <t>减：列入生产成本及制造费用中的未付现部分（折旧费）</t>
    </r>
  </si>
  <si>
    <t>未付现部分</t>
  </si>
  <si>
    <t>本期需要付现的存货的增加额
=(1)+(2)+….+(6)-(7)-(8)-(9)</t>
  </si>
  <si>
    <r>
      <rPr>
        <sz val="10"/>
        <rFont val="宋体"/>
        <charset val="134"/>
      </rPr>
      <t>加</t>
    </r>
    <r>
      <rPr>
        <sz val="10"/>
        <rFont val="Arial Narrow"/>
        <charset val="134"/>
      </rPr>
      <t>:</t>
    </r>
    <r>
      <rPr>
        <sz val="10"/>
        <rFont val="宋体"/>
        <charset val="134"/>
      </rPr>
      <t>应付账款的减少</t>
    </r>
    <r>
      <rPr>
        <sz val="10"/>
        <rFont val="Arial Narrow"/>
        <charset val="134"/>
      </rPr>
      <t>(</t>
    </r>
    <r>
      <rPr>
        <sz val="10"/>
        <rFont val="宋体"/>
        <charset val="134"/>
      </rPr>
      <t>期初－期末</t>
    </r>
    <r>
      <rPr>
        <sz val="10"/>
        <rFont val="Arial Narrow"/>
        <charset val="134"/>
      </rPr>
      <t>)</t>
    </r>
  </si>
  <si>
    <r>
      <rPr>
        <sz val="10"/>
        <rFont val="宋体"/>
        <charset val="134"/>
      </rPr>
      <t>加</t>
    </r>
    <r>
      <rPr>
        <sz val="10"/>
        <rFont val="Arial Narrow"/>
        <charset val="134"/>
      </rPr>
      <t>:</t>
    </r>
    <r>
      <rPr>
        <sz val="10"/>
        <rFont val="宋体"/>
        <charset val="134"/>
      </rPr>
      <t>应付票据本期减少</t>
    </r>
    <r>
      <rPr>
        <sz val="10"/>
        <rFont val="Arial Narrow"/>
        <charset val="134"/>
      </rPr>
      <t>(</t>
    </r>
    <r>
      <rPr>
        <sz val="10"/>
        <rFont val="宋体"/>
        <charset val="134"/>
      </rPr>
      <t>期初－期末</t>
    </r>
    <r>
      <rPr>
        <sz val="10"/>
        <rFont val="Arial Narrow"/>
        <charset val="134"/>
      </rPr>
      <t>)</t>
    </r>
  </si>
  <si>
    <r>
      <rPr>
        <sz val="10"/>
        <rFont val="宋体"/>
        <charset val="134"/>
      </rPr>
      <t>加</t>
    </r>
    <r>
      <rPr>
        <sz val="10"/>
        <rFont val="Arial Narrow"/>
        <charset val="134"/>
      </rPr>
      <t>:</t>
    </r>
    <r>
      <rPr>
        <sz val="10"/>
        <rFont val="宋体"/>
        <charset val="134"/>
      </rPr>
      <t>预付账款的增加</t>
    </r>
    <r>
      <rPr>
        <sz val="10"/>
        <rFont val="Arial Narrow"/>
        <charset val="134"/>
      </rPr>
      <t>(</t>
    </r>
    <r>
      <rPr>
        <sz val="10"/>
        <rFont val="宋体"/>
        <charset val="134"/>
      </rPr>
      <t>期末－期初</t>
    </r>
    <r>
      <rPr>
        <sz val="10"/>
        <rFont val="Arial Narrow"/>
        <charset val="134"/>
      </rPr>
      <t>)</t>
    </r>
  </si>
  <si>
    <r>
      <rPr>
        <sz val="10"/>
        <rFont val="宋体"/>
        <charset val="134"/>
      </rPr>
      <t>加</t>
    </r>
    <r>
      <rPr>
        <sz val="10"/>
        <rFont val="Arial Narrow"/>
        <charset val="134"/>
      </rPr>
      <t>:</t>
    </r>
    <r>
      <rPr>
        <sz val="10"/>
        <rFont val="宋体"/>
        <charset val="134"/>
      </rPr>
      <t>长期应付款的减少</t>
    </r>
  </si>
  <si>
    <r>
      <rPr>
        <sz val="10"/>
        <rFont val="宋体"/>
        <charset val="134"/>
      </rPr>
      <t>减</t>
    </r>
    <r>
      <rPr>
        <sz val="10"/>
        <rFont val="Arial Narrow"/>
        <charset val="134"/>
      </rPr>
      <t>:</t>
    </r>
    <r>
      <rPr>
        <sz val="10"/>
        <rFont val="宋体"/>
        <charset val="134"/>
      </rPr>
      <t>应收抵应付</t>
    </r>
  </si>
  <si>
    <r>
      <rPr>
        <sz val="10"/>
        <rFont val="宋体"/>
        <charset val="134"/>
      </rPr>
      <t>减</t>
    </r>
    <r>
      <rPr>
        <sz val="10"/>
        <rFont val="Arial Narrow"/>
        <charset val="134"/>
      </rPr>
      <t>:</t>
    </r>
    <r>
      <rPr>
        <sz val="10"/>
        <rFont val="宋体"/>
        <charset val="134"/>
      </rPr>
      <t>应付票据中的利息</t>
    </r>
  </si>
  <si>
    <r>
      <rPr>
        <sz val="10"/>
        <rFont val="宋体"/>
        <charset val="134"/>
      </rPr>
      <t>（</t>
    </r>
    <r>
      <rPr>
        <sz val="10"/>
        <rFont val="Arial Narrow"/>
        <charset val="134"/>
      </rPr>
      <t>16</t>
    </r>
    <r>
      <rPr>
        <sz val="10"/>
        <rFont val="宋体"/>
        <charset val="134"/>
      </rPr>
      <t>）</t>
    </r>
  </si>
  <si>
    <r>
      <rPr>
        <sz val="10"/>
        <rFont val="宋体"/>
        <charset val="134"/>
      </rPr>
      <t>减</t>
    </r>
    <r>
      <rPr>
        <sz val="10"/>
        <rFont val="Arial Narrow"/>
        <charset val="134"/>
      </rPr>
      <t>:</t>
    </r>
    <r>
      <rPr>
        <sz val="10"/>
        <rFont val="宋体"/>
        <charset val="134"/>
      </rPr>
      <t>应付账款的核销</t>
    </r>
  </si>
  <si>
    <r>
      <rPr>
        <sz val="10"/>
        <rFont val="宋体"/>
        <charset val="134"/>
      </rPr>
      <t>（</t>
    </r>
    <r>
      <rPr>
        <sz val="10"/>
        <rFont val="Arial Narrow"/>
        <charset val="134"/>
      </rPr>
      <t>17</t>
    </r>
    <r>
      <rPr>
        <sz val="10"/>
        <rFont val="宋体"/>
        <charset val="134"/>
      </rPr>
      <t>）</t>
    </r>
  </si>
  <si>
    <t>减：非经营活动部份
=(19)+(20)+(21)</t>
  </si>
  <si>
    <r>
      <rPr>
        <sz val="10"/>
        <rFont val="宋体"/>
        <charset val="134"/>
      </rPr>
      <t>（</t>
    </r>
    <r>
      <rPr>
        <sz val="10"/>
        <rFont val="Arial Narrow"/>
        <charset val="134"/>
      </rPr>
      <t>18</t>
    </r>
    <r>
      <rPr>
        <sz val="10"/>
        <rFont val="宋体"/>
        <charset val="134"/>
      </rPr>
      <t>）</t>
    </r>
  </si>
  <si>
    <r>
      <rPr>
        <sz val="10"/>
        <rFont val="Arial Narrow"/>
        <charset val="134"/>
      </rPr>
      <t xml:space="preserve">    </t>
    </r>
    <r>
      <rPr>
        <sz val="10"/>
        <rFont val="宋体"/>
        <charset val="134"/>
      </rPr>
      <t>应付工程及设备款（期初</t>
    </r>
    <r>
      <rPr>
        <sz val="10"/>
        <rFont val="Arial Narrow"/>
        <charset val="134"/>
      </rPr>
      <t>-</t>
    </r>
    <r>
      <rPr>
        <sz val="10"/>
        <rFont val="宋体"/>
        <charset val="134"/>
      </rPr>
      <t>期末）</t>
    </r>
  </si>
  <si>
    <r>
      <rPr>
        <sz val="10"/>
        <rFont val="宋体"/>
        <charset val="134"/>
      </rPr>
      <t>（</t>
    </r>
    <r>
      <rPr>
        <sz val="10"/>
        <rFont val="Arial Narrow"/>
        <charset val="134"/>
      </rPr>
      <t>19</t>
    </r>
    <r>
      <rPr>
        <sz val="10"/>
        <rFont val="宋体"/>
        <charset val="134"/>
      </rPr>
      <t>）</t>
    </r>
  </si>
  <si>
    <r>
      <rPr>
        <sz val="10"/>
        <rFont val="Arial Narrow"/>
        <charset val="134"/>
      </rPr>
      <t xml:space="preserve">    </t>
    </r>
    <r>
      <rPr>
        <sz val="10"/>
        <rFont val="宋体"/>
        <charset val="134"/>
      </rPr>
      <t>预付工程及设备款</t>
    </r>
    <r>
      <rPr>
        <sz val="10"/>
        <rFont val="Arial Narrow"/>
        <charset val="134"/>
      </rPr>
      <t>(</t>
    </r>
    <r>
      <rPr>
        <sz val="10"/>
        <rFont val="宋体"/>
        <charset val="134"/>
      </rPr>
      <t>期末－期初</t>
    </r>
    <r>
      <rPr>
        <sz val="10"/>
        <rFont val="Arial Narrow"/>
        <charset val="134"/>
      </rPr>
      <t>)</t>
    </r>
  </si>
  <si>
    <r>
      <rPr>
        <sz val="10"/>
        <rFont val="宋体"/>
        <charset val="134"/>
      </rPr>
      <t>（</t>
    </r>
    <r>
      <rPr>
        <sz val="10"/>
        <rFont val="Arial Narrow"/>
        <charset val="134"/>
      </rPr>
      <t>20</t>
    </r>
    <r>
      <rPr>
        <sz val="10"/>
        <rFont val="宋体"/>
        <charset val="134"/>
      </rPr>
      <t>）</t>
    </r>
  </si>
  <si>
    <r>
      <rPr>
        <sz val="10"/>
        <rFont val="Arial Narrow"/>
        <charset val="134"/>
      </rPr>
      <t xml:space="preserve">    </t>
    </r>
    <r>
      <rPr>
        <sz val="10"/>
        <rFont val="宋体"/>
        <charset val="134"/>
      </rPr>
      <t>其他非经营性应付项目的调减项</t>
    </r>
  </si>
  <si>
    <r>
      <rPr>
        <sz val="10"/>
        <rFont val="宋体"/>
        <charset val="134"/>
      </rPr>
      <t>（</t>
    </r>
    <r>
      <rPr>
        <sz val="10"/>
        <rFont val="Arial Narrow"/>
        <charset val="134"/>
      </rPr>
      <t>21</t>
    </r>
    <r>
      <rPr>
        <sz val="10"/>
        <rFont val="宋体"/>
        <charset val="134"/>
      </rPr>
      <t>）</t>
    </r>
  </si>
  <si>
    <r>
      <rPr>
        <sz val="10"/>
        <rFont val="宋体"/>
        <charset val="134"/>
      </rPr>
      <t>加：预收账款中预提费用的增加额</t>
    </r>
    <r>
      <rPr>
        <sz val="10"/>
        <rFont val="Arial Narrow"/>
        <charset val="134"/>
      </rPr>
      <t>(</t>
    </r>
    <r>
      <rPr>
        <sz val="10"/>
        <rFont val="宋体"/>
        <charset val="134"/>
      </rPr>
      <t>期初－期末</t>
    </r>
    <r>
      <rPr>
        <sz val="10"/>
        <rFont val="Arial Narrow"/>
        <charset val="134"/>
      </rPr>
      <t>)</t>
    </r>
  </si>
  <si>
    <r>
      <rPr>
        <sz val="10"/>
        <rFont val="宋体"/>
        <charset val="134"/>
      </rPr>
      <t>（</t>
    </r>
    <r>
      <rPr>
        <sz val="10"/>
        <rFont val="Arial Narrow"/>
        <charset val="134"/>
      </rPr>
      <t>22</t>
    </r>
    <r>
      <rPr>
        <sz val="10"/>
        <rFont val="宋体"/>
        <charset val="134"/>
      </rPr>
      <t>）</t>
    </r>
  </si>
  <si>
    <t>测试结果：=(10)+(11)+(12)+(13)
-(14)-(15)-……-(17)-(18)+(22)</t>
  </si>
  <si>
    <t>二、支付给职工以及为职工支付的现金测试</t>
  </si>
  <si>
    <t>未支付数-12月工资+年终奖</t>
  </si>
  <si>
    <r>
      <rPr>
        <sz val="10"/>
        <rFont val="宋体"/>
        <charset val="134"/>
      </rPr>
      <t>列示在生产成本、制造费用、管理费用、销售费用的职工薪酬</t>
    </r>
  </si>
  <si>
    <r>
      <rPr>
        <sz val="10"/>
        <rFont val="宋体"/>
        <charset val="134"/>
      </rPr>
      <t>加：应付职工薪酬的减少（期初</t>
    </r>
    <r>
      <rPr>
        <sz val="10"/>
        <rFont val="Arial Narrow"/>
        <charset val="134"/>
      </rPr>
      <t>-</t>
    </r>
    <r>
      <rPr>
        <sz val="10"/>
        <rFont val="宋体"/>
        <charset val="134"/>
      </rPr>
      <t>期末）</t>
    </r>
  </si>
  <si>
    <t>费用</t>
  </si>
  <si>
    <r>
      <rPr>
        <sz val="10"/>
        <rFont val="宋体"/>
        <charset val="134"/>
      </rPr>
      <t>减：应付职工薪酬</t>
    </r>
    <r>
      <rPr>
        <sz val="10"/>
        <rFont val="Arial Narrow"/>
        <charset val="134"/>
      </rPr>
      <t>(</t>
    </r>
    <r>
      <rPr>
        <sz val="10"/>
        <rFont val="宋体"/>
        <charset val="134"/>
      </rPr>
      <t>开发支出</t>
    </r>
    <r>
      <rPr>
        <sz val="10"/>
        <rFont val="Arial Narrow"/>
        <charset val="134"/>
      </rPr>
      <t>-</t>
    </r>
    <r>
      <rPr>
        <sz val="10"/>
        <rFont val="宋体"/>
        <charset val="134"/>
      </rPr>
      <t>资本化</t>
    </r>
    <r>
      <rPr>
        <sz val="10"/>
        <rFont val="Arial Narrow"/>
        <charset val="134"/>
      </rPr>
      <t>)</t>
    </r>
    <r>
      <rPr>
        <sz val="10"/>
        <rFont val="宋体"/>
        <charset val="134"/>
      </rPr>
      <t>的减少（期初</t>
    </r>
    <r>
      <rPr>
        <sz val="10"/>
        <rFont val="Arial Narrow"/>
        <charset val="134"/>
      </rPr>
      <t>-</t>
    </r>
    <r>
      <rPr>
        <sz val="10"/>
        <rFont val="宋体"/>
        <charset val="134"/>
      </rPr>
      <t>期末）</t>
    </r>
  </si>
  <si>
    <t>计入投资活动</t>
  </si>
  <si>
    <r>
      <rPr>
        <sz val="10"/>
        <rFont val="宋体"/>
        <charset val="134"/>
      </rPr>
      <t>减：列示在当期成本费用中的非货币性职工薪酬</t>
    </r>
  </si>
  <si>
    <t>其他-个税期初期末差异</t>
  </si>
  <si>
    <t>实际未支付</t>
  </si>
  <si>
    <t>测试结果：
=(1)+(2)-(3)-(4)+(5)</t>
  </si>
  <si>
    <t>除工资以外的职工薪酬未通过应付职工薪酬核算所致。</t>
  </si>
  <si>
    <t>三、支付的各项税费的现金测试</t>
  </si>
  <si>
    <r>
      <rPr>
        <sz val="10"/>
        <rFont val="宋体"/>
        <charset val="134"/>
      </rPr>
      <t>增值税的实际缴纳额</t>
    </r>
  </si>
  <si>
    <r>
      <rPr>
        <sz val="10"/>
        <rFont val="Arial Narrow"/>
        <charset val="134"/>
      </rPr>
      <t>"</t>
    </r>
    <r>
      <rPr>
        <sz val="10"/>
        <rFont val="宋体"/>
        <charset val="134"/>
      </rPr>
      <t>应交税费</t>
    </r>
    <r>
      <rPr>
        <sz val="10"/>
        <rFont val="Arial Narrow"/>
        <charset val="134"/>
      </rPr>
      <t>"</t>
    </r>
    <r>
      <rPr>
        <sz val="10"/>
        <rFont val="宋体"/>
        <charset val="134"/>
      </rPr>
      <t>的借方发生额</t>
    </r>
    <r>
      <rPr>
        <sz val="10"/>
        <rFont val="Arial Narrow"/>
        <charset val="134"/>
      </rPr>
      <t>(</t>
    </r>
    <r>
      <rPr>
        <sz val="10"/>
        <rFont val="宋体"/>
        <charset val="134"/>
      </rPr>
      <t>除增值税外</t>
    </r>
    <r>
      <rPr>
        <sz val="10"/>
        <rFont val="Arial Narrow"/>
        <charset val="134"/>
      </rPr>
      <t>)</t>
    </r>
  </si>
  <si>
    <r>
      <rPr>
        <sz val="10"/>
        <rFont val="宋体"/>
        <charset val="134"/>
      </rPr>
      <t>直接通过</t>
    </r>
    <r>
      <rPr>
        <sz val="10"/>
        <rFont val="Arial Narrow"/>
        <charset val="134"/>
      </rPr>
      <t>“</t>
    </r>
    <r>
      <rPr>
        <sz val="10"/>
        <rFont val="宋体"/>
        <charset val="134"/>
      </rPr>
      <t>管理费用</t>
    </r>
    <r>
      <rPr>
        <sz val="10"/>
        <rFont val="Arial Narrow"/>
        <charset val="134"/>
      </rPr>
      <t>”</t>
    </r>
    <r>
      <rPr>
        <sz val="10"/>
        <rFont val="宋体"/>
        <charset val="134"/>
      </rPr>
      <t>科目、不通过</t>
    </r>
    <r>
      <rPr>
        <sz val="10"/>
        <rFont val="Arial Narrow"/>
        <charset val="134"/>
      </rPr>
      <t>“</t>
    </r>
    <r>
      <rPr>
        <sz val="10"/>
        <rFont val="宋体"/>
        <charset val="134"/>
      </rPr>
      <t>应交税金</t>
    </r>
    <r>
      <rPr>
        <sz val="10"/>
        <rFont val="Arial Narrow"/>
        <charset val="134"/>
      </rPr>
      <t>”</t>
    </r>
    <r>
      <rPr>
        <sz val="10"/>
        <rFont val="宋体"/>
        <charset val="134"/>
      </rPr>
      <t>科目核算的印花税</t>
    </r>
  </si>
  <si>
    <r>
      <rPr>
        <sz val="10"/>
        <rFont val="宋体"/>
        <charset val="134"/>
      </rPr>
      <t>减</t>
    </r>
    <r>
      <rPr>
        <sz val="10"/>
        <rFont val="Arial Narrow"/>
        <charset val="134"/>
      </rPr>
      <t>:</t>
    </r>
    <r>
      <rPr>
        <sz val="10"/>
        <rFont val="宋体"/>
        <charset val="134"/>
      </rPr>
      <t>由在建工程负担的耕地占用税的付现额</t>
    </r>
  </si>
  <si>
    <r>
      <rPr>
        <sz val="10"/>
        <rFont val="宋体"/>
        <charset val="134"/>
      </rPr>
      <t>减</t>
    </r>
    <r>
      <rPr>
        <sz val="10"/>
        <rFont val="Arial Narrow"/>
        <charset val="134"/>
      </rPr>
      <t>:</t>
    </r>
    <r>
      <rPr>
        <sz val="10"/>
        <rFont val="宋体"/>
        <charset val="134"/>
      </rPr>
      <t>处置固定资产无形资产营业税税金现的付现额</t>
    </r>
  </si>
  <si>
    <t>测试结果：=(1)+(2)+(3)-(4)-(5)…</t>
  </si>
  <si>
    <t>本期应交税费借方总额</t>
  </si>
  <si>
    <t>个税</t>
  </si>
  <si>
    <t>三、支付的其他与经营活动有关收到的现金测试</t>
  </si>
  <si>
    <r>
      <rPr>
        <sz val="10"/>
        <rFont val="宋体"/>
        <charset val="134"/>
      </rPr>
      <t>财务费用账户</t>
    </r>
    <r>
      <rPr>
        <sz val="10"/>
        <rFont val="Arial Narrow"/>
        <charset val="134"/>
      </rPr>
      <t>--</t>
    </r>
    <r>
      <rPr>
        <sz val="10"/>
        <rFont val="宋体"/>
        <charset val="134"/>
      </rPr>
      <t>银行手续费</t>
    </r>
  </si>
  <si>
    <r>
      <rPr>
        <sz val="10"/>
        <rFont val="宋体"/>
        <charset val="134"/>
      </rPr>
      <t>管理</t>
    </r>
    <r>
      <rPr>
        <sz val="10"/>
        <rFont val="Arial Narrow"/>
        <charset val="134"/>
      </rPr>
      <t>\</t>
    </r>
    <r>
      <rPr>
        <sz val="10"/>
        <rFont val="宋体"/>
        <charset val="134"/>
      </rPr>
      <t>经营费用</t>
    </r>
  </si>
  <si>
    <r>
      <rPr>
        <sz val="10"/>
        <rFont val="Arial Narrow"/>
        <charset val="134"/>
      </rPr>
      <t xml:space="preserve">              </t>
    </r>
    <r>
      <rPr>
        <sz val="10"/>
        <rFont val="宋体"/>
        <charset val="134"/>
      </rPr>
      <t>承兑汇票保证金</t>
    </r>
  </si>
  <si>
    <t>本期支付上年费用</t>
  </si>
  <si>
    <r>
      <rPr>
        <sz val="10"/>
        <rFont val="宋体"/>
        <charset val="134"/>
      </rPr>
      <t>未付现费用-15</t>
    </r>
    <r>
      <rPr>
        <sz val="12"/>
        <rFont val="宋体"/>
        <charset val="134"/>
      </rPr>
      <t>年</t>
    </r>
  </si>
  <si>
    <t xml:space="preserve">      往来款</t>
  </si>
  <si>
    <r>
      <rPr>
        <sz val="10"/>
        <rFont val="Arial Narrow"/>
        <charset val="134"/>
      </rPr>
      <t xml:space="preserve">              </t>
    </r>
    <r>
      <rPr>
        <sz val="10"/>
        <rFont val="宋体"/>
        <charset val="134"/>
      </rPr>
      <t>履约、投标保证金</t>
    </r>
  </si>
  <si>
    <t>测试结果：=(1)+(2)+…...+(16)</t>
  </si>
  <si>
    <r>
      <rPr>
        <b/>
        <sz val="14"/>
        <rFont val="宋体"/>
        <charset val="134"/>
      </rPr>
      <t>投资活动现金流入测试</t>
    </r>
  </si>
  <si>
    <r>
      <rPr>
        <b/>
        <sz val="10"/>
        <rFont val="宋体"/>
        <charset val="134"/>
      </rPr>
      <t>一、收回投资收到的现金测试</t>
    </r>
  </si>
  <si>
    <r>
      <rPr>
        <sz val="10"/>
        <rFont val="宋体"/>
        <charset val="134"/>
      </rPr>
      <t>收回交易性金融资产的现金额</t>
    </r>
  </si>
  <si>
    <r>
      <rPr>
        <sz val="10"/>
        <rFont val="宋体"/>
        <charset val="134"/>
      </rPr>
      <t>收回可供出售金融资产的现金额</t>
    </r>
  </si>
  <si>
    <r>
      <rPr>
        <sz val="10"/>
        <rFont val="宋体"/>
        <charset val="134"/>
      </rPr>
      <t>收回长期股权投资收回的现金额</t>
    </r>
  </si>
  <si>
    <r>
      <rPr>
        <sz val="10"/>
        <rFont val="宋体"/>
        <charset val="134"/>
      </rPr>
      <t>收回持有至到期投资本金收回的现金额</t>
    </r>
  </si>
  <si>
    <r>
      <rPr>
        <sz val="10"/>
        <rFont val="宋体"/>
        <charset val="134"/>
      </rPr>
      <t>出售投资性房地产而收到的现金</t>
    </r>
  </si>
  <si>
    <t>银行理财产品-其他流动资产</t>
  </si>
  <si>
    <t>测试结果：=(1)+(2)+…...+(5)…</t>
  </si>
  <si>
    <r>
      <rPr>
        <b/>
        <sz val="10"/>
        <rFont val="宋体"/>
        <charset val="134"/>
      </rPr>
      <t>二、取得投资收益收到的现金测试</t>
    </r>
  </si>
  <si>
    <r>
      <rPr>
        <sz val="10"/>
        <rFont val="宋体"/>
        <charset val="134"/>
      </rPr>
      <t>股权投资分得的现金股利</t>
    </r>
  </si>
  <si>
    <r>
      <rPr>
        <sz val="10"/>
        <rFont val="宋体"/>
        <charset val="134"/>
      </rPr>
      <t>应收股利、投资收益</t>
    </r>
  </si>
  <si>
    <r>
      <rPr>
        <sz val="10"/>
        <rFont val="宋体"/>
        <charset val="134"/>
      </rPr>
      <t>子公司、联营企业、合营企业分回的利润</t>
    </r>
  </si>
  <si>
    <r>
      <rPr>
        <sz val="10"/>
        <rFont val="宋体"/>
        <charset val="134"/>
      </rPr>
      <t>持有至到期投资的现金利息收入</t>
    </r>
  </si>
  <si>
    <r>
      <rPr>
        <sz val="10"/>
        <rFont val="宋体"/>
        <charset val="134"/>
      </rPr>
      <t>应收利息、投资收益</t>
    </r>
  </si>
  <si>
    <t>银行理财产品收益</t>
  </si>
  <si>
    <t>投资收益</t>
  </si>
  <si>
    <t>测试结果：=(1)+(2)+(3)</t>
  </si>
  <si>
    <r>
      <rPr>
        <b/>
        <sz val="10"/>
        <rFont val="宋体"/>
        <charset val="134"/>
      </rPr>
      <t>三、处置固定资产、无形资产和其他资产收回的现金净额测试</t>
    </r>
  </si>
  <si>
    <r>
      <rPr>
        <sz val="10"/>
        <rFont val="宋体"/>
        <charset val="134"/>
      </rPr>
      <t>出售固定资产、无形资产和其他资产取得的现金</t>
    </r>
  </si>
  <si>
    <r>
      <rPr>
        <sz val="10"/>
        <rFont val="宋体"/>
        <charset val="134"/>
      </rPr>
      <t>固定资产清理、无形资产、营业外收入</t>
    </r>
  </si>
  <si>
    <r>
      <rPr>
        <sz val="10"/>
        <rFont val="宋体"/>
        <charset val="134"/>
      </rPr>
      <t>处置上述资产发生的税费支付的现金</t>
    </r>
  </si>
  <si>
    <r>
      <rPr>
        <sz val="10"/>
        <rFont val="宋体"/>
        <charset val="134"/>
      </rPr>
      <t>由于自然灾害等原因所造成的固定资产的长期资产报废、毁损而收到的保险赔偿款</t>
    </r>
  </si>
  <si>
    <r>
      <rPr>
        <sz val="10"/>
        <rFont val="宋体"/>
        <charset val="134"/>
      </rPr>
      <t>固定资产清理、其他应收款</t>
    </r>
  </si>
  <si>
    <t>测试结果：=(1)-(2)+(3)</t>
  </si>
  <si>
    <r>
      <rPr>
        <b/>
        <sz val="10"/>
        <rFont val="宋体"/>
        <charset val="134"/>
      </rPr>
      <t>四、处置子公司及其他经营单位收到的现金净额测试</t>
    </r>
  </si>
  <si>
    <t>本期处置子公司于本期收到的现金或现金等价物</t>
  </si>
  <si>
    <r>
      <rPr>
        <sz val="9"/>
        <color theme="1"/>
        <rFont val="宋体"/>
        <charset val="134"/>
      </rPr>
      <t>其中：处置</t>
    </r>
    <r>
      <rPr>
        <sz val="9"/>
        <color theme="1"/>
        <rFont val="Arial Narrow"/>
        <charset val="134"/>
      </rPr>
      <t>XX</t>
    </r>
    <r>
      <rPr>
        <sz val="9"/>
        <color theme="1"/>
        <rFont val="宋体"/>
        <charset val="134"/>
      </rPr>
      <t>公司</t>
    </r>
  </si>
  <si>
    <r>
      <rPr>
        <sz val="9"/>
        <color theme="1"/>
        <rFont val="Arial Narrow"/>
        <charset val="134"/>
      </rPr>
      <t>XX</t>
    </r>
    <r>
      <rPr>
        <sz val="9"/>
        <color theme="1"/>
        <rFont val="宋体"/>
        <charset val="134"/>
      </rPr>
      <t>公司</t>
    </r>
  </si>
  <si>
    <t>减：丧失控制权日子公司持有的现金及现金等价物</t>
  </si>
  <si>
    <r>
      <rPr>
        <sz val="9"/>
        <color theme="1"/>
        <rFont val="宋体"/>
        <charset val="134"/>
      </rPr>
      <t>其中：</t>
    </r>
    <r>
      <rPr>
        <sz val="9"/>
        <color theme="1"/>
        <rFont val="Arial Narrow"/>
        <charset val="134"/>
      </rPr>
      <t>XX</t>
    </r>
    <r>
      <rPr>
        <sz val="9"/>
        <color theme="1"/>
        <rFont val="宋体"/>
        <charset val="134"/>
      </rPr>
      <t>公司</t>
    </r>
  </si>
  <si>
    <t>加：以前期间处置子公司并于本期收到的现金或现金等价物</t>
  </si>
  <si>
    <t>注：测试差异应调整，或调整测试结果计算过程中的数据</t>
  </si>
  <si>
    <r>
      <rPr>
        <b/>
        <sz val="10"/>
        <rFont val="宋体"/>
        <charset val="134"/>
      </rPr>
      <t>五、收到的其他与投资活动有关的现金测试</t>
    </r>
  </si>
  <si>
    <r>
      <rPr>
        <sz val="10"/>
        <rFont val="宋体"/>
        <charset val="134"/>
      </rPr>
      <t>收到购买股票或债券所支付的款项中所包含的已到期尚未收到的股利或已到期尚未领取的利息</t>
    </r>
  </si>
  <si>
    <r>
      <rPr>
        <sz val="10"/>
        <rFont val="宋体"/>
        <charset val="134"/>
      </rPr>
      <t>取得子公司及其他营业单位支付的现金净额为负数时</t>
    </r>
  </si>
  <si>
    <r>
      <rPr>
        <b/>
        <sz val="14"/>
        <rFont val="宋体"/>
        <charset val="134"/>
      </rPr>
      <t>投资活动现金流出测试</t>
    </r>
  </si>
  <si>
    <r>
      <rPr>
        <b/>
        <sz val="10"/>
        <rFont val="宋体"/>
        <charset val="134"/>
      </rPr>
      <t>一、购建固定资产、无形资产和其他长期资产支付的现金测试</t>
    </r>
  </si>
  <si>
    <r>
      <rPr>
        <sz val="10"/>
        <rFont val="宋体"/>
        <charset val="134"/>
      </rPr>
      <t>固定资产、无形资产、和其他长期资产的增加额</t>
    </r>
  </si>
  <si>
    <r>
      <rPr>
        <sz val="10"/>
        <rFont val="宋体"/>
        <charset val="134"/>
      </rPr>
      <t>固定资产、在建工程、工程物资、无形资产等科目</t>
    </r>
  </si>
  <si>
    <r>
      <rPr>
        <sz val="10"/>
        <rFont val="宋体"/>
        <charset val="134"/>
      </rPr>
      <t>购买固定资产允许抵扣的进项税</t>
    </r>
  </si>
  <si>
    <r>
      <rPr>
        <sz val="10"/>
        <rFont val="宋体"/>
        <charset val="134"/>
      </rPr>
      <t>应交增值税进项税</t>
    </r>
  </si>
  <si>
    <r>
      <rPr>
        <sz val="10"/>
        <rFont val="宋体"/>
        <charset val="134"/>
      </rPr>
      <t>加：应付工程及设备款（期初</t>
    </r>
    <r>
      <rPr>
        <sz val="10"/>
        <rFont val="Arial Narrow"/>
        <charset val="134"/>
      </rPr>
      <t>-</t>
    </r>
    <r>
      <rPr>
        <sz val="10"/>
        <rFont val="宋体"/>
        <charset val="134"/>
      </rPr>
      <t>期末）</t>
    </r>
  </si>
  <si>
    <r>
      <rPr>
        <sz val="10"/>
        <rFont val="宋体"/>
        <charset val="134"/>
      </rPr>
      <t>加：预付工程及设备款（期末</t>
    </r>
    <r>
      <rPr>
        <sz val="10"/>
        <rFont val="Arial Narrow"/>
        <charset val="134"/>
      </rPr>
      <t>-</t>
    </r>
    <r>
      <rPr>
        <sz val="10"/>
        <rFont val="宋体"/>
        <charset val="134"/>
      </rPr>
      <t>期初）</t>
    </r>
  </si>
  <si>
    <r>
      <rPr>
        <sz val="10"/>
        <rFont val="宋体"/>
        <charset val="134"/>
      </rPr>
      <t>预付账款</t>
    </r>
  </si>
  <si>
    <r>
      <rPr>
        <sz val="10"/>
        <rFont val="宋体"/>
        <charset val="134"/>
      </rPr>
      <t>加：应付职工薪酬</t>
    </r>
    <r>
      <rPr>
        <sz val="10"/>
        <rFont val="Arial Narrow"/>
        <charset val="134"/>
      </rPr>
      <t>(</t>
    </r>
    <r>
      <rPr>
        <sz val="10"/>
        <rFont val="宋体"/>
        <charset val="134"/>
      </rPr>
      <t>在建工程</t>
    </r>
    <r>
      <rPr>
        <sz val="10"/>
        <rFont val="Arial Narrow"/>
        <charset val="134"/>
      </rPr>
      <t>)</t>
    </r>
    <r>
      <rPr>
        <sz val="10"/>
        <rFont val="宋体"/>
        <charset val="134"/>
      </rPr>
      <t>（期初</t>
    </r>
    <r>
      <rPr>
        <sz val="10"/>
        <rFont val="Arial Narrow"/>
        <charset val="134"/>
      </rPr>
      <t>-</t>
    </r>
    <r>
      <rPr>
        <sz val="10"/>
        <rFont val="宋体"/>
        <charset val="134"/>
      </rPr>
      <t>期末）</t>
    </r>
  </si>
  <si>
    <r>
      <rPr>
        <sz val="10"/>
        <rFont val="宋体"/>
        <charset val="134"/>
      </rPr>
      <t>减：购建固定资产、无形资产、长期资产发生的借款利息资本化部分</t>
    </r>
  </si>
  <si>
    <r>
      <rPr>
        <sz val="10"/>
        <rFont val="宋体"/>
        <charset val="134"/>
      </rPr>
      <t>固定资产、在建工程、无形资产等科目</t>
    </r>
  </si>
  <si>
    <r>
      <rPr>
        <sz val="10"/>
        <rFont val="宋体"/>
        <charset val="134"/>
      </rPr>
      <t>减：投资投入、非货币性交换、债务重组等非购入增加固定资产、无形资产和其他长期资产的增加额</t>
    </r>
  </si>
  <si>
    <r>
      <rPr>
        <sz val="10"/>
        <rFont val="宋体"/>
        <charset val="134"/>
      </rPr>
      <t>结合长期股权投资、非货性资产交换、债务重组审计工作抵稿填列</t>
    </r>
  </si>
  <si>
    <r>
      <rPr>
        <sz val="10"/>
        <rFont val="宋体"/>
        <charset val="134"/>
      </rPr>
      <t>减</t>
    </r>
    <r>
      <rPr>
        <sz val="10"/>
        <rFont val="Arial Narrow"/>
        <charset val="134"/>
      </rPr>
      <t>:</t>
    </r>
    <r>
      <rPr>
        <sz val="10"/>
        <rFont val="宋体"/>
        <charset val="134"/>
      </rPr>
      <t>融资租入增加的固定资产</t>
    </r>
  </si>
  <si>
    <r>
      <rPr>
        <sz val="10"/>
        <rFont val="宋体"/>
        <charset val="134"/>
      </rPr>
      <t>结合审计工作底稿填列</t>
    </r>
  </si>
  <si>
    <r>
      <rPr>
        <sz val="10"/>
        <rFont val="宋体"/>
        <charset val="134"/>
      </rPr>
      <t>其他因素</t>
    </r>
  </si>
  <si>
    <t>本期领用的上期购入存货</t>
  </si>
  <si>
    <t>测试结果：=(1)+(2)+(3)+(4)+(5)
-(6)-(7)-（8）</t>
  </si>
  <si>
    <r>
      <rPr>
        <b/>
        <sz val="10"/>
        <rFont val="宋体"/>
        <charset val="134"/>
      </rPr>
      <t>二、投资所支付的现金测试</t>
    </r>
  </si>
  <si>
    <r>
      <rPr>
        <sz val="10"/>
        <rFont val="宋体"/>
        <charset val="134"/>
      </rPr>
      <t>取得除现金等价物以外的交易性金融资产、持有至到期投资、可供出售金融资产而支付的现金以及支付的佣金、手续费等交易费用</t>
    </r>
  </si>
  <si>
    <r>
      <rPr>
        <sz val="10"/>
        <rFont val="宋体"/>
        <charset val="134"/>
      </rPr>
      <t>交易性金融资产、持有至到期投资、可供出售金融资产</t>
    </r>
  </si>
  <si>
    <r>
      <rPr>
        <sz val="10"/>
        <rFont val="宋体"/>
        <charset val="134"/>
      </rPr>
      <t>除对子公司投资之外的长期股权投资支付的现金</t>
    </r>
  </si>
  <si>
    <r>
      <rPr>
        <sz val="10"/>
        <rFont val="宋体"/>
        <charset val="134"/>
      </rPr>
      <t>取得投资性房地产所支付的现金</t>
    </r>
  </si>
  <si>
    <t>银行理财产品</t>
  </si>
  <si>
    <r>
      <rPr>
        <b/>
        <sz val="10"/>
        <rFont val="宋体"/>
        <charset val="134"/>
      </rPr>
      <t>三、取得子公司及其他营业单位支付的现金净额测试</t>
    </r>
  </si>
  <si>
    <t>本期发生的企业合并于本期支付的现金或现金等价物</t>
  </si>
  <si>
    <t>其中：蓝博万</t>
  </si>
  <si>
    <t>减：购买日子公司持有的现金及现金等价物</t>
  </si>
  <si>
    <t>加：以前期间发生的企业合并于本期支付的现金或现金等价物</t>
  </si>
  <si>
    <r>
      <rPr>
        <b/>
        <sz val="10"/>
        <rFont val="宋体"/>
        <charset val="134"/>
      </rPr>
      <t>四、支付的其他与投资活动有关的现金测试</t>
    </r>
  </si>
  <si>
    <r>
      <rPr>
        <sz val="10"/>
        <rFont val="宋体"/>
        <charset val="134"/>
      </rPr>
      <t>购买股票或债券所支付的款项中所包含的已到期尚未收到的股利或已到期尚未领取的利息</t>
    </r>
  </si>
  <si>
    <r>
      <rPr>
        <sz val="10"/>
        <rFont val="宋体"/>
        <charset val="134"/>
      </rPr>
      <t>处置子公司及其他营业单位收到的现金净额为负数时</t>
    </r>
  </si>
  <si>
    <r>
      <rPr>
        <sz val="10"/>
        <rFont val="宋体"/>
        <charset val="134"/>
      </rPr>
      <t>处置固定资产、无形资产和其他资产收回的现金净额为负数时</t>
    </r>
  </si>
  <si>
    <t>定期存款</t>
  </si>
  <si>
    <r>
      <rPr>
        <b/>
        <sz val="14"/>
        <rFont val="宋体"/>
        <charset val="134"/>
      </rPr>
      <t>筹资活动现金流入测试</t>
    </r>
  </si>
  <si>
    <r>
      <rPr>
        <b/>
        <sz val="10"/>
        <rFont val="宋体"/>
        <charset val="134"/>
      </rPr>
      <t>一、吸收投资所收到的现金测试</t>
    </r>
  </si>
  <si>
    <r>
      <rPr>
        <sz val="10"/>
        <rFont val="宋体"/>
        <charset val="134"/>
      </rPr>
      <t>发行股票收到的现金净额</t>
    </r>
  </si>
  <si>
    <r>
      <rPr>
        <sz val="10"/>
        <rFont val="宋体"/>
        <charset val="134"/>
      </rPr>
      <t>实收资本、资本公积</t>
    </r>
  </si>
  <si>
    <r>
      <rPr>
        <sz val="10"/>
        <rFont val="宋体"/>
        <charset val="134"/>
      </rPr>
      <t>发行债券收到的现金净额</t>
    </r>
  </si>
  <si>
    <t>子公司吸收少数股东投资收到的现金</t>
  </si>
  <si>
    <t>未计入子公司吸收少数股东投资收到的现金</t>
  </si>
  <si>
    <r>
      <rPr>
        <b/>
        <sz val="10"/>
        <rFont val="宋体"/>
        <charset val="134"/>
      </rPr>
      <t>二、取得借款收到的现金测试</t>
    </r>
  </si>
  <si>
    <r>
      <rPr>
        <sz val="10"/>
        <rFont val="宋体"/>
        <charset val="134"/>
      </rPr>
      <t>长期借款收到的现金</t>
    </r>
  </si>
  <si>
    <r>
      <rPr>
        <sz val="10"/>
        <rFont val="宋体"/>
        <charset val="134"/>
      </rPr>
      <t>短期借款收到的现金</t>
    </r>
  </si>
  <si>
    <t>测试结果：=(1)+(2)</t>
  </si>
  <si>
    <r>
      <rPr>
        <b/>
        <sz val="10"/>
        <rFont val="宋体"/>
        <charset val="134"/>
      </rPr>
      <t>三、收到的其他与筹资活动有关的现金测试</t>
    </r>
  </si>
  <si>
    <r>
      <rPr>
        <sz val="10"/>
        <rFont val="宋体"/>
        <charset val="134"/>
      </rPr>
      <t>接受现金捐赠</t>
    </r>
  </si>
  <si>
    <r>
      <rPr>
        <sz val="10"/>
        <rFont val="宋体"/>
        <charset val="134"/>
      </rPr>
      <t>其他筹资收现</t>
    </r>
  </si>
  <si>
    <r>
      <rPr>
        <b/>
        <sz val="16"/>
        <rFont val="宋体"/>
        <charset val="134"/>
      </rPr>
      <t>筹资活动活动现金流出测试</t>
    </r>
  </si>
  <si>
    <r>
      <rPr>
        <b/>
        <sz val="10"/>
        <rFont val="宋体"/>
        <charset val="134"/>
      </rPr>
      <t>一、偿还债务所支付的现金测试</t>
    </r>
  </si>
  <si>
    <r>
      <rPr>
        <sz val="10"/>
        <rFont val="宋体"/>
        <charset val="134"/>
      </rPr>
      <t>偿还短期借款本金付现额</t>
    </r>
  </si>
  <si>
    <r>
      <rPr>
        <sz val="10"/>
        <rFont val="宋体"/>
        <charset val="134"/>
      </rPr>
      <t>偿还长期借款本金付现额</t>
    </r>
  </si>
  <si>
    <t>长期借款-期初自其他应付款转入系股东借款给公司使用</t>
  </si>
  <si>
    <r>
      <rPr>
        <sz val="10"/>
        <rFont val="宋体"/>
        <charset val="134"/>
      </rPr>
      <t>偿付到期债券本金付现额</t>
    </r>
  </si>
  <si>
    <t>偿付长期应付款付现额</t>
  </si>
  <si>
    <r>
      <rPr>
        <sz val="10"/>
        <rFont val="宋体"/>
        <charset val="134"/>
      </rPr>
      <t>（</t>
    </r>
    <r>
      <rPr>
        <sz val="10"/>
        <rFont val="Arial Narrow"/>
        <charset val="134"/>
      </rPr>
      <t>4）</t>
    </r>
  </si>
  <si>
    <t>测试结果：=(1)+(2)+(3)+（4）</t>
  </si>
  <si>
    <r>
      <rPr>
        <b/>
        <sz val="10"/>
        <rFont val="宋体"/>
        <charset val="134"/>
      </rPr>
      <t>二、分配股利、利润或偿付利息所支付的现金测试</t>
    </r>
  </si>
  <si>
    <r>
      <rPr>
        <sz val="10"/>
        <rFont val="宋体"/>
        <charset val="134"/>
      </rPr>
      <t>支付的现金股利</t>
    </r>
  </si>
  <si>
    <r>
      <rPr>
        <sz val="10"/>
        <rFont val="宋体"/>
        <charset val="134"/>
      </rPr>
      <t>应付股利、利润分配</t>
    </r>
  </si>
  <si>
    <r>
      <rPr>
        <sz val="10"/>
        <rFont val="宋体"/>
        <charset val="134"/>
      </rPr>
      <t>支付给其他投资单位的现金利润</t>
    </r>
  </si>
  <si>
    <r>
      <rPr>
        <sz val="10"/>
        <rFont val="宋体"/>
        <charset val="134"/>
      </rPr>
      <t>应付利息、利润分配</t>
    </r>
  </si>
  <si>
    <r>
      <rPr>
        <sz val="10"/>
        <rFont val="宋体"/>
        <charset val="134"/>
      </rPr>
      <t>支付的长短期借款利息</t>
    </r>
  </si>
  <si>
    <r>
      <rPr>
        <sz val="10"/>
        <rFont val="宋体"/>
        <charset val="134"/>
      </rPr>
      <t>财务费用、在建工程、研发费用、应付利息</t>
    </r>
  </si>
  <si>
    <r>
      <rPr>
        <sz val="10"/>
        <rFont val="宋体"/>
        <charset val="134"/>
      </rPr>
      <t>支付的债券利息</t>
    </r>
  </si>
  <si>
    <r>
      <rPr>
        <sz val="10"/>
        <rFont val="宋体"/>
        <charset val="134"/>
      </rPr>
      <t>财务费用、在建工程、研发费用、应付债券</t>
    </r>
  </si>
  <si>
    <t>子公司支付给少数股东的股利、利润</t>
  </si>
  <si>
    <r>
      <rPr>
        <sz val="10"/>
        <rFont val="宋体"/>
        <charset val="134"/>
      </rPr>
      <t>（</t>
    </r>
    <r>
      <rPr>
        <sz val="10"/>
        <rFont val="Arial Narrow"/>
        <charset val="134"/>
      </rPr>
      <t>5）</t>
    </r>
  </si>
  <si>
    <t>测试结果：=(1)+(2)+(3)+(4)+(5)</t>
  </si>
  <si>
    <r>
      <rPr>
        <b/>
        <sz val="10"/>
        <rFont val="宋体"/>
        <charset val="134"/>
      </rPr>
      <t>三、支付的其他与筹资活动有关的现金测试</t>
    </r>
  </si>
  <si>
    <r>
      <rPr>
        <sz val="10"/>
        <rFont val="宋体"/>
        <charset val="134"/>
      </rPr>
      <t>融资租入固定资产所支付的租赁费</t>
    </r>
  </si>
  <si>
    <r>
      <rPr>
        <sz val="10"/>
        <rFont val="宋体"/>
        <charset val="134"/>
      </rPr>
      <t>发行股票债券直接支付的手续费、宣传费、咨询费等费用</t>
    </r>
  </si>
  <si>
    <r>
      <rPr>
        <sz val="10"/>
        <rFont val="宋体"/>
        <charset val="134"/>
      </rPr>
      <t>管理费用等</t>
    </r>
  </si>
  <si>
    <r>
      <rPr>
        <sz val="10"/>
        <rFont val="宋体"/>
        <charset val="134"/>
      </rPr>
      <t>现金捐赠支出</t>
    </r>
  </si>
  <si>
    <r>
      <rPr>
        <sz val="10"/>
        <rFont val="宋体"/>
        <charset val="134"/>
      </rPr>
      <t>商业承况汇票贴现息</t>
    </r>
  </si>
  <si>
    <t>测试结果：=(1)+(2)+(3)+（4)</t>
  </si>
  <si>
    <r>
      <rPr>
        <b/>
        <sz val="14"/>
        <rFont val="宋体"/>
        <charset val="134"/>
      </rPr>
      <t>现金流量表补充资料测试</t>
    </r>
  </si>
  <si>
    <r>
      <rPr>
        <b/>
        <sz val="10"/>
        <rFont val="宋体"/>
        <charset val="134"/>
      </rPr>
      <t>一、财务费用</t>
    </r>
  </si>
  <si>
    <r>
      <rPr>
        <sz val="10"/>
        <rFont val="宋体"/>
        <charset val="134"/>
      </rPr>
      <t>长短期借款利息</t>
    </r>
  </si>
  <si>
    <r>
      <rPr>
        <sz val="10"/>
        <rFont val="宋体"/>
        <charset val="134"/>
      </rPr>
      <t>债券利息</t>
    </r>
  </si>
  <si>
    <r>
      <rPr>
        <sz val="10"/>
        <rFont val="宋体"/>
        <charset val="134"/>
      </rPr>
      <t>其他非经营活动的财务费用</t>
    </r>
  </si>
  <si>
    <t>测试结果：=(1)+(2)+(3)+(4)</t>
  </si>
  <si>
    <r>
      <rPr>
        <b/>
        <sz val="10"/>
        <rFont val="宋体"/>
        <charset val="134"/>
      </rPr>
      <t>二、存货的减少（</t>
    </r>
    <r>
      <rPr>
        <b/>
        <sz val="10"/>
        <rFont val="Arial Narrow"/>
        <charset val="134"/>
      </rPr>
      <t>“</t>
    </r>
    <r>
      <rPr>
        <b/>
        <sz val="10"/>
        <rFont val="宋体"/>
        <charset val="134"/>
      </rPr>
      <t>一</t>
    </r>
    <r>
      <rPr>
        <b/>
        <sz val="10"/>
        <rFont val="Arial Narrow"/>
        <charset val="134"/>
      </rPr>
      <t>”</t>
    </r>
    <r>
      <rPr>
        <b/>
        <sz val="10"/>
        <rFont val="宋体"/>
        <charset val="134"/>
      </rPr>
      <t>增加）</t>
    </r>
  </si>
  <si>
    <r>
      <rPr>
        <sz val="10"/>
        <rFont val="宋体"/>
        <charset val="134"/>
      </rPr>
      <t>存货的减少（期初－期末）</t>
    </r>
  </si>
  <si>
    <r>
      <rPr>
        <sz val="10"/>
        <rFont val="宋体"/>
        <charset val="134"/>
      </rPr>
      <t>加：工程项目领用、投资、盘亏、报废、捐赠等影响存货的减少数</t>
    </r>
  </si>
  <si>
    <r>
      <rPr>
        <sz val="10"/>
        <rFont val="宋体"/>
        <charset val="134"/>
      </rPr>
      <t>减</t>
    </r>
    <r>
      <rPr>
        <sz val="10"/>
        <rFont val="Arial Narrow"/>
        <charset val="134"/>
      </rPr>
      <t>:</t>
    </r>
    <r>
      <rPr>
        <sz val="10"/>
        <rFont val="宋体"/>
        <charset val="134"/>
      </rPr>
      <t>投资投入、非货币性交换、债务重组等非购入增加存货</t>
    </r>
  </si>
  <si>
    <r>
      <rPr>
        <b/>
        <sz val="10"/>
        <rFont val="宋体"/>
        <charset val="134"/>
      </rPr>
      <t>三、经营性应收的减少（</t>
    </r>
    <r>
      <rPr>
        <b/>
        <sz val="10"/>
        <rFont val="Arial Narrow"/>
        <charset val="134"/>
      </rPr>
      <t>“</t>
    </r>
    <r>
      <rPr>
        <b/>
        <sz val="10"/>
        <rFont val="宋体"/>
        <charset val="134"/>
      </rPr>
      <t>一</t>
    </r>
    <r>
      <rPr>
        <b/>
        <sz val="10"/>
        <rFont val="Arial Narrow"/>
        <charset val="134"/>
      </rPr>
      <t>”</t>
    </r>
    <r>
      <rPr>
        <b/>
        <sz val="10"/>
        <rFont val="宋体"/>
        <charset val="134"/>
      </rPr>
      <t>增加）</t>
    </r>
  </si>
  <si>
    <r>
      <rPr>
        <sz val="10"/>
        <rFont val="Arial Narrow"/>
        <charset val="134"/>
      </rPr>
      <t xml:space="preserve">    </t>
    </r>
    <r>
      <rPr>
        <sz val="10"/>
        <rFont val="宋体"/>
        <charset val="134"/>
      </rPr>
      <t>其他应收款的减少</t>
    </r>
    <r>
      <rPr>
        <sz val="10"/>
        <rFont val="Arial Narrow"/>
        <charset val="134"/>
      </rPr>
      <t>(</t>
    </r>
    <r>
      <rPr>
        <sz val="10"/>
        <rFont val="宋体"/>
        <charset val="134"/>
      </rPr>
      <t>期初－期末</t>
    </r>
    <r>
      <rPr>
        <sz val="10"/>
        <rFont val="Arial Narrow"/>
        <charset val="134"/>
      </rPr>
      <t>)</t>
    </r>
  </si>
  <si>
    <r>
      <rPr>
        <sz val="10"/>
        <rFont val="Arial Narrow"/>
        <charset val="134"/>
      </rPr>
      <t xml:space="preserve">    </t>
    </r>
    <r>
      <rPr>
        <sz val="10"/>
        <rFont val="宋体"/>
        <charset val="134"/>
      </rPr>
      <t>应收票据的减少</t>
    </r>
    <r>
      <rPr>
        <sz val="10"/>
        <rFont val="Arial Narrow"/>
        <charset val="134"/>
      </rPr>
      <t>(</t>
    </r>
    <r>
      <rPr>
        <sz val="10"/>
        <rFont val="宋体"/>
        <charset val="134"/>
      </rPr>
      <t>期初－期末</t>
    </r>
    <r>
      <rPr>
        <sz val="10"/>
        <rFont val="Arial Narrow"/>
        <charset val="134"/>
      </rPr>
      <t>)</t>
    </r>
  </si>
  <si>
    <r>
      <rPr>
        <sz val="10"/>
        <rFont val="Arial Narrow"/>
        <charset val="134"/>
      </rPr>
      <t xml:space="preserve">    </t>
    </r>
    <r>
      <rPr>
        <sz val="10"/>
        <rFont val="宋体"/>
        <charset val="134"/>
      </rPr>
      <t>预付账款的减少</t>
    </r>
    <r>
      <rPr>
        <sz val="10"/>
        <rFont val="Arial Narrow"/>
        <charset val="134"/>
      </rPr>
      <t>(</t>
    </r>
    <r>
      <rPr>
        <sz val="10"/>
        <rFont val="宋体"/>
        <charset val="134"/>
      </rPr>
      <t>期初－期末</t>
    </r>
    <r>
      <rPr>
        <sz val="10"/>
        <rFont val="Arial Narrow"/>
        <charset val="134"/>
      </rPr>
      <t>)</t>
    </r>
  </si>
  <si>
    <r>
      <rPr>
        <sz val="10"/>
        <rFont val="宋体"/>
        <charset val="134"/>
      </rPr>
      <t>减：应收票据的减少中背书转让的金额</t>
    </r>
  </si>
  <si>
    <r>
      <rPr>
        <sz val="10"/>
        <rFont val="Arial Narrow"/>
        <charset val="134"/>
      </rPr>
      <t xml:space="preserve">    </t>
    </r>
    <r>
      <rPr>
        <sz val="10"/>
        <rFont val="宋体"/>
        <charset val="134"/>
      </rPr>
      <t>应收账款的减少中的债务重组金额及收到非现金资产金额</t>
    </r>
  </si>
  <si>
    <r>
      <rPr>
        <sz val="10"/>
        <rFont val="Arial Narrow"/>
        <charset val="134"/>
      </rPr>
      <t xml:space="preserve">    </t>
    </r>
    <r>
      <rPr>
        <sz val="10"/>
        <rFont val="宋体"/>
        <charset val="134"/>
      </rPr>
      <t>预付工程及设备款的减少（期初</t>
    </r>
    <r>
      <rPr>
        <sz val="10"/>
        <rFont val="Arial Narrow"/>
        <charset val="134"/>
      </rPr>
      <t>-</t>
    </r>
    <r>
      <rPr>
        <sz val="10"/>
        <rFont val="宋体"/>
        <charset val="134"/>
      </rPr>
      <t>期末）</t>
    </r>
  </si>
  <si>
    <t>测试结果：=(1)+…+(4)-(5)-(6)-…-(9)</t>
  </si>
  <si>
    <r>
      <rPr>
        <b/>
        <sz val="10"/>
        <rFont val="宋体"/>
        <charset val="134"/>
      </rPr>
      <t>四、经营性应付的增加（</t>
    </r>
    <r>
      <rPr>
        <b/>
        <sz val="10"/>
        <rFont val="Arial Narrow"/>
        <charset val="134"/>
      </rPr>
      <t>“-”</t>
    </r>
    <r>
      <rPr>
        <b/>
        <sz val="10"/>
        <rFont val="宋体"/>
        <charset val="134"/>
      </rPr>
      <t>减少）</t>
    </r>
  </si>
  <si>
    <r>
      <rPr>
        <sz val="10"/>
        <rFont val="宋体"/>
        <charset val="134"/>
      </rPr>
      <t>应付账款的增加</t>
    </r>
    <r>
      <rPr>
        <sz val="10"/>
        <rFont val="Arial Narrow"/>
        <charset val="134"/>
      </rPr>
      <t>(</t>
    </r>
    <r>
      <rPr>
        <sz val="10"/>
        <rFont val="宋体"/>
        <charset val="134"/>
      </rPr>
      <t>期末－期初</t>
    </r>
    <r>
      <rPr>
        <sz val="10"/>
        <rFont val="Arial Narrow"/>
        <charset val="134"/>
      </rPr>
      <t>)</t>
    </r>
  </si>
  <si>
    <r>
      <rPr>
        <sz val="10"/>
        <rFont val="宋体"/>
        <charset val="134"/>
      </rPr>
      <t>应付票据的增加</t>
    </r>
    <r>
      <rPr>
        <sz val="10"/>
        <rFont val="Arial Narrow"/>
        <charset val="134"/>
      </rPr>
      <t>(</t>
    </r>
    <r>
      <rPr>
        <sz val="10"/>
        <rFont val="宋体"/>
        <charset val="134"/>
      </rPr>
      <t>期末－期初</t>
    </r>
    <r>
      <rPr>
        <sz val="10"/>
        <rFont val="Arial Narrow"/>
        <charset val="134"/>
      </rPr>
      <t>)</t>
    </r>
  </si>
  <si>
    <r>
      <rPr>
        <sz val="10"/>
        <rFont val="宋体"/>
        <charset val="134"/>
      </rPr>
      <t>预收账款的增加</t>
    </r>
    <r>
      <rPr>
        <sz val="10"/>
        <rFont val="Arial Narrow"/>
        <charset val="134"/>
      </rPr>
      <t>(</t>
    </r>
    <r>
      <rPr>
        <sz val="10"/>
        <rFont val="宋体"/>
        <charset val="134"/>
      </rPr>
      <t>期末－期初</t>
    </r>
    <r>
      <rPr>
        <sz val="10"/>
        <rFont val="Arial Narrow"/>
        <charset val="134"/>
      </rPr>
      <t>)</t>
    </r>
  </si>
  <si>
    <r>
      <rPr>
        <sz val="10"/>
        <rFont val="宋体"/>
        <charset val="134"/>
      </rPr>
      <t>其他应付款的增加</t>
    </r>
    <r>
      <rPr>
        <sz val="10"/>
        <rFont val="Arial Narrow"/>
        <charset val="134"/>
      </rPr>
      <t>(</t>
    </r>
    <r>
      <rPr>
        <sz val="10"/>
        <rFont val="宋体"/>
        <charset val="134"/>
      </rPr>
      <t>期末－期初</t>
    </r>
    <r>
      <rPr>
        <sz val="10"/>
        <rFont val="Arial Narrow"/>
        <charset val="134"/>
      </rPr>
      <t>)</t>
    </r>
  </si>
  <si>
    <r>
      <rPr>
        <sz val="10"/>
        <rFont val="宋体"/>
        <charset val="134"/>
      </rPr>
      <t>应交税费的增加</t>
    </r>
    <r>
      <rPr>
        <sz val="10"/>
        <rFont val="Arial Narrow"/>
        <charset val="134"/>
      </rPr>
      <t>(</t>
    </r>
    <r>
      <rPr>
        <sz val="10"/>
        <rFont val="宋体"/>
        <charset val="134"/>
      </rPr>
      <t>期末－期初</t>
    </r>
    <r>
      <rPr>
        <sz val="10"/>
        <rFont val="Arial Narrow"/>
        <charset val="134"/>
      </rPr>
      <t>)</t>
    </r>
  </si>
  <si>
    <r>
      <rPr>
        <sz val="10"/>
        <rFont val="宋体"/>
        <charset val="134"/>
      </rPr>
      <t>应付应付职工薪酬的增加</t>
    </r>
    <r>
      <rPr>
        <sz val="10"/>
        <rFont val="Arial Narrow"/>
        <charset val="134"/>
      </rPr>
      <t>(</t>
    </r>
    <r>
      <rPr>
        <sz val="10"/>
        <rFont val="宋体"/>
        <charset val="134"/>
      </rPr>
      <t>期末－期初</t>
    </r>
    <r>
      <rPr>
        <sz val="10"/>
        <rFont val="Arial Narrow"/>
        <charset val="134"/>
      </rPr>
      <t>)</t>
    </r>
  </si>
  <si>
    <r>
      <rPr>
        <sz val="10"/>
        <rFont val="宋体"/>
        <charset val="134"/>
      </rPr>
      <t>减：应付工程及设备款（期末</t>
    </r>
    <r>
      <rPr>
        <sz val="10"/>
        <rFont val="Arial Narrow"/>
        <charset val="134"/>
      </rPr>
      <t xml:space="preserve">- </t>
    </r>
    <r>
      <rPr>
        <sz val="10"/>
        <rFont val="宋体"/>
        <charset val="134"/>
      </rPr>
      <t>期初）</t>
    </r>
    <r>
      <rPr>
        <sz val="10"/>
        <rFont val="Arial Narrow"/>
        <charset val="134"/>
      </rPr>
      <t xml:space="preserve">    </t>
    </r>
  </si>
  <si>
    <r>
      <rPr>
        <sz val="10"/>
        <rFont val="宋体"/>
        <charset val="134"/>
      </rPr>
      <t>减：应付职工薪酬</t>
    </r>
    <r>
      <rPr>
        <sz val="10"/>
        <rFont val="Arial Narrow"/>
        <charset val="134"/>
      </rPr>
      <t>(</t>
    </r>
    <r>
      <rPr>
        <sz val="10"/>
        <rFont val="宋体"/>
        <charset val="134"/>
      </rPr>
      <t>在建工程</t>
    </r>
    <r>
      <rPr>
        <sz val="10"/>
        <rFont val="Arial Narrow"/>
        <charset val="134"/>
      </rPr>
      <t>)</t>
    </r>
    <r>
      <rPr>
        <sz val="10"/>
        <rFont val="宋体"/>
        <charset val="134"/>
      </rPr>
      <t>的增加</t>
    </r>
    <r>
      <rPr>
        <sz val="10"/>
        <rFont val="Arial Narrow"/>
        <charset val="134"/>
      </rPr>
      <t>(</t>
    </r>
    <r>
      <rPr>
        <sz val="10"/>
        <rFont val="宋体"/>
        <charset val="134"/>
      </rPr>
      <t>期末－期初</t>
    </r>
    <r>
      <rPr>
        <sz val="10"/>
        <rFont val="Arial Narrow"/>
        <charset val="134"/>
      </rPr>
      <t>)</t>
    </r>
  </si>
  <si>
    <r>
      <rPr>
        <sz val="10"/>
        <rFont val="宋体"/>
        <charset val="134"/>
      </rPr>
      <t>减：应交税增加中非经营性活动税费变化</t>
    </r>
    <r>
      <rPr>
        <sz val="10"/>
        <rFont val="Arial Narrow"/>
        <charset val="134"/>
      </rPr>
      <t>(</t>
    </r>
    <r>
      <rPr>
        <sz val="10"/>
        <rFont val="宋体"/>
        <charset val="134"/>
      </rPr>
      <t>期末－期初</t>
    </r>
    <r>
      <rPr>
        <sz val="10"/>
        <rFont val="Arial Narrow"/>
        <charset val="134"/>
      </rPr>
      <t>)</t>
    </r>
  </si>
  <si>
    <r>
      <rPr>
        <sz val="10"/>
        <rFont val="宋体"/>
        <charset val="134"/>
      </rPr>
      <t>减：其他非经营部分应付项目的增加</t>
    </r>
  </si>
  <si>
    <r>
      <rPr>
        <sz val="10"/>
        <rFont val="宋体"/>
        <charset val="134"/>
      </rPr>
      <t>加</t>
    </r>
    <r>
      <rPr>
        <sz val="10"/>
        <rFont val="Arial Narrow"/>
        <charset val="134"/>
      </rPr>
      <t>:</t>
    </r>
    <r>
      <rPr>
        <sz val="10"/>
        <rFont val="宋体"/>
        <charset val="134"/>
      </rPr>
      <t>以非现金资产抵债减少的应付账款</t>
    </r>
  </si>
  <si>
    <r>
      <rPr>
        <sz val="10"/>
        <rFont val="宋体"/>
        <charset val="134"/>
      </rPr>
      <t>加</t>
    </r>
    <r>
      <rPr>
        <sz val="10"/>
        <rFont val="Arial Narrow"/>
        <charset val="134"/>
      </rPr>
      <t>:</t>
    </r>
    <r>
      <rPr>
        <sz val="10"/>
        <rFont val="宋体"/>
        <charset val="134"/>
      </rPr>
      <t>应收抵应付</t>
    </r>
  </si>
  <si>
    <t>测试结果：=(1)+…+(6)-(7)-…(10)+(11)+(12)</t>
  </si>
  <si>
    <r>
      <rPr>
        <b/>
        <sz val="10"/>
        <rFont val="宋体"/>
        <charset val="134"/>
      </rPr>
      <t>五、计提的减值准备</t>
    </r>
  </si>
  <si>
    <r>
      <rPr>
        <sz val="10"/>
        <rFont val="宋体"/>
        <charset val="134"/>
      </rPr>
      <t>坏账准备</t>
    </r>
  </si>
  <si>
    <r>
      <rPr>
        <sz val="10"/>
        <rFont val="宋体"/>
        <charset val="134"/>
      </rPr>
      <t>存货跌价准备</t>
    </r>
  </si>
  <si>
    <r>
      <rPr>
        <sz val="10"/>
        <rFont val="宋体"/>
        <charset val="134"/>
      </rPr>
      <t>投资性房地产减值准备</t>
    </r>
  </si>
  <si>
    <r>
      <rPr>
        <sz val="10"/>
        <rFont val="宋体"/>
        <charset val="134"/>
      </rPr>
      <t>长期股权投资减值准备</t>
    </r>
  </si>
  <si>
    <r>
      <rPr>
        <sz val="10"/>
        <rFont val="宋体"/>
        <charset val="134"/>
      </rPr>
      <t>持有至到期投资减值准备</t>
    </r>
  </si>
  <si>
    <r>
      <rPr>
        <sz val="10"/>
        <rFont val="宋体"/>
        <charset val="134"/>
      </rPr>
      <t>固定资产减值准备</t>
    </r>
  </si>
  <si>
    <r>
      <rPr>
        <sz val="10"/>
        <rFont val="宋体"/>
        <charset val="134"/>
      </rPr>
      <t>在建工程减值准备</t>
    </r>
  </si>
  <si>
    <r>
      <rPr>
        <sz val="10"/>
        <rFont val="宋体"/>
        <charset val="134"/>
      </rPr>
      <t>工程物资减值准备</t>
    </r>
  </si>
  <si>
    <r>
      <rPr>
        <sz val="10"/>
        <rFont val="宋体"/>
        <charset val="134"/>
      </rPr>
      <t>无形资产减值准备</t>
    </r>
  </si>
  <si>
    <r>
      <rPr>
        <sz val="10"/>
        <rFont val="宋体"/>
        <charset val="134"/>
      </rPr>
      <t>商誉减值准备</t>
    </r>
  </si>
  <si>
    <t>测试结果：=(1)+…+(10)</t>
  </si>
  <si>
    <r>
      <rPr>
        <sz val="10"/>
        <color indexed="12"/>
        <rFont val="宋体"/>
        <charset val="134"/>
      </rPr>
      <t>注：</t>
    </r>
    <r>
      <rPr>
        <sz val="10"/>
        <color indexed="12"/>
        <rFont val="Arial Narrow"/>
        <charset val="134"/>
      </rPr>
      <t>1</t>
    </r>
    <r>
      <rPr>
        <sz val="10"/>
        <color indexed="12"/>
        <rFont val="宋体"/>
        <charset val="134"/>
      </rPr>
      <t>、对差异较大的情况（如超过</t>
    </r>
    <r>
      <rPr>
        <sz val="10"/>
        <color indexed="12"/>
        <rFont val="Arial Narrow"/>
        <charset val="134"/>
      </rPr>
      <t>10%</t>
    </r>
    <r>
      <rPr>
        <sz val="10"/>
        <color indexed="12"/>
        <rFont val="宋体"/>
        <charset val="134"/>
      </rPr>
      <t>），应查明差异形成的原因，并考虑是否需要调整</t>
    </r>
  </si>
  <si>
    <r>
      <rPr>
        <sz val="10"/>
        <color indexed="12"/>
        <rFont val="Arial Narrow"/>
        <charset val="134"/>
      </rPr>
      <t xml:space="preserve">    2</t>
    </r>
    <r>
      <rPr>
        <sz val="10"/>
        <color indexed="12"/>
        <rFont val="宋体"/>
        <charset val="134"/>
      </rPr>
      <t>、此测算表仅真对常规情况，具体测算时应结合企业具体情况予以考虑。</t>
    </r>
  </si>
  <si>
    <t>工资薪酬</t>
  </si>
  <si>
    <t>折旧及摊销</t>
  </si>
  <si>
    <t>交通差旅费及车辆使用费</t>
  </si>
  <si>
    <t>1:K5504.05</t>
  </si>
  <si>
    <t>公司经费-行管人员工资</t>
  </si>
  <si>
    <t>公司经费-行管人员福利费</t>
  </si>
  <si>
    <t>社保公积金（五险一金）</t>
  </si>
  <si>
    <t>董事会费-成员津贴</t>
  </si>
  <si>
    <t>员工福利费</t>
  </si>
  <si>
    <t>辞退补偿</t>
  </si>
  <si>
    <t>社会保险金-养老</t>
  </si>
  <si>
    <t>社会保险金-医疗</t>
  </si>
  <si>
    <t>社会保险金-工伤</t>
  </si>
  <si>
    <t>社会保险金-失业</t>
  </si>
  <si>
    <t>社会保险金-生育</t>
  </si>
  <si>
    <t>公司经费-物料消耗</t>
  </si>
  <si>
    <t>公司经费-低值易耗品摊销</t>
  </si>
  <si>
    <t>公司经费-办公费</t>
  </si>
  <si>
    <t>公司经费-通讯网络费</t>
  </si>
  <si>
    <t>公司经费-邮运费</t>
  </si>
  <si>
    <t>公司经费-培训费</t>
  </si>
  <si>
    <t>公司经费-社会团体行业协会会员费</t>
  </si>
  <si>
    <t>董事会费-会议费</t>
  </si>
  <si>
    <t>董事会费-培训费</t>
  </si>
  <si>
    <t>行管资产修理费</t>
  </si>
  <si>
    <t>会议费</t>
  </si>
  <si>
    <t>车辆保险</t>
  </si>
  <si>
    <t>花木租赁费</t>
  </si>
  <si>
    <t>公司经费-折旧费用</t>
  </si>
  <si>
    <t>公司经费-长期费用摊销</t>
  </si>
  <si>
    <t>研发费用-原研发费用201511前</t>
  </si>
  <si>
    <t>研发费用-工资</t>
  </si>
  <si>
    <t>研发费用-认证检测费</t>
  </si>
  <si>
    <t>研发费用-材料费</t>
  </si>
  <si>
    <t>研发费用-折旧费</t>
  </si>
  <si>
    <t>研发费用-相关机构服务费</t>
  </si>
  <si>
    <t>研发费用-交通差旅费</t>
  </si>
  <si>
    <t>研发费用-工具、器具、易耗品</t>
  </si>
  <si>
    <t>研发费用-其它研发相关费用</t>
  </si>
  <si>
    <t>研发费用-培训费</t>
  </si>
  <si>
    <t>研发费用-办公费</t>
  </si>
  <si>
    <t>研发费用-业务招待费</t>
  </si>
  <si>
    <t>研发费用-汽车费用</t>
  </si>
  <si>
    <t>研发费用-福利费</t>
  </si>
  <si>
    <t>研发费用-房租费</t>
  </si>
  <si>
    <t>研发费用-样品（样灯等）</t>
  </si>
  <si>
    <t>研发费用-水电费</t>
  </si>
  <si>
    <t>研发费用-社会保险金</t>
  </si>
  <si>
    <t>研发费用-住房公积金</t>
  </si>
  <si>
    <t>研发费用-委托开发费</t>
  </si>
  <si>
    <t>研发费用-试验段</t>
  </si>
  <si>
    <t>公司经费-交通差旅费</t>
  </si>
  <si>
    <t>公司经费-汽车费用</t>
  </si>
  <si>
    <t>公司经费-水电物管费等</t>
  </si>
  <si>
    <t>公司经费-房屋租赁费</t>
  </si>
  <si>
    <t>咨询及顾问费</t>
  </si>
  <si>
    <t>税费（其它税费）</t>
  </si>
  <si>
    <t>印花税金</t>
  </si>
  <si>
    <t>排污费</t>
  </si>
  <si>
    <t>保险费</t>
  </si>
  <si>
    <t>残疾人保障金</t>
  </si>
  <si>
    <t>欠薪保证金</t>
  </si>
  <si>
    <t>1:K5505.02</t>
  </si>
  <si>
    <t>广告费</t>
  </si>
  <si>
    <t>维修维护费</t>
  </si>
  <si>
    <t>沉没成本及前期勘探费用</t>
  </si>
  <si>
    <t>营销机构职工薪酬</t>
  </si>
  <si>
    <t>湖南办-工资及福利</t>
  </si>
  <si>
    <t>湖北区域-工资及福利</t>
  </si>
  <si>
    <t>山东区域-工资及福利</t>
  </si>
  <si>
    <t>东北区域-工资及福利</t>
  </si>
  <si>
    <t>照明事业三部（吕诚团队）-工资及福利</t>
  </si>
  <si>
    <t>照明事业三部（吕诚团队）-社会保险金</t>
  </si>
  <si>
    <t>照明事业三部（吕诚团队）-住房公积金</t>
  </si>
  <si>
    <t>照明事业二部（刘泽飚团队）-工资及福利</t>
  </si>
  <si>
    <t>照明事业二部（刘泽飚团队）-社会保险金</t>
  </si>
  <si>
    <t>照明事业二部（刘泽飚团队）-住房公积金</t>
  </si>
  <si>
    <t>华东办-工资及福利</t>
  </si>
  <si>
    <t>变压器/三联供事业部-工资及福利</t>
  </si>
  <si>
    <t>太阳能光伏事业部-工资及福利</t>
  </si>
  <si>
    <t>照明事业一部（史元新团队）-工资及福利</t>
  </si>
  <si>
    <t>照明事业一部（史元新团队）-社会保险金</t>
  </si>
  <si>
    <t>照明事业一部（史元新团队）-住房公积金</t>
  </si>
  <si>
    <t>综合节能事业部-工资及福利</t>
  </si>
  <si>
    <t>综合节能事业部-社会保险金</t>
  </si>
  <si>
    <t>综合节能事业部-住房公积金</t>
  </si>
  <si>
    <t>国际业务部-工资及福利</t>
  </si>
  <si>
    <t>国际业务部-社会保险金</t>
  </si>
  <si>
    <t>国际业务部-住房公积金</t>
  </si>
  <si>
    <t>照明四部（李远飞团队）-工资及福利</t>
  </si>
  <si>
    <t>照明四部（李远飞团队）-社会保险金</t>
  </si>
  <si>
    <t>国际业务部-员工福利费</t>
  </si>
  <si>
    <t>照明四部（李远飞团队）-住房公积金</t>
  </si>
  <si>
    <t>售电业务部-社会保险费</t>
  </si>
  <si>
    <t>售电业务部-工资及福利</t>
  </si>
  <si>
    <t>售电业务部-住房公积金</t>
  </si>
  <si>
    <t>展览和广告费</t>
  </si>
  <si>
    <t>宣传制作费</t>
  </si>
  <si>
    <t>照明事业一部（史元新团队）-广告宣传费</t>
  </si>
  <si>
    <t>国际业务部-展览和广告费</t>
  </si>
  <si>
    <t>汽车费用</t>
  </si>
  <si>
    <t>湖南办-交通差旅费</t>
  </si>
  <si>
    <t>湖北区域-交通差旅费</t>
  </si>
  <si>
    <t>山东区域-交通差旅费</t>
  </si>
  <si>
    <t>东北区域-交通差旅费</t>
  </si>
  <si>
    <t>照明事业三部（吕诚团队）-交通差旅费</t>
  </si>
  <si>
    <t>照明事业三部（吕诚团队）-汽车费用</t>
  </si>
  <si>
    <t>照明事业二部（刘泽飚团队）-差旅交通费</t>
  </si>
  <si>
    <t>照明事业二部（刘泽飚团队）-汽车费用</t>
  </si>
  <si>
    <t>华东办-交通差旅费</t>
  </si>
  <si>
    <t>华东办-汽车费用</t>
  </si>
  <si>
    <t>变压器/三联供事业部-差旅交通费</t>
  </si>
  <si>
    <t>变压器/三联供事业部-汽车费用</t>
  </si>
  <si>
    <t>太阳能光伏事业部-汽车费用</t>
  </si>
  <si>
    <t>照明事业一部（史元新团队）-交通差旅费</t>
  </si>
  <si>
    <t>照明事业一部（史元新团队）-汽车费用</t>
  </si>
  <si>
    <t>综合节能事业部-交通差旅费</t>
  </si>
  <si>
    <t>综合节能事业部-汽车费用</t>
  </si>
  <si>
    <t>国际业务部-汽车费用</t>
  </si>
  <si>
    <t>照明四部（李远飞团队）-汽车费用</t>
  </si>
  <si>
    <t>售电业务部-交通差旅费</t>
  </si>
  <si>
    <t>售电业务部-汽车费用</t>
  </si>
  <si>
    <t>国际业务部-交通差旅费</t>
  </si>
  <si>
    <t>照明四部（李远飞团队）-交通差旅费</t>
  </si>
  <si>
    <t>综合节能事业二部-交通差旅费</t>
  </si>
  <si>
    <t>湖南办-业务招待费</t>
  </si>
  <si>
    <t>湖北区域-业务招待费</t>
  </si>
  <si>
    <t>山东区域-业务招待费</t>
  </si>
  <si>
    <t>东北区域-业务招待费</t>
  </si>
  <si>
    <t>照明事业三部（吕诚团队）-业务招待费</t>
  </si>
  <si>
    <t>照明事业二部（刘泽飚团队）-业务招待费</t>
  </si>
  <si>
    <t>华东办-业务招待费</t>
  </si>
  <si>
    <t>太阳能光伏事业部-业务招待费</t>
  </si>
  <si>
    <t>照明事业一部（史元新团队）-业务招待费</t>
  </si>
  <si>
    <t>综合节能事业部-业务招待费</t>
  </si>
  <si>
    <t>国际业务部-业务招待费</t>
  </si>
  <si>
    <t>照明四部（李远飞团队）-业务招待费</t>
  </si>
  <si>
    <t>售电业务部-业务招待费</t>
  </si>
  <si>
    <t>综合节能事业二部-业务招待费</t>
  </si>
  <si>
    <t>折旧费</t>
  </si>
  <si>
    <t>照明事业二部（刘泽飚团队）-厚街仓库摊销费用</t>
  </si>
  <si>
    <t>项目设计费</t>
  </si>
  <si>
    <t>照明事业三部（吕诚团队）-咨询服务费</t>
  </si>
  <si>
    <t>照明事业二部（刘泽飚团队）-咨询服务费</t>
  </si>
  <si>
    <t>照明事业一部（史元新团队）-咨询服务费</t>
  </si>
  <si>
    <t>国际业务部-中介机构费</t>
  </si>
  <si>
    <t>照明四部（李远飞团队）-咨询服务费</t>
  </si>
  <si>
    <t>房租水电费</t>
  </si>
  <si>
    <t>湖南办-房租物管费</t>
  </si>
  <si>
    <t>湖北区域-房租物管费</t>
  </si>
  <si>
    <t>山东区域-房租物管费</t>
  </si>
  <si>
    <t>东北区域-房租物管费</t>
  </si>
  <si>
    <t>照明事业三部（吕诚团队）-房租物管水电费</t>
  </si>
  <si>
    <t>照明事业二部（刘泽飚团队）-房租物管水电</t>
  </si>
  <si>
    <t>华东办-房租物管费</t>
  </si>
  <si>
    <t>变压器/三联供事业部-房租物管水电</t>
  </si>
  <si>
    <t>太阳能光伏事业部-房租物管费</t>
  </si>
  <si>
    <t>照明事业一部（史元新团队）-房租物管费</t>
  </si>
  <si>
    <t>综合节能事业部-房租及物管费</t>
  </si>
  <si>
    <t>国际业务部-房租物管费</t>
  </si>
  <si>
    <t>照明四部（李远飞团队）-房租及物管费</t>
  </si>
  <si>
    <t>低耗品摊销</t>
  </si>
  <si>
    <t>邮运费</t>
  </si>
  <si>
    <t>通讯费</t>
  </si>
  <si>
    <t>湖南办-办公及物料</t>
  </si>
  <si>
    <t>湖南办-保险费</t>
  </si>
  <si>
    <t>照明事业一部（史元新团队）-办公及物料</t>
  </si>
  <si>
    <t>综合节能事业部-办公及物料</t>
  </si>
  <si>
    <t>国际业务部-办公及物料</t>
  </si>
  <si>
    <t>国际业务部-邮运费</t>
  </si>
  <si>
    <t>照明事业三部（吕诚团队）-办公及物料</t>
  </si>
  <si>
    <t>照明事业三部（吕诚团队）-投标费用</t>
  </si>
  <si>
    <t>照明事业二部（刘泽飚团队）-办公物料用品</t>
  </si>
  <si>
    <t>照明事业二部（刘泽飚团队）-投标费用</t>
  </si>
  <si>
    <t>华东办-办公及物料</t>
  </si>
  <si>
    <t>变压器/三联供事业部-办公物料用品</t>
  </si>
  <si>
    <t>太阳能光伏事业部-办公物料费</t>
  </si>
  <si>
    <t>照明事业一部（史元新团队）-投标费用</t>
  </si>
  <si>
    <t>照明四部（李远飞团队）-办公及物料</t>
  </si>
  <si>
    <t>运杂装卸费等</t>
  </si>
  <si>
    <t>售电业务部-办公物料用品</t>
  </si>
  <si>
    <t>商品维修费</t>
  </si>
  <si>
    <t>营销机构资产修理费</t>
  </si>
  <si>
    <t>项目维护费</t>
  </si>
  <si>
    <t>沉没成本</t>
  </si>
  <si>
    <t>上年报表附注合并用粘贴处</t>
  </si>
  <si>
    <t>2015年12月31日天职审定</t>
  </si>
  <si>
    <t>加元</t>
  </si>
  <si>
    <t>增加项目1-发出商品</t>
  </si>
  <si>
    <t>增加项目1-工程施工</t>
  </si>
  <si>
    <t xml:space="preserve">    其中：房屋及建筑物</t>
  </si>
  <si>
    <t>1、土地使用权</t>
  </si>
  <si>
    <t>2、软件</t>
  </si>
  <si>
    <t>3、专利权</t>
  </si>
  <si>
    <t>4、其它</t>
  </si>
  <si>
    <t>2、开办费</t>
  </si>
  <si>
    <t>3、可抵扣亏损</t>
  </si>
  <si>
    <t>6、确认预计负债</t>
  </si>
  <si>
    <t>7、内部交易未实现损益</t>
  </si>
  <si>
    <t>质押+保证借款</t>
  </si>
  <si>
    <t>抵押+保证借款</t>
  </si>
  <si>
    <t>类别1--永磁铁氧体</t>
  </si>
  <si>
    <t>类别2--软磁铁氧体</t>
  </si>
  <si>
    <t>类别3--稀土永磁</t>
  </si>
  <si>
    <t>类别4--电机</t>
  </si>
  <si>
    <t>类别5--电线电缆</t>
  </si>
  <si>
    <t>类别6--模具及配件</t>
  </si>
  <si>
    <t>类别7--贸易品</t>
  </si>
  <si>
    <t>类别8--物流服务</t>
  </si>
  <si>
    <t>类别9--其他</t>
  </si>
  <si>
    <t>地区1--国内销售</t>
  </si>
  <si>
    <t>地区2--国外销售</t>
  </si>
  <si>
    <t>地区3--港澳台销售</t>
  </si>
  <si>
    <t>地方教育费附加</t>
  </si>
  <si>
    <t>堤围费</t>
  </si>
  <si>
    <t xml:space="preserve">                      其他科目1-预付款项引起汇兑损益</t>
  </si>
  <si>
    <t xml:space="preserve">                      其他科目2--预付款项引起汇兑损益</t>
  </si>
  <si>
    <t>二.汇兑损益明细：</t>
  </si>
  <si>
    <t>外币报表折算</t>
  </si>
  <si>
    <t>货币资金—外币汇兑损益</t>
  </si>
  <si>
    <t>借款—外币汇兑损益</t>
  </si>
  <si>
    <t>利息支出—外币汇兑损益</t>
  </si>
  <si>
    <t>应收—外币汇兑损益</t>
  </si>
  <si>
    <t>其他应收—外币汇兑损益</t>
  </si>
  <si>
    <t>应付—外币汇兑损益</t>
  </si>
  <si>
    <t>其他应付—外币汇兑损益</t>
  </si>
  <si>
    <t>1．非流动资产处置利得合计</t>
  </si>
  <si>
    <t>其中：固定资产处置利得</t>
  </si>
  <si>
    <t xml:space="preserve">      无形资产处置利得</t>
  </si>
  <si>
    <t>2．债务重组利得</t>
  </si>
  <si>
    <t>3．非货币性资产交换利得</t>
  </si>
  <si>
    <t>4、债务重组利得</t>
  </si>
  <si>
    <t xml:space="preserve">5、接受捐赠  </t>
  </si>
  <si>
    <t>6、政府补助</t>
  </si>
  <si>
    <t>7、盘盈利得</t>
  </si>
  <si>
    <t>8、其他</t>
  </si>
  <si>
    <t>其中:非同一控制下企业合并利得</t>
  </si>
  <si>
    <t>1．非流动资产处置损失合计</t>
  </si>
  <si>
    <t>其中：固定资产处置损失</t>
  </si>
  <si>
    <t xml:space="preserve">      无形资产处置损失</t>
  </si>
  <si>
    <t>2．债务重组损失</t>
  </si>
  <si>
    <t>3．非货币性资产交换损失</t>
  </si>
  <si>
    <t>4．公益性对外捐赠</t>
  </si>
  <si>
    <t>5．罚款支出</t>
  </si>
  <si>
    <t>6．盘亏损失</t>
  </si>
  <si>
    <t>7．其他</t>
  </si>
  <si>
    <t>其中:非公益性捐赠支出</t>
  </si>
  <si>
    <t>（六十六）收到或支付的其他与经营活动有关的现金（上期可不填）</t>
  </si>
  <si>
    <t>研发费</t>
  </si>
  <si>
    <t>机物料</t>
  </si>
  <si>
    <t>税金</t>
  </si>
  <si>
    <t>业务费</t>
  </si>
  <si>
    <t>折旧与摊销</t>
  </si>
  <si>
    <t>差旅费</t>
  </si>
  <si>
    <t>其他费用</t>
  </si>
  <si>
    <t xml:space="preserve">运输费及物料消耗 </t>
  </si>
  <si>
    <t xml:space="preserve">业务费 </t>
  </si>
  <si>
    <t xml:space="preserve">差旅费 </t>
  </si>
  <si>
    <t xml:space="preserve">折旧 </t>
  </si>
  <si>
    <t xml:space="preserve">办公费 </t>
  </si>
  <si>
    <t xml:space="preserve">其他 </t>
  </si>
  <si>
    <t>（八十八）管理费用</t>
  </si>
  <si>
    <t>返回利润表</t>
  </si>
  <si>
    <t>汇总</t>
  </si>
  <si>
    <t>(1)管理费用明细项列示</t>
  </si>
  <si>
    <t>公司名称</t>
  </si>
  <si>
    <t>管理费用-披露项目</t>
  </si>
  <si>
    <t>账上各明细项目列示</t>
  </si>
  <si>
    <t>科目代码</t>
  </si>
  <si>
    <r>
      <rPr>
        <sz val="9"/>
        <color indexed="8"/>
        <rFont val="Times New Roman"/>
        <charset val="134"/>
      </rPr>
      <t>本期实际数</t>
    </r>
  </si>
  <si>
    <t>同比变动幅度</t>
  </si>
  <si>
    <t>变动分析</t>
  </si>
  <si>
    <t>本期-其中所含关联方数</t>
  </si>
  <si>
    <t>上期-其中所含关联方数</t>
  </si>
  <si>
    <t>披露项请不用动</t>
  </si>
  <si>
    <t xml:space="preserve">  职工薪酬</t>
  </si>
  <si>
    <t>6602001</t>
  </si>
  <si>
    <t xml:space="preserve">    工资</t>
  </si>
  <si>
    <t>6602001001</t>
  </si>
  <si>
    <t xml:space="preserve">    奖金</t>
  </si>
  <si>
    <t>6602001002</t>
  </si>
  <si>
    <t xml:space="preserve">    劳动保险费</t>
  </si>
  <si>
    <t>6602001003</t>
  </si>
  <si>
    <t xml:space="preserve">    住房公积金</t>
  </si>
  <si>
    <t>6602001004</t>
  </si>
  <si>
    <t xml:space="preserve">    职工福利费</t>
  </si>
  <si>
    <t>6602001005</t>
  </si>
  <si>
    <t xml:space="preserve">      医药费</t>
  </si>
  <si>
    <t>660200100501</t>
  </si>
  <si>
    <t xml:space="preserve">      工伤医疗费</t>
  </si>
  <si>
    <t>660200100502</t>
  </si>
  <si>
    <t xml:space="preserve">      福利费</t>
  </si>
  <si>
    <t>660200100503</t>
  </si>
  <si>
    <t xml:space="preserve">    工会经费</t>
  </si>
  <si>
    <t>6602001006</t>
  </si>
  <si>
    <t xml:space="preserve">    职工教育费</t>
  </si>
  <si>
    <t>6602001007</t>
  </si>
  <si>
    <t xml:space="preserve">    非货币性福利</t>
  </si>
  <si>
    <t>6602001008</t>
  </si>
  <si>
    <t xml:space="preserve">    辞退补偿</t>
  </si>
  <si>
    <t>6602001009</t>
  </si>
  <si>
    <t xml:space="preserve">  办公费</t>
  </si>
  <si>
    <t>6602002</t>
  </si>
  <si>
    <t xml:space="preserve">  通讯费</t>
  </si>
  <si>
    <t>6602003</t>
  </si>
  <si>
    <t xml:space="preserve">  业务招待费</t>
  </si>
  <si>
    <t>6602004</t>
  </si>
  <si>
    <t xml:space="preserve">  差旅费</t>
  </si>
  <si>
    <t>6602005</t>
  </si>
  <si>
    <t xml:space="preserve">  折旧费</t>
  </si>
  <si>
    <t>6602006</t>
  </si>
  <si>
    <t xml:space="preserve">  租赁费</t>
  </si>
  <si>
    <t>6602007</t>
  </si>
  <si>
    <t xml:space="preserve">  保险费</t>
  </si>
  <si>
    <t>6602008</t>
  </si>
  <si>
    <t xml:space="preserve">  税金</t>
  </si>
  <si>
    <t>6602009</t>
  </si>
  <si>
    <t xml:space="preserve">    房产税</t>
  </si>
  <si>
    <t>6602009001</t>
  </si>
  <si>
    <t xml:space="preserve">    土地税</t>
  </si>
  <si>
    <t>6602009002</t>
  </si>
  <si>
    <t xml:space="preserve">    车船使用税</t>
  </si>
  <si>
    <t>6602009003</t>
  </si>
  <si>
    <t xml:space="preserve">    印花税</t>
  </si>
  <si>
    <t>6602009004</t>
  </si>
  <si>
    <t xml:space="preserve">      购销合同印花税</t>
  </si>
  <si>
    <t>660200900401</t>
  </si>
  <si>
    <t xml:space="preserve">      技术合同印花税</t>
  </si>
  <si>
    <t>660200900402</t>
  </si>
  <si>
    <t xml:space="preserve">      其他印花税</t>
  </si>
  <si>
    <t>660200900403</t>
  </si>
  <si>
    <t xml:space="preserve">  物料消耗</t>
  </si>
  <si>
    <t>6602010</t>
  </si>
  <si>
    <t xml:space="preserve">  排污费</t>
  </si>
  <si>
    <t>6602011</t>
  </si>
  <si>
    <t xml:space="preserve">  摊销</t>
  </si>
  <si>
    <t>6602012</t>
  </si>
  <si>
    <t>6602012001</t>
  </si>
  <si>
    <t xml:space="preserve">    其他摊销</t>
  </si>
  <si>
    <t>6602012002</t>
  </si>
  <si>
    <t xml:space="preserve">  维修检测费</t>
  </si>
  <si>
    <t>6602013</t>
  </si>
  <si>
    <t xml:space="preserve">  技术转让费及专利费</t>
  </si>
  <si>
    <t>6602014</t>
  </si>
  <si>
    <t xml:space="preserve">  中介费用</t>
  </si>
  <si>
    <t>6602015</t>
  </si>
  <si>
    <t xml:space="preserve">    评估费</t>
  </si>
  <si>
    <t>6602015001</t>
  </si>
  <si>
    <t xml:space="preserve">    会计审计费</t>
  </si>
  <si>
    <t>6602015002</t>
  </si>
  <si>
    <t xml:space="preserve">    税务审计费</t>
  </si>
  <si>
    <t>6602015003</t>
  </si>
  <si>
    <t xml:space="preserve">    银行顾问咨询费</t>
  </si>
  <si>
    <t>6602015004</t>
  </si>
  <si>
    <t xml:space="preserve">    其他咨询费</t>
  </si>
  <si>
    <t>6602015005</t>
  </si>
  <si>
    <t xml:space="preserve">  研发费</t>
  </si>
  <si>
    <t>6602016</t>
  </si>
  <si>
    <t xml:space="preserve">    职工薪酬</t>
  </si>
  <si>
    <t>6602016001</t>
  </si>
  <si>
    <t xml:space="preserve">      工资</t>
  </si>
  <si>
    <t>660201600101</t>
  </si>
  <si>
    <t xml:space="preserve">      奖金</t>
  </si>
  <si>
    <t>660201600102</t>
  </si>
  <si>
    <t xml:space="preserve">      劳动保险费</t>
  </si>
  <si>
    <t>660201600103</t>
  </si>
  <si>
    <t xml:space="preserve">      住房公积金</t>
  </si>
  <si>
    <t>660201600104</t>
  </si>
  <si>
    <t xml:space="preserve">      职工福利费</t>
  </si>
  <si>
    <t>660201600105</t>
  </si>
  <si>
    <t xml:space="preserve">      工会经费</t>
  </si>
  <si>
    <t>660201600106</t>
  </si>
  <si>
    <t xml:space="preserve">      职工教育费</t>
  </si>
  <si>
    <t>660201600107</t>
  </si>
  <si>
    <t xml:space="preserve">    办公费</t>
  </si>
  <si>
    <t>6602016002</t>
  </si>
  <si>
    <t xml:space="preserve">    通讯费</t>
  </si>
  <si>
    <t>6602016003</t>
  </si>
  <si>
    <t xml:space="preserve">    差旅费</t>
  </si>
  <si>
    <t>6602016004</t>
  </si>
  <si>
    <t xml:space="preserve">    业务招待费</t>
  </si>
  <si>
    <t>6602016005</t>
  </si>
  <si>
    <t xml:space="preserve">    折旧费</t>
  </si>
  <si>
    <t>6602016006</t>
  </si>
  <si>
    <t xml:space="preserve">    租赁费用</t>
  </si>
  <si>
    <t>6602016007</t>
  </si>
  <si>
    <t xml:space="preserve">    保险费</t>
  </si>
  <si>
    <t>6602016008</t>
  </si>
  <si>
    <t xml:space="preserve">    税金</t>
  </si>
  <si>
    <t>6602016009</t>
  </si>
  <si>
    <t xml:space="preserve">    物料消耗</t>
  </si>
  <si>
    <t>6602016010</t>
  </si>
  <si>
    <t xml:space="preserve">    汽车费用</t>
  </si>
  <si>
    <t>6602016011</t>
  </si>
  <si>
    <t xml:space="preserve">    摊销</t>
  </si>
  <si>
    <t>6602016012</t>
  </si>
  <si>
    <t xml:space="preserve">    维修检测费</t>
  </si>
  <si>
    <t>6602016013</t>
  </si>
  <si>
    <t xml:space="preserve">    技术转让费及专利费</t>
  </si>
  <si>
    <t>6602016014</t>
  </si>
  <si>
    <t xml:space="preserve">    咨询\审计费</t>
  </si>
  <si>
    <t>6602016015</t>
  </si>
  <si>
    <t xml:space="preserve">    原材料</t>
  </si>
  <si>
    <t>6602016016</t>
  </si>
  <si>
    <t xml:space="preserve">    动力</t>
  </si>
  <si>
    <t>6602016017</t>
  </si>
  <si>
    <t xml:space="preserve">    试制费</t>
  </si>
  <si>
    <t>6602016018</t>
  </si>
  <si>
    <t xml:space="preserve">    其他研发费用</t>
  </si>
  <si>
    <t>6602016019</t>
  </si>
  <si>
    <t xml:space="preserve">  残疾人保障金</t>
  </si>
  <si>
    <t>6602017</t>
  </si>
  <si>
    <t xml:space="preserve">  车辆费用</t>
  </si>
  <si>
    <t>6602018</t>
  </si>
  <si>
    <t xml:space="preserve">  董事会费用</t>
  </si>
  <si>
    <t>6602019</t>
  </si>
  <si>
    <t xml:space="preserve">  其他管理费用</t>
  </si>
  <si>
    <t>6602020</t>
  </si>
  <si>
    <t>备注1</t>
  </si>
  <si>
    <t>备注2</t>
  </si>
  <si>
    <t>备注3</t>
  </si>
  <si>
    <t>备注4</t>
  </si>
  <si>
    <t>（八十九）销售费用</t>
  </si>
  <si>
    <t>(1)销售费用明细项列示</t>
  </si>
  <si>
    <t>销售费用-披露项目</t>
  </si>
  <si>
    <t>6601001</t>
  </si>
  <si>
    <t>6601001001</t>
  </si>
  <si>
    <t>6601001002</t>
  </si>
  <si>
    <t>6601001003</t>
  </si>
  <si>
    <t>6601001004</t>
  </si>
  <si>
    <t>6601001005</t>
  </si>
  <si>
    <t>660100100501</t>
  </si>
  <si>
    <t>660100100502</t>
  </si>
  <si>
    <t xml:space="preserve">      其他福利费</t>
  </si>
  <si>
    <t>660100100503</t>
  </si>
  <si>
    <t>6601001006</t>
  </si>
  <si>
    <t>6601001007</t>
  </si>
  <si>
    <t>6601001008</t>
  </si>
  <si>
    <t>6601001009</t>
  </si>
  <si>
    <t>6601002</t>
  </si>
  <si>
    <t>6601003</t>
  </si>
  <si>
    <t>6601004</t>
  </si>
  <si>
    <t>6601005</t>
  </si>
  <si>
    <t>6601006</t>
  </si>
  <si>
    <t xml:space="preserve">  租赁费用</t>
  </si>
  <si>
    <t>6601007</t>
  </si>
  <si>
    <t>6601008</t>
  </si>
  <si>
    <t xml:space="preserve">  车船税</t>
  </si>
  <si>
    <t>6601009</t>
  </si>
  <si>
    <t>6601010</t>
  </si>
  <si>
    <t xml:space="preserve">  展览会议费</t>
  </si>
  <si>
    <t>6601011</t>
  </si>
  <si>
    <t xml:space="preserve">  运输费</t>
  </si>
  <si>
    <t>6601012</t>
  </si>
  <si>
    <t>6601013</t>
  </si>
  <si>
    <t xml:space="preserve">  服务费及佣金</t>
  </si>
  <si>
    <t>6601014</t>
  </si>
  <si>
    <t xml:space="preserve">    人民币</t>
  </si>
  <si>
    <t>6601014001</t>
  </si>
  <si>
    <t xml:space="preserve">    港币</t>
  </si>
  <si>
    <t>6601014002</t>
  </si>
  <si>
    <t xml:space="preserve">    美金</t>
  </si>
  <si>
    <t>6601014003</t>
  </si>
  <si>
    <t>6601015</t>
  </si>
  <si>
    <t>6601015001</t>
  </si>
  <si>
    <t>6601016</t>
  </si>
  <si>
    <t xml:space="preserve">  报关费</t>
  </si>
  <si>
    <t>6601017</t>
  </si>
  <si>
    <t xml:space="preserve">  其他销售费用</t>
  </si>
  <si>
    <t>6601018</t>
  </si>
  <si>
    <t>下表数据汇总</t>
  </si>
  <si>
    <t>一、短期借款</t>
  </si>
  <si>
    <t>借款银行（全名，与合同的名称一致）</t>
  </si>
  <si>
    <t>借款类别     (请选择)</t>
  </si>
  <si>
    <t>年利率(%)</t>
  </si>
  <si>
    <t>借款用途</t>
  </si>
  <si>
    <t>借款保证人（适用于保证借款）</t>
  </si>
  <si>
    <t>质押、抵押情况、及受限标的物期末净额</t>
  </si>
  <si>
    <t>应计提天数测算</t>
  </si>
  <si>
    <t>计提应付利息测算</t>
  </si>
  <si>
    <t>应付利息-报表数</t>
  </si>
  <si>
    <t>差额</t>
  </si>
  <si>
    <t>二、长期借款（包括一年内到期的长期借款）</t>
  </si>
  <si>
    <t>借款余额（包括一年内到期）</t>
  </si>
  <si>
    <t>列示在“长期借款”的余额</t>
  </si>
  <si>
    <t>列示在“一年内到期的非流动负债”余额</t>
  </si>
  <si>
    <t>保证人（适用于保证借款）</t>
  </si>
  <si>
    <t>非经常性损益项目</t>
  </si>
  <si>
    <t>投资收益-理财产品收入</t>
  </si>
  <si>
    <t>新增项目1-</t>
  </si>
  <si>
    <t>新增项目2-</t>
  </si>
  <si>
    <t>新增项目3-</t>
  </si>
  <si>
    <t>非经常性损益金额</t>
  </si>
  <si>
    <t>税率</t>
  </si>
  <si>
    <t>不影响所得税金额（上述事项中的纳税调增调减事项）</t>
  </si>
  <si>
    <t>非经常损益所得税影响额</t>
  </si>
  <si>
    <t>扣除所得税影响后的非经常性损益合计</t>
  </si>
  <si>
    <t>江粉持股比例</t>
  </si>
  <si>
    <t>其中：归属于母公司的非经常性损益</t>
  </si>
  <si>
    <t>其中：归属于少数股东的非经常性损益</t>
  </si>
  <si>
    <r>
      <rPr>
        <b/>
        <sz val="9"/>
        <rFont val="宋体"/>
        <charset val="134"/>
      </rPr>
      <t>当期所得税费用测算底稿：</t>
    </r>
  </si>
  <si>
    <t>业务招待费*60%</t>
  </si>
  <si>
    <r>
      <rPr>
        <sz val="9"/>
        <rFont val="宋体"/>
        <charset val="134"/>
      </rPr>
      <t>营业收入</t>
    </r>
    <r>
      <rPr>
        <sz val="9"/>
        <rFont val="Arial Narrow"/>
        <charset val="134"/>
      </rPr>
      <t>*0.5%</t>
    </r>
  </si>
  <si>
    <r>
      <rPr>
        <sz val="9"/>
        <rFont val="宋体"/>
        <charset val="134"/>
      </rPr>
      <t>工资薪金总额的</t>
    </r>
    <r>
      <rPr>
        <sz val="9"/>
        <rFont val="Arial Narrow"/>
        <charset val="134"/>
      </rPr>
      <t>14%</t>
    </r>
  </si>
  <si>
    <r>
      <rPr>
        <b/>
        <sz val="9"/>
        <rFont val="宋体"/>
        <charset val="134"/>
      </rPr>
      <t>利润总额</t>
    </r>
  </si>
  <si>
    <r>
      <rPr>
        <b/>
        <sz val="9"/>
        <rFont val="宋体"/>
        <charset val="134"/>
      </rPr>
      <t>纳税调增项目：</t>
    </r>
  </si>
  <si>
    <r>
      <rPr>
        <sz val="9"/>
        <rFont val="宋体"/>
        <charset val="134"/>
      </rPr>
      <t>超标业务费</t>
    </r>
  </si>
  <si>
    <r>
      <rPr>
        <sz val="9"/>
        <rFont val="宋体"/>
        <charset val="134"/>
      </rPr>
      <t>资产减值准备（期末资产减值准备</t>
    </r>
    <r>
      <rPr>
        <sz val="9"/>
        <rFont val="Arial Narrow"/>
        <charset val="134"/>
      </rPr>
      <t>-</t>
    </r>
    <r>
      <rPr>
        <sz val="9"/>
        <rFont val="宋体"/>
        <charset val="134"/>
      </rPr>
      <t>期初资产减值准备）</t>
    </r>
  </si>
  <si>
    <t>资产评估增值折旧（仅适用于非同一控制下的资产评估增值的公司）</t>
  </si>
  <si>
    <t>赞助费</t>
  </si>
  <si>
    <r>
      <rPr>
        <sz val="9"/>
        <rFont val="宋体"/>
        <charset val="134"/>
      </rPr>
      <t>罚款</t>
    </r>
  </si>
  <si>
    <t>财产损失（如报废存货、处置固定资产损失）</t>
  </si>
  <si>
    <t>未付工资（历年税审调整了未付工资才进行调整，否则不调整该项）</t>
  </si>
  <si>
    <t>其他纳税调增事项：</t>
  </si>
  <si>
    <r>
      <rPr>
        <b/>
        <sz val="9"/>
        <rFont val="宋体"/>
        <charset val="134"/>
      </rPr>
      <t>纳税调减项目：</t>
    </r>
  </si>
  <si>
    <r>
      <rPr>
        <sz val="9"/>
        <rFont val="宋体"/>
        <charset val="134"/>
      </rPr>
      <t>子公司分红</t>
    </r>
  </si>
  <si>
    <r>
      <rPr>
        <sz val="9"/>
        <rFont val="宋体"/>
        <charset val="134"/>
      </rPr>
      <t>权益法核算的长期股权投资收益</t>
    </r>
  </si>
  <si>
    <r>
      <rPr>
        <sz val="9"/>
        <rFont val="宋体"/>
        <charset val="134"/>
      </rPr>
      <t>其他投资分红</t>
    </r>
  </si>
  <si>
    <r>
      <rPr>
        <sz val="9"/>
        <rFont val="宋体"/>
        <charset val="134"/>
      </rPr>
      <t>其他纳税调减事项</t>
    </r>
  </si>
  <si>
    <r>
      <rPr>
        <b/>
        <sz val="9"/>
        <rFont val="宋体"/>
        <charset val="134"/>
      </rPr>
      <t>应纳税所得额</t>
    </r>
  </si>
  <si>
    <t>注：由于年审数据需要与税审数据保持一致，因此请审计数据确定后，要求子公司财务把审定数据给税审师确定税审结果。最终该表需修正成与税审结果一致。</t>
  </si>
  <si>
    <t>如子公司无需税审则按照上表测算结果进行测算。</t>
  </si>
  <si>
    <r>
      <rPr>
        <b/>
        <sz val="9"/>
        <rFont val="宋体"/>
        <charset val="134"/>
      </rPr>
      <t>（</t>
    </r>
    <r>
      <rPr>
        <b/>
        <sz val="9"/>
        <rFont val="Arial Narrow"/>
        <charset val="134"/>
      </rPr>
      <t>1</t>
    </r>
    <r>
      <rPr>
        <b/>
        <sz val="9"/>
        <rFont val="宋体"/>
        <charset val="134"/>
      </rPr>
      <t>）其中集团关联方数据</t>
    </r>
  </si>
  <si>
    <r>
      <rPr>
        <b/>
        <sz val="9"/>
        <rFont val="宋体"/>
        <charset val="134"/>
      </rPr>
      <t>（</t>
    </r>
    <r>
      <rPr>
        <b/>
        <sz val="9"/>
        <rFont val="Arial Narrow"/>
        <charset val="134"/>
      </rPr>
      <t>2</t>
    </r>
    <r>
      <rPr>
        <b/>
        <sz val="9"/>
        <rFont val="宋体"/>
        <charset val="134"/>
      </rPr>
      <t>）集团非关联方投资性房地产数据</t>
    </r>
  </si>
  <si>
    <t>计算过程</t>
  </si>
  <si>
    <t>XX公司</t>
  </si>
  <si>
    <t>1、本期处置本期收入现金流</t>
  </si>
  <si>
    <t>处置原值</t>
  </si>
  <si>
    <t>a</t>
  </si>
  <si>
    <t>b</t>
  </si>
  <si>
    <t>c=a-b</t>
  </si>
  <si>
    <t>处置收入</t>
  </si>
  <si>
    <t>d</t>
  </si>
  <si>
    <t>处置税费</t>
  </si>
  <si>
    <t>e</t>
  </si>
  <si>
    <t>处置其他服务费</t>
  </si>
  <si>
    <t>f</t>
  </si>
  <si>
    <t>处置净现金流入</t>
  </si>
  <si>
    <t>g=d-e-f</t>
  </si>
  <si>
    <t>营业外收支</t>
  </si>
  <si>
    <t>h=g-c</t>
  </si>
  <si>
    <t>也有可能是营业外收入，如是，特别说明。</t>
  </si>
  <si>
    <t>2、上期处置本期收入现金流</t>
  </si>
  <si>
    <t>i</t>
  </si>
  <si>
    <t>处置固定资产、无形资产和其他长期资产收回的现金净额合计</t>
  </si>
  <si>
    <t>j=i+g</t>
  </si>
  <si>
    <t>附注-营业外支出-处置非流动资产的损失</t>
  </si>
  <si>
    <t>附注-处置固定资产、无形资产和其他长期资产收回的现金净额</t>
  </si>
  <si>
    <t>营业外支出差异</t>
  </si>
  <si>
    <t>处置固定资产、无形资产和其他长期资产收回的现金净额差异</t>
  </si>
  <si>
    <t>一、内部往来统计</t>
  </si>
  <si>
    <t>资产类：</t>
  </si>
  <si>
    <t>资产情况</t>
  </si>
  <si>
    <t>坏帐准备</t>
  </si>
  <si>
    <t>是否与对方单位对帐</t>
  </si>
  <si>
    <t>对帐后差异及其原因</t>
  </si>
  <si>
    <t>年初账龄</t>
  </si>
  <si>
    <t>本公司名称</t>
  </si>
  <si>
    <t>对方公司名称</t>
  </si>
  <si>
    <t>会计科目</t>
  </si>
  <si>
    <t>1－2年</t>
  </si>
  <si>
    <t>2－3年</t>
  </si>
  <si>
    <r>
      <rPr>
        <b/>
        <sz val="10"/>
        <color rgb="FFFF0000"/>
        <rFont val="宋体"/>
        <charset val="134"/>
      </rPr>
      <t>3－4年</t>
    </r>
  </si>
  <si>
    <r>
      <rPr>
        <b/>
        <sz val="10"/>
        <color rgb="FFFF0000"/>
        <rFont val="宋体"/>
        <charset val="134"/>
      </rPr>
      <t>4－5年</t>
    </r>
  </si>
  <si>
    <t>本年计提</t>
  </si>
  <si>
    <t>负债类：</t>
  </si>
  <si>
    <t>负债情况</t>
  </si>
  <si>
    <t>二、现金流量抵销事项</t>
  </si>
  <si>
    <t>本单位名称</t>
  </si>
  <si>
    <t>(空白)</t>
  </si>
  <si>
    <t>借方</t>
  </si>
  <si>
    <t xml:space="preserve">贷方 </t>
  </si>
  <si>
    <t>行标签</t>
  </si>
  <si>
    <t>求和项:借方</t>
  </si>
  <si>
    <t xml:space="preserve">求和项:贷方 </t>
  </si>
  <si>
    <t>总计</t>
  </si>
  <si>
    <t>南通杉创创业投资中心（有限合伙）</t>
  </si>
  <si>
    <t>北京泓创创业投资中心（有限合伙）</t>
  </si>
  <si>
    <t>陕西协和资产管理股份有限公司</t>
  </si>
  <si>
    <t>北京磐基鸿翼股权投资合伙企业</t>
  </si>
  <si>
    <t>深圳市创东方长鼎投资企业（有限合伙）</t>
  </si>
  <si>
    <t>深圳财富森林三号股权投资合伙企业（有限合伙）</t>
  </si>
  <si>
    <t>深圳市吉东方投资企业（有限合伙）</t>
  </si>
  <si>
    <t>深圳立辰投资中心（有限合伙）</t>
  </si>
  <si>
    <t>王薇</t>
  </si>
  <si>
    <t>东莞市投其所好股权投资合伙企业（有限合伙）</t>
  </si>
  <si>
    <t>深圳市先德正锐投资企业（有限合伙）</t>
  </si>
  <si>
    <t>深圳市松禾国创新能股权投资基金合伙企业（有限合伙）</t>
  </si>
</sst>
</file>

<file path=xl/styles.xml><?xml version="1.0" encoding="utf-8"?>
<styleSheet xmlns="http://schemas.openxmlformats.org/spreadsheetml/2006/main">
  <numFmts count="134">
    <numFmt numFmtId="176" formatCode="#,##0;\(#,##0\);\ \-\ "/>
    <numFmt numFmtId="177" formatCode="#,##0.00&quot; F&quot;_);\(#,##0.00&quot; F&quot;\)"/>
    <numFmt numFmtId="178" formatCode="_-#,##0%_-;\(#,##0%\);_-\ &quot;-&quot;_-"/>
    <numFmt numFmtId="179" formatCode="_-#,##0.00_-;\(#,##0.00\);_-\ \ &quot;-&quot;_-;_-@_-"/>
    <numFmt numFmtId="180" formatCode="_-* #,##0.0000000000_-;\-* #,##0.0000000000_-;_-* &quot;-&quot;??_-;_-@_-"/>
    <numFmt numFmtId="181" formatCode="_ \¥* #,##0.00_ ;_ \¥* \-#,##0.00_ ;_ \¥* &quot;-&quot;??_ ;_ @_ "/>
    <numFmt numFmtId="182" formatCode="_-* #,##0_-;&quot;\&quot;&quot;\&quot;&quot;\&quot;&quot;\&quot;\-* #,##0_-;_-* &quot;-&quot;_-;_-@_-"/>
    <numFmt numFmtId="42" formatCode="_ &quot;￥&quot;* #,##0_ ;_ &quot;￥&quot;* \-#,##0_ ;_ &quot;￥&quot;* &quot;-&quot;_ ;_ @_ "/>
    <numFmt numFmtId="183" formatCode="#\ ??/??"/>
    <numFmt numFmtId="184" formatCode="_-#0&quot;.&quot;0,_-;\(#0&quot;.&quot;0,\);_-\ \ &quot;-&quot;_-;_-@_-"/>
    <numFmt numFmtId="185" formatCode="#,##0.00\ &quot;FB&quot;;\-#,##0.00\ &quot;FB&quot;"/>
    <numFmt numFmtId="186" formatCode="0_);[Red]\(0\)"/>
    <numFmt numFmtId="187" formatCode="#,##0.00\¥;\-#,##0.00\¥"/>
    <numFmt numFmtId="188" formatCode="#,##0&quot; $&quot;;\-#,##0&quot; $&quot;"/>
    <numFmt numFmtId="189" formatCode="#,##0;\(#,##0\)"/>
    <numFmt numFmtId="190" formatCode="0.00000&quot;  &quot;"/>
    <numFmt numFmtId="191" formatCode="_(* #,##0.00_);_(* \(#,##0.00\);_(* &quot;-&quot;??_);_(@_)"/>
    <numFmt numFmtId="192" formatCode="&quot;\&quot;#,##0.00;[Red]&quot;\&quot;&quot;\&quot;&quot;\&quot;&quot;\&quot;&quot;\&quot;&quot;\&quot;\-#,##0.00"/>
    <numFmt numFmtId="193" formatCode="#,##0.000000"/>
    <numFmt numFmtId="194" formatCode="_-* #,##0.00\ _k_r_-;\-* #,##0.00\ _k_r_-;_-* &quot;-&quot;??\ _k_r_-;_-@_-"/>
    <numFmt numFmtId="195" formatCode="_-* #,##0.00_-;\-* #,##0.00_-;_-* &quot;-&quot;??_-;_-@_-"/>
    <numFmt numFmtId="196" formatCode="_-* #,##0.00\¥_-;\-* #,##0.00\¥_-;_-* &quot;-&quot;??\¥_-;_-@_-"/>
    <numFmt numFmtId="197" formatCode="_-&quot;$&quot;* #,##0_-;\-&quot;$&quot;* #,##0_-;_-&quot;$&quot;* &quot;-&quot;_-;_-@_-"/>
    <numFmt numFmtId="198" formatCode="0.0%"/>
    <numFmt numFmtId="199" formatCode="_-#,##0_-;\(#,##0\);_-\ \ &quot;-&quot;_-;_-@_-"/>
    <numFmt numFmtId="200" formatCode="#,##0.0"/>
    <numFmt numFmtId="201" formatCode="_-#,###.00,_-;\(#,###.00,\);_-\ \ &quot;-&quot;_-;_-@_-"/>
    <numFmt numFmtId="202" formatCode="_(&quot;$&quot;* #,##0.00_);_(&quot;$&quot;* \(#,##0.00\);_(&quot;$&quot;* &quot;-&quot;??_);_(@_)"/>
    <numFmt numFmtId="203" formatCode="mmm/dd/yyyy;_-\ &quot;N/A&quot;_-;_-\ &quot;-&quot;_-"/>
    <numFmt numFmtId="204" formatCode="_(* #,##0.0000_);_(* \(#,##0.0000\);_(* &quot;-&quot;??_);_(@_)"/>
    <numFmt numFmtId="43" formatCode="_ * #,##0.00_ ;_ * \-#,##0.00_ ;_ * &quot;-&quot;??_ ;_ @_ "/>
    <numFmt numFmtId="205" formatCode="&quot;$&quot;#,##0_);\(&quot;$&quot;#,##0.0\)"/>
    <numFmt numFmtId="206" formatCode="##.\ \ "/>
    <numFmt numFmtId="207" formatCode="d/m/yy\ h:mm"/>
    <numFmt numFmtId="208" formatCode="_ \¥* #,##0.00_ ;_ \¥* \-#,##0.00_ ;_ \¥* \-??_ ;_ @_ "/>
    <numFmt numFmtId="209" formatCode="_(* #,##0_);_(* \(#,##0\);_(* &quot;-&quot;_);_(@_)"/>
    <numFmt numFmtId="210" formatCode="0%;\(0%\)"/>
    <numFmt numFmtId="211" formatCode="\¥#,##0;\-\¥#,##0"/>
    <numFmt numFmtId="212" formatCode="_ &quot;\&quot;* #,##0.00_ ;_ &quot;\&quot;* &quot;\&quot;&quot;\&quot;&quot;\&quot;\-#,##0.00_ ;_ &quot;\&quot;* &quot;-&quot;??_ ;_ @_ "/>
    <numFmt numFmtId="41" formatCode="_ * #,##0_ ;_ * \-#,##0_ ;_ * &quot;-&quot;_ ;_ @_ "/>
    <numFmt numFmtId="213" formatCode="#,##0.0_);\(#,##0.0\)"/>
    <numFmt numFmtId="214" formatCode="mmm/yyyy;_-\ &quot;N/A&quot;_-;_-\ &quot;-&quot;_-"/>
    <numFmt numFmtId="215" formatCode="#,##0&quot; F&quot;_);\(#,##0&quot; F&quot;\)"/>
    <numFmt numFmtId="216" formatCode="&quot;￥&quot;#,##0;\-&quot;￥&quot;#,##0"/>
    <numFmt numFmtId="217" formatCode="#,##0&quot; $&quot;;[Red]\-#,##0&quot; $&quot;"/>
    <numFmt numFmtId="218" formatCode="_(&quot;$&quot;* #,##0_);_(&quot;$&quot;* \(#,##0\);_(&quot;$&quot;* &quot;-&quot;_);_(@_)"/>
    <numFmt numFmtId="219" formatCode="0.000%"/>
    <numFmt numFmtId="220" formatCode="[$¥-804]#,##0.00_);[Red]\([$¥-804]#,##0.00\)"/>
    <numFmt numFmtId="221" formatCode="_ * #,##0.00_ ;_ * &quot;\&quot;&quot;\&quot;&quot;\&quot;&quot;\&quot;&quot;\&quot;&quot;\&quot;&quot;\&quot;&quot;\&quot;&quot;\&quot;&quot;\&quot;\-#,##0.00_ ;_ * &quot;-&quot;??_ ;_ @_ "/>
    <numFmt numFmtId="222" formatCode="&quot;$&quot;#,##0.00_);\(&quot;$&quot;#,##0.00\)"/>
    <numFmt numFmtId="25" formatCode="\$#,##0.00_);\(\$#,##0.00\)"/>
    <numFmt numFmtId="223" formatCode="#,##0;\-#,##0;&quot;-&quot;"/>
    <numFmt numFmtId="224" formatCode="_-#,###,_-;\(#,###,\);_-\ \ &quot;-&quot;_-;_-@_-"/>
    <numFmt numFmtId="225" formatCode="&quot;\&quot;#,##0;[Red]&quot;\&quot;&quot;\&quot;&quot;\&quot;&quot;\&quot;&quot;\&quot;&quot;\&quot;&quot;\&quot;\-#,##0"/>
    <numFmt numFmtId="226" formatCode="&quot;\&quot;#,##0.00;[Red]&quot;\&quot;\-#,##0.00"/>
    <numFmt numFmtId="227" formatCode="&quot;$&quot;#,##0;[Red]&quot;$&quot;&quot;$&quot;&quot;$&quot;&quot;$&quot;&quot;$&quot;&quot;$&quot;&quot;$&quot;\-#,##0"/>
    <numFmt numFmtId="228" formatCode="&quot;\&quot;#,##0;&quot;\&quot;&quot;\&quot;&quot;\&quot;&quot;\&quot;&quot;\&quot;&quot;\&quot;&quot;\&quot;&quot;\&quot;&quot;\&quot;&quot;\&quot;&quot;\&quot;&quot;\&quot;\-#,##0"/>
    <numFmt numFmtId="229" formatCode="#,##0.00&quot; F&quot;_);[Red]\(#,##0.00&quot; F&quot;\)"/>
    <numFmt numFmtId="230" formatCode="0_ "/>
    <numFmt numFmtId="231" formatCode="#,##0\ &quot;FB&quot;;\-#,##0\ &quot;FB&quot;"/>
    <numFmt numFmtId="44" formatCode="_ &quot;￥&quot;* #,##0.00_ ;_ &quot;￥&quot;* \-#,##0.00_ ;_ &quot;￥&quot;* &quot;-&quot;??_ ;_ @_ "/>
    <numFmt numFmtId="232" formatCode="_-* #,##0_-;\-* #,##0_-;_-* &quot;-&quot;_-;_-@_-"/>
    <numFmt numFmtId="233" formatCode="0.0%;\(0.0%\)"/>
    <numFmt numFmtId="234" formatCode="#.\ \ "/>
    <numFmt numFmtId="235" formatCode="#."/>
    <numFmt numFmtId="236" formatCode="#,##0.00\ &quot;FB&quot;;[Red]\-#,##0.00\ &quot;FB&quot;"/>
    <numFmt numFmtId="237" formatCode="_-* #,##0\ _k_r_-;\-* #,##0\ _k_r_-;_-* &quot;-&quot;\ _k_r_-;_-@_-"/>
    <numFmt numFmtId="238" formatCode="_-&quot;$&quot;* #,##0.00_-;\-&quot;$&quot;* #,##0.00_-;_-&quot;$&quot;* &quot;-&quot;??_-;_-@_-"/>
    <numFmt numFmtId="239" formatCode="_-#0&quot;.&quot;0000_-;\(#0&quot;.&quot;0000\);_-\ \ &quot;-&quot;_-;_-@_-"/>
    <numFmt numFmtId="240" formatCode="&quot;\&quot;#,##0;[Red]&quot;\&quot;\-#,##0"/>
    <numFmt numFmtId="241" formatCode="_-* #,##0.00_-;&quot;\&quot;&quot;\&quot;&quot;\&quot;&quot;\&quot;\-* #,##0.00_-;_-* &quot;-&quot;??_-;_-@_-"/>
    <numFmt numFmtId="242" formatCode="&quot;\&quot;#,##0.00;&quot;\&quot;&quot;\&quot;&quot;\&quot;&quot;\&quot;&quot;\&quot;&quot;\&quot;&quot;\&quot;&quot;\&quot;\-#,##0.00"/>
    <numFmt numFmtId="243" formatCode="&quot;$&quot;#,##0_);\(&quot;$&quot;#,##0\)"/>
    <numFmt numFmtId="244" formatCode="#,##0&quot; F&quot;_);[Red]\(#,##0&quot; F&quot;\)"/>
    <numFmt numFmtId="245" formatCode="&quot;\&quot;#,##0;&quot;\&quot;\-#,##0"/>
    <numFmt numFmtId="246" formatCode="\$#,##0.00;\(\$#,##0.00\)"/>
    <numFmt numFmtId="247" formatCode="_-* #,##0\¥_-;\-* #,##0\¥_-;_-* &quot;-&quot;\¥_-;_-@_-"/>
    <numFmt numFmtId="24" formatCode="\$#,##0_);[Red]\(\$#,##0\)"/>
    <numFmt numFmtId="248" formatCode="mmmm\ d\,\ yyyy"/>
    <numFmt numFmtId="249" formatCode="&quot;$&quot;#,##0\ ;\(&quot;$&quot;#,##0\)"/>
    <numFmt numFmtId="250" formatCode="#,##0\ &quot; &quot;;\(#,##0\)\ ;&quot;—&quot;&quot; &quot;&quot; &quot;&quot; &quot;&quot; &quot;"/>
    <numFmt numFmtId="251" formatCode="&quot;\&quot;#,##0\ ;\(&quot;\&quot;#,##0\)"/>
    <numFmt numFmtId="252" formatCode="_-* #,##0_-;\-* #,##0_-;_-* &quot;-&quot;??_-;_-@_-"/>
    <numFmt numFmtId="253" formatCode="_(&quot;Cr$&quot;* #,##0_);_(&quot;Cr$&quot;* \(#,##0\);_(&quot;Cr$&quot;* &quot;-&quot;_);_(@_)"/>
    <numFmt numFmtId="254" formatCode="_(&quot;Cr$&quot;* #,##0.00_);_(&quot;Cr$&quot;* \(#,##0.00\);_(&quot;Cr$&quot;* &quot;-&quot;??_);_(@_)"/>
    <numFmt numFmtId="255" formatCode="#.##0.0"/>
    <numFmt numFmtId="256" formatCode="#.##0.000"/>
    <numFmt numFmtId="257" formatCode="0.0000"/>
    <numFmt numFmtId="258" formatCode="0.000000"/>
    <numFmt numFmtId="259" formatCode="&quot;$&quot;#,##0_);[Red]\(&quot;$&quot;#,##0\)"/>
    <numFmt numFmtId="260" formatCode="&quot;\&quot;#,##0;&quot;\&quot;&quot;\&quot;&quot;\&quot;&quot;\&quot;&quot;\&quot;&quot;\&quot;&quot;\&quot;&quot;\&quot;\-#,##0"/>
    <numFmt numFmtId="261" formatCode="&quot;$&quot;#,##0;\-&quot;$&quot;#,##0"/>
    <numFmt numFmtId="262" formatCode="_-&quot;f&quot;\ * #,##0.00_-;_-&quot;f&quot;\ * #,##0.00\-;_-&quot;f&quot;\ * &quot;-&quot;??_-;_-@_-"/>
    <numFmt numFmtId="263" formatCode="_-&quot;f&quot;\ * #,##0_-;_-&quot;f&quot;\ * #,##0\-;_-&quot;f&quot;\ * &quot;-&quot;_-;_-@_-"/>
    <numFmt numFmtId="264" formatCode="\$#,##0;\(\$#,##0\)"/>
    <numFmt numFmtId="265" formatCode="#,##0.00_ "/>
    <numFmt numFmtId="266" formatCode="_(\¥* #,##0.00_);_(\¥* \(#,##0.00\);_(\¥* &quot;-&quot;??_);_(@_)"/>
    <numFmt numFmtId="267" formatCode="0_)"/>
    <numFmt numFmtId="268" formatCode="0.00_)"/>
    <numFmt numFmtId="269" formatCode="&quot;$&quot;#,##0;&quot;$&quot;&quot;$&quot;&quot;$&quot;&quot;$&quot;&quot;$&quot;&quot;$&quot;&quot;$&quot;\-#,##0"/>
    <numFmt numFmtId="270" formatCode="#,##0.00;\(#,##0.00\)"/>
    <numFmt numFmtId="271" formatCode="_-* #,##0.00\ _B_E_F_-;\-* #,##0.00\ _B_E_F_-;_-* &quot;-&quot;??\ _B_E_F_-;_-@_-"/>
    <numFmt numFmtId="272" formatCode="_ &quot;&quot;* #,##0.00_ ;_ &quot;&quot;* \-#,##0.00_ ;_ &quot;&quot;* &quot;-&quot;??_ ;_ @_ "/>
    <numFmt numFmtId="273" formatCode="_ &quot;&quot;* #,##0_ ;_ &quot;&quot;* \-#,##0_ ;_ &quot;&quot;* &quot;-&quot;_ ;_ @_ "/>
    <numFmt numFmtId="274" formatCode="&quot;$&quot;#,##0;[Red]\-&quot;$&quot;#,##0"/>
    <numFmt numFmtId="275"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276" formatCode="&quot;\&quot;#,##0;[Red]&quot;\&quot;&quot;\&quot;\-#,##0"/>
    <numFmt numFmtId="277" formatCode="_ * #,##0.0000_ ;_ * \-#,##0.0000_ ;_ * &quot;-&quot;??_ ;_ @_ "/>
    <numFmt numFmtId="278" formatCode="yy\.mm\.dd"/>
    <numFmt numFmtId="279" formatCode="_ &quot;\&quot;* #,##0_ ;_ &quot;\&quot;* \-#,##0_ ;_ &quot;\&quot;* &quot;-&quot;_ ;_ @_ "/>
    <numFmt numFmtId="280" formatCode="_ &quot;\&quot;* #,##0.00_ ;_ &quot;\&quot;* \-#,##0.00_ ;_ &quot;\&quot;* &quot;-&quot;??_ ;_ @_ "/>
    <numFmt numFmtId="281" formatCode="#,##0.00_ ;[Red]\-#,##0.00\ "/>
    <numFmt numFmtId="282" formatCode="_ * #,##0_ ;_ * \-#,##0_ ;_ * &quot;-&quot;??_ ;_ @_ "/>
    <numFmt numFmtId="283" formatCode="#,##0.00_);[Red]\(#,##0.00\)"/>
    <numFmt numFmtId="284" formatCode="0.00000_);[Red]\(0.00000\)"/>
    <numFmt numFmtId="285" formatCode="0.00000_ "/>
    <numFmt numFmtId="286" formatCode="0.00_ "/>
    <numFmt numFmtId="287" formatCode="_ * #,##0.000_ ;_ * \-#,##0.000_ ;_ * &quot;-&quot;??_ ;_ @_ "/>
    <numFmt numFmtId="288" formatCode="0.0000%"/>
    <numFmt numFmtId="289" formatCode="yyyy/mm/dd"/>
    <numFmt numFmtId="290" formatCode="_ * #,##0.00_ ;_ * \-#,##0.00_ ;_ * &quot;-&quot;_ ;_ @_ "/>
    <numFmt numFmtId="291" formatCode="General;General;;"/>
    <numFmt numFmtId="292" formatCode="yyyy&quot;年&quot;m&quot;月&quot;d&quot;日&quot;;@"/>
    <numFmt numFmtId="293" formatCode="#,##0_ "/>
    <numFmt numFmtId="294" formatCode="0.0000_ "/>
    <numFmt numFmtId="295" formatCode="[$¥-804]#,##0.00_);[Red]\([$¥-804]#,##0.00\)"/>
    <numFmt numFmtId="296" formatCode="[$¥-804]#,##0.00_);[Red]\([$¥-804]#,##0.00\)"/>
    <numFmt numFmtId="297" formatCode="[$¥-804]#,##0.00_);[Red]\([$¥-804]#,##0.00\)"/>
    <numFmt numFmtId="298" formatCode="[$¥-804]#,##0.00_);[Red]\([$¥-804]#,##0.00\)"/>
    <numFmt numFmtId="299" formatCode="[$¥-804]#,##0.00_);[Red]\([$¥-804]#,##0.00\)"/>
    <numFmt numFmtId="300" formatCode="[$¥-804]#,##0.00_);[Red]\([$¥-804]#,##0.00\)"/>
    <numFmt numFmtId="301" formatCode="[$¥-804]#,##0.00_);[Red]\([$¥-804]#,##0.00\)"/>
    <numFmt numFmtId="302" formatCode="[$¥-804]#,##0.00_);[Red]\([$¥-804]#,##0.00\)"/>
    <numFmt numFmtId="303" formatCode="[$¥-804]#,##0.00_);[Red]\([$¥-804]#,##0.00\)"/>
  </numFmts>
  <fonts count="385">
    <font>
      <sz val="12"/>
      <name val="宋体"/>
      <charset val="134"/>
    </font>
    <font>
      <sz val="9"/>
      <name val="Arial Narrow"/>
      <charset val="134"/>
    </font>
    <font>
      <sz val="9"/>
      <name val="宋体"/>
      <charset val="134"/>
    </font>
    <font>
      <b/>
      <sz val="10"/>
      <name val="宋体"/>
      <charset val="134"/>
    </font>
    <font>
      <b/>
      <sz val="10"/>
      <color rgb="FFFF0000"/>
      <name val="宋体"/>
      <charset val="134"/>
    </font>
    <font>
      <sz val="10"/>
      <name val="宋体"/>
      <charset val="134"/>
    </font>
    <font>
      <sz val="10"/>
      <color rgb="FFFF0000"/>
      <name val="宋体"/>
      <charset val="134"/>
    </font>
    <font>
      <b/>
      <sz val="9"/>
      <name val="宋体"/>
      <charset val="134"/>
      <scheme val="minor"/>
    </font>
    <font>
      <sz val="9"/>
      <color theme="1"/>
      <name val="宋体"/>
      <charset val="134"/>
      <scheme val="minor"/>
    </font>
    <font>
      <u val="singleAccounting"/>
      <sz val="9"/>
      <color theme="1"/>
      <name val="宋体"/>
      <charset val="134"/>
      <scheme val="minor"/>
    </font>
    <font>
      <u val="singleAccounting"/>
      <sz val="9"/>
      <color rgb="FFFF0000"/>
      <name val="宋体"/>
      <charset val="134"/>
      <scheme val="minor"/>
    </font>
    <font>
      <u val="doubleAccounting"/>
      <sz val="9"/>
      <color theme="1"/>
      <name val="宋体"/>
      <charset val="134"/>
      <scheme val="minor"/>
    </font>
    <font>
      <sz val="9"/>
      <color theme="0"/>
      <name val="宋体"/>
      <charset val="134"/>
    </font>
    <font>
      <b/>
      <sz val="9"/>
      <name val="Arial Narrow"/>
      <charset val="134"/>
    </font>
    <font>
      <u/>
      <sz val="9"/>
      <color indexed="12"/>
      <name val="宋体"/>
      <charset val="134"/>
    </font>
    <font>
      <sz val="9"/>
      <color theme="1"/>
      <name val="宋体"/>
      <charset val="134"/>
    </font>
    <font>
      <sz val="9"/>
      <color theme="1"/>
      <name val="Times New Roman"/>
      <charset val="134"/>
    </font>
    <font>
      <b/>
      <sz val="9"/>
      <color theme="1"/>
      <name val="Times New Roman"/>
      <charset val="134"/>
    </font>
    <font>
      <sz val="9"/>
      <color rgb="FF0070C0"/>
      <name val="宋体"/>
      <charset val="134"/>
    </font>
    <font>
      <b/>
      <sz val="9"/>
      <color theme="1"/>
      <name val="宋体"/>
      <charset val="134"/>
      <scheme val="minor"/>
    </font>
    <font>
      <b/>
      <sz val="9"/>
      <name val="宋体"/>
      <charset val="134"/>
    </font>
    <font>
      <sz val="9"/>
      <color rgb="FF0070C0"/>
      <name val="宋体"/>
      <charset val="134"/>
      <scheme val="minor"/>
    </font>
    <font>
      <sz val="9"/>
      <color rgb="FFFF0000"/>
      <name val="宋体"/>
      <charset val="134"/>
    </font>
    <font>
      <b/>
      <sz val="9"/>
      <color rgb="FFFF0000"/>
      <name val="宋体"/>
      <charset val="134"/>
    </font>
    <font>
      <b/>
      <sz val="9"/>
      <color rgb="FFFF0000"/>
      <name val="Arial Narrow"/>
      <charset val="134"/>
    </font>
    <font>
      <sz val="9"/>
      <color rgb="FFFF0000"/>
      <name val="宋体"/>
      <charset val="134"/>
      <scheme val="minor"/>
    </font>
    <font>
      <b/>
      <sz val="9"/>
      <color rgb="FFFF0000"/>
      <name val="宋体"/>
      <charset val="134"/>
      <scheme val="minor"/>
    </font>
    <font>
      <sz val="9"/>
      <color indexed="8"/>
      <name val="宋体"/>
      <charset val="134"/>
    </font>
    <font>
      <b/>
      <u val="doubleAccounting"/>
      <sz val="9"/>
      <color theme="1"/>
      <name val="宋体"/>
      <charset val="134"/>
      <scheme val="minor"/>
    </font>
    <font>
      <b/>
      <sz val="10"/>
      <name val="汉仪中等线简"/>
      <charset val="134"/>
    </font>
    <font>
      <b/>
      <sz val="9"/>
      <color rgb="FF0070C0"/>
      <name val="宋体"/>
      <charset val="134"/>
    </font>
    <font>
      <b/>
      <sz val="10.5"/>
      <name val="宋体"/>
      <charset val="134"/>
    </font>
    <font>
      <sz val="9"/>
      <color indexed="8"/>
      <name val="Arial Narrow"/>
      <charset val="134"/>
    </font>
    <font>
      <sz val="9"/>
      <color indexed="8"/>
      <name val="宋体"/>
      <charset val="134"/>
      <scheme val="minor"/>
    </font>
    <font>
      <b/>
      <sz val="18"/>
      <color indexed="8"/>
      <name val="宋体"/>
      <charset val="134"/>
    </font>
    <font>
      <sz val="10"/>
      <color indexed="8"/>
      <name val="宋体"/>
      <charset val="134"/>
    </font>
    <font>
      <sz val="9"/>
      <name val="宋体"/>
      <charset val="134"/>
      <scheme val="minor"/>
    </font>
    <font>
      <b/>
      <sz val="10"/>
      <color indexed="8"/>
      <name val="宋体"/>
      <charset val="134"/>
    </font>
    <font>
      <sz val="10"/>
      <color indexed="8"/>
      <name val="宋体"/>
      <charset val="134"/>
      <scheme val="minor"/>
    </font>
    <font>
      <b/>
      <sz val="10"/>
      <color indexed="8"/>
      <name val="宋体"/>
      <charset val="134"/>
      <scheme val="minor"/>
    </font>
    <font>
      <b/>
      <sz val="16"/>
      <name val="Arial Narrow"/>
      <charset val="134"/>
    </font>
    <font>
      <b/>
      <u/>
      <sz val="10"/>
      <color indexed="12"/>
      <name val="宋体"/>
      <charset val="134"/>
    </font>
    <font>
      <sz val="10"/>
      <name val="Arial Narrow"/>
      <charset val="134"/>
    </font>
    <font>
      <sz val="10"/>
      <name val="宋体"/>
      <charset val="134"/>
      <scheme val="minor"/>
    </font>
    <font>
      <b/>
      <sz val="14"/>
      <name val="Arial Narrow"/>
      <charset val="134"/>
    </font>
    <font>
      <sz val="11"/>
      <name val="Arial Narrow"/>
      <charset val="134"/>
    </font>
    <font>
      <b/>
      <sz val="10"/>
      <name val="Arial Narrow"/>
      <charset val="134"/>
    </font>
    <font>
      <sz val="11"/>
      <name val="宋体"/>
      <charset val="134"/>
    </font>
    <font>
      <sz val="10"/>
      <color indexed="8"/>
      <name val="Arial Narrow"/>
      <charset val="134"/>
    </font>
    <font>
      <sz val="12"/>
      <name val="Arial Narrow"/>
      <charset val="134"/>
    </font>
    <font>
      <sz val="10"/>
      <color rgb="FFFFC000"/>
      <name val="Arial Narrow"/>
      <charset val="134"/>
    </font>
    <font>
      <sz val="9"/>
      <color theme="1"/>
      <name val="Arial Narrow"/>
      <charset val="134"/>
    </font>
    <font>
      <sz val="14"/>
      <name val="Arial Narrow"/>
      <charset val="134"/>
    </font>
    <font>
      <sz val="10"/>
      <color indexed="12"/>
      <name val="Arial Narrow"/>
      <charset val="134"/>
    </font>
    <font>
      <sz val="11"/>
      <color theme="1"/>
      <name val="Arial Narrow"/>
      <charset val="134"/>
    </font>
    <font>
      <b/>
      <sz val="12"/>
      <color indexed="8"/>
      <name val="宋体"/>
      <charset val="134"/>
    </font>
    <font>
      <sz val="9"/>
      <color theme="0" tint="-0.249977111117893"/>
      <name val="Arial Narrow"/>
      <charset val="134"/>
    </font>
    <font>
      <sz val="9"/>
      <color theme="7" tint="0.599993896298105"/>
      <name val="Arial Narrow"/>
      <charset val="134"/>
    </font>
    <font>
      <sz val="9"/>
      <color rgb="FF00B0F0"/>
      <name val="宋体"/>
      <charset val="134"/>
    </font>
    <font>
      <sz val="9"/>
      <color rgb="FFFF0000"/>
      <name val="Arial Narrow"/>
      <charset val="134"/>
    </font>
    <font>
      <sz val="9"/>
      <color rgb="FF0070C0"/>
      <name val="Arial Narrow"/>
      <charset val="134"/>
    </font>
    <font>
      <sz val="9"/>
      <color theme="7" tint="0.599993896298105"/>
      <name val="宋体"/>
      <charset val="134"/>
    </font>
    <font>
      <sz val="9"/>
      <color rgb="FF0000FF"/>
      <name val="Arial Narrow"/>
      <charset val="134"/>
    </font>
    <font>
      <b/>
      <sz val="9"/>
      <color rgb="FF0070C0"/>
      <name val="Arial Narrow"/>
      <charset val="134"/>
    </font>
    <font>
      <u val="double"/>
      <sz val="9"/>
      <name val="Arial Narrow"/>
      <charset val="134"/>
    </font>
    <font>
      <u val="singleAccounting"/>
      <sz val="9"/>
      <name val="Arial Narrow"/>
      <charset val="134"/>
    </font>
    <font>
      <b/>
      <sz val="9"/>
      <color theme="7" tint="0.599993896298105"/>
      <name val="Arial Narrow"/>
      <charset val="134"/>
    </font>
    <font>
      <b/>
      <sz val="9"/>
      <color theme="1"/>
      <name val="宋体"/>
      <charset val="134"/>
    </font>
    <font>
      <b/>
      <u val="double"/>
      <sz val="9"/>
      <name val="Arial Narrow"/>
      <charset val="134"/>
    </font>
    <font>
      <sz val="9"/>
      <color theme="0" tint="-0.249977111117893"/>
      <name val="宋体"/>
      <charset val="134"/>
    </font>
    <font>
      <u/>
      <sz val="12"/>
      <color indexed="12"/>
      <name val="宋体"/>
      <charset val="134"/>
    </font>
    <font>
      <b/>
      <sz val="9"/>
      <color rgb="FF000000"/>
      <name val="Arial Narrow"/>
      <charset val="134"/>
    </font>
    <font>
      <sz val="9"/>
      <color rgb="FF000000"/>
      <name val="Arial Narrow"/>
      <charset val="134"/>
    </font>
    <font>
      <sz val="9"/>
      <color rgb="FF000000"/>
      <name val="宋体"/>
      <charset val="134"/>
    </font>
    <font>
      <u/>
      <sz val="9"/>
      <name val="Arial Narrow"/>
      <charset val="134"/>
    </font>
    <font>
      <sz val="10"/>
      <name val="Times New Roman"/>
      <charset val="134"/>
    </font>
    <font>
      <sz val="9"/>
      <color rgb="FF00B050"/>
      <name val="Arial Narrow"/>
      <charset val="134"/>
    </font>
    <font>
      <sz val="9"/>
      <color theme="0"/>
      <name val="Arial Narrow"/>
      <charset val="134"/>
    </font>
    <font>
      <sz val="9"/>
      <name val="Times New Roman"/>
      <charset val="134"/>
    </font>
    <font>
      <b/>
      <sz val="18"/>
      <name val="Arial Narrow"/>
      <charset val="134"/>
    </font>
    <font>
      <sz val="10"/>
      <color theme="1"/>
      <name val="Arial Narrow"/>
      <charset val="134"/>
    </font>
    <font>
      <b/>
      <i/>
      <sz val="10"/>
      <name val="Arial Narrow"/>
      <charset val="134"/>
    </font>
    <font>
      <sz val="6"/>
      <name val="Arial Narrow"/>
      <charset val="134"/>
    </font>
    <font>
      <sz val="10"/>
      <color theme="0" tint="-0.349986266670736"/>
      <name val="宋体"/>
      <charset val="134"/>
    </font>
    <font>
      <u/>
      <sz val="9"/>
      <color rgb="FF800080"/>
      <name val="宋体"/>
      <charset val="134"/>
    </font>
    <font>
      <sz val="9"/>
      <color indexed="12"/>
      <name val="宋体"/>
      <charset val="134"/>
    </font>
    <font>
      <b/>
      <sz val="20"/>
      <name val="隶书"/>
      <charset val="134"/>
    </font>
    <font>
      <b/>
      <sz val="10"/>
      <name val="Times New Roman"/>
      <charset val="134"/>
    </font>
    <font>
      <sz val="10"/>
      <color indexed="12"/>
      <name val="Times New Roman"/>
      <charset val="134"/>
    </font>
    <font>
      <b/>
      <sz val="20"/>
      <name val="Times New Roman"/>
      <charset val="134"/>
    </font>
    <font>
      <sz val="12"/>
      <name val="Times New Roman"/>
      <charset val="134"/>
    </font>
    <font>
      <b/>
      <sz val="12"/>
      <name val="宋体"/>
      <charset val="134"/>
    </font>
    <font>
      <sz val="8"/>
      <name val="Times New Roman"/>
      <charset val="134"/>
    </font>
    <font>
      <sz val="12"/>
      <color indexed="12"/>
      <name val="Times New Roman"/>
      <charset val="134"/>
    </font>
    <font>
      <i/>
      <sz val="10"/>
      <name val="宋体"/>
      <charset val="134"/>
    </font>
    <font>
      <i/>
      <sz val="10"/>
      <name val="Times New Roman"/>
      <charset val="134"/>
    </font>
    <font>
      <b/>
      <sz val="10"/>
      <color indexed="8"/>
      <name val="Times New Roman"/>
      <charset val="134"/>
    </font>
    <font>
      <sz val="10"/>
      <color indexed="8"/>
      <name val="Times New Roman"/>
      <charset val="134"/>
    </font>
    <font>
      <sz val="8"/>
      <name val="宋体"/>
      <charset val="134"/>
    </font>
    <font>
      <sz val="10"/>
      <name val="隶书"/>
      <charset val="134"/>
    </font>
    <font>
      <b/>
      <sz val="10"/>
      <color indexed="20"/>
      <name val="宋体"/>
      <charset val="134"/>
    </font>
    <font>
      <u/>
      <sz val="10"/>
      <color indexed="12"/>
      <name val="宋体"/>
      <charset val="134"/>
    </font>
    <font>
      <b/>
      <sz val="12"/>
      <color indexed="20"/>
      <name val="宋体"/>
      <charset val="134"/>
    </font>
    <font>
      <u/>
      <sz val="12"/>
      <color rgb="FF800080"/>
      <name val="宋体"/>
      <charset val="134"/>
    </font>
    <font>
      <b/>
      <sz val="12"/>
      <color indexed="61"/>
      <name val="宋体"/>
      <charset val="134"/>
    </font>
    <font>
      <b/>
      <sz val="12"/>
      <color indexed="61"/>
      <name val="Times New Roman"/>
      <charset val="134"/>
    </font>
    <font>
      <b/>
      <sz val="10"/>
      <color indexed="12"/>
      <name val="Times New Roman"/>
      <charset val="134"/>
    </font>
    <font>
      <b/>
      <sz val="10"/>
      <color indexed="10"/>
      <name val="Times New Roman"/>
      <charset val="134"/>
    </font>
    <font>
      <b/>
      <sz val="11"/>
      <color indexed="10"/>
      <name val="Times New Roman"/>
      <charset val="134"/>
    </font>
    <font>
      <sz val="10"/>
      <color indexed="10"/>
      <name val="宋体"/>
      <charset val="134"/>
    </font>
    <font>
      <sz val="10"/>
      <color indexed="20"/>
      <name val="Times New Roman"/>
      <charset val="134"/>
    </font>
    <font>
      <b/>
      <sz val="11"/>
      <name val="Times New Roman"/>
      <charset val="134"/>
    </font>
    <font>
      <b/>
      <sz val="10"/>
      <color indexed="10"/>
      <name val="Arial Narrow"/>
      <charset val="134"/>
    </font>
    <font>
      <i/>
      <sz val="10"/>
      <name val="Arial Narrow"/>
      <charset val="134"/>
    </font>
    <font>
      <b/>
      <sz val="12"/>
      <color indexed="61"/>
      <name val="Arial Narrow"/>
      <charset val="134"/>
    </font>
    <font>
      <b/>
      <sz val="10"/>
      <color indexed="12"/>
      <name val="Arial Narrow"/>
      <charset val="134"/>
    </font>
    <font>
      <sz val="10"/>
      <color theme="1"/>
      <name val="宋体"/>
      <charset val="134"/>
    </font>
    <font>
      <b/>
      <sz val="11"/>
      <color theme="1"/>
      <name val="Times New Roman"/>
      <charset val="134"/>
    </font>
    <font>
      <sz val="10"/>
      <color rgb="FFFF0000"/>
      <name val="Arial Narrow"/>
      <charset val="134"/>
    </font>
    <font>
      <b/>
      <sz val="10"/>
      <color theme="1"/>
      <name val="Arial Narrow"/>
      <charset val="134"/>
    </font>
    <font>
      <b/>
      <sz val="11"/>
      <color indexed="10"/>
      <name val="Arial Narrow"/>
      <charset val="134"/>
    </font>
    <font>
      <sz val="10"/>
      <color indexed="10"/>
      <name val="Arial Narrow"/>
      <charset val="134"/>
    </font>
    <font>
      <sz val="10"/>
      <color indexed="20"/>
      <name val="Arial Narrow"/>
      <charset val="134"/>
    </font>
    <font>
      <b/>
      <sz val="10"/>
      <color rgb="FF0070C0"/>
      <name val="宋体"/>
      <charset val="134"/>
    </font>
    <font>
      <sz val="10"/>
      <color rgb="FF00B0F0"/>
      <name val="宋体"/>
      <charset val="134"/>
    </font>
    <font>
      <b/>
      <sz val="10"/>
      <name val="隶书"/>
      <charset val="134"/>
    </font>
    <font>
      <sz val="10"/>
      <color rgb="FF0070C0"/>
      <name val="宋体"/>
      <charset val="134"/>
    </font>
    <font>
      <sz val="26"/>
      <color indexed="12"/>
      <name val="隶书"/>
      <charset val="134"/>
    </font>
    <font>
      <sz val="26"/>
      <color indexed="12"/>
      <name val="Times New Roman"/>
      <charset val="134"/>
    </font>
    <font>
      <b/>
      <sz val="10"/>
      <color indexed="14"/>
      <name val="Times New Roman"/>
      <charset val="134"/>
    </font>
    <font>
      <sz val="10"/>
      <color indexed="36"/>
      <name val="Times New Roman"/>
      <charset val="134"/>
    </font>
    <font>
      <b/>
      <sz val="10"/>
      <color indexed="32"/>
      <name val="宋体"/>
      <charset val="134"/>
    </font>
    <font>
      <b/>
      <sz val="10"/>
      <color indexed="32"/>
      <name val="Times New Roman"/>
      <charset val="134"/>
    </font>
    <font>
      <sz val="10"/>
      <color indexed="32"/>
      <name val="Times New Roman"/>
      <charset val="134"/>
    </font>
    <font>
      <b/>
      <sz val="10"/>
      <color indexed="10"/>
      <name val="宋体"/>
      <charset val="134"/>
    </font>
    <font>
      <b/>
      <sz val="10"/>
      <color indexed="59"/>
      <name val="Times New Roman"/>
      <charset val="134"/>
    </font>
    <font>
      <sz val="10"/>
      <color indexed="10"/>
      <name val="Times New Roman"/>
      <charset val="134"/>
    </font>
    <font>
      <u/>
      <sz val="12"/>
      <color rgb="FFFFC000"/>
      <name val="宋体"/>
      <charset val="134"/>
    </font>
    <font>
      <u/>
      <sz val="12"/>
      <color indexed="51"/>
      <name val="Times New Roman"/>
      <charset val="134"/>
    </font>
    <font>
      <sz val="11"/>
      <color theme="1"/>
      <name val="宋体"/>
      <charset val="134"/>
      <scheme val="minor"/>
    </font>
    <font>
      <sz val="11"/>
      <color indexed="21"/>
      <name val="宋体"/>
      <charset val="134"/>
    </font>
    <font>
      <sz val="11"/>
      <color rgb="FF9C0006"/>
      <name val="宋体"/>
      <charset val="0"/>
      <scheme val="minor"/>
    </font>
    <font>
      <sz val="11"/>
      <color indexed="38"/>
      <name val="宋体"/>
      <charset val="134"/>
    </font>
    <font>
      <b/>
      <sz val="18"/>
      <color indexed="56"/>
      <name val="宋体"/>
      <charset val="134"/>
    </font>
    <font>
      <sz val="11"/>
      <color theme="1"/>
      <name val="宋体"/>
      <charset val="0"/>
      <scheme val="minor"/>
    </font>
    <font>
      <sz val="10"/>
      <name val="Arial"/>
      <charset val="134"/>
    </font>
    <font>
      <sz val="10"/>
      <color indexed="8"/>
      <name val="Arial"/>
      <charset val="134"/>
    </font>
    <font>
      <sz val="11"/>
      <color indexed="17"/>
      <name val="宋体"/>
      <charset val="134"/>
    </font>
    <font>
      <sz val="11"/>
      <color theme="0"/>
      <name val="宋体"/>
      <charset val="134"/>
      <scheme val="minor"/>
    </font>
    <font>
      <sz val="11"/>
      <name val="돋움"/>
      <charset val="134"/>
    </font>
    <font>
      <sz val="11"/>
      <color indexed="26"/>
      <name val="宋体"/>
      <charset val="134"/>
    </font>
    <font>
      <sz val="10"/>
      <name val="Helv"/>
      <charset val="134"/>
    </font>
    <font>
      <sz val="11"/>
      <color indexed="8"/>
      <name val="宋体"/>
      <charset val="134"/>
    </font>
    <font>
      <b/>
      <sz val="15"/>
      <color indexed="56"/>
      <name val="宋体"/>
      <charset val="134"/>
    </font>
    <font>
      <sz val="14"/>
      <name val="柧挬"/>
      <charset val="134"/>
    </font>
    <font>
      <b/>
      <sz val="15"/>
      <color indexed="49"/>
      <name val="宋体"/>
      <charset val="134"/>
    </font>
    <font>
      <b/>
      <sz val="11"/>
      <color theme="0"/>
      <name val="宋体"/>
      <charset val="134"/>
      <scheme val="minor"/>
    </font>
    <font>
      <sz val="11"/>
      <color indexed="20"/>
      <name val="宋体"/>
      <charset val="134"/>
    </font>
    <font>
      <sz val="12"/>
      <color indexed="8"/>
      <name val="宋体"/>
      <charset val="134"/>
    </font>
    <font>
      <b/>
      <sz val="15"/>
      <color theme="3"/>
      <name val="宋体"/>
      <charset val="134"/>
      <scheme val="minor"/>
    </font>
    <font>
      <b/>
      <sz val="15"/>
      <color indexed="35"/>
      <name val="宋体"/>
      <charset val="134"/>
    </font>
    <font>
      <sz val="11"/>
      <color indexed="9"/>
      <name val="宋体"/>
      <charset val="134"/>
    </font>
    <font>
      <sz val="12"/>
      <color indexed="9"/>
      <name val="宋体"/>
      <charset val="134"/>
    </font>
    <font>
      <sz val="11"/>
      <color indexed="8"/>
      <name val="Arial"/>
      <charset val="134"/>
    </font>
    <font>
      <b/>
      <sz val="11"/>
      <color indexed="9"/>
      <name val="宋体"/>
      <charset val="134"/>
    </font>
    <font>
      <sz val="10"/>
      <name val="Book Antiqua"/>
      <charset val="134"/>
    </font>
    <font>
      <sz val="12"/>
      <color indexed="9"/>
      <name val="新細明體"/>
      <charset val="134"/>
    </font>
    <font>
      <i/>
      <sz val="9"/>
      <color indexed="23"/>
      <name val="Verdana"/>
      <charset val="134"/>
    </font>
    <font>
      <b/>
      <sz val="15"/>
      <color indexed="35"/>
      <name val="宋体"/>
      <charset val="134"/>
      <scheme val="minor"/>
    </font>
    <font>
      <sz val="12"/>
      <name val="??猁拊"/>
      <charset val="134"/>
    </font>
    <font>
      <sz val="11"/>
      <color rgb="FF3F3F76"/>
      <name val="宋体"/>
      <charset val="0"/>
      <scheme val="minor"/>
    </font>
    <font>
      <u val="singleAccounting"/>
      <vertAlign val="subscript"/>
      <sz val="10"/>
      <name val="Times New Roman"/>
      <charset val="134"/>
    </font>
    <font>
      <sz val="11"/>
      <color theme="0"/>
      <name val="宋体"/>
      <charset val="0"/>
      <scheme val="minor"/>
    </font>
    <font>
      <u/>
      <sz val="11"/>
      <color rgb="FF800080"/>
      <name val="宋体"/>
      <charset val="0"/>
      <scheme val="minor"/>
    </font>
    <font>
      <b/>
      <sz val="18"/>
      <color indexed="35"/>
      <name val="宋体"/>
      <charset val="134"/>
    </font>
    <font>
      <sz val="12"/>
      <name val="MS Sans Serif"/>
      <charset val="134"/>
    </font>
    <font>
      <b/>
      <sz val="11"/>
      <color theme="3"/>
      <name val="宋体"/>
      <charset val="134"/>
      <scheme val="minor"/>
    </font>
    <font>
      <b/>
      <sz val="11"/>
      <name val="Helv"/>
      <charset val="134"/>
    </font>
    <font>
      <sz val="11"/>
      <color rgb="FFFF0000"/>
      <name val="宋体"/>
      <charset val="0"/>
      <scheme val="minor"/>
    </font>
    <font>
      <sz val="9"/>
      <color indexed="8"/>
      <name val="Verdana"/>
      <charset val="134"/>
    </font>
    <font>
      <b/>
      <sz val="18"/>
      <color theme="3"/>
      <name val="宋体"/>
      <charset val="134"/>
      <scheme val="minor"/>
    </font>
    <font>
      <sz val="10"/>
      <name val="Geneva"/>
      <charset val="134"/>
    </font>
    <font>
      <sz val="13"/>
      <name val="Tms Rmn"/>
      <charset val="134"/>
    </font>
    <font>
      <i/>
      <sz val="11"/>
      <color rgb="FF7F7F7F"/>
      <name val="宋体"/>
      <charset val="0"/>
      <scheme val="minor"/>
    </font>
    <font>
      <b/>
      <sz val="13"/>
      <color theme="3"/>
      <name val="宋体"/>
      <charset val="134"/>
      <scheme val="minor"/>
    </font>
    <font>
      <sz val="10"/>
      <color indexed="9"/>
      <name val="宋体"/>
      <charset val="134"/>
    </font>
    <font>
      <b/>
      <sz val="10"/>
      <color indexed="8"/>
      <name val="Arial"/>
      <charset val="134"/>
    </font>
    <font>
      <u/>
      <sz val="7.5"/>
      <color indexed="36"/>
      <name val="Arial"/>
      <charset val="134"/>
    </font>
    <font>
      <b/>
      <sz val="10"/>
      <color indexed="39"/>
      <name val="Arial"/>
      <charset val="134"/>
    </font>
    <font>
      <u/>
      <sz val="10"/>
      <color indexed="36"/>
      <name val="MS Sans Serif"/>
      <charset val="134"/>
    </font>
    <font>
      <sz val="12"/>
      <color indexed="8"/>
      <name val="新細明體"/>
      <charset val="134"/>
    </font>
    <font>
      <sz val="10"/>
      <color indexed="8"/>
      <name val="MS Sans Serif"/>
      <charset val="134"/>
    </font>
    <font>
      <b/>
      <sz val="14"/>
      <name val="楷体"/>
      <charset val="134"/>
    </font>
    <font>
      <b/>
      <sz val="11"/>
      <color rgb="FF3F3F3F"/>
      <name val="宋体"/>
      <charset val="0"/>
      <scheme val="minor"/>
    </font>
    <font>
      <sz val="12"/>
      <name val="????"/>
      <charset val="134"/>
    </font>
    <font>
      <b/>
      <sz val="11"/>
      <color rgb="FFFA7D00"/>
      <name val="宋体"/>
      <charset val="0"/>
      <scheme val="minor"/>
    </font>
    <font>
      <sz val="11"/>
      <color indexed="26"/>
      <name val="宋体"/>
      <charset val="134"/>
      <scheme val="minor"/>
    </font>
    <font>
      <b/>
      <sz val="11"/>
      <color rgb="FFFFFFFF"/>
      <name val="宋体"/>
      <charset val="0"/>
      <scheme val="minor"/>
    </font>
    <font>
      <sz val="12"/>
      <name val="新細明體"/>
      <charset val="134"/>
    </font>
    <font>
      <b/>
      <sz val="18"/>
      <color indexed="49"/>
      <name val="宋体"/>
      <charset val="134"/>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u/>
      <sz val="10"/>
      <color indexed="12"/>
      <name val="MS Sans Serif"/>
      <charset val="134"/>
    </font>
    <font>
      <b/>
      <sz val="11"/>
      <color indexed="35"/>
      <name val="宋体"/>
      <charset val="134"/>
    </font>
    <font>
      <b/>
      <sz val="12"/>
      <name val="MS Sans Serif"/>
      <charset val="134"/>
    </font>
    <font>
      <sz val="11"/>
      <name val="ＭＳ Ｐゴシック"/>
      <charset val="134"/>
    </font>
    <font>
      <sz val="11"/>
      <name val="MS P????"/>
      <charset val="134"/>
    </font>
    <font>
      <b/>
      <sz val="8"/>
      <color indexed="8"/>
      <name val="Helv"/>
      <charset val="134"/>
    </font>
    <font>
      <sz val="11"/>
      <color indexed="52"/>
      <name val="宋体"/>
      <charset val="134"/>
    </font>
    <font>
      <b/>
      <sz val="11"/>
      <color indexed="56"/>
      <name val="宋体"/>
      <charset val="134"/>
    </font>
    <font>
      <b/>
      <sz val="18"/>
      <color indexed="62"/>
      <name val="宋体"/>
      <charset val="134"/>
    </font>
    <font>
      <sz val="10"/>
      <name val="ＭＳ Ｐゴシック"/>
      <charset val="134"/>
    </font>
    <font>
      <sz val="5"/>
      <name val="Arial"/>
      <charset val="134"/>
    </font>
    <font>
      <sz val="8"/>
      <color indexed="16"/>
      <name val="Century Schoolbook"/>
      <charset val="134"/>
    </font>
    <font>
      <sz val="10"/>
      <color indexed="39"/>
      <name val="Arial"/>
      <charset val="134"/>
    </font>
    <font>
      <b/>
      <sz val="11"/>
      <color rgb="FFFA7D00"/>
      <name val="宋体"/>
      <charset val="134"/>
      <scheme val="minor"/>
    </font>
    <font>
      <sz val="12"/>
      <color indexed="17"/>
      <name val="宋体"/>
      <charset val="134"/>
    </font>
    <font>
      <sz val="12"/>
      <name val="楷体"/>
      <charset val="134"/>
    </font>
    <font>
      <sz val="11"/>
      <color indexed="9"/>
      <name val="Arial"/>
      <charset val="134"/>
    </font>
    <font>
      <sz val="10"/>
      <name val="MS Sans Serif"/>
      <charset val="134"/>
    </font>
    <font>
      <b/>
      <sz val="10"/>
      <name val="MS Sans Serif"/>
      <charset val="134"/>
    </font>
    <font>
      <b/>
      <i/>
      <sz val="16"/>
      <name val="Helv"/>
      <charset val="134"/>
    </font>
    <font>
      <sz val="7"/>
      <name val="Small Fonts"/>
      <charset val="134"/>
    </font>
    <font>
      <sz val="10"/>
      <name val="Courier"/>
      <charset val="134"/>
    </font>
    <font>
      <sz val="9"/>
      <color indexed="17"/>
      <name val="Verdana"/>
      <charset val="134"/>
    </font>
    <font>
      <sz val="10"/>
      <color indexed="0"/>
      <name val="MS Sans Serif"/>
      <charset val="134"/>
    </font>
    <font>
      <sz val="8"/>
      <name val="Arial"/>
      <charset val="134"/>
    </font>
    <font>
      <b/>
      <sz val="12"/>
      <name val="Arial"/>
      <charset val="134"/>
    </font>
    <font>
      <b/>
      <sz val="12"/>
      <name val="Helv"/>
      <charset val="134"/>
    </font>
    <font>
      <b/>
      <sz val="13"/>
      <color indexed="56"/>
      <name val="Verdana"/>
      <charset val="134"/>
    </font>
    <font>
      <b/>
      <sz val="15"/>
      <color indexed="56"/>
      <name val="Verdana"/>
      <charset val="134"/>
    </font>
    <font>
      <b/>
      <sz val="11"/>
      <color indexed="56"/>
      <name val="Verdana"/>
      <charset val="134"/>
    </font>
    <font>
      <b/>
      <sz val="1"/>
      <color indexed="8"/>
      <name val="Courier"/>
      <charset val="134"/>
    </font>
    <font>
      <b/>
      <sz val="10"/>
      <color indexed="8"/>
      <name val="Tahoma"/>
      <charset val="134"/>
    </font>
    <font>
      <sz val="10"/>
      <name val="BERNHARD"/>
      <charset val="134"/>
    </font>
    <font>
      <b/>
      <sz val="13"/>
      <name val="Tms Rmn"/>
      <charset val="134"/>
    </font>
    <font>
      <sz val="10"/>
      <color indexed="16"/>
      <name val="MS Serif"/>
      <charset val="134"/>
    </font>
    <font>
      <u/>
      <sz val="10"/>
      <color indexed="12"/>
      <name val="Arial"/>
      <charset val="134"/>
    </font>
    <font>
      <b/>
      <sz val="9"/>
      <name val="Times New Roman"/>
      <charset val="134"/>
    </font>
    <font>
      <i/>
      <sz val="9"/>
      <name val="Times New Roman"/>
      <charset val="134"/>
    </font>
    <font>
      <b/>
      <sz val="13"/>
      <color indexed="49"/>
      <name val="宋体"/>
      <charset val="134"/>
      <scheme val="minor"/>
    </font>
    <font>
      <sz val="10"/>
      <color indexed="10"/>
      <name val="Arial"/>
      <charset val="134"/>
    </font>
    <font>
      <i/>
      <sz val="11"/>
      <color indexed="60"/>
      <name val="宋体"/>
      <charset val="134"/>
      <scheme val="minor"/>
    </font>
    <font>
      <b/>
      <sz val="11"/>
      <color indexed="52"/>
      <name val="宋体"/>
      <charset val="134"/>
    </font>
    <font>
      <b/>
      <sz val="11"/>
      <color indexed="35"/>
      <name val="宋体"/>
      <charset val="134"/>
      <scheme val="minor"/>
    </font>
    <font>
      <sz val="11"/>
      <color rgb="FF9C6500"/>
      <name val="宋体"/>
      <charset val="134"/>
      <scheme val="minor"/>
    </font>
    <font>
      <b/>
      <sz val="11"/>
      <color indexed="49"/>
      <name val="宋体"/>
      <charset val="134"/>
    </font>
    <font>
      <b/>
      <sz val="11"/>
      <color indexed="56"/>
      <name val="Arial"/>
      <charset val="134"/>
    </font>
    <font>
      <sz val="11"/>
      <color indexed="17"/>
      <name val="Tahoma"/>
      <charset val="134"/>
    </font>
    <font>
      <i/>
      <sz val="11"/>
      <color indexed="23"/>
      <name val="Arial"/>
      <charset val="134"/>
    </font>
    <font>
      <sz val="12"/>
      <name val="¹UAAA¼"/>
      <charset val="134"/>
    </font>
    <font>
      <sz val="10"/>
      <name val="MS Serif"/>
      <charset val="134"/>
    </font>
    <font>
      <sz val="11"/>
      <color rgb="FF9C0006"/>
      <name val="宋体"/>
      <charset val="134"/>
      <scheme val="minor"/>
    </font>
    <font>
      <sz val="12"/>
      <color indexed="20"/>
      <name val="宋体"/>
      <charset val="134"/>
    </font>
    <font>
      <b/>
      <sz val="10"/>
      <name val="Book Antiqua"/>
      <charset val="134"/>
    </font>
    <font>
      <sz val="11"/>
      <name val="Times New Roman"/>
      <charset val="134"/>
    </font>
    <font>
      <sz val="9"/>
      <color indexed="17"/>
      <name val="Comic Sans MS"/>
      <charset val="134"/>
    </font>
    <font>
      <b/>
      <sz val="11"/>
      <color indexed="9"/>
      <name val="Arial"/>
      <charset val="134"/>
    </font>
    <font>
      <sz val="11"/>
      <color rgb="FF006100"/>
      <name val="宋体"/>
      <charset val="134"/>
      <scheme val="minor"/>
    </font>
    <font>
      <sz val="9"/>
      <color indexed="20"/>
      <name val="Comic Sans MS"/>
      <charset val="134"/>
    </font>
    <font>
      <b/>
      <sz val="13"/>
      <color indexed="35"/>
      <name val="宋体"/>
      <charset val="134"/>
      <scheme val="minor"/>
    </font>
    <font>
      <b/>
      <sz val="10"/>
      <name val="Helv"/>
      <charset val="134"/>
    </font>
    <font>
      <sz val="19"/>
      <color indexed="48"/>
      <name val="Arial"/>
      <charset val="134"/>
    </font>
    <font>
      <sz val="11"/>
      <color indexed="62"/>
      <name val="Arial"/>
      <charset val="134"/>
    </font>
    <font>
      <b/>
      <sz val="9"/>
      <color indexed="8"/>
      <name val="Verdana"/>
      <charset val="134"/>
    </font>
    <font>
      <sz val="11"/>
      <color indexed="54"/>
      <name val="宋体"/>
      <charset val="134"/>
    </font>
    <font>
      <sz val="12"/>
      <color indexed="16"/>
      <name val="宋体"/>
      <charset val="134"/>
    </font>
    <font>
      <u/>
      <sz val="8"/>
      <color indexed="12"/>
      <name val="Arial"/>
      <charset val="134"/>
    </font>
    <font>
      <sz val="10"/>
      <name val="楷体"/>
      <charset val="134"/>
    </font>
    <font>
      <sz val="11"/>
      <color indexed="20"/>
      <name val="Tahoma"/>
      <charset val="134"/>
    </font>
    <font>
      <u/>
      <sz val="10"/>
      <color theme="10"/>
      <name val="宋体"/>
      <charset val="134"/>
    </font>
    <font>
      <sz val="8"/>
      <name val="LinePrinter"/>
      <charset val="134"/>
    </font>
    <font>
      <sz val="9"/>
      <color indexed="20"/>
      <name val="宋体"/>
      <charset val="134"/>
    </font>
    <font>
      <sz val="11"/>
      <color indexed="8"/>
      <name val="Calibri"/>
      <charset val="134"/>
    </font>
    <font>
      <sz val="9"/>
      <color indexed="9"/>
      <name val="Verdana"/>
      <charset val="134"/>
    </font>
    <font>
      <sz val="9"/>
      <color indexed="8"/>
      <name val="Arial"/>
      <charset val="134"/>
    </font>
    <font>
      <sz val="11"/>
      <color indexed="20"/>
      <name val="Arial"/>
      <charset val="134"/>
    </font>
    <font>
      <sz val="12"/>
      <color theme="1"/>
      <name val="宋体"/>
      <charset val="134"/>
    </font>
    <font>
      <sz val="12"/>
      <name val="Helv"/>
      <charset val="134"/>
    </font>
    <font>
      <sz val="12"/>
      <name val="??朢痽"/>
      <charset val="134"/>
    </font>
    <font>
      <b/>
      <sz val="18"/>
      <color theme="3"/>
      <name val="宋体"/>
      <charset val="134"/>
      <scheme val="major"/>
    </font>
    <font>
      <b/>
      <sz val="8"/>
      <name val="Arial"/>
      <charset val="134"/>
    </font>
    <font>
      <u/>
      <sz val="8"/>
      <color indexed="12"/>
      <name val="Tms Rmn"/>
      <charset val="134"/>
    </font>
    <font>
      <i/>
      <sz val="12"/>
      <name val="Times New Roman"/>
      <charset val="134"/>
    </font>
    <font>
      <sz val="12"/>
      <name val="Arial"/>
      <charset val="134"/>
    </font>
    <font>
      <sz val="7"/>
      <name val="Helv"/>
      <charset val="134"/>
    </font>
    <font>
      <sz val="11"/>
      <name val="明朝"/>
      <charset val="134"/>
    </font>
    <font>
      <sz val="11"/>
      <name val="µ¸¿ò"/>
      <charset val="129"/>
    </font>
    <font>
      <b/>
      <sz val="11"/>
      <color indexed="52"/>
      <name val="Arial"/>
      <charset val="134"/>
    </font>
    <font>
      <sz val="1"/>
      <color indexed="8"/>
      <name val="Courier"/>
      <charset val="134"/>
    </font>
    <font>
      <b/>
      <sz val="13"/>
      <color indexed="35"/>
      <name val="宋体"/>
      <charset val="134"/>
    </font>
    <font>
      <sz val="10"/>
      <color theme="1"/>
      <name val="Calibri"/>
      <charset val="134"/>
    </font>
    <font>
      <sz val="10"/>
      <color indexed="9"/>
      <name val="Tahoma"/>
      <charset val="134"/>
    </font>
    <font>
      <sz val="9"/>
      <color indexed="10"/>
      <name val="Verdana"/>
      <charset val="134"/>
    </font>
    <font>
      <sz val="11"/>
      <color indexed="52"/>
      <name val="Arial"/>
      <charset val="134"/>
    </font>
    <font>
      <sz val="18"/>
      <name val="Times New Roman"/>
      <charset val="134"/>
    </font>
    <font>
      <sz val="12"/>
      <name val="穝灿砰"/>
      <charset val="134"/>
    </font>
    <font>
      <sz val="9"/>
      <color indexed="20"/>
      <name val="Verdana"/>
      <charset val="134"/>
    </font>
    <font>
      <b/>
      <sz val="14"/>
      <name val="Arial"/>
      <charset val="134"/>
    </font>
    <font>
      <b/>
      <sz val="9"/>
      <color indexed="52"/>
      <name val="Verdana"/>
      <charset val="134"/>
    </font>
    <font>
      <b/>
      <sz val="9"/>
      <color indexed="9"/>
      <name val="Verdana"/>
      <charset val="134"/>
    </font>
    <font>
      <u/>
      <sz val="8"/>
      <color indexed="36"/>
      <name val="Arial"/>
      <charset val="134"/>
    </font>
    <font>
      <sz val="10"/>
      <name val="AA Condensed"/>
      <charset val="134"/>
    </font>
    <font>
      <sz val="12"/>
      <name val="黑体"/>
      <charset val="134"/>
    </font>
    <font>
      <b/>
      <sz val="13"/>
      <name val="Times New Roman"/>
      <charset val="134"/>
    </font>
    <font>
      <b/>
      <i/>
      <sz val="12"/>
      <name val="Times New Roman"/>
      <charset val="134"/>
    </font>
    <font>
      <sz val="11"/>
      <color indexed="60"/>
      <name val="Arial"/>
      <charset val="134"/>
    </font>
    <font>
      <b/>
      <sz val="12"/>
      <color indexed="9"/>
      <name val="Times New Roman"/>
      <charset val="134"/>
    </font>
    <font>
      <b/>
      <sz val="18"/>
      <color indexed="35"/>
      <name val="宋体"/>
      <charset val="134"/>
      <scheme val="major"/>
    </font>
    <font>
      <sz val="10"/>
      <name val="Lucida Bright"/>
      <charset val="134"/>
    </font>
    <font>
      <sz val="12"/>
      <name val="Tms Rmn"/>
      <charset val="134"/>
    </font>
    <font>
      <sz val="12"/>
      <name val="仿宋_GB2312"/>
      <charset val="134"/>
    </font>
    <font>
      <u/>
      <sz val="7.5"/>
      <color indexed="12"/>
      <name val="Arial"/>
      <charset val="134"/>
    </font>
    <font>
      <sz val="9"/>
      <color indexed="62"/>
      <name val="Verdana"/>
      <charset val="134"/>
    </font>
    <font>
      <sz val="10"/>
      <color indexed="62"/>
      <name val="Tahoma"/>
      <charset val="134"/>
    </font>
    <font>
      <b/>
      <sz val="24"/>
      <color indexed="20"/>
      <name val="隶书"/>
      <charset val="134"/>
    </font>
    <font>
      <sz val="12"/>
      <name val="柧挬"/>
      <charset val="134"/>
    </font>
    <font>
      <u/>
      <sz val="10"/>
      <color indexed="14"/>
      <name val="MS Sans Serif"/>
      <charset val="134"/>
    </font>
    <font>
      <sz val="9"/>
      <color indexed="52"/>
      <name val="Verdana"/>
      <charset val="134"/>
    </font>
    <font>
      <sz val="12"/>
      <color indexed="9"/>
      <name val="Helv"/>
      <charset val="134"/>
    </font>
    <font>
      <b/>
      <i/>
      <sz val="10"/>
      <name val="Times New Roman"/>
      <charset val="134"/>
    </font>
    <font>
      <sz val="9"/>
      <color indexed="60"/>
      <name val="Verdana"/>
      <charset val="134"/>
    </font>
    <font>
      <b/>
      <sz val="13"/>
      <color indexed="56"/>
      <name val="宋体"/>
      <charset val="134"/>
    </font>
    <font>
      <sz val="11"/>
      <color rgb="FF000000"/>
      <name val="宋体"/>
      <charset val="134"/>
      <scheme val="minor"/>
    </font>
    <font>
      <sz val="11"/>
      <color indexed="24"/>
      <name val="宋体"/>
      <charset val="134"/>
    </font>
    <font>
      <sz val="11"/>
      <name val="CG Times"/>
      <charset val="134"/>
    </font>
    <font>
      <b/>
      <sz val="9"/>
      <color indexed="63"/>
      <name val="Verdana"/>
      <charset val="134"/>
    </font>
    <font>
      <b/>
      <sz val="12"/>
      <color indexed="8"/>
      <name val="Arial"/>
      <charset val="134"/>
    </font>
    <font>
      <b/>
      <sz val="11"/>
      <color indexed="63"/>
      <name val="宋体"/>
      <charset val="134"/>
    </font>
    <font>
      <sz val="10"/>
      <name val="Tms Rmn"/>
      <charset val="134"/>
    </font>
    <font>
      <i/>
      <sz val="11"/>
      <color rgb="FF7F7F7F"/>
      <name val="宋体"/>
      <charset val="134"/>
      <scheme val="minor"/>
    </font>
    <font>
      <i/>
      <sz val="11"/>
      <color indexed="23"/>
      <name val="宋体"/>
      <charset val="134"/>
    </font>
    <font>
      <sz val="11"/>
      <color indexed="10"/>
      <name val="宋体"/>
      <charset val="134"/>
    </font>
    <font>
      <sz val="10"/>
      <name val="明朝"/>
      <charset val="134"/>
    </font>
    <font>
      <sz val="11"/>
      <color rgb="FFFA7D00"/>
      <name val="宋体"/>
      <charset val="134"/>
      <scheme val="minor"/>
    </font>
    <font>
      <sz val="12"/>
      <name val="Ш蔨"/>
      <charset val="134"/>
    </font>
    <font>
      <sz val="12"/>
      <color theme="1"/>
      <name val="宋体"/>
      <charset val="134"/>
      <scheme val="minor"/>
    </font>
    <font>
      <sz val="11"/>
      <color indexed="36"/>
      <name val="宋体"/>
      <charset val="134"/>
    </font>
    <font>
      <sz val="10"/>
      <color indexed="17"/>
      <name val="Arial"/>
      <charset val="134"/>
    </font>
    <font>
      <sz val="11"/>
      <color indexed="10"/>
      <name val="宋体"/>
      <charset val="134"/>
      <scheme val="minor"/>
    </font>
    <font>
      <sz val="11"/>
      <color rgb="FFFF0000"/>
      <name val="宋体"/>
      <charset val="134"/>
      <scheme val="minor"/>
    </font>
    <font>
      <sz val="12"/>
      <name val="官帕眉"/>
      <charset val="134"/>
    </font>
    <font>
      <b/>
      <sz val="11"/>
      <color theme="1"/>
      <name val="宋体"/>
      <charset val="134"/>
      <scheme val="minor"/>
    </font>
    <font>
      <sz val="10"/>
      <color indexed="20"/>
      <name val="Arial"/>
      <charset val="134"/>
    </font>
    <font>
      <b/>
      <sz val="11"/>
      <color rgb="FF3F3F3F"/>
      <name val="宋体"/>
      <charset val="134"/>
      <scheme val="minor"/>
    </font>
    <font>
      <sz val="10"/>
      <color theme="1"/>
      <name val="Times New Roman"/>
      <charset val="134"/>
    </font>
    <font>
      <sz val="11"/>
      <color rgb="FF3F3F76"/>
      <name val="宋体"/>
      <charset val="134"/>
      <scheme val="minor"/>
    </font>
    <font>
      <sz val="10"/>
      <color indexed="17"/>
      <name val="Times New Roman"/>
      <charset val="134"/>
    </font>
    <font>
      <sz val="11"/>
      <name val="宋体繁体"/>
      <charset val="134"/>
    </font>
    <font>
      <sz val="12"/>
      <name val="Courier"/>
      <charset val="134"/>
    </font>
    <font>
      <sz val="11"/>
      <color indexed="60"/>
      <name val="宋体"/>
      <charset val="134"/>
    </font>
    <font>
      <sz val="12"/>
      <name val="冼极"/>
      <charset val="134"/>
    </font>
    <font>
      <sz val="11"/>
      <color indexed="60"/>
      <name val="宋体"/>
      <charset val="134"/>
      <scheme val="minor"/>
    </font>
    <font>
      <b/>
      <sz val="11"/>
      <color indexed="8"/>
      <name val="宋体"/>
      <charset val="134"/>
      <scheme val="minor"/>
    </font>
    <font>
      <b/>
      <sz val="11"/>
      <color indexed="8"/>
      <name val="宋体"/>
      <charset val="134"/>
    </font>
    <font>
      <b/>
      <sz val="24"/>
      <name val="宋体"/>
      <charset val="134"/>
    </font>
    <font>
      <b/>
      <sz val="11"/>
      <color indexed="10"/>
      <name val="宋体"/>
      <charset val="134"/>
      <scheme val="minor"/>
    </font>
    <font>
      <sz val="10"/>
      <name val="奔覆眉"/>
      <charset val="134"/>
    </font>
    <font>
      <sz val="11"/>
      <color indexed="19"/>
      <name val="宋体"/>
      <charset val="134"/>
      <scheme val="minor"/>
    </font>
    <font>
      <sz val="11"/>
      <color indexed="62"/>
      <name val="宋体"/>
      <charset val="134"/>
    </font>
    <font>
      <sz val="12"/>
      <name val="돋움체"/>
      <charset val="134"/>
    </font>
    <font>
      <sz val="9"/>
      <color rgb="FF0070C0"/>
      <name val="Times New Roman"/>
      <charset val="134"/>
    </font>
    <font>
      <sz val="9"/>
      <color indexed="8"/>
      <name val="Times New Roman"/>
      <charset val="134"/>
    </font>
    <font>
      <b/>
      <sz val="14"/>
      <name val="宋体"/>
      <charset val="134"/>
    </font>
    <font>
      <b/>
      <sz val="16"/>
      <name val="宋体"/>
      <charset val="134"/>
    </font>
    <font>
      <sz val="10"/>
      <color indexed="12"/>
      <name val="宋体"/>
      <charset val="134"/>
    </font>
    <font>
      <sz val="9"/>
      <color rgb="FF0000FF"/>
      <name val="宋体"/>
      <charset val="134"/>
    </font>
    <font>
      <u val="double"/>
      <sz val="9"/>
      <name val="宋体"/>
      <charset val="134"/>
    </font>
    <font>
      <b/>
      <sz val="9"/>
      <color rgb="FF000000"/>
      <name val="宋体"/>
      <charset val="134"/>
    </font>
    <font>
      <u/>
      <sz val="9"/>
      <name val="宋体"/>
      <charset val="134"/>
    </font>
    <font>
      <b/>
      <sz val="9"/>
      <color rgb="FF0070C0"/>
      <name val="Times New Roman"/>
      <charset val="134"/>
    </font>
    <font>
      <b/>
      <sz val="10.5"/>
      <color theme="1"/>
      <name val="Times New Roman"/>
      <charset val="134"/>
    </font>
    <font>
      <b/>
      <sz val="10.5"/>
      <color theme="1"/>
      <name val="宋体"/>
      <charset val="134"/>
    </font>
    <font>
      <b/>
      <sz val="18"/>
      <name val="宋体"/>
      <charset val="134"/>
    </font>
    <font>
      <b/>
      <sz val="10"/>
      <color indexed="59"/>
      <name val="宋体"/>
      <charset val="134"/>
    </font>
    <font>
      <b/>
      <sz val="9"/>
      <name val="Tahoma"/>
      <charset val="134"/>
    </font>
    <font>
      <sz val="9"/>
      <name val="Tahoma"/>
      <charset val="134"/>
    </font>
    <font>
      <sz val="10"/>
      <name val="宋体"/>
      <charset val="134"/>
    </font>
    <font>
      <b/>
      <sz val="10"/>
      <name val="宋体"/>
      <charset val="134"/>
    </font>
    <font>
      <b/>
      <sz val="9"/>
      <name val="宋体"/>
      <charset val="134"/>
    </font>
    <font>
      <sz val="9"/>
      <color indexed="12"/>
      <name val="宋体"/>
      <charset val="134"/>
    </font>
    <font>
      <b/>
      <sz val="9"/>
      <color indexed="12"/>
      <name val="宋体"/>
      <charset val="134"/>
    </font>
    <font>
      <sz val="9"/>
      <name val="宋体"/>
      <charset val="134"/>
    </font>
  </fonts>
  <fills count="128">
    <fill>
      <patternFill patternType="none"/>
    </fill>
    <fill>
      <patternFill patternType="gray125"/>
    </fill>
    <fill>
      <patternFill patternType="solid">
        <fgColor theme="7" tint="0.599993896298105"/>
        <bgColor indexed="64"/>
      </patternFill>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gradientFill type="path" left="0.5" right="0.5" top="0.5" bottom="0.5">
        <stop position="0">
          <color theme="3" tint="0.599993896298105"/>
        </stop>
        <stop position="1">
          <color theme="7" tint="-0.250984221930601"/>
        </stop>
      </gradientFill>
    </fill>
    <fill>
      <patternFill patternType="solid">
        <fgColor theme="8" tint="0.799768059327982"/>
        <bgColor indexed="64"/>
      </patternFill>
    </fill>
    <fill>
      <patternFill patternType="solid">
        <fgColor theme="7" tint="0.799768059327982"/>
        <bgColor indexed="64"/>
      </patternFill>
    </fill>
    <fill>
      <patternFill patternType="solid">
        <fgColor rgb="FFCCC0DA"/>
        <bgColor indexed="64"/>
      </patternFill>
    </fill>
    <fill>
      <patternFill patternType="solid">
        <fgColor rgb="FFFFC000"/>
        <bgColor indexed="64"/>
      </patternFill>
    </fill>
    <fill>
      <patternFill patternType="solid">
        <fgColor theme="0" tint="-0.149784844508194"/>
        <bgColor indexed="64"/>
      </patternFill>
    </fill>
    <fill>
      <patternFill patternType="solid">
        <fgColor theme="3" tint="0.799768059327982"/>
        <bgColor indexed="64"/>
      </patternFill>
    </fill>
    <fill>
      <patternFill patternType="solid">
        <fgColor theme="0" tint="-0.0499893185216834"/>
        <bgColor indexed="64"/>
      </patternFill>
    </fill>
    <fill>
      <gradientFill type="path" left="0.5" right="0.5" top="0.5" bottom="0.5">
        <stop position="0">
          <color rgb="FF99FFCC"/>
        </stop>
        <stop position="1">
          <color theme="7" tint="-0.250984221930601"/>
        </stop>
      </gradientFill>
    </fill>
    <fill>
      <patternFill patternType="solid">
        <fgColor rgb="FF99FFCC"/>
        <bgColor indexed="64"/>
      </patternFill>
    </fill>
    <fill>
      <patternFill patternType="solid">
        <fgColor rgb="FF0070C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0" tint="-0.249946592608417"/>
        <bgColor indexed="64"/>
      </patternFill>
    </fill>
    <fill>
      <patternFill patternType="solid">
        <fgColor theme="4" tint="0.599993896298105"/>
        <bgColor indexed="64"/>
      </patternFill>
    </fill>
    <fill>
      <patternFill patternType="solid">
        <fgColor rgb="FF00B050"/>
        <bgColor indexed="64"/>
      </patternFill>
    </fill>
    <fill>
      <patternFill patternType="solid">
        <fgColor theme="0" tint="-0.249977111117893"/>
        <bgColor indexed="64"/>
      </patternFill>
    </fill>
    <fill>
      <gradientFill type="path" left="0.5" right="0.5" top="0.5" bottom="0.5">
        <stop position="0">
          <color theme="0"/>
        </stop>
        <stop position="1">
          <color theme="7" tint="-0.250984221930601"/>
        </stop>
      </gradientFill>
    </fill>
    <fill>
      <patternFill patternType="solid">
        <fgColor rgb="FFFFFFFF"/>
        <bgColor indexed="64"/>
      </patternFill>
    </fill>
    <fill>
      <patternFill patternType="solid">
        <fgColor rgb="FFCCFFFF"/>
        <bgColor indexed="64"/>
      </patternFill>
    </fill>
    <fill>
      <gradientFill type="path" left="0.5" right="0.5" top="0.5" bottom="0.5">
        <stop position="0">
          <color theme="8" tint="0.799798577837458"/>
        </stop>
        <stop position="1">
          <color theme="7" tint="-0.250984221930601"/>
        </stop>
      </gradientFill>
    </fill>
    <fill>
      <patternFill patternType="solid">
        <fgColor theme="0" tint="-0.349986266670736"/>
        <bgColor indexed="64"/>
      </patternFill>
    </fill>
    <fill>
      <patternFill patternType="solid">
        <fgColor indexed="31"/>
        <bgColor indexed="64"/>
      </patternFill>
    </fill>
    <fill>
      <patternFill patternType="solid">
        <fgColor rgb="FFC8FFFF"/>
        <bgColor indexed="64"/>
      </patternFill>
    </fill>
    <fill>
      <patternFill patternType="solid">
        <fgColor indexed="43"/>
        <bgColor indexed="64"/>
      </patternFill>
    </fill>
    <fill>
      <patternFill patternType="solid">
        <fgColor indexed="41"/>
        <bgColor indexed="64"/>
      </patternFill>
    </fill>
    <fill>
      <patternFill patternType="solid">
        <fgColor indexed="14"/>
        <bgColor indexed="64"/>
      </patternFill>
    </fill>
    <fill>
      <patternFill patternType="solid">
        <fgColor theme="9" tint="0.399853511154515"/>
        <bgColor indexed="64"/>
      </patternFill>
    </fill>
    <fill>
      <patternFill patternType="solid">
        <fgColor indexed="51"/>
        <bgColor indexed="64"/>
      </patternFill>
    </fill>
    <fill>
      <patternFill patternType="solid">
        <fgColor indexed="18"/>
        <bgColor indexed="64"/>
      </patternFill>
    </fill>
    <fill>
      <patternFill patternType="solid">
        <fgColor rgb="FFFFC7CE"/>
        <bgColor indexed="64"/>
      </patternFill>
    </fill>
    <fill>
      <patternFill patternType="solid">
        <fgColor indexed="56"/>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indexed="26"/>
        <bgColor indexed="64"/>
      </patternFill>
    </fill>
    <fill>
      <patternFill patternType="solid">
        <fgColor indexed="42"/>
        <bgColor indexed="64"/>
      </patternFill>
    </fill>
    <fill>
      <patternFill patternType="solid">
        <fgColor theme="9" tint="0.399761955626087"/>
        <bgColor indexed="64"/>
      </patternFill>
    </fill>
    <fill>
      <patternFill patternType="solid">
        <fgColor indexed="44"/>
        <bgColor indexed="64"/>
      </patternFill>
    </fill>
    <fill>
      <patternFill patternType="solid">
        <fgColor indexed="63"/>
        <bgColor indexed="64"/>
      </patternFill>
    </fill>
    <fill>
      <patternFill patternType="solid">
        <fgColor rgb="FFA5A5A5"/>
        <bgColor indexed="64"/>
      </patternFill>
    </fill>
    <fill>
      <patternFill patternType="solid">
        <fgColor indexed="45"/>
        <bgColor indexed="64"/>
      </patternFill>
    </fill>
    <fill>
      <patternFill patternType="solid">
        <fgColor indexed="52"/>
        <bgColor indexed="64"/>
      </patternFill>
    </fill>
    <fill>
      <patternFill patternType="solid">
        <fgColor indexed="55"/>
        <bgColor indexed="55"/>
      </patternFill>
    </fill>
    <fill>
      <patternFill patternType="solid">
        <fgColor theme="5" tint="0.799768059327982"/>
        <bgColor indexed="64"/>
      </patternFill>
    </fill>
    <fill>
      <patternFill patternType="solid">
        <fgColor indexed="55"/>
        <bgColor indexed="64"/>
      </patternFill>
    </fill>
    <fill>
      <patternFill patternType="solid">
        <fgColor indexed="24"/>
        <bgColor indexed="64"/>
      </patternFill>
    </fill>
    <fill>
      <patternFill patternType="solid">
        <fgColor indexed="13"/>
        <bgColor indexed="64"/>
      </patternFill>
    </fill>
    <fill>
      <patternFill patternType="solid">
        <fgColor indexed="29"/>
        <bgColor indexed="64"/>
      </patternFill>
    </fill>
    <fill>
      <patternFill patternType="solid">
        <fgColor indexed="40"/>
        <bgColor indexed="64"/>
      </patternFill>
    </fill>
    <fill>
      <patternFill patternType="solid">
        <fgColor indexed="49"/>
        <bgColor indexed="49"/>
      </patternFill>
    </fill>
    <fill>
      <patternFill patternType="solid">
        <fgColor theme="9" tint="0.799768059327982"/>
        <bgColor indexed="64"/>
      </patternFill>
    </fill>
    <fill>
      <patternFill patternType="solid">
        <fgColor rgb="FFFFCC99"/>
        <bgColor indexed="64"/>
      </patternFill>
    </fill>
    <fill>
      <patternFill patternType="solid">
        <fgColor theme="8" tint="0.799981688894314"/>
        <bgColor indexed="64"/>
      </patternFill>
    </fill>
    <fill>
      <patternFill patternType="solid">
        <fgColor indexed="25"/>
        <bgColor indexed="64"/>
      </patternFill>
    </fill>
    <fill>
      <patternFill patternType="solid">
        <fgColor theme="6" tint="0.399975585192419"/>
        <bgColor indexed="64"/>
      </patternFill>
    </fill>
    <fill>
      <patternFill patternType="solid">
        <fgColor indexed="42"/>
        <bgColor indexed="42"/>
      </patternFill>
    </fill>
    <fill>
      <patternFill patternType="solid">
        <fgColor indexed="32"/>
        <bgColor indexed="64"/>
      </patternFill>
    </fill>
    <fill>
      <patternFill patternType="solid">
        <fgColor indexed="4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8"/>
        <bgColor indexed="64"/>
      </patternFill>
    </fill>
    <fill>
      <patternFill patternType="solid">
        <fgColor indexed="47"/>
        <bgColor indexed="47"/>
      </patternFill>
    </fill>
    <fill>
      <patternFill patternType="solid">
        <fgColor theme="4" tint="0.399975585192419"/>
        <bgColor indexed="64"/>
      </patternFill>
    </fill>
    <fill>
      <patternFill patternType="solid">
        <fgColor indexed="46"/>
        <bgColor indexed="64"/>
      </patternFill>
    </fill>
    <fill>
      <patternFill patternType="solid">
        <fgColor indexed="10"/>
        <bgColor indexed="64"/>
      </patternFill>
    </fill>
    <fill>
      <patternFill patternType="solid">
        <fgColor theme="7" tint="0.399975585192419"/>
        <bgColor indexed="64"/>
      </patternFill>
    </fill>
    <fill>
      <patternFill patternType="solid">
        <fgColor indexed="27"/>
        <bgColor indexed="64"/>
      </patternFill>
    </fill>
    <fill>
      <patternFill patternType="solid">
        <fgColor rgb="FFF2F2F2"/>
        <bgColor indexed="64"/>
      </patternFill>
    </fill>
    <fill>
      <patternFill patternType="solid">
        <fgColor indexed="31"/>
        <bgColor indexed="31"/>
      </patternFill>
    </fill>
    <fill>
      <patternFill patternType="solid">
        <fgColor indexed="47"/>
        <bgColor indexed="64"/>
      </patternFill>
    </fill>
    <fill>
      <patternFill patternType="solid">
        <fgColor indexed="22"/>
        <bgColor indexed="22"/>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indexed="59"/>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indexed="11"/>
        <bgColor indexed="64"/>
      </patternFill>
    </fill>
    <fill>
      <patternFill patternType="solid">
        <fgColor indexed="54"/>
        <bgColor indexed="54"/>
      </patternFill>
    </fill>
    <fill>
      <patternFill patternType="solid">
        <fgColor indexed="54"/>
        <bgColor indexed="64"/>
      </patternFill>
    </fill>
    <fill>
      <patternFill patternType="solid">
        <fgColor indexed="58"/>
        <bgColor indexed="64"/>
      </patternFill>
    </fill>
    <fill>
      <patternFill patternType="solid">
        <fgColor indexed="30"/>
        <bgColor indexed="64"/>
      </patternFill>
    </fill>
    <fill>
      <patternFill patternType="solid">
        <fgColor indexed="36"/>
        <bgColor indexed="64"/>
      </patternFill>
    </fill>
    <fill>
      <patternFill patternType="solid">
        <fgColor indexed="57"/>
        <bgColor indexed="64"/>
      </patternFill>
    </fill>
    <fill>
      <patternFill patternType="solid">
        <fgColor indexed="22"/>
        <bgColor indexed="64"/>
      </patternFill>
    </fill>
    <fill>
      <patternFill patternType="solid">
        <fgColor theme="6" tint="0.799768059327982"/>
        <bgColor indexed="64"/>
      </patternFill>
    </fill>
    <fill>
      <patternFill patternType="solid">
        <fgColor indexed="44"/>
        <bgColor indexed="44"/>
      </patternFill>
    </fill>
    <fill>
      <patternFill patternType="solid">
        <fgColor theme="8" tint="0.399761955626087"/>
        <bgColor indexed="64"/>
      </patternFill>
    </fill>
    <fill>
      <patternFill patternType="solid">
        <fgColor theme="4" tint="0.399761955626087"/>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theme="4" tint="0.799768059327982"/>
        <bgColor indexed="64"/>
      </patternFill>
    </fill>
    <fill>
      <patternFill patternType="solid">
        <fgColor indexed="52"/>
        <bgColor indexed="52"/>
      </patternFill>
    </fill>
    <fill>
      <patternFill patternType="solid">
        <fgColor indexed="25"/>
        <bgColor indexed="25"/>
      </patternFill>
    </fill>
    <fill>
      <patternFill patternType="solid">
        <fgColor indexed="61"/>
        <bgColor indexed="64"/>
      </patternFill>
    </fill>
    <fill>
      <patternFill patternType="solid">
        <fgColor indexed="53"/>
        <bgColor indexed="64"/>
      </patternFill>
    </fill>
    <fill>
      <patternFill patternType="solid">
        <fgColor indexed="50"/>
        <bgColor indexed="64"/>
      </patternFill>
    </fill>
    <fill>
      <patternFill patternType="gray0625">
        <fgColor indexed="10"/>
      </patternFill>
    </fill>
    <fill>
      <patternFill patternType="solid">
        <fgColor indexed="65"/>
        <bgColor indexed="64"/>
      </patternFill>
    </fill>
    <fill>
      <patternFill patternType="solid">
        <fgColor indexed="62"/>
        <bgColor indexed="64"/>
      </patternFill>
    </fill>
    <fill>
      <patternFill patternType="solid">
        <fgColor indexed="15"/>
        <bgColor indexed="64"/>
      </patternFill>
    </fill>
    <fill>
      <patternFill patternType="solid">
        <fgColor theme="5" tint="0.399761955626087"/>
        <bgColor indexed="64"/>
      </patternFill>
    </fill>
    <fill>
      <patternFill patternType="solid">
        <fgColor theme="7" tint="0.399761955626087"/>
        <bgColor indexed="64"/>
      </patternFill>
    </fill>
    <fill>
      <patternFill patternType="solid">
        <fgColor indexed="45"/>
        <bgColor indexed="45"/>
      </patternFill>
    </fill>
    <fill>
      <patternFill patternType="solid">
        <fgColor theme="6" tint="0.399761955626087"/>
        <bgColor indexed="64"/>
      </patternFill>
    </fill>
    <fill>
      <patternFill patternType="solid">
        <fgColor indexed="26"/>
        <bgColor indexed="26"/>
      </patternFill>
    </fill>
    <fill>
      <patternFill patternType="solid">
        <fgColor indexed="27"/>
        <bgColor indexed="27"/>
      </patternFill>
    </fill>
    <fill>
      <patternFill patternType="solid">
        <fgColor indexed="60"/>
        <bgColor indexed="64"/>
      </patternFill>
    </fill>
    <fill>
      <patternFill patternType="solid">
        <fgColor indexed="9"/>
        <bgColor indexed="64"/>
      </patternFill>
    </fill>
    <fill>
      <patternFill patternType="solid">
        <fgColor indexed="12"/>
        <bgColor indexed="64"/>
      </patternFill>
    </fill>
    <fill>
      <patternFill patternType="lightUp">
        <fgColor indexed="48"/>
        <bgColor indexed="41"/>
      </patternFill>
    </fill>
  </fills>
  <borders count="14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hair">
        <color auto="1"/>
      </left>
      <right style="hair">
        <color auto="1"/>
      </right>
      <top style="thin">
        <color auto="1"/>
      </top>
      <bottom style="hair">
        <color auto="1"/>
      </bottom>
      <diagonal/>
    </border>
    <border>
      <left/>
      <right style="thin">
        <color auto="1"/>
      </right>
      <top/>
      <bottom/>
      <diagonal/>
    </border>
    <border>
      <left style="thin">
        <color auto="1"/>
      </left>
      <right style="thin">
        <color auto="1"/>
      </right>
      <top/>
      <bottom style="thin">
        <color auto="1"/>
      </bottom>
      <diagonal/>
    </border>
    <border>
      <left/>
      <right style="hair">
        <color auto="1"/>
      </right>
      <top style="thin">
        <color auto="1"/>
      </top>
      <bottom style="hair">
        <color auto="1"/>
      </bottom>
      <diagonal/>
    </border>
    <border>
      <left style="hair">
        <color auto="1"/>
      </left>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style="thin">
        <color auto="1"/>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bottom style="medium">
        <color rgb="FF000000"/>
      </bottom>
      <diagonal/>
    </border>
    <border>
      <left/>
      <right style="medium">
        <color auto="1"/>
      </right>
      <top style="thin">
        <color auto="1"/>
      </top>
      <bottom style="thin">
        <color auto="1"/>
      </bottom>
      <diagonal/>
    </border>
    <border>
      <left style="thin">
        <color auto="1"/>
      </left>
      <right style="hair">
        <color auto="1"/>
      </right>
      <top style="thin">
        <color auto="1"/>
      </top>
      <bottom/>
      <diagonal/>
    </border>
    <border>
      <left style="hair">
        <color auto="1"/>
      </left>
      <right/>
      <top style="thin">
        <color auto="1"/>
      </top>
      <bottom/>
      <diagonal/>
    </border>
    <border>
      <left style="hair">
        <color auto="1"/>
      </left>
      <right style="hair">
        <color auto="1"/>
      </right>
      <top style="thin">
        <color auto="1"/>
      </top>
      <bottom/>
      <diagonal/>
    </border>
    <border>
      <left style="thin">
        <color auto="1"/>
      </left>
      <right style="hair">
        <color auto="1"/>
      </right>
      <top/>
      <bottom/>
      <diagonal/>
    </border>
    <border>
      <left style="thin">
        <color auto="1"/>
      </left>
      <right style="hair">
        <color auto="1"/>
      </right>
      <top/>
      <bottom style="thin">
        <color auto="1"/>
      </bottom>
      <diagonal/>
    </border>
    <border>
      <left style="hair">
        <color auto="1"/>
      </left>
      <right/>
      <top/>
      <bottom/>
      <diagonal/>
    </border>
    <border>
      <left style="hair">
        <color auto="1"/>
      </left>
      <right style="thin">
        <color auto="1"/>
      </right>
      <top/>
      <bottom/>
      <diagonal/>
    </border>
    <border>
      <left style="thin">
        <color auto="1"/>
      </left>
      <right/>
      <top style="hair">
        <color auto="1"/>
      </top>
      <bottom/>
      <diagonal/>
    </border>
    <border>
      <left style="hair">
        <color auto="1"/>
      </left>
      <right/>
      <top style="hair">
        <color auto="1"/>
      </top>
      <bottom/>
      <diagonal/>
    </border>
    <border>
      <left style="hair">
        <color auto="1"/>
      </left>
      <right style="thin">
        <color auto="1"/>
      </right>
      <top style="hair">
        <color auto="1"/>
      </top>
      <bottom/>
      <diagonal/>
    </border>
    <border>
      <left style="thin">
        <color auto="1"/>
      </left>
      <right/>
      <top style="hair">
        <color auto="1"/>
      </top>
      <bottom style="thin">
        <color auto="1"/>
      </bottom>
      <diagonal/>
    </border>
    <border>
      <left style="hair">
        <color auto="1"/>
      </left>
      <right/>
      <top style="thin">
        <color auto="1"/>
      </top>
      <bottom style="thin">
        <color auto="1"/>
      </bottom>
      <diagonal/>
    </border>
    <border>
      <left style="hair">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double">
        <color auto="1"/>
      </left>
      <right style="thin">
        <color auto="1"/>
      </right>
      <top style="double">
        <color auto="1"/>
      </top>
      <bottom style="thin">
        <color auto="1"/>
      </bottom>
      <diagonal/>
    </border>
    <border>
      <left style="thin">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style="thin">
        <color auto="1"/>
      </right>
      <top style="thin">
        <color auto="1"/>
      </top>
      <bottom style="thin">
        <color auto="1"/>
      </bottom>
      <diagonal/>
    </border>
    <border>
      <left/>
      <right style="double">
        <color auto="1"/>
      </right>
      <top/>
      <bottom style="thin">
        <color auto="1"/>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indexed="8"/>
      </left>
      <right style="thin">
        <color indexed="8"/>
      </right>
      <top style="thin">
        <color indexed="8"/>
      </top>
      <bottom style="thin">
        <color indexed="8"/>
      </bottom>
      <diagonal/>
    </border>
    <border>
      <left/>
      <right/>
      <top/>
      <bottom style="double">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style="thin">
        <color indexed="8"/>
      </left>
      <right style="thin">
        <color indexed="8"/>
      </right>
      <top/>
      <bottom style="thin">
        <color indexed="8"/>
      </bottom>
      <diagonal/>
    </border>
    <border>
      <left style="thin">
        <color indexed="8"/>
      </left>
      <right style="double">
        <color indexed="8"/>
      </right>
      <top style="double">
        <color indexed="8"/>
      </top>
      <bottom/>
      <diagonal/>
    </border>
    <border>
      <left style="thin">
        <color indexed="8"/>
      </left>
      <right style="double">
        <color indexed="8"/>
      </right>
      <top/>
      <bottom style="thin">
        <color indexed="8"/>
      </bottom>
      <diagonal/>
    </border>
    <border>
      <left style="thin">
        <color indexed="8"/>
      </left>
      <right/>
      <top style="double">
        <color auto="1"/>
      </top>
      <bottom style="thin">
        <color indexed="8"/>
      </bottom>
      <diagonal/>
    </border>
    <border>
      <left/>
      <right style="thin">
        <color indexed="8"/>
      </right>
      <top style="double">
        <color auto="1"/>
      </top>
      <bottom style="thin">
        <color indexed="8"/>
      </bottom>
      <diagonal/>
    </border>
    <border>
      <left style="thin">
        <color indexed="8"/>
      </left>
      <right style="thin">
        <color indexed="8"/>
      </right>
      <top style="double">
        <color auto="1"/>
      </top>
      <bottom/>
      <diagonal/>
    </border>
    <border>
      <left style="thin">
        <color indexed="8"/>
      </left>
      <right style="thin">
        <color indexed="8"/>
      </right>
      <top style="thin">
        <color indexed="8"/>
      </top>
      <bottom style="double">
        <color auto="1"/>
      </bottom>
      <diagonal/>
    </border>
    <border>
      <left style="thin">
        <color indexed="8"/>
      </left>
      <right style="double">
        <color indexed="8"/>
      </right>
      <top style="double">
        <color auto="1"/>
      </top>
      <bottom/>
      <diagonal/>
    </border>
    <border>
      <left style="thin">
        <color indexed="8"/>
      </left>
      <right style="double">
        <color indexed="8"/>
      </right>
      <top style="thin">
        <color indexed="8"/>
      </top>
      <bottom style="double">
        <color auto="1"/>
      </bottom>
      <diagonal/>
    </border>
    <border>
      <left/>
      <right/>
      <top style="double">
        <color indexed="8"/>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double">
        <color auto="1"/>
      </left>
      <right style="thin">
        <color auto="1"/>
      </right>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thin">
        <color indexed="48"/>
      </left>
      <right style="thin">
        <color indexed="48"/>
      </right>
      <top style="thin">
        <color indexed="48"/>
      </top>
      <bottom style="thin">
        <color indexed="48"/>
      </bottom>
      <diagonal/>
    </border>
    <border>
      <left/>
      <right/>
      <top/>
      <bottom style="thick">
        <color indexed="62"/>
      </bottom>
      <diagonal/>
    </border>
    <border>
      <left/>
      <right/>
      <top/>
      <bottom style="thick">
        <color indexed="49"/>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indexed="4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right/>
      <top/>
      <bottom style="double">
        <color indexed="52"/>
      </bottom>
      <diagonal/>
    </border>
    <border>
      <left style="dotted">
        <color auto="1"/>
      </left>
      <right style="dotted">
        <color auto="1"/>
      </right>
      <top style="dotted">
        <color auto="1"/>
      </top>
      <bottom style="dotted">
        <color auto="1"/>
      </bottom>
      <diagonal/>
    </border>
    <border>
      <left/>
      <right/>
      <top/>
      <bottom style="medium">
        <color indexed="29"/>
      </bottom>
      <diagonal/>
    </border>
    <border>
      <left/>
      <right/>
      <top/>
      <bottom style="medium">
        <color auto="1"/>
      </bottom>
      <diagonal/>
    </border>
    <border>
      <left/>
      <right/>
      <top style="medium">
        <color auto="1"/>
      </top>
      <bottom style="medium">
        <color auto="1"/>
      </bottom>
      <diagonal/>
    </border>
    <border>
      <left/>
      <right/>
      <top/>
      <bottom style="thick">
        <color indexed="22"/>
      </bottom>
      <diagonal/>
    </border>
    <border>
      <left/>
      <right/>
      <top/>
      <bottom style="medium">
        <color indexed="30"/>
      </bottom>
      <diagonal/>
    </border>
    <border>
      <left style="thin">
        <color indexed="59"/>
      </left>
      <right style="thin">
        <color indexed="59"/>
      </right>
      <top style="thin">
        <color indexed="59"/>
      </top>
      <bottom style="thin">
        <color indexed="59"/>
      </bottom>
      <diagonal/>
    </border>
    <border>
      <left/>
      <right/>
      <top/>
      <bottom style="thick">
        <color theme="4" tint="0.499984740745262"/>
      </bottom>
      <diagonal/>
    </border>
    <border>
      <left style="thin">
        <color indexed="23"/>
      </left>
      <right style="thin">
        <color indexed="23"/>
      </right>
      <top style="thin">
        <color indexed="23"/>
      </top>
      <bottom style="thin">
        <color indexed="23"/>
      </bottom>
      <diagonal/>
    </border>
    <border>
      <left/>
      <right/>
      <top/>
      <bottom style="thick">
        <color indexed="29"/>
      </bottom>
      <diagonal/>
    </border>
    <border>
      <left/>
      <right/>
      <top style="thin">
        <color indexed="62"/>
      </top>
      <bottom style="double">
        <color indexed="62"/>
      </bottom>
      <diagonal/>
    </border>
    <border>
      <left/>
      <right/>
      <top style="thin">
        <color auto="1"/>
      </top>
      <bottom style="double">
        <color auto="1"/>
      </bottom>
      <diagonal/>
    </border>
    <border>
      <left/>
      <right/>
      <top style="hair">
        <color indexed="8"/>
      </top>
      <bottom style="hair">
        <color indexed="8"/>
      </bottom>
      <diagonal/>
    </border>
    <border>
      <left style="double">
        <color indexed="11"/>
      </left>
      <right style="double">
        <color indexed="11"/>
      </right>
      <top style="double">
        <color indexed="11"/>
      </top>
      <bottom style="double">
        <color indexed="1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1"/>
      </left>
      <right style="thin">
        <color indexed="48"/>
      </right>
      <top style="medium">
        <color indexed="41"/>
      </top>
      <bottom style="thin">
        <color indexed="48"/>
      </bottom>
      <diagonal/>
    </border>
    <border>
      <left/>
      <right/>
      <top/>
      <bottom style="medium">
        <color indexed="49"/>
      </bottom>
      <diagonal/>
    </border>
    <border>
      <left/>
      <right/>
      <top/>
      <bottom style="medium">
        <color theme="4" tint="0.399761955626087"/>
      </bottom>
      <diagonal/>
    </border>
    <border>
      <left/>
      <right/>
      <top/>
      <bottom style="double">
        <color indexed="10"/>
      </bottom>
      <diagonal/>
    </border>
    <border>
      <left/>
      <right/>
      <top style="thin">
        <color indexed="43"/>
      </top>
      <bottom style="double">
        <color indexed="43"/>
      </bottom>
      <diagonal/>
    </border>
    <border>
      <left style="thin">
        <color indexed="60"/>
      </left>
      <right style="thin">
        <color indexed="60"/>
      </right>
      <top style="thin">
        <color indexed="60"/>
      </top>
      <bottom style="thin">
        <color indexed="60"/>
      </bottom>
      <diagonal/>
    </border>
  </borders>
  <cellStyleXfs count="38455">
    <xf numFmtId="220" fontId="0" fillId="0" borderId="0"/>
    <xf numFmtId="42" fontId="139" fillId="0" borderId="0" applyFont="0" applyFill="0" applyBorder="0" applyAlignment="0" applyProtection="0">
      <alignment vertical="center"/>
    </xf>
    <xf numFmtId="0" fontId="144" fillId="39" borderId="0" applyNumberFormat="0" applyBorder="0" applyAlignment="0" applyProtection="0">
      <alignment vertical="center"/>
    </xf>
    <xf numFmtId="220" fontId="5" fillId="0" borderId="0"/>
    <xf numFmtId="220" fontId="166" fillId="54"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xf numFmtId="220" fontId="5" fillId="0" borderId="0"/>
    <xf numFmtId="220" fontId="146" fillId="0" borderId="0">
      <alignment vertical="top"/>
    </xf>
    <xf numFmtId="220" fontId="5" fillId="0" borderId="0"/>
    <xf numFmtId="220" fontId="139" fillId="57" borderId="0" applyNumberFormat="0" applyBorder="0" applyAlignment="0" applyProtection="0">
      <alignment vertical="center"/>
    </xf>
    <xf numFmtId="220" fontId="145" fillId="0" borderId="0"/>
    <xf numFmtId="0" fontId="170" fillId="58" borderId="116" applyNumberFormat="0" applyAlignment="0" applyProtection="0">
      <alignment vertical="center"/>
    </xf>
    <xf numFmtId="44" fontId="139" fillId="0" borderId="0" applyFont="0" applyFill="0" applyBorder="0" applyAlignment="0" applyProtection="0">
      <alignment vertical="center"/>
    </xf>
    <xf numFmtId="220" fontId="0" fillId="0" borderId="0"/>
    <xf numFmtId="203" fontId="171" fillId="0" borderId="0" applyFill="0" applyBorder="0" applyProtection="0">
      <alignment horizontal="center"/>
    </xf>
    <xf numFmtId="220" fontId="0" fillId="0" borderId="0"/>
    <xf numFmtId="220" fontId="145" fillId="0" borderId="0">
      <protection locked="0"/>
    </xf>
    <xf numFmtId="220" fontId="0" fillId="0" borderId="0"/>
    <xf numFmtId="49" fontId="75" fillId="0" borderId="0" applyProtection="0">
      <alignment horizontal="left"/>
    </xf>
    <xf numFmtId="49" fontId="75" fillId="0" borderId="0" applyProtection="0">
      <alignment horizontal="left"/>
    </xf>
    <xf numFmtId="198" fontId="0" fillId="0" borderId="0"/>
    <xf numFmtId="198" fontId="0" fillId="0" borderId="0"/>
    <xf numFmtId="220" fontId="147" fillId="38" borderId="0" applyNumberFormat="0" applyBorder="0" applyAlignment="0" applyProtection="0">
      <alignment vertical="center"/>
    </xf>
    <xf numFmtId="180" fontId="0" fillId="0" borderId="0" applyFont="0" applyFill="0" applyBorder="0" applyAlignment="0" applyProtection="0"/>
    <xf numFmtId="220" fontId="0" fillId="0" borderId="0"/>
    <xf numFmtId="41" fontId="0" fillId="0" borderId="0" applyFont="0" applyFill="0" applyBorder="0" applyAlignment="0" applyProtection="0"/>
    <xf numFmtId="220" fontId="5" fillId="0" borderId="0"/>
    <xf numFmtId="0" fontId="144" fillId="19" borderId="0" applyNumberFormat="0" applyBorder="0" applyAlignment="0" applyProtection="0">
      <alignment vertical="center"/>
    </xf>
    <xf numFmtId="191" fontId="163" fillId="0" borderId="0" applyFont="0" applyFill="0" applyBorder="0" applyAlignment="0" applyProtection="0"/>
    <xf numFmtId="43" fontId="75" fillId="0" borderId="0" applyFont="0" applyFill="0" applyBorder="0" applyAlignment="0" applyProtection="0"/>
    <xf numFmtId="220" fontId="145" fillId="0" borderId="0"/>
    <xf numFmtId="220" fontId="145" fillId="0" borderId="0"/>
    <xf numFmtId="220" fontId="139" fillId="0" borderId="0">
      <alignment vertical="center"/>
    </xf>
    <xf numFmtId="194" fontId="139" fillId="0" borderId="0">
      <alignment vertical="center"/>
    </xf>
    <xf numFmtId="220" fontId="146" fillId="0" borderId="0">
      <alignment vertical="top"/>
    </xf>
    <xf numFmtId="49" fontId="75" fillId="0" borderId="0" applyProtection="0">
      <alignment horizontal="left"/>
    </xf>
    <xf numFmtId="0" fontId="141" fillId="37" borderId="0" applyNumberFormat="0" applyBorder="0" applyAlignment="0" applyProtection="0">
      <alignment vertical="center"/>
    </xf>
    <xf numFmtId="220" fontId="145" fillId="0" borderId="0"/>
    <xf numFmtId="43" fontId="0" fillId="0" borderId="0" applyFont="0" applyFill="0" applyBorder="0" applyAlignment="0" applyProtection="0"/>
    <xf numFmtId="220" fontId="0" fillId="0" borderId="0"/>
    <xf numFmtId="0" fontId="172" fillId="61"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48" fillId="43" borderId="0" applyNumberFormat="0" applyBorder="0" applyAlignment="0" applyProtection="0">
      <alignment vertical="center"/>
    </xf>
    <xf numFmtId="220" fontId="145" fillId="0" borderId="0">
      <protection locked="0"/>
    </xf>
    <xf numFmtId="220" fontId="145" fillId="0" borderId="0">
      <protection locked="0"/>
    </xf>
    <xf numFmtId="49" fontId="75" fillId="0" borderId="0" applyProtection="0">
      <alignment horizontal="left"/>
    </xf>
    <xf numFmtId="220" fontId="150" fillId="35"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49" fillId="0" borderId="0">
      <protection locked="0"/>
    </xf>
    <xf numFmtId="220" fontId="5" fillId="0" borderId="0"/>
    <xf numFmtId="220" fontId="145" fillId="0" borderId="0">
      <protection locked="0"/>
    </xf>
    <xf numFmtId="220" fontId="5" fillId="0" borderId="0"/>
    <xf numFmtId="220" fontId="0" fillId="0" borderId="0"/>
    <xf numFmtId="9" fontId="0" fillId="0" borderId="0" applyFont="0" applyFill="0" applyBorder="0" applyAlignment="0" applyProtection="0"/>
    <xf numFmtId="220" fontId="150" fillId="35" borderId="0" applyNumberFormat="0" applyBorder="0" applyAlignment="0" applyProtection="0">
      <alignment vertical="center"/>
    </xf>
    <xf numFmtId="220" fontId="145" fillId="0" borderId="0"/>
    <xf numFmtId="220" fontId="139" fillId="50" borderId="0" applyNumberFormat="0" applyBorder="0" applyAlignment="0" applyProtection="0">
      <alignment vertical="center"/>
    </xf>
    <xf numFmtId="220" fontId="5" fillId="0" borderId="0"/>
    <xf numFmtId="220" fontId="0" fillId="0" borderId="0"/>
    <xf numFmtId="220" fontId="145" fillId="0" borderId="0">
      <protection locked="0"/>
    </xf>
    <xf numFmtId="220" fontId="158" fillId="0" borderId="0" applyNumberFormat="0" applyBorder="0" applyAlignment="0">
      <alignment vertical="center"/>
      <protection locked="0"/>
    </xf>
    <xf numFmtId="220" fontId="145" fillId="0" borderId="0">
      <protection locked="0"/>
    </xf>
    <xf numFmtId="220" fontId="161" fillId="53" borderId="0" applyNumberFormat="0" applyBorder="0" applyAlignment="0" applyProtection="0">
      <alignment vertical="center"/>
    </xf>
    <xf numFmtId="220" fontId="152" fillId="35"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49" fontId="75" fillId="0" borderId="0" applyProtection="0">
      <alignment horizontal="left"/>
    </xf>
    <xf numFmtId="220" fontId="5" fillId="0" borderId="0"/>
    <xf numFmtId="0" fontId="173" fillId="0" borderId="0" applyNumberFormat="0" applyFill="0" applyBorder="0" applyAlignment="0" applyProtection="0">
      <alignment vertical="center"/>
    </xf>
    <xf numFmtId="220" fontId="0" fillId="0" borderId="0"/>
    <xf numFmtId="220" fontId="147" fillId="38" borderId="0" applyNumberFormat="0" applyBorder="0" applyAlignment="0" applyProtection="0">
      <alignment vertical="center"/>
    </xf>
    <xf numFmtId="180" fontId="0" fillId="0" borderId="0" applyFont="0" applyFill="0" applyBorder="0" applyAlignment="0" applyProtection="0"/>
    <xf numFmtId="220" fontId="152" fillId="60" borderId="0" applyNumberFormat="0" applyBorder="0" applyAlignment="0" applyProtection="0">
      <alignment vertical="center"/>
    </xf>
    <xf numFmtId="49" fontId="75" fillId="0" borderId="0" applyProtection="0">
      <alignment horizontal="left"/>
    </xf>
    <xf numFmtId="0" fontId="139" fillId="65" borderId="117" applyNumberFormat="0" applyFont="0" applyAlignment="0" applyProtection="0">
      <alignment vertical="center"/>
    </xf>
    <xf numFmtId="220" fontId="139" fillId="9" borderId="0" applyNumberFormat="0" applyBorder="0" applyAlignment="0" applyProtection="0">
      <alignment vertical="center"/>
    </xf>
    <xf numFmtId="0" fontId="172" fillId="66" borderId="0" applyNumberFormat="0" applyBorder="0" applyAlignment="0" applyProtection="0">
      <alignment vertical="center"/>
    </xf>
    <xf numFmtId="220" fontId="0" fillId="0" borderId="0"/>
    <xf numFmtId="220" fontId="161" fillId="48" borderId="0" applyNumberFormat="0" applyBorder="0" applyAlignment="0" applyProtection="0">
      <alignment vertical="center"/>
    </xf>
    <xf numFmtId="220" fontId="145" fillId="0" borderId="0"/>
    <xf numFmtId="220" fontId="0" fillId="0" borderId="0"/>
    <xf numFmtId="220" fontId="145" fillId="0" borderId="0">
      <protection locked="0"/>
    </xf>
    <xf numFmtId="0" fontId="176" fillId="0" borderId="0" applyNumberFormat="0" applyFill="0" applyBorder="0" applyAlignment="0" applyProtection="0">
      <alignment vertical="center"/>
    </xf>
    <xf numFmtId="220" fontId="145" fillId="0" borderId="0"/>
    <xf numFmtId="49" fontId="75" fillId="0" borderId="0"/>
    <xf numFmtId="220" fontId="142" fillId="38" borderId="0" applyNumberFormat="0" applyBorder="0" applyAlignment="0" applyProtection="0">
      <alignment vertical="center"/>
    </xf>
    <xf numFmtId="0" fontId="178" fillId="0" borderId="0" applyNumberFormat="0" applyFill="0" applyBorder="0" applyAlignment="0" applyProtection="0">
      <alignment vertical="center"/>
    </xf>
    <xf numFmtId="220" fontId="0" fillId="0" borderId="0">
      <alignment vertical="center"/>
    </xf>
    <xf numFmtId="220" fontId="151" fillId="0" borderId="0"/>
    <xf numFmtId="0" fontId="180" fillId="0" borderId="0" applyNumberFormat="0" applyFill="0" applyBorder="0" applyAlignment="0" applyProtection="0">
      <alignment vertical="center"/>
    </xf>
    <xf numFmtId="220" fontId="181"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applyProtection="0">
      <alignment horizontal="left"/>
    </xf>
    <xf numFmtId="0" fontId="183" fillId="0" borderId="0" applyNumberFormat="0" applyFill="0" applyBorder="0" applyAlignment="0" applyProtection="0">
      <alignment vertical="center"/>
    </xf>
    <xf numFmtId="0" fontId="159" fillId="0" borderId="118" applyNumberFormat="0" applyFill="0" applyAlignment="0" applyProtection="0">
      <alignment vertical="center"/>
    </xf>
    <xf numFmtId="220" fontId="149" fillId="0" borderId="0">
      <protection locked="0"/>
    </xf>
    <xf numFmtId="49" fontId="75" fillId="0" borderId="0" applyProtection="0">
      <alignment horizontal="left"/>
    </xf>
    <xf numFmtId="49" fontId="75" fillId="0" borderId="0" applyProtection="0">
      <alignment horizontal="left"/>
    </xf>
    <xf numFmtId="0" fontId="184" fillId="0" borderId="118" applyNumberFormat="0" applyFill="0" applyAlignment="0" applyProtection="0">
      <alignment vertical="center"/>
    </xf>
    <xf numFmtId="220" fontId="5" fillId="0" borderId="0"/>
    <xf numFmtId="49" fontId="75" fillId="0" borderId="0" applyProtection="0">
      <alignment horizontal="left"/>
    </xf>
    <xf numFmtId="220" fontId="5" fillId="0" borderId="0"/>
    <xf numFmtId="49" fontId="75" fillId="0" borderId="0"/>
    <xf numFmtId="49" fontId="75" fillId="0" borderId="0" applyProtection="0">
      <alignment horizontal="left"/>
    </xf>
    <xf numFmtId="220" fontId="165" fillId="0" borderId="0" applyFill="0">
      <alignment horizontal="center"/>
      <protection locked="0"/>
    </xf>
    <xf numFmtId="0" fontId="172" fillId="73"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5" fillId="0" borderId="0">
      <protection locked="0"/>
    </xf>
    <xf numFmtId="211" fontId="0" fillId="0" borderId="0" applyFont="0" applyFill="0" applyBorder="0" applyAlignment="0" applyProtection="0"/>
    <xf numFmtId="220" fontId="5" fillId="0" borderId="0"/>
    <xf numFmtId="220" fontId="5" fillId="0" borderId="0"/>
    <xf numFmtId="0" fontId="176" fillId="0" borderId="119" applyNumberFormat="0" applyFill="0" applyAlignment="0" applyProtection="0">
      <alignment vertical="center"/>
    </xf>
    <xf numFmtId="220" fontId="5" fillId="0" borderId="0"/>
    <xf numFmtId="220" fontId="181" fillId="0" borderId="0"/>
    <xf numFmtId="49" fontId="75" fillId="0" borderId="0" applyProtection="0">
      <alignment horizontal="left"/>
    </xf>
    <xf numFmtId="220" fontId="0" fillId="0" borderId="0"/>
    <xf numFmtId="0" fontId="172" fillId="76" borderId="0" applyNumberFormat="0" applyBorder="0" applyAlignment="0" applyProtection="0">
      <alignment vertical="center"/>
    </xf>
    <xf numFmtId="220" fontId="157" fillId="47"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180" fontId="0" fillId="0" borderId="0" applyFont="0" applyFill="0" applyBorder="0" applyAlignment="0" applyProtection="0"/>
    <xf numFmtId="220" fontId="151" fillId="0" borderId="0">
      <protection locked="0"/>
    </xf>
    <xf numFmtId="220" fontId="5" fillId="0" borderId="0"/>
    <xf numFmtId="220" fontId="159" fillId="0" borderId="112" applyNumberFormat="0" applyFill="0" applyAlignment="0" applyProtection="0">
      <alignment vertical="center"/>
    </xf>
    <xf numFmtId="49" fontId="75" fillId="0" borderId="0"/>
    <xf numFmtId="220" fontId="5" fillId="0" borderId="0"/>
    <xf numFmtId="220" fontId="0" fillId="0" borderId="0"/>
    <xf numFmtId="220" fontId="151" fillId="0" borderId="0"/>
    <xf numFmtId="220" fontId="5" fillId="0" borderId="0"/>
    <xf numFmtId="198" fontId="0" fillId="0" borderId="0"/>
    <xf numFmtId="49" fontId="75" fillId="0" borderId="0" applyProtection="0">
      <alignment horizontal="left"/>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5" fillId="44" borderId="108" applyNumberFormat="0" applyProtection="0">
      <alignment horizontal="left" vertical="top" indent="1"/>
    </xf>
    <xf numFmtId="0" fontId="193" fillId="78" borderId="120" applyNumberFormat="0" applyAlignment="0" applyProtection="0">
      <alignment vertical="center"/>
    </xf>
    <xf numFmtId="43" fontId="0" fillId="0" borderId="0" applyFont="0" applyFill="0" applyBorder="0" applyAlignment="0" applyProtection="0"/>
    <xf numFmtId="220" fontId="152" fillId="47" borderId="0" applyNumberFormat="0" applyBorder="0" applyAlignment="0" applyProtection="0">
      <alignment vertical="center"/>
    </xf>
    <xf numFmtId="220" fontId="5" fillId="0" borderId="0"/>
    <xf numFmtId="220" fontId="0" fillId="0" borderId="0">
      <alignment vertical="center"/>
    </xf>
    <xf numFmtId="220" fontId="5" fillId="0" borderId="0"/>
    <xf numFmtId="220" fontId="149" fillId="0" borderId="0">
      <protection locked="0"/>
    </xf>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0" fontId="195" fillId="78" borderId="116" applyNumberFormat="0" applyAlignment="0" applyProtection="0">
      <alignment vertical="center"/>
    </xf>
    <xf numFmtId="220" fontId="168" fillId="0" borderId="113" applyNumberFormat="0" applyFill="0" applyAlignment="0" applyProtection="0">
      <alignment vertical="center"/>
    </xf>
    <xf numFmtId="220" fontId="145" fillId="0" borderId="0">
      <protection locked="0"/>
    </xf>
    <xf numFmtId="220" fontId="196" fillId="35" borderId="0" applyNumberFormat="0" applyBorder="0" applyAlignment="0" applyProtection="0">
      <alignment vertical="center"/>
    </xf>
    <xf numFmtId="0" fontId="197" fillId="46" borderId="111" applyNumberFormat="0" applyAlignment="0" applyProtection="0">
      <alignment vertical="center"/>
    </xf>
    <xf numFmtId="220" fontId="5" fillId="0" borderId="0"/>
    <xf numFmtId="49" fontId="75" fillId="0" borderId="0" applyProtection="0">
      <alignment horizontal="left"/>
    </xf>
    <xf numFmtId="0" fontId="144" fillId="67" borderId="0" applyNumberFormat="0" applyBorder="0" applyAlignment="0" applyProtection="0">
      <alignment vertical="center"/>
    </xf>
    <xf numFmtId="220" fontId="0" fillId="0" borderId="0"/>
    <xf numFmtId="220" fontId="5" fillId="0" borderId="0"/>
    <xf numFmtId="49" fontId="75" fillId="0" borderId="0" applyProtection="0">
      <alignment horizontal="left"/>
    </xf>
    <xf numFmtId="191" fontId="198" fillId="0" borderId="0" applyFont="0" applyFill="0" applyBorder="0" applyAlignment="0" applyProtection="0">
      <alignment vertical="center"/>
    </xf>
    <xf numFmtId="0" fontId="172" fillId="8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2" fillId="74" borderId="0" applyNumberFormat="0" applyBorder="0" applyAlignment="0" applyProtection="0">
      <alignment vertical="center"/>
    </xf>
    <xf numFmtId="220" fontId="5" fillId="0" borderId="0"/>
    <xf numFmtId="220" fontId="145" fillId="0" borderId="0">
      <protection locked="0"/>
    </xf>
    <xf numFmtId="220" fontId="0" fillId="0" borderId="0"/>
    <xf numFmtId="0" fontId="200" fillId="0" borderId="121" applyNumberFormat="0" applyFill="0" applyAlignment="0" applyProtection="0">
      <alignment vertical="center"/>
    </xf>
    <xf numFmtId="220" fontId="145" fillId="0" borderId="0"/>
    <xf numFmtId="220" fontId="5" fillId="0" borderId="0"/>
    <xf numFmtId="220" fontId="5" fillId="0" borderId="0"/>
    <xf numFmtId="220" fontId="145" fillId="0" borderId="0">
      <protection locked="0"/>
    </xf>
    <xf numFmtId="220" fontId="145" fillId="0" borderId="0">
      <protection locked="0"/>
    </xf>
    <xf numFmtId="220" fontId="5" fillId="0" borderId="0"/>
    <xf numFmtId="220" fontId="5" fillId="0" borderId="0"/>
    <xf numFmtId="49" fontId="75" fillId="0" borderId="0" applyProtection="0">
      <alignment horizontal="left"/>
    </xf>
    <xf numFmtId="220" fontId="145" fillId="0" borderId="0">
      <protection locked="0"/>
    </xf>
    <xf numFmtId="220" fontId="150" fillId="35" borderId="0" applyNumberFormat="0" applyBorder="0" applyAlignment="0" applyProtection="0">
      <alignment vertical="center"/>
    </xf>
    <xf numFmtId="0" fontId="201" fillId="0" borderId="122" applyNumberFormat="0" applyFill="0" applyAlignment="0" applyProtection="0">
      <alignment vertical="center"/>
    </xf>
    <xf numFmtId="220" fontId="5" fillId="0" borderId="0"/>
    <xf numFmtId="0" fontId="202" fillId="83"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191" fontId="146" fillId="0" borderId="0" applyFont="0" applyFill="0" applyBorder="0" applyAlignment="0" applyProtection="0"/>
    <xf numFmtId="220" fontId="139" fillId="45" borderId="0" applyNumberFormat="0" applyBorder="0" applyAlignment="0" applyProtection="0">
      <alignment vertical="center"/>
    </xf>
    <xf numFmtId="220" fontId="190" fillId="7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49" fontId="75" fillId="0" borderId="0"/>
    <xf numFmtId="220" fontId="5" fillId="0" borderId="0"/>
    <xf numFmtId="220" fontId="5" fillId="0" borderId="0"/>
    <xf numFmtId="220" fontId="5" fillId="0" borderId="0"/>
    <xf numFmtId="0" fontId="203" fillId="84" borderId="0" applyNumberFormat="0" applyBorder="0" applyAlignment="0" applyProtection="0">
      <alignment vertical="center"/>
    </xf>
    <xf numFmtId="220" fontId="5" fillId="0" borderId="0"/>
    <xf numFmtId="220" fontId="5" fillId="0" borderId="0"/>
    <xf numFmtId="220" fontId="0" fillId="0" borderId="0"/>
    <xf numFmtId="220" fontId="145" fillId="0" borderId="0">
      <protection locked="0"/>
    </xf>
    <xf numFmtId="220" fontId="145" fillId="0" borderId="0"/>
    <xf numFmtId="0" fontId="144" fillId="59" borderId="0" applyNumberFormat="0" applyBorder="0" applyAlignment="0" applyProtection="0">
      <alignment vertical="center"/>
    </xf>
    <xf numFmtId="220" fontId="142" fillId="38" borderId="0" applyNumberFormat="0" applyBorder="0" applyAlignment="0" applyProtection="0">
      <alignment vertical="center"/>
    </xf>
    <xf numFmtId="220" fontId="191" fillId="0" borderId="0" applyNumberFormat="0" applyFont="0" applyFill="0" applyBorder="0" applyAlignment="0" applyProtection="0"/>
    <xf numFmtId="220" fontId="5" fillId="0" borderId="0"/>
    <xf numFmtId="0" fontId="172" fillId="86"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39" fillId="60" borderId="0" applyNumberFormat="0" applyBorder="0" applyAlignment="0" applyProtection="0">
      <alignment vertical="center"/>
    </xf>
    <xf numFmtId="220" fontId="139" fillId="48" borderId="0" applyNumberFormat="0" applyBorder="0" applyAlignment="0" applyProtection="0">
      <alignment vertical="center"/>
    </xf>
    <xf numFmtId="220" fontId="145" fillId="0" borderId="0">
      <protection locked="0"/>
    </xf>
    <xf numFmtId="220" fontId="145" fillId="0" borderId="0"/>
    <xf numFmtId="49" fontId="75" fillId="0" borderId="0" applyProtection="0">
      <alignment horizontal="left"/>
    </xf>
    <xf numFmtId="220" fontId="0" fillId="0" borderId="0"/>
    <xf numFmtId="49" fontId="75" fillId="0" borderId="0" applyProtection="0">
      <alignment horizontal="left"/>
    </xf>
    <xf numFmtId="220" fontId="149" fillId="0" borderId="0">
      <protection locked="0"/>
    </xf>
    <xf numFmtId="220" fontId="152" fillId="74" borderId="0" applyNumberFormat="0" applyBorder="0" applyAlignment="0" applyProtection="0">
      <alignment vertical="center"/>
    </xf>
    <xf numFmtId="0" fontId="144" fillId="87" borderId="0" applyNumberFormat="0" applyBorder="0" applyAlignment="0" applyProtection="0">
      <alignment vertical="center"/>
    </xf>
    <xf numFmtId="220" fontId="145" fillId="0" borderId="0"/>
    <xf numFmtId="220" fontId="161" fillId="54" borderId="0" applyNumberFormat="0" applyBorder="0" applyAlignment="0" applyProtection="0">
      <alignment vertical="center"/>
    </xf>
    <xf numFmtId="220" fontId="139" fillId="0" borderId="0">
      <alignment vertical="center"/>
    </xf>
    <xf numFmtId="0" fontId="144" fillId="21" borderId="0" applyNumberFormat="0" applyBorder="0" applyAlignment="0" applyProtection="0">
      <alignment vertical="center"/>
    </xf>
    <xf numFmtId="220" fontId="5" fillId="0" borderId="0"/>
    <xf numFmtId="191" fontId="198" fillId="0" borderId="0" applyFont="0" applyFill="0" applyBorder="0" applyAlignment="0" applyProtection="0">
      <alignment vertical="center"/>
    </xf>
    <xf numFmtId="196" fontId="0" fillId="0" borderId="0" applyFont="0" applyFill="0" applyBorder="0" applyAlignment="0" applyProtection="0"/>
    <xf numFmtId="220" fontId="0" fillId="0" borderId="0">
      <alignment vertical="center"/>
    </xf>
    <xf numFmtId="220" fontId="145" fillId="0" borderId="0">
      <protection locked="0"/>
    </xf>
    <xf numFmtId="9" fontId="0" fillId="0" borderId="0" applyFont="0" applyFill="0" applyBorder="0" applyAlignment="0" applyProtection="0"/>
    <xf numFmtId="220" fontId="146" fillId="0" borderId="0">
      <alignment vertical="top"/>
    </xf>
    <xf numFmtId="49" fontId="75" fillId="0" borderId="0" applyProtection="0">
      <alignment horizontal="left"/>
    </xf>
    <xf numFmtId="0" fontId="144" fillId="88" borderId="0" applyNumberFormat="0" applyBorder="0" applyAlignment="0" applyProtection="0">
      <alignment vertical="center"/>
    </xf>
    <xf numFmtId="220" fontId="139" fillId="0" borderId="0">
      <alignment vertical="center"/>
    </xf>
    <xf numFmtId="0" fontId="144" fillId="89"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191" fontId="163" fillId="0" borderId="0" applyFont="0" applyFill="0" applyBorder="0" applyAlignment="0" applyProtection="0"/>
    <xf numFmtId="219" fontId="0" fillId="0" borderId="0" applyFont="0" applyFill="0" applyBorder="0" applyAlignment="0" applyProtection="0"/>
    <xf numFmtId="220" fontId="150" fillId="35" borderId="0" applyNumberFormat="0" applyBorder="0" applyAlignment="0" applyProtection="0">
      <alignment vertical="center"/>
    </xf>
    <xf numFmtId="220" fontId="146" fillId="0" borderId="0">
      <alignment vertical="top"/>
    </xf>
    <xf numFmtId="220" fontId="0" fillId="0" borderId="0"/>
    <xf numFmtId="220" fontId="5" fillId="0" borderId="0"/>
    <xf numFmtId="0" fontId="172" fillId="90" borderId="0" applyNumberFormat="0" applyBorder="0" applyAlignment="0" applyProtection="0">
      <alignment vertical="center"/>
    </xf>
    <xf numFmtId="220" fontId="152" fillId="0" borderId="0">
      <alignment vertical="center"/>
    </xf>
    <xf numFmtId="220" fontId="152" fillId="74"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0" fontId="172" fillId="91" borderId="0" applyNumberFormat="0" applyBorder="0" applyAlignment="0" applyProtection="0">
      <alignment vertical="center"/>
    </xf>
    <xf numFmtId="220" fontId="152" fillId="0" borderId="0">
      <alignment vertical="center"/>
    </xf>
    <xf numFmtId="220" fontId="152" fillId="74" borderId="0" applyNumberFormat="0" applyBorder="0" applyAlignment="0" applyProtection="0">
      <alignment vertical="center"/>
    </xf>
    <xf numFmtId="49" fontId="75" fillId="0" borderId="0" applyProtection="0">
      <alignment horizontal="left"/>
    </xf>
    <xf numFmtId="180" fontId="0" fillId="0" borderId="0" applyFont="0" applyFill="0" applyBorder="0" applyAlignment="0" applyProtection="0"/>
    <xf numFmtId="220" fontId="5" fillId="0" borderId="0"/>
    <xf numFmtId="43" fontId="139" fillId="0" borderId="0" applyFont="0" applyFill="0" applyBorder="0" applyAlignment="0" applyProtection="0">
      <alignment vertical="center"/>
    </xf>
    <xf numFmtId="220" fontId="145" fillId="0" borderId="0">
      <protection locked="0"/>
    </xf>
    <xf numFmtId="220" fontId="5" fillId="0" borderId="0"/>
    <xf numFmtId="220" fontId="189" fillId="0" borderId="0" applyNumberFormat="0" applyFill="0" applyBorder="0" applyAlignment="0" applyProtection="0">
      <alignment vertical="top"/>
      <protection locked="0"/>
    </xf>
    <xf numFmtId="0" fontId="144" fillId="92" borderId="0" applyNumberFormat="0" applyBorder="0" applyAlignment="0" applyProtection="0">
      <alignment vertical="center"/>
    </xf>
    <xf numFmtId="9" fontId="0" fillId="0" borderId="0" applyFont="0" applyFill="0" applyBorder="0" applyAlignment="0" applyProtection="0"/>
    <xf numFmtId="220" fontId="145" fillId="0" borderId="0">
      <protection locked="0"/>
    </xf>
    <xf numFmtId="199" fontId="75" fillId="0" borderId="0" applyFill="0" applyBorder="0" applyProtection="0">
      <alignment horizontal="right"/>
    </xf>
    <xf numFmtId="0" fontId="144" fillId="2" borderId="0" applyNumberFormat="0" applyBorder="0" applyAlignment="0" applyProtection="0">
      <alignment vertical="center"/>
    </xf>
    <xf numFmtId="191" fontId="163" fillId="0" borderId="0" applyFont="0" applyFill="0" applyBorder="0" applyAlignment="0" applyProtection="0"/>
    <xf numFmtId="180" fontId="0" fillId="0" borderId="0" applyFont="0" applyFill="0" applyBorder="0" applyAlignment="0" applyProtection="0"/>
    <xf numFmtId="220" fontId="139" fillId="0" borderId="0">
      <alignment vertical="center"/>
    </xf>
    <xf numFmtId="220" fontId="139" fillId="0" borderId="0">
      <alignment vertical="center"/>
    </xf>
    <xf numFmtId="220" fontId="145" fillId="0" borderId="0"/>
    <xf numFmtId="220" fontId="145" fillId="0" borderId="0"/>
    <xf numFmtId="49" fontId="7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0" fontId="172" fillId="71" borderId="0" applyNumberFormat="0" applyBorder="0" applyAlignment="0" applyProtection="0">
      <alignment vertical="center"/>
    </xf>
    <xf numFmtId="220" fontId="152" fillId="74" borderId="0" applyNumberFormat="0" applyBorder="0" applyAlignment="0" applyProtection="0">
      <alignment vertical="center"/>
    </xf>
    <xf numFmtId="220" fontId="5" fillId="0" borderId="0"/>
    <xf numFmtId="9" fontId="152" fillId="0" borderId="0" applyFont="0" applyFill="0" applyBorder="0" applyAlignment="0" applyProtection="0">
      <alignment vertical="center"/>
    </xf>
    <xf numFmtId="220" fontId="152" fillId="0" borderId="0">
      <alignment vertical="center"/>
    </xf>
    <xf numFmtId="220" fontId="5" fillId="0" borderId="0"/>
    <xf numFmtId="220" fontId="5" fillId="0" borderId="0"/>
    <xf numFmtId="220" fontId="145" fillId="0" borderId="0">
      <protection locked="0"/>
    </xf>
    <xf numFmtId="49" fontId="75" fillId="0" borderId="0"/>
    <xf numFmtId="220" fontId="145" fillId="0" borderId="0"/>
    <xf numFmtId="220" fontId="147" fillId="42" borderId="0" applyNumberFormat="0" applyBorder="0" applyAlignment="0" applyProtection="0">
      <alignment vertical="center"/>
    </xf>
    <xf numFmtId="0" fontId="144" fillId="40" borderId="0" applyNumberFormat="0" applyBorder="0" applyAlignment="0" applyProtection="0">
      <alignment vertical="center"/>
    </xf>
    <xf numFmtId="220" fontId="5" fillId="0" borderId="0"/>
    <xf numFmtId="191" fontId="75" fillId="0" borderId="0" applyFont="0" applyFill="0" applyBorder="0" applyAlignment="0" applyProtection="0"/>
    <xf numFmtId="180" fontId="0" fillId="0" borderId="0" applyFont="0" applyFill="0" applyBorder="0" applyAlignment="0" applyProtection="0"/>
    <xf numFmtId="220" fontId="5" fillId="0" borderId="0"/>
    <xf numFmtId="0" fontId="172" fillId="6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90" fillId="0" borderId="0">
      <protection locked="0"/>
    </xf>
    <xf numFmtId="220" fontId="157" fillId="47" borderId="0" applyNumberFormat="0" applyBorder="0" applyAlignment="0" applyProtection="0">
      <alignment vertical="center"/>
    </xf>
    <xf numFmtId="220" fontId="158" fillId="81" borderId="0" applyNumberFormat="0" applyBorder="0" applyAlignment="0" applyProtection="0"/>
    <xf numFmtId="49" fontId="75" fillId="0" borderId="0"/>
    <xf numFmtId="220" fontId="161" fillId="64" borderId="0" applyNumberFormat="0" applyBorder="0" applyAlignment="0" applyProtection="0">
      <alignment vertical="center"/>
    </xf>
    <xf numFmtId="220" fontId="5" fillId="0" borderId="0"/>
    <xf numFmtId="220" fontId="5" fillId="0" borderId="0"/>
    <xf numFmtId="49" fontId="75" fillId="0" borderId="0" applyProtection="0">
      <alignment horizontal="left"/>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0" fontId="172" fillId="69" borderId="0" applyNumberFormat="0" applyBorder="0" applyAlignment="0" applyProtection="0">
      <alignment vertical="center"/>
    </xf>
    <xf numFmtId="220" fontId="145" fillId="0" borderId="0"/>
    <xf numFmtId="9" fontId="0" fillId="0" borderId="0" applyFont="0" applyFill="0" applyBorder="0" applyAlignment="0" applyProtection="0"/>
    <xf numFmtId="220" fontId="152" fillId="0" borderId="0">
      <alignment vertical="center"/>
    </xf>
    <xf numFmtId="220" fontId="5" fillId="0" borderId="0"/>
    <xf numFmtId="220" fontId="152" fillId="74" borderId="0" applyNumberFormat="0" applyBorder="0" applyAlignment="0" applyProtection="0">
      <alignment vertical="center"/>
    </xf>
    <xf numFmtId="220" fontId="0" fillId="0" borderId="0"/>
    <xf numFmtId="220" fontId="2" fillId="0" borderId="0"/>
    <xf numFmtId="0" fontId="144" fillId="18" borderId="0" applyNumberFormat="0" applyBorder="0" applyAlignment="0" applyProtection="0">
      <alignment vertical="center"/>
    </xf>
    <xf numFmtId="180" fontId="0" fillId="0" borderId="0" applyFont="0" applyFill="0" applyBorder="0" applyAlignment="0" applyProtection="0"/>
    <xf numFmtId="220" fontId="151" fillId="0" borderId="0"/>
    <xf numFmtId="49" fontId="75" fillId="0" borderId="0" applyProtection="0">
      <alignment horizontal="left"/>
    </xf>
    <xf numFmtId="220" fontId="5" fillId="0" borderId="0"/>
    <xf numFmtId="220" fontId="5" fillId="0" borderId="0"/>
    <xf numFmtId="0" fontId="172" fillId="70" borderId="0" applyNumberFormat="0" applyBorder="0" applyAlignment="0" applyProtection="0">
      <alignment vertical="center"/>
    </xf>
    <xf numFmtId="220" fontId="5" fillId="0" borderId="0"/>
    <xf numFmtId="220" fontId="5" fillId="0" borderId="0"/>
    <xf numFmtId="49" fontId="75" fillId="0" borderId="0" applyProtection="0">
      <alignment horizontal="left"/>
    </xf>
    <xf numFmtId="220" fontId="5" fillId="0" borderId="0"/>
    <xf numFmtId="220" fontId="5" fillId="0" borderId="0"/>
    <xf numFmtId="49" fontId="75" fillId="0" borderId="0" applyProtection="0">
      <alignment horizontal="left"/>
    </xf>
    <xf numFmtId="220" fontId="5" fillId="0" borderId="0"/>
    <xf numFmtId="220" fontId="5" fillId="0" borderId="0"/>
    <xf numFmtId="220" fontId="145" fillId="0" borderId="0">
      <protection locked="0"/>
    </xf>
    <xf numFmtId="49" fontId="75" fillId="0" borderId="0" applyProtection="0">
      <alignment horizontal="left"/>
    </xf>
    <xf numFmtId="220" fontId="145" fillId="0" borderId="0"/>
    <xf numFmtId="220" fontId="145" fillId="0" borderId="0">
      <protection locked="0"/>
    </xf>
    <xf numFmtId="49" fontId="75" fillId="0" borderId="0"/>
    <xf numFmtId="220" fontId="5" fillId="0" borderId="0"/>
    <xf numFmtId="202" fontId="151" fillId="0" borderId="0" applyFill="0" applyBorder="0" applyAlignment="0"/>
    <xf numFmtId="220" fontId="152" fillId="45" borderId="0" applyNumberFormat="0" applyBorder="0" applyAlignment="0" applyProtection="0">
      <alignment vertical="center"/>
    </xf>
    <xf numFmtId="220" fontId="5" fillId="0" borderId="0"/>
    <xf numFmtId="220" fontId="190" fillId="74" borderId="0" applyNumberFormat="0" applyBorder="0" applyAlignment="0" applyProtection="0">
      <alignment vertical="center"/>
    </xf>
    <xf numFmtId="49" fontId="75" fillId="0" borderId="0"/>
    <xf numFmtId="220" fontId="5" fillId="0" borderId="0"/>
    <xf numFmtId="220" fontId="145" fillId="0" borderId="0">
      <protection locked="0"/>
    </xf>
    <xf numFmtId="220" fontId="145" fillId="0" borderId="0"/>
    <xf numFmtId="49" fontId="75" fillId="0" borderId="0" applyProtection="0">
      <alignment horizontal="left"/>
    </xf>
    <xf numFmtId="220" fontId="151" fillId="0" borderId="0"/>
    <xf numFmtId="220" fontId="5" fillId="0" borderId="0"/>
    <xf numFmtId="220" fontId="142" fillId="38" borderId="0" applyNumberFormat="0" applyBorder="0" applyAlignment="0" applyProtection="0">
      <alignment vertical="center"/>
    </xf>
    <xf numFmtId="220" fontId="145" fillId="0" borderId="0"/>
    <xf numFmtId="220" fontId="152" fillId="77" borderId="0" applyNumberFormat="0" applyBorder="0" applyAlignment="0" applyProtection="0">
      <alignment vertical="center"/>
    </xf>
    <xf numFmtId="220" fontId="5" fillId="0" borderId="0"/>
    <xf numFmtId="49" fontId="75" fillId="0" borderId="0" applyProtection="0">
      <alignment horizontal="left"/>
    </xf>
    <xf numFmtId="220" fontId="5" fillId="0" borderId="0"/>
    <xf numFmtId="220" fontId="5" fillId="0" borderId="0"/>
    <xf numFmtId="220" fontId="5" fillId="0" borderId="0"/>
    <xf numFmtId="220" fontId="147" fillId="38" borderId="0" applyNumberFormat="0" applyBorder="0" applyAlignment="0" applyProtection="0">
      <alignment vertical="center"/>
    </xf>
    <xf numFmtId="49" fontId="75" fillId="0" borderId="0" applyProtection="0">
      <alignment horizontal="left"/>
    </xf>
    <xf numFmtId="220" fontId="5" fillId="0" borderId="0"/>
    <xf numFmtId="220" fontId="90" fillId="0" borderId="0">
      <protection locked="0"/>
    </xf>
    <xf numFmtId="220" fontId="5" fillId="0" borderId="0"/>
    <xf numFmtId="220" fontId="150" fillId="35" borderId="0" applyNumberFormat="0" applyBorder="0" applyAlignment="0" applyProtection="0">
      <alignment vertical="center"/>
    </xf>
    <xf numFmtId="220" fontId="5" fillId="0" borderId="0"/>
    <xf numFmtId="220" fontId="151" fillId="0" borderId="0"/>
    <xf numFmtId="220" fontId="14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5" fillId="0" borderId="0"/>
    <xf numFmtId="220" fontId="5" fillId="0" borderId="0"/>
    <xf numFmtId="220" fontId="142" fillId="38" borderId="0" applyNumberFormat="0" applyBorder="0" applyAlignment="0" applyProtection="0">
      <alignment vertical="center"/>
    </xf>
    <xf numFmtId="49" fontId="75" fillId="0" borderId="0"/>
    <xf numFmtId="220" fontId="145" fillId="0" borderId="0">
      <protection locked="0"/>
    </xf>
    <xf numFmtId="220" fontId="5" fillId="0" borderId="0"/>
    <xf numFmtId="220" fontId="146" fillId="0" borderId="0">
      <alignment vertical="top"/>
    </xf>
    <xf numFmtId="220" fontId="5" fillId="0" borderId="0"/>
    <xf numFmtId="220" fontId="151" fillId="0" borderId="0">
      <protection locked="0"/>
    </xf>
    <xf numFmtId="220" fontId="5" fillId="0" borderId="0"/>
    <xf numFmtId="49" fontId="75" fillId="0" borderId="0"/>
    <xf numFmtId="220" fontId="151" fillId="0" borderId="0"/>
    <xf numFmtId="220" fontId="5" fillId="0" borderId="0"/>
    <xf numFmtId="220" fontId="5" fillId="0" borderId="0"/>
    <xf numFmtId="220" fontId="145" fillId="0" borderId="0"/>
    <xf numFmtId="220" fontId="5" fillId="0" borderId="0"/>
    <xf numFmtId="220" fontId="145" fillId="0" borderId="0">
      <protection locked="0"/>
    </xf>
    <xf numFmtId="220" fontId="145" fillId="0" borderId="0">
      <protection locked="0"/>
    </xf>
    <xf numFmtId="220" fontId="145" fillId="0" borderId="0"/>
    <xf numFmtId="220" fontId="145" fillId="0" borderId="0"/>
    <xf numFmtId="49" fontId="75" fillId="0" borderId="0"/>
    <xf numFmtId="220" fontId="0" fillId="0" borderId="0"/>
    <xf numFmtId="220" fontId="147" fillId="42" borderId="0" applyNumberFormat="0" applyBorder="0" applyAlignment="0" applyProtection="0">
      <alignment vertical="center"/>
    </xf>
    <xf numFmtId="220" fontId="205" fillId="0" borderId="0" applyNumberFormat="0" applyFill="0" applyBorder="0" applyAlignment="0" applyProtection="0">
      <alignment vertical="center"/>
    </xf>
    <xf numFmtId="220" fontId="145" fillId="0" borderId="0"/>
    <xf numFmtId="220" fontId="191" fillId="0" borderId="0"/>
    <xf numFmtId="220" fontId="145" fillId="0" borderId="0">
      <protection locked="0"/>
    </xf>
    <xf numFmtId="220" fontId="5" fillId="0" borderId="0"/>
    <xf numFmtId="49" fontId="75" fillId="0" borderId="0" applyProtection="0">
      <alignment horizontal="left"/>
    </xf>
    <xf numFmtId="220" fontId="0" fillId="0" borderId="0"/>
    <xf numFmtId="220" fontId="151" fillId="0" borderId="0"/>
    <xf numFmtId="220" fontId="5" fillId="0" borderId="0"/>
    <xf numFmtId="220" fontId="145" fillId="0" borderId="0">
      <protection locked="0"/>
    </xf>
    <xf numFmtId="226" fontId="208" fillId="0" borderId="0" applyFont="0" applyFill="0" applyBorder="0" applyAlignment="0" applyProtection="0"/>
    <xf numFmtId="49" fontId="75" fillId="0" borderId="0" applyProtection="0">
      <alignment horizontal="left"/>
    </xf>
    <xf numFmtId="220" fontId="5" fillId="0" borderId="0"/>
    <xf numFmtId="220" fontId="162" fillId="81" borderId="0" applyNumberFormat="0" applyBorder="0" applyAlignment="0" applyProtection="0"/>
    <xf numFmtId="220" fontId="145" fillId="0" borderId="0">
      <protection locked="0"/>
    </xf>
    <xf numFmtId="49" fontId="75" fillId="0" borderId="0" applyProtection="0">
      <alignment horizontal="left"/>
    </xf>
    <xf numFmtId="220" fontId="207" fillId="0" borderId="0" applyFont="0" applyFill="0" applyBorder="0" applyAlignment="0" applyProtection="0"/>
    <xf numFmtId="220" fontId="147" fillId="38" borderId="0" applyNumberFormat="0" applyBorder="0" applyAlignment="0" applyProtection="0">
      <alignment vertical="center"/>
    </xf>
    <xf numFmtId="220" fontId="5" fillId="0" borderId="0"/>
    <xf numFmtId="220" fontId="145" fillId="0" borderId="0">
      <protection locked="0"/>
    </xf>
    <xf numFmtId="220" fontId="145" fillId="0" borderId="0"/>
    <xf numFmtId="220" fontId="5" fillId="0" borderId="0"/>
    <xf numFmtId="220" fontId="145" fillId="0" borderId="0"/>
    <xf numFmtId="220" fontId="0" fillId="0" borderId="0"/>
    <xf numFmtId="220" fontId="146" fillId="0" borderId="0">
      <alignment vertical="top"/>
    </xf>
    <xf numFmtId="220" fontId="207" fillId="0" borderId="0" applyFont="0" applyFill="0" applyBorder="0" applyAlignment="0" applyProtection="0"/>
    <xf numFmtId="220" fontId="90" fillId="0" borderId="0"/>
    <xf numFmtId="220" fontId="5" fillId="0" borderId="0"/>
    <xf numFmtId="49" fontId="75" fillId="0" borderId="0"/>
    <xf numFmtId="49" fontId="75" fillId="0" borderId="0" applyProtection="0">
      <alignment horizontal="left"/>
    </xf>
    <xf numFmtId="49" fontId="75" fillId="0" borderId="0"/>
    <xf numFmtId="220" fontId="146" fillId="0" borderId="0">
      <alignment vertical="top"/>
    </xf>
    <xf numFmtId="49" fontId="75" fillId="0" borderId="0"/>
    <xf numFmtId="220" fontId="145" fillId="0" borderId="0">
      <protection locked="0"/>
    </xf>
    <xf numFmtId="220" fontId="139" fillId="18" borderId="0" applyNumberFormat="0" applyBorder="0" applyAlignment="0" applyProtection="0">
      <alignment vertical="center"/>
    </xf>
    <xf numFmtId="220" fontId="150" fillId="35" borderId="0" applyNumberFormat="0" applyBorder="0" applyAlignment="0" applyProtection="0">
      <alignment vertical="center"/>
    </xf>
    <xf numFmtId="220" fontId="207" fillId="0" borderId="0" applyFont="0" applyFill="0" applyBorder="0" applyAlignment="0" applyProtection="0"/>
    <xf numFmtId="220" fontId="168" fillId="0" borderId="113" applyNumberFormat="0" applyFill="0" applyAlignment="0" applyProtection="0">
      <alignment vertical="center"/>
    </xf>
    <xf numFmtId="218" fontId="145" fillId="0" borderId="0" applyFont="0" applyFill="0" applyBorder="0" applyAlignment="0" applyProtection="0"/>
    <xf numFmtId="220" fontId="145" fillId="0" borderId="0">
      <protection locked="0"/>
    </xf>
    <xf numFmtId="220" fontId="145" fillId="0" borderId="0"/>
    <xf numFmtId="220" fontId="5" fillId="0" borderId="0"/>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5" fillId="0" borderId="0"/>
    <xf numFmtId="220" fontId="145" fillId="0" borderId="0"/>
    <xf numFmtId="49" fontId="75" fillId="0" borderId="0"/>
    <xf numFmtId="220" fontId="5" fillId="0" borderId="0"/>
    <xf numFmtId="220" fontId="145" fillId="0" borderId="0"/>
    <xf numFmtId="220" fontId="145" fillId="0" borderId="0"/>
    <xf numFmtId="220" fontId="0" fillId="0" borderId="0"/>
    <xf numFmtId="49" fontId="75" fillId="0" borderId="0" applyProtection="0">
      <alignment horizontal="left"/>
    </xf>
    <xf numFmtId="220" fontId="5" fillId="0" borderId="0"/>
    <xf numFmtId="220" fontId="142" fillId="38" borderId="0" applyNumberFormat="0" applyBorder="0" applyAlignment="0" applyProtection="0">
      <alignment vertical="center"/>
    </xf>
    <xf numFmtId="220" fontId="5" fillId="0" borderId="0"/>
    <xf numFmtId="220" fontId="145" fillId="0" borderId="0"/>
    <xf numFmtId="220" fontId="145" fillId="0" borderId="0"/>
    <xf numFmtId="220" fontId="90" fillId="0" borderId="0"/>
    <xf numFmtId="49" fontId="75" fillId="0" borderId="0" applyProtection="0">
      <alignment horizontal="left"/>
    </xf>
    <xf numFmtId="49" fontId="75" fillId="0" borderId="0"/>
    <xf numFmtId="220" fontId="5" fillId="0" borderId="0"/>
    <xf numFmtId="40" fontId="208" fillId="0" borderId="0" applyFont="0" applyFill="0" applyBorder="0" applyAlignment="0" applyProtection="0"/>
    <xf numFmtId="49" fontId="75" fillId="0" borderId="0" applyProtection="0">
      <alignment horizontal="left"/>
    </xf>
    <xf numFmtId="220" fontId="146" fillId="0" borderId="0">
      <alignment vertical="top"/>
    </xf>
    <xf numFmtId="220" fontId="150" fillId="35" borderId="0" applyNumberFormat="0" applyBorder="0" applyAlignment="0" applyProtection="0">
      <alignment vertical="center"/>
    </xf>
    <xf numFmtId="49" fontId="75" fillId="0" borderId="0" applyProtection="0">
      <alignment horizontal="left"/>
    </xf>
    <xf numFmtId="220" fontId="142" fillId="38" borderId="0" applyNumberFormat="0" applyBorder="0" applyAlignment="0" applyProtection="0">
      <alignment vertical="center"/>
    </xf>
    <xf numFmtId="220" fontId="5" fillId="0" borderId="0"/>
    <xf numFmtId="220" fontId="145" fillId="0" borderId="0">
      <protection locked="0"/>
    </xf>
    <xf numFmtId="220" fontId="5" fillId="0" borderId="0"/>
    <xf numFmtId="220" fontId="157" fillId="47" borderId="0" applyNumberFormat="0" applyBorder="0" applyAlignment="0" applyProtection="0">
      <alignment vertical="center"/>
    </xf>
    <xf numFmtId="227" fontId="145" fillId="0" borderId="0"/>
    <xf numFmtId="220" fontId="204" fillId="0" borderId="0" applyNumberFormat="0" applyFill="0" applyBorder="0" applyAlignment="0" applyProtection="0">
      <alignment vertical="top"/>
      <protection locked="0"/>
    </xf>
    <xf numFmtId="49" fontId="75" fillId="0" borderId="0" applyProtection="0">
      <alignment horizontal="left"/>
    </xf>
    <xf numFmtId="220" fontId="147" fillId="42" borderId="0" applyNumberFormat="0" applyBorder="0" applyAlignment="0" applyProtection="0">
      <alignment vertical="center"/>
    </xf>
    <xf numFmtId="220" fontId="5" fillId="0" borderId="0"/>
    <xf numFmtId="38" fontId="208" fillId="0" borderId="0" applyFont="0" applyFill="0" applyBorder="0" applyAlignment="0" applyProtection="0"/>
    <xf numFmtId="220" fontId="5" fillId="0" borderId="0"/>
    <xf numFmtId="220" fontId="145" fillId="0" borderId="0"/>
    <xf numFmtId="220" fontId="179" fillId="44" borderId="0" applyNumberFormat="0" applyBorder="0" applyAlignment="0" applyProtection="0"/>
    <xf numFmtId="220" fontId="142" fillId="38" borderId="0" applyNumberFormat="0" applyBorder="0" applyAlignment="0" applyProtection="0">
      <alignment vertical="center"/>
    </xf>
    <xf numFmtId="220" fontId="149" fillId="0" borderId="0">
      <protection locked="0"/>
    </xf>
    <xf numFmtId="232" fontId="194" fillId="0" borderId="0" applyFont="0" applyFill="0" applyBorder="0" applyAlignment="0" applyProtection="0"/>
    <xf numFmtId="220" fontId="5" fillId="0" borderId="0"/>
    <xf numFmtId="191" fontId="145" fillId="0" borderId="0" applyFont="0" applyFill="0" applyBorder="0" applyAlignment="0" applyProtection="0"/>
    <xf numFmtId="220" fontId="152" fillId="4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9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5" fillId="0" borderId="0">
      <protection locked="0"/>
    </xf>
    <xf numFmtId="220" fontId="5" fillId="0" borderId="0"/>
    <xf numFmtId="220" fontId="0" fillId="0" borderId="0"/>
    <xf numFmtId="220" fontId="151" fillId="0" borderId="0"/>
    <xf numFmtId="220" fontId="5" fillId="0" borderId="0"/>
    <xf numFmtId="49" fontId="75" fillId="0" borderId="0"/>
    <xf numFmtId="197" fontId="169" fillId="0" borderId="0" applyFont="0" applyFill="0" applyBorder="0" applyAlignment="0" applyProtection="0"/>
    <xf numFmtId="220" fontId="149" fillId="0" borderId="0">
      <protection locked="0"/>
    </xf>
    <xf numFmtId="220" fontId="5" fillId="0" borderId="0"/>
    <xf numFmtId="220" fontId="0" fillId="0" borderId="0">
      <protection locked="0"/>
    </xf>
    <xf numFmtId="232" fontId="169" fillId="0" borderId="0" applyFont="0" applyFill="0" applyBorder="0" applyAlignment="0" applyProtection="0"/>
    <xf numFmtId="220" fontId="5" fillId="0" borderId="0"/>
    <xf numFmtId="220" fontId="139" fillId="8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11" fontId="0" fillId="0" borderId="0" applyFont="0" applyFill="0" applyBorder="0" applyAlignment="0" applyProtection="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195" fontId="169" fillId="0" borderId="0" applyFont="0" applyFill="0" applyBorder="0" applyAlignment="0" applyProtection="0"/>
    <xf numFmtId="220" fontId="145" fillId="0" borderId="0"/>
    <xf numFmtId="10" fontId="182" fillId="0" borderId="0" applyFont="0" applyFill="0" applyBorder="0" applyAlignment="0" applyProtection="0"/>
    <xf numFmtId="220" fontId="5" fillId="0" borderId="0"/>
    <xf numFmtId="220" fontId="157" fillId="47"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45" fillId="0" borderId="0"/>
    <xf numFmtId="220" fontId="145" fillId="0" borderId="0"/>
    <xf numFmtId="220" fontId="145" fillId="0" borderId="0"/>
    <xf numFmtId="220" fontId="149" fillId="0" borderId="0">
      <protection locked="0"/>
    </xf>
    <xf numFmtId="220" fontId="5" fillId="0" borderId="0"/>
    <xf numFmtId="220" fontId="145" fillId="0" borderId="0">
      <protection locked="0"/>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5" fillId="0" borderId="0"/>
    <xf numFmtId="220" fontId="145" fillId="0" borderId="0"/>
    <xf numFmtId="220" fontId="158" fillId="81" borderId="0" applyNumberFormat="0" applyBorder="0" applyAlignment="0" applyProtection="0"/>
    <xf numFmtId="220" fontId="5" fillId="0" borderId="0"/>
    <xf numFmtId="220" fontId="145" fillId="0" borderId="0"/>
    <xf numFmtId="49" fontId="75" fillId="0" borderId="0" applyProtection="0">
      <alignment horizontal="left"/>
    </xf>
    <xf numFmtId="220" fontId="5" fillId="0" borderId="0"/>
    <xf numFmtId="220" fontId="5" fillId="0" borderId="0"/>
    <xf numFmtId="220" fontId="142" fillId="38" borderId="0" applyNumberFormat="0" applyBorder="0" applyAlignment="0" applyProtection="0">
      <alignment vertical="center"/>
    </xf>
    <xf numFmtId="220" fontId="145" fillId="0" borderId="0"/>
    <xf numFmtId="220" fontId="145" fillId="0" borderId="0"/>
    <xf numFmtId="220" fontId="145" fillId="0" borderId="0"/>
    <xf numFmtId="220" fontId="0" fillId="0" borderId="0"/>
    <xf numFmtId="49" fontId="75" fillId="0" borderId="0" applyProtection="0">
      <alignment horizontal="left"/>
    </xf>
    <xf numFmtId="220" fontId="5" fillId="0" borderId="0"/>
    <xf numFmtId="220" fontId="145" fillId="0" borderId="0"/>
    <xf numFmtId="220" fontId="5" fillId="0" borderId="0"/>
    <xf numFmtId="9" fontId="0" fillId="0" borderId="0" applyFont="0" applyFill="0" applyBorder="0" applyAlignment="0" applyProtection="0">
      <alignment vertical="center"/>
    </xf>
    <xf numFmtId="220" fontId="139" fillId="45" borderId="0" applyNumberFormat="0" applyBorder="0" applyAlignment="0" applyProtection="0">
      <alignment vertical="center"/>
    </xf>
    <xf numFmtId="49" fontId="75" fillId="0" borderId="0" applyProtection="0">
      <alignment horizontal="left"/>
    </xf>
    <xf numFmtId="220" fontId="145" fillId="0" borderId="0"/>
    <xf numFmtId="220" fontId="181" fillId="0" borderId="0"/>
    <xf numFmtId="220" fontId="145" fillId="0" borderId="0">
      <protection locked="0"/>
    </xf>
    <xf numFmtId="220" fontId="5" fillId="0" borderId="0"/>
    <xf numFmtId="49" fontId="75" fillId="0" borderId="0" applyProtection="0">
      <alignment horizontal="left"/>
    </xf>
    <xf numFmtId="220" fontId="145" fillId="0" borderId="0"/>
    <xf numFmtId="49" fontId="75" fillId="0" borderId="0" applyProtection="0">
      <alignment horizontal="left"/>
    </xf>
    <xf numFmtId="220" fontId="145" fillId="0" borderId="0">
      <protection locked="0"/>
    </xf>
    <xf numFmtId="220" fontId="147" fillId="38" borderId="0" applyNumberFormat="0" applyBorder="0" applyAlignment="0" applyProtection="0">
      <alignment vertical="center"/>
    </xf>
    <xf numFmtId="49" fontId="75" fillId="0" borderId="0"/>
    <xf numFmtId="49" fontId="75" fillId="0" borderId="0"/>
    <xf numFmtId="220" fontId="5" fillId="0" borderId="0"/>
    <xf numFmtId="220" fontId="142" fillId="38" borderId="0" applyNumberFormat="0" applyBorder="0" applyAlignment="0" applyProtection="0">
      <alignment vertical="center"/>
    </xf>
    <xf numFmtId="220" fontId="0" fillId="0" borderId="0"/>
    <xf numFmtId="220" fontId="145" fillId="0" borderId="0"/>
    <xf numFmtId="220" fontId="147" fillId="42" borderId="0" applyNumberFormat="0" applyBorder="0" applyAlignment="0" applyProtection="0">
      <alignment vertical="center"/>
    </xf>
    <xf numFmtId="49" fontId="75" fillId="0" borderId="0"/>
    <xf numFmtId="220" fontId="158" fillId="0"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49" fontId="75" fillId="0" borderId="0"/>
    <xf numFmtId="49" fontId="75" fillId="0" borderId="0"/>
    <xf numFmtId="220" fontId="5" fillId="0" borderId="0"/>
    <xf numFmtId="220" fontId="157" fillId="47" borderId="0" applyNumberFormat="0" applyBorder="0" applyAlignment="0" applyProtection="0">
      <alignment vertical="center"/>
    </xf>
    <xf numFmtId="220" fontId="181" fillId="0" borderId="0">
      <protection locked="0"/>
    </xf>
    <xf numFmtId="49" fontId="75" fillId="0" borderId="0"/>
    <xf numFmtId="220" fontId="5" fillId="0" borderId="0"/>
    <xf numFmtId="220" fontId="165" fillId="0" borderId="0"/>
    <xf numFmtId="49" fontId="75" fillId="0" borderId="0"/>
    <xf numFmtId="220" fontId="5" fillId="0" borderId="0"/>
    <xf numFmtId="220" fontId="161" fillId="53" borderId="0" applyNumberFormat="0" applyBorder="0" applyAlignment="0" applyProtection="0">
      <alignment vertical="center"/>
    </xf>
    <xf numFmtId="49" fontId="75" fillId="0" borderId="0" applyProtection="0">
      <alignment horizontal="left"/>
    </xf>
    <xf numFmtId="225" fontId="145" fillId="0" borderId="0"/>
    <xf numFmtId="49" fontId="75" fillId="0" borderId="0" applyProtection="0">
      <alignment horizontal="left"/>
    </xf>
    <xf numFmtId="220" fontId="5" fillId="0" borderId="0"/>
    <xf numFmtId="220" fontId="145" fillId="0" borderId="0"/>
    <xf numFmtId="220" fontId="147" fillId="96" borderId="0" applyNumberFormat="0" applyBorder="0" applyAlignment="0" applyProtection="0">
      <alignment vertical="center"/>
    </xf>
    <xf numFmtId="49" fontId="75" fillId="0" borderId="0" applyProtection="0">
      <alignment horizontal="left"/>
    </xf>
    <xf numFmtId="9" fontId="0" fillId="0" borderId="0" applyFont="0" applyFill="0" applyBorder="0" applyAlignment="0" applyProtection="0">
      <alignment vertical="center"/>
    </xf>
    <xf numFmtId="220" fontId="152" fillId="93" borderId="0" applyNumberFormat="0" applyBorder="0" applyAlignment="0" applyProtection="0">
      <alignment vertical="center"/>
    </xf>
    <xf numFmtId="49" fontId="75" fillId="0" borderId="0" applyProtection="0">
      <alignment horizontal="left"/>
    </xf>
    <xf numFmtId="220" fontId="161" fillId="97" borderId="0" applyNumberFormat="0" applyBorder="0" applyAlignment="0" applyProtection="0">
      <alignment vertical="center"/>
    </xf>
    <xf numFmtId="220" fontId="90" fillId="0" borderId="0"/>
    <xf numFmtId="220" fontId="150" fillId="35" borderId="0" applyNumberFormat="0" applyBorder="0" applyAlignment="0" applyProtection="0">
      <alignment vertical="center"/>
    </xf>
    <xf numFmtId="220" fontId="5" fillId="0" borderId="0"/>
    <xf numFmtId="49" fontId="75" fillId="0" borderId="0" applyProtection="0">
      <alignment horizontal="left"/>
    </xf>
    <xf numFmtId="220" fontId="152" fillId="44" borderId="0" applyNumberFormat="0" applyBorder="0" applyAlignment="0" applyProtection="0">
      <alignment vertical="center"/>
    </xf>
    <xf numFmtId="220" fontId="145" fillId="0" borderId="0">
      <protection locked="0"/>
    </xf>
    <xf numFmtId="220" fontId="5" fillId="0" borderId="0"/>
    <xf numFmtId="220" fontId="5" fillId="0" borderId="0"/>
    <xf numFmtId="220" fontId="5" fillId="0" borderId="0"/>
    <xf numFmtId="220" fontId="5" fillId="0" borderId="0"/>
    <xf numFmtId="49" fontId="75" fillId="0" borderId="0" applyProtection="0">
      <alignment horizontal="left"/>
    </xf>
    <xf numFmtId="49" fontId="75" fillId="0" borderId="0" applyProtection="0">
      <alignment horizontal="left"/>
    </xf>
    <xf numFmtId="220" fontId="0" fillId="0" borderId="0"/>
    <xf numFmtId="49" fontId="75" fillId="0" borderId="0" applyProtection="0">
      <alignment horizontal="left"/>
    </xf>
    <xf numFmtId="220" fontId="139" fillId="0" borderId="0">
      <alignment vertical="center"/>
    </xf>
    <xf numFmtId="220" fontId="139" fillId="0" borderId="0">
      <alignment vertical="center"/>
    </xf>
    <xf numFmtId="49" fontId="75" fillId="0" borderId="0" applyProtection="0">
      <alignment horizontal="left"/>
    </xf>
    <xf numFmtId="49" fontId="75" fillId="0" borderId="0" applyProtection="0">
      <alignment horizontal="left"/>
    </xf>
    <xf numFmtId="220" fontId="5" fillId="0" borderId="0"/>
    <xf numFmtId="220" fontId="161" fillId="53" borderId="0" applyNumberFormat="0" applyBorder="0" applyAlignment="0" applyProtection="0">
      <alignment vertical="center"/>
    </xf>
    <xf numFmtId="49" fontId="75" fillId="0" borderId="0" applyProtection="0">
      <alignment horizontal="left"/>
    </xf>
    <xf numFmtId="220" fontId="147" fillId="38" borderId="0" applyNumberFormat="0" applyBorder="0" applyAlignment="0" applyProtection="0">
      <alignment vertical="center"/>
    </xf>
    <xf numFmtId="220" fontId="145" fillId="0" borderId="0"/>
    <xf numFmtId="49" fontId="75" fillId="0" borderId="0" applyProtection="0">
      <alignment horizontal="left"/>
    </xf>
    <xf numFmtId="220" fontId="5" fillId="0" borderId="0"/>
    <xf numFmtId="180" fontId="0" fillId="0" borderId="0" applyFont="0" applyFill="0" applyBorder="0" applyAlignment="0" applyProtection="0"/>
    <xf numFmtId="180" fontId="0" fillId="0" borderId="0" applyFont="0" applyFill="0" applyBorder="0" applyAlignment="0" applyProtection="0"/>
    <xf numFmtId="220" fontId="142" fillId="38" borderId="0" applyNumberFormat="0" applyBorder="0" applyAlignment="0" applyProtection="0">
      <alignment vertical="center"/>
    </xf>
    <xf numFmtId="49" fontId="75" fillId="0" borderId="0" applyProtection="0">
      <alignment horizontal="left"/>
    </xf>
    <xf numFmtId="220" fontId="5" fillId="0" borderId="0"/>
    <xf numFmtId="220" fontId="166" fillId="93"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49" fontId="75" fillId="0" borderId="0"/>
    <xf numFmtId="220" fontId="157" fillId="47" borderId="0" applyNumberFormat="0" applyBorder="0" applyAlignment="0" applyProtection="0">
      <alignment vertical="center"/>
    </xf>
    <xf numFmtId="180" fontId="0" fillId="0" borderId="0" applyFont="0" applyFill="0" applyBorder="0" applyAlignment="0" applyProtection="0"/>
    <xf numFmtId="220" fontId="5" fillId="0" borderId="0"/>
    <xf numFmtId="49" fontId="75" fillId="0" borderId="0" applyProtection="0">
      <alignment horizontal="left"/>
    </xf>
    <xf numFmtId="9" fontId="0" fillId="0" borderId="0" applyFont="0" applyFill="0" applyBorder="0" applyAlignment="0" applyProtection="0"/>
    <xf numFmtId="49" fontId="75" fillId="0" borderId="0" applyProtection="0">
      <alignment horizontal="left"/>
    </xf>
    <xf numFmtId="220" fontId="5" fillId="0" borderId="0"/>
    <xf numFmtId="220" fontId="5" fillId="0" borderId="0"/>
    <xf numFmtId="49" fontId="75" fillId="0" borderId="0"/>
    <xf numFmtId="49" fontId="75" fillId="0" borderId="0" applyProtection="0">
      <alignment horizontal="left"/>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49" fontId="75" fillId="0" borderId="0"/>
    <xf numFmtId="220" fontId="152" fillId="93" borderId="0" applyNumberFormat="0" applyBorder="0" applyAlignment="0" applyProtection="0">
      <alignment vertical="center"/>
    </xf>
    <xf numFmtId="220" fontId="166" fillId="98" borderId="0" applyNumberFormat="0" applyBorder="0" applyAlignment="0" applyProtection="0">
      <alignment vertical="center"/>
    </xf>
    <xf numFmtId="220" fontId="5" fillId="0" borderId="0"/>
    <xf numFmtId="220" fontId="145" fillId="0" borderId="0"/>
    <xf numFmtId="49" fontId="75" fillId="0" borderId="0"/>
    <xf numFmtId="220" fontId="148" fillId="45"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145" fillId="0" borderId="0"/>
    <xf numFmtId="220" fontId="5" fillId="0" borderId="0"/>
    <xf numFmtId="49" fontId="75" fillId="0" borderId="0" applyProtection="0">
      <alignment horizontal="left"/>
    </xf>
    <xf numFmtId="220" fontId="5" fillId="0" borderId="0"/>
    <xf numFmtId="49" fontId="75" fillId="0" borderId="0" applyProtection="0">
      <alignment horizontal="left"/>
    </xf>
    <xf numFmtId="220" fontId="0" fillId="0" borderId="0"/>
    <xf numFmtId="220" fontId="5" fillId="0" borderId="0"/>
    <xf numFmtId="220" fontId="150" fillId="35" borderId="0" applyNumberFormat="0" applyBorder="0" applyAlignment="0" applyProtection="0">
      <alignment vertical="center"/>
    </xf>
    <xf numFmtId="49" fontId="75" fillId="0" borderId="0" applyProtection="0">
      <alignment horizontal="left"/>
    </xf>
    <xf numFmtId="49" fontId="75" fillId="0" borderId="0"/>
    <xf numFmtId="220" fontId="147" fillId="38" borderId="0" applyNumberFormat="0" applyBorder="0" applyAlignment="0" applyProtection="0">
      <alignment vertical="center"/>
    </xf>
    <xf numFmtId="220" fontId="5" fillId="0" borderId="0"/>
    <xf numFmtId="220" fontId="0" fillId="0" borderId="0"/>
    <xf numFmtId="216" fontId="0" fillId="0" borderId="0" applyFont="0" applyFill="0" applyBorder="0" applyAlignment="0" applyProtection="0"/>
    <xf numFmtId="49" fontId="75" fillId="0" borderId="0"/>
    <xf numFmtId="220" fontId="5" fillId="0" borderId="0"/>
    <xf numFmtId="49" fontId="75" fillId="0" borderId="0" applyProtection="0">
      <alignment horizontal="left"/>
    </xf>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70" fillId="0" borderId="0" applyNumberFormat="0" applyFill="0" applyBorder="0" applyAlignment="0" applyProtection="0">
      <alignment vertical="top"/>
      <protection locked="0"/>
    </xf>
    <xf numFmtId="49" fontId="75" fillId="0" borderId="0" applyProtection="0">
      <alignment horizontal="left"/>
    </xf>
    <xf numFmtId="220" fontId="145" fillId="0" borderId="0">
      <protection locked="0"/>
    </xf>
    <xf numFmtId="49" fontId="75" fillId="0" borderId="0" applyProtection="0">
      <alignment horizontal="left"/>
    </xf>
    <xf numFmtId="220" fontId="5" fillId="0" borderId="0"/>
    <xf numFmtId="220" fontId="5"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49" fontId="75" fillId="0" borderId="0"/>
    <xf numFmtId="220" fontId="5" fillId="0" borderId="0"/>
    <xf numFmtId="220" fontId="5" fillId="0" borderId="0"/>
    <xf numFmtId="220" fontId="0" fillId="0" borderId="0"/>
    <xf numFmtId="220" fontId="145" fillId="0" borderId="0">
      <protection locked="0"/>
    </xf>
    <xf numFmtId="220" fontId="90" fillId="0" borderId="0"/>
    <xf numFmtId="49" fontId="75" fillId="0" borderId="0" applyProtection="0">
      <alignment horizontal="left"/>
    </xf>
    <xf numFmtId="220" fontId="5" fillId="0" borderId="0"/>
    <xf numFmtId="49" fontId="75" fillId="0" borderId="0"/>
    <xf numFmtId="49" fontId="75" fillId="0" borderId="0" applyProtection="0">
      <alignment horizontal="left"/>
    </xf>
    <xf numFmtId="220" fontId="5" fillId="0" borderId="0"/>
    <xf numFmtId="220" fontId="152" fillId="63" borderId="0" applyNumberFormat="0" applyBorder="0" applyAlignment="0" applyProtection="0">
      <alignment vertical="center"/>
    </xf>
    <xf numFmtId="220" fontId="5" fillId="0" borderId="0"/>
    <xf numFmtId="49" fontId="75" fillId="0" borderId="0"/>
    <xf numFmtId="220" fontId="5" fillId="0" borderId="0" applyFont="0" applyFill="0" applyBorder="0" applyAlignment="0" applyProtection="0"/>
    <xf numFmtId="49" fontId="75" fillId="0" borderId="0" applyProtection="0">
      <alignment horizontal="left"/>
    </xf>
    <xf numFmtId="220" fontId="150" fillId="35" borderId="0" applyNumberFormat="0" applyBorder="0" applyAlignment="0" applyProtection="0">
      <alignment vertical="center"/>
    </xf>
    <xf numFmtId="220" fontId="0" fillId="0" borderId="0"/>
    <xf numFmtId="220" fontId="0" fillId="0" borderId="0"/>
    <xf numFmtId="220" fontId="146" fillId="0" borderId="0">
      <alignment vertical="top"/>
    </xf>
    <xf numFmtId="220" fontId="145" fillId="0" borderId="0"/>
    <xf numFmtId="49" fontId="75" fillId="0" borderId="0"/>
    <xf numFmtId="220" fontId="145" fillId="0" borderId="0">
      <protection locked="0"/>
    </xf>
    <xf numFmtId="49" fontId="75" fillId="0" borderId="0" applyProtection="0">
      <alignment horizontal="left"/>
    </xf>
    <xf numFmtId="180" fontId="0" fillId="0" borderId="0" applyFont="0" applyFill="0" applyBorder="0" applyAlignment="0" applyProtection="0"/>
    <xf numFmtId="220" fontId="145" fillId="0" borderId="0">
      <protection locked="0"/>
    </xf>
    <xf numFmtId="220" fontId="5" fillId="0" borderId="0"/>
    <xf numFmtId="220" fontId="5" fillId="0" borderId="0"/>
    <xf numFmtId="49" fontId="75" fillId="0" borderId="0"/>
    <xf numFmtId="220" fontId="0" fillId="0" borderId="0"/>
    <xf numFmtId="49" fontId="75" fillId="0" borderId="0"/>
    <xf numFmtId="49" fontId="75" fillId="0" borderId="0" applyProtection="0">
      <alignment horizontal="left"/>
    </xf>
    <xf numFmtId="220" fontId="150" fillId="35" borderId="0" applyNumberFormat="0" applyBorder="0" applyAlignment="0" applyProtection="0">
      <alignment vertical="center"/>
    </xf>
    <xf numFmtId="49" fontId="75" fillId="0" borderId="0"/>
    <xf numFmtId="220" fontId="145" fillId="0" borderId="0">
      <protection locked="0"/>
    </xf>
    <xf numFmtId="220" fontId="157" fillId="47" borderId="0" applyNumberFormat="0" applyBorder="0" applyAlignment="0" applyProtection="0">
      <alignment vertical="center"/>
    </xf>
    <xf numFmtId="49" fontId="75" fillId="0" borderId="0"/>
    <xf numFmtId="220" fontId="5" fillId="0" borderId="0"/>
    <xf numFmtId="220" fontId="5" fillId="0" borderId="0"/>
    <xf numFmtId="220" fontId="5" fillId="0" borderId="0"/>
    <xf numFmtId="220" fontId="145" fillId="0" borderId="0">
      <protection locked="0"/>
    </xf>
    <xf numFmtId="220" fontId="0" fillId="0" borderId="0"/>
    <xf numFmtId="49" fontId="75" fillId="0" borderId="0" applyProtection="0">
      <alignment horizontal="left"/>
    </xf>
    <xf numFmtId="220" fontId="145" fillId="0" borderId="0"/>
    <xf numFmtId="220" fontId="5" fillId="0" borderId="0"/>
    <xf numFmtId="220" fontId="5" fillId="0" borderId="0"/>
    <xf numFmtId="220" fontId="150" fillId="35" borderId="0" applyNumberFormat="0" applyBorder="0" applyAlignment="0" applyProtection="0">
      <alignment vertical="center"/>
    </xf>
    <xf numFmtId="49" fontId="75" fillId="0" borderId="0"/>
    <xf numFmtId="220" fontId="163" fillId="47" borderId="0" applyNumberFormat="0" applyBorder="0" applyAlignment="0" applyProtection="0"/>
    <xf numFmtId="220" fontId="139" fillId="45" borderId="0" applyNumberFormat="0" applyBorder="0" applyAlignment="0" applyProtection="0">
      <alignment vertical="center"/>
    </xf>
    <xf numFmtId="220" fontId="145" fillId="0" borderId="0"/>
    <xf numFmtId="220" fontId="150" fillId="35" borderId="0" applyNumberFormat="0" applyBorder="0" applyAlignment="0" applyProtection="0">
      <alignment vertical="center"/>
    </xf>
    <xf numFmtId="220" fontId="5" fillId="0" borderId="0"/>
    <xf numFmtId="49" fontId="75" fillId="0" borderId="0"/>
    <xf numFmtId="209" fontId="5" fillId="0" borderId="0"/>
    <xf numFmtId="220" fontId="152" fillId="4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220" fontId="5" fillId="0" borderId="0"/>
    <xf numFmtId="49" fontId="75" fillId="0" borderId="0"/>
    <xf numFmtId="49" fontId="75" fillId="0" borderId="0"/>
    <xf numFmtId="220" fontId="151" fillId="0" borderId="0"/>
    <xf numFmtId="220" fontId="145" fillId="0" borderId="0">
      <protection locked="0"/>
    </xf>
    <xf numFmtId="220" fontId="145" fillId="0" borderId="0"/>
    <xf numFmtId="220" fontId="151" fillId="0" borderId="0"/>
    <xf numFmtId="220" fontId="212" fillId="0" borderId="0" applyNumberFormat="0" applyFill="0" applyBorder="0" applyAlignment="0" applyProtection="0"/>
    <xf numFmtId="220" fontId="5" fillId="0" borderId="0"/>
    <xf numFmtId="220" fontId="5" fillId="0" borderId="0"/>
    <xf numFmtId="49" fontId="75" fillId="0" borderId="0" applyProtection="0">
      <alignment horizontal="left"/>
    </xf>
    <xf numFmtId="49" fontId="75" fillId="0" borderId="0" applyProtection="0">
      <alignment horizontal="left"/>
    </xf>
    <xf numFmtId="220" fontId="0" fillId="0" borderId="0"/>
    <xf numFmtId="220" fontId="5" fillId="0" borderId="0"/>
    <xf numFmtId="49" fontId="75" fillId="0" borderId="0"/>
    <xf numFmtId="220" fontId="0" fillId="0" borderId="0"/>
    <xf numFmtId="220" fontId="0" fillId="0" borderId="0"/>
    <xf numFmtId="49" fontId="75" fillId="0" borderId="0"/>
    <xf numFmtId="220" fontId="163" fillId="74" borderId="0" applyNumberFormat="0" applyBorder="0" applyAlignment="0" applyProtection="0"/>
    <xf numFmtId="220" fontId="5" fillId="0" borderId="0"/>
    <xf numFmtId="220" fontId="157" fillId="47" borderId="0" applyNumberFormat="0" applyBorder="0" applyAlignment="0" applyProtection="0">
      <alignment vertical="center"/>
    </xf>
    <xf numFmtId="49" fontId="7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49" fontId="75" fillId="0" borderId="0" applyProtection="0">
      <alignment horizontal="left"/>
    </xf>
    <xf numFmtId="180" fontId="0" fillId="0" borderId="0" applyFont="0" applyFill="0" applyBorder="0" applyAlignment="0" applyProtection="0"/>
    <xf numFmtId="220" fontId="142" fillId="38" borderId="0" applyNumberFormat="0" applyBorder="0" applyAlignment="0" applyProtection="0">
      <alignment vertical="center"/>
    </xf>
    <xf numFmtId="201" fontId="75" fillId="0" borderId="0" applyFill="0" applyBorder="0" applyProtection="0">
      <alignment horizontal="right"/>
    </xf>
    <xf numFmtId="220" fontId="5" fillId="0" borderId="0"/>
    <xf numFmtId="49" fontId="75" fillId="0" borderId="0"/>
    <xf numFmtId="49" fontId="75" fillId="0" borderId="0" applyProtection="0">
      <alignment horizontal="left"/>
    </xf>
    <xf numFmtId="220" fontId="145" fillId="0" borderId="0">
      <protection locked="0"/>
    </xf>
    <xf numFmtId="220" fontId="5" fillId="0" borderId="0"/>
    <xf numFmtId="220" fontId="145" fillId="0" borderId="0"/>
    <xf numFmtId="220" fontId="0" fillId="0" borderId="0"/>
    <xf numFmtId="220" fontId="140" fillId="36" borderId="0" applyNumberFormat="0" applyBorder="0" applyAlignment="0" applyProtection="0">
      <alignment vertical="center"/>
    </xf>
    <xf numFmtId="220" fontId="5" fillId="0" borderId="0"/>
    <xf numFmtId="49" fontId="75" fillId="0" borderId="0" applyProtection="0">
      <alignment horizontal="left"/>
    </xf>
    <xf numFmtId="220" fontId="147" fillId="42"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39" fillId="40" borderId="0" applyNumberFormat="0" applyBorder="0" applyAlignment="0" applyProtection="0">
      <alignment vertical="center"/>
    </xf>
    <xf numFmtId="220" fontId="5" fillId="0" borderId="0"/>
    <xf numFmtId="220" fontId="5" fillId="0" borderId="0"/>
    <xf numFmtId="220" fontId="145" fillId="0" borderId="0"/>
    <xf numFmtId="49" fontId="75" fillId="0" borderId="0" applyProtection="0">
      <alignment horizontal="left"/>
    </xf>
    <xf numFmtId="49" fontId="75" fillId="0" borderId="0" applyProtection="0">
      <alignment horizontal="left"/>
    </xf>
    <xf numFmtId="220" fontId="5" fillId="0" borderId="0"/>
    <xf numFmtId="220" fontId="5" fillId="0" borderId="0"/>
    <xf numFmtId="220" fontId="146" fillId="0" borderId="0">
      <alignment vertical="top"/>
      <protection locked="0"/>
    </xf>
    <xf numFmtId="220" fontId="205" fillId="0" borderId="125" applyNumberFormat="0" applyFill="0" applyAlignment="0" applyProtection="0">
      <alignment vertical="center"/>
    </xf>
    <xf numFmtId="49" fontId="75" fillId="0" borderId="0" applyProtection="0">
      <alignment horizontal="left"/>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49" fontId="75" fillId="0" borderId="0" applyProtection="0">
      <alignment horizontal="left"/>
    </xf>
    <xf numFmtId="220" fontId="145" fillId="0" borderId="0">
      <protection locked="0"/>
    </xf>
    <xf numFmtId="220" fontId="139" fillId="100" borderId="0" applyNumberFormat="0" applyBorder="0" applyAlignment="0" applyProtection="0">
      <alignment vertical="center"/>
    </xf>
    <xf numFmtId="220" fontId="90" fillId="0" borderId="0"/>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145" fillId="0" borderId="0"/>
    <xf numFmtId="220" fontId="5" fillId="0" borderId="0"/>
    <xf numFmtId="220" fontId="146" fillId="0" borderId="0">
      <alignment vertical="top"/>
    </xf>
    <xf numFmtId="220" fontId="151" fillId="0" borderId="0"/>
    <xf numFmtId="220" fontId="5" fillId="0" borderId="0"/>
    <xf numFmtId="49" fontId="75" fillId="0" borderId="0" applyProtection="0">
      <alignment horizontal="left"/>
    </xf>
    <xf numFmtId="49" fontId="75" fillId="0" borderId="0"/>
    <xf numFmtId="220" fontId="5" fillId="0" borderId="0"/>
    <xf numFmtId="220" fontId="145" fillId="0" borderId="0"/>
    <xf numFmtId="49" fontId="75" fillId="0" borderId="0" applyProtection="0">
      <alignment horizontal="left"/>
    </xf>
    <xf numFmtId="220" fontId="157" fillId="47" borderId="0" applyNumberFormat="0" applyBorder="0" applyAlignment="0" applyProtection="0">
      <alignment vertical="center"/>
    </xf>
    <xf numFmtId="220" fontId="152" fillId="44" borderId="0" applyNumberFormat="0" applyBorder="0" applyAlignment="0" applyProtection="0">
      <alignment vertical="center"/>
    </xf>
    <xf numFmtId="49" fontId="75" fillId="0" borderId="0" applyProtection="0">
      <alignment horizontal="left"/>
    </xf>
    <xf numFmtId="220" fontId="139" fillId="0" borderId="0">
      <alignment vertical="center"/>
    </xf>
    <xf numFmtId="220" fontId="145" fillId="0" borderId="0">
      <protection locked="0"/>
    </xf>
    <xf numFmtId="49" fontId="75" fillId="0" borderId="0" applyProtection="0">
      <alignment horizontal="left"/>
    </xf>
    <xf numFmtId="220" fontId="150" fillId="35" borderId="0" applyNumberFormat="0" applyBorder="0" applyAlignment="0" applyProtection="0">
      <alignment vertical="center"/>
    </xf>
    <xf numFmtId="220" fontId="0" fillId="0" borderId="0"/>
    <xf numFmtId="220" fontId="181" fillId="0" borderId="0">
      <protection locked="0"/>
    </xf>
    <xf numFmtId="220" fontId="145" fillId="0" borderId="0">
      <protection locked="0"/>
    </xf>
    <xf numFmtId="49" fontId="75" fillId="0" borderId="0" applyProtection="0">
      <alignment horizontal="left"/>
    </xf>
    <xf numFmtId="220" fontId="152" fillId="45" borderId="0" applyNumberFormat="0" applyBorder="0" applyAlignment="0" applyProtection="0">
      <alignment vertical="center"/>
    </xf>
    <xf numFmtId="220" fontId="0" fillId="0" borderId="0"/>
    <xf numFmtId="220" fontId="70"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49" fontId="75" fillId="0" borderId="0" applyProtection="0">
      <alignment horizontal="left"/>
    </xf>
    <xf numFmtId="220" fontId="5" fillId="0" borderId="0"/>
    <xf numFmtId="49" fontId="75" fillId="0" borderId="0" applyProtection="0">
      <alignment horizontal="left"/>
    </xf>
    <xf numFmtId="220" fontId="5" fillId="0" borderId="0"/>
    <xf numFmtId="49" fontId="75" fillId="0" borderId="0" applyProtection="0">
      <alignment horizontal="left"/>
    </xf>
    <xf numFmtId="220" fontId="151" fillId="0" borderId="0"/>
    <xf numFmtId="220" fontId="145" fillId="0" borderId="0">
      <protection locked="0"/>
    </xf>
    <xf numFmtId="49" fontId="75" fillId="0" borderId="0" applyProtection="0">
      <alignment horizontal="left"/>
    </xf>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49" fontId="75" fillId="0" borderId="0"/>
    <xf numFmtId="220" fontId="220" fillId="98" borderId="0" applyNumberFormat="0" applyBorder="0" applyAlignment="0" applyProtection="0"/>
    <xf numFmtId="220" fontId="139" fillId="0" borderId="0">
      <alignment vertical="center"/>
    </xf>
    <xf numFmtId="49" fontId="75" fillId="0" borderId="0" applyProtection="0">
      <alignment horizontal="left"/>
    </xf>
    <xf numFmtId="220" fontId="5" fillId="0" borderId="0"/>
    <xf numFmtId="49" fontId="75" fillId="0" borderId="0"/>
    <xf numFmtId="49" fontId="75" fillId="0" borderId="0"/>
    <xf numFmtId="49" fontId="75" fillId="0" borderId="0" applyProtection="0">
      <alignment horizontal="left"/>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198" fontId="0" fillId="0" borderId="0"/>
    <xf numFmtId="220" fontId="0" fillId="0" borderId="0"/>
    <xf numFmtId="220" fontId="139" fillId="85" borderId="0" applyNumberFormat="0" applyBorder="0" applyAlignment="0" applyProtection="0">
      <alignment vertical="center"/>
    </xf>
    <xf numFmtId="220" fontId="145" fillId="0" borderId="0">
      <protection locked="0"/>
    </xf>
    <xf numFmtId="49" fontId="75" fillId="0" borderId="0"/>
    <xf numFmtId="220" fontId="150" fillId="35" borderId="0" applyNumberFormat="0" applyBorder="0" applyAlignment="0" applyProtection="0">
      <alignment vertical="center"/>
    </xf>
    <xf numFmtId="220" fontId="152" fillId="93" borderId="0" applyNumberFormat="0" applyBorder="0" applyAlignment="0" applyProtection="0">
      <alignment vertical="center"/>
    </xf>
    <xf numFmtId="220" fontId="5" fillId="0" borderId="0"/>
    <xf numFmtId="49" fontId="75" fillId="0" borderId="0" applyProtection="0">
      <alignment horizontal="left"/>
    </xf>
    <xf numFmtId="220" fontId="5" fillId="0" borderId="0"/>
    <xf numFmtId="220" fontId="150" fillId="35"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0" fillId="0" borderId="0"/>
    <xf numFmtId="49" fontId="75" fillId="0" borderId="0" applyProtection="0">
      <alignment horizontal="left"/>
    </xf>
    <xf numFmtId="220" fontId="145" fillId="0" borderId="0">
      <protection locked="0"/>
    </xf>
    <xf numFmtId="220" fontId="0" fillId="0" borderId="0"/>
    <xf numFmtId="49" fontId="75" fillId="0" borderId="0" applyProtection="0">
      <alignment horizontal="left"/>
    </xf>
    <xf numFmtId="220" fontId="142" fillId="38" borderId="0" applyNumberFormat="0" applyBorder="0" applyAlignment="0" applyProtection="0">
      <alignment vertical="center"/>
    </xf>
    <xf numFmtId="49" fontId="75" fillId="0" borderId="0" applyProtection="0">
      <alignment horizontal="left"/>
    </xf>
    <xf numFmtId="220" fontId="161" fillId="97" borderId="0" applyNumberFormat="0" applyBorder="0" applyAlignment="0" applyProtection="0">
      <alignment vertical="center"/>
    </xf>
    <xf numFmtId="220" fontId="5" fillId="0" borderId="0"/>
    <xf numFmtId="220" fontId="145" fillId="0" borderId="0">
      <protection locked="0"/>
    </xf>
    <xf numFmtId="220" fontId="0" fillId="0" borderId="0"/>
    <xf numFmtId="220" fontId="0" fillId="0" borderId="0"/>
    <xf numFmtId="220" fontId="145" fillId="0" borderId="0" applyNumberFormat="0" applyFill="0" applyBorder="0" applyAlignment="0" applyProtection="0"/>
    <xf numFmtId="49" fontId="75" fillId="0" borderId="0" applyProtection="0">
      <alignment horizontal="left"/>
    </xf>
    <xf numFmtId="49" fontId="75" fillId="0" borderId="0" applyProtection="0">
      <alignment horizontal="left"/>
    </xf>
    <xf numFmtId="220" fontId="145" fillId="0" borderId="0">
      <protection locked="0"/>
    </xf>
    <xf numFmtId="49" fontId="75" fillId="0" borderId="0" applyProtection="0">
      <alignment horizontal="left"/>
    </xf>
    <xf numFmtId="220" fontId="5" fillId="0" borderId="0"/>
    <xf numFmtId="220" fontId="139" fillId="101" borderId="0" applyNumberFormat="0" applyBorder="0" applyAlignment="0" applyProtection="0">
      <alignment vertical="center"/>
    </xf>
    <xf numFmtId="220" fontId="158" fillId="0" borderId="0" applyNumberFormat="0" applyBorder="0" applyAlignment="0">
      <alignment vertical="center"/>
      <protection locked="0"/>
    </xf>
    <xf numFmtId="220" fontId="0" fillId="0" borderId="0"/>
    <xf numFmtId="220" fontId="150" fillId="35" borderId="0" applyNumberFormat="0" applyBorder="0" applyAlignment="0" applyProtection="0">
      <alignment vertical="center"/>
    </xf>
    <xf numFmtId="43" fontId="0" fillId="0" borderId="0" applyFont="0" applyFill="0" applyBorder="0" applyAlignment="0" applyProtection="0"/>
    <xf numFmtId="220" fontId="151" fillId="0" borderId="0"/>
    <xf numFmtId="220" fontId="5" fillId="0" borderId="0"/>
    <xf numFmtId="49" fontId="75" fillId="0" borderId="0" applyProtection="0">
      <alignment horizontal="left"/>
    </xf>
    <xf numFmtId="220" fontId="5" fillId="0" borderId="0"/>
    <xf numFmtId="220" fontId="142" fillId="38" borderId="0" applyNumberFormat="0" applyBorder="0" applyAlignment="0" applyProtection="0">
      <alignment vertical="center"/>
    </xf>
    <xf numFmtId="220" fontId="152" fillId="45" borderId="0" applyNumberFormat="0" applyBorder="0" applyAlignment="0" applyProtection="0">
      <alignment vertical="center"/>
    </xf>
    <xf numFmtId="220" fontId="90" fillId="0" borderId="0"/>
    <xf numFmtId="49" fontId="75" fillId="0" borderId="0"/>
    <xf numFmtId="220" fontId="146" fillId="0" borderId="0">
      <alignment vertical="top"/>
    </xf>
    <xf numFmtId="49" fontId="75" fillId="0" borderId="0"/>
    <xf numFmtId="220" fontId="155" fillId="0" borderId="110" applyNumberFormat="0" applyFill="0" applyAlignment="0" applyProtection="0">
      <alignment vertical="center"/>
    </xf>
    <xf numFmtId="49" fontId="75" fillId="0" borderId="0"/>
    <xf numFmtId="220" fontId="5" fillId="0" borderId="0"/>
    <xf numFmtId="220" fontId="90" fillId="0" borderId="0"/>
    <xf numFmtId="220" fontId="146" fillId="0" borderId="0">
      <alignment vertical="top"/>
    </xf>
    <xf numFmtId="220" fontId="145" fillId="0" borderId="0"/>
    <xf numFmtId="49" fontId="75" fillId="0" borderId="0"/>
    <xf numFmtId="220" fontId="150" fillId="35" borderId="0" applyNumberFormat="0" applyBorder="0" applyAlignment="0" applyProtection="0">
      <alignment vertical="center"/>
    </xf>
    <xf numFmtId="220" fontId="5" fillId="0" borderId="0"/>
    <xf numFmtId="49" fontId="75" fillId="0" borderId="0" applyProtection="0">
      <alignment horizontal="left"/>
    </xf>
    <xf numFmtId="49" fontId="75" fillId="0" borderId="0" applyProtection="0">
      <alignment horizontal="left"/>
    </xf>
    <xf numFmtId="220" fontId="5" fillId="0" borderId="0"/>
    <xf numFmtId="220" fontId="145" fillId="0" borderId="0">
      <protection locked="0"/>
    </xf>
    <xf numFmtId="220" fontId="146" fillId="0" borderId="0">
      <alignment vertical="top"/>
    </xf>
    <xf numFmtId="49" fontId="75" fillId="0" borderId="0" applyProtection="0">
      <alignment horizontal="left"/>
    </xf>
    <xf numFmtId="49" fontId="75" fillId="0" borderId="0" applyProtection="0">
      <alignment horizontal="left"/>
    </xf>
    <xf numFmtId="220" fontId="147" fillId="42" borderId="0" applyNumberFormat="0" applyBorder="0" applyAlignment="0" applyProtection="0">
      <alignment vertical="center"/>
    </xf>
    <xf numFmtId="220" fontId="0" fillId="0" borderId="0">
      <alignment vertical="center"/>
    </xf>
    <xf numFmtId="49" fontId="75" fillId="0" borderId="0" applyProtection="0">
      <alignment horizontal="left"/>
    </xf>
    <xf numFmtId="9" fontId="0" fillId="0" borderId="0" applyFont="0" applyFill="0" applyBorder="0" applyAlignment="0" applyProtection="0"/>
    <xf numFmtId="220" fontId="145" fillId="0" borderId="0" applyFill="0" applyBorder="0" applyProtection="0">
      <protection locked="0"/>
    </xf>
    <xf numFmtId="220" fontId="145" fillId="0" borderId="0"/>
    <xf numFmtId="220" fontId="162" fillId="102" borderId="0" applyNumberFormat="0" applyBorder="0" applyAlignment="0" applyProtection="0"/>
    <xf numFmtId="49" fontId="75" fillId="0" borderId="0" applyProtection="0">
      <alignment horizontal="left"/>
    </xf>
    <xf numFmtId="220" fontId="5" fillId="0" borderId="0"/>
    <xf numFmtId="220" fontId="153" fillId="0" borderId="109" applyNumberFormat="0" applyFill="0" applyAlignment="0" applyProtection="0">
      <alignment vertical="center"/>
    </xf>
    <xf numFmtId="49" fontId="75" fillId="0" borderId="0"/>
    <xf numFmtId="220" fontId="152" fillId="42" borderId="0" applyNumberFormat="0" applyBorder="0" applyAlignment="0" applyProtection="0">
      <alignment vertical="center"/>
    </xf>
    <xf numFmtId="220" fontId="5" fillId="0" borderId="0"/>
    <xf numFmtId="220" fontId="148" fillId="103" borderId="0" applyNumberFormat="0" applyBorder="0" applyAlignment="0" applyProtection="0">
      <alignment vertical="center"/>
    </xf>
    <xf numFmtId="49" fontId="75" fillId="0" borderId="0"/>
    <xf numFmtId="220" fontId="5" fillId="0" borderId="0"/>
    <xf numFmtId="49" fontId="75" fillId="0" borderId="0" applyProtection="0">
      <alignment horizontal="left"/>
    </xf>
    <xf numFmtId="220" fontId="5" fillId="0" borderId="0"/>
    <xf numFmtId="220" fontId="0" fillId="0" borderId="0"/>
    <xf numFmtId="49" fontId="75" fillId="0" borderId="0"/>
    <xf numFmtId="220" fontId="150" fillId="35" borderId="0" applyNumberFormat="0" applyBorder="0" applyAlignment="0" applyProtection="0">
      <alignment vertical="center"/>
    </xf>
    <xf numFmtId="49" fontId="75" fillId="0" borderId="0" applyProtection="0">
      <alignment horizontal="left"/>
    </xf>
    <xf numFmtId="220" fontId="145" fillId="0" borderId="0">
      <protection locked="0"/>
    </xf>
    <xf numFmtId="220" fontId="5" fillId="0" borderId="0"/>
    <xf numFmtId="220" fontId="145" fillId="0" borderId="0">
      <protection locked="0"/>
    </xf>
    <xf numFmtId="220" fontId="5" fillId="0" borderId="0"/>
    <xf numFmtId="220" fontId="149" fillId="0" borderId="0">
      <protection locked="0"/>
    </xf>
    <xf numFmtId="9" fontId="0" fillId="0" borderId="0" applyFont="0" applyFill="0" applyBorder="0" applyAlignment="0" applyProtection="0"/>
    <xf numFmtId="49" fontId="75" fillId="0" borderId="0"/>
    <xf numFmtId="220" fontId="150" fillId="35" borderId="0" applyNumberFormat="0" applyBorder="0" applyAlignment="0" applyProtection="0">
      <alignment vertical="center"/>
    </xf>
    <xf numFmtId="220" fontId="145" fillId="0" borderId="0"/>
    <xf numFmtId="49" fontId="75" fillId="0" borderId="0"/>
    <xf numFmtId="43" fontId="5" fillId="0" borderId="0" applyFont="0" applyFill="0" applyBorder="0" applyAlignment="0" applyProtection="0"/>
    <xf numFmtId="220" fontId="150" fillId="35" borderId="0" applyNumberFormat="0" applyBorder="0" applyAlignment="0" applyProtection="0">
      <alignment vertical="center"/>
    </xf>
    <xf numFmtId="220" fontId="145" fillId="0" borderId="0">
      <protection locked="0"/>
    </xf>
    <xf numFmtId="220" fontId="0" fillId="0" borderId="0"/>
    <xf numFmtId="49" fontId="75" fillId="0" borderId="0" applyProtection="0">
      <alignment horizontal="left"/>
    </xf>
    <xf numFmtId="49" fontId="75" fillId="0" borderId="0"/>
    <xf numFmtId="49" fontId="75" fillId="0" borderId="0" applyProtection="0">
      <alignment horizontal="left"/>
    </xf>
    <xf numFmtId="220" fontId="157" fillId="47" borderId="0" applyNumberFormat="0" applyBorder="0" applyAlignment="0" applyProtection="0">
      <alignment vertical="center"/>
    </xf>
    <xf numFmtId="220" fontId="5" fillId="0" borderId="0"/>
    <xf numFmtId="49" fontId="75" fillId="0" borderId="0"/>
    <xf numFmtId="220" fontId="5" fillId="0" borderId="0"/>
    <xf numFmtId="220" fontId="157" fillId="47" borderId="0" applyNumberFormat="0" applyBorder="0" applyAlignment="0" applyProtection="0">
      <alignment vertical="center"/>
    </xf>
    <xf numFmtId="220" fontId="145" fillId="0" borderId="0"/>
    <xf numFmtId="220" fontId="5" fillId="0" borderId="0"/>
    <xf numFmtId="49" fontId="75" fillId="0" borderId="0" applyProtection="0">
      <alignment horizontal="left"/>
    </xf>
    <xf numFmtId="220" fontId="5" fillId="0" borderId="0"/>
    <xf numFmtId="220" fontId="145" fillId="0" borderId="0">
      <protection locked="0"/>
    </xf>
    <xf numFmtId="220" fontId="5" fillId="0" borderId="0"/>
    <xf numFmtId="220" fontId="145" fillId="0" borderId="0">
      <protection locked="0"/>
    </xf>
    <xf numFmtId="220" fontId="150" fillId="35" borderId="0" applyNumberFormat="0" applyBorder="0" applyAlignment="0" applyProtection="0">
      <alignment vertical="center"/>
    </xf>
    <xf numFmtId="49" fontId="75" fillId="0" borderId="0" applyProtection="0">
      <alignment horizontal="left"/>
    </xf>
    <xf numFmtId="220" fontId="152" fillId="42" borderId="0" applyNumberFormat="0" applyBorder="0" applyAlignment="0" applyProtection="0">
      <alignment vertical="center"/>
    </xf>
    <xf numFmtId="49" fontId="75" fillId="0" borderId="0" applyProtection="0">
      <alignment horizontal="left"/>
    </xf>
    <xf numFmtId="220" fontId="5" fillId="0" borderId="0"/>
    <xf numFmtId="49" fontId="75" fillId="0" borderId="0" applyProtection="0">
      <alignment horizontal="left"/>
    </xf>
    <xf numFmtId="220" fontId="5" fillId="0" borderId="0"/>
    <xf numFmtId="220" fontId="162" fillId="56" borderId="0" applyNumberFormat="0" applyBorder="0" applyAlignment="0" applyProtection="0"/>
    <xf numFmtId="49" fontId="75" fillId="0" borderId="0" applyProtection="0">
      <alignment horizontal="left"/>
    </xf>
    <xf numFmtId="220" fontId="148" fillId="64" borderId="0" applyNumberFormat="0" applyBorder="0" applyAlignment="0" applyProtection="0">
      <alignment vertical="center"/>
    </xf>
    <xf numFmtId="220" fontId="139" fillId="60" borderId="0" applyNumberFormat="0" applyBorder="0" applyAlignment="0" applyProtection="0">
      <alignment vertical="center"/>
    </xf>
    <xf numFmtId="220" fontId="145" fillId="0" borderId="0">
      <protection locked="0"/>
    </xf>
    <xf numFmtId="49" fontId="75" fillId="0" borderId="0" applyProtection="0">
      <alignment horizontal="left"/>
    </xf>
    <xf numFmtId="198" fontId="0" fillId="0" borderId="0"/>
    <xf numFmtId="49" fontId="75" fillId="0" borderId="0"/>
    <xf numFmtId="220" fontId="151" fillId="0" borderId="0"/>
    <xf numFmtId="220" fontId="145" fillId="0" borderId="0"/>
    <xf numFmtId="220" fontId="146" fillId="0" borderId="0">
      <alignment vertical="top"/>
    </xf>
    <xf numFmtId="220" fontId="216" fillId="32" borderId="108" applyNumberFormat="0" applyProtection="0">
      <alignment horizontal="right" vertical="center"/>
    </xf>
    <xf numFmtId="49" fontId="75" fillId="0" borderId="0"/>
    <xf numFmtId="184" fontId="75" fillId="0" borderId="0" applyFill="0" applyBorder="0" applyProtection="0">
      <alignment horizontal="right"/>
    </xf>
    <xf numFmtId="220" fontId="5" fillId="0" borderId="0"/>
    <xf numFmtId="49" fontId="75" fillId="0" borderId="0" applyProtection="0">
      <alignment horizontal="left"/>
    </xf>
    <xf numFmtId="220" fontId="139" fillId="0" borderId="0">
      <alignment vertical="center"/>
    </xf>
    <xf numFmtId="220" fontId="139" fillId="45"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45" fillId="0" borderId="0">
      <protection locked="0"/>
    </xf>
    <xf numFmtId="220" fontId="5" fillId="0" borderId="0"/>
    <xf numFmtId="220" fontId="152" fillId="48" borderId="0" applyNumberFormat="0" applyBorder="0" applyAlignment="0" applyProtection="0">
      <alignment vertical="center"/>
    </xf>
    <xf numFmtId="220" fontId="5" fillId="0" borderId="0"/>
    <xf numFmtId="49" fontId="75" fillId="0" borderId="0" applyProtection="0">
      <alignment horizontal="left"/>
    </xf>
    <xf numFmtId="4" fontId="146" fillId="55" borderId="0" applyNumberFormat="0" applyProtection="0">
      <alignment horizontal="left" vertical="center" indent="1"/>
    </xf>
    <xf numFmtId="220" fontId="161" fillId="31" borderId="0" applyNumberFormat="0" applyBorder="0" applyAlignment="0" applyProtection="0">
      <alignment vertical="center"/>
    </xf>
    <xf numFmtId="220" fontId="0" fillId="0" borderId="0"/>
    <xf numFmtId="49" fontId="75" fillId="0" borderId="0" applyProtection="0">
      <alignment horizontal="left"/>
    </xf>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5" fillId="0" borderId="0"/>
    <xf numFmtId="49" fontId="75" fillId="0" borderId="0" applyProtection="0">
      <alignment horizontal="left"/>
    </xf>
    <xf numFmtId="220" fontId="190" fillId="35" borderId="0" applyNumberFormat="0" applyBorder="0" applyAlignment="0" applyProtection="0">
      <alignment vertical="center"/>
    </xf>
    <xf numFmtId="220" fontId="145" fillId="0" borderId="0"/>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09" fontId="219" fillId="0" borderId="0" applyFont="0" applyFill="0" applyBorder="0" applyAlignment="0" applyProtection="0"/>
    <xf numFmtId="220" fontId="145" fillId="0" borderId="0">
      <protection locked="0"/>
    </xf>
    <xf numFmtId="49" fontId="75" fillId="0" borderId="0"/>
    <xf numFmtId="220" fontId="0" fillId="0" borderId="0"/>
    <xf numFmtId="227" fontId="145" fillId="0" borderId="0">
      <alignment vertical="center"/>
    </xf>
    <xf numFmtId="220" fontId="5" fillId="0" borderId="0" applyFont="0" applyFill="0" applyBorder="0" applyAlignment="0" applyProtection="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145" fillId="0" borderId="0"/>
    <xf numFmtId="220" fontId="150" fillId="35" borderId="0" applyNumberFormat="0" applyBorder="0" applyAlignment="0" applyProtection="0">
      <alignment vertical="center"/>
    </xf>
    <xf numFmtId="220" fontId="145" fillId="0" borderId="0">
      <protection locked="0"/>
    </xf>
    <xf numFmtId="49" fontId="75" fillId="0" borderId="0"/>
    <xf numFmtId="220" fontId="145" fillId="0" borderId="0">
      <protection locked="0"/>
    </xf>
    <xf numFmtId="220" fontId="5" fillId="0" borderId="0"/>
    <xf numFmtId="49" fontId="75" fillId="0" borderId="0" applyProtection="0">
      <alignment horizontal="left"/>
    </xf>
    <xf numFmtId="220" fontId="5" fillId="0" borderId="0"/>
    <xf numFmtId="220" fontId="147" fillId="42" borderId="0" applyNumberFormat="0" applyBorder="0" applyAlignment="0" applyProtection="0">
      <alignment vertical="center"/>
    </xf>
    <xf numFmtId="49" fontId="75" fillId="0" borderId="0" applyProtection="0">
      <alignment horizontal="left"/>
    </xf>
    <xf numFmtId="49" fontId="75" fillId="0" borderId="0"/>
    <xf numFmtId="220" fontId="0" fillId="0" borderId="0"/>
    <xf numFmtId="220" fontId="139" fillId="45" borderId="0" applyNumberFormat="0" applyBorder="0" applyAlignment="0" applyProtection="0">
      <alignment vertical="center"/>
    </xf>
    <xf numFmtId="49" fontId="75" fillId="0" borderId="0" applyProtection="0">
      <alignment horizontal="left"/>
    </xf>
    <xf numFmtId="220" fontId="0" fillId="0" borderId="0"/>
    <xf numFmtId="49" fontId="75" fillId="0" borderId="0" applyProtection="0">
      <alignment horizontal="left"/>
    </xf>
    <xf numFmtId="220" fontId="139" fillId="60" borderId="0" applyNumberFormat="0" applyBorder="0" applyAlignment="0" applyProtection="0">
      <alignment vertical="center"/>
    </xf>
    <xf numFmtId="49" fontId="75" fillId="0" borderId="0" applyProtection="0">
      <alignment horizontal="left"/>
    </xf>
    <xf numFmtId="220" fontId="5" fillId="0" borderId="0"/>
    <xf numFmtId="220" fontId="5" fillId="0" borderId="0"/>
    <xf numFmtId="49" fontId="75" fillId="0" borderId="0"/>
    <xf numFmtId="49" fontId="75" fillId="0" borderId="0" applyProtection="0">
      <alignment horizontal="left"/>
    </xf>
    <xf numFmtId="220" fontId="5" fillId="0" borderId="0"/>
    <xf numFmtId="49" fontId="75" fillId="0" borderId="0" applyProtection="0">
      <alignment horizontal="left"/>
    </xf>
    <xf numFmtId="220" fontId="166" fillId="97" borderId="0" applyNumberFormat="0" applyBorder="0" applyAlignment="0" applyProtection="0">
      <alignment vertical="center"/>
    </xf>
    <xf numFmtId="220" fontId="158" fillId="0" borderId="0" applyNumberFormat="0" applyBorder="0" applyAlignment="0" applyProtection="0">
      <alignment vertical="center"/>
    </xf>
    <xf numFmtId="220" fontId="145" fillId="0" borderId="0">
      <protection locked="0"/>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6" fillId="0" borderId="0">
      <alignment vertical="top"/>
    </xf>
    <xf numFmtId="211" fontId="0" fillId="0" borderId="0" applyFont="0" applyFill="0" applyBorder="0" applyAlignment="0" applyProtection="0"/>
    <xf numFmtId="220" fontId="142" fillId="38" borderId="0" applyNumberFormat="0" applyBorder="0" applyAlignment="0" applyProtection="0">
      <alignment vertical="center"/>
    </xf>
    <xf numFmtId="220" fontId="146" fillId="0" borderId="0">
      <alignment vertical="top"/>
    </xf>
    <xf numFmtId="220" fontId="146" fillId="54" borderId="108" applyNumberFormat="0" applyProtection="0">
      <alignment horizontal="right" vertical="center"/>
    </xf>
    <xf numFmtId="49" fontId="75" fillId="0" borderId="0" applyProtection="0">
      <alignment horizontal="left"/>
    </xf>
    <xf numFmtId="49" fontId="75" fillId="0" borderId="0" applyProtection="0">
      <alignment horizontal="left"/>
    </xf>
    <xf numFmtId="220" fontId="5" fillId="0" borderId="0"/>
    <xf numFmtId="49" fontId="75" fillId="0" borderId="0" applyProtection="0">
      <alignment horizontal="left"/>
    </xf>
    <xf numFmtId="4" fontId="188" fillId="31" borderId="108" applyNumberFormat="0" applyProtection="0">
      <alignment vertical="center"/>
    </xf>
    <xf numFmtId="220" fontId="145" fillId="0" borderId="0">
      <protection locked="0"/>
    </xf>
    <xf numFmtId="220" fontId="5" fillId="0" borderId="0"/>
    <xf numFmtId="49" fontId="75" fillId="0" borderId="0" applyProtection="0">
      <alignment horizontal="left"/>
    </xf>
    <xf numFmtId="49" fontId="75" fillId="0" borderId="0"/>
    <xf numFmtId="49" fontId="75" fillId="0" borderId="0" applyProtection="0">
      <alignment horizontal="left"/>
    </xf>
    <xf numFmtId="220" fontId="5" fillId="0" borderId="0"/>
    <xf numFmtId="220" fontId="227" fillId="0" borderId="0" applyNumberFormat="0" applyFill="0" applyBorder="0" applyAlignment="0" applyProtection="0"/>
    <xf numFmtId="49" fontId="75" fillId="0" borderId="0" applyProtection="0">
      <alignment horizontal="left"/>
    </xf>
    <xf numFmtId="220" fontId="145" fillId="0" borderId="0">
      <protection locked="0"/>
    </xf>
    <xf numFmtId="9" fontId="0" fillId="0" borderId="0" applyFont="0" applyFill="0" applyBorder="0" applyAlignment="0" applyProtection="0">
      <alignment vertical="center"/>
    </xf>
    <xf numFmtId="220" fontId="145" fillId="0" borderId="0">
      <protection locked="0"/>
    </xf>
    <xf numFmtId="220" fontId="221" fillId="0" borderId="0"/>
    <xf numFmtId="49" fontId="75" fillId="0" borderId="0" applyProtection="0">
      <alignment horizontal="left"/>
    </xf>
    <xf numFmtId="220" fontId="5" fillId="0" borderId="0"/>
    <xf numFmtId="49" fontId="75" fillId="0" borderId="0"/>
    <xf numFmtId="220" fontId="5" fillId="0" borderId="0"/>
    <xf numFmtId="49" fontId="75" fillId="0" borderId="0" applyProtection="0">
      <alignment horizontal="left"/>
    </xf>
    <xf numFmtId="220" fontId="145" fillId="0" borderId="0"/>
    <xf numFmtId="220" fontId="5" fillId="0" borderId="0"/>
    <xf numFmtId="220" fontId="152" fillId="93" borderId="0" applyNumberFormat="0" applyBorder="0" applyAlignment="0" applyProtection="0">
      <alignment vertical="center"/>
    </xf>
    <xf numFmtId="49" fontId="75" fillId="0" borderId="0"/>
    <xf numFmtId="220" fontId="0" fillId="0" borderId="0"/>
    <xf numFmtId="220" fontId="142" fillId="38" borderId="0" applyNumberFormat="0" applyBorder="0" applyAlignment="0" applyProtection="0">
      <alignment vertical="center"/>
    </xf>
    <xf numFmtId="220" fontId="5" fillId="0" borderId="0"/>
    <xf numFmtId="49" fontId="75" fillId="0" borderId="0"/>
    <xf numFmtId="180" fontId="0" fillId="0" borderId="0" applyFont="0" applyFill="0" applyBorder="0" applyAlignment="0" applyProtection="0"/>
    <xf numFmtId="49" fontId="75" fillId="0" borderId="0" applyProtection="0">
      <alignment horizontal="left"/>
    </xf>
    <xf numFmtId="211" fontId="0" fillId="0" borderId="0" applyFont="0" applyFill="0" applyBorder="0" applyAlignment="0" applyProtection="0"/>
    <xf numFmtId="220" fontId="151" fillId="0" borderId="0"/>
    <xf numFmtId="220" fontId="139" fillId="0" borderId="0">
      <alignment vertical="center"/>
    </xf>
    <xf numFmtId="220" fontId="70" fillId="0" borderId="0" applyNumberFormat="0" applyFill="0" applyBorder="0" applyAlignment="0" applyProtection="0">
      <alignment vertical="top"/>
      <protection locked="0"/>
    </xf>
    <xf numFmtId="220" fontId="145" fillId="0" borderId="0"/>
    <xf numFmtId="220" fontId="5" fillId="0" borderId="0"/>
    <xf numFmtId="220" fontId="147" fillId="38" borderId="0" applyNumberFormat="0" applyBorder="0" applyAlignment="0" applyProtection="0">
      <alignment vertical="center"/>
    </xf>
    <xf numFmtId="220" fontId="5" fillId="0" borderId="0"/>
    <xf numFmtId="49" fontId="7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145" fillId="0" borderId="0"/>
    <xf numFmtId="49" fontId="75" fillId="0" borderId="0"/>
    <xf numFmtId="49" fontId="75" fillId="0" borderId="0" applyProtection="0">
      <alignment horizontal="left"/>
    </xf>
    <xf numFmtId="220" fontId="147" fillId="38" borderId="0" applyNumberFormat="0" applyBorder="0" applyAlignment="0" applyProtection="0">
      <alignment vertical="center"/>
    </xf>
    <xf numFmtId="49" fontId="75" fillId="0" borderId="0" applyProtection="0">
      <alignment horizontal="left"/>
    </xf>
    <xf numFmtId="220" fontId="5" fillId="0" borderId="0"/>
    <xf numFmtId="220" fontId="5" fillId="0" borderId="0"/>
    <xf numFmtId="211" fontId="0" fillId="0" borderId="0" applyFont="0" applyFill="0" applyBorder="0" applyAlignment="0" applyProtection="0"/>
    <xf numFmtId="49" fontId="75" fillId="0" borderId="0" applyProtection="0">
      <alignment horizontal="left"/>
    </xf>
    <xf numFmtId="220" fontId="0" fillId="0" borderId="0"/>
    <xf numFmtId="220" fontId="147" fillId="38" borderId="0" applyNumberFormat="0" applyBorder="0" applyAlignment="0" applyProtection="0">
      <alignment vertical="center"/>
    </xf>
    <xf numFmtId="220" fontId="190" fillId="54" borderId="0" applyNumberFormat="0" applyBorder="0" applyAlignment="0" applyProtection="0">
      <alignment vertical="center"/>
    </xf>
    <xf numFmtId="220" fontId="5" fillId="0" borderId="0"/>
    <xf numFmtId="220" fontId="5" fillId="0" borderId="0"/>
    <xf numFmtId="220" fontId="0" fillId="0" borderId="0"/>
    <xf numFmtId="49" fontId="75" fillId="0" borderId="0" applyProtection="0">
      <alignment horizontal="left"/>
    </xf>
    <xf numFmtId="49" fontId="75" fillId="0" borderId="0" applyProtection="0">
      <alignment horizontal="left"/>
    </xf>
    <xf numFmtId="220" fontId="5" fillId="0" borderId="0"/>
    <xf numFmtId="212" fontId="0" fillId="0" borderId="0"/>
    <xf numFmtId="220" fontId="5" fillId="0" borderId="0"/>
    <xf numFmtId="4" fontId="146" fillId="55" borderId="108" applyNumberFormat="0" applyProtection="0">
      <alignment horizontal="right" vertical="center"/>
    </xf>
    <xf numFmtId="220" fontId="181" fillId="0" borderId="0">
      <protection locked="0"/>
    </xf>
    <xf numFmtId="220" fontId="158" fillId="0" borderId="0" applyNumberFormat="0" applyBorder="0" applyAlignment="0">
      <alignment vertical="center"/>
      <protection locked="0"/>
    </xf>
    <xf numFmtId="220" fontId="5" fillId="0" borderId="0"/>
    <xf numFmtId="10" fontId="0" fillId="0" borderId="0" applyFont="0" applyFill="0" applyBorder="0" applyAlignment="0" applyProtection="0"/>
    <xf numFmtId="49" fontId="75" fillId="0" borderId="0"/>
    <xf numFmtId="220" fontId="5" fillId="0" borderId="0"/>
    <xf numFmtId="49" fontId="75" fillId="0" borderId="0" applyProtection="0">
      <alignment horizontal="left"/>
    </xf>
    <xf numFmtId="220" fontId="152" fillId="60" borderId="0" applyNumberFormat="0" applyBorder="0" applyAlignment="0" applyProtection="0">
      <alignment vertical="center"/>
    </xf>
    <xf numFmtId="49" fontId="7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90" fillId="0" borderId="0"/>
    <xf numFmtId="220" fontId="145" fillId="0" borderId="0">
      <protection locked="0"/>
    </xf>
    <xf numFmtId="220" fontId="142" fillId="38"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198" fontId="0" fillId="0" borderId="0"/>
    <xf numFmtId="220" fontId="142" fillId="38" borderId="0" applyNumberFormat="0" applyBorder="0" applyAlignment="0" applyProtection="0">
      <alignment vertical="center"/>
    </xf>
    <xf numFmtId="220" fontId="145" fillId="0" borderId="0"/>
    <xf numFmtId="220" fontId="145" fillId="0" borderId="0">
      <protection locked="0"/>
    </xf>
    <xf numFmtId="220" fontId="145" fillId="0" borderId="0">
      <protection locked="0"/>
    </xf>
    <xf numFmtId="220" fontId="5" fillId="0" borderId="0"/>
    <xf numFmtId="220" fontId="0" fillId="0" borderId="0">
      <alignment vertical="center"/>
    </xf>
    <xf numFmtId="220" fontId="145" fillId="0" borderId="0"/>
    <xf numFmtId="220" fontId="5" fillId="0" borderId="0"/>
    <xf numFmtId="220" fontId="5" fillId="0" borderId="0"/>
    <xf numFmtId="198" fontId="0" fillId="0" borderId="0"/>
    <xf numFmtId="220" fontId="145" fillId="0" borderId="0"/>
    <xf numFmtId="220" fontId="5" fillId="0" borderId="0"/>
    <xf numFmtId="220" fontId="145" fillId="0" borderId="0">
      <protection locked="0"/>
    </xf>
    <xf numFmtId="220" fontId="5" fillId="0" borderId="0"/>
    <xf numFmtId="49" fontId="75" fillId="0" borderId="0"/>
    <xf numFmtId="220" fontId="0" fillId="0" borderId="0"/>
    <xf numFmtId="4" fontId="214" fillId="0" borderId="124"/>
    <xf numFmtId="220" fontId="145" fillId="0" borderId="0">
      <protection locked="0"/>
    </xf>
    <xf numFmtId="220" fontId="145" fillId="0" borderId="0"/>
    <xf numFmtId="220" fontId="161" fillId="53" borderId="0" applyNumberFormat="0" applyBorder="0" applyAlignment="0" applyProtection="0">
      <alignment vertical="center"/>
    </xf>
    <xf numFmtId="220" fontId="145" fillId="0" borderId="0"/>
    <xf numFmtId="220" fontId="145" fillId="0" borderId="0">
      <protection locked="0"/>
    </xf>
    <xf numFmtId="49" fontId="75" fillId="0" borderId="0" applyProtection="0">
      <alignment horizontal="left"/>
    </xf>
    <xf numFmtId="220" fontId="145" fillId="0" borderId="0"/>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145" fillId="0" borderId="0"/>
    <xf numFmtId="220" fontId="5" fillId="0" borderId="0"/>
    <xf numFmtId="220" fontId="142" fillId="38" borderId="0" applyNumberFormat="0" applyBorder="0" applyAlignment="0" applyProtection="0">
      <alignment vertical="center"/>
    </xf>
    <xf numFmtId="49" fontId="75" fillId="0" borderId="0" applyProtection="0">
      <alignment horizontal="left"/>
    </xf>
    <xf numFmtId="220" fontId="145" fillId="0" borderId="0">
      <protection locked="0"/>
    </xf>
    <xf numFmtId="220" fontId="145" fillId="0" borderId="0"/>
    <xf numFmtId="220" fontId="5" fillId="0" borderId="0"/>
    <xf numFmtId="220" fontId="145" fillId="0" borderId="0">
      <protection locked="0"/>
    </xf>
    <xf numFmtId="49" fontId="75" fillId="0" borderId="0"/>
    <xf numFmtId="220" fontId="157" fillId="47" borderId="0" applyNumberFormat="0" applyBorder="0" applyAlignment="0" applyProtection="0">
      <alignment vertical="center"/>
    </xf>
    <xf numFmtId="220" fontId="151" fillId="0" borderId="0"/>
    <xf numFmtId="49" fontId="75" fillId="0" borderId="0" applyProtection="0">
      <alignment horizontal="left"/>
    </xf>
    <xf numFmtId="191" fontId="198" fillId="0" borderId="0" applyFont="0" applyFill="0" applyBorder="0" applyAlignment="0" applyProtection="0">
      <alignment vertical="center"/>
    </xf>
    <xf numFmtId="49" fontId="75" fillId="0" borderId="0"/>
    <xf numFmtId="49" fontId="75" fillId="0" borderId="0" applyProtection="0">
      <alignment horizontal="left"/>
    </xf>
    <xf numFmtId="220" fontId="0" fillId="0" borderId="0"/>
    <xf numFmtId="220" fontId="236" fillId="0" borderId="0"/>
    <xf numFmtId="49" fontId="75" fillId="0" borderId="0" applyProtection="0">
      <alignment horizontal="left"/>
    </xf>
    <xf numFmtId="49" fontId="75" fillId="0" borderId="0"/>
    <xf numFmtId="220" fontId="5" fillId="0" borderId="0"/>
    <xf numFmtId="220" fontId="157" fillId="47" borderId="0" applyNumberFormat="0" applyBorder="0" applyAlignment="0" applyProtection="0">
      <alignment vertical="center"/>
    </xf>
    <xf numFmtId="220" fontId="162" fillId="56" borderId="0" applyNumberFormat="0" applyBorder="0" applyAlignment="0" applyProtection="0"/>
    <xf numFmtId="220" fontId="237" fillId="0" borderId="2" applyNumberFormat="0" applyFill="0" applyProtection="0">
      <alignment horizontal="center"/>
    </xf>
    <xf numFmtId="49" fontId="75" fillId="0" borderId="0" applyProtection="0">
      <alignment horizontal="left"/>
    </xf>
    <xf numFmtId="49" fontId="75" fillId="0" borderId="0"/>
    <xf numFmtId="49" fontId="75" fillId="0" borderId="0"/>
    <xf numFmtId="220" fontId="5" fillId="0" borderId="0"/>
    <xf numFmtId="49" fontId="75" fillId="0" borderId="0"/>
    <xf numFmtId="220" fontId="139" fillId="89" borderId="0" applyNumberFormat="0" applyBorder="0" applyAlignment="0" applyProtection="0">
      <alignment vertical="center"/>
    </xf>
    <xf numFmtId="220" fontId="152" fillId="29" borderId="0" applyNumberFormat="0" applyBorder="0" applyAlignment="0" applyProtection="0">
      <alignment vertical="center"/>
    </xf>
    <xf numFmtId="220" fontId="5" fillId="0" borderId="0"/>
    <xf numFmtId="39" fontId="213" fillId="0" borderId="0" applyFont="0" applyFill="0" applyBorder="0" applyAlignment="0" applyProtection="0"/>
    <xf numFmtId="220" fontId="152" fillId="29" borderId="0" applyNumberFormat="0" applyBorder="0" applyAlignment="0" applyProtection="0">
      <alignment vertical="center"/>
    </xf>
    <xf numFmtId="220" fontId="157" fillId="47" borderId="0" applyNumberFormat="0" applyBorder="0" applyAlignment="0" applyProtection="0">
      <alignment vertical="center"/>
    </xf>
    <xf numFmtId="220" fontId="161" fillId="31" borderId="0" applyNumberFormat="0" applyBorder="0" applyAlignment="0" applyProtection="0">
      <alignment vertical="center"/>
    </xf>
    <xf numFmtId="220" fontId="14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66" fillId="98" borderId="0" applyNumberFormat="0" applyBorder="0" applyAlignment="0" applyProtection="0">
      <alignment vertical="center"/>
    </xf>
    <xf numFmtId="220" fontId="139" fillId="108"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xf numFmtId="49" fontId="75" fillId="0" borderId="0" applyProtection="0">
      <alignment horizontal="left"/>
    </xf>
    <xf numFmtId="220" fontId="0" fillId="0" borderId="0"/>
    <xf numFmtId="220" fontId="0" fillId="0" borderId="0"/>
    <xf numFmtId="49" fontId="75" fillId="0" borderId="0" applyProtection="0">
      <alignment horizontal="left"/>
    </xf>
    <xf numFmtId="220" fontId="147" fillId="42" borderId="0" applyNumberFormat="0" applyBorder="0" applyAlignment="0" applyProtection="0">
      <alignment vertical="center"/>
    </xf>
    <xf numFmtId="220" fontId="0" fillId="0" borderId="0"/>
    <xf numFmtId="220" fontId="145" fillId="0" borderId="0"/>
    <xf numFmtId="49" fontId="75" fillId="0" borderId="0" applyProtection="0">
      <alignment horizontal="left"/>
    </xf>
    <xf numFmtId="220" fontId="145" fillId="0" borderId="0">
      <protection locked="0"/>
    </xf>
    <xf numFmtId="220" fontId="5" fillId="0" borderId="0"/>
    <xf numFmtId="220" fontId="145" fillId="0" borderId="0"/>
    <xf numFmtId="49" fontId="75" fillId="0" borderId="0" applyProtection="0">
      <alignment horizontal="left"/>
    </xf>
    <xf numFmtId="49" fontId="75" fillId="0" borderId="0"/>
    <xf numFmtId="220" fontId="5" fillId="0" borderId="0"/>
    <xf numFmtId="49" fontId="75" fillId="0" borderId="0" applyProtection="0">
      <alignment horizontal="left"/>
    </xf>
    <xf numFmtId="49" fontId="75" fillId="0" borderId="0" applyProtection="0">
      <alignment horizontal="left"/>
    </xf>
    <xf numFmtId="220" fontId="5" fillId="0" borderId="0"/>
    <xf numFmtId="220" fontId="0" fillId="0" borderId="0"/>
    <xf numFmtId="49" fontId="75" fillId="0" borderId="0" applyProtection="0">
      <alignment horizontal="left"/>
    </xf>
    <xf numFmtId="220" fontId="139" fillId="63" borderId="0" applyNumberFormat="0" applyBorder="0" applyAlignment="0" applyProtection="0">
      <alignment vertical="center"/>
    </xf>
    <xf numFmtId="220" fontId="146" fillId="0" borderId="0">
      <alignment vertical="top"/>
    </xf>
    <xf numFmtId="49" fontId="75" fillId="0" borderId="0"/>
    <xf numFmtId="220" fontId="151" fillId="0" borderId="0">
      <protection locked="0"/>
    </xf>
    <xf numFmtId="220" fontId="5" fillId="0" borderId="0"/>
    <xf numFmtId="220" fontId="145" fillId="0" borderId="0">
      <protection locked="0"/>
    </xf>
    <xf numFmtId="220" fontId="5" fillId="0" borderId="0"/>
    <xf numFmtId="220" fontId="14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49" fontId="75" fillId="0" borderId="0" applyProtection="0">
      <alignment horizontal="left"/>
    </xf>
    <xf numFmtId="220" fontId="139" fillId="0" borderId="0">
      <alignment vertical="center"/>
    </xf>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142" fillId="38" borderId="0" applyNumberFormat="0" applyBorder="0" applyAlignment="0" applyProtection="0">
      <alignment vertical="center"/>
    </xf>
    <xf numFmtId="220" fontId="5" fillId="0" borderId="0"/>
    <xf numFmtId="49" fontId="75" fillId="0" borderId="0" applyProtection="0">
      <alignment horizontal="left"/>
    </xf>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0" fillId="0" borderId="0"/>
    <xf numFmtId="49" fontId="75" fillId="0" borderId="0" applyProtection="0">
      <alignment horizontal="left"/>
    </xf>
    <xf numFmtId="49" fontId="75" fillId="0" borderId="0" applyProtection="0">
      <alignment horizontal="left"/>
    </xf>
    <xf numFmtId="220" fontId="157" fillId="47" borderId="0" applyNumberFormat="0" applyBorder="0" applyAlignment="0" applyProtection="0">
      <alignment vertical="center"/>
    </xf>
    <xf numFmtId="220" fontId="5" fillId="0" borderId="0"/>
    <xf numFmtId="220" fontId="151" fillId="0" borderId="0">
      <alignment vertical="center"/>
    </xf>
    <xf numFmtId="220" fontId="5" fillId="0" borderId="0" applyFont="0" applyFill="0" applyBorder="0" applyAlignment="0" applyProtection="0"/>
    <xf numFmtId="49" fontId="75" fillId="0" borderId="0" applyProtection="0">
      <alignment horizontal="left"/>
    </xf>
    <xf numFmtId="180" fontId="0" fillId="0" borderId="0" applyFont="0" applyFill="0" applyBorder="0" applyAlignment="0" applyProtection="0"/>
    <xf numFmtId="220" fontId="5" fillId="0" borderId="0"/>
    <xf numFmtId="220" fontId="5" fillId="0" borderId="0"/>
    <xf numFmtId="220" fontId="0" fillId="0" borderId="0"/>
    <xf numFmtId="220" fontId="239" fillId="0" borderId="0" applyNumberFormat="0" applyFill="0" applyBorder="0" applyAlignment="0" applyProtection="0">
      <alignment vertical="top"/>
      <protection locked="0"/>
    </xf>
    <xf numFmtId="220" fontId="0" fillId="0" borderId="0"/>
    <xf numFmtId="220" fontId="145" fillId="0" borderId="0">
      <protection locked="0"/>
    </xf>
    <xf numFmtId="49" fontId="75" fillId="0" borderId="0" applyProtection="0">
      <alignment horizontal="left"/>
    </xf>
    <xf numFmtId="49" fontId="75" fillId="0" borderId="0" applyProtection="0">
      <alignment horizontal="left"/>
    </xf>
    <xf numFmtId="220" fontId="152" fillId="29" borderId="0" applyNumberFormat="0" applyBorder="0" applyAlignment="0" applyProtection="0">
      <alignment vertical="center"/>
    </xf>
    <xf numFmtId="49" fontId="75" fillId="0" borderId="0" applyProtection="0">
      <alignment horizontal="left"/>
    </xf>
    <xf numFmtId="220" fontId="0" fillId="0" borderId="0"/>
    <xf numFmtId="220" fontId="139" fillId="63" borderId="0" applyNumberFormat="0" applyBorder="0" applyAlignment="0" applyProtection="0">
      <alignment vertical="center"/>
    </xf>
    <xf numFmtId="220" fontId="149" fillId="0" borderId="0">
      <protection locked="0"/>
    </xf>
    <xf numFmtId="43" fontId="5" fillId="0" borderId="0" applyFont="0" applyFill="0" applyBorder="0" applyAlignment="0" applyProtection="0"/>
    <xf numFmtId="220" fontId="5" fillId="0" borderId="0"/>
    <xf numFmtId="198" fontId="0" fillId="0" borderId="0"/>
    <xf numFmtId="220" fontId="152" fillId="74" borderId="0" applyNumberFormat="0" applyBorder="0" applyAlignment="0" applyProtection="0">
      <alignment vertical="center"/>
    </xf>
    <xf numFmtId="220" fontId="5" fillId="0" borderId="0"/>
    <xf numFmtId="220" fontId="145" fillId="0" borderId="0">
      <protection locked="0"/>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49" fontId="75" fillId="0" borderId="0" applyProtection="0">
      <alignment horizontal="left"/>
    </xf>
    <xf numFmtId="220" fontId="5" fillId="0" borderId="0"/>
    <xf numFmtId="220" fontId="149" fillId="0" borderId="0">
      <protection locked="0"/>
    </xf>
    <xf numFmtId="49" fontId="75" fillId="0" borderId="0" applyProtection="0">
      <alignment horizontal="left"/>
    </xf>
    <xf numFmtId="220" fontId="162" fillId="56" borderId="0" applyNumberFormat="0" applyBorder="0" applyAlignment="0" applyProtection="0"/>
    <xf numFmtId="49" fontId="75" fillId="0" borderId="0" applyProtection="0">
      <alignment horizontal="left"/>
    </xf>
    <xf numFmtId="220" fontId="139" fillId="0" borderId="0">
      <alignment vertical="center"/>
    </xf>
    <xf numFmtId="49" fontId="75" fillId="0" borderId="0" applyProtection="0">
      <alignment horizontal="left"/>
    </xf>
    <xf numFmtId="220" fontId="139" fillId="0" borderId="0">
      <alignment vertical="center"/>
    </xf>
    <xf numFmtId="220" fontId="5" fillId="0" borderId="0"/>
    <xf numFmtId="220" fontId="145" fillId="0" borderId="0"/>
    <xf numFmtId="220" fontId="5" fillId="0" borderId="0"/>
    <xf numFmtId="49" fontId="75" fillId="0" borderId="0"/>
    <xf numFmtId="220" fontId="5" fillId="0" borderId="0"/>
    <xf numFmtId="220" fontId="5" fillId="0" borderId="0"/>
    <xf numFmtId="220" fontId="5" fillId="0" borderId="0"/>
    <xf numFmtId="220" fontId="5" fillId="0" borderId="0"/>
    <xf numFmtId="220" fontId="161" fillId="64" borderId="0" applyNumberFormat="0" applyBorder="0" applyAlignment="0" applyProtection="0">
      <alignment vertical="center"/>
    </xf>
    <xf numFmtId="49" fontId="75" fillId="0" borderId="0" applyProtection="0">
      <alignment horizontal="left"/>
    </xf>
    <xf numFmtId="220" fontId="145" fillId="0" borderId="0"/>
    <xf numFmtId="220" fontId="145" fillId="0" borderId="0">
      <protection locked="0"/>
    </xf>
    <xf numFmtId="220" fontId="5" fillId="0" borderId="0" applyFont="0" applyFill="0" applyBorder="0" applyAlignment="0" applyProtection="0"/>
    <xf numFmtId="220" fontId="151" fillId="0" borderId="0">
      <protection locked="0"/>
    </xf>
    <xf numFmtId="220" fontId="162" fillId="49" borderId="0" applyNumberFormat="0" applyBorder="0" applyAlignment="0" applyProtection="0"/>
    <xf numFmtId="220" fontId="151" fillId="0" borderId="0"/>
    <xf numFmtId="220" fontId="145" fillId="0" borderId="0"/>
    <xf numFmtId="49" fontId="75" fillId="0" borderId="0" applyProtection="0">
      <alignment horizontal="left"/>
    </xf>
    <xf numFmtId="220" fontId="5" fillId="0" borderId="0"/>
    <xf numFmtId="220" fontId="145" fillId="0" borderId="0"/>
    <xf numFmtId="49" fontId="75" fillId="0" borderId="0" applyProtection="0">
      <alignment horizontal="left"/>
    </xf>
    <xf numFmtId="220" fontId="90" fillId="0" borderId="0"/>
    <xf numFmtId="220" fontId="5" fillId="0" borderId="0"/>
    <xf numFmtId="49" fontId="75" fillId="0" borderId="0" applyProtection="0">
      <alignment horizontal="left"/>
    </xf>
    <xf numFmtId="220" fontId="139" fillId="63" borderId="0" applyNumberFormat="0" applyBorder="0" applyAlignment="0" applyProtection="0">
      <alignment vertical="center"/>
    </xf>
    <xf numFmtId="49" fontId="75" fillId="0" borderId="0"/>
    <xf numFmtId="49" fontId="75" fillId="0" borderId="0" applyProtection="0">
      <alignment horizontal="left"/>
    </xf>
    <xf numFmtId="220" fontId="147" fillId="42" borderId="0" applyNumberFormat="0" applyBorder="0" applyAlignment="0" applyProtection="0">
      <alignment vertical="center"/>
    </xf>
    <xf numFmtId="220" fontId="145" fillId="0" borderId="0">
      <protection locked="0"/>
    </xf>
    <xf numFmtId="220" fontId="161" fillId="45"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5" fillId="0" borderId="0"/>
    <xf numFmtId="220" fontId="139" fillId="101" borderId="0" applyNumberFormat="0" applyBorder="0" applyAlignment="0" applyProtection="0">
      <alignment vertical="center"/>
    </xf>
    <xf numFmtId="220" fontId="145" fillId="0" borderId="0"/>
    <xf numFmtId="49" fontId="75" fillId="0" borderId="0"/>
    <xf numFmtId="220" fontId="90" fillId="0" borderId="0"/>
    <xf numFmtId="220" fontId="5" fillId="0" borderId="0"/>
    <xf numFmtId="220" fontId="151" fillId="0" borderId="0"/>
    <xf numFmtId="49" fontId="75" fillId="0" borderId="0"/>
    <xf numFmtId="220" fontId="0" fillId="0" borderId="0">
      <alignment vertical="center"/>
    </xf>
    <xf numFmtId="220" fontId="139" fillId="63" borderId="0" applyNumberFormat="0" applyBorder="0" applyAlignment="0" applyProtection="0">
      <alignment vertical="center"/>
    </xf>
    <xf numFmtId="49" fontId="75" fillId="0" borderId="0"/>
    <xf numFmtId="220" fontId="5" fillId="0" borderId="0"/>
    <xf numFmtId="220" fontId="5" fillId="0" borderId="0"/>
    <xf numFmtId="220" fontId="145" fillId="0" borderId="0">
      <protection locked="0"/>
    </xf>
    <xf numFmtId="49" fontId="75" fillId="0" borderId="0" applyProtection="0">
      <alignment horizontal="left"/>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49" fontId="75" fillId="0" borderId="0"/>
    <xf numFmtId="49" fontId="75" fillId="0" borderId="0"/>
    <xf numFmtId="220" fontId="150" fillId="35" borderId="0" applyNumberFormat="0" applyBorder="0" applyAlignment="0" applyProtection="0">
      <alignment vertical="center"/>
    </xf>
    <xf numFmtId="220" fontId="184" fillId="0" borderId="131" applyNumberFormat="0" applyFill="0" applyAlignment="0" applyProtection="0">
      <alignment vertical="center"/>
    </xf>
    <xf numFmtId="220" fontId="145" fillId="0" borderId="0">
      <protection locked="0"/>
    </xf>
    <xf numFmtId="220" fontId="220" fillId="64" borderId="0" applyNumberFormat="0" applyBorder="0" applyAlignment="0" applyProtection="0"/>
    <xf numFmtId="220" fontId="5" fillId="0" borderId="0"/>
    <xf numFmtId="49" fontId="75" fillId="0" borderId="0" applyProtection="0">
      <alignment horizontal="left"/>
    </xf>
    <xf numFmtId="220" fontId="150" fillId="35" borderId="0" applyNumberFormat="0" applyBorder="0" applyAlignment="0" applyProtection="0">
      <alignment vertical="center"/>
    </xf>
    <xf numFmtId="211" fontId="0" fillId="0" borderId="0" applyFont="0" applyFill="0" applyBorder="0" applyAlignment="0" applyProtection="0"/>
    <xf numFmtId="220" fontId="5" fillId="0" borderId="0"/>
    <xf numFmtId="49" fontId="75" fillId="0" borderId="0" applyProtection="0">
      <alignment horizontal="left"/>
    </xf>
    <xf numFmtId="220" fontId="151" fillId="0" borderId="0"/>
    <xf numFmtId="231" fontId="145" fillId="0" borderId="0" applyFont="0" applyFill="0" applyBorder="0" applyAlignment="0" applyProtection="0"/>
    <xf numFmtId="220" fontId="5" fillId="0" borderId="0"/>
    <xf numFmtId="49" fontId="75"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45" fillId="0" borderId="0"/>
    <xf numFmtId="220" fontId="5" fillId="0" borderId="0"/>
    <xf numFmtId="49" fontId="75" fillId="0" borderId="0"/>
    <xf numFmtId="220" fontId="220" fillId="48" borderId="0" applyNumberFormat="0" applyBorder="0" applyAlignment="0" applyProtection="0"/>
    <xf numFmtId="220" fontId="147" fillId="42" borderId="0" applyNumberFormat="0" applyBorder="0" applyAlignment="0" applyProtection="0">
      <alignment vertical="center"/>
    </xf>
    <xf numFmtId="220" fontId="5" fillId="0" borderId="0"/>
    <xf numFmtId="220" fontId="145" fillId="0" borderId="0">
      <protection locked="0"/>
    </xf>
    <xf numFmtId="49" fontId="75" fillId="0" borderId="0"/>
    <xf numFmtId="49" fontId="75" fillId="0" borderId="0" applyProtection="0">
      <alignment horizontal="left"/>
    </xf>
    <xf numFmtId="49" fontId="75" fillId="0" borderId="0" applyProtection="0">
      <alignment horizontal="left"/>
    </xf>
    <xf numFmtId="49" fontId="75" fillId="0" borderId="0" applyProtection="0">
      <alignment horizontal="left"/>
    </xf>
    <xf numFmtId="49" fontId="75" fillId="0" borderId="0" applyProtection="0">
      <alignment horizontal="left"/>
    </xf>
    <xf numFmtId="220" fontId="158" fillId="62" borderId="0" applyNumberFormat="0" applyBorder="0" applyAlignment="0" applyProtection="0"/>
    <xf numFmtId="49" fontId="75" fillId="0" borderId="0" applyProtection="0">
      <alignment horizontal="left"/>
    </xf>
    <xf numFmtId="220" fontId="151" fillId="0" borderId="0"/>
    <xf numFmtId="49" fontId="75" fillId="0" borderId="0" applyProtection="0">
      <alignment horizontal="left"/>
    </xf>
    <xf numFmtId="220" fontId="228" fillId="53" borderId="1">
      <alignment vertical="center"/>
    </xf>
    <xf numFmtId="220" fontId="139" fillId="40" borderId="0" applyNumberFormat="0" applyBorder="0" applyAlignment="0" applyProtection="0">
      <alignment vertical="center"/>
    </xf>
    <xf numFmtId="49" fontId="75" fillId="0" borderId="0" applyProtection="0">
      <alignment horizontal="left"/>
    </xf>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5" fillId="0" borderId="0"/>
    <xf numFmtId="49" fontId="75" fillId="0" borderId="0" applyProtection="0">
      <alignment horizontal="left"/>
    </xf>
    <xf numFmtId="220" fontId="145" fillId="0" borderId="0"/>
    <xf numFmtId="49" fontId="75" fillId="0" borderId="0" applyProtection="0">
      <alignment horizontal="left"/>
    </xf>
    <xf numFmtId="198" fontId="0" fillId="0" borderId="0"/>
    <xf numFmtId="49" fontId="75" fillId="0" borderId="0" applyProtection="0">
      <alignment horizontal="left"/>
    </xf>
    <xf numFmtId="220" fontId="0" fillId="0" borderId="0"/>
    <xf numFmtId="49" fontId="75" fillId="0" borderId="0"/>
    <xf numFmtId="49" fontId="75" fillId="0" borderId="0"/>
    <xf numFmtId="220" fontId="0" fillId="0" borderId="0"/>
    <xf numFmtId="49" fontId="75" fillId="0" borderId="0" applyProtection="0">
      <alignment horizontal="left"/>
    </xf>
    <xf numFmtId="220" fontId="0" fillId="0" borderId="0">
      <alignment vertical="center"/>
    </xf>
    <xf numFmtId="220" fontId="0" fillId="0" borderId="0">
      <alignment vertical="center"/>
    </xf>
    <xf numFmtId="220" fontId="145" fillId="0" borderId="0">
      <protection locked="0"/>
    </xf>
    <xf numFmtId="220" fontId="149" fillId="0" borderId="0">
      <protection locked="0"/>
    </xf>
    <xf numFmtId="220" fontId="240" fillId="0" borderId="0">
      <alignment horizontal="center"/>
    </xf>
    <xf numFmtId="49" fontId="75" fillId="0" borderId="0" applyProtection="0">
      <alignment horizontal="left"/>
    </xf>
    <xf numFmtId="220" fontId="142" fillId="38"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5" fillId="0" borderId="0"/>
    <xf numFmtId="220" fontId="179" fillId="74" borderId="0" applyNumberFormat="0" applyBorder="0" applyAlignment="0" applyProtection="0"/>
    <xf numFmtId="198" fontId="0" fillId="0" borderId="0"/>
    <xf numFmtId="220" fontId="145" fillId="0" borderId="0">
      <protection locked="0"/>
    </xf>
    <xf numFmtId="49" fontId="75" fillId="0" borderId="0" applyProtection="0">
      <alignment horizontal="left"/>
    </xf>
    <xf numFmtId="211" fontId="0" fillId="0" borderId="0" applyFont="0" applyFill="0" applyBorder="0" applyAlignment="0" applyProtection="0"/>
    <xf numFmtId="220" fontId="5" fillId="0" borderId="0"/>
    <xf numFmtId="49" fontId="75" fillId="0" borderId="0" applyProtection="0">
      <alignment horizontal="left"/>
    </xf>
    <xf numFmtId="220" fontId="5" fillId="0" borderId="0"/>
    <xf numFmtId="220" fontId="142" fillId="38" borderId="0" applyNumberFormat="0" applyBorder="0" applyAlignment="0" applyProtection="0">
      <alignment vertical="center"/>
    </xf>
    <xf numFmtId="220" fontId="161" fillId="97" borderId="0" applyNumberFormat="0" applyBorder="0" applyAlignment="0" applyProtection="0">
      <alignment vertical="center"/>
    </xf>
    <xf numFmtId="220" fontId="0" fillId="0" borderId="0"/>
    <xf numFmtId="49" fontId="75" fillId="0" borderId="0">
      <alignment vertical="top"/>
    </xf>
    <xf numFmtId="180" fontId="0" fillId="0" borderId="0" applyFont="0" applyFill="0" applyBorder="0" applyAlignment="0" applyProtection="0"/>
    <xf numFmtId="9" fontId="139" fillId="0" borderId="0" applyFont="0" applyFill="0" applyBorder="0" applyAlignment="0" applyProtection="0">
      <alignment vertical="center"/>
    </xf>
    <xf numFmtId="49" fontId="75" fillId="0" borderId="0" applyProtection="0">
      <alignment horizontal="left"/>
    </xf>
    <xf numFmtId="49" fontId="75" fillId="0" borderId="0"/>
    <xf numFmtId="220" fontId="151" fillId="0" borderId="0">
      <protection locked="0"/>
    </xf>
    <xf numFmtId="49" fontId="75" fillId="0" borderId="0" applyProtection="0">
      <alignment horizontal="left"/>
    </xf>
    <xf numFmtId="220" fontId="5" fillId="0" borderId="0"/>
    <xf numFmtId="220" fontId="5" fillId="0" borderId="0"/>
    <xf numFmtId="224" fontId="75" fillId="0" borderId="0" applyFill="0" applyBorder="0" applyProtection="0">
      <alignment horizontal="right"/>
    </xf>
    <xf numFmtId="220" fontId="145" fillId="0" borderId="0"/>
    <xf numFmtId="220" fontId="90" fillId="0" borderId="0"/>
    <xf numFmtId="49" fontId="75" fillId="0" borderId="0" applyProtection="0">
      <alignment horizontal="left"/>
    </xf>
    <xf numFmtId="220" fontId="139" fillId="0" borderId="0">
      <alignment vertical="center"/>
    </xf>
    <xf numFmtId="49" fontId="75" fillId="0" borderId="0"/>
    <xf numFmtId="220" fontId="5" fillId="0" borderId="0"/>
    <xf numFmtId="220" fontId="152" fillId="60"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145" fillId="0" borderId="0">
      <protection locked="0"/>
    </xf>
    <xf numFmtId="220" fontId="142" fillId="38" borderId="0" applyNumberFormat="0" applyBorder="0" applyAlignment="0" applyProtection="0">
      <alignment vertical="center"/>
    </xf>
    <xf numFmtId="49" fontId="75" fillId="0" borderId="0"/>
    <xf numFmtId="220" fontId="5" fillId="0" borderId="0"/>
    <xf numFmtId="220" fontId="0" fillId="0" borderId="0"/>
    <xf numFmtId="49" fontId="75" fillId="0" borderId="0" applyProtection="0">
      <alignment horizontal="left"/>
    </xf>
    <xf numFmtId="211" fontId="0" fillId="0" borderId="0" applyFont="0" applyFill="0" applyBorder="0" applyAlignment="0" applyProtection="0"/>
    <xf numFmtId="220" fontId="5" fillId="0" borderId="0"/>
    <xf numFmtId="220" fontId="5" fillId="0" borderId="0"/>
    <xf numFmtId="220" fontId="5" fillId="0" borderId="0"/>
    <xf numFmtId="49" fontId="75" fillId="0" borderId="0"/>
    <xf numFmtId="220" fontId="5" fillId="0" borderId="0"/>
    <xf numFmtId="220" fontId="150" fillId="35" borderId="0" applyNumberFormat="0" applyBorder="0" applyAlignment="0" applyProtection="0">
      <alignment vertical="center"/>
    </xf>
    <xf numFmtId="180" fontId="0" fillId="0" borderId="0" applyFont="0" applyFill="0" applyBorder="0" applyAlignment="0" applyProtection="0"/>
    <xf numFmtId="49" fontId="75" fillId="0" borderId="0" applyProtection="0">
      <alignment horizontal="left"/>
    </xf>
    <xf numFmtId="220" fontId="5" fillId="0" borderId="0"/>
    <xf numFmtId="220" fontId="146" fillId="0" borderId="0">
      <alignment vertical="top"/>
    </xf>
    <xf numFmtId="220" fontId="0" fillId="0" borderId="0"/>
    <xf numFmtId="220" fontId="220" fillId="64" borderId="0" applyNumberFormat="0" applyBorder="0" applyAlignment="0" applyProtection="0"/>
    <xf numFmtId="220" fontId="145" fillId="0" borderId="0">
      <protection locked="0"/>
    </xf>
    <xf numFmtId="49" fontId="75" fillId="0" borderId="0" applyProtection="0">
      <alignment horizontal="left"/>
    </xf>
    <xf numFmtId="220" fontId="5" fillId="0" borderId="0"/>
    <xf numFmtId="49" fontId="75" fillId="0" borderId="0" applyProtection="0">
      <alignment horizontal="left"/>
    </xf>
    <xf numFmtId="220" fontId="161" fillId="54"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39" fillId="80" borderId="0" applyNumberFormat="0" applyBorder="0" applyAlignment="0" applyProtection="0">
      <alignment vertical="center"/>
    </xf>
    <xf numFmtId="220" fontId="152" fillId="77" borderId="0" applyNumberFormat="0" applyBorder="0" applyAlignment="0" applyProtection="0">
      <alignment vertical="center"/>
    </xf>
    <xf numFmtId="220" fontId="0" fillId="0" borderId="0"/>
    <xf numFmtId="220" fontId="145" fillId="0" borderId="0"/>
    <xf numFmtId="49" fontId="75" fillId="0" borderId="0"/>
    <xf numFmtId="49" fontId="75" fillId="0" borderId="0"/>
    <xf numFmtId="220" fontId="151" fillId="0" borderId="0">
      <protection locked="0"/>
    </xf>
    <xf numFmtId="220" fontId="145" fillId="32" borderId="108" applyNumberFormat="0" applyProtection="0">
      <alignment horizontal="left" vertical="center" indent="1"/>
    </xf>
    <xf numFmtId="49" fontId="75" fillId="0" borderId="0" applyProtection="0">
      <alignment horizontal="left"/>
    </xf>
    <xf numFmtId="180" fontId="0" fillId="0" borderId="0" applyFont="0" applyFill="0" applyBorder="0" applyAlignment="0" applyProtection="0"/>
    <xf numFmtId="49" fontId="75" fillId="0" borderId="0"/>
    <xf numFmtId="49" fontId="75" fillId="0" borderId="0"/>
    <xf numFmtId="180" fontId="0" fillId="0" borderId="0" applyFont="0" applyFill="0" applyBorder="0" applyAlignment="0" applyProtection="0"/>
    <xf numFmtId="220" fontId="157" fillId="47" borderId="0" applyNumberFormat="0" applyBorder="0" applyAlignment="0" applyProtection="0">
      <alignment vertical="center"/>
    </xf>
    <xf numFmtId="220" fontId="206" fillId="0" borderId="1">
      <alignment horizontal="center" vertical="center"/>
    </xf>
    <xf numFmtId="49" fontId="75" fillId="0" borderId="0" applyProtection="0">
      <alignment horizontal="left"/>
    </xf>
    <xf numFmtId="220" fontId="5" fillId="0" borderId="0"/>
    <xf numFmtId="209"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49" fontId="75" fillId="0" borderId="0"/>
    <xf numFmtId="49" fontId="75" fillId="0" borderId="0" applyProtection="0">
      <alignment horizontal="left"/>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90" fillId="29" borderId="0" applyNumberFormat="0" applyBorder="0" applyAlignment="0" applyProtection="0">
      <alignment vertical="center"/>
    </xf>
    <xf numFmtId="220" fontId="5" fillId="0" borderId="0"/>
    <xf numFmtId="220" fontId="145" fillId="0" borderId="0">
      <protection locked="0"/>
    </xf>
    <xf numFmtId="220" fontId="5" fillId="0" borderId="0"/>
    <xf numFmtId="220" fontId="150" fillId="35" borderId="0" applyNumberFormat="0" applyBorder="0" applyAlignment="0" applyProtection="0">
      <alignment vertical="center"/>
    </xf>
    <xf numFmtId="220" fontId="148" fillId="103" borderId="0" applyNumberFormat="0" applyBorder="0" applyAlignment="0" applyProtection="0">
      <alignment vertical="center"/>
    </xf>
    <xf numFmtId="49" fontId="75" fillId="0" borderId="0" applyProtection="0">
      <alignment horizontal="left"/>
    </xf>
    <xf numFmtId="220" fontId="157" fillId="47" borderId="0" applyNumberFormat="0" applyBorder="0" applyAlignment="0" applyProtection="0">
      <alignment vertical="center"/>
    </xf>
    <xf numFmtId="49" fontId="75" fillId="0" borderId="0"/>
    <xf numFmtId="220" fontId="150" fillId="35" borderId="0" applyNumberFormat="0" applyBorder="0" applyAlignment="0" applyProtection="0">
      <alignment vertical="center"/>
    </xf>
    <xf numFmtId="220" fontId="145" fillId="0" borderId="0"/>
    <xf numFmtId="220" fontId="5" fillId="0" borderId="0"/>
    <xf numFmtId="220" fontId="5" fillId="0" borderId="0"/>
    <xf numFmtId="49" fontId="75" fillId="0" borderId="0" applyProtection="0">
      <alignment horizontal="left"/>
    </xf>
    <xf numFmtId="220" fontId="5" fillId="0" borderId="0">
      <alignment vertical="center"/>
    </xf>
    <xf numFmtId="220" fontId="139" fillId="63" borderId="0" applyNumberFormat="0" applyBorder="0" applyAlignment="0" applyProtection="0">
      <alignment vertical="center"/>
    </xf>
    <xf numFmtId="178" fontId="241" fillId="0" borderId="0" applyFill="0" applyBorder="0" applyProtection="0">
      <alignment horizontal="right"/>
    </xf>
    <xf numFmtId="220" fontId="145" fillId="0" borderId="0"/>
    <xf numFmtId="220" fontId="5" fillId="0" borderId="0"/>
    <xf numFmtId="220" fontId="5" fillId="0" borderId="0"/>
    <xf numFmtId="220" fontId="145" fillId="0" borderId="0"/>
    <xf numFmtId="49" fontId="75" fillId="0" borderId="0"/>
    <xf numFmtId="220" fontId="5" fillId="0" borderId="0"/>
    <xf numFmtId="220" fontId="5" fillId="0" borderId="0"/>
    <xf numFmtId="220" fontId="0" fillId="0" borderId="0"/>
    <xf numFmtId="49" fontId="75" fillId="0" borderId="0" applyProtection="0">
      <alignment horizontal="left"/>
    </xf>
    <xf numFmtId="220" fontId="5" fillId="0" borderId="0"/>
    <xf numFmtId="220" fontId="243" fillId="32" borderId="108" applyNumberFormat="0" applyProtection="0">
      <alignment horizontal="right" vertical="center"/>
    </xf>
    <xf numFmtId="37" fontId="213" fillId="0" borderId="0" applyFont="0" applyFill="0" applyBorder="0" applyAlignment="0" applyProtection="0"/>
    <xf numFmtId="220" fontId="146" fillId="48" borderId="108" applyNumberFormat="0" applyProtection="0">
      <alignment horizontal="right" vertical="center"/>
    </xf>
    <xf numFmtId="214" fontId="171" fillId="0" borderId="0" applyFill="0" applyBorder="0" applyProtection="0">
      <alignment horizontal="center"/>
    </xf>
    <xf numFmtId="49" fontId="75" fillId="0" borderId="0"/>
    <xf numFmtId="220" fontId="244" fillId="0" borderId="0" applyNumberFormat="0" applyFill="0" applyBorder="0" applyAlignment="0" applyProtection="0">
      <alignment vertical="center"/>
    </xf>
    <xf numFmtId="49" fontId="75" fillId="0" borderId="0"/>
    <xf numFmtId="49" fontId="75" fillId="0" borderId="0"/>
    <xf numFmtId="220" fontId="5" fillId="0" borderId="0"/>
    <xf numFmtId="220" fontId="139" fillId="63" borderId="0" applyNumberFormat="0" applyBorder="0" applyAlignment="0" applyProtection="0">
      <alignment vertical="center"/>
    </xf>
    <xf numFmtId="49" fontId="75" fillId="0" borderId="0"/>
    <xf numFmtId="220" fontId="5" fillId="0" borderId="0"/>
    <xf numFmtId="220" fontId="139" fillId="45" borderId="0" applyNumberFormat="0" applyBorder="0" applyAlignment="0" applyProtection="0">
      <alignment vertical="center"/>
    </xf>
    <xf numFmtId="220" fontId="5" fillId="0" borderId="0"/>
    <xf numFmtId="220" fontId="139" fillId="0" borderId="0">
      <alignment vertical="center"/>
    </xf>
    <xf numFmtId="220" fontId="0" fillId="0" borderId="0"/>
    <xf numFmtId="4" fontId="186" fillId="31" borderId="108" applyNumberFormat="0" applyProtection="0">
      <alignment vertical="center"/>
    </xf>
    <xf numFmtId="49" fontId="75" fillId="0" borderId="0"/>
    <xf numFmtId="220" fontId="5" fillId="0" borderId="0"/>
    <xf numFmtId="220" fontId="150" fillId="35"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49" fontId="75" fillId="0" borderId="0" applyProtection="0">
      <alignment horizontal="left"/>
    </xf>
    <xf numFmtId="220" fontId="5" fillId="0" borderId="0"/>
    <xf numFmtId="220" fontId="5" fillId="0" borderId="0"/>
    <xf numFmtId="220" fontId="152" fillId="29" borderId="0" applyNumberFormat="0" applyBorder="0" applyAlignment="0" applyProtection="0">
      <alignment vertical="center"/>
    </xf>
    <xf numFmtId="220" fontId="5" fillId="0" borderId="0"/>
    <xf numFmtId="220" fontId="0" fillId="0" borderId="0"/>
    <xf numFmtId="49" fontId="75" fillId="0" borderId="0" applyProtection="0">
      <alignment horizontal="left"/>
    </xf>
    <xf numFmtId="220" fontId="145" fillId="0" borderId="0">
      <protection locked="0"/>
    </xf>
    <xf numFmtId="49" fontId="75" fillId="0" borderId="0"/>
    <xf numFmtId="220" fontId="149" fillId="0" borderId="0">
      <protection locked="0"/>
    </xf>
    <xf numFmtId="220" fontId="150" fillId="35"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52" fillId="63"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49" fontId="75" fillId="0" borderId="0"/>
    <xf numFmtId="4" fontId="215" fillId="0" borderId="0">
      <alignment horizontal="right"/>
    </xf>
    <xf numFmtId="220" fontId="0" fillId="0" borderId="0"/>
    <xf numFmtId="220" fontId="152" fillId="29"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applyProtection="0">
      <alignment horizontal="left"/>
    </xf>
    <xf numFmtId="220" fontId="161" fillId="64" borderId="0" applyNumberFormat="0" applyBorder="0" applyAlignment="0" applyProtection="0">
      <alignment vertical="center"/>
    </xf>
    <xf numFmtId="220" fontId="145" fillId="0" borderId="0"/>
    <xf numFmtId="220" fontId="0" fillId="0" borderId="0"/>
    <xf numFmtId="220" fontId="145" fillId="0" borderId="0">
      <protection locked="0"/>
    </xf>
    <xf numFmtId="220" fontId="5" fillId="0" borderId="0"/>
    <xf numFmtId="220" fontId="5" fillId="0" borderId="0"/>
    <xf numFmtId="49" fontId="75" fillId="0" borderId="0"/>
    <xf numFmtId="220" fontId="147" fillId="42" borderId="0" applyNumberFormat="0" applyBorder="0" applyAlignment="0" applyProtection="0">
      <alignment vertical="center"/>
    </xf>
    <xf numFmtId="220" fontId="5" fillId="0" borderId="0"/>
    <xf numFmtId="49" fontId="75" fillId="0" borderId="0"/>
    <xf numFmtId="49" fontId="75" fillId="0" borderId="0" applyProtection="0">
      <alignment horizontal="left"/>
    </xf>
    <xf numFmtId="220" fontId="5" fillId="0" borderId="0"/>
    <xf numFmtId="220" fontId="145" fillId="0" borderId="0">
      <protection locked="0"/>
    </xf>
    <xf numFmtId="220" fontId="216" fillId="41" borderId="108" applyNumberFormat="0" applyProtection="0">
      <alignment vertical="center"/>
    </xf>
    <xf numFmtId="220" fontId="145" fillId="0" borderId="0"/>
    <xf numFmtId="49" fontId="75" fillId="0" borderId="0"/>
    <xf numFmtId="220" fontId="5" fillId="0" borderId="0"/>
    <xf numFmtId="220" fontId="145" fillId="0" borderId="0">
      <protection locked="0"/>
    </xf>
    <xf numFmtId="220" fontId="5" fillId="0" borderId="0"/>
    <xf numFmtId="49" fontId="75" fillId="0" borderId="0" applyProtection="0">
      <alignment horizontal="left"/>
    </xf>
    <xf numFmtId="220" fontId="161" fillId="97" borderId="0" applyNumberFormat="0" applyBorder="0" applyAlignment="0" applyProtection="0">
      <alignment vertical="center"/>
    </xf>
    <xf numFmtId="220" fontId="147" fillId="96" borderId="0" applyNumberFormat="0" applyBorder="0" applyAlignment="0" applyProtection="0">
      <alignment vertical="center"/>
    </xf>
    <xf numFmtId="220" fontId="145" fillId="0" borderId="0">
      <protection locked="0"/>
    </xf>
    <xf numFmtId="49" fontId="75" fillId="0" borderId="0"/>
    <xf numFmtId="220" fontId="152" fillId="45" borderId="0" applyNumberFormat="0" applyBorder="0" applyAlignment="0" applyProtection="0">
      <alignment vertical="center"/>
    </xf>
    <xf numFmtId="49" fontId="75" fillId="0" borderId="0"/>
    <xf numFmtId="220" fontId="5" fillId="0" borderId="0"/>
    <xf numFmtId="49" fontId="75" fillId="0" borderId="0"/>
    <xf numFmtId="220" fontId="5" fillId="0" borderId="0"/>
    <xf numFmtId="220" fontId="5" fillId="0" borderId="0"/>
    <xf numFmtId="220" fontId="157" fillId="47" borderId="0" applyNumberFormat="0" applyBorder="0" applyAlignment="0" applyProtection="0">
      <alignment vertical="center"/>
    </xf>
    <xf numFmtId="37" fontId="213" fillId="0" borderId="0" applyFont="0" applyFill="0" applyBorder="0" applyAlignment="0" applyProtection="0"/>
    <xf numFmtId="220" fontId="145" fillId="0" borderId="0">
      <protection locked="0"/>
    </xf>
    <xf numFmtId="220" fontId="151" fillId="0" borderId="0"/>
    <xf numFmtId="220" fontId="0" fillId="0" borderId="0"/>
    <xf numFmtId="220" fontId="0" fillId="0" borderId="0"/>
    <xf numFmtId="220" fontId="147" fillId="42"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5" fillId="0" borderId="0"/>
    <xf numFmtId="49" fontId="75" fillId="0" borderId="0" applyProtection="0">
      <alignment horizontal="left"/>
    </xf>
    <xf numFmtId="220" fontId="0" fillId="0" borderId="0"/>
    <xf numFmtId="220" fontId="147" fillId="42" borderId="0" applyNumberFormat="0" applyBorder="0" applyAlignment="0" applyProtection="0">
      <alignment vertical="center"/>
    </xf>
    <xf numFmtId="209" fontId="219" fillId="0" borderId="0" applyFont="0" applyFill="0" applyBorder="0" applyAlignment="0" applyProtection="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10" fontId="152" fillId="0" borderId="0" applyFont="0" applyFill="0" applyBorder="0" applyAlignment="0" applyProtection="0"/>
    <xf numFmtId="220" fontId="90" fillId="0" borderId="0"/>
    <xf numFmtId="220" fontId="139" fillId="0" borderId="0">
      <alignment vertical="center"/>
    </xf>
    <xf numFmtId="49" fontId="75" fillId="0" borderId="0" applyProtection="0">
      <alignment horizontal="left"/>
    </xf>
    <xf numFmtId="49" fontId="75" fillId="0" borderId="0" applyProtection="0">
      <alignment horizontal="left"/>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49" fontId="75" fillId="0" borderId="0"/>
    <xf numFmtId="220" fontId="5" fillId="0" borderId="0"/>
    <xf numFmtId="220" fontId="157" fillId="47" borderId="0" applyNumberFormat="0" applyBorder="0" applyAlignment="0" applyProtection="0">
      <alignment vertical="center"/>
    </xf>
    <xf numFmtId="227" fontId="145" fillId="0" borderId="0"/>
    <xf numFmtId="220" fontId="139" fillId="50" borderId="0" applyNumberFormat="0" applyBorder="0" applyAlignment="0" applyProtection="0">
      <alignment vertical="center"/>
    </xf>
    <xf numFmtId="220" fontId="151" fillId="0" borderId="0"/>
    <xf numFmtId="49" fontId="7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0" fillId="0" borderId="0"/>
    <xf numFmtId="220" fontId="157" fillId="47" borderId="0" applyNumberFormat="0" applyBorder="0" applyAlignment="0" applyProtection="0">
      <alignment vertical="center"/>
    </xf>
    <xf numFmtId="49" fontId="75" fillId="0" borderId="0" applyProtection="0">
      <alignment horizontal="left"/>
    </xf>
    <xf numFmtId="49" fontId="75" fillId="0" borderId="0" applyProtection="0">
      <alignment horizontal="left"/>
    </xf>
    <xf numFmtId="220" fontId="152" fillId="0" borderId="0">
      <alignment vertical="center"/>
    </xf>
    <xf numFmtId="220" fontId="139" fillId="0" borderId="0">
      <alignment vertical="center"/>
    </xf>
    <xf numFmtId="220" fontId="5" fillId="0" borderId="0"/>
    <xf numFmtId="220" fontId="139" fillId="80" borderId="0" applyNumberFormat="0" applyBorder="0" applyAlignment="0" applyProtection="0">
      <alignment vertical="center"/>
    </xf>
    <xf numFmtId="49" fontId="75" fillId="0" borderId="0"/>
    <xf numFmtId="49" fontId="75" fillId="0" borderId="0"/>
    <xf numFmtId="49" fontId="75" fillId="0" borderId="0"/>
    <xf numFmtId="220" fontId="5" fillId="0" borderId="0"/>
    <xf numFmtId="220" fontId="5" fillId="0" borderId="0"/>
    <xf numFmtId="49" fontId="75" fillId="0" borderId="0" applyProtection="0">
      <alignment horizontal="left"/>
    </xf>
    <xf numFmtId="220" fontId="146" fillId="0" borderId="0">
      <alignment vertical="top"/>
      <protection locked="0"/>
    </xf>
    <xf numFmtId="220" fontId="0" fillId="0" borderId="0">
      <alignment vertical="center"/>
    </xf>
    <xf numFmtId="9" fontId="0" fillId="0" borderId="0" applyFont="0" applyFill="0" applyBorder="0" applyAlignment="0" applyProtection="0">
      <alignment vertical="center"/>
    </xf>
    <xf numFmtId="220" fontId="145" fillId="0" borderId="0">
      <protection locked="0"/>
    </xf>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49" fontId="7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49" fontId="75" fillId="0" borderId="0" applyProtection="0">
      <alignment horizontal="left"/>
    </xf>
    <xf numFmtId="220" fontId="5" fillId="0" borderId="0"/>
    <xf numFmtId="220" fontId="5" fillId="0" borderId="0"/>
    <xf numFmtId="49" fontId="75" fillId="0" borderId="0"/>
    <xf numFmtId="220" fontId="145" fillId="0" borderId="0"/>
    <xf numFmtId="220" fontId="145" fillId="0" borderId="0">
      <protection locked="0"/>
    </xf>
    <xf numFmtId="218" fontId="0" fillId="0" borderId="0" applyFont="0" applyFill="0" applyBorder="0" applyAlignment="0" applyProtection="0"/>
    <xf numFmtId="220" fontId="5" fillId="0" borderId="0"/>
    <xf numFmtId="49" fontId="75" fillId="0" borderId="0"/>
    <xf numFmtId="49" fontId="75" fillId="0" borderId="0"/>
    <xf numFmtId="220" fontId="5" fillId="0" borderId="0" applyFont="0" applyFill="0" applyBorder="0" applyAlignment="0" applyProtection="0"/>
    <xf numFmtId="220" fontId="5" fillId="0" borderId="0" applyFont="0" applyFill="0" applyBorder="0" applyAlignment="0" applyProtection="0"/>
    <xf numFmtId="220" fontId="148" fillId="104" borderId="0" applyNumberFormat="0" applyBorder="0" applyAlignment="0" applyProtection="0">
      <alignment vertical="center"/>
    </xf>
    <xf numFmtId="220" fontId="152" fillId="80" borderId="0" applyNumberFormat="0" applyBorder="0" applyAlignment="0" applyProtection="0">
      <alignment vertical="center"/>
    </xf>
    <xf numFmtId="180" fontId="0" fillId="0" borderId="0" applyFont="0" applyFill="0" applyBorder="0" applyAlignment="0" applyProtection="0"/>
    <xf numFmtId="220" fontId="5" fillId="0" borderId="0"/>
    <xf numFmtId="220" fontId="151" fillId="0" borderId="0"/>
    <xf numFmtId="220" fontId="0" fillId="0" borderId="0"/>
    <xf numFmtId="49" fontId="75" fillId="0" borderId="0"/>
    <xf numFmtId="49" fontId="75" fillId="0" borderId="0" applyProtection="0">
      <alignment horizontal="left"/>
    </xf>
    <xf numFmtId="220" fontId="157" fillId="47" borderId="0" applyNumberFormat="0" applyBorder="0" applyAlignment="0" applyProtection="0">
      <alignment vertical="center"/>
    </xf>
    <xf numFmtId="220" fontId="139" fillId="0" borderId="0">
      <alignment vertical="center"/>
    </xf>
    <xf numFmtId="220" fontId="146" fillId="75" borderId="108" applyNumberFormat="0" applyProtection="0">
      <alignment horizontal="right" vertical="center"/>
    </xf>
    <xf numFmtId="220" fontId="158" fillId="79" borderId="0" applyNumberFormat="0" applyBorder="0" applyAlignment="0" applyProtection="0"/>
    <xf numFmtId="220" fontId="145" fillId="0" borderId="0"/>
    <xf numFmtId="49" fontId="75" fillId="0" borderId="0"/>
    <xf numFmtId="220" fontId="145" fillId="32" borderId="108" applyNumberFormat="0" applyProtection="0">
      <alignment horizontal="left" vertical="top" indent="1"/>
    </xf>
    <xf numFmtId="218" fontId="0" fillId="0" borderId="0" applyFont="0" applyFill="0" applyBorder="0" applyAlignment="0" applyProtection="0"/>
    <xf numFmtId="220" fontId="163" fillId="93" borderId="0" applyNumberFormat="0" applyBorder="0" applyAlignment="0" applyProtection="0"/>
    <xf numFmtId="220" fontId="145" fillId="0" borderId="0"/>
    <xf numFmtId="220" fontId="150" fillId="35" borderId="0" applyNumberFormat="0" applyBorder="0" applyAlignment="0" applyProtection="0">
      <alignment vertical="center"/>
    </xf>
    <xf numFmtId="220" fontId="145" fillId="0" borderId="0">
      <protection locked="0"/>
    </xf>
    <xf numFmtId="49" fontId="75" fillId="0" borderId="0" applyProtection="0">
      <alignment horizontal="left"/>
    </xf>
    <xf numFmtId="49" fontId="75" fillId="0" borderId="0" applyProtection="0">
      <alignment horizontal="left"/>
    </xf>
    <xf numFmtId="49" fontId="75" fillId="0" borderId="0"/>
    <xf numFmtId="220" fontId="70" fillId="0" borderId="0" applyNumberFormat="0" applyFill="0" applyBorder="0" applyAlignment="0" applyProtection="0">
      <alignment vertical="top"/>
      <protection locked="0"/>
    </xf>
    <xf numFmtId="191" fontId="145" fillId="0" borderId="0" applyFont="0" applyFill="0" applyBorder="0" applyAlignment="0" applyProtection="0"/>
    <xf numFmtId="198" fontId="0" fillId="0" borderId="0"/>
    <xf numFmtId="220" fontId="146" fillId="0" borderId="0">
      <alignment vertical="top"/>
    </xf>
    <xf numFmtId="220" fontId="157" fillId="47" borderId="0" applyNumberFormat="0" applyBorder="0" applyAlignment="0" applyProtection="0">
      <alignment vertical="center"/>
    </xf>
    <xf numFmtId="49" fontId="75" fillId="0" borderId="0" applyProtection="0">
      <alignment horizontal="left"/>
    </xf>
    <xf numFmtId="220" fontId="5" fillId="0" borderId="0"/>
    <xf numFmtId="220" fontId="139" fillId="9"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11" fontId="0" fillId="0" borderId="0" applyFont="0" applyFill="0" applyBorder="0" applyAlignment="0" applyProtection="0"/>
    <xf numFmtId="220" fontId="5" fillId="0" borderId="0"/>
    <xf numFmtId="220" fontId="5" fillId="0" borderId="0"/>
    <xf numFmtId="220" fontId="146" fillId="0" borderId="0">
      <alignment vertical="top"/>
    </xf>
    <xf numFmtId="49" fontId="75" fillId="0" borderId="0"/>
    <xf numFmtId="220" fontId="5" fillId="0" borderId="0"/>
    <xf numFmtId="220" fontId="5" fillId="0" borderId="0"/>
    <xf numFmtId="220" fontId="5" fillId="0" borderId="0"/>
    <xf numFmtId="49" fontId="75" fillId="0" borderId="0" applyProtection="0">
      <alignment horizontal="left"/>
    </xf>
    <xf numFmtId="220" fontId="148" fillId="104" borderId="0" applyNumberFormat="0" applyBorder="0" applyAlignment="0" applyProtection="0">
      <alignment vertical="center"/>
    </xf>
    <xf numFmtId="49" fontId="75" fillId="0" borderId="0"/>
    <xf numFmtId="220" fontId="150" fillId="35" borderId="0" applyNumberFormat="0" applyBorder="0" applyAlignment="0" applyProtection="0">
      <alignment vertical="center"/>
    </xf>
    <xf numFmtId="49" fontId="75" fillId="0" borderId="0"/>
    <xf numFmtId="220" fontId="139" fillId="8" borderId="0" applyNumberFormat="0" applyBorder="0" applyAlignment="0" applyProtection="0">
      <alignment vertical="center"/>
    </xf>
    <xf numFmtId="220" fontId="5" fillId="0" borderId="0"/>
    <xf numFmtId="220" fontId="5" fillId="0" borderId="0"/>
    <xf numFmtId="220" fontId="139" fillId="80" borderId="0" applyNumberFormat="0" applyBorder="0" applyAlignment="0" applyProtection="0">
      <alignment vertical="center"/>
    </xf>
    <xf numFmtId="220" fontId="5" fillId="0" borderId="0"/>
    <xf numFmtId="49" fontId="75" fillId="0" borderId="0" applyProtection="0">
      <alignment horizontal="left"/>
    </xf>
    <xf numFmtId="49" fontId="75" fillId="0" borderId="0"/>
    <xf numFmtId="220" fontId="161" fillId="53" borderId="0" applyNumberFormat="0" applyBorder="0" applyAlignment="0" applyProtection="0">
      <alignment vertical="center"/>
    </xf>
    <xf numFmtId="220" fontId="146" fillId="0" borderId="0">
      <alignment vertical="top"/>
    </xf>
    <xf numFmtId="220" fontId="145" fillId="0" borderId="0"/>
    <xf numFmtId="220" fontId="150" fillId="35" borderId="0" applyNumberFormat="0" applyBorder="0" applyAlignment="0" applyProtection="0">
      <alignment vertical="center"/>
    </xf>
    <xf numFmtId="220" fontId="5" fillId="0" borderId="0"/>
    <xf numFmtId="220" fontId="145" fillId="0" borderId="0"/>
    <xf numFmtId="198" fontId="0" fillId="0" borderId="0"/>
    <xf numFmtId="220" fontId="5" fillId="0" borderId="0"/>
    <xf numFmtId="220" fontId="146" fillId="75" borderId="108" applyNumberFormat="0" applyProtection="0">
      <alignment horizontal="right" vertical="center"/>
    </xf>
    <xf numFmtId="220" fontId="150" fillId="35" borderId="0" applyNumberFormat="0" applyBorder="0" applyAlignment="0" applyProtection="0">
      <alignment vertical="center"/>
    </xf>
    <xf numFmtId="220" fontId="0" fillId="0" borderId="0">
      <alignment vertical="center"/>
    </xf>
    <xf numFmtId="220" fontId="187" fillId="0" borderId="0" applyNumberFormat="0" applyFill="0" applyBorder="0" applyAlignment="0" applyProtection="0">
      <alignment vertical="top"/>
      <protection locked="0"/>
    </xf>
    <xf numFmtId="220" fontId="158" fillId="79" borderId="0" applyNumberFormat="0" applyBorder="0" applyAlignment="0" applyProtection="0"/>
    <xf numFmtId="220" fontId="185" fillId="72" borderId="0" applyNumberFormat="0" applyBorder="0" applyAlignment="0" applyProtection="0"/>
    <xf numFmtId="220" fontId="181" fillId="0" borderId="0">
      <protection locked="0"/>
    </xf>
    <xf numFmtId="220" fontId="5" fillId="0" borderId="0"/>
    <xf numFmtId="220" fontId="5" fillId="0" borderId="0"/>
    <xf numFmtId="49" fontId="75" fillId="0" borderId="0"/>
    <xf numFmtId="220" fontId="145" fillId="0" borderId="0"/>
    <xf numFmtId="220" fontId="145" fillId="0" borderId="0">
      <protection locked="0"/>
    </xf>
    <xf numFmtId="220" fontId="145" fillId="0" borderId="0"/>
    <xf numFmtId="220" fontId="145" fillId="0" borderId="0"/>
    <xf numFmtId="220" fontId="5" fillId="0" borderId="0"/>
    <xf numFmtId="220" fontId="145" fillId="0" borderId="0">
      <protection locked="0"/>
    </xf>
    <xf numFmtId="220" fontId="181"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xf numFmtId="220" fontId="5" fillId="0" borderId="0"/>
    <xf numFmtId="9" fontId="0" fillId="0" borderId="0" applyFont="0" applyFill="0" applyBorder="0" applyAlignment="0" applyProtection="0">
      <alignment vertical="center"/>
    </xf>
    <xf numFmtId="220" fontId="179" fillId="42" borderId="0" applyNumberFormat="0" applyBorder="0" applyAlignment="0" applyProtection="0"/>
    <xf numFmtId="220" fontId="0" fillId="0" borderId="0"/>
    <xf numFmtId="220" fontId="145" fillId="0" borderId="0">
      <protection locked="0"/>
    </xf>
    <xf numFmtId="220" fontId="5" fillId="0" borderId="0"/>
    <xf numFmtId="220" fontId="5" fillId="0" borderId="0"/>
    <xf numFmtId="220" fontId="145" fillId="0" borderId="0">
      <protection locked="0"/>
    </xf>
    <xf numFmtId="220" fontId="90" fillId="0" borderId="0">
      <protection locked="0"/>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49" fontId="75" fillId="0" borderId="0"/>
    <xf numFmtId="220" fontId="5" fillId="0" borderId="0"/>
    <xf numFmtId="220" fontId="145" fillId="0" borderId="0"/>
    <xf numFmtId="220" fontId="0" fillId="0" borderId="0"/>
    <xf numFmtId="220" fontId="146" fillId="55" borderId="108" applyNumberFormat="0" applyProtection="0">
      <alignment horizontal="right" vertical="center"/>
    </xf>
    <xf numFmtId="49" fontId="75" fillId="0" borderId="0"/>
    <xf numFmtId="220" fontId="70" fillId="0" borderId="0" applyNumberFormat="0" applyFill="0" applyBorder="0" applyAlignment="0" applyProtection="0">
      <alignment vertical="top"/>
      <protection locked="0"/>
    </xf>
    <xf numFmtId="43" fontId="228" fillId="0" borderId="24"/>
    <xf numFmtId="220" fontId="150" fillId="35" borderId="0" applyNumberFormat="0" applyBorder="0" applyAlignment="0" applyProtection="0">
      <alignment vertical="center"/>
    </xf>
    <xf numFmtId="220" fontId="145" fillId="0" borderId="0"/>
    <xf numFmtId="49" fontId="75" fillId="0" borderId="0"/>
    <xf numFmtId="220" fontId="0" fillId="0" borderId="0"/>
    <xf numFmtId="220" fontId="142" fillId="38" borderId="0" applyNumberFormat="0" applyBorder="0" applyAlignment="0" applyProtection="0">
      <alignment vertical="center"/>
    </xf>
    <xf numFmtId="207" fontId="75" fillId="0" borderId="0" applyFill="0" applyBorder="0" applyAlignment="0"/>
    <xf numFmtId="49" fontId="75" fillId="0" borderId="0"/>
    <xf numFmtId="220" fontId="145" fillId="0" borderId="0"/>
    <xf numFmtId="49" fontId="75" fillId="0" borderId="0"/>
    <xf numFmtId="220" fontId="145" fillId="0" borderId="0"/>
    <xf numFmtId="220" fontId="5" fillId="0" borderId="0"/>
    <xf numFmtId="220" fontId="158" fillId="0" borderId="0" applyNumberFormat="0" applyBorder="0" applyAlignment="0">
      <alignment vertical="center"/>
      <protection locked="0"/>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61" fillId="97" borderId="0" applyNumberFormat="0" applyBorder="0" applyAlignment="0" applyProtection="0">
      <alignment vertical="center"/>
    </xf>
    <xf numFmtId="220" fontId="0" fillId="0" borderId="0"/>
    <xf numFmtId="220" fontId="0" fillId="0" borderId="0"/>
    <xf numFmtId="220" fontId="5" fillId="0" borderId="0"/>
    <xf numFmtId="220" fontId="151" fillId="0" borderId="0">
      <protection locked="0"/>
    </xf>
    <xf numFmtId="220" fontId="145" fillId="0" borderId="0">
      <protection locked="0"/>
    </xf>
    <xf numFmtId="220" fontId="5" fillId="0" borderId="0"/>
    <xf numFmtId="220" fontId="5" fillId="0" borderId="0"/>
    <xf numFmtId="220" fontId="5" fillId="0" borderId="0"/>
    <xf numFmtId="49" fontId="75" fillId="0" borderId="0"/>
    <xf numFmtId="220" fontId="162" fillId="56" borderId="0" applyNumberFormat="0" applyBorder="0" applyAlignment="0" applyProtection="0"/>
    <xf numFmtId="201" fontId="75" fillId="0" borderId="0" applyFill="0" applyBorder="0" applyProtection="0">
      <alignment horizontal="right"/>
    </xf>
    <xf numFmtId="220" fontId="142" fillId="38" borderId="0" applyNumberFormat="0" applyBorder="0" applyAlignment="0" applyProtection="0">
      <alignment vertical="center"/>
    </xf>
    <xf numFmtId="220" fontId="5" fillId="0" borderId="0"/>
    <xf numFmtId="220" fontId="0" fillId="0" borderId="0"/>
    <xf numFmtId="220" fontId="145" fillId="0" borderId="0">
      <protection locked="0"/>
    </xf>
    <xf numFmtId="220" fontId="139" fillId="18" borderId="0" applyNumberFormat="0" applyBorder="0" applyAlignment="0" applyProtection="0">
      <alignment vertical="center"/>
    </xf>
    <xf numFmtId="220" fontId="139" fillId="63" borderId="0" applyNumberFormat="0" applyBorder="0" applyAlignment="0" applyProtection="0">
      <alignment vertical="center"/>
    </xf>
    <xf numFmtId="220" fontId="0" fillId="0" borderId="0"/>
    <xf numFmtId="220" fontId="145" fillId="0" borderId="0"/>
    <xf numFmtId="220" fontId="5" fillId="0" borderId="0"/>
    <xf numFmtId="220" fontId="145" fillId="0" borderId="0"/>
    <xf numFmtId="220" fontId="145" fillId="0" borderId="0"/>
    <xf numFmtId="220" fontId="157" fillId="47" borderId="0" applyNumberFormat="0" applyBorder="0" applyAlignment="0" applyProtection="0">
      <alignment vertical="center"/>
    </xf>
    <xf numFmtId="220" fontId="145" fillId="0" borderId="0"/>
    <xf numFmtId="49" fontId="75" fillId="0" borderId="0"/>
    <xf numFmtId="229" fontId="75" fillId="0" borderId="0" applyFill="0" applyBorder="0" applyAlignment="0"/>
    <xf numFmtId="220" fontId="190" fillId="29" borderId="0" applyNumberFormat="0" applyBorder="0" applyAlignment="0" applyProtection="0">
      <alignment vertical="center"/>
    </xf>
    <xf numFmtId="43" fontId="145" fillId="0" borderId="0" applyFont="0" applyFill="0" applyBorder="0" applyAlignment="0" applyProtection="0"/>
    <xf numFmtId="220" fontId="145" fillId="0" borderId="0"/>
    <xf numFmtId="220" fontId="5" fillId="0" borderId="0"/>
    <xf numFmtId="220" fontId="147" fillId="38" borderId="0" applyNumberFormat="0" applyBorder="0" applyAlignment="0" applyProtection="0">
      <alignment vertical="center"/>
    </xf>
    <xf numFmtId="220" fontId="145" fillId="0" borderId="0"/>
    <xf numFmtId="220" fontId="148" fillId="64" borderId="0" applyNumberFormat="0" applyBorder="0" applyAlignment="0" applyProtection="0">
      <alignment vertical="center"/>
    </xf>
    <xf numFmtId="223" fontId="146" fillId="0" borderId="0" applyFill="0" applyBorder="0" applyAlignment="0">
      <alignment vertical="center"/>
    </xf>
    <xf numFmtId="49" fontId="75" fillId="0" borderId="0"/>
    <xf numFmtId="220" fontId="147" fillId="38" borderId="0" applyNumberFormat="0" applyBorder="0" applyAlignment="0" applyProtection="0">
      <alignment vertical="center"/>
    </xf>
    <xf numFmtId="220" fontId="145" fillId="0" borderId="0"/>
    <xf numFmtId="49" fontId="75" fillId="0" borderId="0"/>
    <xf numFmtId="220" fontId="145" fillId="0" borderId="0">
      <protection locked="0"/>
    </xf>
    <xf numFmtId="220" fontId="142" fillId="38" borderId="0" applyNumberFormat="0" applyBorder="0" applyAlignment="0" applyProtection="0">
      <alignment vertical="center"/>
    </xf>
    <xf numFmtId="220" fontId="139" fillId="0" borderId="0">
      <alignment vertical="center"/>
    </xf>
    <xf numFmtId="220" fontId="145" fillId="0" borderId="0">
      <protection locked="0"/>
    </xf>
    <xf numFmtId="220" fontId="0" fillId="0" borderId="0"/>
    <xf numFmtId="49" fontId="75" fillId="0" borderId="0"/>
    <xf numFmtId="220" fontId="5" fillId="0" borderId="0"/>
    <xf numFmtId="220" fontId="0" fillId="0" borderId="0"/>
    <xf numFmtId="220" fontId="162" fillId="109" borderId="0" applyNumberFormat="0" applyBorder="0" applyAlignment="0" applyProtection="0"/>
    <xf numFmtId="220" fontId="157" fillId="47" borderId="0" applyNumberFormat="0" applyBorder="0" applyAlignment="0" applyProtection="0">
      <alignment vertical="center"/>
    </xf>
    <xf numFmtId="215" fontId="75" fillId="0" borderId="0" applyFill="0" applyBorder="0" applyAlignment="0"/>
    <xf numFmtId="220" fontId="145" fillId="0" borderId="0">
      <protection locked="0"/>
    </xf>
    <xf numFmtId="220" fontId="151" fillId="0" borderId="0"/>
    <xf numFmtId="220" fontId="5" fillId="0" borderId="0"/>
    <xf numFmtId="220" fontId="5" fillId="0" borderId="0"/>
    <xf numFmtId="220" fontId="145" fillId="0" borderId="0"/>
    <xf numFmtId="220" fontId="158" fillId="0" borderId="0" applyNumberFormat="0" applyBorder="0" applyAlignment="0">
      <alignment vertical="center"/>
      <protection locked="0"/>
    </xf>
    <xf numFmtId="49" fontId="75" fillId="0" borderId="0"/>
    <xf numFmtId="220" fontId="150" fillId="35" borderId="0" applyNumberFormat="0" applyBorder="0" applyAlignment="0" applyProtection="0">
      <alignment vertical="center"/>
    </xf>
    <xf numFmtId="220" fontId="151" fillId="0" borderId="0"/>
    <xf numFmtId="220" fontId="5" fillId="0" borderId="0"/>
    <xf numFmtId="220" fontId="150" fillId="35" borderId="0" applyNumberFormat="0" applyBorder="0" applyAlignment="0" applyProtection="0">
      <alignment vertical="center"/>
    </xf>
    <xf numFmtId="49" fontId="75" fillId="0" borderId="0"/>
    <xf numFmtId="220" fontId="14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52" fillId="29" borderId="0" applyNumberFormat="0" applyBorder="0" applyAlignment="0" applyProtection="0">
      <alignment vertical="center"/>
    </xf>
    <xf numFmtId="220" fontId="5" fillId="0" borderId="0"/>
    <xf numFmtId="220" fontId="5" fillId="0" borderId="0"/>
    <xf numFmtId="220" fontId="5" fillId="0" borderId="0"/>
    <xf numFmtId="220" fontId="145" fillId="0" borderId="0"/>
    <xf numFmtId="220" fontId="145" fillId="0" borderId="0"/>
    <xf numFmtId="220" fontId="5" fillId="0" borderId="0"/>
    <xf numFmtId="49" fontId="75" fillId="0" borderId="0"/>
    <xf numFmtId="49" fontId="75" fillId="0" borderId="0" applyProtection="0">
      <alignment horizontal="left"/>
    </xf>
    <xf numFmtId="220" fontId="152" fillId="47"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49" fontId="75" fillId="0" borderId="0" applyProtection="0">
      <alignment horizontal="left"/>
    </xf>
    <xf numFmtId="220" fontId="5" fillId="0" borderId="0"/>
    <xf numFmtId="220" fontId="150" fillId="35" borderId="0" applyNumberFormat="0" applyBorder="0" applyAlignment="0" applyProtection="0">
      <alignment vertical="center"/>
    </xf>
    <xf numFmtId="220" fontId="145" fillId="0" borderId="0"/>
    <xf numFmtId="220" fontId="5" fillId="0" borderId="0"/>
    <xf numFmtId="220" fontId="5" fillId="0" borderId="0"/>
    <xf numFmtId="49" fontId="75" fillId="0" borderId="0"/>
    <xf numFmtId="220" fontId="139" fillId="60" borderId="0" applyNumberFormat="0" applyBorder="0" applyAlignment="0" applyProtection="0">
      <alignment vertical="center"/>
    </xf>
    <xf numFmtId="220" fontId="5" fillId="0" borderId="0"/>
    <xf numFmtId="211" fontId="0" fillId="0" borderId="0" applyFont="0" applyFill="0" applyBorder="0" applyAlignment="0" applyProtection="0"/>
    <xf numFmtId="220" fontId="145" fillId="0" borderId="0"/>
    <xf numFmtId="220" fontId="142" fillId="38" borderId="0" applyNumberFormat="0" applyBorder="0" applyAlignment="0" applyProtection="0">
      <alignment vertical="center"/>
    </xf>
    <xf numFmtId="49" fontId="75" fillId="0" borderId="0"/>
    <xf numFmtId="220" fontId="5" fillId="0" borderId="0"/>
    <xf numFmtId="9" fontId="0" fillId="0" borderId="0" applyFont="0" applyFill="0" applyBorder="0" applyAlignment="0" applyProtection="0">
      <alignment vertical="center"/>
    </xf>
    <xf numFmtId="220" fontId="139" fillId="45" borderId="0" applyNumberFormat="0" applyBorder="0" applyAlignment="0" applyProtection="0">
      <alignment vertical="center"/>
    </xf>
    <xf numFmtId="49" fontId="75" fillId="0" borderId="0" applyProtection="0">
      <alignment horizontal="left"/>
    </xf>
    <xf numFmtId="220" fontId="5" fillId="0" borderId="0"/>
    <xf numFmtId="220" fontId="90" fillId="0" borderId="0">
      <protection locked="0"/>
    </xf>
    <xf numFmtId="220" fontId="5" fillId="0" borderId="0"/>
    <xf numFmtId="49" fontId="75" fillId="0" borderId="0"/>
    <xf numFmtId="220" fontId="0" fillId="0" borderId="0"/>
    <xf numFmtId="220" fontId="145" fillId="0" borderId="0"/>
    <xf numFmtId="220" fontId="150" fillId="35" borderId="0" applyNumberFormat="0" applyBorder="0" applyAlignment="0" applyProtection="0">
      <alignment vertical="center"/>
    </xf>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162" fillId="94" borderId="0" applyNumberFormat="0" applyBorder="0" applyAlignment="0" applyProtection="0"/>
    <xf numFmtId="220" fontId="145" fillId="0" borderId="0"/>
    <xf numFmtId="220" fontId="166" fillId="93" borderId="0" applyNumberFormat="0" applyBorder="0" applyAlignment="0" applyProtection="0">
      <alignment vertical="center"/>
    </xf>
    <xf numFmtId="220" fontId="139" fillId="63" borderId="0" applyNumberFormat="0" applyBorder="0" applyAlignment="0" applyProtection="0">
      <alignment vertical="center"/>
    </xf>
    <xf numFmtId="220" fontId="157" fillId="47" borderId="0" applyNumberFormat="0" applyBorder="0" applyAlignment="0" applyProtection="0">
      <alignment vertical="center"/>
    </xf>
    <xf numFmtId="49" fontId="75" fillId="0" borderId="0" applyProtection="0">
      <alignment horizontal="left"/>
    </xf>
    <xf numFmtId="220" fontId="145" fillId="0" borderId="0"/>
    <xf numFmtId="220" fontId="5" fillId="0" borderId="0"/>
    <xf numFmtId="220" fontId="152" fillId="63"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49" fontId="75" fillId="0" borderId="0" applyProtection="0">
      <alignment horizontal="left"/>
    </xf>
    <xf numFmtId="220" fontId="206" fillId="0" borderId="0">
      <alignment horizontal="center" vertical="center"/>
    </xf>
    <xf numFmtId="220" fontId="145" fillId="0" borderId="0"/>
    <xf numFmtId="209" fontId="0" fillId="0" borderId="0" applyFont="0" applyFill="0" applyBorder="0" applyAlignment="0" applyProtection="0"/>
    <xf numFmtId="49" fontId="75" fillId="0" borderId="0" applyProtection="0">
      <alignment horizontal="left"/>
    </xf>
    <xf numFmtId="220" fontId="145" fillId="0" borderId="0">
      <protection locked="0"/>
    </xf>
    <xf numFmtId="49" fontId="75" fillId="0" borderId="0" applyProtection="0">
      <alignment horizontal="left"/>
    </xf>
    <xf numFmtId="220" fontId="145" fillId="0" borderId="0">
      <protection locked="0"/>
    </xf>
    <xf numFmtId="220" fontId="150" fillId="35" borderId="0" applyNumberFormat="0" applyBorder="0" applyAlignment="0" applyProtection="0">
      <alignment vertical="center"/>
    </xf>
    <xf numFmtId="220" fontId="139" fillId="50" borderId="0" applyNumberFormat="0" applyBorder="0" applyAlignment="0" applyProtection="0">
      <alignment vertical="center"/>
    </xf>
    <xf numFmtId="220" fontId="145" fillId="0" borderId="0">
      <protection locked="0"/>
    </xf>
    <xf numFmtId="220" fontId="151" fillId="0" borderId="0">
      <protection locked="0"/>
    </xf>
    <xf numFmtId="220" fontId="5" fillId="0" borderId="0"/>
    <xf numFmtId="220" fontId="157" fillId="47" borderId="0" applyNumberFormat="0" applyBorder="0" applyAlignment="0" applyProtection="0">
      <alignment vertical="center"/>
    </xf>
    <xf numFmtId="220" fontId="145" fillId="0" borderId="0">
      <protection locked="0"/>
    </xf>
    <xf numFmtId="220" fontId="0" fillId="0" borderId="0"/>
    <xf numFmtId="220" fontId="145" fillId="0" borderId="0"/>
    <xf numFmtId="49" fontId="75" fillId="0" borderId="0" applyProtection="0">
      <alignment horizontal="left"/>
    </xf>
    <xf numFmtId="220" fontId="145" fillId="0" borderId="0"/>
    <xf numFmtId="220" fontId="147" fillId="96" borderId="0" applyNumberFormat="0" applyBorder="0" applyAlignment="0" applyProtection="0">
      <alignment vertical="center"/>
    </xf>
    <xf numFmtId="49" fontId="75" fillId="0" borderId="0" applyProtection="0">
      <alignment horizontal="left"/>
    </xf>
    <xf numFmtId="4" fontId="214" fillId="0" borderId="124"/>
    <xf numFmtId="220" fontId="5" fillId="0" borderId="0"/>
    <xf numFmtId="220" fontId="151" fillId="0" borderId="0"/>
    <xf numFmtId="220" fontId="145" fillId="0" borderId="0">
      <protection locked="0"/>
    </xf>
    <xf numFmtId="220" fontId="5" fillId="0" borderId="0"/>
    <xf numFmtId="9" fontId="5" fillId="0" borderId="0" applyFont="0" applyFill="0" applyBorder="0" applyAlignment="0" applyProtection="0">
      <alignment vertical="center"/>
    </xf>
    <xf numFmtId="220" fontId="145" fillId="0" borderId="0">
      <protection locked="0"/>
    </xf>
    <xf numFmtId="220" fontId="5" fillId="0" borderId="0"/>
    <xf numFmtId="220" fontId="157" fillId="47" borderId="0" applyNumberFormat="0" applyBorder="0" applyAlignment="0" applyProtection="0">
      <alignment vertical="center"/>
    </xf>
    <xf numFmtId="49" fontId="75" fillId="0" borderId="0" applyProtection="0">
      <alignment horizontal="left"/>
    </xf>
    <xf numFmtId="220" fontId="148" fillId="54" borderId="0" applyNumberFormat="0" applyBorder="0" applyAlignment="0" applyProtection="0">
      <alignment vertical="center"/>
    </xf>
    <xf numFmtId="220" fontId="5" fillId="0" borderId="0"/>
    <xf numFmtId="43" fontId="5" fillId="0" borderId="0" applyFont="0" applyFill="0" applyBorder="0" applyAlignment="0" applyProtection="0"/>
    <xf numFmtId="220" fontId="145" fillId="0" borderId="0">
      <protection locked="0"/>
    </xf>
    <xf numFmtId="220" fontId="152" fillId="63" borderId="0" applyNumberFormat="0" applyBorder="0" applyAlignment="0" applyProtection="0">
      <alignment vertical="center"/>
    </xf>
    <xf numFmtId="220" fontId="5" fillId="0" borderId="0"/>
    <xf numFmtId="220" fontId="0" fillId="0" borderId="0"/>
    <xf numFmtId="49" fontId="75" fillId="0" borderId="0" applyProtection="0">
      <alignment horizontal="left"/>
    </xf>
    <xf numFmtId="49" fontId="75" fillId="0" borderId="0" applyProtection="0">
      <alignment horizontal="left"/>
    </xf>
    <xf numFmtId="220" fontId="5" fillId="0" borderId="0"/>
    <xf numFmtId="220" fontId="151" fillId="0" borderId="0"/>
    <xf numFmtId="220" fontId="5" fillId="0" borderId="0"/>
    <xf numFmtId="49" fontId="75" fillId="0" borderId="0" applyProtection="0">
      <alignment horizontal="left"/>
    </xf>
    <xf numFmtId="9" fontId="0" fillId="0" borderId="0" applyFont="0" applyFill="0" applyBorder="0" applyAlignment="0" applyProtection="0"/>
    <xf numFmtId="9" fontId="0" fillId="0" borderId="0" applyFont="0" applyFill="0" applyBorder="0" applyAlignment="0" applyProtection="0"/>
    <xf numFmtId="220" fontId="151" fillId="0" borderId="0"/>
    <xf numFmtId="220" fontId="5" fillId="0" borderId="0"/>
    <xf numFmtId="220" fontId="139" fillId="0" borderId="0">
      <alignment vertical="center"/>
    </xf>
    <xf numFmtId="211" fontId="0" fillId="0" borderId="0" applyFont="0" applyFill="0" applyBorder="0" applyAlignment="0" applyProtection="0"/>
    <xf numFmtId="220" fontId="2" fillId="0" borderId="0"/>
    <xf numFmtId="220" fontId="145" fillId="0" borderId="0">
      <protection locked="0"/>
    </xf>
    <xf numFmtId="220" fontId="90" fillId="0" borderId="0"/>
    <xf numFmtId="220" fontId="162" fillId="110" borderId="0" applyNumberFormat="0" applyBorder="0" applyAlignment="0" applyProtection="0"/>
    <xf numFmtId="220" fontId="146" fillId="0" borderId="0">
      <alignment vertical="top"/>
    </xf>
    <xf numFmtId="220" fontId="139" fillId="0" borderId="0">
      <alignment vertical="center"/>
    </xf>
    <xf numFmtId="220" fontId="5" fillId="0" borderId="0"/>
    <xf numFmtId="220" fontId="145" fillId="0" borderId="0">
      <protection locked="0"/>
    </xf>
    <xf numFmtId="220" fontId="145" fillId="0" borderId="0"/>
    <xf numFmtId="220" fontId="162" fillId="110" borderId="0" applyNumberFormat="0" applyBorder="0" applyAlignment="0" applyProtection="0"/>
    <xf numFmtId="220" fontId="145" fillId="0" borderId="0"/>
    <xf numFmtId="220" fontId="5" fillId="0" borderId="0"/>
    <xf numFmtId="49" fontId="75" fillId="0" borderId="0" applyProtection="0">
      <alignment horizontal="left"/>
    </xf>
    <xf numFmtId="220" fontId="5" fillId="0" borderId="0"/>
    <xf numFmtId="220" fontId="142" fillId="38" borderId="0" applyNumberFormat="0" applyBorder="0" applyAlignment="0" applyProtection="0">
      <alignment vertical="center"/>
    </xf>
    <xf numFmtId="220" fontId="5" fillId="0" borderId="0"/>
    <xf numFmtId="220" fontId="5" fillId="0" borderId="0"/>
    <xf numFmtId="49" fontId="75" fillId="0" borderId="0" applyProtection="0">
      <alignment horizontal="left"/>
    </xf>
    <xf numFmtId="220" fontId="5" fillId="0" borderId="0"/>
    <xf numFmtId="220" fontId="151" fillId="0" borderId="0"/>
    <xf numFmtId="49" fontId="75" fillId="0" borderId="0" applyProtection="0">
      <alignment horizontal="left"/>
    </xf>
    <xf numFmtId="220" fontId="145" fillId="0" borderId="0">
      <protection locked="0"/>
    </xf>
    <xf numFmtId="220" fontId="147"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5" fillId="0" borderId="0">
      <protection locked="0"/>
    </xf>
    <xf numFmtId="220" fontId="151" fillId="0" borderId="0">
      <protection locked="0"/>
    </xf>
    <xf numFmtId="220" fontId="5" fillId="0" borderId="0"/>
    <xf numFmtId="220" fontId="145" fillId="0" borderId="0"/>
    <xf numFmtId="220" fontId="5" fillId="0" borderId="0"/>
    <xf numFmtId="49" fontId="75" fillId="0" borderId="0" applyProtection="0">
      <alignment horizontal="left"/>
    </xf>
    <xf numFmtId="49" fontId="75" fillId="0" borderId="0" applyProtection="0">
      <alignment horizontal="left"/>
    </xf>
    <xf numFmtId="220" fontId="139" fillId="0" borderId="0">
      <alignment vertical="center"/>
    </xf>
    <xf numFmtId="220" fontId="146" fillId="75" borderId="108" applyNumberFormat="0" applyProtection="0">
      <alignment horizontal="right" vertical="center"/>
    </xf>
    <xf numFmtId="220" fontId="145" fillId="0" borderId="0"/>
    <xf numFmtId="220" fontId="145" fillId="0" borderId="0"/>
    <xf numFmtId="220" fontId="157" fillId="47" borderId="0" applyNumberFormat="0" applyBorder="0" applyAlignment="0" applyProtection="0">
      <alignment vertical="center"/>
    </xf>
    <xf numFmtId="220" fontId="152" fillId="44" borderId="0" applyNumberFormat="0" applyBorder="0" applyAlignment="0" applyProtection="0">
      <alignment vertical="center"/>
    </xf>
    <xf numFmtId="49" fontId="75" fillId="0" borderId="0" applyProtection="0">
      <alignment horizontal="left"/>
    </xf>
    <xf numFmtId="220" fontId="145" fillId="0" borderId="0">
      <protection locked="0"/>
    </xf>
    <xf numFmtId="220" fontId="0" fillId="0" borderId="0"/>
    <xf numFmtId="49" fontId="75" fillId="0" borderId="0" applyProtection="0">
      <alignment horizontal="left"/>
    </xf>
    <xf numFmtId="220" fontId="145" fillId="0" borderId="0">
      <protection locked="0"/>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49" fontId="75" fillId="0" borderId="0" applyProtection="0">
      <alignment horizontal="left"/>
    </xf>
    <xf numFmtId="220" fontId="0" fillId="0" borderId="0"/>
    <xf numFmtId="220" fontId="145" fillId="0" borderId="0">
      <protection locked="0"/>
    </xf>
    <xf numFmtId="220" fontId="0" fillId="0" borderId="0">
      <alignment vertical="center"/>
    </xf>
    <xf numFmtId="49" fontId="75" fillId="0" borderId="0" applyProtection="0">
      <alignment horizontal="left"/>
    </xf>
    <xf numFmtId="220" fontId="166" fillId="64" borderId="0" applyNumberFormat="0" applyBorder="0" applyAlignment="0" applyProtection="0">
      <alignment vertical="center"/>
    </xf>
    <xf numFmtId="220" fontId="161" fillId="111" borderId="0" applyNumberFormat="0" applyBorder="0" applyAlignment="0" applyProtection="0">
      <alignment vertical="center"/>
    </xf>
    <xf numFmtId="220" fontId="145" fillId="0" borderId="0">
      <protection locked="0"/>
    </xf>
    <xf numFmtId="220" fontId="5" fillId="0" borderId="0"/>
    <xf numFmtId="49" fontId="75" fillId="0" borderId="0" applyProtection="0">
      <alignment horizontal="left"/>
    </xf>
    <xf numFmtId="220" fontId="150" fillId="35" borderId="0" applyNumberFormat="0" applyBorder="0" applyAlignment="0" applyProtection="0">
      <alignment vertical="center"/>
    </xf>
    <xf numFmtId="220" fontId="145" fillId="0" borderId="0"/>
    <xf numFmtId="220" fontId="145" fillId="0" borderId="0">
      <protection locked="0"/>
    </xf>
    <xf numFmtId="49" fontId="75" fillId="0" borderId="0" applyProtection="0">
      <alignment horizontal="left"/>
    </xf>
    <xf numFmtId="49" fontId="75" fillId="0" borderId="0"/>
    <xf numFmtId="220" fontId="139" fillId="100" borderId="0" applyNumberFormat="0" applyBorder="0" applyAlignment="0" applyProtection="0">
      <alignment vertical="center"/>
    </xf>
    <xf numFmtId="220" fontId="5" fillId="0" borderId="0"/>
    <xf numFmtId="220" fontId="5" fillId="0" borderId="0"/>
    <xf numFmtId="220" fontId="145" fillId="0" borderId="0"/>
    <xf numFmtId="220" fontId="5" fillId="0" borderId="0"/>
    <xf numFmtId="220" fontId="145" fillId="0" borderId="0">
      <protection locked="0"/>
    </xf>
    <xf numFmtId="220" fontId="145" fillId="32" borderId="108" applyNumberFormat="0" applyProtection="0">
      <alignment horizontal="left" vertical="top" indent="1"/>
    </xf>
    <xf numFmtId="220" fontId="145" fillId="0" borderId="0">
      <protection locked="0"/>
    </xf>
    <xf numFmtId="220" fontId="151" fillId="0" borderId="0">
      <protection locked="0"/>
    </xf>
    <xf numFmtId="49" fontId="75" fillId="0" borderId="0"/>
    <xf numFmtId="220" fontId="0" fillId="0" borderId="0">
      <alignment vertical="center"/>
    </xf>
    <xf numFmtId="220" fontId="5" fillId="0" borderId="0"/>
    <xf numFmtId="220" fontId="151" fillId="0" borderId="0"/>
    <xf numFmtId="220" fontId="142" fillId="38"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145" fillId="0" borderId="0"/>
    <xf numFmtId="220" fontId="145" fillId="0" borderId="0">
      <protection locked="0"/>
    </xf>
    <xf numFmtId="49" fontId="75" fillId="0" borderId="0"/>
    <xf numFmtId="220" fontId="5" fillId="0" borderId="0"/>
    <xf numFmtId="220" fontId="145" fillId="0" borderId="0">
      <protection locked="0"/>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10" fontId="182" fillId="0" borderId="0" applyFont="0" applyFill="0" applyBorder="0" applyAlignment="0" applyProtection="0"/>
    <xf numFmtId="49" fontId="75" fillId="0" borderId="0"/>
    <xf numFmtId="220" fontId="0" fillId="0" borderId="0"/>
    <xf numFmtId="220" fontId="145" fillId="0" borderId="0">
      <protection locked="0"/>
    </xf>
    <xf numFmtId="220" fontId="5" fillId="0" borderId="0"/>
    <xf numFmtId="220" fontId="151" fillId="0" borderId="0">
      <protection locked="0"/>
    </xf>
    <xf numFmtId="220" fontId="5" fillId="0" borderId="0"/>
    <xf numFmtId="220" fontId="0" fillId="0" borderId="0"/>
    <xf numFmtId="220" fontId="145" fillId="0" borderId="0"/>
    <xf numFmtId="220" fontId="142" fillId="38" borderId="0" applyNumberFormat="0" applyBorder="0" applyAlignment="0" applyProtection="0">
      <alignment vertical="center"/>
    </xf>
    <xf numFmtId="49" fontId="75" fillId="0" borderId="0" applyProtection="0">
      <alignment horizontal="left"/>
    </xf>
    <xf numFmtId="220" fontId="5" fillId="0" borderId="0"/>
    <xf numFmtId="220" fontId="190" fillId="44" borderId="0" applyNumberFormat="0" applyBorder="0" applyAlignment="0" applyProtection="0">
      <alignment vertical="center"/>
    </xf>
    <xf numFmtId="220" fontId="5" fillId="0" borderId="0"/>
    <xf numFmtId="220" fontId="162" fillId="109" borderId="0" applyNumberFormat="0" applyBorder="0" applyAlignment="0" applyProtection="0"/>
    <xf numFmtId="220" fontId="151" fillId="0" borderId="0">
      <protection locked="0"/>
    </xf>
    <xf numFmtId="220" fontId="162" fillId="109" borderId="0" applyNumberFormat="0" applyBorder="0" applyAlignment="0" applyProtection="0"/>
    <xf numFmtId="49" fontId="75" fillId="0" borderId="0" applyProtection="0">
      <alignment horizontal="left"/>
    </xf>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220" fontId="151" fillId="0" borderId="0">
      <protection locked="0"/>
    </xf>
    <xf numFmtId="220" fontId="5" fillId="0" borderId="0"/>
    <xf numFmtId="211" fontId="0" fillId="0" borderId="0" applyFont="0" applyFill="0" applyBorder="0" applyAlignment="0" applyProtection="0"/>
    <xf numFmtId="220" fontId="5" fillId="0" borderId="0"/>
    <xf numFmtId="220" fontId="146" fillId="41" borderId="108" applyNumberFormat="0" applyProtection="0">
      <alignment horizontal="left" vertical="top" indent="1"/>
    </xf>
    <xf numFmtId="49" fontId="75" fillId="0" borderId="0" applyProtection="0">
      <alignment horizontal="left"/>
    </xf>
    <xf numFmtId="220" fontId="142" fillId="38" borderId="0" applyNumberFormat="0" applyBorder="0" applyAlignment="0" applyProtection="0">
      <alignment vertical="center"/>
    </xf>
    <xf numFmtId="220" fontId="151" fillId="0" borderId="0">
      <protection locked="0"/>
    </xf>
    <xf numFmtId="220" fontId="142" fillId="38" borderId="0" applyNumberFormat="0" applyBorder="0" applyAlignment="0" applyProtection="0">
      <alignment vertical="center"/>
    </xf>
    <xf numFmtId="49" fontId="75" fillId="0" borderId="0"/>
    <xf numFmtId="220" fontId="5" fillId="0" borderId="0"/>
    <xf numFmtId="220" fontId="5" fillId="0" borderId="0"/>
    <xf numFmtId="220" fontId="149" fillId="0" borderId="0">
      <protection locked="0"/>
    </xf>
    <xf numFmtId="10" fontId="152" fillId="0" borderId="0" applyFont="0" applyFill="0" applyBorder="0" applyAlignment="0" applyProtection="0"/>
    <xf numFmtId="220" fontId="0" fillId="0" borderId="0"/>
    <xf numFmtId="49" fontId="75" fillId="0" borderId="0"/>
    <xf numFmtId="220" fontId="145" fillId="0" borderId="0"/>
    <xf numFmtId="220" fontId="149" fillId="0" borderId="0">
      <protection locked="0"/>
    </xf>
    <xf numFmtId="220" fontId="0" fillId="0" borderId="0"/>
    <xf numFmtId="220" fontId="5" fillId="0" borderId="0"/>
    <xf numFmtId="220" fontId="145" fillId="0" borderId="0" applyNumberFormat="0" applyFill="0" applyBorder="0" applyAlignment="0" applyProtection="0"/>
    <xf numFmtId="49" fontId="75" fillId="0" borderId="0"/>
    <xf numFmtId="220" fontId="0" fillId="0" borderId="0"/>
    <xf numFmtId="220" fontId="5" fillId="0" borderId="0"/>
    <xf numFmtId="220" fontId="145" fillId="0" borderId="0">
      <protection locked="0"/>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81" fillId="0" borderId="0"/>
    <xf numFmtId="220" fontId="146" fillId="55" borderId="108" applyNumberFormat="0" applyProtection="0">
      <alignment horizontal="left" vertical="top" indent="1"/>
    </xf>
    <xf numFmtId="49" fontId="75" fillId="0" borderId="0"/>
    <xf numFmtId="220" fontId="5" fillId="0" borderId="0"/>
    <xf numFmtId="220" fontId="145" fillId="0" borderId="0">
      <protection locked="0"/>
    </xf>
    <xf numFmtId="220" fontId="5" fillId="0" borderId="0"/>
    <xf numFmtId="180" fontId="0" fillId="0" borderId="0" applyFont="0" applyFill="0" applyBorder="0" applyAlignment="0" applyProtection="0"/>
    <xf numFmtId="220" fontId="5" fillId="0" borderId="0"/>
    <xf numFmtId="49" fontId="75" fillId="0" borderId="0" applyProtection="0">
      <alignment horizontal="left"/>
    </xf>
    <xf numFmtId="220" fontId="0" fillId="0" borderId="0"/>
    <xf numFmtId="220" fontId="90" fillId="0" borderId="0">
      <protection locked="0"/>
    </xf>
    <xf numFmtId="49" fontId="75" fillId="0" borderId="0" applyProtection="0">
      <alignment horizontal="left"/>
    </xf>
    <xf numFmtId="220" fontId="145" fillId="0" borderId="0"/>
    <xf numFmtId="220" fontId="5" fillId="0" borderId="0"/>
    <xf numFmtId="220" fontId="146" fillId="0" borderId="0">
      <alignment vertical="top"/>
    </xf>
    <xf numFmtId="220" fontId="5" fillId="0" borderId="0"/>
    <xf numFmtId="220" fontId="181" fillId="0" borderId="0"/>
    <xf numFmtId="49" fontId="75" fillId="0" borderId="0"/>
    <xf numFmtId="220" fontId="145" fillId="0" borderId="0">
      <protection locked="0"/>
    </xf>
    <xf numFmtId="49" fontId="75" fillId="0" borderId="0"/>
    <xf numFmtId="220" fontId="5" fillId="0" borderId="0"/>
    <xf numFmtId="220" fontId="145" fillId="0" borderId="0">
      <protection locked="0"/>
    </xf>
    <xf numFmtId="49" fontId="75" fillId="0" borderId="0"/>
    <xf numFmtId="220" fontId="147" fillId="42" borderId="0" applyNumberFormat="0" applyBorder="0" applyAlignment="0" applyProtection="0">
      <alignment vertical="center"/>
    </xf>
    <xf numFmtId="220" fontId="145" fillId="0" borderId="0">
      <protection locked="0"/>
    </xf>
    <xf numFmtId="220" fontId="246" fillId="0" borderId="0" applyNumberFormat="0" applyFill="0" applyBorder="0" applyAlignment="0" applyProtection="0">
      <alignment vertical="center"/>
    </xf>
    <xf numFmtId="220" fontId="139" fillId="63" borderId="0" applyNumberFormat="0" applyBorder="0" applyAlignment="0" applyProtection="0">
      <alignment vertical="center"/>
    </xf>
    <xf numFmtId="220" fontId="0" fillId="0" borderId="0"/>
    <xf numFmtId="220" fontId="145" fillId="0" borderId="0">
      <protection locked="0"/>
    </xf>
    <xf numFmtId="220" fontId="5" fillId="0" borderId="0"/>
    <xf numFmtId="49" fontId="75" fillId="0" borderId="0"/>
    <xf numFmtId="220" fontId="5" fillId="0" borderId="0"/>
    <xf numFmtId="220" fontId="145" fillId="0" borderId="0">
      <protection locked="0"/>
    </xf>
    <xf numFmtId="220" fontId="5" fillId="0" borderId="0"/>
    <xf numFmtId="220" fontId="145" fillId="0" borderId="0">
      <protection locked="0"/>
    </xf>
    <xf numFmtId="220" fontId="145" fillId="0" borderId="0">
      <protection locked="0"/>
    </xf>
    <xf numFmtId="220" fontId="5" fillId="0" borderId="0"/>
    <xf numFmtId="220" fontId="0" fillId="0" borderId="0"/>
    <xf numFmtId="49" fontId="75" fillId="0" borderId="0" applyProtection="0">
      <alignment horizontal="left"/>
    </xf>
    <xf numFmtId="220" fontId="150" fillId="35" borderId="0" applyNumberFormat="0" applyBorder="0" applyAlignment="0" applyProtection="0">
      <alignment vertical="center"/>
    </xf>
    <xf numFmtId="220" fontId="145" fillId="0" borderId="0">
      <protection locked="0"/>
    </xf>
    <xf numFmtId="220" fontId="5" fillId="0" borderId="0"/>
    <xf numFmtId="220" fontId="139" fillId="63" borderId="0" applyNumberFormat="0" applyBorder="0" applyAlignment="0" applyProtection="0">
      <alignment vertical="center"/>
    </xf>
    <xf numFmtId="220" fontId="147" fillId="42" borderId="0" applyNumberFormat="0" applyBorder="0" applyAlignment="0" applyProtection="0">
      <alignment vertical="center"/>
    </xf>
    <xf numFmtId="184" fontId="75" fillId="0" borderId="0" applyFill="0" applyBorder="0" applyProtection="0">
      <alignment horizontal="right"/>
    </xf>
    <xf numFmtId="220" fontId="150" fillId="35" borderId="0" applyNumberFormat="0" applyBorder="0" applyAlignment="0" applyProtection="0">
      <alignment vertical="center"/>
    </xf>
    <xf numFmtId="49" fontId="75" fillId="0" borderId="0" applyProtection="0">
      <alignment horizontal="left"/>
    </xf>
    <xf numFmtId="220" fontId="5" fillId="0" borderId="0"/>
    <xf numFmtId="220" fontId="145" fillId="0" borderId="0">
      <protection locked="0"/>
    </xf>
    <xf numFmtId="220" fontId="139" fillId="0" borderId="0">
      <alignment vertical="center"/>
    </xf>
    <xf numFmtId="220" fontId="5" fillId="0" borderId="0"/>
    <xf numFmtId="220" fontId="0" fillId="0" borderId="0"/>
    <xf numFmtId="220" fontId="145" fillId="0" borderId="0">
      <protection locked="0"/>
    </xf>
    <xf numFmtId="220" fontId="157" fillId="47" borderId="0" applyNumberFormat="0" applyBorder="0" applyAlignment="0" applyProtection="0">
      <alignment vertical="center"/>
    </xf>
    <xf numFmtId="49" fontId="75" fillId="0" borderId="0" applyProtection="0">
      <alignment horizontal="left"/>
    </xf>
    <xf numFmtId="220" fontId="145" fillId="0" borderId="0">
      <protection locked="0"/>
    </xf>
    <xf numFmtId="49" fontId="75" fillId="0" borderId="0" applyProtection="0">
      <alignment horizontal="left"/>
    </xf>
    <xf numFmtId="37" fontId="182" fillId="0" borderId="0" applyFont="0" applyFill="0" applyBorder="0" applyAlignment="0" applyProtection="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198" fontId="0" fillId="0" borderId="0"/>
    <xf numFmtId="220" fontId="145" fillId="0" borderId="0">
      <protection locked="0"/>
    </xf>
    <xf numFmtId="220" fontId="142" fillId="38" borderId="0" applyNumberFormat="0" applyBorder="0" applyAlignment="0" applyProtection="0">
      <alignment vertical="center"/>
    </xf>
    <xf numFmtId="220" fontId="220" fillId="97" borderId="0" applyNumberFormat="0" applyBorder="0" applyAlignment="0" applyProtection="0"/>
    <xf numFmtId="220" fontId="150" fillId="35" borderId="0" applyNumberFormat="0" applyBorder="0" applyAlignment="0" applyProtection="0">
      <alignment vertical="center"/>
    </xf>
    <xf numFmtId="220" fontId="152" fillId="60" borderId="0" applyNumberFormat="0" applyBorder="0" applyAlignment="0" applyProtection="0">
      <alignment vertical="center"/>
    </xf>
    <xf numFmtId="220" fontId="5" fillId="0" borderId="0"/>
    <xf numFmtId="220" fontId="0" fillId="0" borderId="0"/>
    <xf numFmtId="220" fontId="146" fillId="0" borderId="0">
      <alignment vertical="top"/>
    </xf>
    <xf numFmtId="220" fontId="5" fillId="0" borderId="0"/>
    <xf numFmtId="220" fontId="0" fillId="0" borderId="0">
      <alignment vertical="center"/>
    </xf>
    <xf numFmtId="49" fontId="75" fillId="0" borderId="0"/>
    <xf numFmtId="220" fontId="5" fillId="0" borderId="0"/>
    <xf numFmtId="220" fontId="145" fillId="0" borderId="0">
      <protection locked="0"/>
    </xf>
    <xf numFmtId="220" fontId="149" fillId="0" borderId="0">
      <protection locked="0"/>
    </xf>
    <xf numFmtId="49" fontId="75" fillId="0" borderId="0"/>
    <xf numFmtId="220" fontId="149" fillId="0" borderId="0">
      <protection locked="0"/>
    </xf>
    <xf numFmtId="49" fontId="75" fillId="0" borderId="0" applyProtection="0">
      <alignment horizontal="left"/>
    </xf>
    <xf numFmtId="220" fontId="5" fillId="0" borderId="0"/>
    <xf numFmtId="220" fontId="145" fillId="0" borderId="0">
      <protection locked="0"/>
    </xf>
    <xf numFmtId="220" fontId="0" fillId="0" borderId="0"/>
    <xf numFmtId="220" fontId="152" fillId="44"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9" fontId="152" fillId="0" borderId="0" applyFont="0" applyFill="0" applyBorder="0" applyAlignment="0" applyProtection="0">
      <alignment vertical="center"/>
    </xf>
    <xf numFmtId="220" fontId="139" fillId="60" borderId="0" applyNumberFormat="0" applyBorder="0" applyAlignment="0" applyProtection="0">
      <alignment vertical="center"/>
    </xf>
    <xf numFmtId="220" fontId="5" fillId="0" borderId="0"/>
    <xf numFmtId="49" fontId="7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5" fillId="0" borderId="0">
      <protection locked="0"/>
    </xf>
    <xf numFmtId="220" fontId="5" fillId="0" borderId="0"/>
    <xf numFmtId="220" fontId="145" fillId="0" borderId="0">
      <protection locked="0"/>
    </xf>
    <xf numFmtId="220" fontId="0" fillId="0" borderId="0"/>
    <xf numFmtId="220" fontId="0" fillId="0" borderId="0"/>
    <xf numFmtId="220" fontId="151" fillId="0" borderId="0"/>
    <xf numFmtId="220" fontId="5" fillId="0" borderId="0"/>
    <xf numFmtId="220" fontId="0" fillId="0" borderId="0"/>
    <xf numFmtId="220" fontId="5" fillId="0" borderId="0"/>
    <xf numFmtId="198" fontId="0" fillId="0" borderId="0"/>
    <xf numFmtId="220" fontId="145" fillId="0" borderId="0">
      <protection locked="0"/>
    </xf>
    <xf numFmtId="220" fontId="5" fillId="0" borderId="0"/>
    <xf numFmtId="220" fontId="146" fillId="0" borderId="0">
      <alignment vertical="top"/>
    </xf>
    <xf numFmtId="220" fontId="5" fillId="0" borderId="0"/>
    <xf numFmtId="49" fontId="75" fillId="0" borderId="0" applyProtection="0">
      <alignment horizontal="left"/>
    </xf>
    <xf numFmtId="220" fontId="5" fillId="0" borderId="0"/>
    <xf numFmtId="220" fontId="145" fillId="0" borderId="0">
      <protection locked="0"/>
    </xf>
    <xf numFmtId="220" fontId="5" fillId="0" borderId="0"/>
    <xf numFmtId="49" fontId="75" fillId="0" borderId="0" applyProtection="0">
      <alignment horizontal="left"/>
    </xf>
    <xf numFmtId="220" fontId="5" fillId="0" borderId="0"/>
    <xf numFmtId="220" fontId="145" fillId="0" borderId="0">
      <protection locked="0"/>
    </xf>
    <xf numFmtId="220" fontId="190" fillId="74"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protection locked="0"/>
    </xf>
    <xf numFmtId="49" fontId="75" fillId="0" borderId="0" applyProtection="0">
      <alignment horizontal="left"/>
    </xf>
    <xf numFmtId="220" fontId="152" fillId="63" borderId="0" applyNumberFormat="0" applyBorder="0" applyAlignment="0" applyProtection="0">
      <alignment vertical="center"/>
    </xf>
    <xf numFmtId="220" fontId="5" fillId="0" borderId="0"/>
    <xf numFmtId="220" fontId="5" fillId="0" borderId="0"/>
    <xf numFmtId="220" fontId="90" fillId="0" borderId="0"/>
    <xf numFmtId="220" fontId="145" fillId="0" borderId="0">
      <protection locked="0"/>
    </xf>
    <xf numFmtId="220" fontId="5" fillId="0" borderId="0"/>
    <xf numFmtId="220" fontId="151" fillId="0" borderId="0"/>
    <xf numFmtId="220" fontId="145" fillId="0" borderId="0"/>
    <xf numFmtId="49" fontId="75" fillId="0" borderId="0" applyProtection="0">
      <alignment horizontal="left"/>
    </xf>
    <xf numFmtId="220" fontId="145" fillId="0" borderId="0">
      <protection locked="0"/>
    </xf>
    <xf numFmtId="49" fontId="75" fillId="0" borderId="0" applyProtection="0">
      <alignment horizontal="left"/>
    </xf>
    <xf numFmtId="220" fontId="0" fillId="0" borderId="0"/>
    <xf numFmtId="220" fontId="139" fillId="40" borderId="0" applyNumberFormat="0" applyBorder="0" applyAlignment="0" applyProtection="0">
      <alignment vertical="center"/>
    </xf>
    <xf numFmtId="220" fontId="145" fillId="0" borderId="0">
      <protection locked="0"/>
    </xf>
    <xf numFmtId="212" fontId="0" fillId="0" borderId="0"/>
    <xf numFmtId="220" fontId="152" fillId="74" borderId="0" applyNumberFormat="0" applyBorder="0" applyAlignment="0" applyProtection="0">
      <alignment vertical="center"/>
    </xf>
    <xf numFmtId="220" fontId="145" fillId="0" borderId="0"/>
    <xf numFmtId="49" fontId="75" fillId="0" borderId="0" applyProtection="0">
      <alignment horizontal="left"/>
    </xf>
    <xf numFmtId="198" fontId="0" fillId="0" borderId="0"/>
    <xf numFmtId="220" fontId="139" fillId="60" borderId="0" applyNumberFormat="0" applyBorder="0" applyAlignment="0" applyProtection="0">
      <alignment vertical="center"/>
    </xf>
    <xf numFmtId="220" fontId="5" fillId="0" borderId="0"/>
    <xf numFmtId="220" fontId="0" fillId="0" borderId="0"/>
    <xf numFmtId="220" fontId="0" fillId="0" borderId="0"/>
    <xf numFmtId="220" fontId="149" fillId="0" borderId="0">
      <protection locked="0"/>
    </xf>
    <xf numFmtId="220" fontId="5" fillId="0" borderId="0"/>
    <xf numFmtId="39" fontId="213" fillId="0" borderId="0" applyFont="0" applyFill="0" applyBorder="0" applyAlignment="0" applyProtection="0"/>
    <xf numFmtId="220" fontId="152" fillId="29" borderId="0" applyNumberFormat="0" applyBorder="0" applyAlignment="0" applyProtection="0">
      <alignment vertical="center"/>
    </xf>
    <xf numFmtId="220" fontId="5" fillId="0" borderId="0"/>
    <xf numFmtId="220" fontId="5" fillId="0" borderId="0"/>
    <xf numFmtId="220" fontId="145" fillId="0" borderId="0">
      <protection locked="0"/>
    </xf>
    <xf numFmtId="49" fontId="75" fillId="0" borderId="0" applyProtection="0">
      <alignment horizontal="left"/>
    </xf>
    <xf numFmtId="220" fontId="145" fillId="0" borderId="0">
      <protection locked="0"/>
    </xf>
    <xf numFmtId="220" fontId="150" fillId="35" borderId="0" applyNumberFormat="0" applyBorder="0" applyAlignment="0" applyProtection="0">
      <alignment vertical="center"/>
    </xf>
    <xf numFmtId="220" fontId="151" fillId="0" borderId="0"/>
    <xf numFmtId="49" fontId="75" fillId="0" borderId="0" applyProtection="0">
      <alignment horizontal="left"/>
    </xf>
    <xf numFmtId="220" fontId="145" fillId="0" borderId="0">
      <protection locked="0"/>
    </xf>
    <xf numFmtId="49" fontId="75" fillId="0" borderId="0" applyProtection="0">
      <alignment horizontal="left"/>
    </xf>
    <xf numFmtId="220" fontId="145" fillId="0" borderId="0">
      <protection locked="0"/>
    </xf>
    <xf numFmtId="220" fontId="145" fillId="0" borderId="0">
      <protection locked="0"/>
    </xf>
    <xf numFmtId="220" fontId="145" fillId="0" borderId="0"/>
    <xf numFmtId="49" fontId="75" fillId="0" borderId="0"/>
    <xf numFmtId="220" fontId="145" fillId="0" borderId="0">
      <protection locked="0"/>
    </xf>
    <xf numFmtId="220" fontId="161" fillId="97" borderId="0" applyNumberFormat="0" applyBorder="0" applyAlignment="0" applyProtection="0">
      <alignment vertical="center"/>
    </xf>
    <xf numFmtId="49" fontId="75" fillId="0" borderId="0"/>
    <xf numFmtId="220" fontId="161" fillId="54"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5" fillId="0" borderId="0"/>
    <xf numFmtId="220" fontId="145" fillId="0" borderId="0">
      <protection locked="0"/>
    </xf>
    <xf numFmtId="220" fontId="146" fillId="0" borderId="0">
      <alignment vertical="top"/>
    </xf>
    <xf numFmtId="49" fontId="75" fillId="0" borderId="0"/>
    <xf numFmtId="220" fontId="145" fillId="0" borderId="0">
      <protection locked="0"/>
    </xf>
    <xf numFmtId="220" fontId="145" fillId="0" borderId="0"/>
    <xf numFmtId="49" fontId="75"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45" fillId="0" borderId="0">
      <protection locked="0"/>
    </xf>
    <xf numFmtId="220" fontId="142" fillId="38" borderId="0" applyNumberFormat="0" applyBorder="0" applyAlignment="0" applyProtection="0">
      <alignment vertical="center"/>
    </xf>
    <xf numFmtId="49" fontId="75" fillId="0" borderId="0" applyProtection="0">
      <alignment horizontal="left"/>
    </xf>
    <xf numFmtId="220" fontId="139" fillId="45" borderId="0" applyNumberFormat="0" applyBorder="0" applyAlignment="0" applyProtection="0">
      <alignment vertical="center"/>
    </xf>
    <xf numFmtId="220" fontId="146" fillId="0" borderId="0">
      <alignment vertical="top"/>
      <protection locked="0"/>
    </xf>
    <xf numFmtId="49" fontId="75" fillId="0" borderId="0" applyProtection="0">
      <alignment horizontal="left"/>
    </xf>
    <xf numFmtId="220" fontId="146" fillId="0" borderId="0">
      <alignment vertical="top"/>
    </xf>
    <xf numFmtId="180" fontId="0" fillId="0" borderId="0" applyFont="0" applyFill="0" applyBorder="0" applyAlignment="0" applyProtection="0"/>
    <xf numFmtId="220" fontId="5" fillId="0" borderId="0"/>
    <xf numFmtId="220" fontId="139" fillId="0" borderId="0">
      <alignment vertical="center"/>
    </xf>
    <xf numFmtId="220" fontId="145" fillId="0" borderId="0"/>
    <xf numFmtId="220" fontId="146" fillId="0" borderId="0">
      <alignment vertical="top"/>
      <protection locked="0"/>
    </xf>
    <xf numFmtId="220" fontId="5" fillId="0" borderId="0"/>
    <xf numFmtId="49" fontId="75" fillId="0" borderId="0" applyProtection="0">
      <alignment horizontal="left"/>
    </xf>
    <xf numFmtId="220" fontId="146" fillId="0" borderId="0">
      <alignment vertical="top"/>
      <protection locked="0"/>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5" fillId="0" borderId="0">
      <protection locked="0"/>
    </xf>
    <xf numFmtId="49" fontId="75" fillId="0" borderId="0" applyProtection="0">
      <alignment horizontal="left"/>
    </xf>
    <xf numFmtId="220" fontId="5" fillId="0" borderId="0"/>
    <xf numFmtId="220" fontId="145" fillId="0" borderId="0">
      <protection locked="0"/>
    </xf>
    <xf numFmtId="220" fontId="5" fillId="0" borderId="0"/>
    <xf numFmtId="220" fontId="5" fillId="0" borderId="0"/>
    <xf numFmtId="220" fontId="5" fillId="0" borderId="0"/>
    <xf numFmtId="220" fontId="216" fillId="41" borderId="108" applyNumberFormat="0" applyProtection="0">
      <alignment vertical="center"/>
    </xf>
    <xf numFmtId="220" fontId="146" fillId="0" borderId="0">
      <alignment vertical="top"/>
      <protection locked="0"/>
    </xf>
    <xf numFmtId="220" fontId="5" fillId="0" borderId="0"/>
    <xf numFmtId="220" fontId="5" fillId="0" borderId="0"/>
    <xf numFmtId="220" fontId="139" fillId="48" borderId="0" applyNumberFormat="0" applyBorder="0" applyAlignment="0" applyProtection="0">
      <alignment vertical="center"/>
    </xf>
    <xf numFmtId="49" fontId="75" fillId="0" borderId="0" applyProtection="0">
      <alignment horizontal="left"/>
    </xf>
    <xf numFmtId="220" fontId="145" fillId="0" borderId="0"/>
    <xf numFmtId="220" fontId="145" fillId="0" borderId="0">
      <protection locked="0"/>
    </xf>
    <xf numFmtId="220" fontId="146" fillId="0" borderId="0">
      <alignment vertical="top"/>
    </xf>
    <xf numFmtId="220" fontId="5" fillId="0" borderId="0" applyFont="0" applyFill="0" applyBorder="0" applyAlignment="0" applyProtection="0"/>
    <xf numFmtId="49" fontId="75" fillId="0" borderId="0" applyProtection="0">
      <alignment horizontal="left"/>
    </xf>
    <xf numFmtId="4" fontId="214" fillId="0" borderId="124"/>
    <xf numFmtId="220" fontId="145" fillId="0" borderId="0">
      <protection locked="0"/>
    </xf>
    <xf numFmtId="220" fontId="0" fillId="0" borderId="0"/>
    <xf numFmtId="220" fontId="5" fillId="0" borderId="0"/>
    <xf numFmtId="220" fontId="145" fillId="0" borderId="0">
      <protection locked="0"/>
    </xf>
    <xf numFmtId="220" fontId="145" fillId="0" borderId="0">
      <protection locked="0"/>
    </xf>
    <xf numFmtId="49" fontId="75" fillId="0" borderId="0"/>
    <xf numFmtId="220" fontId="149" fillId="0" borderId="0">
      <protection locked="0"/>
    </xf>
    <xf numFmtId="220" fontId="142" fillId="38"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227" fontId="145" fillId="0" borderId="0">
      <alignment vertical="center"/>
    </xf>
    <xf numFmtId="220" fontId="145" fillId="0" borderId="0">
      <protection locked="0"/>
    </xf>
    <xf numFmtId="220" fontId="142" fillId="38" borderId="0" applyNumberFormat="0" applyBorder="0" applyAlignment="0" applyProtection="0">
      <alignment vertical="center"/>
    </xf>
    <xf numFmtId="220" fontId="145" fillId="0" borderId="0"/>
    <xf numFmtId="220" fontId="145" fillId="0" borderId="0">
      <protection locked="0"/>
    </xf>
    <xf numFmtId="49" fontId="75" fillId="0" borderId="0"/>
    <xf numFmtId="220" fontId="163" fillId="29" borderId="0" applyNumberFormat="0" applyBorder="0" applyAlignment="0" applyProtection="0"/>
    <xf numFmtId="220" fontId="145" fillId="0" borderId="0">
      <protection locked="0"/>
    </xf>
    <xf numFmtId="220" fontId="5" fillId="0" borderId="0"/>
    <xf numFmtId="220" fontId="145" fillId="0" borderId="0">
      <protection locked="0"/>
    </xf>
    <xf numFmtId="49" fontId="75" fillId="0" borderId="0"/>
    <xf numFmtId="220" fontId="90" fillId="0" borderId="0"/>
    <xf numFmtId="49" fontId="75" fillId="0" borderId="0"/>
    <xf numFmtId="220" fontId="145" fillId="32" borderId="108" applyNumberFormat="0" applyProtection="0">
      <alignment horizontal="left" vertical="top" indent="1"/>
    </xf>
    <xf numFmtId="220" fontId="5" fillId="0" borderId="0"/>
    <xf numFmtId="220" fontId="90" fillId="0" borderId="0"/>
    <xf numFmtId="220" fontId="5" fillId="0" borderId="0"/>
    <xf numFmtId="220" fontId="145" fillId="0" borderId="0">
      <protection locked="0"/>
    </xf>
    <xf numFmtId="220" fontId="150" fillId="35" borderId="0" applyNumberFormat="0" applyBorder="0" applyAlignment="0" applyProtection="0">
      <alignment vertical="center"/>
    </xf>
    <xf numFmtId="220" fontId="5" fillId="0" borderId="0"/>
    <xf numFmtId="220" fontId="145" fillId="0" borderId="0">
      <protection locked="0"/>
    </xf>
    <xf numFmtId="49" fontId="75" fillId="0" borderId="0"/>
    <xf numFmtId="220" fontId="147" fillId="38" borderId="0" applyNumberFormat="0" applyBorder="0" applyAlignment="0" applyProtection="0">
      <alignment vertical="center"/>
    </xf>
    <xf numFmtId="180" fontId="0" fillId="0" borderId="0" applyFont="0" applyFill="0" applyBorder="0" applyAlignment="0" applyProtection="0"/>
    <xf numFmtId="220" fontId="145" fillId="0" borderId="0">
      <protection locked="0"/>
    </xf>
    <xf numFmtId="220" fontId="14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90" fillId="0" borderId="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147" fillId="38" borderId="0" applyNumberFormat="0" applyBorder="0" applyAlignment="0" applyProtection="0">
      <alignment vertical="center"/>
    </xf>
    <xf numFmtId="220" fontId="2" fillId="0" borderId="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45" fillId="0" borderId="0"/>
    <xf numFmtId="180" fontId="0" fillId="0" borderId="0" applyFont="0" applyFill="0" applyBorder="0" applyAlignment="0" applyProtection="0"/>
    <xf numFmtId="220" fontId="161" fillId="9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5" fillId="0" borderId="0"/>
    <xf numFmtId="49" fontId="75" fillId="0" borderId="0"/>
    <xf numFmtId="220" fontId="157" fillId="47" borderId="0" applyNumberFormat="0" applyBorder="0" applyAlignment="0" applyProtection="0">
      <alignment vertical="center"/>
    </xf>
    <xf numFmtId="220" fontId="145" fillId="0" borderId="0"/>
    <xf numFmtId="220" fontId="5" fillId="0" borderId="0"/>
    <xf numFmtId="220" fontId="5" fillId="0" borderId="0"/>
    <xf numFmtId="220" fontId="5" fillId="0" borderId="0"/>
    <xf numFmtId="220" fontId="145" fillId="0" borderId="0">
      <protection locked="0"/>
    </xf>
    <xf numFmtId="220" fontId="220" fillId="54" borderId="0" applyNumberFormat="0" applyBorder="0" applyAlignment="0" applyProtection="0"/>
    <xf numFmtId="49" fontId="75" fillId="0" borderId="0"/>
    <xf numFmtId="220" fontId="157" fillId="47" borderId="0" applyNumberFormat="0" applyBorder="0" applyAlignment="0" applyProtection="0">
      <alignment vertical="center"/>
    </xf>
    <xf numFmtId="220" fontId="145" fillId="0" borderId="0">
      <protection locked="0"/>
    </xf>
    <xf numFmtId="220" fontId="145" fillId="0" borderId="0"/>
    <xf numFmtId="220" fontId="5" fillId="0" borderId="0"/>
    <xf numFmtId="220" fontId="158" fillId="0" borderId="0" applyNumberFormat="0" applyBorder="0" applyAlignment="0">
      <alignment vertical="center"/>
      <protection locked="0"/>
    </xf>
    <xf numFmtId="220" fontId="249" fillId="0" borderId="0" applyNumberFormat="0" applyFill="0" applyBorder="0" applyAlignment="0" applyProtection="0"/>
    <xf numFmtId="49" fontId="75" fillId="0" borderId="0"/>
    <xf numFmtId="220" fontId="14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90" fillId="44" borderId="0" applyNumberFormat="0" applyBorder="0" applyAlignment="0" applyProtection="0">
      <alignment vertical="center"/>
    </xf>
    <xf numFmtId="220" fontId="158" fillId="0" borderId="0" applyNumberFormat="0" applyBorder="0" applyAlignment="0">
      <alignment vertical="center"/>
      <protection locked="0"/>
    </xf>
    <xf numFmtId="220" fontId="14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5" fillId="0" borderId="0"/>
    <xf numFmtId="49" fontId="75" fillId="0" borderId="0"/>
    <xf numFmtId="220" fontId="150" fillId="35" borderId="0" applyNumberFormat="0" applyBorder="0" applyAlignment="0" applyProtection="0">
      <alignment vertical="center"/>
    </xf>
    <xf numFmtId="220" fontId="145" fillId="0" borderId="0">
      <protection locked="0"/>
    </xf>
    <xf numFmtId="220" fontId="0" fillId="0" borderId="0">
      <alignment vertical="center"/>
    </xf>
    <xf numFmtId="49" fontId="75" fillId="0" borderId="0"/>
    <xf numFmtId="220" fontId="5" fillId="0" borderId="0"/>
    <xf numFmtId="220" fontId="145" fillId="0" borderId="0">
      <protection locked="0"/>
    </xf>
    <xf numFmtId="49" fontId="75" fillId="0" borderId="0" applyProtection="0">
      <alignment horizontal="left"/>
    </xf>
    <xf numFmtId="220" fontId="145" fillId="0" borderId="0">
      <protection locked="0"/>
    </xf>
    <xf numFmtId="220" fontId="148" fillId="54" borderId="0" applyNumberFormat="0" applyBorder="0" applyAlignment="0" applyProtection="0">
      <alignment vertical="center"/>
    </xf>
    <xf numFmtId="220" fontId="5" fillId="0" borderId="0"/>
    <xf numFmtId="220" fontId="139" fillId="60" borderId="0" applyNumberFormat="0" applyBorder="0" applyAlignment="0" applyProtection="0">
      <alignment vertical="center"/>
    </xf>
    <xf numFmtId="220" fontId="139" fillId="108" borderId="0" applyNumberFormat="0" applyBorder="0" applyAlignment="0" applyProtection="0">
      <alignment vertical="center"/>
    </xf>
    <xf numFmtId="220" fontId="145" fillId="0" borderId="0">
      <protection locked="0"/>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8" fillId="64" borderId="0" applyNumberFormat="0" applyBorder="0" applyAlignment="0" applyProtection="0">
      <alignment vertical="center"/>
    </xf>
    <xf numFmtId="220" fontId="145" fillId="0" borderId="0"/>
    <xf numFmtId="49" fontId="75" fillId="0" borderId="0" applyProtection="0">
      <alignment horizontal="left"/>
    </xf>
    <xf numFmtId="220" fontId="218" fillId="62" borderId="0" applyNumberFormat="0" applyBorder="0" applyAlignment="0" applyProtection="0"/>
    <xf numFmtId="220" fontId="145" fillId="0" borderId="0"/>
    <xf numFmtId="220" fontId="145" fillId="0" borderId="0"/>
    <xf numFmtId="220" fontId="5" fillId="0" borderId="0"/>
    <xf numFmtId="220" fontId="157" fillId="47" borderId="0" applyNumberFormat="0" applyBorder="0" applyAlignment="0" applyProtection="0">
      <alignment vertical="center"/>
    </xf>
    <xf numFmtId="220" fontId="146" fillId="0" borderId="0">
      <alignment vertical="top"/>
    </xf>
    <xf numFmtId="220" fontId="145" fillId="0" borderId="0">
      <protection locked="0"/>
    </xf>
    <xf numFmtId="220" fontId="5" fillId="0" borderId="0"/>
    <xf numFmtId="9" fontId="0" fillId="0" borderId="0" applyFont="0" applyFill="0" applyBorder="0" applyAlignment="0" applyProtection="0"/>
    <xf numFmtId="9" fontId="0" fillId="0" borderId="0" applyFont="0" applyFill="0" applyBorder="0" applyAlignment="0" applyProtection="0"/>
    <xf numFmtId="49" fontId="75" fillId="0" borderId="0" applyProtection="0">
      <alignment horizontal="left"/>
    </xf>
    <xf numFmtId="220" fontId="147" fillId="38" borderId="0" applyNumberFormat="0" applyBorder="0" applyAlignment="0" applyProtection="0">
      <alignment vertical="center"/>
    </xf>
    <xf numFmtId="220" fontId="145" fillId="0" borderId="0"/>
    <xf numFmtId="220" fontId="147" fillId="38" borderId="0" applyNumberFormat="0" applyBorder="0" applyAlignment="0" applyProtection="0">
      <alignment vertical="center"/>
    </xf>
    <xf numFmtId="220" fontId="146" fillId="0" borderId="0">
      <alignment vertical="top"/>
    </xf>
    <xf numFmtId="220" fontId="0" fillId="0" borderId="0"/>
    <xf numFmtId="49" fontId="75" fillId="0" borderId="0" applyProtection="0">
      <alignment horizontal="left"/>
    </xf>
    <xf numFmtId="220" fontId="146" fillId="0" borderId="0">
      <alignment vertical="top"/>
    </xf>
    <xf numFmtId="49" fontId="75" fillId="0" borderId="0" applyProtection="0">
      <alignment horizontal="left"/>
    </xf>
    <xf numFmtId="220" fontId="146" fillId="0" borderId="0">
      <alignment vertical="top"/>
    </xf>
    <xf numFmtId="220" fontId="157" fillId="47" borderId="0" applyNumberFormat="0" applyBorder="0" applyAlignment="0" applyProtection="0">
      <alignment vertical="center"/>
    </xf>
    <xf numFmtId="49" fontId="75" fillId="0" borderId="0" applyProtection="0">
      <alignment horizontal="left"/>
    </xf>
    <xf numFmtId="180" fontId="0" fillId="0" borderId="0" applyFont="0" applyFill="0" applyBorder="0" applyAlignment="0" applyProtection="0"/>
    <xf numFmtId="4" fontId="146" fillId="99" borderId="108" applyNumberFormat="0" applyProtection="0">
      <alignment horizontal="right" vertical="center"/>
    </xf>
    <xf numFmtId="220" fontId="145" fillId="0" borderId="0"/>
    <xf numFmtId="179" fontId="75" fillId="0" borderId="0" applyFill="0" applyBorder="0" applyProtection="0">
      <alignment horizontal="right"/>
    </xf>
    <xf numFmtId="220" fontId="5" fillId="0" borderId="0"/>
    <xf numFmtId="220" fontId="145" fillId="0" borderId="0"/>
    <xf numFmtId="220" fontId="145" fillId="0" borderId="0"/>
    <xf numFmtId="220" fontId="5" fillId="0" borderId="0"/>
    <xf numFmtId="220" fontId="145" fillId="0" borderId="0">
      <protection locked="0"/>
    </xf>
    <xf numFmtId="220" fontId="146" fillId="99" borderId="108" applyNumberFormat="0" applyProtection="0">
      <alignment horizontal="right" vertical="center"/>
    </xf>
    <xf numFmtId="49" fontId="75" fillId="0" borderId="0"/>
    <xf numFmtId="220" fontId="146" fillId="0" borderId="0">
      <alignment vertical="top"/>
    </xf>
    <xf numFmtId="220" fontId="145" fillId="0" borderId="0"/>
    <xf numFmtId="49" fontId="75" fillId="0" borderId="0"/>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45" fillId="0" borderId="0"/>
    <xf numFmtId="220" fontId="145" fillId="0" borderId="0"/>
    <xf numFmtId="220" fontId="5" fillId="0" borderId="0"/>
    <xf numFmtId="43" fontId="0" fillId="0" borderId="0" applyFont="0" applyFill="0" applyBorder="0" applyAlignment="0" applyProtection="0">
      <alignment vertical="center"/>
    </xf>
    <xf numFmtId="220" fontId="145" fillId="0" borderId="0">
      <protection locked="0"/>
    </xf>
    <xf numFmtId="49" fontId="75" fillId="0" borderId="0"/>
    <xf numFmtId="220" fontId="147" fillId="42" borderId="0" applyNumberFormat="0" applyBorder="0" applyAlignment="0" applyProtection="0">
      <alignment vertical="center"/>
    </xf>
    <xf numFmtId="220" fontId="145" fillId="0" borderId="0"/>
    <xf numFmtId="209" fontId="219" fillId="0" borderId="0" applyFont="0" applyFill="0" applyBorder="0" applyAlignment="0" applyProtection="0"/>
    <xf numFmtId="220" fontId="150" fillId="35" borderId="0" applyNumberFormat="0" applyBorder="0" applyAlignment="0" applyProtection="0">
      <alignment vertical="center"/>
    </xf>
    <xf numFmtId="220" fontId="149" fillId="0" borderId="0">
      <protection locked="0"/>
    </xf>
    <xf numFmtId="227" fontId="145" fillId="0" borderId="0"/>
    <xf numFmtId="49" fontId="75" fillId="0" borderId="0" applyProtection="0">
      <alignment horizontal="left"/>
    </xf>
    <xf numFmtId="220" fontId="150" fillId="35" borderId="0" applyNumberFormat="0" applyBorder="0" applyAlignment="0" applyProtection="0">
      <alignment vertical="center"/>
    </xf>
    <xf numFmtId="220" fontId="5" fillId="0" borderId="0"/>
    <xf numFmtId="220" fontId="145" fillId="0" borderId="0">
      <protection locked="0"/>
    </xf>
    <xf numFmtId="220" fontId="5" fillId="0" borderId="0"/>
    <xf numFmtId="220" fontId="151" fillId="0" borderId="0">
      <protection locked="0"/>
    </xf>
    <xf numFmtId="220" fontId="5" fillId="0" borderId="0"/>
    <xf numFmtId="220" fontId="145" fillId="0" borderId="0">
      <protection locked="0"/>
    </xf>
    <xf numFmtId="49" fontId="75" fillId="0" borderId="0" applyProtection="0">
      <alignment horizontal="left"/>
    </xf>
    <xf numFmtId="220" fontId="151" fillId="0" borderId="0"/>
    <xf numFmtId="220" fontId="157" fillId="47" borderId="0" applyNumberFormat="0" applyBorder="0" applyAlignment="0" applyProtection="0">
      <alignment vertical="center"/>
    </xf>
    <xf numFmtId="220" fontId="145" fillId="0" borderId="0"/>
    <xf numFmtId="220" fontId="166" fillId="97" borderId="0" applyNumberFormat="0" applyBorder="0" applyAlignment="0" applyProtection="0">
      <alignment vertical="center"/>
    </xf>
    <xf numFmtId="220" fontId="161" fillId="54" borderId="0" applyNumberFormat="0" applyBorder="0" applyAlignment="0" applyProtection="0">
      <alignment vertical="center"/>
    </xf>
    <xf numFmtId="220" fontId="145" fillId="0" borderId="0"/>
    <xf numFmtId="220" fontId="90" fillId="0" borderId="0">
      <protection locked="0"/>
    </xf>
    <xf numFmtId="220" fontId="5" fillId="0" borderId="0"/>
    <xf numFmtId="220" fontId="145" fillId="0" borderId="0">
      <protection locked="0"/>
    </xf>
    <xf numFmtId="220" fontId="150" fillId="35" borderId="0" applyNumberFormat="0" applyBorder="0" applyAlignment="0" applyProtection="0">
      <alignment vertical="center"/>
    </xf>
    <xf numFmtId="220" fontId="5" fillId="0" borderId="0"/>
    <xf numFmtId="49" fontId="75" fillId="0" borderId="0" applyProtection="0">
      <alignment horizontal="left"/>
    </xf>
    <xf numFmtId="220" fontId="145" fillId="0" borderId="0"/>
    <xf numFmtId="220" fontId="181" fillId="0" borderId="0"/>
    <xf numFmtId="220" fontId="5" fillId="0" borderId="0"/>
    <xf numFmtId="220" fontId="181" fillId="0" borderId="0"/>
    <xf numFmtId="49" fontId="75" fillId="0" borderId="0"/>
    <xf numFmtId="211" fontId="0" fillId="0" borderId="0" applyFont="0" applyFill="0" applyBorder="0" applyAlignment="0" applyProtection="0"/>
    <xf numFmtId="220" fontId="90" fillId="0" borderId="0"/>
    <xf numFmtId="220" fontId="145" fillId="0" borderId="0">
      <protection locked="0"/>
    </xf>
    <xf numFmtId="220" fontId="150" fillId="35" borderId="0" applyNumberFormat="0" applyBorder="0" applyAlignment="0" applyProtection="0">
      <alignment vertical="center"/>
    </xf>
    <xf numFmtId="220" fontId="139" fillId="8" borderId="0" applyNumberFormat="0" applyBorder="0" applyAlignment="0" applyProtection="0">
      <alignment vertical="center"/>
    </xf>
    <xf numFmtId="49" fontId="75" fillId="0" borderId="0"/>
    <xf numFmtId="220" fontId="145" fillId="0" borderId="0"/>
    <xf numFmtId="220" fontId="145" fillId="0" borderId="0">
      <protection locked="0"/>
    </xf>
    <xf numFmtId="220" fontId="5" fillId="0" borderId="0"/>
    <xf numFmtId="220" fontId="90" fillId="0" borderId="0"/>
    <xf numFmtId="220" fontId="151" fillId="0" borderId="0"/>
    <xf numFmtId="220" fontId="0" fillId="0" borderId="0"/>
    <xf numFmtId="220" fontId="5" fillId="0" borderId="0"/>
    <xf numFmtId="49" fontId="75" fillId="0" borderId="0"/>
    <xf numFmtId="220" fontId="5" fillId="0" borderId="0"/>
    <xf numFmtId="220" fontId="145" fillId="0" borderId="0">
      <protection locked="0"/>
    </xf>
    <xf numFmtId="220" fontId="152" fillId="74" borderId="0" applyNumberFormat="0" applyBorder="0" applyAlignment="0" applyProtection="0">
      <alignment vertical="center"/>
    </xf>
    <xf numFmtId="220" fontId="142" fillId="38" borderId="0" applyNumberFormat="0" applyBorder="0" applyAlignment="0" applyProtection="0">
      <alignment vertical="center"/>
    </xf>
    <xf numFmtId="220" fontId="146" fillId="0" borderId="0">
      <alignment vertical="top"/>
    </xf>
    <xf numFmtId="49" fontId="75" fillId="0" borderId="0"/>
    <xf numFmtId="220" fontId="152" fillId="74" borderId="0" applyNumberFormat="0" applyBorder="0" applyAlignment="0" applyProtection="0">
      <alignment vertical="center"/>
    </xf>
    <xf numFmtId="220" fontId="145" fillId="0" borderId="0"/>
    <xf numFmtId="220" fontId="252" fillId="0" borderId="0" applyFont="0" applyFill="0" applyBorder="0" applyAlignment="0" applyProtection="0"/>
    <xf numFmtId="220" fontId="142" fillId="38" borderId="0" applyNumberFormat="0" applyBorder="0" applyAlignment="0" applyProtection="0">
      <alignment vertical="center"/>
    </xf>
    <xf numFmtId="220" fontId="5" fillId="0" borderId="0"/>
    <xf numFmtId="49" fontId="75" fillId="0" borderId="0"/>
    <xf numFmtId="220" fontId="157" fillId="47" borderId="0" applyNumberFormat="0" applyBorder="0" applyAlignment="0" applyProtection="0">
      <alignment vertical="center"/>
    </xf>
    <xf numFmtId="220" fontId="149" fillId="0" borderId="0">
      <protection locked="0"/>
    </xf>
    <xf numFmtId="4" fontId="188" fillId="31" borderId="108" applyNumberFormat="0" applyProtection="0">
      <alignment vertical="center"/>
    </xf>
    <xf numFmtId="220" fontId="145" fillId="0" borderId="0">
      <protection locked="0"/>
    </xf>
    <xf numFmtId="220" fontId="5" fillId="0" borderId="0"/>
    <xf numFmtId="220" fontId="145" fillId="0" borderId="0"/>
    <xf numFmtId="220" fontId="157" fillId="47" borderId="0" applyNumberFormat="0" applyBorder="0" applyAlignment="0" applyProtection="0">
      <alignment vertical="center"/>
    </xf>
    <xf numFmtId="49" fontId="75" fillId="0" borderId="0"/>
    <xf numFmtId="220" fontId="145" fillId="0" borderId="0"/>
    <xf numFmtId="220" fontId="157" fillId="47" borderId="0" applyNumberFormat="0" applyBorder="0" applyAlignment="0" applyProtection="0">
      <alignment vertical="center"/>
    </xf>
    <xf numFmtId="220" fontId="145" fillId="0" borderId="0">
      <protection locked="0"/>
    </xf>
    <xf numFmtId="220" fontId="145" fillId="0" borderId="0">
      <protection locked="0"/>
    </xf>
    <xf numFmtId="220" fontId="145" fillId="0" borderId="0">
      <protection locked="0"/>
    </xf>
    <xf numFmtId="220" fontId="146" fillId="0" borderId="0">
      <alignment vertical="top"/>
    </xf>
    <xf numFmtId="220" fontId="150" fillId="35" borderId="0" applyNumberFormat="0" applyBorder="0" applyAlignment="0" applyProtection="0">
      <alignment vertical="center"/>
    </xf>
    <xf numFmtId="49" fontId="75" fillId="0" borderId="0" applyProtection="0">
      <alignment horizontal="left"/>
    </xf>
    <xf numFmtId="220" fontId="145" fillId="0" borderId="0">
      <protection locked="0"/>
    </xf>
    <xf numFmtId="220" fontId="145" fillId="0" borderId="0">
      <protection locked="0"/>
    </xf>
    <xf numFmtId="212" fontId="0" fillId="0" borderId="0"/>
    <xf numFmtId="220" fontId="161" fillId="97" borderId="0" applyNumberFormat="0" applyBorder="0" applyAlignment="0" applyProtection="0">
      <alignment vertical="center"/>
    </xf>
    <xf numFmtId="220" fontId="5" fillId="0" borderId="0"/>
    <xf numFmtId="220" fontId="5" fillId="0" borderId="0"/>
    <xf numFmtId="211" fontId="0" fillId="0" borderId="0" applyFont="0" applyFill="0" applyBorder="0" applyAlignment="0" applyProtection="0"/>
    <xf numFmtId="220" fontId="150" fillId="35" borderId="0" applyNumberFormat="0" applyBorder="0" applyAlignment="0" applyProtection="0">
      <alignment vertical="center"/>
    </xf>
    <xf numFmtId="220" fontId="5" fillId="0" borderId="0"/>
    <xf numFmtId="220" fontId="90" fillId="0" borderId="0"/>
    <xf numFmtId="49" fontId="75" fillId="0" borderId="0" applyProtection="0">
      <alignment horizontal="left"/>
    </xf>
    <xf numFmtId="220" fontId="5" fillId="0" borderId="0"/>
    <xf numFmtId="9" fontId="0" fillId="0" borderId="0" applyFont="0" applyFill="0" applyBorder="0" applyAlignment="0" applyProtection="0"/>
    <xf numFmtId="220" fontId="145" fillId="0" borderId="0">
      <protection locked="0"/>
    </xf>
    <xf numFmtId="220" fontId="253" fillId="0" borderId="0" applyNumberFormat="0" applyAlignment="0">
      <alignment horizontal="left"/>
    </xf>
    <xf numFmtId="49" fontId="75" fillId="0" borderId="0" applyProtection="0">
      <alignment horizontal="left"/>
    </xf>
    <xf numFmtId="220" fontId="152" fillId="60" borderId="0" applyNumberFormat="0" applyBorder="0" applyAlignment="0" applyProtection="0">
      <alignment vertical="center"/>
    </xf>
    <xf numFmtId="220" fontId="157" fillId="47" borderId="0" applyNumberFormat="0" applyBorder="0" applyAlignment="0" applyProtection="0">
      <alignment vertical="center"/>
    </xf>
    <xf numFmtId="220" fontId="190" fillId="77" borderId="0" applyNumberFormat="0" applyBorder="0" applyAlignment="0" applyProtection="0">
      <alignment vertical="center"/>
    </xf>
    <xf numFmtId="220" fontId="146" fillId="0" borderId="0">
      <alignment vertical="top"/>
    </xf>
    <xf numFmtId="220" fontId="145" fillId="0" borderId="0"/>
    <xf numFmtId="220" fontId="145" fillId="0" borderId="0">
      <protection locked="0"/>
    </xf>
    <xf numFmtId="220" fontId="150" fillId="35" borderId="0" applyNumberFormat="0" applyBorder="0" applyAlignment="0" applyProtection="0">
      <alignment vertical="center"/>
    </xf>
    <xf numFmtId="220" fontId="152" fillId="74" borderId="0" applyNumberFormat="0" applyBorder="0" applyAlignment="0" applyProtection="0">
      <alignment vertical="center"/>
    </xf>
    <xf numFmtId="220" fontId="5" fillId="0" borderId="0"/>
    <xf numFmtId="49" fontId="75" fillId="0" borderId="0" applyProtection="0">
      <alignment horizontal="left"/>
    </xf>
    <xf numFmtId="220" fontId="145" fillId="0" borderId="0"/>
    <xf numFmtId="49" fontId="75" fillId="0" borderId="0" applyProtection="0">
      <alignment horizontal="left"/>
    </xf>
    <xf numFmtId="220" fontId="5" fillId="0" borderId="0"/>
    <xf numFmtId="220" fontId="5" fillId="0" borderId="0"/>
    <xf numFmtId="180" fontId="0" fillId="0" borderId="0" applyFont="0" applyFill="0" applyBorder="0" applyAlignment="0" applyProtection="0"/>
    <xf numFmtId="220" fontId="145" fillId="0" borderId="0">
      <protection locked="0"/>
    </xf>
    <xf numFmtId="220" fontId="0" fillId="0" borderId="0"/>
    <xf numFmtId="220" fontId="145" fillId="0" borderId="0">
      <protection locked="0"/>
    </xf>
    <xf numFmtId="220" fontId="0" fillId="0" borderId="0"/>
    <xf numFmtId="220" fontId="139" fillId="48" borderId="0" applyNumberFormat="0" applyBorder="0" applyAlignment="0" applyProtection="0">
      <alignment vertical="center"/>
    </xf>
    <xf numFmtId="49" fontId="75" fillId="0" borderId="0" applyProtection="0">
      <alignment horizontal="left"/>
    </xf>
    <xf numFmtId="220" fontId="190" fillId="80" borderId="0" applyNumberFormat="0" applyBorder="0" applyAlignment="0" applyProtection="0">
      <alignment vertical="center"/>
    </xf>
    <xf numFmtId="220" fontId="145" fillId="0" borderId="0"/>
    <xf numFmtId="220" fontId="5" fillId="0" borderId="0"/>
    <xf numFmtId="220" fontId="145" fillId="0" borderId="0">
      <protection locked="0"/>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5" fillId="0" borderId="0"/>
    <xf numFmtId="220" fontId="145" fillId="0" borderId="0"/>
    <xf numFmtId="220" fontId="5" fillId="0" borderId="0"/>
    <xf numFmtId="220" fontId="5" fillId="0" borderId="0"/>
    <xf numFmtId="220" fontId="145" fillId="0" borderId="0">
      <protection locked="0"/>
    </xf>
    <xf numFmtId="49" fontId="75" fillId="0" borderId="0" applyProtection="0">
      <alignment horizontal="left"/>
    </xf>
    <xf numFmtId="220" fontId="151" fillId="0" borderId="0"/>
    <xf numFmtId="220" fontId="0" fillId="0" borderId="0"/>
    <xf numFmtId="220" fontId="5" fillId="0" borderId="0"/>
    <xf numFmtId="220" fontId="90" fillId="0" borderId="0"/>
    <xf numFmtId="220" fontId="0" fillId="0" borderId="0"/>
    <xf numFmtId="220" fontId="152" fillId="47" borderId="0" applyNumberFormat="0" applyBorder="0" applyAlignment="0" applyProtection="0">
      <alignment vertical="center"/>
    </xf>
    <xf numFmtId="220" fontId="145" fillId="0" borderId="0">
      <protection locked="0"/>
    </xf>
    <xf numFmtId="220" fontId="0" fillId="0" borderId="0"/>
    <xf numFmtId="220" fontId="0" fillId="0" borderId="0"/>
    <xf numFmtId="49" fontId="75" fillId="0" borderId="0" applyProtection="0">
      <alignment horizontal="left"/>
    </xf>
    <xf numFmtId="220" fontId="146" fillId="0" borderId="0">
      <alignment vertical="top"/>
    </xf>
    <xf numFmtId="220" fontId="161" fillId="93" borderId="0" applyNumberFormat="0" applyBorder="0" applyAlignment="0" applyProtection="0">
      <alignment vertical="center"/>
    </xf>
    <xf numFmtId="220" fontId="90" fillId="0" borderId="0"/>
    <xf numFmtId="220" fontId="5" fillId="0" borderId="0"/>
    <xf numFmtId="9" fontId="139" fillId="0" borderId="0" applyFont="0" applyFill="0" applyBorder="0" applyAlignment="0" applyProtection="0">
      <alignment vertical="center"/>
    </xf>
    <xf numFmtId="220" fontId="5" fillId="0" borderId="0"/>
    <xf numFmtId="220" fontId="145" fillId="0" borderId="0">
      <protection locked="0"/>
    </xf>
    <xf numFmtId="49" fontId="75" fillId="0" borderId="0" applyProtection="0">
      <alignment horizontal="left"/>
    </xf>
    <xf numFmtId="220" fontId="90" fillId="0" borderId="0">
      <protection locked="0"/>
    </xf>
    <xf numFmtId="220" fontId="145" fillId="0" borderId="0">
      <protection locked="0"/>
    </xf>
    <xf numFmtId="220" fontId="162" fillId="72" borderId="0" applyNumberFormat="0" applyBorder="0" applyAlignment="0" applyProtection="0"/>
    <xf numFmtId="49" fontId="75" fillId="0" borderId="0" applyProtection="0">
      <alignment horizontal="left"/>
    </xf>
    <xf numFmtId="220" fontId="5" fillId="0" borderId="0"/>
    <xf numFmtId="220" fontId="145" fillId="0" borderId="0">
      <protection locked="0"/>
    </xf>
    <xf numFmtId="220" fontId="145" fillId="0" borderId="0">
      <protection locked="0"/>
    </xf>
    <xf numFmtId="220" fontId="0" fillId="0" borderId="0"/>
    <xf numFmtId="220" fontId="145" fillId="0" borderId="0"/>
    <xf numFmtId="220" fontId="145" fillId="0" borderId="0">
      <protection locked="0"/>
    </xf>
    <xf numFmtId="220" fontId="145" fillId="0" borderId="0">
      <protection locked="0"/>
    </xf>
    <xf numFmtId="220" fontId="0" fillId="0" borderId="0"/>
    <xf numFmtId="220" fontId="190" fillId="44" borderId="0" applyNumberFormat="0" applyBorder="0" applyAlignment="0" applyProtection="0">
      <alignment vertical="center"/>
    </xf>
    <xf numFmtId="49" fontId="75" fillId="0" borderId="0" applyProtection="0">
      <alignment horizontal="left"/>
    </xf>
    <xf numFmtId="198" fontId="182" fillId="0" borderId="0" applyFont="0" applyFill="0" applyBorder="0" applyAlignment="0" applyProtection="0"/>
    <xf numFmtId="211" fontId="0" fillId="0" borderId="0" applyFont="0" applyFill="0" applyBorder="0" applyAlignment="0" applyProtection="0"/>
    <xf numFmtId="220" fontId="145" fillId="0" borderId="0">
      <protection locked="0"/>
    </xf>
    <xf numFmtId="209" fontId="219" fillId="0" borderId="0" applyFont="0" applyFill="0" applyBorder="0" applyAlignment="0" applyProtection="0"/>
    <xf numFmtId="220" fontId="0" fillId="0" borderId="0"/>
    <xf numFmtId="180" fontId="0" fillId="0" borderId="0" applyFont="0" applyFill="0" applyBorder="0" applyAlignment="0" applyProtection="0"/>
    <xf numFmtId="49" fontId="75" fillId="0" borderId="0" applyProtection="0">
      <alignment horizontal="left"/>
    </xf>
    <xf numFmtId="209" fontId="219" fillId="0" borderId="0" applyFont="0" applyFill="0" applyBorder="0" applyAlignment="0" applyProtection="0"/>
    <xf numFmtId="220" fontId="145" fillId="0" borderId="0"/>
    <xf numFmtId="49" fontId="75" fillId="0" borderId="0" applyProtection="0">
      <alignment horizontal="left"/>
    </xf>
    <xf numFmtId="220" fontId="145" fillId="0" borderId="0">
      <protection locked="0"/>
    </xf>
    <xf numFmtId="220" fontId="152" fillId="74" borderId="0" applyNumberFormat="0" applyBorder="0" applyAlignment="0" applyProtection="0">
      <alignment vertical="center"/>
    </xf>
    <xf numFmtId="49" fontId="75" fillId="0" borderId="0" applyProtection="0">
      <alignment horizontal="left"/>
    </xf>
    <xf numFmtId="220" fontId="90" fillId="0" borderId="0">
      <protection locked="0"/>
    </xf>
    <xf numFmtId="220" fontId="0" fillId="0" borderId="0"/>
    <xf numFmtId="220" fontId="145" fillId="0" borderId="0">
      <protection locked="0"/>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5" fillId="0" borderId="0"/>
    <xf numFmtId="49" fontId="75" fillId="0" borderId="0" applyProtection="0">
      <alignment horizontal="left"/>
    </xf>
    <xf numFmtId="220" fontId="5" fillId="0" borderId="0"/>
    <xf numFmtId="220" fontId="145" fillId="0" borderId="0">
      <protection locked="0"/>
    </xf>
    <xf numFmtId="220" fontId="145" fillId="0" borderId="0">
      <protection locked="0"/>
    </xf>
    <xf numFmtId="220" fontId="145" fillId="0" borderId="0"/>
    <xf numFmtId="49" fontId="75" fillId="0" borderId="0" applyProtection="0">
      <alignment horizontal="left"/>
    </xf>
    <xf numFmtId="220" fontId="145" fillId="0" borderId="0">
      <protection locked="0"/>
    </xf>
    <xf numFmtId="220" fontId="5" fillId="0" borderId="0"/>
    <xf numFmtId="220" fontId="145" fillId="0" borderId="0">
      <protection locked="0"/>
    </xf>
    <xf numFmtId="220" fontId="145" fillId="0" borderId="0">
      <protection locked="0"/>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1" fillId="0" borderId="0"/>
    <xf numFmtId="220" fontId="9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90" fillId="0" borderId="0"/>
    <xf numFmtId="220" fontId="5" fillId="0" borderId="0"/>
    <xf numFmtId="220" fontId="5" fillId="0" borderId="0"/>
    <xf numFmtId="220" fontId="145" fillId="0" borderId="0">
      <protection locked="0"/>
    </xf>
    <xf numFmtId="220" fontId="145" fillId="0" borderId="0"/>
    <xf numFmtId="220" fontId="5" fillId="0" borderId="0"/>
    <xf numFmtId="220" fontId="152" fillId="77" borderId="0" applyNumberFormat="0" applyBorder="0" applyAlignment="0" applyProtection="0">
      <alignment vertical="center"/>
    </xf>
    <xf numFmtId="220" fontId="145" fillId="0" borderId="0">
      <protection locked="0"/>
    </xf>
    <xf numFmtId="220" fontId="5" fillId="0" borderId="0"/>
    <xf numFmtId="220" fontId="145" fillId="0" borderId="0"/>
    <xf numFmtId="220" fontId="145" fillId="0" borderId="0">
      <protection locked="0"/>
    </xf>
    <xf numFmtId="220" fontId="146" fillId="0" borderId="0">
      <alignment vertical="top"/>
    </xf>
    <xf numFmtId="220" fontId="0" fillId="0" borderId="0"/>
    <xf numFmtId="220" fontId="145" fillId="0" borderId="0">
      <protection locked="0"/>
    </xf>
    <xf numFmtId="220" fontId="161" fillId="48" borderId="0" applyNumberFormat="0" applyBorder="0" applyAlignment="0" applyProtection="0">
      <alignment vertical="center"/>
    </xf>
    <xf numFmtId="220" fontId="255" fillId="47" borderId="0" applyNumberFormat="0" applyBorder="0" applyAlignment="0" applyProtection="0">
      <alignment vertical="center"/>
    </xf>
    <xf numFmtId="220" fontId="145" fillId="0" borderId="0"/>
    <xf numFmtId="220" fontId="145" fillId="0" borderId="0"/>
    <xf numFmtId="220" fontId="145" fillId="0" borderId="0">
      <protection locked="0"/>
    </xf>
    <xf numFmtId="220" fontId="145" fillId="0" borderId="0">
      <protection locked="0"/>
    </xf>
    <xf numFmtId="220" fontId="5" fillId="0" borderId="0"/>
    <xf numFmtId="177" fontId="75" fillId="0" borderId="0" applyFill="0" applyBorder="0" applyAlignment="0"/>
    <xf numFmtId="220" fontId="145" fillId="0" borderId="0"/>
    <xf numFmtId="220" fontId="5" fillId="0" borderId="0"/>
    <xf numFmtId="220" fontId="145" fillId="0" borderId="0"/>
    <xf numFmtId="211" fontId="0" fillId="0" borderId="0" applyFont="0" applyFill="0" applyBorder="0" applyAlignment="0" applyProtection="0"/>
    <xf numFmtId="220" fontId="5" fillId="0" borderId="0"/>
    <xf numFmtId="220" fontId="90" fillId="0" borderId="0"/>
    <xf numFmtId="220" fontId="145" fillId="0" borderId="0">
      <protection locked="0"/>
    </xf>
    <xf numFmtId="220" fontId="145" fillId="0" borderId="0">
      <protection locked="0"/>
    </xf>
    <xf numFmtId="220" fontId="90" fillId="0" borderId="0" applyNumberFormat="0" applyFill="0" applyBorder="0" applyAlignment="0" applyProtection="0"/>
    <xf numFmtId="220" fontId="145" fillId="0" borderId="0">
      <protection locked="0"/>
    </xf>
    <xf numFmtId="220" fontId="145" fillId="0" borderId="0">
      <protection locked="0"/>
    </xf>
    <xf numFmtId="220" fontId="145" fillId="0" borderId="0"/>
    <xf numFmtId="220" fontId="142" fillId="38" borderId="0" applyNumberFormat="0" applyBorder="0" applyAlignment="0" applyProtection="0">
      <alignment vertical="center"/>
    </xf>
    <xf numFmtId="220" fontId="181" fillId="0" borderId="0"/>
    <xf numFmtId="220" fontId="90" fillId="0" borderId="0">
      <protection locked="0"/>
    </xf>
    <xf numFmtId="220" fontId="145" fillId="0" borderId="0">
      <protection locked="0"/>
    </xf>
    <xf numFmtId="220" fontId="0" fillId="0" borderId="0"/>
    <xf numFmtId="220" fontId="145" fillId="0" borderId="0">
      <protection locked="0"/>
    </xf>
    <xf numFmtId="220" fontId="0" fillId="0" borderId="0"/>
    <xf numFmtId="220" fontId="139" fillId="0" borderId="0">
      <alignment vertical="center"/>
    </xf>
    <xf numFmtId="220" fontId="90" fillId="0" borderId="0">
      <protection locked="0"/>
    </xf>
    <xf numFmtId="220" fontId="148" fillId="90" borderId="0" applyNumberFormat="0" applyBorder="0" applyAlignment="0" applyProtection="0">
      <alignment vertical="center"/>
    </xf>
    <xf numFmtId="220" fontId="5" fillId="0" borderId="0"/>
    <xf numFmtId="220" fontId="145" fillId="0" borderId="0"/>
    <xf numFmtId="220" fontId="5" fillId="0" borderId="0"/>
    <xf numFmtId="220" fontId="150" fillId="35" borderId="0" applyNumberFormat="0" applyBorder="0" applyAlignment="0" applyProtection="0">
      <alignment vertical="center"/>
    </xf>
    <xf numFmtId="220" fontId="181" fillId="0" borderId="0">
      <protection locked="0"/>
    </xf>
    <xf numFmtId="220" fontId="145" fillId="0" borderId="0"/>
    <xf numFmtId="220" fontId="147" fillId="42" borderId="0" applyNumberFormat="0" applyBorder="0" applyAlignment="0" applyProtection="0">
      <alignment vertical="center"/>
    </xf>
    <xf numFmtId="220" fontId="5" fillId="0" borderId="0"/>
    <xf numFmtId="220" fontId="5" fillId="0" borderId="0"/>
    <xf numFmtId="220" fontId="145" fillId="0" borderId="0">
      <protection locked="0"/>
    </xf>
    <xf numFmtId="220" fontId="5" fillId="0" borderId="0"/>
    <xf numFmtId="220" fontId="145" fillId="0" borderId="0"/>
    <xf numFmtId="220" fontId="5" fillId="0" borderId="0"/>
    <xf numFmtId="220" fontId="145" fillId="0" borderId="0"/>
    <xf numFmtId="220" fontId="0" fillId="0" borderId="0"/>
    <xf numFmtId="220" fontId="90" fillId="0" borderId="0" applyNumberFormat="0" applyFill="0" applyBorder="0" applyAlignment="0" applyProtection="0"/>
    <xf numFmtId="220" fontId="150" fillId="35" borderId="0" applyNumberFormat="0" applyBorder="0" applyAlignment="0" applyProtection="0">
      <alignment vertical="center"/>
    </xf>
    <xf numFmtId="220" fontId="152" fillId="47" borderId="0" applyNumberFormat="0" applyBorder="0" applyAlignment="0" applyProtection="0">
      <alignment vertical="center"/>
    </xf>
    <xf numFmtId="220" fontId="149" fillId="0" borderId="0">
      <protection locked="0"/>
    </xf>
    <xf numFmtId="220" fontId="5" fillId="0" borderId="0"/>
    <xf numFmtId="9" fontId="0" fillId="0" borderId="0" applyFont="0" applyFill="0" applyBorder="0" applyAlignment="0" applyProtection="0"/>
    <xf numFmtId="220" fontId="145" fillId="0" borderId="0"/>
    <xf numFmtId="176" fontId="257" fillId="0" borderId="0"/>
    <xf numFmtId="220" fontId="149" fillId="0" borderId="0">
      <protection locked="0"/>
    </xf>
    <xf numFmtId="220" fontId="5" fillId="0" borderId="0"/>
    <xf numFmtId="220" fontId="145" fillId="0" borderId="0">
      <protection locked="0"/>
    </xf>
    <xf numFmtId="220" fontId="149" fillId="0" borderId="0">
      <protection locked="0"/>
    </xf>
    <xf numFmtId="220" fontId="142" fillId="38" borderId="0" applyNumberFormat="0" applyBorder="0" applyAlignment="0" applyProtection="0">
      <alignment vertical="center"/>
    </xf>
    <xf numFmtId="220" fontId="5" fillId="0" borderId="0"/>
    <xf numFmtId="220" fontId="145" fillId="0" borderId="0">
      <protection locked="0"/>
    </xf>
    <xf numFmtId="220" fontId="145" fillId="0" borderId="0"/>
    <xf numFmtId="220" fontId="145" fillId="0" borderId="0"/>
    <xf numFmtId="220" fontId="145" fillId="0" borderId="0"/>
    <xf numFmtId="220" fontId="5" fillId="0" borderId="0"/>
    <xf numFmtId="220" fontId="90" fillId="0" borderId="0"/>
    <xf numFmtId="220" fontId="5" fillId="0" borderId="0"/>
    <xf numFmtId="220" fontId="145" fillId="0" borderId="0"/>
    <xf numFmtId="220" fontId="5" fillId="0" borderId="0"/>
    <xf numFmtId="220" fontId="5" fillId="0" borderId="0"/>
    <xf numFmtId="220" fontId="145" fillId="0" borderId="0">
      <protection locked="0"/>
    </xf>
    <xf numFmtId="220" fontId="70" fillId="0" borderId="0" applyNumberFormat="0" applyFill="0" applyBorder="0" applyAlignment="0" applyProtection="0">
      <alignment vertical="top"/>
      <protection locked="0"/>
    </xf>
    <xf numFmtId="220" fontId="151" fillId="0" borderId="0">
      <protection locked="0"/>
    </xf>
    <xf numFmtId="220" fontId="142" fillId="38" borderId="0" applyNumberFormat="0" applyBorder="0" applyAlignment="0" applyProtection="0">
      <alignment vertical="center"/>
    </xf>
    <xf numFmtId="220" fontId="145" fillId="0" borderId="0">
      <protection locked="0"/>
    </xf>
    <xf numFmtId="220" fontId="145" fillId="0" borderId="0"/>
    <xf numFmtId="220" fontId="151" fillId="0" borderId="0">
      <protection locked="0"/>
    </xf>
    <xf numFmtId="216" fontId="0" fillId="0" borderId="0" applyFont="0" applyFill="0" applyBorder="0" applyAlignment="0" applyProtection="0"/>
    <xf numFmtId="220" fontId="145" fillId="0" borderId="0">
      <protection locked="0"/>
    </xf>
    <xf numFmtId="220" fontId="5" fillId="0" borderId="0"/>
    <xf numFmtId="220" fontId="145" fillId="0" borderId="0">
      <protection locked="0"/>
    </xf>
    <xf numFmtId="220" fontId="145" fillId="0" borderId="0">
      <protection locked="0"/>
    </xf>
    <xf numFmtId="220" fontId="145" fillId="0" borderId="0"/>
    <xf numFmtId="220" fontId="5" fillId="0" borderId="0"/>
    <xf numFmtId="220" fontId="145" fillId="0" borderId="0"/>
    <xf numFmtId="220" fontId="0" fillId="0" borderId="0"/>
    <xf numFmtId="220" fontId="5" fillId="0" borderId="0"/>
    <xf numFmtId="220" fontId="139" fillId="0" borderId="0">
      <alignment vertical="center"/>
    </xf>
    <xf numFmtId="220" fontId="145" fillId="0" borderId="0">
      <protection locked="0"/>
    </xf>
    <xf numFmtId="220" fontId="145" fillId="0" borderId="0"/>
    <xf numFmtId="220" fontId="0" fillId="0" borderId="0"/>
    <xf numFmtId="220" fontId="190" fillId="54" borderId="0" applyNumberFormat="0" applyBorder="0" applyAlignment="0" applyProtection="0">
      <alignment vertical="center"/>
    </xf>
    <xf numFmtId="220" fontId="0" fillId="0" borderId="0"/>
    <xf numFmtId="220" fontId="5" fillId="0" borderId="0"/>
    <xf numFmtId="220" fontId="5" fillId="0" borderId="0"/>
    <xf numFmtId="220" fontId="162" fillId="49" borderId="0" applyNumberFormat="0" applyBorder="0" applyAlignment="0" applyProtection="0"/>
    <xf numFmtId="220" fontId="151" fillId="0" borderId="0"/>
    <xf numFmtId="220" fontId="145" fillId="0" borderId="0">
      <protection locked="0"/>
    </xf>
    <xf numFmtId="220" fontId="145" fillId="0" borderId="0"/>
    <xf numFmtId="220" fontId="150" fillId="35" borderId="0" applyNumberFormat="0" applyBorder="0" applyAlignment="0" applyProtection="0">
      <alignment vertical="center"/>
    </xf>
    <xf numFmtId="220" fontId="145" fillId="0" borderId="0"/>
    <xf numFmtId="220" fontId="150" fillId="35" borderId="0" applyNumberFormat="0" applyBorder="0" applyAlignment="0" applyProtection="0">
      <alignment vertical="center"/>
    </xf>
    <xf numFmtId="212" fontId="0" fillId="0" borderId="0"/>
    <xf numFmtId="220" fontId="149" fillId="0" borderId="0">
      <protection locked="0"/>
    </xf>
    <xf numFmtId="220" fontId="146" fillId="0" borderId="0">
      <alignment vertical="top"/>
    </xf>
    <xf numFmtId="220" fontId="157" fillId="47" borderId="0" applyNumberFormat="0" applyBorder="0" applyAlignment="0" applyProtection="0">
      <alignment vertical="center"/>
    </xf>
    <xf numFmtId="220" fontId="145" fillId="0" borderId="0"/>
    <xf numFmtId="220" fontId="5" fillId="0" borderId="0"/>
    <xf numFmtId="220" fontId="243" fillId="32" borderId="108" applyNumberFormat="0" applyProtection="0">
      <alignment horizontal="right" vertical="center"/>
    </xf>
    <xf numFmtId="39" fontId="182" fillId="0" borderId="0" applyFont="0" applyFill="0" applyBorder="0" applyAlignment="0" applyProtection="0"/>
    <xf numFmtId="220" fontId="5" fillId="0" borderId="0"/>
    <xf numFmtId="220" fontId="146" fillId="48" borderId="108" applyNumberFormat="0" applyProtection="0">
      <alignment horizontal="right" vertical="center"/>
    </xf>
    <xf numFmtId="220" fontId="149" fillId="0" borderId="0">
      <protection locked="0"/>
    </xf>
    <xf numFmtId="220" fontId="145" fillId="0" borderId="0"/>
    <xf numFmtId="220" fontId="150" fillId="112" borderId="0" applyNumberFormat="0" applyBorder="0" applyAlignment="0" applyProtection="0">
      <alignment vertical="center"/>
    </xf>
    <xf numFmtId="220" fontId="220" fillId="93" borderId="0" applyNumberFormat="0" applyBorder="0" applyAlignment="0" applyProtection="0"/>
    <xf numFmtId="220" fontId="145" fillId="0" borderId="0"/>
    <xf numFmtId="220" fontId="5" fillId="0" borderId="0"/>
    <xf numFmtId="220" fontId="149" fillId="0" borderId="0">
      <protection locked="0"/>
    </xf>
    <xf numFmtId="220" fontId="145" fillId="0" borderId="0"/>
    <xf numFmtId="220" fontId="0" fillId="0" borderId="0"/>
    <xf numFmtId="220" fontId="145" fillId="0" borderId="0">
      <protection locked="0"/>
    </xf>
    <xf numFmtId="220" fontId="90" fillId="0" borderId="0"/>
    <xf numFmtId="220" fontId="145" fillId="0" borderId="0">
      <protection locked="0"/>
    </xf>
    <xf numFmtId="220" fontId="5" fillId="0" borderId="0"/>
    <xf numFmtId="220" fontId="147" fillId="42" borderId="0" applyNumberFormat="0" applyBorder="0" applyAlignment="0" applyProtection="0">
      <alignment vertical="center"/>
    </xf>
    <xf numFmtId="220" fontId="176" fillId="0" borderId="0" applyNumberFormat="0" applyFill="0" applyBorder="0" applyAlignment="0" applyProtection="0">
      <alignment vertical="center"/>
    </xf>
    <xf numFmtId="220" fontId="5" fillId="0" borderId="0"/>
    <xf numFmtId="220" fontId="139" fillId="0" borderId="0">
      <alignment vertical="center"/>
    </xf>
    <xf numFmtId="220" fontId="142" fillId="38" borderId="0" applyNumberFormat="0" applyBorder="0" applyAlignment="0" applyProtection="0">
      <alignment vertical="center"/>
    </xf>
    <xf numFmtId="220" fontId="151" fillId="0" borderId="0"/>
    <xf numFmtId="220" fontId="5" fillId="0" borderId="0"/>
    <xf numFmtId="220" fontId="145" fillId="0" borderId="0">
      <protection locked="0"/>
    </xf>
    <xf numFmtId="220" fontId="5" fillId="0" borderId="0"/>
    <xf numFmtId="220" fontId="145" fillId="0" borderId="0">
      <protection locked="0"/>
    </xf>
    <xf numFmtId="220" fontId="145" fillId="0" borderId="0"/>
    <xf numFmtId="220" fontId="145" fillId="0" borderId="0"/>
    <xf numFmtId="220" fontId="5" fillId="0" borderId="0"/>
    <xf numFmtId="220" fontId="5" fillId="0" borderId="0"/>
    <xf numFmtId="220" fontId="139" fillId="0" borderId="0">
      <alignment vertical="center"/>
    </xf>
    <xf numFmtId="220" fontId="145" fillId="0" borderId="0">
      <protection locked="0"/>
    </xf>
    <xf numFmtId="220" fontId="139" fillId="60"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90" fillId="0" borderId="0">
      <protection locked="0"/>
    </xf>
    <xf numFmtId="220" fontId="145" fillId="0" borderId="0">
      <protection locked="0"/>
    </xf>
    <xf numFmtId="220" fontId="145" fillId="0" borderId="0"/>
    <xf numFmtId="220" fontId="0" fillId="0" borderId="0"/>
    <xf numFmtId="220" fontId="152" fillId="44" borderId="0" applyNumberFormat="0" applyBorder="0" applyAlignment="0" applyProtection="0">
      <alignment vertical="center"/>
    </xf>
    <xf numFmtId="220" fontId="145" fillId="0" borderId="0">
      <protection locked="0"/>
    </xf>
    <xf numFmtId="220" fontId="5" fillId="0" borderId="0"/>
    <xf numFmtId="220" fontId="145" fillId="0" borderId="0"/>
    <xf numFmtId="220" fontId="145" fillId="0" borderId="0">
      <protection locked="0"/>
    </xf>
    <xf numFmtId="220" fontId="139" fillId="63" borderId="0" applyNumberFormat="0" applyBorder="0" applyAlignment="0" applyProtection="0">
      <alignment vertical="center"/>
    </xf>
    <xf numFmtId="220" fontId="145" fillId="0" borderId="0"/>
    <xf numFmtId="220" fontId="5" fillId="0" borderId="0"/>
    <xf numFmtId="220" fontId="143" fillId="0" borderId="0" applyNumberFormat="0" applyFill="0" applyBorder="0" applyAlignment="0" applyProtection="0">
      <alignment vertical="center"/>
    </xf>
    <xf numFmtId="220" fontId="145" fillId="0" borderId="0"/>
    <xf numFmtId="220" fontId="5" fillId="0" borderId="0"/>
    <xf numFmtId="220" fontId="5" fillId="0" borderId="0"/>
    <xf numFmtId="220" fontId="90" fillId="0" borderId="0"/>
    <xf numFmtId="220" fontId="90" fillId="0" borderId="0"/>
    <xf numFmtId="220" fontId="259" fillId="51" borderId="114" applyNumberFormat="0" applyAlignment="0" applyProtection="0"/>
    <xf numFmtId="220" fontId="147" fillId="38" borderId="0" applyNumberFormat="0" applyBorder="0" applyAlignment="0" applyProtection="0">
      <alignment vertical="center"/>
    </xf>
    <xf numFmtId="220" fontId="152" fillId="0" borderId="0">
      <alignment vertical="center"/>
    </xf>
    <xf numFmtId="220" fontId="14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147" fillId="42"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220" fontId="5" fillId="0" borderId="0"/>
    <xf numFmtId="220" fontId="158" fillId="81" borderId="0" applyNumberFormat="0" applyBorder="0" applyAlignment="0" applyProtection="0"/>
    <xf numFmtId="220" fontId="157" fillId="47" borderId="0" applyNumberFormat="0" applyBorder="0" applyAlignment="0" applyProtection="0">
      <alignment vertical="center"/>
    </xf>
    <xf numFmtId="220" fontId="0" fillId="0" borderId="0"/>
    <xf numFmtId="220" fontId="145" fillId="0" borderId="0">
      <protection locked="0"/>
    </xf>
    <xf numFmtId="220" fontId="0" fillId="0" borderId="0"/>
    <xf numFmtId="220" fontId="151" fillId="0" borderId="0"/>
    <xf numFmtId="220" fontId="0" fillId="0" borderId="0"/>
    <xf numFmtId="220" fontId="145" fillId="0" borderId="0">
      <protection locked="0"/>
    </xf>
    <xf numFmtId="220" fontId="145" fillId="0" borderId="0">
      <protection locked="0"/>
    </xf>
    <xf numFmtId="220" fontId="162" fillId="72" borderId="0" applyNumberFormat="0" applyBorder="0" applyAlignment="0" applyProtection="0"/>
    <xf numFmtId="220" fontId="139" fillId="0" borderId="0">
      <alignment vertical="center"/>
    </xf>
    <xf numFmtId="220" fontId="145" fillId="0" borderId="0">
      <protection locked="0"/>
    </xf>
    <xf numFmtId="220" fontId="146" fillId="0" borderId="0">
      <alignment vertical="top"/>
    </xf>
    <xf numFmtId="220" fontId="145" fillId="0" borderId="0">
      <protection locked="0"/>
    </xf>
    <xf numFmtId="220" fontId="5" fillId="0" borderId="0"/>
    <xf numFmtId="220" fontId="145" fillId="0" borderId="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5" fillId="0" borderId="0"/>
    <xf numFmtId="220" fontId="145" fillId="0" borderId="0">
      <protection locked="0"/>
    </xf>
    <xf numFmtId="220" fontId="145" fillId="0" borderId="0"/>
    <xf numFmtId="220" fontId="151" fillId="0" borderId="0"/>
    <xf numFmtId="220" fontId="142" fillId="38" borderId="0" applyNumberFormat="0" applyBorder="0" applyAlignment="0" applyProtection="0">
      <alignment vertical="center"/>
    </xf>
    <xf numFmtId="43" fontId="0" fillId="0" borderId="0" applyFont="0" applyFill="0" applyBorder="0" applyAlignment="0" applyProtection="0"/>
    <xf numFmtId="220" fontId="0" fillId="0" borderId="0"/>
    <xf numFmtId="220" fontId="145" fillId="0" borderId="0"/>
    <xf numFmtId="220" fontId="145" fillId="0" borderId="0">
      <protection locked="0"/>
    </xf>
    <xf numFmtId="220" fontId="14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39" fillId="100" borderId="0" applyNumberFormat="0" applyBorder="0" applyAlignment="0" applyProtection="0">
      <alignment vertical="center"/>
    </xf>
    <xf numFmtId="220" fontId="157" fillId="47" borderId="0" applyNumberFormat="0" applyBorder="0" applyAlignment="0" applyProtection="0">
      <alignment vertical="center"/>
    </xf>
    <xf numFmtId="220" fontId="190" fillId="77" borderId="0" applyNumberFormat="0" applyBorder="0" applyAlignment="0" applyProtection="0">
      <alignment vertical="center"/>
    </xf>
    <xf numFmtId="180" fontId="0" fillId="0" borderId="0" applyFont="0" applyFill="0" applyBorder="0" applyAlignment="0" applyProtection="0"/>
    <xf numFmtId="220" fontId="147" fillId="42" borderId="0" applyNumberFormat="0" applyBorder="0" applyAlignment="0" applyProtection="0">
      <alignment vertical="center"/>
    </xf>
    <xf numFmtId="220" fontId="149" fillId="0" borderId="0">
      <protection locked="0"/>
    </xf>
    <xf numFmtId="220" fontId="5" fillId="0" borderId="0"/>
    <xf numFmtId="220" fontId="147" fillId="42" borderId="0" applyNumberFormat="0" applyBorder="0" applyAlignment="0" applyProtection="0">
      <alignment vertical="center"/>
    </xf>
    <xf numFmtId="220" fontId="151" fillId="0" borderId="0"/>
    <xf numFmtId="220" fontId="145" fillId="0" borderId="0">
      <protection locked="0"/>
    </xf>
    <xf numFmtId="220" fontId="0" fillId="0" borderId="0">
      <alignment vertical="center"/>
    </xf>
    <xf numFmtId="220" fontId="0" fillId="0" borderId="0">
      <alignment vertical="center"/>
    </xf>
    <xf numFmtId="220" fontId="145" fillId="0" borderId="0"/>
    <xf numFmtId="220" fontId="166" fillId="48"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45" fillId="0" borderId="0"/>
    <xf numFmtId="220" fontId="150" fillId="35" borderId="0" applyNumberFormat="0" applyBorder="0" applyAlignment="0" applyProtection="0">
      <alignment vertical="center"/>
    </xf>
    <xf numFmtId="220" fontId="0" fillId="0" borderId="0"/>
    <xf numFmtId="220" fontId="0" fillId="0" borderId="0"/>
    <xf numFmtId="220" fontId="145" fillId="0" borderId="0"/>
    <xf numFmtId="220" fontId="145" fillId="0" borderId="0">
      <protection locked="0"/>
    </xf>
    <xf numFmtId="220" fontId="5" fillId="0" borderId="0"/>
    <xf numFmtId="220" fontId="145" fillId="0" borderId="0">
      <protection locked="0"/>
    </xf>
    <xf numFmtId="220" fontId="145" fillId="0" borderId="0">
      <protection locked="0"/>
    </xf>
    <xf numFmtId="220" fontId="0" fillId="0" borderId="0"/>
    <xf numFmtId="220" fontId="149" fillId="0" borderId="0">
      <protection locked="0"/>
    </xf>
    <xf numFmtId="220" fontId="145" fillId="0" borderId="0">
      <protection locked="0"/>
    </xf>
    <xf numFmtId="220" fontId="0" fillId="0" borderId="0"/>
    <xf numFmtId="220" fontId="152" fillId="74" borderId="0" applyNumberFormat="0" applyBorder="0" applyAlignment="0" applyProtection="0">
      <alignment vertical="center"/>
    </xf>
    <xf numFmtId="220" fontId="145" fillId="0" borderId="0">
      <protection locked="0"/>
    </xf>
    <xf numFmtId="220" fontId="146" fillId="0" borderId="0">
      <alignment vertical="top"/>
    </xf>
    <xf numFmtId="220" fontId="5" fillId="0" borderId="0"/>
    <xf numFmtId="220" fontId="0" fillId="0" borderId="0"/>
    <xf numFmtId="220" fontId="145" fillId="0" borderId="0">
      <protection locked="0"/>
    </xf>
    <xf numFmtId="198" fontId="0" fillId="0" borderId="0"/>
    <xf numFmtId="220" fontId="161" fillId="97" borderId="0" applyNumberFormat="0" applyBorder="0" applyAlignment="0" applyProtection="0">
      <alignment vertical="center"/>
    </xf>
    <xf numFmtId="220" fontId="5" fillId="0" borderId="0"/>
    <xf numFmtId="211" fontId="0" fillId="0" borderId="0" applyFont="0" applyFill="0" applyBorder="0" applyAlignment="0" applyProtection="0"/>
    <xf numFmtId="220" fontId="5" fillId="0" borderId="0"/>
    <xf numFmtId="180" fontId="0" fillId="0" borderId="0" applyFont="0" applyFill="0" applyBorder="0" applyAlignment="0" applyProtection="0"/>
    <xf numFmtId="220" fontId="145" fillId="0" borderId="0">
      <protection locked="0"/>
    </xf>
    <xf numFmtId="220" fontId="145" fillId="0" borderId="0">
      <protection locked="0"/>
    </xf>
    <xf numFmtId="220" fontId="90" fillId="0" borderId="0">
      <protection locked="0"/>
    </xf>
    <xf numFmtId="220" fontId="5" fillId="0" borderId="0"/>
    <xf numFmtId="220" fontId="145" fillId="0" borderId="0">
      <protection locked="0"/>
    </xf>
    <xf numFmtId="180" fontId="0" fillId="0" borderId="0" applyFont="0" applyFill="0" applyBorder="0" applyAlignment="0" applyProtection="0"/>
    <xf numFmtId="9" fontId="0" fillId="0" borderId="0" applyFont="0" applyFill="0" applyBorder="0" applyAlignment="0" applyProtection="0"/>
    <xf numFmtId="220" fontId="145" fillId="0" borderId="0">
      <protection locked="0"/>
    </xf>
    <xf numFmtId="220" fontId="5" fillId="0" borderId="0"/>
    <xf numFmtId="220" fontId="151" fillId="0" borderId="0">
      <protection locked="0"/>
    </xf>
    <xf numFmtId="220" fontId="151" fillId="0" borderId="0"/>
    <xf numFmtId="220" fontId="150" fillId="35" borderId="0" applyNumberFormat="0" applyBorder="0" applyAlignment="0" applyProtection="0">
      <alignment vertical="center"/>
    </xf>
    <xf numFmtId="220" fontId="145" fillId="0" borderId="0"/>
    <xf numFmtId="220" fontId="145" fillId="0" borderId="0">
      <protection locked="0"/>
    </xf>
    <xf numFmtId="220" fontId="145" fillId="0" borderId="0">
      <protection locked="0"/>
    </xf>
    <xf numFmtId="220" fontId="5" fillId="0" borderId="0"/>
    <xf numFmtId="220" fontId="0" fillId="0" borderId="0">
      <protection locked="0"/>
    </xf>
    <xf numFmtId="220" fontId="151" fillId="0" borderId="0">
      <protection locked="0"/>
    </xf>
    <xf numFmtId="220" fontId="5" fillId="0" borderId="0"/>
    <xf numFmtId="220" fontId="139" fillId="89" borderId="0" applyNumberFormat="0" applyBorder="0" applyAlignment="0" applyProtection="0">
      <alignment vertical="center"/>
    </xf>
    <xf numFmtId="220" fontId="145" fillId="0" borderId="0">
      <protection locked="0"/>
    </xf>
    <xf numFmtId="220" fontId="5" fillId="0" borderId="0"/>
    <xf numFmtId="220" fontId="151" fillId="0" borderId="0">
      <protection locked="0"/>
    </xf>
    <xf numFmtId="220" fontId="161" fillId="54" borderId="0" applyNumberFormat="0" applyBorder="0" applyAlignment="0" applyProtection="0">
      <alignment vertical="center"/>
    </xf>
    <xf numFmtId="220" fontId="147" fillId="38" borderId="0" applyNumberFormat="0" applyBorder="0" applyAlignment="0" applyProtection="0">
      <alignment vertical="center"/>
    </xf>
    <xf numFmtId="220" fontId="149" fillId="0" borderId="0">
      <protection locked="0"/>
    </xf>
    <xf numFmtId="220" fontId="5" fillId="0" borderId="0"/>
    <xf numFmtId="220" fontId="139" fillId="45"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151" fillId="0" borderId="0"/>
    <xf numFmtId="220" fontId="0" fillId="0" borderId="0"/>
    <xf numFmtId="220" fontId="0" fillId="0" borderId="0"/>
    <xf numFmtId="220" fontId="145" fillId="0" borderId="0">
      <protection locked="0"/>
    </xf>
    <xf numFmtId="220" fontId="139" fillId="45" borderId="0" applyNumberFormat="0" applyBorder="0" applyAlignment="0" applyProtection="0">
      <alignment vertical="center"/>
    </xf>
    <xf numFmtId="220" fontId="0" fillId="0" borderId="0"/>
    <xf numFmtId="220" fontId="149" fillId="0" borderId="0">
      <protection locked="0"/>
    </xf>
    <xf numFmtId="220" fontId="0" fillId="0" borderId="0"/>
    <xf numFmtId="220" fontId="146" fillId="0" borderId="0">
      <alignment vertical="top"/>
    </xf>
    <xf numFmtId="220" fontId="139" fillId="0" borderId="0">
      <alignment vertical="center"/>
    </xf>
    <xf numFmtId="220" fontId="145" fillId="0" borderId="0">
      <protection locked="0"/>
    </xf>
    <xf numFmtId="220" fontId="158" fillId="0" borderId="0" applyNumberFormat="0" applyBorder="0" applyAlignment="0">
      <alignment vertical="center"/>
      <protection locked="0"/>
    </xf>
    <xf numFmtId="220" fontId="145" fillId="0" borderId="0">
      <protection locked="0"/>
    </xf>
    <xf numFmtId="220" fontId="157" fillId="47" borderId="0" applyNumberFormat="0" applyBorder="0" applyAlignment="0" applyProtection="0">
      <alignment vertical="center"/>
    </xf>
    <xf numFmtId="220" fontId="149" fillId="0" borderId="0">
      <protection locked="0"/>
    </xf>
    <xf numFmtId="220" fontId="145" fillId="0" borderId="0">
      <protection locked="0"/>
    </xf>
    <xf numFmtId="220" fontId="5" fillId="0" borderId="0"/>
    <xf numFmtId="220" fontId="5" fillId="0" borderId="0"/>
    <xf numFmtId="220" fontId="139" fillId="4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5" fillId="0" borderId="0"/>
    <xf numFmtId="220" fontId="90" fillId="0" borderId="0">
      <protection locked="0"/>
    </xf>
    <xf numFmtId="215" fontId="75" fillId="0" borderId="0" applyFill="0" applyBorder="0" applyAlignment="0"/>
    <xf numFmtId="220" fontId="139" fillId="18" borderId="0" applyNumberFormat="0" applyBorder="0" applyAlignment="0" applyProtection="0">
      <alignment vertical="center"/>
    </xf>
    <xf numFmtId="220" fontId="5" fillId="0" borderId="0"/>
    <xf numFmtId="220" fontId="145" fillId="0" borderId="0">
      <protection locked="0"/>
    </xf>
    <xf numFmtId="220" fontId="145" fillId="0" borderId="0">
      <protection locked="0"/>
    </xf>
    <xf numFmtId="220" fontId="5" fillId="0" borderId="0"/>
    <xf numFmtId="220" fontId="147" fillId="42" borderId="0" applyNumberFormat="0" applyBorder="0" applyAlignment="0" applyProtection="0">
      <alignment vertical="center"/>
    </xf>
    <xf numFmtId="220" fontId="5" fillId="0" borderId="0"/>
    <xf numFmtId="220" fontId="145" fillId="0" borderId="0"/>
    <xf numFmtId="220" fontId="142" fillId="38" borderId="0" applyNumberFormat="0" applyBorder="0" applyAlignment="0" applyProtection="0">
      <alignment vertical="center"/>
    </xf>
    <xf numFmtId="220" fontId="5" fillId="0" borderId="0"/>
    <xf numFmtId="220" fontId="145" fillId="0" borderId="0"/>
    <xf numFmtId="220" fontId="145" fillId="0" borderId="0"/>
    <xf numFmtId="220" fontId="5" fillId="0" borderId="0"/>
    <xf numFmtId="220" fontId="150" fillId="35" borderId="0" applyNumberFormat="0" applyBorder="0" applyAlignment="0" applyProtection="0">
      <alignment vertical="center"/>
    </xf>
    <xf numFmtId="9" fontId="152" fillId="0" borderId="0" applyFont="0" applyFill="0" applyBorder="0" applyAlignment="0" applyProtection="0">
      <alignment vertical="center"/>
    </xf>
    <xf numFmtId="220" fontId="181" fillId="0" borderId="0"/>
    <xf numFmtId="220" fontId="142" fillId="38" borderId="0" applyNumberFormat="0" applyBorder="0" applyAlignment="0" applyProtection="0">
      <alignment vertical="center"/>
    </xf>
    <xf numFmtId="220" fontId="5" fillId="0" borderId="0"/>
    <xf numFmtId="220" fontId="145" fillId="0" borderId="0"/>
    <xf numFmtId="220" fontId="5" fillId="0" borderId="0"/>
    <xf numFmtId="220" fontId="90" fillId="0" borderId="0"/>
    <xf numFmtId="220" fontId="142" fillId="38" borderId="0" applyNumberFormat="0" applyBorder="0" applyAlignment="0" applyProtection="0">
      <alignment vertical="center"/>
    </xf>
    <xf numFmtId="220" fontId="145" fillId="0" borderId="0">
      <protection locked="0"/>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0" fillId="0" borderId="0"/>
    <xf numFmtId="220" fontId="145" fillId="0" borderId="0">
      <protection locked="0"/>
    </xf>
    <xf numFmtId="220" fontId="5" fillId="0" borderId="0"/>
    <xf numFmtId="220" fontId="5" fillId="0" borderId="0"/>
    <xf numFmtId="205" fontId="145" fillId="0" borderId="0" applyFill="0" applyBorder="0" applyAlignment="0"/>
    <xf numFmtId="220" fontId="5" fillId="0" borderId="0"/>
    <xf numFmtId="220" fontId="0" fillId="0" borderId="0">
      <protection locked="0"/>
    </xf>
    <xf numFmtId="220" fontId="5" fillId="0" borderId="0"/>
    <xf numFmtId="220" fontId="145" fillId="0" borderId="0">
      <protection locked="0"/>
    </xf>
    <xf numFmtId="220" fontId="145" fillId="0" borderId="0">
      <protection locked="0"/>
    </xf>
    <xf numFmtId="220" fontId="5" fillId="0" borderId="0"/>
    <xf numFmtId="220" fontId="5" fillId="0" borderId="0"/>
    <xf numFmtId="220" fontId="5" fillId="0" borderId="0"/>
    <xf numFmtId="220" fontId="145" fillId="0" borderId="0">
      <protection locked="0"/>
    </xf>
    <xf numFmtId="220" fontId="149" fillId="0" borderId="0">
      <protection locked="0"/>
    </xf>
    <xf numFmtId="220" fontId="0" fillId="0" borderId="0"/>
    <xf numFmtId="220" fontId="0" fillId="0" borderId="0"/>
    <xf numFmtId="191" fontId="0" fillId="0" borderId="0" applyFont="0" applyFill="0" applyBorder="0" applyAlignment="0" applyProtection="0"/>
    <xf numFmtId="220" fontId="145" fillId="0" borderId="0">
      <protection locked="0"/>
    </xf>
    <xf numFmtId="220" fontId="0" fillId="0" borderId="0"/>
    <xf numFmtId="220" fontId="0" fillId="0" borderId="0"/>
    <xf numFmtId="220" fontId="139" fillId="40" borderId="0" applyNumberFormat="0" applyBorder="0" applyAlignment="0" applyProtection="0">
      <alignment vertical="center"/>
    </xf>
    <xf numFmtId="211" fontId="0" fillId="0" borderId="0" applyFont="0" applyFill="0" applyBorder="0" applyAlignment="0" applyProtection="0"/>
    <xf numFmtId="212" fontId="0" fillId="0" borderId="0"/>
    <xf numFmtId="220" fontId="152" fillId="74" borderId="0" applyNumberFormat="0" applyBorder="0" applyAlignment="0" applyProtection="0">
      <alignment vertical="center"/>
    </xf>
    <xf numFmtId="220" fontId="5" fillId="0" borderId="0"/>
    <xf numFmtId="220" fontId="149" fillId="0" borderId="0">
      <protection locked="0"/>
    </xf>
    <xf numFmtId="220" fontId="5" fillId="0" borderId="0"/>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150" fillId="35" borderId="0" applyNumberFormat="0" applyBorder="0" applyAlignment="0" applyProtection="0">
      <alignment vertical="center"/>
    </xf>
    <xf numFmtId="211" fontId="0" fillId="0" borderId="0" applyFont="0" applyFill="0" applyBorder="0" applyAlignment="0" applyProtection="0"/>
    <xf numFmtId="220" fontId="152" fillId="47" borderId="0" applyNumberFormat="0" applyBorder="0" applyAlignment="0" applyProtection="0">
      <alignment vertical="center"/>
    </xf>
    <xf numFmtId="220" fontId="147" fillId="42" borderId="0" applyNumberFormat="0" applyBorder="0" applyAlignment="0" applyProtection="0">
      <alignment vertical="center"/>
    </xf>
    <xf numFmtId="220" fontId="145" fillId="0" borderId="0">
      <protection locked="0"/>
    </xf>
    <xf numFmtId="220" fontId="0" fillId="0" borderId="0">
      <alignment vertical="center"/>
    </xf>
    <xf numFmtId="220" fontId="0" fillId="0" borderId="0">
      <alignment vertical="center"/>
    </xf>
    <xf numFmtId="220" fontId="149" fillId="0" borderId="0">
      <protection locked="0"/>
    </xf>
    <xf numFmtId="220" fontId="0" fillId="0" borderId="0">
      <alignment vertical="center"/>
    </xf>
    <xf numFmtId="220" fontId="0" fillId="0" borderId="0">
      <alignment vertical="center"/>
    </xf>
    <xf numFmtId="220" fontId="149" fillId="0" borderId="0">
      <protection locked="0"/>
    </xf>
    <xf numFmtId="43" fontId="0" fillId="0" borderId="0" applyFont="0" applyFill="0" applyBorder="0" applyAlignment="0" applyProtection="0"/>
    <xf numFmtId="220" fontId="0" fillId="0" borderId="0"/>
    <xf numFmtId="220" fontId="0" fillId="0" borderId="0" applyNumberFormat="0" applyFill="0" applyBorder="0" applyAlignment="0" applyProtection="0"/>
    <xf numFmtId="220" fontId="0" fillId="0" borderId="0">
      <alignment vertical="center"/>
    </xf>
    <xf numFmtId="220" fontId="149" fillId="0" borderId="0">
      <protection locked="0"/>
    </xf>
    <xf numFmtId="220" fontId="142" fillId="38" borderId="0" applyNumberFormat="0" applyBorder="0" applyAlignment="0" applyProtection="0">
      <alignment vertical="center"/>
    </xf>
    <xf numFmtId="220" fontId="145" fillId="0" borderId="0"/>
    <xf numFmtId="220" fontId="152" fillId="44"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xf numFmtId="220" fontId="5" fillId="0" borderId="0"/>
    <xf numFmtId="220" fontId="145" fillId="0" borderId="0"/>
    <xf numFmtId="220" fontId="145" fillId="0" borderId="0"/>
    <xf numFmtId="220" fontId="5" fillId="0" borderId="0"/>
    <xf numFmtId="220" fontId="5" fillId="0" borderId="0"/>
    <xf numFmtId="220" fontId="5" fillId="0" borderId="0"/>
    <xf numFmtId="220" fontId="5"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45" fillId="0" borderId="0"/>
    <xf numFmtId="220" fontId="145" fillId="0" borderId="0">
      <protection locked="0"/>
    </xf>
    <xf numFmtId="220" fontId="145" fillId="0" borderId="0">
      <protection locked="0"/>
    </xf>
    <xf numFmtId="220" fontId="151" fillId="0" borderId="0">
      <protection locked="0"/>
    </xf>
    <xf numFmtId="220" fontId="157" fillId="47" borderId="0" applyNumberFormat="0" applyBorder="0" applyAlignment="0" applyProtection="0">
      <alignment vertical="center"/>
    </xf>
    <xf numFmtId="220" fontId="90" fillId="0" borderId="0">
      <protection locked="0"/>
    </xf>
    <xf numFmtId="220" fontId="145" fillId="0" borderId="0">
      <protection locked="0"/>
    </xf>
    <xf numFmtId="220" fontId="145" fillId="0" borderId="0"/>
    <xf numFmtId="220" fontId="5" fillId="0" borderId="0"/>
    <xf numFmtId="9" fontId="0" fillId="0" borderId="0" applyFont="0" applyFill="0" applyBorder="0" applyAlignment="0" applyProtection="0"/>
    <xf numFmtId="220" fontId="145" fillId="0" borderId="0">
      <protection locked="0"/>
    </xf>
    <xf numFmtId="198" fontId="0" fillId="0" borderId="0"/>
    <xf numFmtId="220" fontId="152" fillId="74" borderId="0" applyNumberFormat="0" applyBorder="0" applyAlignment="0" applyProtection="0">
      <alignment vertical="center"/>
    </xf>
    <xf numFmtId="220" fontId="145" fillId="0" borderId="0"/>
    <xf numFmtId="220" fontId="151" fillId="0" borderId="0"/>
    <xf numFmtId="220" fontId="139" fillId="4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6" fillId="0" borderId="0">
      <alignment vertical="top"/>
    </xf>
    <xf numFmtId="220" fontId="5" fillId="0" borderId="0"/>
    <xf numFmtId="220" fontId="147" fillId="38" borderId="0" applyNumberFormat="0" applyBorder="0" applyAlignment="0" applyProtection="0">
      <alignment vertical="center"/>
    </xf>
    <xf numFmtId="220" fontId="220" fillId="99" borderId="0" applyNumberFormat="0" applyBorder="0" applyAlignment="0" applyProtection="0"/>
    <xf numFmtId="220" fontId="157" fillId="47" borderId="0" applyNumberFormat="0" applyBorder="0" applyAlignment="0" applyProtection="0">
      <alignment vertical="center"/>
    </xf>
    <xf numFmtId="220" fontId="145" fillId="0" borderId="0">
      <protection locked="0"/>
    </xf>
    <xf numFmtId="220" fontId="146" fillId="0" borderId="0">
      <alignment vertical="top"/>
    </xf>
    <xf numFmtId="187" fontId="0" fillId="117" borderId="0"/>
    <xf numFmtId="215" fontId="75" fillId="0" borderId="0" applyFill="0" applyBorder="0" applyAlignment="0"/>
    <xf numFmtId="220" fontId="145" fillId="0" borderId="0">
      <protection locked="0"/>
    </xf>
    <xf numFmtId="220" fontId="146" fillId="0" borderId="0">
      <alignment vertical="top"/>
    </xf>
    <xf numFmtId="220" fontId="146" fillId="0" borderId="0">
      <alignment vertical="top"/>
    </xf>
    <xf numFmtId="220" fontId="220" fillId="54" borderId="0" applyNumberFormat="0" applyBorder="0" applyAlignment="0" applyProtection="0"/>
    <xf numFmtId="220" fontId="158" fillId="0" borderId="0" applyNumberFormat="0" applyBorder="0" applyAlignment="0" applyProtection="0">
      <alignment vertical="center"/>
    </xf>
    <xf numFmtId="220" fontId="139" fillId="48" borderId="0" applyNumberFormat="0" applyBorder="0" applyAlignment="0" applyProtection="0">
      <alignment vertical="center"/>
    </xf>
    <xf numFmtId="220" fontId="146" fillId="0" borderId="0">
      <alignment vertical="top"/>
    </xf>
    <xf numFmtId="220" fontId="145" fillId="0" borderId="0">
      <protection locked="0"/>
    </xf>
    <xf numFmtId="220" fontId="146" fillId="0" borderId="0">
      <alignment vertical="top"/>
    </xf>
    <xf numFmtId="220" fontId="70" fillId="0" borderId="0" applyNumberFormat="0" applyFill="0" applyBorder="0" applyAlignment="0" applyProtection="0">
      <alignment vertical="top"/>
      <protection locked="0"/>
    </xf>
    <xf numFmtId="220" fontId="145" fillId="0" borderId="0">
      <protection locked="0"/>
    </xf>
    <xf numFmtId="220" fontId="5" fillId="0" borderId="0"/>
    <xf numFmtId="220" fontId="145" fillId="0" borderId="0">
      <protection locked="0"/>
    </xf>
    <xf numFmtId="220" fontId="145" fillId="0" borderId="0">
      <protection locked="0"/>
    </xf>
    <xf numFmtId="220" fontId="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145" fillId="0" borderId="0">
      <protection locked="0"/>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5" fillId="0" borderId="0">
      <protection locked="0"/>
    </xf>
    <xf numFmtId="220" fontId="5" fillId="0" borderId="0"/>
    <xf numFmtId="220" fontId="142" fillId="38" borderId="0" applyNumberFormat="0" applyBorder="0" applyAlignment="0" applyProtection="0">
      <alignment vertical="center"/>
    </xf>
    <xf numFmtId="220" fontId="145" fillId="0" borderId="0">
      <protection locked="0"/>
    </xf>
    <xf numFmtId="220" fontId="5" fillId="0" borderId="0"/>
    <xf numFmtId="220" fontId="161" fillId="97" borderId="0" applyNumberFormat="0" applyBorder="0" applyAlignment="0" applyProtection="0">
      <alignment vertical="center"/>
    </xf>
    <xf numFmtId="220" fontId="191" fillId="0" borderId="0"/>
    <xf numFmtId="220" fontId="5" fillId="0" borderId="0"/>
    <xf numFmtId="220" fontId="145" fillId="0" borderId="0">
      <protection locked="0"/>
    </xf>
    <xf numFmtId="220" fontId="0" fillId="0" borderId="0"/>
    <xf numFmtId="220" fontId="145" fillId="0" borderId="0">
      <protection locked="0"/>
    </xf>
    <xf numFmtId="220" fontId="0" fillId="0" borderId="0">
      <alignment vertical="center"/>
    </xf>
    <xf numFmtId="220" fontId="151" fillId="0" borderId="0">
      <protection locked="0"/>
    </xf>
    <xf numFmtId="228" fontId="145" fillId="0" borderId="0"/>
    <xf numFmtId="220" fontId="161" fillId="9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16" fontId="0" fillId="0" borderId="0" applyFont="0" applyFill="0" applyBorder="0" applyAlignment="0" applyProtection="0"/>
    <xf numFmtId="220" fontId="5" fillId="0" borderId="0"/>
    <xf numFmtId="180" fontId="0" fillId="0" borderId="0" applyFont="0" applyFill="0" applyBorder="0" applyAlignment="0" applyProtection="0"/>
    <xf numFmtId="220" fontId="145" fillId="0" borderId="0">
      <protection locked="0"/>
    </xf>
    <xf numFmtId="220" fontId="161" fillId="54"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45" fillId="0" borderId="0"/>
    <xf numFmtId="220" fontId="0" fillId="0" borderId="0"/>
    <xf numFmtId="220" fontId="150" fillId="35" borderId="0" applyNumberFormat="0" applyBorder="0" applyAlignment="0" applyProtection="0">
      <alignment vertical="center"/>
    </xf>
    <xf numFmtId="220" fontId="146" fillId="0" borderId="0">
      <alignment vertical="top"/>
      <protection locked="0"/>
    </xf>
    <xf numFmtId="220" fontId="152" fillId="44"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46" fillId="0" borderId="0">
      <alignment vertical="top"/>
      <protection locked="0"/>
    </xf>
    <xf numFmtId="220" fontId="5" fillId="0" borderId="0"/>
    <xf numFmtId="220" fontId="5" fillId="0" borderId="0"/>
    <xf numFmtId="220" fontId="148" fillId="54" borderId="0" applyNumberFormat="0" applyBorder="0" applyAlignment="0" applyProtection="0">
      <alignment vertical="center"/>
    </xf>
    <xf numFmtId="220" fontId="151" fillId="0" borderId="0">
      <protection locked="0"/>
    </xf>
    <xf numFmtId="220" fontId="0" fillId="0" borderId="0"/>
    <xf numFmtId="220" fontId="152" fillId="74" borderId="0" applyNumberFormat="0" applyBorder="0" applyAlignment="0" applyProtection="0">
      <alignment vertical="center"/>
    </xf>
    <xf numFmtId="220" fontId="146" fillId="0" borderId="0">
      <alignment vertical="top"/>
      <protection locked="0"/>
    </xf>
    <xf numFmtId="220" fontId="142" fillId="38" borderId="0" applyNumberFormat="0" applyBorder="0" applyAlignment="0" applyProtection="0">
      <alignment vertical="center"/>
    </xf>
    <xf numFmtId="220" fontId="0" fillId="0" borderId="0"/>
    <xf numFmtId="220" fontId="145" fillId="0" borderId="0">
      <protection locked="0"/>
    </xf>
    <xf numFmtId="220" fontId="145" fillId="0" borderId="0">
      <protection locked="0"/>
    </xf>
    <xf numFmtId="220" fontId="139" fillId="45" borderId="0" applyNumberFormat="0" applyBorder="0" applyAlignment="0" applyProtection="0">
      <alignment vertical="center"/>
    </xf>
    <xf numFmtId="220" fontId="5" fillId="0" borderId="0"/>
    <xf numFmtId="220" fontId="0" fillId="0" borderId="0"/>
    <xf numFmtId="220" fontId="145" fillId="0" borderId="0"/>
    <xf numFmtId="220" fontId="90" fillId="0" borderId="0"/>
    <xf numFmtId="220" fontId="146" fillId="55" borderId="108" applyNumberFormat="0" applyProtection="0">
      <alignment horizontal="left" vertical="center" indent="1"/>
    </xf>
    <xf numFmtId="220" fontId="228" fillId="53" borderId="1">
      <alignment vertical="center"/>
    </xf>
    <xf numFmtId="220" fontId="162" fillId="49" borderId="0" applyNumberFormat="0" applyBorder="0" applyAlignment="0" applyProtection="0"/>
    <xf numFmtId="220" fontId="152" fillId="44" borderId="0" applyNumberFormat="0" applyBorder="0" applyAlignment="0" applyProtection="0">
      <alignment vertical="center"/>
    </xf>
    <xf numFmtId="220" fontId="5" fillId="0" borderId="0"/>
    <xf numFmtId="220" fontId="145" fillId="0" borderId="0">
      <protection locked="0"/>
    </xf>
    <xf numFmtId="220" fontId="5" fillId="0" borderId="0"/>
    <xf numFmtId="220" fontId="90" fillId="0" borderId="0"/>
    <xf numFmtId="220" fontId="145" fillId="0" borderId="0"/>
    <xf numFmtId="220" fontId="5" fillId="0" borderId="0"/>
    <xf numFmtId="9" fontId="152" fillId="0" borderId="0" applyFont="0" applyFill="0" applyBorder="0" applyAlignment="0" applyProtection="0">
      <alignment vertical="center"/>
    </xf>
    <xf numFmtId="220" fontId="145" fillId="0" borderId="0"/>
    <xf numFmtId="220" fontId="149" fillId="0" borderId="0">
      <protection locked="0"/>
    </xf>
    <xf numFmtId="220" fontId="157" fillId="47" borderId="0" applyNumberFormat="0" applyBorder="0" applyAlignment="0" applyProtection="0">
      <alignment vertical="center"/>
    </xf>
    <xf numFmtId="220" fontId="145" fillId="0" borderId="0"/>
    <xf numFmtId="220" fontId="157" fillId="47" borderId="0" applyNumberFormat="0" applyBorder="0" applyAlignment="0" applyProtection="0">
      <alignment vertical="center"/>
    </xf>
    <xf numFmtId="220" fontId="145" fillId="0" borderId="0">
      <protection locked="0"/>
    </xf>
    <xf numFmtId="220" fontId="145" fillId="0" borderId="0"/>
    <xf numFmtId="220" fontId="90" fillId="0" borderId="0"/>
    <xf numFmtId="220" fontId="142" fillId="38" borderId="0" applyNumberFormat="0" applyBorder="0" applyAlignment="0" applyProtection="0">
      <alignment vertical="center"/>
    </xf>
    <xf numFmtId="220" fontId="145" fillId="0" borderId="0">
      <protection locked="0"/>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0" fillId="0" borderId="0">
      <alignment vertical="top"/>
    </xf>
    <xf numFmtId="220" fontId="157" fillId="47" borderId="0" applyNumberFormat="0" applyBorder="0" applyAlignment="0" applyProtection="0">
      <alignment vertical="center"/>
    </xf>
    <xf numFmtId="220" fontId="145" fillId="0" borderId="0"/>
    <xf numFmtId="220" fontId="5" fillId="0" borderId="0"/>
    <xf numFmtId="220" fontId="145" fillId="0" borderId="0"/>
    <xf numFmtId="220" fontId="0" fillId="0" borderId="0"/>
    <xf numFmtId="220" fontId="157" fillId="47" borderId="0" applyNumberFormat="0" applyBorder="0" applyAlignment="0" applyProtection="0">
      <alignment vertical="center"/>
    </xf>
    <xf numFmtId="220" fontId="145" fillId="0" borderId="0">
      <protection locked="0"/>
    </xf>
    <xf numFmtId="220" fontId="145" fillId="0" borderId="0">
      <protection locked="0"/>
    </xf>
    <xf numFmtId="220" fontId="161" fillId="97"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6" fillId="0" borderId="0">
      <alignment vertical="top"/>
    </xf>
    <xf numFmtId="220" fontId="5" fillId="0" borderId="0"/>
    <xf numFmtId="220" fontId="157" fillId="47" borderId="0" applyNumberFormat="0" applyBorder="0" applyAlignment="0" applyProtection="0">
      <alignment vertical="center"/>
    </xf>
    <xf numFmtId="220" fontId="145" fillId="0" borderId="0"/>
    <xf numFmtId="220" fontId="145" fillId="0" borderId="0"/>
    <xf numFmtId="220" fontId="150" fillId="35" borderId="0" applyNumberFormat="0" applyBorder="0" applyAlignment="0" applyProtection="0">
      <alignment vertical="center"/>
    </xf>
    <xf numFmtId="220" fontId="5" fillId="0" borderId="0"/>
    <xf numFmtId="220" fontId="5" fillId="0" borderId="0"/>
    <xf numFmtId="220" fontId="145" fillId="0" borderId="0">
      <protection locked="0"/>
    </xf>
    <xf numFmtId="220" fontId="0" fillId="0" borderId="0"/>
    <xf numFmtId="220" fontId="145" fillId="0" borderId="0"/>
    <xf numFmtId="220" fontId="5" fillId="0" borderId="0"/>
    <xf numFmtId="220" fontId="157" fillId="47" borderId="0" applyNumberFormat="0" applyBorder="0" applyAlignment="0" applyProtection="0">
      <alignment vertical="center"/>
    </xf>
    <xf numFmtId="220" fontId="149" fillId="0" borderId="0">
      <protection locked="0"/>
    </xf>
    <xf numFmtId="220" fontId="157" fillId="47" borderId="0" applyNumberFormat="0" applyBorder="0" applyAlignment="0" applyProtection="0">
      <alignment vertical="center"/>
    </xf>
    <xf numFmtId="220" fontId="145" fillId="0" borderId="0">
      <protection locked="0"/>
    </xf>
    <xf numFmtId="220" fontId="163" fillId="54" borderId="0" applyNumberFormat="0" applyBorder="0" applyAlignment="0" applyProtection="0"/>
    <xf numFmtId="220" fontId="0"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43" fontId="145" fillId="0" borderId="0" applyFont="0" applyFill="0" applyBorder="0" applyAlignment="0" applyProtection="0"/>
    <xf numFmtId="220" fontId="149" fillId="0" borderId="0">
      <protection locked="0"/>
    </xf>
    <xf numFmtId="220" fontId="145" fillId="0" borderId="0"/>
    <xf numFmtId="220" fontId="5" fillId="0" borderId="0"/>
    <xf numFmtId="220" fontId="5" fillId="0" borderId="0"/>
    <xf numFmtId="220" fontId="90" fillId="0" borderId="0"/>
    <xf numFmtId="191" fontId="163" fillId="0" borderId="0" applyFont="0" applyFill="0" applyBorder="0" applyAlignment="0" applyProtection="0"/>
    <xf numFmtId="220" fontId="145" fillId="0" borderId="0">
      <protection locked="0"/>
    </xf>
    <xf numFmtId="220" fontId="145" fillId="0" borderId="0">
      <protection locked="0"/>
    </xf>
    <xf numFmtId="220" fontId="145" fillId="0" borderId="0">
      <protection locked="0"/>
    </xf>
    <xf numFmtId="220" fontId="142" fillId="38" borderId="0" applyNumberFormat="0" applyBorder="0" applyAlignment="0" applyProtection="0">
      <alignment vertical="center"/>
    </xf>
    <xf numFmtId="220" fontId="5" fillId="0" borderId="0"/>
    <xf numFmtId="220" fontId="5" fillId="0" borderId="0"/>
    <xf numFmtId="220" fontId="149" fillId="0" borderId="0">
      <protection locked="0"/>
    </xf>
    <xf numFmtId="220" fontId="5" fillId="0" borderId="0"/>
    <xf numFmtId="220" fontId="0" fillId="0" borderId="0"/>
    <xf numFmtId="220" fontId="5" fillId="0" borderId="0"/>
    <xf numFmtId="220" fontId="145" fillId="0" borderId="0">
      <protection locked="0"/>
    </xf>
    <xf numFmtId="220" fontId="5" fillId="0" borderId="0"/>
    <xf numFmtId="220" fontId="5" fillId="0" borderId="0"/>
    <xf numFmtId="220" fontId="5" fillId="0" borderId="0"/>
    <xf numFmtId="220" fontId="14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5" fillId="0" borderId="0"/>
    <xf numFmtId="220" fontId="5" fillId="0" borderId="0"/>
    <xf numFmtId="220" fontId="5" fillId="0" borderId="0"/>
    <xf numFmtId="220" fontId="5" fillId="0" borderId="0"/>
    <xf numFmtId="220" fontId="5" fillId="0" borderId="0"/>
    <xf numFmtId="220" fontId="90" fillId="0" borderId="0">
      <protection locked="0"/>
    </xf>
    <xf numFmtId="220" fontId="146" fillId="0" borderId="0">
      <alignment vertical="top"/>
    </xf>
    <xf numFmtId="220" fontId="157" fillId="47" borderId="0" applyNumberFormat="0" applyBorder="0" applyAlignment="0" applyProtection="0">
      <alignment vertical="center"/>
    </xf>
    <xf numFmtId="220" fontId="139" fillId="48" borderId="0" applyNumberFormat="0" applyBorder="0" applyAlignment="0" applyProtection="0">
      <alignment vertical="center"/>
    </xf>
    <xf numFmtId="220" fontId="145" fillId="0" borderId="0"/>
    <xf numFmtId="220" fontId="146" fillId="0" borderId="0">
      <alignment vertical="top"/>
    </xf>
    <xf numFmtId="220" fontId="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151" fillId="0" borderId="0"/>
    <xf numFmtId="220" fontId="145" fillId="0" borderId="0"/>
    <xf numFmtId="220" fontId="145" fillId="0" borderId="0"/>
    <xf numFmtId="220" fontId="145" fillId="0" borderId="0"/>
    <xf numFmtId="220" fontId="5" fillId="0" borderId="0"/>
    <xf numFmtId="220" fontId="151" fillId="0" borderId="0"/>
    <xf numFmtId="220" fontId="181" fillId="0" borderId="0">
      <protection locked="0"/>
    </xf>
    <xf numFmtId="220" fontId="145" fillId="0" borderId="0">
      <protection locked="0"/>
    </xf>
    <xf numFmtId="220" fontId="152" fillId="45"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5" fillId="0" borderId="0"/>
    <xf numFmtId="220" fontId="150" fillId="35" borderId="0" applyNumberFormat="0" applyBorder="0" applyAlignment="0" applyProtection="0">
      <alignment vertical="center"/>
    </xf>
    <xf numFmtId="220" fontId="145" fillId="0" borderId="0"/>
    <xf numFmtId="220" fontId="0" fillId="0" borderId="0"/>
    <xf numFmtId="220" fontId="5" fillId="0" borderId="0"/>
    <xf numFmtId="220" fontId="5" fillId="0" borderId="0"/>
    <xf numFmtId="220" fontId="14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5" fillId="0" borderId="0">
      <protection locked="0"/>
    </xf>
    <xf numFmtId="220" fontId="145" fillId="0" borderId="0">
      <protection locked="0"/>
    </xf>
    <xf numFmtId="220" fontId="5" fillId="0" borderId="0"/>
    <xf numFmtId="220" fontId="150" fillId="35" borderId="0" applyNumberFormat="0" applyBorder="0" applyAlignment="0" applyProtection="0">
      <alignment vertical="center"/>
    </xf>
    <xf numFmtId="220" fontId="145" fillId="0" borderId="0"/>
    <xf numFmtId="220" fontId="5" fillId="0" borderId="0"/>
    <xf numFmtId="220" fontId="161" fillId="98" borderId="0" applyNumberFormat="0" applyBorder="0" applyAlignment="0" applyProtection="0">
      <alignment vertical="center"/>
    </xf>
    <xf numFmtId="220" fontId="145" fillId="0" borderId="0">
      <protection locked="0"/>
    </xf>
    <xf numFmtId="220" fontId="5" fillId="0" borderId="0"/>
    <xf numFmtId="220" fontId="5" fillId="0" borderId="0"/>
    <xf numFmtId="220" fontId="5" fillId="0" borderId="0"/>
    <xf numFmtId="191" fontId="75" fillId="0" borderId="0" applyFont="0" applyFill="0" applyBorder="0" applyAlignment="0" applyProtection="0"/>
    <xf numFmtId="220" fontId="139" fillId="63" borderId="0" applyNumberFormat="0" applyBorder="0" applyAlignment="0" applyProtection="0">
      <alignment vertical="center"/>
    </xf>
    <xf numFmtId="220" fontId="90" fillId="0" borderId="0">
      <protection locked="0"/>
    </xf>
    <xf numFmtId="220" fontId="163" fillId="29" borderId="0" applyNumberFormat="0" applyBorder="0" applyAlignment="0" applyProtection="0"/>
    <xf numFmtId="220" fontId="139" fillId="85" borderId="0" applyNumberFormat="0" applyBorder="0" applyAlignment="0" applyProtection="0">
      <alignment vertical="center"/>
    </xf>
    <xf numFmtId="220" fontId="145" fillId="0" borderId="0">
      <protection locked="0"/>
    </xf>
    <xf numFmtId="220" fontId="0" fillId="0" borderId="0"/>
    <xf numFmtId="220" fontId="0" fillId="0" borderId="0"/>
    <xf numFmtId="220" fontId="145" fillId="0" borderId="0">
      <protection locked="0"/>
    </xf>
    <xf numFmtId="220" fontId="5" fillId="0" borderId="0"/>
    <xf numFmtId="220" fontId="90" fillId="0" borderId="0"/>
    <xf numFmtId="220" fontId="5" fillId="0" borderId="0"/>
    <xf numFmtId="220" fontId="145" fillId="0" borderId="0">
      <protection locked="0"/>
    </xf>
    <xf numFmtId="220" fontId="145" fillId="0" borderId="0"/>
    <xf numFmtId="220" fontId="145" fillId="0" borderId="0">
      <protection locked="0"/>
    </xf>
    <xf numFmtId="220" fontId="145" fillId="0" borderId="0"/>
    <xf numFmtId="220" fontId="152" fillId="54" borderId="0" applyNumberFormat="0" applyBorder="0" applyAlignment="0" applyProtection="0">
      <alignment vertical="center"/>
    </xf>
    <xf numFmtId="220" fontId="145" fillId="0" borderId="0"/>
    <xf numFmtId="220" fontId="145" fillId="0" borderId="0"/>
    <xf numFmtId="220" fontId="145" fillId="0" borderId="0">
      <protection locked="0"/>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81" fillId="0" borderId="0"/>
    <xf numFmtId="220" fontId="145" fillId="0" borderId="0">
      <protection locked="0"/>
    </xf>
    <xf numFmtId="220" fontId="5" fillId="0" borderId="0"/>
    <xf numFmtId="220" fontId="145" fillId="0" borderId="0">
      <protection locked="0"/>
    </xf>
    <xf numFmtId="220" fontId="145" fillId="0" borderId="0">
      <protection locked="0"/>
    </xf>
    <xf numFmtId="220" fontId="142" fillId="38" borderId="0" applyNumberFormat="0" applyBorder="0" applyAlignment="0" applyProtection="0">
      <alignment vertical="center"/>
    </xf>
    <xf numFmtId="220" fontId="181" fillId="0" borderId="0"/>
    <xf numFmtId="9" fontId="0" fillId="0" borderId="0" applyFont="0" applyFill="0" applyBorder="0" applyAlignment="0" applyProtection="0"/>
    <xf numFmtId="220" fontId="145" fillId="0" borderId="0">
      <protection locked="0"/>
    </xf>
    <xf numFmtId="220" fontId="237" fillId="0" borderId="2" applyNumberFormat="0" applyFill="0" applyProtection="0">
      <alignment horizontal="center"/>
    </xf>
    <xf numFmtId="220" fontId="90" fillId="0" borderId="0"/>
    <xf numFmtId="220" fontId="139" fillId="45"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xf numFmtId="220" fontId="5" fillId="0" borderId="0"/>
    <xf numFmtId="220" fontId="139" fillId="0" borderId="0">
      <alignment vertical="center"/>
    </xf>
    <xf numFmtId="220" fontId="5" fillId="0" borderId="0"/>
    <xf numFmtId="4" fontId="146" fillId="47" borderId="108" applyNumberFormat="0" applyProtection="0">
      <alignment horizontal="right" vertical="center"/>
    </xf>
    <xf numFmtId="220" fontId="145" fillId="0" borderId="0"/>
    <xf numFmtId="220" fontId="139" fillId="0" borderId="0">
      <alignment vertical="center"/>
    </xf>
    <xf numFmtId="220" fontId="145" fillId="0" borderId="0">
      <protection locked="0"/>
    </xf>
    <xf numFmtId="220" fontId="146" fillId="47" borderId="108" applyNumberFormat="0" applyProtection="0">
      <alignment horizontal="right" vertical="center"/>
    </xf>
    <xf numFmtId="220" fontId="5" fillId="0" borderId="0"/>
    <xf numFmtId="220" fontId="145" fillId="0" borderId="0">
      <protection locked="0"/>
    </xf>
    <xf numFmtId="220" fontId="145" fillId="0" borderId="0">
      <protection locked="0"/>
    </xf>
    <xf numFmtId="220" fontId="145" fillId="0" borderId="0">
      <protection locked="0"/>
    </xf>
    <xf numFmtId="220" fontId="0" fillId="0" borderId="0"/>
    <xf numFmtId="220" fontId="5" fillId="0" borderId="0"/>
    <xf numFmtId="220" fontId="5" fillId="0" borderId="0"/>
    <xf numFmtId="220" fontId="0" fillId="0" borderId="0"/>
    <xf numFmtId="220" fontId="145" fillId="0" borderId="0">
      <protection locked="0"/>
    </xf>
    <xf numFmtId="220" fontId="0" fillId="0" borderId="0"/>
    <xf numFmtId="220" fontId="145" fillId="0" borderId="0"/>
    <xf numFmtId="220" fontId="145" fillId="0" borderId="0">
      <protection locked="0"/>
    </xf>
    <xf numFmtId="220" fontId="145" fillId="0" borderId="0"/>
    <xf numFmtId="220" fontId="145" fillId="0" borderId="0">
      <protection locked="0"/>
    </xf>
    <xf numFmtId="220" fontId="145" fillId="0" borderId="0">
      <protection locked="0"/>
    </xf>
    <xf numFmtId="220" fontId="151" fillId="0" borderId="0"/>
    <xf numFmtId="220" fontId="145" fillId="0" borderId="0">
      <protection locked="0"/>
    </xf>
    <xf numFmtId="220" fontId="0" fillId="0" borderId="0"/>
    <xf numFmtId="211" fontId="0" fillId="0" borderId="0" applyFont="0" applyFill="0" applyBorder="0" applyAlignment="0" applyProtection="0"/>
    <xf numFmtId="209" fontId="219" fillId="0" borderId="0" applyFont="0" applyFill="0" applyBorder="0" applyAlignment="0" applyProtection="0"/>
    <xf numFmtId="220" fontId="145" fillId="0" borderId="0">
      <protection locked="0"/>
    </xf>
    <xf numFmtId="220" fontId="147" fillId="38" borderId="0" applyNumberFormat="0" applyBorder="0" applyAlignment="0" applyProtection="0">
      <alignment vertical="center"/>
    </xf>
    <xf numFmtId="220" fontId="145" fillId="0" borderId="0">
      <protection locked="0"/>
    </xf>
    <xf numFmtId="220" fontId="0" fillId="0" borderId="0"/>
    <xf numFmtId="220" fontId="5" fillId="0" borderId="0"/>
    <xf numFmtId="10" fontId="0" fillId="0" borderId="0" applyFont="0" applyFill="0" applyBorder="0" applyAlignment="0" applyProtection="0"/>
    <xf numFmtId="220" fontId="145" fillId="0" borderId="0">
      <protection locked="0"/>
    </xf>
    <xf numFmtId="220" fontId="145" fillId="0" borderId="0"/>
    <xf numFmtId="220" fontId="145" fillId="0" borderId="0">
      <protection locked="0"/>
    </xf>
    <xf numFmtId="220" fontId="145" fillId="0" borderId="0">
      <protection locked="0"/>
    </xf>
    <xf numFmtId="220" fontId="145" fillId="0" borderId="0"/>
    <xf numFmtId="220" fontId="145" fillId="0" borderId="0">
      <protection locked="0"/>
    </xf>
    <xf numFmtId="220" fontId="90" fillId="0" borderId="0"/>
    <xf numFmtId="220" fontId="5" fillId="0" borderId="0"/>
    <xf numFmtId="220" fontId="139" fillId="60" borderId="0" applyNumberFormat="0" applyBorder="0" applyAlignment="0" applyProtection="0">
      <alignment vertical="center"/>
    </xf>
    <xf numFmtId="220" fontId="146" fillId="0" borderId="0">
      <alignment vertical="top"/>
    </xf>
    <xf numFmtId="220" fontId="147" fillId="42" borderId="0" applyNumberFormat="0" applyBorder="0" applyAlignment="0" applyProtection="0">
      <alignment vertical="center"/>
    </xf>
    <xf numFmtId="220" fontId="146" fillId="0" borderId="0">
      <alignment vertical="top"/>
    </xf>
    <xf numFmtId="220" fontId="146" fillId="0" borderId="0">
      <alignment vertical="top"/>
    </xf>
    <xf numFmtId="220" fontId="5" fillId="0" borderId="0"/>
    <xf numFmtId="220" fontId="139" fillId="21" borderId="0" applyNumberFormat="0" applyBorder="0" applyAlignment="0" applyProtection="0">
      <alignment vertical="center"/>
    </xf>
    <xf numFmtId="220" fontId="5" fillId="0" borderId="0"/>
    <xf numFmtId="220" fontId="145" fillId="0" borderId="0"/>
    <xf numFmtId="220" fontId="5" fillId="0" borderId="0"/>
    <xf numFmtId="212" fontId="0" fillId="0" borderId="0"/>
    <xf numFmtId="220" fontId="145" fillId="0" borderId="0"/>
    <xf numFmtId="220" fontId="146" fillId="0" borderId="0">
      <alignment vertical="top"/>
    </xf>
    <xf numFmtId="220" fontId="145" fillId="0" borderId="0"/>
    <xf numFmtId="220" fontId="5" fillId="0" borderId="0"/>
    <xf numFmtId="220" fontId="146" fillId="0" borderId="0">
      <alignment vertical="top"/>
    </xf>
    <xf numFmtId="220" fontId="5" fillId="0" borderId="0"/>
    <xf numFmtId="220" fontId="145" fillId="0" borderId="0">
      <protection locked="0"/>
    </xf>
    <xf numFmtId="220" fontId="146" fillId="0" borderId="0">
      <alignment vertical="top"/>
    </xf>
    <xf numFmtId="220" fontId="0" fillId="0" borderId="0"/>
    <xf numFmtId="220" fontId="145" fillId="0" borderId="0"/>
    <xf numFmtId="220" fontId="157" fillId="47" borderId="0" applyNumberFormat="0" applyBorder="0" applyAlignment="0" applyProtection="0">
      <alignment vertical="center"/>
    </xf>
    <xf numFmtId="220" fontId="145" fillId="0" borderId="0">
      <protection locked="0"/>
    </xf>
    <xf numFmtId="220" fontId="146" fillId="0" borderId="0">
      <alignment vertical="top"/>
    </xf>
    <xf numFmtId="220" fontId="146" fillId="0" borderId="0">
      <alignment vertical="top"/>
    </xf>
    <xf numFmtId="220" fontId="146" fillId="0" borderId="0">
      <alignment vertical="top"/>
    </xf>
    <xf numFmtId="220" fontId="145" fillId="0" borderId="0"/>
    <xf numFmtId="220" fontId="146" fillId="0" borderId="0">
      <alignment vertical="top"/>
    </xf>
    <xf numFmtId="220" fontId="0" fillId="0" borderId="0"/>
    <xf numFmtId="220" fontId="145" fillId="0" borderId="0"/>
    <xf numFmtId="220" fontId="5" fillId="0" borderId="0"/>
    <xf numFmtId="220" fontId="146" fillId="0" borderId="0">
      <alignment vertical="top"/>
    </xf>
    <xf numFmtId="220" fontId="146" fillId="0" borderId="0">
      <alignment vertical="top"/>
    </xf>
    <xf numFmtId="220" fontId="151"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11" fontId="0" fillId="0" borderId="0" applyFont="0" applyFill="0" applyBorder="0" applyAlignment="0" applyProtection="0"/>
    <xf numFmtId="220" fontId="5" fillId="0" borderId="0"/>
    <xf numFmtId="220" fontId="157" fillId="47" borderId="0" applyNumberFormat="0" applyBorder="0" applyAlignment="0" applyProtection="0">
      <alignment vertical="center"/>
    </xf>
    <xf numFmtId="227" fontId="145" fillId="0" borderId="0"/>
    <xf numFmtId="220" fontId="145" fillId="0" borderId="0"/>
    <xf numFmtId="220" fontId="142" fillId="38" borderId="0" applyNumberFormat="0" applyBorder="0" applyAlignment="0" applyProtection="0">
      <alignment vertical="center"/>
    </xf>
    <xf numFmtId="220" fontId="5" fillId="0" borderId="0"/>
    <xf numFmtId="220" fontId="145" fillId="0" borderId="0">
      <protection locked="0"/>
    </xf>
    <xf numFmtId="220" fontId="161" fillId="4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43" fontId="0" fillId="0" borderId="0" applyFont="0" applyFill="0" applyBorder="0" applyAlignment="0" applyProtection="0"/>
    <xf numFmtId="220" fontId="90" fillId="0" borderId="0"/>
    <xf numFmtId="220" fontId="145" fillId="0" borderId="0">
      <protection locked="0"/>
    </xf>
    <xf numFmtId="220" fontId="145" fillId="0" borderId="0">
      <protection locked="0"/>
    </xf>
    <xf numFmtId="220" fontId="5" fillId="0" borderId="0"/>
    <xf numFmtId="220" fontId="152" fillId="80"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protection locked="0"/>
    </xf>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47" fillId="38" borderId="0" applyNumberFormat="0" applyBorder="0" applyAlignment="0" applyProtection="0">
      <alignment vertical="center"/>
    </xf>
    <xf numFmtId="220" fontId="152" fillId="80" borderId="0" applyNumberFormat="0" applyBorder="0" applyAlignment="0" applyProtection="0">
      <alignment vertical="center"/>
    </xf>
    <xf numFmtId="220" fontId="145" fillId="0" borderId="0">
      <protection locked="0"/>
    </xf>
    <xf numFmtId="220" fontId="242" fillId="0" borderId="131" applyNumberFormat="0" applyFill="0" applyAlignment="0" applyProtection="0">
      <alignment vertical="center"/>
    </xf>
    <xf numFmtId="220" fontId="145" fillId="0" borderId="0">
      <protection locked="0"/>
    </xf>
    <xf numFmtId="220" fontId="145" fillId="0" borderId="0">
      <protection locked="0"/>
    </xf>
    <xf numFmtId="220" fontId="146" fillId="0" borderId="0">
      <alignment vertical="top"/>
    </xf>
    <xf numFmtId="220" fontId="145" fillId="0" borderId="0">
      <protection locked="0"/>
    </xf>
    <xf numFmtId="220" fontId="145" fillId="0" borderId="0">
      <protection locked="0"/>
    </xf>
    <xf numFmtId="220" fontId="142" fillId="38"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139" fillId="45" borderId="0" applyNumberFormat="0" applyBorder="0" applyAlignment="0" applyProtection="0">
      <alignment vertical="center"/>
    </xf>
    <xf numFmtId="220" fontId="146" fillId="0" borderId="0">
      <alignment vertical="top"/>
    </xf>
    <xf numFmtId="220" fontId="5" fillId="0" borderId="0"/>
    <xf numFmtId="220" fontId="145" fillId="0" borderId="0">
      <protection locked="0"/>
    </xf>
    <xf numFmtId="220" fontId="184" fillId="0" borderId="131" applyNumberFormat="0" applyFill="0" applyAlignment="0" applyProtection="0">
      <alignment vertical="center"/>
    </xf>
    <xf numFmtId="220" fontId="0" fillId="0" borderId="0"/>
    <xf numFmtId="220" fontId="150" fillId="35" borderId="0" applyNumberFormat="0" applyBorder="0" applyAlignment="0" applyProtection="0">
      <alignment vertical="center"/>
    </xf>
    <xf numFmtId="220" fontId="146" fillId="0" borderId="0">
      <alignment vertical="top"/>
    </xf>
    <xf numFmtId="220" fontId="145" fillId="0" borderId="0">
      <protection locked="0"/>
    </xf>
    <xf numFmtId="220" fontId="146" fillId="0" borderId="0">
      <alignment vertical="top"/>
    </xf>
    <xf numFmtId="220" fontId="145" fillId="0" borderId="0">
      <protection locked="0"/>
    </xf>
    <xf numFmtId="220" fontId="5" fillId="0" borderId="0"/>
    <xf numFmtId="220" fontId="146" fillId="0" borderId="0">
      <alignment vertical="top"/>
    </xf>
    <xf numFmtId="220" fontId="166" fillId="64" borderId="0" applyNumberFormat="0" applyBorder="0" applyAlignment="0" applyProtection="0">
      <alignment vertical="center"/>
    </xf>
    <xf numFmtId="220" fontId="157" fillId="47" borderId="0" applyNumberFormat="0" applyBorder="0" applyAlignment="0" applyProtection="0">
      <alignment vertical="center"/>
    </xf>
    <xf numFmtId="220" fontId="145" fillId="55" borderId="108" applyNumberFormat="0" applyProtection="0">
      <alignment horizontal="left" vertical="top" indent="1"/>
    </xf>
    <xf numFmtId="220" fontId="145" fillId="0" borderId="0"/>
    <xf numFmtId="220" fontId="5" fillId="0" borderId="0"/>
    <xf numFmtId="220" fontId="145" fillId="0" borderId="0">
      <protection locked="0"/>
    </xf>
    <xf numFmtId="220" fontId="5" fillId="0" borderId="0"/>
    <xf numFmtId="220" fontId="5" fillId="0" borderId="0"/>
    <xf numFmtId="220" fontId="145" fillId="0" borderId="0">
      <protection locked="0"/>
    </xf>
    <xf numFmtId="220" fontId="147" fillId="38" borderId="0" applyNumberFormat="0" applyBorder="0" applyAlignment="0" applyProtection="0">
      <alignment vertical="center"/>
    </xf>
    <xf numFmtId="220" fontId="145" fillId="0" borderId="0">
      <protection locked="0"/>
    </xf>
    <xf numFmtId="220" fontId="145" fillId="0" borderId="0"/>
    <xf numFmtId="209" fontId="219" fillId="0" borderId="0" applyFont="0" applyFill="0" applyBorder="0" applyAlignment="0" applyProtection="0"/>
    <xf numFmtId="220" fontId="145" fillId="0" borderId="0"/>
    <xf numFmtId="220" fontId="5" fillId="0" borderId="0"/>
    <xf numFmtId="220" fontId="146" fillId="0" borderId="0">
      <alignment vertical="top"/>
    </xf>
    <xf numFmtId="220" fontId="5" fillId="0" borderId="0"/>
    <xf numFmtId="220" fontId="145" fillId="0" borderId="0">
      <protection locked="0"/>
    </xf>
    <xf numFmtId="220" fontId="139" fillId="45"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5" fillId="0" borderId="0"/>
    <xf numFmtId="220" fontId="145" fillId="0" borderId="0">
      <protection locked="0"/>
    </xf>
    <xf numFmtId="220" fontId="5" fillId="0" borderId="0"/>
    <xf numFmtId="220" fontId="145" fillId="0" borderId="0">
      <protection locked="0"/>
    </xf>
    <xf numFmtId="220" fontId="0" fillId="0" borderId="0"/>
    <xf numFmtId="220" fontId="145" fillId="0" borderId="0">
      <protection locked="0"/>
    </xf>
    <xf numFmtId="220" fontId="0" fillId="0" borderId="0"/>
    <xf numFmtId="220" fontId="145" fillId="0" borderId="0"/>
    <xf numFmtId="220" fontId="145" fillId="0" borderId="0"/>
    <xf numFmtId="220" fontId="145" fillId="0" borderId="0"/>
    <xf numFmtId="220" fontId="5" fillId="0" borderId="0"/>
    <xf numFmtId="220" fontId="145" fillId="0" borderId="0"/>
    <xf numFmtId="220" fontId="145" fillId="0" borderId="0"/>
    <xf numFmtId="220" fontId="5" fillId="0" borderId="0"/>
    <xf numFmtId="220" fontId="149" fillId="0" borderId="0">
      <protection locked="0"/>
    </xf>
    <xf numFmtId="220" fontId="145" fillId="0" borderId="0"/>
    <xf numFmtId="220" fontId="5" fillId="0" borderId="0"/>
    <xf numFmtId="220" fontId="90" fillId="0" borderId="0"/>
    <xf numFmtId="220" fontId="5" fillId="0" borderId="0"/>
    <xf numFmtId="220" fontId="145" fillId="0" borderId="0"/>
    <xf numFmtId="220" fontId="157" fillId="47" borderId="0" applyNumberFormat="0" applyBorder="0" applyAlignment="0" applyProtection="0">
      <alignment vertical="center"/>
    </xf>
    <xf numFmtId="220" fontId="145" fillId="0" borderId="0">
      <protection locked="0"/>
    </xf>
    <xf numFmtId="220" fontId="152" fillId="63" borderId="0" applyNumberFormat="0" applyBorder="0" applyAlignment="0" applyProtection="0">
      <alignment vertical="center"/>
    </xf>
    <xf numFmtId="220" fontId="161" fillId="53" borderId="0" applyNumberFormat="0" applyBorder="0" applyAlignment="0" applyProtection="0">
      <alignment vertical="center"/>
    </xf>
    <xf numFmtId="220" fontId="145" fillId="0" borderId="0">
      <protection locked="0"/>
    </xf>
    <xf numFmtId="220" fontId="174" fillId="0" borderId="0" applyNumberFormat="0" applyFill="0" applyBorder="0" applyAlignment="0" applyProtection="0">
      <alignment vertical="center"/>
    </xf>
    <xf numFmtId="220" fontId="145" fillId="0" borderId="0">
      <protection locked="0"/>
    </xf>
    <xf numFmtId="220" fontId="5" fillId="0" borderId="0"/>
    <xf numFmtId="220" fontId="5" fillId="0" borderId="0"/>
    <xf numFmtId="220" fontId="145" fillId="0" borderId="0"/>
    <xf numFmtId="220" fontId="158" fillId="0" borderId="0" applyNumberFormat="0" applyBorder="0" applyAlignment="0">
      <alignment vertical="center"/>
      <protection locked="0"/>
    </xf>
    <xf numFmtId="220" fontId="90" fillId="0" borderId="0" applyFont="0" applyFill="0" applyAlignment="0"/>
    <xf numFmtId="220" fontId="145" fillId="0" borderId="0">
      <protection locked="0"/>
    </xf>
    <xf numFmtId="220" fontId="0" fillId="0" borderId="0"/>
    <xf numFmtId="220" fontId="5" fillId="0" borderId="0"/>
    <xf numFmtId="220" fontId="145" fillId="0" borderId="0">
      <protection locked="0"/>
    </xf>
    <xf numFmtId="220" fontId="0" fillId="0" borderId="0"/>
    <xf numFmtId="220" fontId="145" fillId="0" borderId="0">
      <protection locked="0"/>
    </xf>
    <xf numFmtId="220" fontId="145" fillId="0" borderId="0"/>
    <xf numFmtId="220" fontId="145" fillId="0" borderId="0">
      <protection locked="0"/>
    </xf>
    <xf numFmtId="9" fontId="0" fillId="0" borderId="0" applyFont="0" applyFill="0" applyBorder="0" applyAlignment="0" applyProtection="0">
      <alignment vertical="center"/>
    </xf>
    <xf numFmtId="225" fontId="145" fillId="0" borderId="0"/>
    <xf numFmtId="220" fontId="146" fillId="0" borderId="0">
      <alignment vertical="top"/>
    </xf>
    <xf numFmtId="220" fontId="5" fillId="0" borderId="0"/>
    <xf numFmtId="220" fontId="145" fillId="0" borderId="0"/>
    <xf numFmtId="220" fontId="0" fillId="0" borderId="0"/>
    <xf numFmtId="220" fontId="151" fillId="0" borderId="0">
      <protection locked="0"/>
    </xf>
    <xf numFmtId="220" fontId="162" fillId="81" borderId="0" applyNumberFormat="0" applyBorder="0" applyAlignment="0" applyProtection="0"/>
    <xf numFmtId="220" fontId="5" fillId="0" borderId="0"/>
    <xf numFmtId="220" fontId="145" fillId="0" borderId="0"/>
    <xf numFmtId="220" fontId="149" fillId="0" borderId="0">
      <protection locked="0"/>
    </xf>
    <xf numFmtId="220" fontId="5" fillId="0" borderId="0"/>
    <xf numFmtId="220" fontId="5" fillId="0" borderId="0"/>
    <xf numFmtId="220" fontId="5" fillId="0" borderId="0"/>
    <xf numFmtId="220" fontId="162" fillId="81" borderId="0" applyNumberFormat="0" applyBorder="0" applyAlignment="0" applyProtection="0"/>
    <xf numFmtId="220" fontId="5" fillId="0" borderId="0"/>
    <xf numFmtId="220" fontId="146" fillId="0" borderId="0">
      <alignment vertical="top"/>
    </xf>
    <xf numFmtId="220" fontId="145" fillId="0" borderId="0"/>
    <xf numFmtId="220" fontId="146" fillId="0" borderId="0">
      <alignment vertical="top"/>
    </xf>
    <xf numFmtId="220" fontId="90" fillId="0" borderId="0"/>
    <xf numFmtId="220" fontId="151" fillId="0" borderId="0"/>
    <xf numFmtId="220" fontId="139" fillId="63"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6" fillId="0" borderId="0">
      <alignment vertical="top"/>
    </xf>
    <xf numFmtId="220" fontId="152" fillId="74" borderId="0" applyNumberFormat="0" applyBorder="0" applyAlignment="0" applyProtection="0">
      <alignment vertical="center"/>
    </xf>
    <xf numFmtId="220" fontId="5" fillId="0" borderId="0"/>
    <xf numFmtId="220" fontId="139" fillId="48" borderId="0" applyNumberFormat="0" applyBorder="0" applyAlignment="0" applyProtection="0">
      <alignment vertical="center"/>
    </xf>
    <xf numFmtId="220" fontId="5" fillId="0" borderId="0"/>
    <xf numFmtId="220" fontId="145" fillId="0" borderId="0">
      <protection locked="0"/>
    </xf>
    <xf numFmtId="220" fontId="5" fillId="0" borderId="0"/>
    <xf numFmtId="220" fontId="145" fillId="0" borderId="0">
      <protection locked="0"/>
    </xf>
    <xf numFmtId="220" fontId="145" fillId="0" borderId="0">
      <protection locked="0"/>
    </xf>
    <xf numFmtId="220" fontId="5" fillId="0" borderId="0"/>
    <xf numFmtId="220" fontId="5" fillId="0" borderId="0"/>
    <xf numFmtId="220" fontId="145" fillId="0" borderId="0"/>
    <xf numFmtId="220" fontId="5" fillId="0" borderId="0"/>
    <xf numFmtId="220" fontId="145" fillId="0" borderId="0"/>
    <xf numFmtId="220" fontId="242" fillId="0" borderId="131" applyNumberFormat="0" applyFill="0" applyAlignment="0" applyProtection="0">
      <alignment vertical="center"/>
    </xf>
    <xf numFmtId="220" fontId="146" fillId="0" borderId="0">
      <alignment vertical="top"/>
    </xf>
    <xf numFmtId="220" fontId="150" fillId="35" borderId="0" applyNumberFormat="0" applyBorder="0" applyAlignment="0" applyProtection="0">
      <alignment vertical="center"/>
    </xf>
    <xf numFmtId="220" fontId="0" fillId="0" borderId="0"/>
    <xf numFmtId="220" fontId="5" fillId="0" borderId="0"/>
    <xf numFmtId="220" fontId="161" fillId="54" borderId="0" applyNumberFormat="0" applyBorder="0" applyAlignment="0" applyProtection="0">
      <alignment vertical="center"/>
    </xf>
    <xf numFmtId="220" fontId="145" fillId="0" borderId="0">
      <protection locked="0"/>
    </xf>
    <xf numFmtId="220" fontId="5" fillId="0" borderId="0"/>
    <xf numFmtId="220" fontId="0" fillId="0" borderId="0"/>
    <xf numFmtId="220" fontId="146" fillId="0" borderId="0">
      <alignment vertical="top"/>
    </xf>
    <xf numFmtId="220" fontId="5" fillId="0" borderId="0"/>
    <xf numFmtId="220" fontId="146" fillId="0" borderId="0">
      <alignment vertical="top"/>
    </xf>
    <xf numFmtId="220" fontId="145" fillId="0" borderId="0">
      <protection locked="0"/>
    </xf>
    <xf numFmtId="220" fontId="146" fillId="0" borderId="0">
      <alignment vertical="top"/>
    </xf>
    <xf numFmtId="220" fontId="139" fillId="21" borderId="0" applyNumberFormat="0" applyBorder="0" applyAlignment="0" applyProtection="0">
      <alignment vertical="center"/>
    </xf>
    <xf numFmtId="220" fontId="0" fillId="0" borderId="0"/>
    <xf numFmtId="220" fontId="145" fillId="0" borderId="0">
      <protection locked="0"/>
    </xf>
    <xf numFmtId="220" fontId="0" fillId="0" borderId="0"/>
    <xf numFmtId="220" fontId="5" fillId="0" borderId="0"/>
    <xf numFmtId="39" fontId="213" fillId="0" borderId="0" applyFont="0" applyFill="0" applyBorder="0" applyAlignment="0" applyProtection="0"/>
    <xf numFmtId="220" fontId="146" fillId="0" borderId="0">
      <alignment vertical="top"/>
    </xf>
    <xf numFmtId="220" fontId="166" fillId="97" borderId="0" applyNumberFormat="0" applyBorder="0" applyAlignment="0" applyProtection="0">
      <alignment vertical="center"/>
    </xf>
    <xf numFmtId="220" fontId="145" fillId="0" borderId="0">
      <protection locked="0"/>
    </xf>
    <xf numFmtId="220" fontId="5" fillId="0" borderId="0"/>
    <xf numFmtId="220" fontId="190" fillId="44" borderId="0" applyNumberFormat="0" applyBorder="0" applyAlignment="0" applyProtection="0">
      <alignment vertical="center"/>
    </xf>
    <xf numFmtId="220" fontId="5" fillId="0" borderId="0"/>
    <xf numFmtId="220" fontId="149" fillId="0" borderId="0">
      <protection locked="0"/>
    </xf>
    <xf numFmtId="220" fontId="146" fillId="0" borderId="0">
      <alignment vertical="top"/>
    </xf>
    <xf numFmtId="220" fontId="0" fillId="0" borderId="0"/>
    <xf numFmtId="220" fontId="5" fillId="0" borderId="0"/>
    <xf numFmtId="220" fontId="145" fillId="0" borderId="0">
      <protection locked="0"/>
    </xf>
    <xf numFmtId="220" fontId="145" fillId="0" borderId="0"/>
    <xf numFmtId="220" fontId="158" fillId="0" borderId="0" applyNumberFormat="0" applyBorder="0" applyAlignment="0">
      <alignment vertical="center"/>
      <protection locked="0"/>
    </xf>
    <xf numFmtId="220" fontId="146" fillId="0" borderId="0">
      <alignment vertical="top"/>
    </xf>
    <xf numFmtId="220" fontId="0" fillId="0" borderId="0"/>
    <xf numFmtId="220" fontId="142" fillId="38" borderId="0" applyNumberFormat="0" applyBorder="0" applyAlignment="0" applyProtection="0">
      <alignment vertical="center"/>
    </xf>
    <xf numFmtId="191" fontId="145" fillId="0" borderId="0" applyFont="0" applyFill="0" applyBorder="0" applyAlignment="0" applyProtection="0"/>
    <xf numFmtId="220" fontId="139" fillId="63" borderId="0" applyNumberFormat="0" applyBorder="0" applyAlignment="0" applyProtection="0">
      <alignment vertical="center"/>
    </xf>
    <xf numFmtId="220" fontId="145" fillId="0" borderId="0">
      <protection locked="0"/>
    </xf>
    <xf numFmtId="220" fontId="90" fillId="0" borderId="0"/>
    <xf numFmtId="220" fontId="5" fillId="0" borderId="0"/>
    <xf numFmtId="220" fontId="5" fillId="0" borderId="0"/>
    <xf numFmtId="220" fontId="146" fillId="0" borderId="0">
      <alignment vertical="top"/>
    </xf>
    <xf numFmtId="220" fontId="163" fillId="77" borderId="0" applyNumberFormat="0" applyBorder="0" applyAlignment="0" applyProtection="0"/>
    <xf numFmtId="220" fontId="139" fillId="8" borderId="0" applyNumberFormat="0" applyBorder="0" applyAlignment="0" applyProtection="0">
      <alignment vertical="center"/>
    </xf>
    <xf numFmtId="220" fontId="90" fillId="0" borderId="0">
      <protection locked="0"/>
    </xf>
    <xf numFmtId="220" fontId="145" fillId="0" borderId="0"/>
    <xf numFmtId="220" fontId="5" fillId="0" borderId="0"/>
    <xf numFmtId="220" fontId="0" fillId="0" borderId="0"/>
    <xf numFmtId="220" fontId="146" fillId="0" borderId="0">
      <alignment vertical="top"/>
    </xf>
    <xf numFmtId="220" fontId="162" fillId="94" borderId="0" applyNumberFormat="0" applyBorder="0" applyAlignment="0" applyProtection="0"/>
    <xf numFmtId="220" fontId="0" fillId="0" borderId="0"/>
    <xf numFmtId="220" fontId="146" fillId="0" borderId="0">
      <alignment vertical="top"/>
    </xf>
    <xf numFmtId="220" fontId="5" fillId="0" borderId="0"/>
    <xf numFmtId="220" fontId="152" fillId="44" borderId="0" applyNumberFormat="0" applyBorder="0" applyAlignment="0" applyProtection="0">
      <alignment vertical="center"/>
    </xf>
    <xf numFmtId="220" fontId="145" fillId="0" borderId="0">
      <protection locked="0"/>
    </xf>
    <xf numFmtId="220" fontId="145" fillId="0" borderId="0"/>
    <xf numFmtId="220" fontId="151"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45" fillId="0" borderId="0"/>
    <xf numFmtId="220" fontId="5" fillId="0" borderId="0"/>
    <xf numFmtId="220" fontId="145" fillId="0" borderId="0"/>
    <xf numFmtId="220" fontId="147" fillId="38" borderId="0" applyNumberFormat="0" applyBorder="0" applyAlignment="0" applyProtection="0">
      <alignment vertical="center"/>
    </xf>
    <xf numFmtId="220" fontId="5" fillId="0" borderId="0"/>
    <xf numFmtId="220" fontId="145" fillId="0" borderId="0">
      <protection locked="0"/>
    </xf>
    <xf numFmtId="220" fontId="5" fillId="0" borderId="0"/>
    <xf numFmtId="220" fontId="0" fillId="0" borderId="0"/>
    <xf numFmtId="220" fontId="151" fillId="0" borderId="0"/>
    <xf numFmtId="220" fontId="150" fillId="35" borderId="0" applyNumberFormat="0" applyBorder="0" applyAlignment="0" applyProtection="0">
      <alignment vertical="center"/>
    </xf>
    <xf numFmtId="220" fontId="151" fillId="0" borderId="0"/>
    <xf numFmtId="220" fontId="5" fillId="0" borderId="0"/>
    <xf numFmtId="220" fontId="145" fillId="95" borderId="108" applyNumberFormat="0" applyProtection="0">
      <alignment horizontal="left" vertical="center" indent="1"/>
    </xf>
    <xf numFmtId="220" fontId="145" fillId="0" borderId="0"/>
    <xf numFmtId="220" fontId="0" fillId="0" borderId="0"/>
    <xf numFmtId="220" fontId="5" fillId="0" borderId="0"/>
    <xf numFmtId="220" fontId="146" fillId="0" borderId="0">
      <alignment vertical="top"/>
    </xf>
    <xf numFmtId="220" fontId="5" fillId="0" borderId="0"/>
    <xf numFmtId="220" fontId="145" fillId="0" borderId="0">
      <protection locked="0"/>
    </xf>
    <xf numFmtId="220" fontId="0" fillId="0" borderId="0">
      <alignment vertical="center"/>
    </xf>
    <xf numFmtId="220" fontId="146" fillId="0" borderId="0">
      <alignment vertical="top"/>
    </xf>
    <xf numFmtId="220" fontId="152" fillId="44" borderId="0" applyNumberFormat="0" applyBorder="0" applyAlignment="0" applyProtection="0">
      <alignment vertical="center"/>
    </xf>
    <xf numFmtId="220" fontId="0" fillId="0" borderId="0"/>
    <xf numFmtId="220" fontId="151" fillId="0" borderId="0"/>
    <xf numFmtId="220" fontId="5" fillId="0" borderId="0"/>
    <xf numFmtId="220" fontId="0" fillId="0" borderId="0"/>
    <xf numFmtId="220" fontId="146" fillId="0" borderId="0">
      <alignment vertical="top"/>
    </xf>
    <xf numFmtId="220" fontId="145" fillId="0" borderId="0"/>
    <xf numFmtId="220" fontId="139" fillId="18"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xf numFmtId="220" fontId="145" fillId="0" borderId="0">
      <protection locked="0"/>
    </xf>
    <xf numFmtId="220" fontId="145" fillId="0" borderId="0">
      <protection locked="0"/>
    </xf>
    <xf numFmtId="220" fontId="5" fillId="0" borderId="0"/>
    <xf numFmtId="220" fontId="179" fillId="47" borderId="0" applyNumberFormat="0" applyBorder="0" applyAlignment="0" applyProtection="0"/>
    <xf numFmtId="220" fontId="145" fillId="0" borderId="0"/>
    <xf numFmtId="220" fontId="0" fillId="0" borderId="0"/>
    <xf numFmtId="220" fontId="0" fillId="0" borderId="0"/>
    <xf numFmtId="179" fontId="75" fillId="0" borderId="0" applyFill="0" applyBorder="0" applyProtection="0">
      <alignment horizontal="right"/>
    </xf>
    <xf numFmtId="220" fontId="139" fillId="4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5" fillId="0" borderId="0">
      <protection locked="0"/>
    </xf>
    <xf numFmtId="220" fontId="145" fillId="0" borderId="0" applyNumberFormat="0" applyFill="0" applyBorder="0" applyAlignment="0" applyProtection="0"/>
    <xf numFmtId="198" fontId="152" fillId="0" borderId="0" applyFont="0" applyFill="0" applyBorder="0" applyAlignment="0" applyProtection="0"/>
    <xf numFmtId="220" fontId="145" fillId="0" borderId="0" applyNumberFormat="0" applyFill="0" applyBorder="0" applyAlignment="0" applyProtection="0"/>
    <xf numFmtId="220" fontId="5" fillId="0" borderId="0"/>
    <xf numFmtId="220" fontId="5" fillId="0" borderId="0"/>
    <xf numFmtId="220" fontId="145" fillId="0" borderId="0"/>
    <xf numFmtId="220" fontId="0"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5" fillId="0" borderId="0"/>
    <xf numFmtId="220" fontId="145" fillId="0" borderId="0">
      <protection locked="0"/>
    </xf>
    <xf numFmtId="209" fontId="219" fillId="0" borderId="0" applyFont="0" applyFill="0" applyBorder="0" applyAlignment="0" applyProtection="0"/>
    <xf numFmtId="220" fontId="0" fillId="0" borderId="0"/>
    <xf numFmtId="220" fontId="145" fillId="0" borderId="0">
      <protection locked="0"/>
    </xf>
    <xf numFmtId="220" fontId="145" fillId="0" borderId="0"/>
    <xf numFmtId="220" fontId="145" fillId="0" borderId="0">
      <protection locked="0"/>
    </xf>
    <xf numFmtId="220" fontId="166" fillId="98" borderId="0" applyNumberFormat="0" applyBorder="0" applyAlignment="0" applyProtection="0">
      <alignment vertical="center"/>
    </xf>
    <xf numFmtId="220" fontId="152" fillId="29"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145" fillId="0" borderId="0">
      <protection locked="0"/>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5" fillId="0" borderId="0"/>
    <xf numFmtId="220" fontId="142" fillId="38"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protection locked="0"/>
    </xf>
    <xf numFmtId="220" fontId="5" fillId="0" borderId="0"/>
    <xf numFmtId="220" fontId="151" fillId="0" borderId="0">
      <protection locked="0"/>
    </xf>
    <xf numFmtId="220" fontId="90"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51" fillId="0" borderId="0"/>
    <xf numFmtId="220" fontId="5" fillId="0" borderId="0"/>
    <xf numFmtId="220" fontId="145" fillId="0" borderId="0">
      <protection locked="0"/>
    </xf>
    <xf numFmtId="220" fontId="152" fillId="77"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51" fillId="0" borderId="0"/>
    <xf numFmtId="220" fontId="5" fillId="0" borderId="0"/>
    <xf numFmtId="220" fontId="152" fillId="7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1" fillId="0" borderId="0"/>
    <xf numFmtId="220" fontId="5" fillId="0" borderId="0"/>
    <xf numFmtId="220" fontId="139" fillId="8" borderId="0" applyNumberFormat="0" applyBorder="0" applyAlignment="0" applyProtection="0">
      <alignment vertical="center"/>
    </xf>
    <xf numFmtId="220" fontId="5" fillId="0" borderId="0"/>
    <xf numFmtId="220" fontId="90"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1" fillId="0" borderId="0"/>
    <xf numFmtId="220" fontId="162" fillId="49" borderId="0" applyNumberFormat="0" applyBorder="0" applyAlignment="0" applyProtection="0"/>
    <xf numFmtId="220" fontId="151" fillId="0" borderId="0"/>
    <xf numFmtId="220" fontId="5" fillId="0" borderId="0"/>
    <xf numFmtId="220" fontId="152" fillId="42" borderId="0" applyNumberFormat="0" applyBorder="0" applyAlignment="0" applyProtection="0">
      <alignment vertical="center"/>
    </xf>
    <xf numFmtId="220" fontId="151" fillId="0" borderId="0"/>
    <xf numFmtId="220" fontId="145" fillId="0" borderId="0">
      <protection locked="0"/>
    </xf>
    <xf numFmtId="220" fontId="139" fillId="0" borderId="0">
      <alignment vertical="center"/>
    </xf>
    <xf numFmtId="220" fontId="0" fillId="0" borderId="0"/>
    <xf numFmtId="220" fontId="151" fillId="0" borderId="0"/>
    <xf numFmtId="191" fontId="145" fillId="0" borderId="0" applyFont="0" applyFill="0" applyBorder="0" applyAlignment="0" applyProtection="0"/>
    <xf numFmtId="220" fontId="151" fillId="0" borderId="0"/>
    <xf numFmtId="220" fontId="190" fillId="93" borderId="0" applyNumberFormat="0" applyBorder="0" applyAlignment="0" applyProtection="0">
      <alignment vertical="center"/>
    </xf>
    <xf numFmtId="220" fontId="151" fillId="0" borderId="0"/>
    <xf numFmtId="220" fontId="5" fillId="0" borderId="0"/>
    <xf numFmtId="220" fontId="139" fillId="0" borderId="0">
      <alignment vertical="center"/>
    </xf>
    <xf numFmtId="220" fontId="139" fillId="60" borderId="0" applyNumberFormat="0" applyBorder="0" applyAlignment="0" applyProtection="0">
      <alignment vertical="center"/>
    </xf>
    <xf numFmtId="220" fontId="152" fillId="42" borderId="0" applyNumberFormat="0" applyBorder="0" applyAlignment="0" applyProtection="0">
      <alignment vertical="center"/>
    </xf>
    <xf numFmtId="220" fontId="190" fillId="93" borderId="0" applyNumberFormat="0" applyBorder="0" applyAlignment="0" applyProtection="0">
      <alignment vertical="center"/>
    </xf>
    <xf numFmtId="220" fontId="151" fillId="0" borderId="0"/>
    <xf numFmtId="220" fontId="0" fillId="0" borderId="0"/>
    <xf numFmtId="220" fontId="139" fillId="45" borderId="0" applyNumberFormat="0" applyBorder="0" applyAlignment="0" applyProtection="0">
      <alignment vertical="center"/>
    </xf>
    <xf numFmtId="220" fontId="190" fillId="93" borderId="0" applyNumberFormat="0" applyBorder="0" applyAlignment="0" applyProtection="0">
      <alignment vertical="center"/>
    </xf>
    <xf numFmtId="220" fontId="151" fillId="0" borderId="0"/>
    <xf numFmtId="220" fontId="0" fillId="0" borderId="0"/>
    <xf numFmtId="220" fontId="157" fillId="47" borderId="0" applyNumberFormat="0" applyBorder="0" applyAlignment="0" applyProtection="0">
      <alignment vertical="center"/>
    </xf>
    <xf numFmtId="220" fontId="166" fillId="48" borderId="0" applyNumberFormat="0" applyBorder="0" applyAlignment="0" applyProtection="0">
      <alignment vertical="center"/>
    </xf>
    <xf numFmtId="220" fontId="146" fillId="0" borderId="0">
      <alignment vertical="top"/>
    </xf>
    <xf numFmtId="220" fontId="147" fillId="42"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146" fillId="0" borderId="0">
      <alignment vertical="top"/>
    </xf>
    <xf numFmtId="220" fontId="146" fillId="0" borderId="0">
      <alignment vertical="top"/>
    </xf>
    <xf numFmtId="220" fontId="146" fillId="0" borderId="0">
      <alignment vertical="top"/>
    </xf>
    <xf numFmtId="220" fontId="145" fillId="0" borderId="0">
      <protection locked="0"/>
    </xf>
    <xf numFmtId="220" fontId="146" fillId="0" borderId="0">
      <alignment vertical="top"/>
    </xf>
    <xf numFmtId="220" fontId="145" fillId="0" borderId="0"/>
    <xf numFmtId="220" fontId="5" fillId="0" borderId="0"/>
    <xf numFmtId="220" fontId="152" fillId="47" borderId="0" applyNumberFormat="0" applyBorder="0" applyAlignment="0" applyProtection="0">
      <alignment vertical="center"/>
    </xf>
    <xf numFmtId="220" fontId="146" fillId="0" borderId="0">
      <alignment vertical="top"/>
    </xf>
    <xf numFmtId="220" fontId="146" fillId="0" borderId="0">
      <alignment vertical="top"/>
    </xf>
    <xf numFmtId="215" fontId="75" fillId="0" borderId="0" applyFill="0" applyBorder="0" applyAlignment="0"/>
    <xf numFmtId="220" fontId="146" fillId="0" borderId="0">
      <alignment vertical="top"/>
    </xf>
    <xf numFmtId="220" fontId="0" fillId="0" borderId="0"/>
    <xf numFmtId="220" fontId="146" fillId="0" borderId="0">
      <alignment vertical="top"/>
    </xf>
    <xf numFmtId="220" fontId="5" fillId="0" borderId="0"/>
    <xf numFmtId="220" fontId="146" fillId="0" borderId="0">
      <alignment vertical="top"/>
    </xf>
    <xf numFmtId="220" fontId="146" fillId="0" borderId="0">
      <alignment vertical="top"/>
    </xf>
    <xf numFmtId="220" fontId="146" fillId="0" borderId="0">
      <alignment vertical="top"/>
    </xf>
    <xf numFmtId="220" fontId="146" fillId="0" borderId="0">
      <alignment vertical="top"/>
    </xf>
    <xf numFmtId="220" fontId="157" fillId="47" borderId="0" applyNumberFormat="0" applyBorder="0" applyAlignment="0" applyProtection="0">
      <alignment vertical="center"/>
    </xf>
    <xf numFmtId="220" fontId="146" fillId="0" borderId="0">
      <alignment vertical="top"/>
    </xf>
    <xf numFmtId="220" fontId="145" fillId="0" borderId="0"/>
    <xf numFmtId="191" fontId="145" fillId="0" borderId="0" applyFont="0" applyFill="0" applyBorder="0" applyAlignment="0" applyProtection="0"/>
    <xf numFmtId="220" fontId="145" fillId="0" borderId="0"/>
    <xf numFmtId="220" fontId="145" fillId="0" borderId="0">
      <protection locked="0"/>
    </xf>
    <xf numFmtId="220" fontId="142" fillId="38" borderId="0" applyNumberFormat="0" applyBorder="0" applyAlignment="0" applyProtection="0">
      <alignment vertical="center"/>
    </xf>
    <xf numFmtId="220" fontId="0" fillId="0" borderId="0">
      <protection locked="0"/>
    </xf>
    <xf numFmtId="220" fontId="5" fillId="0" borderId="0"/>
    <xf numFmtId="220" fontId="5" fillId="0" borderId="0"/>
    <xf numFmtId="220" fontId="5" fillId="0" borderId="0"/>
    <xf numFmtId="220" fontId="145" fillId="0" borderId="0">
      <protection locked="0"/>
    </xf>
    <xf numFmtId="220" fontId="145" fillId="0" borderId="0">
      <protection locked="0"/>
    </xf>
    <xf numFmtId="220" fontId="140" fillId="36" borderId="0" applyNumberFormat="0" applyBorder="0" applyAlignment="0" applyProtection="0">
      <alignment vertical="center"/>
    </xf>
    <xf numFmtId="220" fontId="0" fillId="0" borderId="0"/>
    <xf numFmtId="220" fontId="0" fillId="0" borderId="0">
      <protection locked="0"/>
    </xf>
    <xf numFmtId="220" fontId="0" fillId="0" borderId="0"/>
    <xf numFmtId="220" fontId="145" fillId="0" borderId="0">
      <protection locked="0"/>
    </xf>
    <xf numFmtId="220" fontId="0" fillId="0" borderId="0"/>
    <xf numFmtId="220" fontId="5" fillId="0" borderId="0"/>
    <xf numFmtId="220" fontId="145" fillId="0" borderId="0">
      <protection locked="0"/>
    </xf>
    <xf numFmtId="220" fontId="145" fillId="0" borderId="0">
      <protection locked="0"/>
    </xf>
    <xf numFmtId="220" fontId="5" fillId="0" borderId="0"/>
    <xf numFmtId="220" fontId="5" fillId="0" borderId="0"/>
    <xf numFmtId="220" fontId="145" fillId="0" borderId="0">
      <protection locked="0"/>
    </xf>
    <xf numFmtId="220" fontId="5" fillId="0" borderId="0"/>
    <xf numFmtId="220" fontId="145" fillId="0" borderId="0">
      <protection locked="0"/>
    </xf>
    <xf numFmtId="220" fontId="145" fillId="0" borderId="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45" fillId="0" borderId="0">
      <protection locked="0"/>
    </xf>
    <xf numFmtId="220" fontId="145" fillId="0" borderId="0"/>
    <xf numFmtId="220" fontId="145" fillId="0" borderId="0">
      <protection locked="0"/>
    </xf>
    <xf numFmtId="220" fontId="151" fillId="0" borderId="0"/>
    <xf numFmtId="220" fontId="5" fillId="0" borderId="0"/>
    <xf numFmtId="220" fontId="151" fillId="0" borderId="0"/>
    <xf numFmtId="220" fontId="146" fillId="0" borderId="0">
      <alignment vertical="top"/>
    </xf>
    <xf numFmtId="220" fontId="151" fillId="0" borderId="0"/>
    <xf numFmtId="220" fontId="157" fillId="47" borderId="0" applyNumberFormat="0" applyBorder="0" applyAlignment="0" applyProtection="0">
      <alignment vertical="center"/>
    </xf>
    <xf numFmtId="220" fontId="151" fillId="0" borderId="0"/>
    <xf numFmtId="220" fontId="147" fillId="38" borderId="0" applyNumberFormat="0" applyBorder="0" applyAlignment="0" applyProtection="0">
      <alignment vertical="center"/>
    </xf>
    <xf numFmtId="220" fontId="5" fillId="0" borderId="0"/>
    <xf numFmtId="220" fontId="139" fillId="50" borderId="0" applyNumberFormat="0" applyBorder="0" applyAlignment="0" applyProtection="0">
      <alignment vertical="center"/>
    </xf>
    <xf numFmtId="220" fontId="151" fillId="0" borderId="0"/>
    <xf numFmtId="220" fontId="90" fillId="0" borderId="0">
      <protection locked="0"/>
    </xf>
    <xf numFmtId="220" fontId="147" fillId="38" borderId="0" applyNumberFormat="0" applyBorder="0" applyAlignment="0" applyProtection="0">
      <alignment vertical="center"/>
    </xf>
    <xf numFmtId="220" fontId="5" fillId="0" borderId="0"/>
    <xf numFmtId="220" fontId="145" fillId="0" borderId="0"/>
    <xf numFmtId="220" fontId="151" fillId="0" borderId="0"/>
    <xf numFmtId="220" fontId="5" fillId="0" borderId="0"/>
    <xf numFmtId="220" fontId="146" fillId="0" borderId="0">
      <alignment vertical="top"/>
    </xf>
    <xf numFmtId="220" fontId="5" fillId="0" borderId="0"/>
    <xf numFmtId="220" fontId="151" fillId="0" borderId="0"/>
    <xf numFmtId="220" fontId="150" fillId="35" borderId="0" applyNumberFormat="0" applyBorder="0" applyAlignment="0" applyProtection="0">
      <alignment vertical="center"/>
    </xf>
    <xf numFmtId="220" fontId="145" fillId="0" borderId="0">
      <protection locked="0"/>
    </xf>
    <xf numFmtId="220" fontId="145" fillId="0" borderId="0"/>
    <xf numFmtId="220" fontId="151" fillId="0" borderId="0"/>
    <xf numFmtId="43" fontId="0" fillId="0" borderId="0" applyFont="0" applyFill="0" applyBorder="0" applyAlignment="0" applyProtection="0"/>
    <xf numFmtId="220" fontId="151" fillId="0" borderId="0"/>
    <xf numFmtId="220" fontId="151" fillId="0" borderId="0"/>
    <xf numFmtId="9" fontId="0" fillId="0" borderId="0" applyFont="0" applyFill="0" applyBorder="0" applyAlignment="0" applyProtection="0"/>
    <xf numFmtId="220" fontId="151" fillId="0" borderId="0"/>
    <xf numFmtId="220" fontId="5" fillId="0" borderId="0"/>
    <xf numFmtId="220" fontId="151" fillId="0" borderId="0"/>
    <xf numFmtId="220" fontId="5" fillId="0" borderId="0"/>
    <xf numFmtId="220" fontId="5" fillId="0" borderId="0"/>
    <xf numFmtId="220" fontId="251" fillId="0" borderId="0" applyNumberFormat="0" applyFill="0" applyBorder="0" applyAlignment="0" applyProtection="0"/>
    <xf numFmtId="220" fontId="151" fillId="0" borderId="0"/>
    <xf numFmtId="220" fontId="5" fillId="0" borderId="0"/>
    <xf numFmtId="220" fontId="5" fillId="0" borderId="0"/>
    <xf numFmtId="220" fontId="151" fillId="0" borderId="0"/>
    <xf numFmtId="220" fontId="147" fillId="42" borderId="0" applyNumberFormat="0" applyBorder="0" applyAlignment="0" applyProtection="0">
      <alignment vertical="center"/>
    </xf>
    <xf numFmtId="220" fontId="145" fillId="0" borderId="0">
      <protection locked="0"/>
    </xf>
    <xf numFmtId="220" fontId="151" fillId="0" borderId="0"/>
    <xf numFmtId="220" fontId="158" fillId="0" borderId="0" applyNumberFormat="0" applyBorder="0" applyAlignment="0" applyProtection="0">
      <alignment vertical="center"/>
    </xf>
    <xf numFmtId="220" fontId="150" fillId="112" borderId="0" applyNumberFormat="0" applyBorder="0" applyAlignment="0" applyProtection="0">
      <alignment vertical="center"/>
    </xf>
    <xf numFmtId="220" fontId="145" fillId="0" borderId="0">
      <protection locked="0"/>
    </xf>
    <xf numFmtId="220" fontId="5" fillId="0" borderId="0"/>
    <xf numFmtId="220" fontId="161" fillId="31" borderId="0" applyNumberFormat="0" applyBorder="0" applyAlignment="0" applyProtection="0">
      <alignment vertical="center"/>
    </xf>
    <xf numFmtId="220" fontId="151" fillId="0" borderId="0"/>
    <xf numFmtId="220" fontId="147" fillId="38" borderId="0" applyNumberFormat="0" applyBorder="0" applyAlignment="0" applyProtection="0">
      <alignment vertical="center"/>
    </xf>
    <xf numFmtId="220" fontId="5" fillId="0" borderId="0"/>
    <xf numFmtId="211" fontId="0" fillId="0" borderId="0" applyFont="0" applyFill="0" applyBorder="0" applyAlignment="0" applyProtection="0"/>
    <xf numFmtId="220" fontId="151" fillId="0" borderId="0"/>
    <xf numFmtId="220" fontId="151" fillId="0" borderId="0"/>
    <xf numFmtId="220" fontId="5" fillId="0" borderId="0"/>
    <xf numFmtId="220" fontId="152" fillId="80" borderId="0" applyNumberFormat="0" applyBorder="0" applyAlignment="0" applyProtection="0">
      <alignment vertical="center"/>
    </xf>
    <xf numFmtId="220" fontId="151" fillId="0" borderId="0"/>
    <xf numFmtId="220" fontId="5" fillId="0" borderId="0"/>
    <xf numFmtId="220" fontId="152" fillId="80" borderId="0" applyNumberFormat="0" applyBorder="0" applyAlignment="0" applyProtection="0">
      <alignment vertical="center"/>
    </xf>
    <xf numFmtId="220" fontId="151" fillId="0" borderId="0"/>
    <xf numFmtId="220" fontId="5" fillId="0" borderId="0"/>
    <xf numFmtId="220" fontId="151" fillId="0" borderId="0"/>
    <xf numFmtId="220" fontId="139" fillId="2" borderId="0" applyNumberFormat="0" applyBorder="0" applyAlignment="0" applyProtection="0">
      <alignment vertical="center"/>
    </xf>
    <xf numFmtId="220" fontId="5" fillId="0" borderId="0"/>
    <xf numFmtId="220" fontId="145" fillId="0" borderId="0"/>
    <xf numFmtId="220" fontId="149" fillId="0" borderId="0">
      <protection locked="0"/>
    </xf>
    <xf numFmtId="220" fontId="5" fillId="0" borderId="0"/>
    <xf numFmtId="220" fontId="139" fillId="100" borderId="0" applyNumberFormat="0" applyBorder="0" applyAlignment="0" applyProtection="0">
      <alignment vertical="center"/>
    </xf>
    <xf numFmtId="205" fontId="145" fillId="0" borderId="0" applyFill="0" applyBorder="0" applyAlignment="0"/>
    <xf numFmtId="220" fontId="145" fillId="0" borderId="0"/>
    <xf numFmtId="220" fontId="157" fillId="47" borderId="0" applyNumberFormat="0" applyBorder="0" applyAlignment="0" applyProtection="0">
      <alignment vertical="center"/>
    </xf>
    <xf numFmtId="220" fontId="149" fillId="0" borderId="0">
      <protection locked="0"/>
    </xf>
    <xf numFmtId="220" fontId="0" fillId="0" borderId="0"/>
    <xf numFmtId="220" fontId="139" fillId="63" borderId="0" applyNumberFormat="0" applyBorder="0" applyAlignment="0" applyProtection="0">
      <alignment vertical="center"/>
    </xf>
    <xf numFmtId="220" fontId="90" fillId="0" borderId="0"/>
    <xf numFmtId="220" fontId="0" fillId="0" borderId="0"/>
    <xf numFmtId="220" fontId="145" fillId="0" borderId="0"/>
    <xf numFmtId="220" fontId="5" fillId="0" borderId="0"/>
    <xf numFmtId="220" fontId="5" fillId="0" borderId="0"/>
    <xf numFmtId="220" fontId="5" fillId="0" borderId="0"/>
    <xf numFmtId="220" fontId="145" fillId="0" borderId="0"/>
    <xf numFmtId="220" fontId="149" fillId="0" borderId="0">
      <protection locked="0"/>
    </xf>
    <xf numFmtId="220" fontId="145" fillId="0" borderId="0">
      <protection locked="0"/>
    </xf>
    <xf numFmtId="220" fontId="5" fillId="0" borderId="0"/>
    <xf numFmtId="220" fontId="90" fillId="0" borderId="0"/>
    <xf numFmtId="220" fontId="151" fillId="0" borderId="0"/>
    <xf numFmtId="220" fontId="5" fillId="0" borderId="0"/>
    <xf numFmtId="220" fontId="149" fillId="0" borderId="0">
      <protection locked="0"/>
    </xf>
    <xf numFmtId="220" fontId="152" fillId="93" borderId="0" applyNumberFormat="0" applyBorder="0" applyAlignment="0" applyProtection="0">
      <alignment vertical="center"/>
    </xf>
    <xf numFmtId="220" fontId="145" fillId="0" borderId="0"/>
    <xf numFmtId="209" fontId="219" fillId="0" borderId="0" applyFont="0" applyFill="0" applyBorder="0" applyAlignment="0" applyProtection="0"/>
    <xf numFmtId="220" fontId="145" fillId="0" borderId="0"/>
    <xf numFmtId="220" fontId="145" fillId="0" borderId="0">
      <protection locked="0"/>
    </xf>
    <xf numFmtId="220" fontId="148" fillId="118" borderId="0" applyNumberFormat="0" applyBorder="0" applyAlignment="0" applyProtection="0">
      <alignment vertical="center"/>
    </xf>
    <xf numFmtId="220" fontId="5" fillId="0" borderId="0"/>
    <xf numFmtId="220" fontId="0" fillId="0" borderId="0"/>
    <xf numFmtId="220" fontId="14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180" fontId="0" fillId="0" borderId="0" applyFont="0" applyFill="0" applyBorder="0" applyAlignment="0" applyProtection="0"/>
    <xf numFmtId="179" fontId="75" fillId="0" borderId="0" applyFill="0" applyBorder="0" applyProtection="0">
      <alignment horizontal="right"/>
    </xf>
    <xf numFmtId="220" fontId="5" fillId="0" borderId="0"/>
    <xf numFmtId="220" fontId="145" fillId="0" borderId="0">
      <protection locked="0"/>
    </xf>
    <xf numFmtId="220" fontId="151" fillId="0" borderId="0">
      <protection locked="0"/>
    </xf>
    <xf numFmtId="220" fontId="150" fillId="35" borderId="0" applyNumberFormat="0" applyBorder="0" applyAlignment="0" applyProtection="0">
      <alignment vertical="center"/>
    </xf>
    <xf numFmtId="220" fontId="145" fillId="0" borderId="0"/>
    <xf numFmtId="220" fontId="5" fillId="0" borderId="0"/>
    <xf numFmtId="220" fontId="142" fillId="38" borderId="0" applyNumberFormat="0" applyBorder="0" applyAlignment="0" applyProtection="0">
      <alignment vertical="center"/>
    </xf>
    <xf numFmtId="220" fontId="145" fillId="0" borderId="0">
      <protection locked="0"/>
    </xf>
    <xf numFmtId="220" fontId="145" fillId="0" borderId="0"/>
    <xf numFmtId="220" fontId="146" fillId="0" borderId="0">
      <alignment vertical="top"/>
    </xf>
    <xf numFmtId="220" fontId="145" fillId="0" borderId="0">
      <protection locked="0"/>
    </xf>
    <xf numFmtId="220" fontId="145" fillId="0" borderId="0"/>
    <xf numFmtId="220" fontId="147" fillId="42" borderId="0" applyNumberFormat="0" applyBorder="0" applyAlignment="0" applyProtection="0">
      <alignment vertical="center"/>
    </xf>
    <xf numFmtId="220" fontId="146" fillId="0" borderId="0">
      <alignment vertical="top"/>
    </xf>
    <xf numFmtId="220" fontId="145" fillId="0" borderId="0">
      <protection locked="0"/>
    </xf>
    <xf numFmtId="220" fontId="147" fillId="42" borderId="0" applyNumberFormat="0" applyBorder="0" applyAlignment="0" applyProtection="0">
      <alignment vertical="center"/>
    </xf>
    <xf numFmtId="220" fontId="146" fillId="0" borderId="0">
      <alignment vertical="top"/>
    </xf>
    <xf numFmtId="220" fontId="5" fillId="0" borderId="0"/>
    <xf numFmtId="220" fontId="152" fillId="47" borderId="0" applyNumberFormat="0" applyBorder="0" applyAlignment="0" applyProtection="0">
      <alignment vertical="center"/>
    </xf>
    <xf numFmtId="220" fontId="145" fillId="0" borderId="0">
      <protection locked="0"/>
    </xf>
    <xf numFmtId="220" fontId="146" fillId="0" borderId="0">
      <alignment vertical="top"/>
    </xf>
    <xf numFmtId="220" fontId="5" fillId="0" borderId="0"/>
    <xf numFmtId="220" fontId="5" fillId="0" borderId="0"/>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220" fontId="145" fillId="0" borderId="0"/>
    <xf numFmtId="220" fontId="5" fillId="0" borderId="0"/>
    <xf numFmtId="220" fontId="0" fillId="0" borderId="0"/>
    <xf numFmtId="220" fontId="145" fillId="0" borderId="0">
      <protection locked="0"/>
    </xf>
    <xf numFmtId="220" fontId="145" fillId="0" borderId="0">
      <protection locked="0"/>
    </xf>
    <xf numFmtId="220" fontId="152" fillId="63" borderId="0" applyNumberFormat="0" applyBorder="0" applyAlignment="0" applyProtection="0">
      <alignment vertical="center"/>
    </xf>
    <xf numFmtId="220" fontId="146" fillId="0" borderId="0">
      <alignment vertical="top"/>
    </xf>
    <xf numFmtId="220" fontId="139" fillId="48" borderId="0" applyNumberFormat="0" applyBorder="0" applyAlignment="0" applyProtection="0">
      <alignment vertical="center"/>
    </xf>
    <xf numFmtId="220" fontId="0" fillId="0" borderId="0">
      <alignment vertical="center"/>
    </xf>
    <xf numFmtId="220" fontId="145" fillId="0" borderId="0">
      <protection locked="0"/>
    </xf>
    <xf numFmtId="220" fontId="145" fillId="0" borderId="0">
      <protection locked="0"/>
    </xf>
    <xf numFmtId="220" fontId="145" fillId="0" borderId="0">
      <protection locked="0"/>
    </xf>
    <xf numFmtId="220" fontId="0" fillId="0" borderId="0"/>
    <xf numFmtId="220" fontId="139" fillId="0" borderId="0">
      <alignment vertical="center"/>
    </xf>
    <xf numFmtId="220" fontId="5" fillId="0" borderId="0"/>
    <xf numFmtId="220" fontId="262" fillId="0" borderId="133" applyNumberFormat="0" applyFill="0" applyAlignment="0" applyProtection="0">
      <alignment vertical="center"/>
    </xf>
    <xf numFmtId="220" fontId="151" fillId="0" borderId="0"/>
    <xf numFmtId="220" fontId="5" fillId="0" borderId="0"/>
    <xf numFmtId="220" fontId="5" fillId="0" borderId="0"/>
    <xf numFmtId="220" fontId="145" fillId="0" borderId="0">
      <protection locked="0"/>
    </xf>
    <xf numFmtId="220" fontId="158" fillId="0" borderId="0" applyNumberFormat="0" applyBorder="0" applyAlignment="0" applyProtection="0">
      <alignment vertical="center"/>
    </xf>
    <xf numFmtId="220" fontId="152" fillId="63" borderId="0" applyNumberFormat="0" applyBorder="0" applyAlignment="0" applyProtection="0">
      <alignment vertical="center"/>
    </xf>
    <xf numFmtId="220" fontId="190" fillId="80"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0" fillId="0" borderId="0"/>
    <xf numFmtId="220" fontId="145" fillId="0" borderId="0"/>
    <xf numFmtId="220" fontId="151" fillId="0" borderId="0">
      <protection locked="0"/>
    </xf>
    <xf numFmtId="220" fontId="5" fillId="0" borderId="0"/>
    <xf numFmtId="220" fontId="145" fillId="0" borderId="0">
      <protection locked="0"/>
    </xf>
    <xf numFmtId="220" fontId="5" fillId="0" borderId="0"/>
    <xf numFmtId="220" fontId="157" fillId="47" borderId="0" applyNumberFormat="0" applyBorder="0" applyAlignment="0" applyProtection="0">
      <alignment vertical="center"/>
    </xf>
    <xf numFmtId="220" fontId="145" fillId="0" borderId="0">
      <protection locked="0"/>
    </xf>
    <xf numFmtId="220" fontId="145" fillId="0" borderId="0"/>
    <xf numFmtId="220" fontId="145" fillId="0" borderId="0"/>
    <xf numFmtId="220" fontId="5" fillId="0" borderId="0"/>
    <xf numFmtId="220" fontId="5" fillId="0" borderId="0"/>
    <xf numFmtId="220" fontId="145" fillId="0" borderId="0">
      <protection locked="0"/>
    </xf>
    <xf numFmtId="220" fontId="152" fillId="35" borderId="0" applyNumberFormat="0" applyBorder="0" applyAlignment="0" applyProtection="0">
      <alignment vertical="center"/>
    </xf>
    <xf numFmtId="220" fontId="145" fillId="0" borderId="0">
      <protection locked="0"/>
    </xf>
    <xf numFmtId="220" fontId="148" fillId="119" borderId="0" applyNumberFormat="0" applyBorder="0" applyAlignment="0" applyProtection="0">
      <alignment vertical="center"/>
    </xf>
    <xf numFmtId="220" fontId="90" fillId="0" borderId="0">
      <protection locked="0"/>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1" fillId="0" borderId="0">
      <protection locked="0"/>
    </xf>
    <xf numFmtId="220" fontId="5" fillId="0" borderId="0"/>
    <xf numFmtId="220" fontId="146" fillId="0" borderId="0">
      <alignment vertical="top"/>
    </xf>
    <xf numFmtId="220" fontId="151" fillId="0" borderId="0">
      <protection locked="0"/>
    </xf>
    <xf numFmtId="9" fontId="0" fillId="0" borderId="0" applyFont="0" applyFill="0" applyBorder="0" applyAlignment="0" applyProtection="0"/>
    <xf numFmtId="220" fontId="5" fillId="0" borderId="0"/>
    <xf numFmtId="220" fontId="145" fillId="0" borderId="0"/>
    <xf numFmtId="220" fontId="145" fillId="0" borderId="0">
      <protection locked="0"/>
    </xf>
    <xf numFmtId="220" fontId="145" fillId="0" borderId="0"/>
    <xf numFmtId="220" fontId="5"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50" fillId="35" borderId="0" applyNumberFormat="0" applyBorder="0" applyAlignment="0" applyProtection="0">
      <alignment vertical="center"/>
    </xf>
    <xf numFmtId="220" fontId="151" fillId="0" borderId="0">
      <protection locked="0"/>
    </xf>
    <xf numFmtId="220" fontId="14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0" fillId="0" borderId="0"/>
    <xf numFmtId="220" fontId="150" fillId="35" borderId="0" applyNumberFormat="0" applyBorder="0" applyAlignment="0" applyProtection="0">
      <alignment vertical="center"/>
    </xf>
    <xf numFmtId="220" fontId="151"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147" fillId="42"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protection locked="0"/>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6" fillId="0" borderId="0">
      <alignment vertical="top"/>
    </xf>
    <xf numFmtId="220" fontId="5" fillId="0" borderId="0"/>
    <xf numFmtId="220" fontId="145" fillId="0" borderId="0">
      <protection locked="0"/>
    </xf>
    <xf numFmtId="220" fontId="145" fillId="0" borderId="0"/>
    <xf numFmtId="220" fontId="145" fillId="0" borderId="0"/>
    <xf numFmtId="220" fontId="139" fillId="60" borderId="0" applyNumberFormat="0" applyBorder="0" applyAlignment="0" applyProtection="0">
      <alignment vertical="center"/>
    </xf>
    <xf numFmtId="220" fontId="5" fillId="0" borderId="0"/>
    <xf numFmtId="220" fontId="146" fillId="0" borderId="0">
      <alignment vertical="top"/>
    </xf>
    <xf numFmtId="220" fontId="5" fillId="0" borderId="0"/>
    <xf numFmtId="220" fontId="163" fillId="42" borderId="0" applyNumberFormat="0" applyBorder="0" applyAlignment="0" applyProtection="0"/>
    <xf numFmtId="220" fontId="5" fillId="0" borderId="0"/>
    <xf numFmtId="220" fontId="147" fillId="42" borderId="0" applyNumberFormat="0" applyBorder="0" applyAlignment="0" applyProtection="0">
      <alignment vertical="center"/>
    </xf>
    <xf numFmtId="220" fontId="5" fillId="0" borderId="0"/>
    <xf numFmtId="220" fontId="139" fillId="0" borderId="0">
      <alignment vertical="center"/>
    </xf>
    <xf numFmtId="220" fontId="145" fillId="0" borderId="0">
      <protection locked="0"/>
    </xf>
    <xf numFmtId="220" fontId="5" fillId="0" borderId="0"/>
    <xf numFmtId="220" fontId="145" fillId="0" borderId="0">
      <protection locked="0"/>
    </xf>
    <xf numFmtId="220" fontId="139" fillId="0" borderId="0">
      <alignment vertical="center"/>
    </xf>
    <xf numFmtId="220" fontId="5" fillId="0" borderId="0"/>
    <xf numFmtId="220" fontId="145" fillId="0" borderId="0">
      <protection locked="0"/>
    </xf>
    <xf numFmtId="220" fontId="5" fillId="0" borderId="0"/>
    <xf numFmtId="220" fontId="149" fillId="0" borderId="0">
      <protection locked="0"/>
    </xf>
    <xf numFmtId="220" fontId="5" fillId="0" borderId="0"/>
    <xf numFmtId="220" fontId="210" fillId="0" borderId="123" applyNumberFormat="0" applyFill="0" applyAlignment="0" applyProtection="0">
      <alignment vertical="center"/>
    </xf>
    <xf numFmtId="220" fontId="142" fillId="38" borderId="0" applyNumberFormat="0" applyBorder="0" applyAlignment="0" applyProtection="0">
      <alignment vertical="center"/>
    </xf>
    <xf numFmtId="220" fontId="5" fillId="0" borderId="0"/>
    <xf numFmtId="220" fontId="145" fillId="0" borderId="0"/>
    <xf numFmtId="220" fontId="145" fillId="0" borderId="0">
      <protection locked="0"/>
    </xf>
    <xf numFmtId="220" fontId="5" fillId="0" borderId="0"/>
    <xf numFmtId="220" fontId="0" fillId="0" borderId="0"/>
    <xf numFmtId="220" fontId="14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5" fillId="0" borderId="0"/>
    <xf numFmtId="220" fontId="150" fillId="35" borderId="0" applyNumberFormat="0" applyBorder="0" applyAlignment="0" applyProtection="0">
      <alignment vertical="center"/>
    </xf>
    <xf numFmtId="220" fontId="145" fillId="0" borderId="0"/>
    <xf numFmtId="220" fontId="152" fillId="93"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90" fillId="0" borderId="0"/>
    <xf numFmtId="220" fontId="90" fillId="0" borderId="0"/>
    <xf numFmtId="220" fontId="145" fillId="0" borderId="0">
      <protection locked="0"/>
    </xf>
    <xf numFmtId="220" fontId="0" fillId="0" borderId="0"/>
    <xf numFmtId="220" fontId="0" fillId="0" borderId="0"/>
    <xf numFmtId="220" fontId="145" fillId="0" borderId="0"/>
    <xf numFmtId="220" fontId="145" fillId="0" borderId="0"/>
    <xf numFmtId="220" fontId="5" fillId="0" borderId="0"/>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45" fillId="0" borderId="0"/>
    <xf numFmtId="220" fontId="145" fillId="0" borderId="0"/>
    <xf numFmtId="220" fontId="145" fillId="0" borderId="0"/>
    <xf numFmtId="220" fontId="145" fillId="0" borderId="0">
      <protection locked="0"/>
    </xf>
    <xf numFmtId="220" fontId="152" fillId="80"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5" fillId="0" borderId="0"/>
    <xf numFmtId="220" fontId="0" fillId="0" borderId="0"/>
    <xf numFmtId="220" fontId="145" fillId="0" borderId="0">
      <protection locked="0"/>
    </xf>
    <xf numFmtId="220" fontId="0" fillId="0" borderId="0"/>
    <xf numFmtId="220" fontId="149" fillId="0" borderId="0">
      <protection locked="0"/>
    </xf>
    <xf numFmtId="220" fontId="145" fillId="0" borderId="0">
      <protection locked="0"/>
    </xf>
    <xf numFmtId="220" fontId="5" fillId="0" borderId="0"/>
    <xf numFmtId="220" fontId="149" fillId="0" borderId="0">
      <protection locked="0"/>
    </xf>
    <xf numFmtId="220" fontId="147" fillId="42" borderId="0" applyNumberFormat="0" applyBorder="0" applyAlignment="0" applyProtection="0">
      <alignment vertical="center"/>
    </xf>
    <xf numFmtId="220" fontId="237" fillId="0" borderId="2" applyNumberFormat="0" applyFill="0" applyProtection="0">
      <alignment horizontal="center"/>
    </xf>
    <xf numFmtId="220" fontId="152" fillId="47" borderId="0" applyNumberFormat="0" applyBorder="0" applyAlignment="0" applyProtection="0">
      <alignment vertical="center"/>
    </xf>
    <xf numFmtId="220" fontId="145" fillId="0" borderId="0">
      <protection locked="0"/>
    </xf>
    <xf numFmtId="220" fontId="149" fillId="0" borderId="0">
      <protection locked="0"/>
    </xf>
    <xf numFmtId="220" fontId="145" fillId="0" borderId="0">
      <protection locked="0"/>
    </xf>
    <xf numFmtId="220" fontId="149" fillId="0" borderId="0">
      <protection locked="0"/>
    </xf>
    <xf numFmtId="220" fontId="0" fillId="0" borderId="0"/>
    <xf numFmtId="220" fontId="5" fillId="0" borderId="0"/>
    <xf numFmtId="220" fontId="145" fillId="0" borderId="0"/>
    <xf numFmtId="220" fontId="147" fillId="42" borderId="0" applyNumberFormat="0" applyBorder="0" applyAlignment="0" applyProtection="0">
      <alignment vertical="center"/>
    </xf>
    <xf numFmtId="220" fontId="5" fillId="0" borderId="0"/>
    <xf numFmtId="220" fontId="5" fillId="0" borderId="0"/>
    <xf numFmtId="220" fontId="90" fillId="0" borderId="0">
      <protection locked="0"/>
    </xf>
    <xf numFmtId="220" fontId="181" fillId="0" borderId="0"/>
    <xf numFmtId="220" fontId="150" fillId="35" borderId="0" applyNumberFormat="0" applyBorder="0" applyAlignment="0" applyProtection="0">
      <alignment vertical="center"/>
    </xf>
    <xf numFmtId="220" fontId="162" fillId="109" borderId="0" applyNumberFormat="0" applyBorder="0" applyAlignment="0" applyProtection="0"/>
    <xf numFmtId="220" fontId="90" fillId="0" borderId="0"/>
    <xf numFmtId="220" fontId="161" fillId="97" borderId="0" applyNumberFormat="0" applyBorder="0" applyAlignment="0" applyProtection="0">
      <alignment vertical="center"/>
    </xf>
    <xf numFmtId="220" fontId="5" fillId="0" borderId="0"/>
    <xf numFmtId="220" fontId="145" fillId="0" borderId="0">
      <protection locked="0"/>
    </xf>
    <xf numFmtId="198" fontId="0" fillId="0" borderId="0"/>
    <xf numFmtId="220" fontId="152" fillId="74" borderId="0" applyNumberFormat="0" applyBorder="0" applyAlignment="0" applyProtection="0">
      <alignment vertical="center"/>
    </xf>
    <xf numFmtId="220" fontId="161" fillId="97" borderId="0" applyNumberFormat="0" applyBorder="0" applyAlignment="0" applyProtection="0">
      <alignment vertical="center"/>
    </xf>
    <xf numFmtId="220" fontId="5" fillId="0" borderId="0"/>
    <xf numFmtId="220" fontId="145" fillId="44" borderId="108" applyNumberFormat="0" applyProtection="0">
      <alignment horizontal="left" vertical="top" indent="1"/>
    </xf>
    <xf numFmtId="220" fontId="145" fillId="0" borderId="0">
      <protection locked="0"/>
    </xf>
    <xf numFmtId="220" fontId="5" fillId="0" borderId="0"/>
    <xf numFmtId="220" fontId="5" fillId="0" borderId="0"/>
    <xf numFmtId="220" fontId="145" fillId="0" borderId="0"/>
    <xf numFmtId="220" fontId="5" fillId="0" borderId="0"/>
    <xf numFmtId="220" fontId="5" fillId="0" borderId="0"/>
    <xf numFmtId="220" fontId="145" fillId="0" borderId="0"/>
    <xf numFmtId="220" fontId="5" fillId="0" borderId="0"/>
    <xf numFmtId="220" fontId="145" fillId="0" borderId="0">
      <protection locked="0"/>
    </xf>
    <xf numFmtId="220" fontId="150" fillId="112"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45" fillId="0" borderId="0">
      <protection locked="0"/>
    </xf>
    <xf numFmtId="220" fontId="0" fillId="0" borderId="0">
      <alignment vertical="center"/>
    </xf>
    <xf numFmtId="220" fontId="145" fillId="0" borderId="0">
      <protection locked="0"/>
    </xf>
    <xf numFmtId="220" fontId="145" fillId="0" borderId="0">
      <protection locked="0"/>
    </xf>
    <xf numFmtId="220" fontId="157" fillId="47" borderId="0" applyNumberFormat="0" applyBorder="0" applyAlignment="0" applyProtection="0">
      <alignment vertical="center"/>
    </xf>
    <xf numFmtId="220" fontId="145" fillId="0" borderId="0">
      <protection locked="0"/>
    </xf>
    <xf numFmtId="220" fontId="151" fillId="0" borderId="0"/>
    <xf numFmtId="220" fontId="5" fillId="0" borderId="0"/>
    <xf numFmtId="220" fontId="139" fillId="101"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5" fillId="0" borderId="0">
      <protection locked="0"/>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0" fillId="0" borderId="0"/>
    <xf numFmtId="220" fontId="151" fillId="0" borderId="0"/>
    <xf numFmtId="220" fontId="151" fillId="0" borderId="0"/>
    <xf numFmtId="220" fontId="147" fillId="38" borderId="0" applyNumberFormat="0" applyBorder="0" applyAlignment="0" applyProtection="0">
      <alignment vertical="center"/>
    </xf>
    <xf numFmtId="220" fontId="139" fillId="45"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5" fillId="0" borderId="0"/>
    <xf numFmtId="220" fontId="151" fillId="0" borderId="0"/>
    <xf numFmtId="220" fontId="0" fillId="0" borderId="0"/>
    <xf numFmtId="220" fontId="145" fillId="0" borderId="0">
      <protection locked="0"/>
    </xf>
    <xf numFmtId="43" fontId="0" fillId="0" borderId="0" applyFont="0" applyFill="0" applyBorder="0" applyAlignment="0" applyProtection="0"/>
    <xf numFmtId="220" fontId="151" fillId="0" borderId="0"/>
    <xf numFmtId="220" fontId="145" fillId="0" borderId="0"/>
    <xf numFmtId="220" fontId="151" fillId="0" borderId="0"/>
    <xf numFmtId="220" fontId="145" fillId="0" borderId="0"/>
    <xf numFmtId="220" fontId="151" fillId="0" borderId="0"/>
    <xf numFmtId="220" fontId="151" fillId="0" borderId="0"/>
    <xf numFmtId="220" fontId="5" fillId="0" borderId="0"/>
    <xf numFmtId="220" fontId="145" fillId="0" borderId="0">
      <protection locked="0"/>
    </xf>
    <xf numFmtId="220" fontId="5" fillId="0" borderId="0"/>
    <xf numFmtId="220" fontId="157" fillId="47" borderId="0" applyNumberFormat="0" applyBorder="0" applyAlignment="0" applyProtection="0">
      <alignment vertical="center"/>
    </xf>
    <xf numFmtId="220" fontId="146" fillId="0" borderId="0">
      <alignment vertical="top"/>
    </xf>
    <xf numFmtId="220" fontId="145" fillId="0" borderId="0">
      <protection locked="0"/>
    </xf>
    <xf numFmtId="220" fontId="162" fillId="49" borderId="0" applyNumberFormat="0" applyBorder="0" applyAlignment="0" applyProtection="0"/>
    <xf numFmtId="220" fontId="145" fillId="0" borderId="0">
      <protection locked="0"/>
    </xf>
    <xf numFmtId="220" fontId="145" fillId="0" borderId="0"/>
    <xf numFmtId="1" fontId="90" fillId="0" borderId="0"/>
    <xf numFmtId="220" fontId="0" fillId="0" borderId="0"/>
    <xf numFmtId="220" fontId="5" fillId="0" borderId="0"/>
    <xf numFmtId="220" fontId="145" fillId="0" borderId="0">
      <protection locked="0"/>
    </xf>
    <xf numFmtId="220" fontId="145" fillId="0" borderId="0">
      <protection locked="0"/>
    </xf>
    <xf numFmtId="220" fontId="150" fillId="35" borderId="0" applyNumberFormat="0" applyBorder="0" applyAlignment="0" applyProtection="0">
      <alignment vertical="center"/>
    </xf>
    <xf numFmtId="220" fontId="90" fillId="0" borderId="0"/>
    <xf numFmtId="220" fontId="5" fillId="0" borderId="0"/>
    <xf numFmtId="220" fontId="90" fillId="0" borderId="0">
      <protection locked="0"/>
    </xf>
    <xf numFmtId="220" fontId="181" fillId="0" borderId="0"/>
    <xf numFmtId="220" fontId="0" fillId="0" borderId="0"/>
    <xf numFmtId="220" fontId="145" fillId="0" borderId="0">
      <protection locked="0"/>
    </xf>
    <xf numFmtId="220" fontId="0" fillId="0" borderId="0"/>
    <xf numFmtId="220" fontId="150" fillId="35" borderId="0" applyNumberFormat="0" applyBorder="0" applyAlignment="0" applyProtection="0">
      <alignment vertical="center"/>
    </xf>
    <xf numFmtId="220" fontId="5" fillId="0" borderId="0"/>
    <xf numFmtId="220" fontId="145" fillId="0" borderId="0"/>
    <xf numFmtId="220" fontId="145" fillId="0" borderId="0"/>
    <xf numFmtId="220" fontId="145" fillId="0" borderId="0"/>
    <xf numFmtId="220" fontId="145" fillId="0" borderId="0"/>
    <xf numFmtId="220" fontId="5" fillId="0" borderId="0" applyFont="0" applyFill="0" applyBorder="0" applyAlignment="0" applyProtection="0"/>
    <xf numFmtId="220" fontId="145" fillId="0" borderId="0">
      <protection locked="0"/>
    </xf>
    <xf numFmtId="220" fontId="145" fillId="0" borderId="0">
      <protection locked="0"/>
    </xf>
    <xf numFmtId="220" fontId="145" fillId="0" borderId="0">
      <protection locked="0"/>
    </xf>
    <xf numFmtId="220" fontId="145" fillId="0" borderId="0">
      <protection locked="0"/>
    </xf>
    <xf numFmtId="220" fontId="0" fillId="0" borderId="0"/>
    <xf numFmtId="220" fontId="145" fillId="0" borderId="0">
      <protection locked="0"/>
    </xf>
    <xf numFmtId="220" fontId="145" fillId="0" borderId="0">
      <protection locked="0"/>
    </xf>
    <xf numFmtId="220" fontId="5" fillId="0" borderId="0"/>
    <xf numFmtId="220" fontId="145" fillId="0" borderId="0">
      <protection locked="0"/>
    </xf>
    <xf numFmtId="220" fontId="145" fillId="0" borderId="0">
      <protection locked="0"/>
    </xf>
    <xf numFmtId="220" fontId="145" fillId="0" borderId="0">
      <protection locked="0"/>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145" fillId="0" borderId="0">
      <protection locked="0"/>
    </xf>
    <xf numFmtId="220" fontId="149" fillId="0" borderId="0">
      <protection locked="0"/>
    </xf>
    <xf numFmtId="220" fontId="145" fillId="0" borderId="0">
      <protection locked="0"/>
    </xf>
    <xf numFmtId="220" fontId="5" fillId="0" borderId="0"/>
    <xf numFmtId="220" fontId="5" fillId="0" borderId="0"/>
    <xf numFmtId="220" fontId="0" fillId="0" borderId="0"/>
    <xf numFmtId="220" fontId="5" fillId="0" borderId="0"/>
    <xf numFmtId="220" fontId="139" fillId="45" borderId="0" applyNumberFormat="0" applyBorder="0" applyAlignment="0" applyProtection="0">
      <alignment vertical="center"/>
    </xf>
    <xf numFmtId="220" fontId="5" fillId="0" borderId="0"/>
    <xf numFmtId="180" fontId="0" fillId="0" borderId="0" applyFont="0" applyFill="0" applyBorder="0" applyAlignment="0" applyProtection="0"/>
    <xf numFmtId="220" fontId="5" fillId="0" borderId="0"/>
    <xf numFmtId="220" fontId="145" fillId="0" borderId="0">
      <protection locked="0"/>
    </xf>
    <xf numFmtId="220" fontId="145" fillId="0" borderId="0">
      <protection locked="0"/>
    </xf>
    <xf numFmtId="220" fontId="166" fillId="97" borderId="0" applyNumberFormat="0" applyBorder="0" applyAlignment="0" applyProtection="0">
      <alignment vertical="center"/>
    </xf>
    <xf numFmtId="220" fontId="5" fillId="0" borderId="0"/>
    <xf numFmtId="220" fontId="145" fillId="0" borderId="0">
      <protection locked="0"/>
    </xf>
    <xf numFmtId="220" fontId="145" fillId="0" borderId="0"/>
    <xf numFmtId="220" fontId="145" fillId="0" borderId="0">
      <protection locked="0"/>
    </xf>
    <xf numFmtId="220" fontId="145" fillId="0" borderId="0">
      <protection locked="0"/>
    </xf>
    <xf numFmtId="220" fontId="145" fillId="0" borderId="0">
      <protection locked="0"/>
    </xf>
    <xf numFmtId="220" fontId="139" fillId="48" borderId="0" applyNumberFormat="0" applyBorder="0" applyAlignment="0" applyProtection="0">
      <alignment vertical="center"/>
    </xf>
    <xf numFmtId="220" fontId="145" fillId="0" borderId="0">
      <protection locked="0"/>
    </xf>
    <xf numFmtId="220" fontId="5" fillId="0" borderId="0"/>
    <xf numFmtId="220" fontId="146" fillId="0" borderId="0">
      <alignment vertical="top"/>
    </xf>
    <xf numFmtId="220" fontId="90" fillId="0" borderId="0"/>
    <xf numFmtId="220" fontId="5" fillId="0" borderId="0"/>
    <xf numFmtId="220" fontId="145" fillId="0" borderId="0">
      <protection locked="0"/>
    </xf>
    <xf numFmtId="220" fontId="0" fillId="0" borderId="0">
      <alignment vertical="center"/>
    </xf>
    <xf numFmtId="220" fontId="190" fillId="44" borderId="0" applyNumberFormat="0" applyBorder="0" applyAlignment="0" applyProtection="0">
      <alignment vertical="center"/>
    </xf>
    <xf numFmtId="220" fontId="145" fillId="0" borderId="0"/>
    <xf numFmtId="220" fontId="146" fillId="0" borderId="0">
      <alignment vertical="top"/>
    </xf>
    <xf numFmtId="220" fontId="5" fillId="0" borderId="0"/>
    <xf numFmtId="220" fontId="151" fillId="0" borderId="0"/>
    <xf numFmtId="220" fontId="5" fillId="0" borderId="0"/>
    <xf numFmtId="220" fontId="229" fillId="0" borderId="15">
      <alignment horizontal="left" vertical="center"/>
    </xf>
    <xf numFmtId="220" fontId="263" fillId="0" borderId="0"/>
    <xf numFmtId="220" fontId="181" fillId="0" borderId="0"/>
    <xf numFmtId="220" fontId="147" fillId="38" borderId="0" applyNumberFormat="0" applyBorder="0" applyAlignment="0" applyProtection="0">
      <alignment vertical="center"/>
    </xf>
    <xf numFmtId="220" fontId="181" fillId="0" borderId="0"/>
    <xf numFmtId="220" fontId="5" fillId="0" borderId="0"/>
    <xf numFmtId="220" fontId="145" fillId="0" borderId="0">
      <protection locked="0"/>
    </xf>
    <xf numFmtId="220" fontId="142" fillId="38" borderId="0" applyNumberFormat="0" applyBorder="0" applyAlignment="0" applyProtection="0">
      <alignment vertical="center"/>
    </xf>
    <xf numFmtId="220" fontId="181" fillId="0" borderId="0"/>
    <xf numFmtId="220" fontId="220" fillId="112" borderId="0" applyNumberFormat="0" applyBorder="0" applyAlignment="0" applyProtection="0"/>
    <xf numFmtId="220" fontId="145" fillId="0" borderId="0">
      <protection locked="0"/>
    </xf>
    <xf numFmtId="220" fontId="5" fillId="0" borderId="0"/>
    <xf numFmtId="4" fontId="146" fillId="35" borderId="108" applyNumberFormat="0" applyProtection="0">
      <alignment horizontal="right" vertical="center"/>
    </xf>
    <xf numFmtId="220" fontId="145" fillId="0" borderId="0">
      <protection locked="0"/>
    </xf>
    <xf numFmtId="220" fontId="5" fillId="0" borderId="0"/>
    <xf numFmtId="220" fontId="146" fillId="35" borderId="108" applyNumberFormat="0" applyProtection="0">
      <alignment horizontal="right" vertical="center"/>
    </xf>
    <xf numFmtId="220" fontId="145" fillId="0" borderId="0"/>
    <xf numFmtId="220" fontId="5" fillId="0" borderId="0"/>
    <xf numFmtId="220" fontId="145" fillId="0" borderId="0"/>
    <xf numFmtId="220" fontId="147" fillId="38" borderId="0" applyNumberFormat="0" applyBorder="0" applyAlignment="0" applyProtection="0">
      <alignment vertical="center"/>
    </xf>
    <xf numFmtId="220" fontId="145" fillId="0" borderId="0">
      <protection locked="0"/>
    </xf>
    <xf numFmtId="220" fontId="145" fillId="0" borderId="0"/>
    <xf numFmtId="220" fontId="145" fillId="0" borderId="0">
      <protection locked="0"/>
    </xf>
    <xf numFmtId="220" fontId="5" fillId="0" borderId="0"/>
    <xf numFmtId="220" fontId="0" fillId="0" borderId="0"/>
    <xf numFmtId="211" fontId="0" fillId="0" borderId="0" applyFont="0" applyFill="0" applyBorder="0" applyAlignment="0" applyProtection="0"/>
    <xf numFmtId="211" fontId="0" fillId="0" borderId="0" applyFont="0" applyFill="0" applyBorder="0" applyAlignment="0" applyProtection="0"/>
    <xf numFmtId="220" fontId="5" fillId="0" borderId="0"/>
    <xf numFmtId="220" fontId="5" fillId="0" borderId="0"/>
    <xf numFmtId="220" fontId="145" fillId="0" borderId="0"/>
    <xf numFmtId="220" fontId="145" fillId="0" borderId="0"/>
    <xf numFmtId="220" fontId="145" fillId="0" borderId="0">
      <protection locked="0"/>
    </xf>
    <xf numFmtId="220" fontId="145" fillId="0" borderId="0">
      <protection locked="0"/>
    </xf>
    <xf numFmtId="37" fontId="213" fillId="0" borderId="0" applyFont="0" applyFill="0" applyBorder="0" applyAlignment="0" applyProtection="0"/>
    <xf numFmtId="220" fontId="145" fillId="0" borderId="0">
      <protection locked="0"/>
    </xf>
    <xf numFmtId="220" fontId="0" fillId="0" borderId="0"/>
    <xf numFmtId="220" fontId="157" fillId="47" borderId="0" applyNumberFormat="0" applyBorder="0" applyAlignment="0" applyProtection="0">
      <alignment vertical="center"/>
    </xf>
    <xf numFmtId="220" fontId="145" fillId="0" borderId="0"/>
    <xf numFmtId="220" fontId="145" fillId="0" borderId="0">
      <protection locked="0"/>
    </xf>
    <xf numFmtId="220" fontId="157" fillId="47" borderId="0" applyNumberFormat="0" applyBorder="0" applyAlignment="0" applyProtection="0">
      <alignment vertical="center"/>
    </xf>
    <xf numFmtId="220" fontId="145" fillId="0" borderId="0">
      <protection locked="0"/>
    </xf>
    <xf numFmtId="220" fontId="5" fillId="0" borderId="0"/>
    <xf numFmtId="220" fontId="150" fillId="35" borderId="0" applyNumberFormat="0" applyBorder="0" applyAlignment="0" applyProtection="0">
      <alignment vertical="center"/>
    </xf>
    <xf numFmtId="220" fontId="145" fillId="0" borderId="0"/>
    <xf numFmtId="220" fontId="145" fillId="0" borderId="0"/>
    <xf numFmtId="220" fontId="5" fillId="0" borderId="0"/>
    <xf numFmtId="220" fontId="145" fillId="0" borderId="0">
      <protection locked="0"/>
    </xf>
    <xf numFmtId="220" fontId="5" fillId="0" borderId="0"/>
    <xf numFmtId="220" fontId="145" fillId="0" borderId="0">
      <protection locked="0"/>
    </xf>
    <xf numFmtId="220" fontId="145" fillId="0" borderId="0"/>
    <xf numFmtId="180" fontId="0" fillId="0" borderId="0" applyFont="0" applyFill="0" applyBorder="0" applyAlignment="0" applyProtection="0"/>
    <xf numFmtId="220" fontId="145" fillId="0" borderId="0">
      <protection locked="0"/>
    </xf>
    <xf numFmtId="220" fontId="5" fillId="0" borderId="0"/>
    <xf numFmtId="220" fontId="145" fillId="0" borderId="0"/>
    <xf numFmtId="220" fontId="145" fillId="0" borderId="0"/>
    <xf numFmtId="220" fontId="5" fillId="0" borderId="0"/>
    <xf numFmtId="220" fontId="188" fillId="31" borderId="108" applyNumberFormat="0" applyProtection="0">
      <alignment vertical="center"/>
    </xf>
    <xf numFmtId="220" fontId="162" fillId="94" borderId="0" applyNumberFormat="0" applyBorder="0" applyAlignment="0" applyProtection="0"/>
    <xf numFmtId="220" fontId="145" fillId="0" borderId="0"/>
    <xf numFmtId="220" fontId="145" fillId="0" borderId="0"/>
    <xf numFmtId="220" fontId="5" fillId="0" borderId="0"/>
    <xf numFmtId="220" fontId="5" fillId="0" borderId="0"/>
    <xf numFmtId="220" fontId="145" fillId="0" borderId="0">
      <protection locked="0"/>
    </xf>
    <xf numFmtId="220" fontId="5" fillId="0" borderId="0"/>
    <xf numFmtId="220" fontId="145" fillId="0" borderId="0"/>
    <xf numFmtId="220" fontId="157" fillId="47" borderId="0" applyNumberFormat="0" applyBorder="0" applyAlignment="0" applyProtection="0">
      <alignment vertical="center"/>
    </xf>
    <xf numFmtId="180" fontId="0" fillId="0" borderId="0" applyFont="0" applyFill="0" applyBorder="0" applyAlignment="0" applyProtection="0"/>
    <xf numFmtId="220" fontId="0" fillId="0" borderId="0"/>
    <xf numFmtId="220" fontId="145" fillId="0" borderId="0">
      <protection locked="0"/>
    </xf>
    <xf numFmtId="180" fontId="0" fillId="0" borderId="0" applyFont="0" applyFill="0" applyBorder="0" applyAlignment="0" applyProtection="0"/>
    <xf numFmtId="220" fontId="145" fillId="0" borderId="0"/>
    <xf numFmtId="220" fontId="5" fillId="0" borderId="0"/>
    <xf numFmtId="220" fontId="0" fillId="0" borderId="0"/>
    <xf numFmtId="220" fontId="145" fillId="0" borderId="0">
      <protection locked="0"/>
    </xf>
    <xf numFmtId="220" fontId="145" fillId="0" borderId="0"/>
    <xf numFmtId="220" fontId="151" fillId="0" borderId="0">
      <protection locked="0"/>
    </xf>
    <xf numFmtId="220" fontId="5" fillId="0" borderId="0"/>
    <xf numFmtId="220" fontId="145" fillId="0" borderId="0">
      <protection locked="0"/>
    </xf>
    <xf numFmtId="220" fontId="146" fillId="0" borderId="0">
      <alignment vertical="top"/>
    </xf>
    <xf numFmtId="220" fontId="166" fillId="93" borderId="0" applyNumberFormat="0" applyBorder="0" applyAlignment="0" applyProtection="0">
      <alignment vertical="center"/>
    </xf>
    <xf numFmtId="220" fontId="139" fillId="6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220" fontId="149" fillId="0" borderId="0">
      <protection locked="0"/>
    </xf>
    <xf numFmtId="220" fontId="5" fillId="0" borderId="0"/>
    <xf numFmtId="220" fontId="146" fillId="0" borderId="0">
      <alignment vertical="top"/>
    </xf>
    <xf numFmtId="220" fontId="5" fillId="0" borderId="0"/>
    <xf numFmtId="220" fontId="150" fillId="35"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146" fillId="0" borderId="0">
      <alignment vertical="top"/>
    </xf>
    <xf numFmtId="220" fontId="5" fillId="0" borderId="0"/>
    <xf numFmtId="220" fontId="145" fillId="0" borderId="0">
      <protection locked="0"/>
    </xf>
    <xf numFmtId="220" fontId="146" fillId="0" borderId="0">
      <alignment vertical="top"/>
    </xf>
    <xf numFmtId="220" fontId="5" fillId="0" borderId="0"/>
    <xf numFmtId="211" fontId="0" fillId="0" borderId="0" applyFont="0" applyFill="0" applyBorder="0" applyAlignment="0" applyProtection="0"/>
    <xf numFmtId="220" fontId="150" fillId="35" borderId="0" applyNumberFormat="0" applyBorder="0" applyAlignment="0" applyProtection="0">
      <alignment vertical="center"/>
    </xf>
    <xf numFmtId="43" fontId="0" fillId="0" borderId="0" applyFont="0" applyFill="0" applyBorder="0" applyAlignment="0" applyProtection="0"/>
    <xf numFmtId="180" fontId="0" fillId="0" borderId="0" applyFont="0" applyFill="0" applyBorder="0" applyAlignment="0" applyProtection="0"/>
    <xf numFmtId="220" fontId="0" fillId="0" borderId="0"/>
    <xf numFmtId="220" fontId="145" fillId="0" borderId="0">
      <protection locked="0"/>
    </xf>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145" fillId="0" borderId="0">
      <protection locked="0"/>
    </xf>
    <xf numFmtId="220" fontId="220" fillId="75" borderId="0" applyNumberFormat="0" applyBorder="0" applyAlignment="0" applyProtection="0"/>
    <xf numFmtId="220" fontId="145" fillId="0" borderId="0"/>
    <xf numFmtId="220" fontId="0" fillId="0" borderId="0"/>
    <xf numFmtId="220" fontId="145" fillId="0" borderId="0">
      <protection locked="0"/>
    </xf>
    <xf numFmtId="220" fontId="0" fillId="0" borderId="0"/>
    <xf numFmtId="220" fontId="5" fillId="0" borderId="0"/>
    <xf numFmtId="10" fontId="0" fillId="0" borderId="0" applyFont="0" applyFill="0" applyBorder="0" applyAlignment="0" applyProtection="0"/>
    <xf numFmtId="220" fontId="145" fillId="0" borderId="0">
      <protection locked="0"/>
    </xf>
    <xf numFmtId="220" fontId="5" fillId="0" borderId="0"/>
    <xf numFmtId="220" fontId="0" fillId="0" borderId="0"/>
    <xf numFmtId="220" fontId="152" fillId="80" borderId="0" applyNumberFormat="0" applyBorder="0" applyAlignment="0" applyProtection="0">
      <alignment vertical="center"/>
    </xf>
    <xf numFmtId="220" fontId="216" fillId="32" borderId="108" applyNumberFormat="0" applyProtection="0">
      <alignment horizontal="right" vertical="center"/>
    </xf>
    <xf numFmtId="220" fontId="5" fillId="0" borderId="0"/>
    <xf numFmtId="220" fontId="5" fillId="0" borderId="0"/>
    <xf numFmtId="220" fontId="0" fillId="0" borderId="0"/>
    <xf numFmtId="220" fontId="145" fillId="0" borderId="0">
      <protection locked="0"/>
    </xf>
    <xf numFmtId="220" fontId="5" fillId="0" borderId="0"/>
    <xf numFmtId="220" fontId="146" fillId="0" borderId="0">
      <alignment vertical="top"/>
    </xf>
    <xf numFmtId="180" fontId="0" fillId="0" borderId="0" applyFont="0" applyFill="0" applyBorder="0" applyAlignment="0" applyProtection="0"/>
    <xf numFmtId="220" fontId="145" fillId="0" borderId="0">
      <protection locked="0"/>
    </xf>
    <xf numFmtId="180" fontId="0" fillId="0" borderId="0" applyFont="0" applyFill="0" applyBorder="0" applyAlignment="0" applyProtection="0"/>
    <xf numFmtId="220" fontId="146" fillId="0" borderId="0">
      <alignment vertical="top"/>
    </xf>
    <xf numFmtId="220" fontId="243" fillId="32" borderId="108" applyNumberFormat="0" applyProtection="0">
      <alignment horizontal="right" vertical="center"/>
    </xf>
    <xf numFmtId="220" fontId="145" fillId="0" borderId="0">
      <protection locked="0"/>
    </xf>
    <xf numFmtId="37" fontId="213" fillId="0" borderId="0" applyFont="0" applyFill="0" applyBorder="0" applyAlignment="0" applyProtection="0"/>
    <xf numFmtId="220" fontId="145" fillId="0" borderId="0"/>
    <xf numFmtId="220" fontId="146" fillId="0" borderId="0">
      <alignment vertical="top"/>
    </xf>
    <xf numFmtId="220" fontId="5" fillId="0" borderId="0"/>
    <xf numFmtId="220" fontId="5" fillId="0" borderId="0"/>
    <xf numFmtId="220" fontId="145" fillId="0" borderId="0">
      <protection locked="0"/>
    </xf>
    <xf numFmtId="220" fontId="145" fillId="0" borderId="0">
      <protection locked="0"/>
    </xf>
    <xf numFmtId="220" fontId="146" fillId="0" borderId="0">
      <alignment vertical="top"/>
    </xf>
    <xf numFmtId="220" fontId="190" fillId="35" borderId="0" applyNumberFormat="0" applyBorder="0" applyAlignment="0" applyProtection="0">
      <alignment vertical="center"/>
    </xf>
    <xf numFmtId="220" fontId="145" fillId="0" borderId="0"/>
    <xf numFmtId="220" fontId="5" fillId="0" borderId="0"/>
    <xf numFmtId="220" fontId="161" fillId="53" borderId="0" applyNumberFormat="0" applyBorder="0" applyAlignment="0" applyProtection="0">
      <alignment vertical="center"/>
    </xf>
    <xf numFmtId="220" fontId="145" fillId="0" borderId="0">
      <protection locked="0"/>
    </xf>
    <xf numFmtId="220" fontId="185" fillId="102" borderId="0" applyNumberFormat="0" applyBorder="0" applyAlignment="0" applyProtection="0"/>
    <xf numFmtId="220" fontId="5" fillId="0" borderId="0"/>
    <xf numFmtId="220" fontId="145" fillId="0" borderId="0">
      <protection locked="0"/>
    </xf>
    <xf numFmtId="220" fontId="151" fillId="0" borderId="0"/>
    <xf numFmtId="220" fontId="146" fillId="0" borderId="0">
      <alignment vertical="top"/>
    </xf>
    <xf numFmtId="220" fontId="5" fillId="0" borderId="0"/>
    <xf numFmtId="220" fontId="145" fillId="0" borderId="0">
      <protection locked="0"/>
    </xf>
    <xf numFmtId="220" fontId="5" fillId="0" borderId="0"/>
    <xf numFmtId="220" fontId="146" fillId="0" borderId="0">
      <alignment vertical="top"/>
    </xf>
    <xf numFmtId="220" fontId="150" fillId="35" borderId="0" applyNumberFormat="0" applyBorder="0" applyAlignment="0" applyProtection="0">
      <alignment vertical="center"/>
    </xf>
    <xf numFmtId="220" fontId="5" fillId="0" borderId="0"/>
    <xf numFmtId="220" fontId="5" fillId="0" borderId="0"/>
    <xf numFmtId="220" fontId="145" fillId="0" borderId="0">
      <protection locked="0"/>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90" fillId="54" borderId="0" applyNumberFormat="0" applyBorder="0" applyAlignment="0" applyProtection="0">
      <alignment vertical="center"/>
    </xf>
    <xf numFmtId="220" fontId="5" fillId="0" borderId="0"/>
    <xf numFmtId="220" fontId="146" fillId="0" borderId="0">
      <alignment vertical="top"/>
    </xf>
    <xf numFmtId="220" fontId="150" fillId="35" borderId="0" applyNumberFormat="0" applyBorder="0" applyAlignment="0" applyProtection="0">
      <alignment vertical="center"/>
    </xf>
    <xf numFmtId="220" fontId="145" fillId="0" borderId="0">
      <protection locked="0"/>
    </xf>
    <xf numFmtId="220" fontId="146" fillId="0" borderId="0">
      <alignment vertical="top"/>
    </xf>
    <xf numFmtId="220" fontId="92" fillId="0" borderId="0">
      <alignment horizontal="center" wrapText="1"/>
      <protection locked="0"/>
    </xf>
    <xf numFmtId="220" fontId="145" fillId="0" borderId="0"/>
    <xf numFmtId="220" fontId="145" fillId="0" borderId="0">
      <protection locked="0"/>
    </xf>
    <xf numFmtId="220" fontId="240" fillId="0" borderId="0">
      <alignment horizontal="center"/>
    </xf>
    <xf numFmtId="220" fontId="146" fillId="0" borderId="0">
      <alignment vertical="top"/>
    </xf>
    <xf numFmtId="220" fontId="146" fillId="0" borderId="0">
      <alignment vertical="top"/>
    </xf>
    <xf numFmtId="220" fontId="5" fillId="0" borderId="0"/>
    <xf numFmtId="220" fontId="145" fillId="0" borderId="0">
      <protection locked="0"/>
    </xf>
    <xf numFmtId="220" fontId="5" fillId="0" borderId="0"/>
    <xf numFmtId="220" fontId="145" fillId="0" borderId="0">
      <protection locked="0"/>
    </xf>
    <xf numFmtId="220" fontId="146" fillId="0" borderId="0">
      <alignment vertical="top"/>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0" fillId="0" borderId="0" applyNumberFormat="0" applyFont="0"/>
    <xf numFmtId="220" fontId="145" fillId="0" borderId="0">
      <protection locked="0"/>
    </xf>
    <xf numFmtId="220" fontId="5" fillId="0" borderId="0"/>
    <xf numFmtId="220" fontId="142" fillId="38" borderId="0" applyNumberFormat="0" applyBorder="0" applyAlignment="0" applyProtection="0">
      <alignment vertical="center"/>
    </xf>
    <xf numFmtId="220" fontId="148" fillId="54" borderId="0" applyNumberFormat="0" applyBorder="0" applyAlignment="0" applyProtection="0">
      <alignment vertical="center"/>
    </xf>
    <xf numFmtId="220" fontId="0" fillId="0" borderId="0"/>
    <xf numFmtId="220" fontId="145" fillId="0" borderId="0">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52" fillId="45"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166" fillId="93" borderId="0" applyNumberFormat="0" applyBorder="0" applyAlignment="0" applyProtection="0">
      <alignment vertical="center"/>
    </xf>
    <xf numFmtId="220" fontId="139" fillId="6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46" fillId="0" borderId="0">
      <alignment vertical="top"/>
    </xf>
    <xf numFmtId="220" fontId="150" fillId="35" borderId="0" applyNumberFormat="0" applyBorder="0" applyAlignment="0" applyProtection="0">
      <alignment vertical="center"/>
    </xf>
    <xf numFmtId="220" fontId="140" fillId="36"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9" fontId="0" fillId="0" borderId="0" applyFont="0" applyFill="0" applyBorder="0" applyAlignment="0" applyProtection="0"/>
    <xf numFmtId="220" fontId="5" fillId="0" borderId="0"/>
    <xf numFmtId="220" fontId="5" fillId="0" borderId="0"/>
    <xf numFmtId="220" fontId="5" fillId="0" borderId="0"/>
    <xf numFmtId="220" fontId="152" fillId="54" borderId="0" applyNumberFormat="0" applyBorder="0" applyAlignment="0" applyProtection="0">
      <alignment vertical="center"/>
    </xf>
    <xf numFmtId="220" fontId="145" fillId="0" borderId="0"/>
    <xf numFmtId="220" fontId="0" fillId="0" borderId="0"/>
    <xf numFmtId="220" fontId="145" fillId="0" borderId="0"/>
    <xf numFmtId="220" fontId="145" fillId="0" borderId="0">
      <protection locked="0"/>
    </xf>
    <xf numFmtId="198" fontId="0" fillId="0" borderId="0"/>
    <xf numFmtId="220" fontId="149" fillId="0" borderId="0">
      <protection locked="0"/>
    </xf>
    <xf numFmtId="220" fontId="146" fillId="0" borderId="0">
      <alignment vertical="top"/>
    </xf>
    <xf numFmtId="198" fontId="0" fillId="0" borderId="0"/>
    <xf numFmtId="220" fontId="149" fillId="0" borderId="0">
      <protection locked="0"/>
    </xf>
    <xf numFmtId="198" fontId="0" fillId="0" borderId="0"/>
    <xf numFmtId="220" fontId="145" fillId="0" borderId="0">
      <protection locked="0"/>
    </xf>
    <xf numFmtId="220" fontId="161" fillId="53" borderId="0" applyNumberFormat="0" applyBorder="0" applyAlignment="0" applyProtection="0">
      <alignment vertical="center"/>
    </xf>
    <xf numFmtId="220" fontId="149" fillId="0" borderId="0">
      <protection locked="0"/>
    </xf>
    <xf numFmtId="220" fontId="5" fillId="0" borderId="0"/>
    <xf numFmtId="220" fontId="0" fillId="0" borderId="0"/>
    <xf numFmtId="220" fontId="152" fillId="45"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5" fillId="0" borderId="0"/>
    <xf numFmtId="220" fontId="139" fillId="60" borderId="0" applyNumberFormat="0" applyBorder="0" applyAlignment="0" applyProtection="0">
      <alignment vertical="center"/>
    </xf>
    <xf numFmtId="220" fontId="145" fillId="0" borderId="0">
      <protection locked="0"/>
    </xf>
    <xf numFmtId="220" fontId="149" fillId="0" borderId="0">
      <protection locked="0"/>
    </xf>
    <xf numFmtId="220" fontId="145" fillId="0" borderId="0">
      <protection locked="0"/>
    </xf>
    <xf numFmtId="220" fontId="149" fillId="0" borderId="0">
      <protection locked="0"/>
    </xf>
    <xf numFmtId="220" fontId="157" fillId="47" borderId="0" applyNumberFormat="0" applyBorder="0" applyAlignment="0" applyProtection="0">
      <alignment vertical="center"/>
    </xf>
    <xf numFmtId="220" fontId="152" fillId="44" borderId="0" applyNumberFormat="0" applyBorder="0" applyAlignment="0" applyProtection="0">
      <alignment vertical="center"/>
    </xf>
    <xf numFmtId="220" fontId="5" fillId="0" borderId="0"/>
    <xf numFmtId="220" fontId="5" fillId="0" borderId="0"/>
    <xf numFmtId="220" fontId="145" fillId="0" borderId="0">
      <protection locked="0"/>
    </xf>
    <xf numFmtId="220" fontId="152" fillId="0" borderId="0">
      <alignment vertical="center"/>
    </xf>
    <xf numFmtId="220" fontId="145" fillId="0" borderId="0"/>
    <xf numFmtId="9" fontId="0" fillId="0" borderId="0" applyFont="0" applyFill="0" applyBorder="0" applyAlignment="0" applyProtection="0"/>
    <xf numFmtId="220" fontId="145" fillId="0" borderId="0"/>
    <xf numFmtId="9" fontId="0" fillId="0" borderId="0" applyFont="0" applyFill="0" applyBorder="0" applyAlignment="0" applyProtection="0"/>
    <xf numFmtId="220" fontId="145" fillId="0" borderId="0">
      <protection locked="0"/>
    </xf>
    <xf numFmtId="220" fontId="145" fillId="0" borderId="0">
      <protection locked="0"/>
    </xf>
    <xf numFmtId="220" fontId="139" fillId="45" borderId="0" applyNumberFormat="0" applyBorder="0" applyAlignment="0" applyProtection="0">
      <alignment vertical="center"/>
    </xf>
    <xf numFmtId="220" fontId="5" fillId="0" borderId="0"/>
    <xf numFmtId="220" fontId="181" fillId="0" borderId="0">
      <protection locked="0"/>
    </xf>
    <xf numFmtId="220" fontId="19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2" fillId="42" borderId="0" applyNumberFormat="0" applyBorder="0" applyAlignment="0" applyProtection="0">
      <alignment vertical="center"/>
    </xf>
    <xf numFmtId="220" fontId="5" fillId="0" borderId="0"/>
    <xf numFmtId="220" fontId="145" fillId="0" borderId="0">
      <protection locked="0"/>
    </xf>
    <xf numFmtId="220" fontId="228" fillId="53" borderId="1">
      <alignment vertical="center"/>
    </xf>
    <xf numFmtId="220" fontId="152" fillId="63" borderId="0" applyNumberFormat="0" applyBorder="0" applyAlignment="0" applyProtection="0">
      <alignment vertical="center"/>
    </xf>
    <xf numFmtId="220" fontId="0" fillId="0" borderId="0"/>
    <xf numFmtId="220" fontId="190" fillId="80" borderId="0" applyNumberFormat="0" applyBorder="0" applyAlignment="0" applyProtection="0">
      <alignment vertical="center"/>
    </xf>
    <xf numFmtId="220" fontId="145" fillId="0" borderId="0"/>
    <xf numFmtId="220" fontId="152" fillId="44" borderId="0" applyNumberFormat="0" applyBorder="0" applyAlignment="0" applyProtection="0">
      <alignment vertical="center"/>
    </xf>
    <xf numFmtId="220" fontId="5" fillId="0" borderId="0"/>
    <xf numFmtId="220" fontId="145" fillId="0" borderId="0">
      <protection locked="0"/>
    </xf>
    <xf numFmtId="220" fontId="5" fillId="0" borderId="0"/>
    <xf numFmtId="220" fontId="5" fillId="0" borderId="0"/>
    <xf numFmtId="220" fontId="145" fillId="0" borderId="0">
      <protection locked="0"/>
    </xf>
    <xf numFmtId="220" fontId="5" fillId="0" borderId="0"/>
    <xf numFmtId="220" fontId="139" fillId="45" borderId="0" applyNumberFormat="0" applyBorder="0" applyAlignment="0" applyProtection="0">
      <alignment vertical="center"/>
    </xf>
    <xf numFmtId="220" fontId="190" fillId="74"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0" fillId="0" borderId="0"/>
    <xf numFmtId="220" fontId="145" fillId="0" borderId="0"/>
    <xf numFmtId="9" fontId="0" fillId="0" borderId="0" applyFont="0" applyFill="0" applyBorder="0" applyAlignment="0" applyProtection="0"/>
    <xf numFmtId="220" fontId="145" fillId="0" borderId="0"/>
    <xf numFmtId="220" fontId="145" fillId="0" borderId="0"/>
    <xf numFmtId="220" fontId="0" fillId="0" borderId="0"/>
    <xf numFmtId="220" fontId="145" fillId="0" borderId="0"/>
    <xf numFmtId="220" fontId="145" fillId="0" borderId="0"/>
    <xf numFmtId="220" fontId="145" fillId="0" borderId="0">
      <protection locked="0"/>
    </xf>
    <xf numFmtId="220" fontId="142" fillId="38" borderId="0" applyNumberFormat="0" applyBorder="0" applyAlignment="0" applyProtection="0">
      <alignment vertical="center"/>
    </xf>
    <xf numFmtId="220" fontId="148" fillId="118" borderId="0" applyNumberFormat="0" applyBorder="0" applyAlignment="0" applyProtection="0">
      <alignment vertical="center"/>
    </xf>
    <xf numFmtId="220" fontId="5" fillId="0" borderId="0"/>
    <xf numFmtId="220" fontId="5" fillId="0" borderId="0"/>
    <xf numFmtId="220" fontId="152" fillId="44" borderId="0" applyNumberFormat="0" applyBorder="0" applyAlignment="0" applyProtection="0">
      <alignment vertical="center"/>
    </xf>
    <xf numFmtId="220" fontId="5" fillId="0" borderId="0"/>
    <xf numFmtId="220" fontId="90" fillId="0" borderId="0">
      <protection locked="0"/>
    </xf>
    <xf numFmtId="220" fontId="5" fillId="0" borderId="0"/>
    <xf numFmtId="220" fontId="161" fillId="53" borderId="0" applyNumberFormat="0" applyBorder="0" applyAlignment="0" applyProtection="0">
      <alignment vertical="center"/>
    </xf>
    <xf numFmtId="220" fontId="145" fillId="0" borderId="0">
      <protection locked="0"/>
    </xf>
    <xf numFmtId="220" fontId="151" fillId="0" borderId="0"/>
    <xf numFmtId="220" fontId="142" fillId="38" borderId="0" applyNumberFormat="0" applyBorder="0" applyAlignment="0" applyProtection="0">
      <alignment vertical="center"/>
    </xf>
    <xf numFmtId="220" fontId="145" fillId="0" borderId="0">
      <protection locked="0"/>
    </xf>
    <xf numFmtId="220" fontId="151" fillId="0" borderId="0"/>
    <xf numFmtId="220" fontId="161" fillId="54" borderId="0" applyNumberFormat="0" applyBorder="0" applyAlignment="0" applyProtection="0">
      <alignment vertical="center"/>
    </xf>
    <xf numFmtId="220" fontId="0" fillId="0" borderId="0"/>
    <xf numFmtId="220" fontId="90" fillId="0" borderId="0"/>
    <xf numFmtId="220" fontId="145" fillId="0" borderId="0">
      <protection locked="0"/>
    </xf>
    <xf numFmtId="220" fontId="5" fillId="0" borderId="0"/>
    <xf numFmtId="220" fontId="162" fillId="72" borderId="0" applyNumberFormat="0" applyBorder="0" applyAlignment="0" applyProtection="0"/>
    <xf numFmtId="220" fontId="149" fillId="0" borderId="0">
      <protection locked="0"/>
    </xf>
    <xf numFmtId="220" fontId="147" fillId="42" borderId="0" applyNumberFormat="0" applyBorder="0" applyAlignment="0" applyProtection="0">
      <alignment vertical="center"/>
    </xf>
    <xf numFmtId="220" fontId="162" fillId="72" borderId="0" applyNumberFormat="0" applyBorder="0" applyAlignment="0" applyProtection="0"/>
    <xf numFmtId="220" fontId="142" fillId="38" borderId="0" applyNumberFormat="0" applyBorder="0" applyAlignment="0" applyProtection="0">
      <alignment vertical="center"/>
    </xf>
    <xf numFmtId="220" fontId="145" fillId="0" borderId="0">
      <protection locked="0"/>
    </xf>
    <xf numFmtId="220" fontId="0" fillId="0" borderId="0"/>
    <xf numFmtId="220" fontId="5" fillId="0" borderId="0"/>
    <xf numFmtId="220" fontId="147" fillId="42" borderId="0" applyNumberFormat="0" applyBorder="0" applyAlignment="0" applyProtection="0">
      <alignment vertical="center"/>
    </xf>
    <xf numFmtId="220" fontId="149" fillId="0" borderId="0">
      <protection locked="0"/>
    </xf>
    <xf numFmtId="220" fontId="142" fillId="38" borderId="0" applyNumberFormat="0" applyBorder="0" applyAlignment="0" applyProtection="0">
      <alignment vertical="center"/>
    </xf>
    <xf numFmtId="220" fontId="166" fillId="93"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145" fillId="0" borderId="0">
      <protection locked="0"/>
    </xf>
    <xf numFmtId="211" fontId="152" fillId="0" borderId="0" applyFont="0" applyFill="0" applyBorder="0" applyAlignment="0" applyProtection="0"/>
    <xf numFmtId="220" fontId="150" fillId="35" borderId="0" applyNumberFormat="0" applyBorder="0" applyAlignment="0" applyProtection="0">
      <alignment vertical="center"/>
    </xf>
    <xf numFmtId="220" fontId="149" fillId="0" borderId="0">
      <protection locked="0"/>
    </xf>
    <xf numFmtId="220" fontId="0" fillId="0" borderId="0"/>
    <xf numFmtId="9" fontId="0" fillId="0" borderId="0" applyFont="0" applyFill="0" applyBorder="0" applyAlignment="0" applyProtection="0"/>
    <xf numFmtId="220" fontId="146" fillId="0" borderId="0">
      <alignment vertical="top"/>
    </xf>
    <xf numFmtId="220" fontId="5" fillId="0" borderId="0"/>
    <xf numFmtId="220" fontId="145" fillId="0" borderId="0">
      <protection locked="0"/>
    </xf>
    <xf numFmtId="220" fontId="150" fillId="35" borderId="0" applyNumberFormat="0" applyBorder="0" applyAlignment="0" applyProtection="0">
      <alignment vertical="center"/>
    </xf>
    <xf numFmtId="220" fontId="149" fillId="0" borderId="0">
      <protection locked="0"/>
    </xf>
    <xf numFmtId="220" fontId="145" fillId="0" borderId="0">
      <protection locked="0"/>
    </xf>
    <xf numFmtId="220" fontId="142" fillId="38" borderId="0" applyNumberFormat="0" applyBorder="0" applyAlignment="0" applyProtection="0">
      <alignment vertical="center"/>
    </xf>
    <xf numFmtId="220" fontId="145" fillId="0" borderId="0">
      <protection locked="0"/>
    </xf>
    <xf numFmtId="220" fontId="145" fillId="0" borderId="0">
      <protection locked="0"/>
    </xf>
    <xf numFmtId="220" fontId="145" fillId="0" borderId="0">
      <protection locked="0"/>
    </xf>
    <xf numFmtId="220" fontId="145" fillId="0" borderId="0">
      <protection locked="0"/>
    </xf>
    <xf numFmtId="220" fontId="5" fillId="0" borderId="0"/>
    <xf numFmtId="220" fontId="157" fillId="47" borderId="0" applyNumberFormat="0" applyBorder="0" applyAlignment="0" applyProtection="0">
      <alignment vertical="center"/>
    </xf>
    <xf numFmtId="220" fontId="152" fillId="42"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150" fillId="35" borderId="0" applyNumberFormat="0" applyBorder="0" applyAlignment="0" applyProtection="0">
      <alignment vertical="center"/>
    </xf>
    <xf numFmtId="220" fontId="5" fillId="0" borderId="0"/>
    <xf numFmtId="211" fontId="0" fillId="0" borderId="0" applyFont="0" applyFill="0" applyBorder="0" applyAlignment="0" applyProtection="0"/>
    <xf numFmtId="220" fontId="5" fillId="0" borderId="0"/>
    <xf numFmtId="220" fontId="147" fillId="38" borderId="0" applyNumberFormat="0" applyBorder="0" applyAlignment="0" applyProtection="0">
      <alignment vertical="center"/>
    </xf>
    <xf numFmtId="220" fontId="5" fillId="0" borderId="0"/>
    <xf numFmtId="220" fontId="145" fillId="0" borderId="0">
      <protection locked="0"/>
    </xf>
    <xf numFmtId="220" fontId="0" fillId="0" borderId="0"/>
    <xf numFmtId="220" fontId="5" fillId="0" borderId="0"/>
    <xf numFmtId="220" fontId="243" fillId="32" borderId="108" applyNumberFormat="0" applyProtection="0">
      <alignment horizontal="right" vertical="center"/>
    </xf>
    <xf numFmtId="213" fontId="182" fillId="0" borderId="0" applyFont="0" applyFill="0" applyBorder="0" applyAlignment="0" applyProtection="0"/>
    <xf numFmtId="220" fontId="5" fillId="0" borderId="0"/>
    <xf numFmtId="220" fontId="5" fillId="0" borderId="0"/>
    <xf numFmtId="220" fontId="145" fillId="0" borderId="0">
      <protection locked="0"/>
    </xf>
    <xf numFmtId="220" fontId="152" fillId="74" borderId="0" applyNumberFormat="0" applyBorder="0" applyAlignment="0" applyProtection="0">
      <alignment vertical="center"/>
    </xf>
    <xf numFmtId="220" fontId="145" fillId="0" borderId="0">
      <protection locked="0"/>
    </xf>
    <xf numFmtId="220" fontId="161" fillId="54" borderId="0" applyNumberFormat="0" applyBorder="0" applyAlignment="0" applyProtection="0">
      <alignment vertical="center"/>
    </xf>
    <xf numFmtId="220" fontId="145" fillId="0" borderId="0">
      <protection locked="0"/>
    </xf>
    <xf numFmtId="220" fontId="5" fillId="0" borderId="0"/>
    <xf numFmtId="220" fontId="5" fillId="0" borderId="0"/>
    <xf numFmtId="220" fontId="145" fillId="0" borderId="0">
      <protection locked="0"/>
    </xf>
    <xf numFmtId="220" fontId="145" fillId="0" borderId="0"/>
    <xf numFmtId="220" fontId="145" fillId="0" borderId="0">
      <protection locked="0"/>
    </xf>
    <xf numFmtId="220" fontId="14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152" fillId="48" borderId="0" applyNumberFormat="0" applyBorder="0" applyAlignment="0" applyProtection="0">
      <alignment vertical="center"/>
    </xf>
    <xf numFmtId="220" fontId="145" fillId="0" borderId="0">
      <protection locked="0"/>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11" fontId="0" fillId="0" borderId="0" applyFont="0" applyFill="0" applyBorder="0" applyAlignment="0" applyProtection="0"/>
    <xf numFmtId="220" fontId="147" fillId="38" borderId="0" applyNumberFormat="0" applyBorder="0" applyAlignment="0" applyProtection="0">
      <alignment vertical="center"/>
    </xf>
    <xf numFmtId="220" fontId="145" fillId="0" borderId="0">
      <protection locked="0"/>
    </xf>
    <xf numFmtId="220" fontId="5" fillId="0" borderId="0"/>
    <xf numFmtId="220" fontId="5" fillId="0" borderId="0"/>
    <xf numFmtId="220" fontId="145" fillId="0" borderId="0">
      <protection locked="0"/>
    </xf>
    <xf numFmtId="220" fontId="5" fillId="0" borderId="0"/>
    <xf numFmtId="220" fontId="5" fillId="0" borderId="0"/>
    <xf numFmtId="220" fontId="161" fillId="53" borderId="0" applyNumberFormat="0" applyBorder="0" applyAlignment="0" applyProtection="0">
      <alignment vertical="center"/>
    </xf>
    <xf numFmtId="220" fontId="145" fillId="0" borderId="0"/>
    <xf numFmtId="220" fontId="5" fillId="0" borderId="0"/>
    <xf numFmtId="220" fontId="157" fillId="47" borderId="0" applyNumberFormat="0" applyBorder="0" applyAlignment="0" applyProtection="0">
      <alignment vertical="center"/>
    </xf>
    <xf numFmtId="220" fontId="145" fillId="0" borderId="0">
      <protection locked="0"/>
    </xf>
    <xf numFmtId="220" fontId="5" fillId="0" borderId="0"/>
    <xf numFmtId="220" fontId="5" fillId="0" borderId="0"/>
    <xf numFmtId="220" fontId="150" fillId="35" borderId="0" applyNumberFormat="0" applyBorder="0" applyAlignment="0" applyProtection="0">
      <alignment vertical="center"/>
    </xf>
    <xf numFmtId="220" fontId="151" fillId="0" borderId="0">
      <protection locked="0"/>
    </xf>
    <xf numFmtId="220" fontId="0" fillId="0" borderId="0"/>
    <xf numFmtId="220" fontId="152" fillId="44" borderId="0" applyNumberFormat="0" applyBorder="0" applyAlignment="0" applyProtection="0">
      <alignment vertical="center"/>
    </xf>
    <xf numFmtId="211" fontId="0" fillId="0" borderId="0" applyFont="0" applyFill="0" applyBorder="0" applyAlignment="0" applyProtection="0"/>
    <xf numFmtId="220" fontId="145" fillId="0" borderId="0">
      <protection locked="0"/>
    </xf>
    <xf numFmtId="220" fontId="145" fillId="0" borderId="0"/>
    <xf numFmtId="220" fontId="145" fillId="0" borderId="0"/>
    <xf numFmtId="220" fontId="145" fillId="0" borderId="0">
      <protection locked="0"/>
    </xf>
    <xf numFmtId="220" fontId="151" fillId="0" borderId="0">
      <protection locked="0"/>
    </xf>
    <xf numFmtId="220" fontId="0" fillId="0" borderId="0"/>
    <xf numFmtId="220" fontId="5" fillId="0" borderId="0"/>
    <xf numFmtId="220" fontId="5" fillId="0" borderId="0"/>
    <xf numFmtId="220" fontId="90" fillId="0" borderId="0"/>
    <xf numFmtId="220" fontId="145" fillId="0" borderId="0"/>
    <xf numFmtId="220" fontId="147" fillId="38" borderId="0" applyNumberFormat="0" applyBorder="0" applyAlignment="0" applyProtection="0">
      <alignment vertical="center"/>
    </xf>
    <xf numFmtId="10" fontId="152" fillId="0" borderId="0" applyFont="0" applyFill="0" applyBorder="0" applyAlignment="0" applyProtection="0"/>
    <xf numFmtId="220" fontId="146" fillId="0" borderId="0">
      <alignment vertical="top"/>
    </xf>
    <xf numFmtId="220" fontId="145" fillId="0" borderId="0">
      <protection locked="0"/>
    </xf>
    <xf numFmtId="209" fontId="5" fillId="0" borderId="0"/>
    <xf numFmtId="220" fontId="5" fillId="0" borderId="0"/>
    <xf numFmtId="220" fontId="5" fillId="0" borderId="0"/>
    <xf numFmtId="220" fontId="152" fillId="63" borderId="0" applyNumberFormat="0" applyBorder="0" applyAlignment="0" applyProtection="0">
      <alignment vertical="center"/>
    </xf>
    <xf numFmtId="220" fontId="139" fillId="0" borderId="0">
      <alignment vertical="center"/>
    </xf>
    <xf numFmtId="220" fontId="190" fillId="47" borderId="0" applyNumberFormat="0" applyBorder="0" applyAlignment="0" applyProtection="0">
      <alignment vertical="center"/>
    </xf>
    <xf numFmtId="220" fontId="145" fillId="0" borderId="0"/>
    <xf numFmtId="220" fontId="5" fillId="0" borderId="0"/>
    <xf numFmtId="220" fontId="152" fillId="44" borderId="0" applyNumberFormat="0" applyBorder="0" applyAlignment="0" applyProtection="0">
      <alignment vertical="center"/>
    </xf>
    <xf numFmtId="220" fontId="145" fillId="0" borderId="0">
      <protection locked="0"/>
    </xf>
    <xf numFmtId="220" fontId="5" fillId="0" borderId="0"/>
    <xf numFmtId="220" fontId="145" fillId="0" borderId="0">
      <protection locked="0"/>
    </xf>
    <xf numFmtId="220" fontId="145" fillId="0" borderId="0">
      <protection locked="0"/>
    </xf>
    <xf numFmtId="220" fontId="5" fillId="0" borderId="0"/>
    <xf numFmtId="220" fontId="5" fillId="0" borderId="0"/>
    <xf numFmtId="220" fontId="145" fillId="0" borderId="0"/>
    <xf numFmtId="220" fontId="0" fillId="0" borderId="0">
      <alignment vertical="center"/>
    </xf>
    <xf numFmtId="220" fontId="145" fillId="0" borderId="0"/>
    <xf numFmtId="220" fontId="146" fillId="55" borderId="108" applyNumberFormat="0" applyProtection="0">
      <alignment horizontal="right" vertical="center"/>
    </xf>
    <xf numFmtId="220" fontId="5" fillId="0" borderId="0"/>
    <xf numFmtId="220" fontId="150" fillId="35" borderId="0" applyNumberFormat="0" applyBorder="0" applyAlignment="0" applyProtection="0">
      <alignment vertical="center"/>
    </xf>
    <xf numFmtId="220" fontId="145" fillId="0" borderId="0">
      <protection locked="0"/>
    </xf>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5" fillId="0" borderId="0"/>
    <xf numFmtId="220" fontId="265" fillId="80" borderId="132" applyNumberFormat="0" applyAlignment="0" applyProtection="0"/>
    <xf numFmtId="188" fontId="75" fillId="0" borderId="0" applyFill="0" applyBorder="0" applyAlignment="0"/>
    <xf numFmtId="220" fontId="145" fillId="0" borderId="0"/>
    <xf numFmtId="220" fontId="145" fillId="0" borderId="0">
      <protection locked="0"/>
    </xf>
    <xf numFmtId="220" fontId="157" fillId="47" borderId="0" applyNumberFormat="0" applyBorder="0" applyAlignment="0" applyProtection="0">
      <alignment vertical="center"/>
    </xf>
    <xf numFmtId="220" fontId="152" fillId="35" borderId="0" applyNumberFormat="0" applyBorder="0" applyAlignment="0" applyProtection="0">
      <alignment vertical="center"/>
    </xf>
    <xf numFmtId="220" fontId="0" fillId="0" borderId="0"/>
    <xf numFmtId="220" fontId="145" fillId="0" borderId="0"/>
    <xf numFmtId="220" fontId="5" fillId="0" borderId="0"/>
    <xf numFmtId="220" fontId="139" fillId="48" borderId="0" applyNumberFormat="0" applyBorder="0" applyAlignment="0" applyProtection="0">
      <alignment vertical="center"/>
    </xf>
    <xf numFmtId="220" fontId="5" fillId="0" borderId="0"/>
    <xf numFmtId="220" fontId="5" fillId="0" borderId="0"/>
    <xf numFmtId="220" fontId="145" fillId="0" borderId="0">
      <protection locked="0"/>
    </xf>
    <xf numFmtId="220" fontId="145" fillId="0" borderId="0"/>
    <xf numFmtId="220" fontId="145" fillId="0" borderId="0">
      <protection locked="0"/>
    </xf>
    <xf numFmtId="220" fontId="5" fillId="0" borderId="0"/>
    <xf numFmtId="220" fontId="142" fillId="38" borderId="0" applyNumberFormat="0" applyBorder="0" applyAlignment="0" applyProtection="0">
      <alignment vertical="center"/>
    </xf>
    <xf numFmtId="220" fontId="5" fillId="0" borderId="0"/>
    <xf numFmtId="220" fontId="145" fillId="0" borderId="0">
      <protection locked="0"/>
    </xf>
    <xf numFmtId="220" fontId="145" fillId="0" borderId="0"/>
    <xf numFmtId="220" fontId="145" fillId="0" borderId="0">
      <protection locked="0"/>
    </xf>
    <xf numFmtId="220" fontId="5" fillId="0" borderId="0"/>
    <xf numFmtId="220" fontId="145" fillId="0" borderId="0"/>
    <xf numFmtId="220" fontId="145" fillId="0" borderId="0">
      <protection locked="0"/>
    </xf>
    <xf numFmtId="220" fontId="139" fillId="0" borderId="0">
      <alignment vertical="center"/>
    </xf>
    <xf numFmtId="220" fontId="157" fillId="47" borderId="0" applyNumberFormat="0" applyBorder="0" applyAlignment="0" applyProtection="0">
      <alignment vertical="center"/>
    </xf>
    <xf numFmtId="220" fontId="145" fillId="0" borderId="0">
      <protection locked="0"/>
    </xf>
    <xf numFmtId="220" fontId="145" fillId="0" borderId="0"/>
    <xf numFmtId="220" fontId="145" fillId="0" borderId="0">
      <protection locked="0"/>
    </xf>
    <xf numFmtId="220" fontId="5" fillId="0" borderId="0"/>
    <xf numFmtId="220" fontId="147" fillId="42" borderId="0" applyNumberFormat="0" applyBorder="0" applyAlignment="0" applyProtection="0">
      <alignment vertical="center"/>
    </xf>
    <xf numFmtId="220" fontId="145" fillId="0" borderId="0"/>
    <xf numFmtId="211" fontId="0" fillId="0" borderId="0" applyFont="0" applyFill="0" applyBorder="0" applyAlignment="0" applyProtection="0"/>
    <xf numFmtId="220" fontId="0" fillId="0" borderId="0">
      <alignment vertical="center"/>
    </xf>
    <xf numFmtId="220" fontId="145" fillId="0" borderId="0">
      <protection locked="0"/>
    </xf>
    <xf numFmtId="220" fontId="147" fillId="42" borderId="0" applyNumberFormat="0" applyBorder="0" applyAlignment="0" applyProtection="0">
      <alignment vertical="center"/>
    </xf>
    <xf numFmtId="220" fontId="5" fillId="0" borderId="0"/>
    <xf numFmtId="220" fontId="145" fillId="0" borderId="0"/>
    <xf numFmtId="220" fontId="139" fillId="40" borderId="0" applyNumberFormat="0" applyBorder="0" applyAlignment="0" applyProtection="0">
      <alignment vertical="center"/>
    </xf>
    <xf numFmtId="220" fontId="145" fillId="0" borderId="0">
      <protection locked="0"/>
    </xf>
    <xf numFmtId="220" fontId="147" fillId="42" borderId="0" applyNumberFormat="0" applyBorder="0" applyAlignment="0" applyProtection="0">
      <alignment vertical="center"/>
    </xf>
    <xf numFmtId="220" fontId="5" fillId="0" borderId="0"/>
    <xf numFmtId="220" fontId="145" fillId="0" borderId="0">
      <protection locked="0"/>
    </xf>
    <xf numFmtId="220" fontId="5" fillId="0" borderId="0"/>
    <xf numFmtId="220" fontId="145" fillId="0" borderId="0">
      <protection locked="0"/>
    </xf>
    <xf numFmtId="220" fontId="145" fillId="0" borderId="0"/>
    <xf numFmtId="220" fontId="145" fillId="0" borderId="0"/>
    <xf numFmtId="220" fontId="0" fillId="0" borderId="0"/>
    <xf numFmtId="220" fontId="145" fillId="0" borderId="0">
      <protection locked="0"/>
    </xf>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5" fillId="0" borderId="0"/>
    <xf numFmtId="220" fontId="0" fillId="0" borderId="0"/>
    <xf numFmtId="220" fontId="145" fillId="0" borderId="0">
      <protection locked="0"/>
    </xf>
    <xf numFmtId="220" fontId="145" fillId="0" borderId="0"/>
    <xf numFmtId="220" fontId="184" fillId="0" borderId="131" applyNumberFormat="0" applyFill="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267" fillId="0" borderId="0" applyNumberFormat="0" applyBorder="0" applyProtection="0">
      <alignment vertical="center"/>
    </xf>
    <xf numFmtId="220" fontId="145" fillId="0" borderId="0"/>
    <xf numFmtId="220" fontId="145" fillId="0" borderId="0"/>
    <xf numFmtId="220" fontId="162" fillId="49" borderId="0" applyNumberFormat="0" applyBorder="0" applyAlignment="0" applyProtection="0"/>
    <xf numFmtId="220" fontId="145" fillId="0" borderId="0"/>
    <xf numFmtId="220" fontId="142" fillId="38" borderId="0" applyNumberFormat="0" applyBorder="0" applyAlignment="0" applyProtection="0">
      <alignment vertical="center"/>
    </xf>
    <xf numFmtId="220" fontId="139" fillId="0" borderId="0">
      <alignment vertical="center"/>
    </xf>
    <xf numFmtId="220" fontId="145" fillId="0" borderId="0">
      <protection locked="0"/>
    </xf>
    <xf numFmtId="220" fontId="145" fillId="0" borderId="0">
      <protection locked="0"/>
    </xf>
    <xf numFmtId="220" fontId="0" fillId="0" borderId="0"/>
    <xf numFmtId="220" fontId="147" fillId="42" borderId="0" applyNumberFormat="0" applyBorder="0" applyAlignment="0" applyProtection="0">
      <alignment vertical="center"/>
    </xf>
    <xf numFmtId="220" fontId="145" fillId="0" borderId="0"/>
    <xf numFmtId="220" fontId="0" fillId="0" borderId="0"/>
    <xf numFmtId="220" fontId="0" fillId="0" borderId="0"/>
    <xf numFmtId="220" fontId="5" fillId="0" borderId="0"/>
    <xf numFmtId="220" fontId="145" fillId="0" borderId="0"/>
    <xf numFmtId="220" fontId="145" fillId="0" borderId="0"/>
    <xf numFmtId="220" fontId="5" fillId="0" borderId="0"/>
    <xf numFmtId="220" fontId="145" fillId="0" borderId="0">
      <protection locked="0"/>
    </xf>
    <xf numFmtId="220" fontId="145" fillId="0" borderId="0"/>
    <xf numFmtId="220" fontId="145" fillId="0" borderId="0">
      <protection locked="0"/>
    </xf>
    <xf numFmtId="220" fontId="5" fillId="0" borderId="0"/>
    <xf numFmtId="220" fontId="145" fillId="0" borderId="0"/>
    <xf numFmtId="220" fontId="5" fillId="0" borderId="0"/>
    <xf numFmtId="220" fontId="139" fillId="21" borderId="0" applyNumberFormat="0" applyBorder="0" applyAlignment="0" applyProtection="0">
      <alignment vertical="center"/>
    </xf>
    <xf numFmtId="220" fontId="142" fillId="38" borderId="0" applyNumberFormat="0" applyBorder="0" applyAlignment="0" applyProtection="0">
      <alignment vertical="center"/>
    </xf>
    <xf numFmtId="191" fontId="163" fillId="0" borderId="0" applyFont="0" applyFill="0" applyBorder="0" applyAlignment="0" applyProtection="0"/>
    <xf numFmtId="220" fontId="5" fillId="0" borderId="0"/>
    <xf numFmtId="220" fontId="145" fillId="0" borderId="0">
      <protection locked="0"/>
    </xf>
    <xf numFmtId="220" fontId="145" fillId="0" borderId="0">
      <protection locked="0"/>
    </xf>
    <xf numFmtId="220" fontId="152" fillId="63" borderId="0" applyNumberFormat="0" applyBorder="0" applyAlignment="0" applyProtection="0">
      <alignment vertical="center"/>
    </xf>
    <xf numFmtId="220" fontId="145" fillId="0" borderId="0">
      <protection locked="0"/>
    </xf>
    <xf numFmtId="220" fontId="145" fillId="0" borderId="0"/>
    <xf numFmtId="220" fontId="145" fillId="0" borderId="0">
      <protection locked="0"/>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5" fillId="0" borderId="0"/>
    <xf numFmtId="220" fontId="5" fillId="0" borderId="0"/>
    <xf numFmtId="220" fontId="145" fillId="0" borderId="0">
      <protection locked="0"/>
    </xf>
    <xf numFmtId="220" fontId="157" fillId="47"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145" fillId="0" borderId="0">
      <protection locked="0"/>
    </xf>
    <xf numFmtId="220" fontId="145" fillId="0" borderId="0"/>
    <xf numFmtId="220" fontId="5" fillId="0" borderId="0"/>
    <xf numFmtId="220" fontId="5" fillId="0" borderId="0"/>
    <xf numFmtId="220" fontId="5" fillId="0" borderId="0"/>
    <xf numFmtId="220" fontId="145" fillId="0" borderId="0">
      <protection locked="0"/>
    </xf>
    <xf numFmtId="220" fontId="145" fillId="0" borderId="0">
      <protection locked="0"/>
    </xf>
    <xf numFmtId="220" fontId="0" fillId="0" borderId="0"/>
    <xf numFmtId="220" fontId="35" fillId="62" borderId="0" applyNumberFormat="0" applyBorder="0" applyAlignment="0" applyProtection="0"/>
    <xf numFmtId="220" fontId="145" fillId="0" borderId="0">
      <protection locked="0"/>
    </xf>
    <xf numFmtId="220" fontId="0" fillId="0" borderId="0"/>
    <xf numFmtId="220" fontId="145" fillId="0" borderId="0"/>
    <xf numFmtId="220" fontId="152" fillId="80" borderId="0" applyNumberFormat="0" applyBorder="0" applyAlignment="0" applyProtection="0">
      <alignment vertical="center"/>
    </xf>
    <xf numFmtId="220" fontId="147" fillId="38" borderId="0" applyNumberFormat="0" applyBorder="0" applyAlignment="0" applyProtection="0">
      <alignment vertical="center"/>
    </xf>
    <xf numFmtId="220" fontId="152" fillId="42" borderId="0" applyNumberFormat="0" applyBorder="0" applyAlignment="0" applyProtection="0">
      <alignment vertical="center"/>
    </xf>
    <xf numFmtId="220" fontId="147" fillId="38" borderId="0" applyNumberFormat="0" applyBorder="0" applyAlignment="0" applyProtection="0">
      <alignment vertical="center"/>
    </xf>
    <xf numFmtId="220" fontId="145" fillId="0" borderId="0">
      <protection locked="0"/>
    </xf>
    <xf numFmtId="220" fontId="139" fillId="0" borderId="0">
      <alignment vertical="center"/>
    </xf>
    <xf numFmtId="211" fontId="0" fillId="0" borderId="0" applyFont="0" applyFill="0" applyBorder="0" applyAlignment="0" applyProtection="0"/>
    <xf numFmtId="220" fontId="145" fillId="0" borderId="0"/>
    <xf numFmtId="180" fontId="0" fillId="0" borderId="0" applyFont="0" applyFill="0" applyBorder="0" applyAlignment="0" applyProtection="0"/>
    <xf numFmtId="220" fontId="145" fillId="0" borderId="0">
      <protection locked="0"/>
    </xf>
    <xf numFmtId="220" fontId="5" fillId="0" borderId="0"/>
    <xf numFmtId="220" fontId="152" fillId="48" borderId="0" applyNumberFormat="0" applyBorder="0" applyAlignment="0" applyProtection="0">
      <alignment vertical="center"/>
    </xf>
    <xf numFmtId="220" fontId="145" fillId="0" borderId="0"/>
    <xf numFmtId="220" fontId="145" fillId="0" borderId="0"/>
    <xf numFmtId="220" fontId="152" fillId="35"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220" fontId="145" fillId="0" borderId="0"/>
    <xf numFmtId="220" fontId="157" fillId="47" borderId="0" applyNumberFormat="0" applyBorder="0" applyAlignment="0" applyProtection="0">
      <alignment vertical="center"/>
    </xf>
    <xf numFmtId="220" fontId="145" fillId="0" borderId="0">
      <protection locked="0"/>
    </xf>
    <xf numFmtId="220" fontId="179" fillId="74" borderId="0" applyNumberFormat="0" applyBorder="0" applyAlignment="0" applyProtection="0"/>
    <xf numFmtId="220" fontId="145" fillId="0" borderId="0"/>
    <xf numFmtId="220" fontId="5" fillId="0" borderId="0"/>
    <xf numFmtId="220" fontId="5" fillId="0" borderId="0"/>
    <xf numFmtId="220" fontId="0" fillId="0" borderId="0"/>
    <xf numFmtId="220" fontId="0" fillId="0" borderId="0"/>
    <xf numFmtId="220" fontId="92" fillId="0" borderId="0">
      <alignment horizontal="center" wrapText="1"/>
      <protection locked="0"/>
    </xf>
    <xf numFmtId="220" fontId="142" fillId="38" borderId="0" applyNumberFormat="0" applyBorder="0" applyAlignment="0" applyProtection="0">
      <alignment vertical="center"/>
    </xf>
    <xf numFmtId="191" fontId="198" fillId="0" borderId="0" applyFont="0" applyFill="0" applyBorder="0" applyAlignment="0" applyProtection="0">
      <alignment vertical="center"/>
    </xf>
    <xf numFmtId="220" fontId="139" fillId="60" borderId="0" applyNumberFormat="0" applyBorder="0" applyAlignment="0" applyProtection="0">
      <alignment vertical="center"/>
    </xf>
    <xf numFmtId="220" fontId="145" fillId="0" borderId="0">
      <protection locked="0"/>
    </xf>
    <xf numFmtId="220" fontId="145" fillId="0" borderId="0"/>
    <xf numFmtId="220" fontId="146" fillId="0" borderId="0">
      <alignment vertical="top"/>
    </xf>
    <xf numFmtId="220" fontId="145" fillId="0" borderId="0">
      <protection locked="0"/>
    </xf>
    <xf numFmtId="220" fontId="5" fillId="0" borderId="0"/>
    <xf numFmtId="220" fontId="5" fillId="0" borderId="0"/>
    <xf numFmtId="220" fontId="152" fillId="42" borderId="0" applyNumberFormat="0" applyBorder="0" applyAlignment="0" applyProtection="0">
      <alignment vertical="center"/>
    </xf>
    <xf numFmtId="220" fontId="190" fillId="74" borderId="0" applyNumberFormat="0" applyBorder="0" applyAlignment="0" applyProtection="0">
      <alignment vertical="center"/>
    </xf>
    <xf numFmtId="220" fontId="0" fillId="0" borderId="0"/>
    <xf numFmtId="220" fontId="145" fillId="0" borderId="0">
      <protection locked="0"/>
    </xf>
    <xf numFmtId="220" fontId="145" fillId="0" borderId="0"/>
    <xf numFmtId="220" fontId="5" fillId="0" borderId="0"/>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11" fontId="0" fillId="0" borderId="0" applyFont="0" applyFill="0" applyBorder="0" applyAlignment="0" applyProtection="0"/>
    <xf numFmtId="43" fontId="0" fillId="0" borderId="0" applyFont="0" applyFill="0" applyBorder="0" applyAlignment="0" applyProtection="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42" fillId="38" borderId="0" applyNumberFormat="0" applyBorder="0" applyAlignment="0" applyProtection="0">
      <alignment vertical="center"/>
    </xf>
    <xf numFmtId="220" fontId="0" fillId="0" borderId="0"/>
    <xf numFmtId="220" fontId="145" fillId="0" borderId="0"/>
    <xf numFmtId="220" fontId="145" fillId="0" borderId="0"/>
    <xf numFmtId="220" fontId="148" fillId="111" borderId="0" applyNumberFormat="0" applyBorder="0" applyAlignment="0" applyProtection="0">
      <alignment vertical="center"/>
    </xf>
    <xf numFmtId="220" fontId="145" fillId="0" borderId="0">
      <protection locked="0"/>
    </xf>
    <xf numFmtId="220" fontId="145" fillId="0" borderId="0"/>
    <xf numFmtId="220" fontId="147" fillId="38" borderId="0" applyNumberFormat="0" applyBorder="0" applyAlignment="0" applyProtection="0">
      <alignment vertical="center"/>
    </xf>
    <xf numFmtId="220" fontId="5" fillId="0" borderId="0"/>
    <xf numFmtId="220" fontId="145" fillId="0" borderId="0">
      <protection locked="0"/>
    </xf>
    <xf numFmtId="220" fontId="145" fillId="0" borderId="0"/>
    <xf numFmtId="220" fontId="0" fillId="0" borderId="0"/>
    <xf numFmtId="220" fontId="161" fillId="93" borderId="0" applyNumberFormat="0" applyBorder="0" applyAlignment="0" applyProtection="0">
      <alignment vertical="center"/>
    </xf>
    <xf numFmtId="220" fontId="145" fillId="0" borderId="0">
      <protection locked="0"/>
    </xf>
    <xf numFmtId="220" fontId="90" fillId="0" borderId="0"/>
    <xf numFmtId="220" fontId="145" fillId="0" borderId="0"/>
    <xf numFmtId="220" fontId="5" fillId="0" borderId="0"/>
    <xf numFmtId="220" fontId="145" fillId="0" borderId="0">
      <protection locked="0"/>
    </xf>
    <xf numFmtId="220" fontId="158" fillId="0" borderId="0" applyNumberFormat="0" applyBorder="0" applyAlignment="0" applyProtection="0">
      <alignment vertical="center"/>
    </xf>
    <xf numFmtId="220" fontId="145" fillId="0" borderId="0"/>
    <xf numFmtId="220" fontId="5" fillId="0" borderId="0"/>
    <xf numFmtId="220" fontId="145" fillId="0" borderId="0">
      <protection locked="0"/>
    </xf>
    <xf numFmtId="220" fontId="145" fillId="0" borderId="0"/>
    <xf numFmtId="220" fontId="145" fillId="0" borderId="0">
      <protection locked="0"/>
    </xf>
    <xf numFmtId="220" fontId="145" fillId="0" borderId="0"/>
    <xf numFmtId="220" fontId="142" fillId="38" borderId="0" applyNumberFormat="0" applyBorder="0" applyAlignment="0" applyProtection="0">
      <alignment vertical="center"/>
    </xf>
    <xf numFmtId="220" fontId="145" fillId="0" borderId="0">
      <protection locked="0"/>
    </xf>
    <xf numFmtId="220" fontId="145" fillId="0" borderId="0"/>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145" fillId="0" borderId="0">
      <protection locked="0"/>
    </xf>
    <xf numFmtId="220" fontId="150" fillId="35" borderId="0" applyNumberFormat="0" applyBorder="0" applyAlignment="0" applyProtection="0">
      <alignment vertical="center"/>
    </xf>
    <xf numFmtId="220" fontId="146" fillId="55" borderId="108" applyNumberFormat="0" applyProtection="0">
      <alignment horizontal="left" vertical="top" indent="1"/>
    </xf>
    <xf numFmtId="220" fontId="145" fillId="0" borderId="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145" fillId="0" borderId="0">
      <protection locked="0"/>
    </xf>
    <xf numFmtId="220" fontId="139" fillId="0" borderId="0">
      <alignment vertical="center"/>
    </xf>
    <xf numFmtId="220" fontId="145" fillId="0" borderId="0">
      <protection locked="0"/>
    </xf>
    <xf numFmtId="220" fontId="5" fillId="0" borderId="0"/>
    <xf numFmtId="220" fontId="145" fillId="0" borderId="0"/>
    <xf numFmtId="220" fontId="5" fillId="0" borderId="0"/>
    <xf numFmtId="220" fontId="145" fillId="0" borderId="0">
      <protection locked="0"/>
    </xf>
    <xf numFmtId="220" fontId="145" fillId="0" borderId="0"/>
    <xf numFmtId="220" fontId="145" fillId="0" borderId="0">
      <protection locked="0"/>
    </xf>
    <xf numFmtId="220" fontId="150" fillId="35" borderId="0" applyNumberFormat="0" applyBorder="0" applyAlignment="0" applyProtection="0">
      <alignment vertical="center"/>
    </xf>
    <xf numFmtId="220" fontId="5" fillId="0" borderId="0"/>
    <xf numFmtId="220" fontId="151" fillId="0" borderId="0"/>
    <xf numFmtId="220" fontId="145" fillId="0" borderId="0"/>
    <xf numFmtId="220" fontId="5" fillId="0" borderId="0"/>
    <xf numFmtId="220" fontId="145" fillId="0" borderId="0"/>
    <xf numFmtId="220" fontId="152" fillId="60" borderId="0" applyNumberFormat="0" applyBorder="0" applyAlignment="0" applyProtection="0">
      <alignment vertical="center"/>
    </xf>
    <xf numFmtId="220" fontId="90" fillId="0" borderId="0">
      <protection locked="0"/>
    </xf>
    <xf numFmtId="220" fontId="161" fillId="48" borderId="0" applyNumberFormat="0" applyBorder="0" applyAlignment="0" applyProtection="0">
      <alignment vertical="center"/>
    </xf>
    <xf numFmtId="220" fontId="145" fillId="0" borderId="0">
      <protection locked="0"/>
    </xf>
    <xf numFmtId="220" fontId="5" fillId="0" borderId="0"/>
    <xf numFmtId="220" fontId="139" fillId="45" borderId="0" applyNumberFormat="0" applyBorder="0" applyAlignment="0" applyProtection="0">
      <alignment vertical="center"/>
    </xf>
    <xf numFmtId="220" fontId="150" fillId="112" borderId="0" applyNumberFormat="0" applyBorder="0" applyAlignment="0" applyProtection="0">
      <alignment vertical="center"/>
    </xf>
    <xf numFmtId="220" fontId="190" fillId="74" borderId="0" applyNumberFormat="0" applyBorder="0" applyAlignment="0" applyProtection="0">
      <alignment vertical="center"/>
    </xf>
    <xf numFmtId="220" fontId="145" fillId="0" borderId="0">
      <protection locked="0"/>
    </xf>
    <xf numFmtId="220" fontId="145" fillId="0" borderId="0"/>
    <xf numFmtId="220" fontId="5" fillId="0" borderId="0"/>
    <xf numFmtId="220" fontId="145" fillId="0" borderId="0">
      <protection locked="0"/>
    </xf>
    <xf numFmtId="220" fontId="5" fillId="0" borderId="0"/>
    <xf numFmtId="220" fontId="139" fillId="45" borderId="0" applyNumberFormat="0" applyBorder="0" applyAlignment="0" applyProtection="0">
      <alignment vertical="center"/>
    </xf>
    <xf numFmtId="220" fontId="145" fillId="0" borderId="0">
      <protection locked="0"/>
    </xf>
    <xf numFmtId="220" fontId="268" fillId="120" borderId="0" applyNumberFormat="0" applyBorder="0" applyAlignment="0" applyProtection="0"/>
    <xf numFmtId="220" fontId="145" fillId="0" borderId="0">
      <protection locked="0"/>
    </xf>
    <xf numFmtId="220" fontId="145" fillId="0" borderId="0"/>
    <xf numFmtId="220" fontId="145" fillId="0" borderId="0">
      <protection locked="0"/>
    </xf>
    <xf numFmtId="220" fontId="5" fillId="0" borderId="0"/>
    <xf numFmtId="220" fontId="145" fillId="0" borderId="0"/>
    <xf numFmtId="220" fontId="5" fillId="0" borderId="0"/>
    <xf numFmtId="220" fontId="0" fillId="0" borderId="0">
      <alignment vertical="center"/>
    </xf>
    <xf numFmtId="220" fontId="0" fillId="0" borderId="0"/>
    <xf numFmtId="220" fontId="145" fillId="0" borderId="0">
      <protection locked="0"/>
    </xf>
    <xf numFmtId="220" fontId="0" fillId="0" borderId="0">
      <alignment vertical="center"/>
    </xf>
    <xf numFmtId="220" fontId="5" fillId="0" borderId="0"/>
    <xf numFmtId="220" fontId="145" fillId="0" borderId="0">
      <protection locked="0"/>
    </xf>
    <xf numFmtId="220" fontId="145" fillId="0" borderId="0"/>
    <xf numFmtId="220" fontId="0" fillId="0" borderId="0"/>
    <xf numFmtId="220" fontId="145" fillId="0" borderId="0"/>
    <xf numFmtId="220" fontId="147" fillId="38" borderId="0" applyNumberFormat="0" applyBorder="0" applyAlignment="0" applyProtection="0">
      <alignment vertical="center"/>
    </xf>
    <xf numFmtId="220" fontId="5" fillId="0" borderId="0"/>
    <xf numFmtId="220" fontId="145" fillId="0" borderId="0">
      <protection locked="0"/>
    </xf>
    <xf numFmtId="220" fontId="5" fillId="0" borderId="0"/>
    <xf numFmtId="220" fontId="145" fillId="0" borderId="0"/>
    <xf numFmtId="220" fontId="191" fillId="0" borderId="0"/>
    <xf numFmtId="220" fontId="146" fillId="0" borderId="0">
      <alignment vertical="top"/>
    </xf>
    <xf numFmtId="220" fontId="145" fillId="0" borderId="0">
      <protection locked="0"/>
    </xf>
    <xf numFmtId="220" fontId="5" fillId="0" borderId="0"/>
    <xf numFmtId="220" fontId="145" fillId="0" borderId="0">
      <protection locked="0"/>
    </xf>
    <xf numFmtId="235" fontId="234" fillId="0" borderId="0">
      <protection locked="0"/>
    </xf>
    <xf numFmtId="220" fontId="145" fillId="0" borderId="0"/>
    <xf numFmtId="220" fontId="269" fillId="0" borderId="0" applyNumberFormat="0" applyFill="0" applyBorder="0" applyAlignment="0" applyProtection="0">
      <alignment vertical="top"/>
      <protection locked="0"/>
    </xf>
    <xf numFmtId="220" fontId="145" fillId="0" borderId="0">
      <protection locked="0"/>
    </xf>
    <xf numFmtId="191" fontId="198" fillId="0" borderId="0" applyFont="0" applyFill="0" applyBorder="0" applyAlignment="0" applyProtection="0">
      <alignment vertical="center"/>
    </xf>
    <xf numFmtId="43" fontId="0" fillId="0" borderId="0" applyFont="0" applyFill="0" applyBorder="0" applyAlignment="0" applyProtection="0"/>
    <xf numFmtId="220" fontId="145" fillId="0" borderId="0">
      <protection locked="0"/>
    </xf>
    <xf numFmtId="220" fontId="0" fillId="0" borderId="0"/>
    <xf numFmtId="220" fontId="145" fillId="0" borderId="0">
      <protection locked="0"/>
    </xf>
    <xf numFmtId="220" fontId="5" fillId="0" borderId="0"/>
    <xf numFmtId="220" fontId="0" fillId="0" borderId="0"/>
    <xf numFmtId="220" fontId="145" fillId="0" borderId="0"/>
    <xf numFmtId="220" fontId="5" fillId="0" borderId="0"/>
    <xf numFmtId="220" fontId="147" fillId="38" borderId="0" applyNumberFormat="0" applyBorder="0" applyAlignment="0" applyProtection="0">
      <alignment vertical="center"/>
    </xf>
    <xf numFmtId="220" fontId="0" fillId="0" borderId="0"/>
    <xf numFmtId="220" fontId="145" fillId="0" borderId="0">
      <protection locked="0"/>
    </xf>
    <xf numFmtId="220" fontId="152" fillId="42" borderId="0" applyNumberFormat="0" applyBorder="0" applyAlignment="0" applyProtection="0">
      <alignment vertical="center"/>
    </xf>
    <xf numFmtId="220" fontId="190" fillId="74" borderId="0" applyNumberFormat="0" applyBorder="0" applyAlignment="0" applyProtection="0">
      <alignment vertical="center"/>
    </xf>
    <xf numFmtId="211" fontId="0" fillId="0" borderId="0" applyFont="0" applyFill="0" applyBorder="0" applyAlignment="0" applyProtection="0"/>
    <xf numFmtId="220" fontId="5" fillId="0" borderId="0"/>
    <xf numFmtId="220" fontId="5" fillId="0" borderId="0"/>
    <xf numFmtId="220" fontId="145" fillId="0" borderId="0"/>
    <xf numFmtId="220" fontId="5" fillId="0" borderId="0"/>
    <xf numFmtId="220" fontId="5" fillId="0" borderId="0"/>
    <xf numFmtId="220" fontId="5" fillId="0" borderId="0"/>
    <xf numFmtId="220" fontId="145" fillId="0" borderId="0">
      <protection locked="0"/>
    </xf>
    <xf numFmtId="220" fontId="5" fillId="0" borderId="0"/>
    <xf numFmtId="220" fontId="145" fillId="0" borderId="0"/>
    <xf numFmtId="220" fontId="145" fillId="0" borderId="0"/>
    <xf numFmtId="220" fontId="145" fillId="0" borderId="0">
      <protection locked="0"/>
    </xf>
    <xf numFmtId="220" fontId="139" fillId="63" borderId="0" applyNumberFormat="0" applyBorder="0" applyAlignment="0" applyProtection="0">
      <alignment vertical="center"/>
    </xf>
    <xf numFmtId="220" fontId="5" fillId="0" borderId="0"/>
    <xf numFmtId="220" fontId="5" fillId="0" borderId="0"/>
    <xf numFmtId="220" fontId="163" fillId="80" borderId="0" applyNumberFormat="0" applyBorder="0" applyAlignment="0" applyProtection="0"/>
    <xf numFmtId="220" fontId="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5" fillId="0" borderId="0"/>
    <xf numFmtId="220" fontId="145" fillId="0" borderId="0"/>
    <xf numFmtId="220" fontId="145" fillId="0" borderId="0">
      <protection locked="0"/>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5" fillId="0" borderId="0"/>
    <xf numFmtId="220" fontId="145" fillId="0" borderId="0"/>
    <xf numFmtId="209" fontId="219" fillId="0" borderId="0" applyFont="0" applyFill="0" applyBorder="0" applyAlignment="0" applyProtection="0"/>
    <xf numFmtId="220" fontId="0" fillId="0" borderId="0"/>
    <xf numFmtId="220" fontId="145" fillId="0" borderId="0">
      <protection locked="0"/>
    </xf>
    <xf numFmtId="220" fontId="5" fillId="0" borderId="0"/>
    <xf numFmtId="220" fontId="145" fillId="0" borderId="0"/>
    <xf numFmtId="220" fontId="158" fillId="0" borderId="0" applyNumberFormat="0" applyBorder="0" applyAlignment="0" applyProtection="0">
      <alignment vertical="center"/>
    </xf>
    <xf numFmtId="220" fontId="5" fillId="0" borderId="0"/>
    <xf numFmtId="220" fontId="145" fillId="0" borderId="0">
      <protection locked="0"/>
    </xf>
    <xf numFmtId="220" fontId="145" fillId="0" borderId="0">
      <protection locked="0"/>
    </xf>
    <xf numFmtId="220" fontId="145" fillId="0" borderId="0">
      <protection locked="0"/>
    </xf>
    <xf numFmtId="220" fontId="139" fillId="0" borderId="0">
      <alignment vertical="center"/>
    </xf>
    <xf numFmtId="220" fontId="0" fillId="0" borderId="0"/>
    <xf numFmtId="220" fontId="145" fillId="0" borderId="0">
      <protection locked="0"/>
    </xf>
    <xf numFmtId="220" fontId="152" fillId="35" borderId="0" applyNumberFormat="0" applyBorder="0" applyAlignment="0" applyProtection="0">
      <alignment vertical="center"/>
    </xf>
    <xf numFmtId="220" fontId="145" fillId="0" borderId="0">
      <protection locked="0"/>
    </xf>
    <xf numFmtId="220" fontId="5" fillId="0" borderId="0"/>
    <xf numFmtId="220" fontId="147" fillId="42" borderId="0" applyNumberFormat="0" applyBorder="0" applyAlignment="0" applyProtection="0">
      <alignment vertical="center"/>
    </xf>
    <xf numFmtId="220" fontId="145" fillId="0" borderId="0">
      <protection locked="0"/>
    </xf>
    <xf numFmtId="200" fontId="75" fillId="0" borderId="0"/>
    <xf numFmtId="220" fontId="145" fillId="0" borderId="0"/>
    <xf numFmtId="220" fontId="145" fillId="0" borderId="0">
      <protection locked="0"/>
    </xf>
    <xf numFmtId="220" fontId="145" fillId="0" borderId="0"/>
    <xf numFmtId="220" fontId="145" fillId="0" borderId="0"/>
    <xf numFmtId="220" fontId="150" fillId="35" borderId="0" applyNumberFormat="0" applyBorder="0" applyAlignment="0" applyProtection="0">
      <alignment vertical="center"/>
    </xf>
    <xf numFmtId="220" fontId="145" fillId="0" borderId="0">
      <protection locked="0"/>
    </xf>
    <xf numFmtId="180" fontId="0" fillId="0" borderId="0" applyFont="0" applyFill="0" applyBorder="0" applyAlignment="0" applyProtection="0"/>
    <xf numFmtId="220" fontId="0" fillId="0" borderId="0"/>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198" fontId="0" fillId="0" borderId="0"/>
    <xf numFmtId="220" fontId="145" fillId="0" borderId="0">
      <protection locked="0"/>
    </xf>
    <xf numFmtId="220" fontId="5" fillId="0" borderId="0"/>
    <xf numFmtId="220" fontId="145" fillId="0" borderId="0"/>
    <xf numFmtId="220" fontId="5" fillId="0" borderId="0"/>
    <xf numFmtId="220" fontId="145" fillId="0" borderId="0">
      <protection locked="0"/>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181" fillId="0" borderId="0"/>
    <xf numFmtId="220" fontId="139" fillId="0" borderId="0">
      <alignment vertical="center"/>
    </xf>
    <xf numFmtId="220" fontId="0" fillId="0" borderId="0"/>
    <xf numFmtId="220" fontId="146" fillId="55" borderId="0" applyNumberFormat="0" applyProtection="0">
      <alignment horizontal="left" vertical="center" indent="1"/>
    </xf>
    <xf numFmtId="220" fontId="145" fillId="0" borderId="0">
      <protection locked="0"/>
    </xf>
    <xf numFmtId="220" fontId="168" fillId="0" borderId="113" applyNumberFormat="0" applyFill="0" applyAlignment="0" applyProtection="0">
      <alignment vertical="center"/>
    </xf>
    <xf numFmtId="220" fontId="145" fillId="0" borderId="0"/>
    <xf numFmtId="180" fontId="0" fillId="0" borderId="0" applyFont="0" applyFill="0" applyBorder="0" applyAlignment="0" applyProtection="0"/>
    <xf numFmtId="220" fontId="145" fillId="0" borderId="0">
      <protection locked="0"/>
    </xf>
    <xf numFmtId="9" fontId="0" fillId="0" borderId="0" applyFont="0" applyFill="0" applyBorder="0" applyAlignment="0" applyProtection="0"/>
    <xf numFmtId="220" fontId="145" fillId="0" borderId="0">
      <protection locked="0"/>
    </xf>
    <xf numFmtId="220" fontId="142" fillId="38" borderId="0" applyNumberFormat="0" applyBorder="0" applyAlignment="0" applyProtection="0">
      <alignment vertical="center"/>
    </xf>
    <xf numFmtId="220" fontId="0" fillId="0" borderId="0"/>
    <xf numFmtId="220" fontId="0" fillId="0" borderId="0"/>
    <xf numFmtId="220" fontId="5" fillId="0" borderId="0" applyFont="0" applyFill="0" applyBorder="0" applyAlignment="0" applyProtection="0"/>
    <xf numFmtId="220" fontId="145" fillId="0" borderId="0"/>
    <xf numFmtId="220" fontId="0" fillId="0" borderId="0"/>
    <xf numFmtId="220" fontId="5" fillId="0" borderId="0"/>
    <xf numFmtId="220" fontId="145" fillId="0" borderId="0">
      <protection locked="0"/>
    </xf>
    <xf numFmtId="220" fontId="145" fillId="0" borderId="0">
      <protection locked="0"/>
    </xf>
    <xf numFmtId="220" fontId="145" fillId="0" borderId="0"/>
    <xf numFmtId="220" fontId="151" fillId="0" borderId="0">
      <protection locked="0"/>
    </xf>
    <xf numFmtId="220" fontId="5" fillId="0" borderId="0"/>
    <xf numFmtId="220" fontId="145" fillId="0" borderId="0">
      <protection locked="0"/>
    </xf>
    <xf numFmtId="220" fontId="139" fillId="45"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90" fillId="93" borderId="0" applyNumberFormat="0" applyBorder="0" applyAlignment="0" applyProtection="0">
      <alignment vertical="center"/>
    </xf>
    <xf numFmtId="220" fontId="5" fillId="0" borderId="0"/>
    <xf numFmtId="220" fontId="145" fillId="0" borderId="0"/>
    <xf numFmtId="220" fontId="145" fillId="0" borderId="0"/>
    <xf numFmtId="220" fontId="145" fillId="0" borderId="0">
      <protection locked="0"/>
    </xf>
    <xf numFmtId="220" fontId="142" fillId="38" borderId="0" applyNumberFormat="0" applyBorder="0" applyAlignment="0" applyProtection="0">
      <alignment vertical="center"/>
    </xf>
    <xf numFmtId="220" fontId="5" fillId="0" borderId="0"/>
    <xf numFmtId="205" fontId="145" fillId="0" borderId="0" applyFill="0" applyBorder="0" applyAlignment="0"/>
    <xf numFmtId="220" fontId="145" fillId="0" borderId="0"/>
    <xf numFmtId="220" fontId="142" fillId="38" borderId="0" applyNumberFormat="0" applyBorder="0" applyAlignment="0" applyProtection="0">
      <alignment vertical="center"/>
    </xf>
    <xf numFmtId="220" fontId="5" fillId="0" borderId="0"/>
    <xf numFmtId="220" fontId="145" fillId="0" borderId="0">
      <protection locked="0"/>
    </xf>
    <xf numFmtId="220" fontId="145" fillId="0" borderId="0"/>
    <xf numFmtId="220" fontId="0" fillId="0" borderId="0"/>
    <xf numFmtId="220" fontId="142" fillId="38" borderId="0" applyNumberFormat="0" applyBorder="0" applyAlignment="0" applyProtection="0">
      <alignment vertical="center"/>
    </xf>
    <xf numFmtId="220" fontId="145" fillId="0" borderId="0"/>
    <xf numFmtId="220" fontId="145" fillId="0" borderId="0">
      <protection locked="0"/>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5" fillId="0" borderId="0"/>
    <xf numFmtId="220" fontId="5" fillId="0" borderId="0"/>
    <xf numFmtId="220" fontId="5" fillId="0" borderId="0"/>
    <xf numFmtId="220" fontId="0" fillId="0" borderId="0"/>
    <xf numFmtId="41" fontId="0" fillId="0" borderId="0" applyFont="0" applyFill="0" applyBorder="0" applyAlignment="0" applyProtection="0"/>
    <xf numFmtId="220" fontId="35" fillId="79" borderId="0" applyNumberFormat="0" applyBorder="0" applyAlignment="0" applyProtection="0"/>
    <xf numFmtId="220" fontId="157" fillId="47" borderId="0" applyNumberFormat="0" applyBorder="0" applyAlignment="0" applyProtection="0">
      <alignment vertical="center"/>
    </xf>
    <xf numFmtId="220" fontId="5" fillId="0" borderId="0"/>
    <xf numFmtId="220" fontId="145" fillId="0" borderId="0">
      <protection locked="0"/>
    </xf>
    <xf numFmtId="39" fontId="213" fillId="0" borderId="0" applyFont="0" applyFill="0" applyBorder="0" applyAlignment="0" applyProtection="0"/>
    <xf numFmtId="220" fontId="5" fillId="0" borderId="0"/>
    <xf numFmtId="220" fontId="145" fillId="0" borderId="0"/>
    <xf numFmtId="220" fontId="271" fillId="47" borderId="0" applyNumberFormat="0" applyBorder="0" applyAlignment="0" applyProtection="0">
      <alignment vertical="center"/>
    </xf>
    <xf numFmtId="220" fontId="220" fillId="48" borderId="0" applyNumberFormat="0" applyBorder="0" applyAlignment="0" applyProtection="0"/>
    <xf numFmtId="220" fontId="140" fillId="36" borderId="0" applyNumberFormat="0" applyBorder="0" applyAlignment="0" applyProtection="0">
      <alignment vertical="center"/>
    </xf>
    <xf numFmtId="220" fontId="145" fillId="0" borderId="0">
      <protection locked="0"/>
    </xf>
    <xf numFmtId="220" fontId="5" fillId="0" borderId="0"/>
    <xf numFmtId="220" fontId="0" fillId="0" borderId="0"/>
    <xf numFmtId="220" fontId="163" fillId="74" borderId="0" applyNumberFormat="0" applyBorder="0" applyAlignment="0" applyProtection="0"/>
    <xf numFmtId="220" fontId="273" fillId="0" borderId="0">
      <alignment horizontal="left"/>
    </xf>
    <xf numFmtId="220" fontId="163" fillId="74" borderId="0" applyNumberFormat="0" applyBorder="0" applyAlignment="0" applyProtection="0"/>
    <xf numFmtId="220" fontId="150" fillId="112" borderId="0" applyNumberFormat="0" applyBorder="0" applyAlignment="0" applyProtection="0">
      <alignment vertical="center"/>
    </xf>
    <xf numFmtId="220" fontId="145" fillId="0" borderId="0"/>
    <xf numFmtId="220" fontId="147" fillId="42" borderId="0" applyNumberFormat="0" applyBorder="0" applyAlignment="0" applyProtection="0">
      <alignment vertical="center"/>
    </xf>
    <xf numFmtId="220" fontId="5" fillId="0" borderId="0"/>
    <xf numFmtId="220" fontId="145" fillId="0" borderId="0"/>
    <xf numFmtId="220" fontId="5" fillId="0" borderId="0"/>
    <xf numFmtId="220" fontId="145" fillId="0" borderId="0">
      <protection locked="0"/>
    </xf>
    <xf numFmtId="220" fontId="5" fillId="0" borderId="0"/>
    <xf numFmtId="220" fontId="145" fillId="0" borderId="0">
      <protection locked="0"/>
    </xf>
    <xf numFmtId="220" fontId="145" fillId="0" borderId="0">
      <protection locked="0"/>
    </xf>
    <xf numFmtId="220" fontId="145" fillId="0" borderId="0">
      <protection locked="0"/>
    </xf>
    <xf numFmtId="220" fontId="5" fillId="0" borderId="0"/>
    <xf numFmtId="220" fontId="5" fillId="0" borderId="0"/>
    <xf numFmtId="220" fontId="145" fillId="0" borderId="0">
      <protection locked="0"/>
    </xf>
    <xf numFmtId="220" fontId="139" fillId="48" borderId="0" applyNumberFormat="0" applyBorder="0" applyAlignment="0" applyProtection="0">
      <alignment vertical="center"/>
    </xf>
    <xf numFmtId="220" fontId="5" fillId="0" borderId="0"/>
    <xf numFmtId="220" fontId="145" fillId="0" borderId="0">
      <protection locked="0"/>
    </xf>
    <xf numFmtId="220" fontId="145" fillId="0" borderId="0">
      <protection locked="0"/>
    </xf>
    <xf numFmtId="220" fontId="147" fillId="38" borderId="0" applyNumberFormat="0" applyBorder="0" applyAlignment="0" applyProtection="0">
      <alignment vertical="center"/>
    </xf>
    <xf numFmtId="220" fontId="90" fillId="0" borderId="0"/>
    <xf numFmtId="220" fontId="139" fillId="100" borderId="0" applyNumberFormat="0" applyBorder="0" applyAlignment="0" applyProtection="0">
      <alignment vertical="center"/>
    </xf>
    <xf numFmtId="220" fontId="152" fillId="42" borderId="0" applyNumberFormat="0" applyBorder="0" applyAlignment="0" applyProtection="0">
      <alignment vertical="center"/>
    </xf>
    <xf numFmtId="220" fontId="152" fillId="42" borderId="0" applyNumberFormat="0" applyBorder="0" applyAlignment="0" applyProtection="0">
      <alignment vertical="center"/>
    </xf>
    <xf numFmtId="220" fontId="90" fillId="0" borderId="0"/>
    <xf numFmtId="220" fontId="90" fillId="0" borderId="0"/>
    <xf numFmtId="220" fontId="90" fillId="0" borderId="0">
      <protection locked="0"/>
    </xf>
    <xf numFmtId="220" fontId="5" fillId="0" borderId="0"/>
    <xf numFmtId="220" fontId="139" fillId="57" borderId="0" applyNumberFormat="0" applyBorder="0" applyAlignment="0" applyProtection="0">
      <alignment vertical="center"/>
    </xf>
    <xf numFmtId="220" fontId="75" fillId="0" borderId="0">
      <protection locked="0"/>
    </xf>
    <xf numFmtId="220" fontId="145" fillId="0" borderId="0">
      <protection locked="0"/>
    </xf>
    <xf numFmtId="220" fontId="152" fillId="80" borderId="0" applyNumberFormat="0" applyBorder="0" applyAlignment="0" applyProtection="0">
      <alignment vertical="center"/>
    </xf>
    <xf numFmtId="220" fontId="145" fillId="0" borderId="0"/>
    <xf numFmtId="220" fontId="151" fillId="0" borderId="0"/>
    <xf numFmtId="220" fontId="145" fillId="0" borderId="0">
      <protection locked="0"/>
    </xf>
    <xf numFmtId="220" fontId="255" fillId="47" borderId="0" applyNumberFormat="0" applyBorder="0" applyAlignment="0" applyProtection="0">
      <alignment vertical="center"/>
    </xf>
    <xf numFmtId="220" fontId="5" fillId="0" borderId="0"/>
    <xf numFmtId="220" fontId="145" fillId="0" borderId="0"/>
    <xf numFmtId="220" fontId="145" fillId="0" borderId="0">
      <protection locked="0"/>
    </xf>
    <xf numFmtId="220" fontId="145" fillId="0" borderId="0">
      <protection locked="0"/>
    </xf>
    <xf numFmtId="220" fontId="5" fillId="0" borderId="0"/>
    <xf numFmtId="220" fontId="139" fillId="57" borderId="0" applyNumberFormat="0" applyBorder="0" applyAlignment="0" applyProtection="0">
      <alignment vertical="center"/>
    </xf>
    <xf numFmtId="220" fontId="145" fillId="0" borderId="0"/>
    <xf numFmtId="220" fontId="142" fillId="38" borderId="0" applyNumberFormat="0" applyBorder="0" applyAlignment="0" applyProtection="0">
      <alignment vertical="center"/>
    </xf>
    <xf numFmtId="220" fontId="5" fillId="0" borderId="0"/>
    <xf numFmtId="220" fontId="145" fillId="0" borderId="0">
      <protection locked="0"/>
    </xf>
    <xf numFmtId="220" fontId="166" fillId="97" borderId="0" applyNumberFormat="0" applyBorder="0" applyAlignment="0" applyProtection="0">
      <alignment vertical="center"/>
    </xf>
    <xf numFmtId="220" fontId="5" fillId="0" borderId="0"/>
    <xf numFmtId="220" fontId="145" fillId="0" borderId="0"/>
    <xf numFmtId="220" fontId="0" fillId="0" borderId="0"/>
    <xf numFmtId="220" fontId="5" fillId="0" borderId="0"/>
    <xf numFmtId="220" fontId="145" fillId="0" borderId="0">
      <protection locked="0"/>
    </xf>
    <xf numFmtId="220" fontId="151" fillId="0" borderId="0"/>
    <xf numFmtId="220" fontId="152" fillId="74" borderId="0" applyNumberFormat="0" applyBorder="0" applyAlignment="0" applyProtection="0">
      <alignment vertical="center"/>
    </xf>
    <xf numFmtId="220" fontId="0" fillId="0" borderId="0"/>
    <xf numFmtId="220" fontId="145" fillId="0" borderId="0"/>
    <xf numFmtId="220" fontId="145" fillId="0" borderId="0"/>
    <xf numFmtId="220" fontId="149" fillId="0" borderId="0">
      <protection locked="0"/>
    </xf>
    <xf numFmtId="220" fontId="152" fillId="45" borderId="0" applyNumberFormat="0" applyBorder="0" applyAlignment="0" applyProtection="0">
      <alignment vertical="center"/>
    </xf>
    <xf numFmtId="220" fontId="145" fillId="0" borderId="0">
      <protection locked="0"/>
    </xf>
    <xf numFmtId="220" fontId="5" fillId="0" borderId="0"/>
    <xf numFmtId="25" fontId="213" fillId="0" borderId="0" applyFont="0" applyFill="0" applyBorder="0" applyAlignment="0" applyProtection="0"/>
    <xf numFmtId="220" fontId="152" fillId="42" borderId="0" applyNumberFormat="0" applyBorder="0" applyAlignment="0" applyProtection="0">
      <alignment vertical="center"/>
    </xf>
    <xf numFmtId="220" fontId="5" fillId="0" borderId="0"/>
    <xf numFmtId="9" fontId="152" fillId="0" borderId="0" applyFont="0" applyFill="0" applyBorder="0" applyAlignment="0" applyProtection="0">
      <alignment vertical="center"/>
    </xf>
    <xf numFmtId="220" fontId="149" fillId="0" borderId="0">
      <protection locked="0"/>
    </xf>
    <xf numFmtId="220" fontId="186" fillId="31" borderId="108" applyNumberFormat="0" applyProtection="0">
      <alignment horizontal="left" vertical="top" indent="1"/>
    </xf>
    <xf numFmtId="220" fontId="145" fillId="0" borderId="0"/>
    <xf numFmtId="220" fontId="152" fillId="47" borderId="0" applyNumberFormat="0" applyBorder="0" applyAlignment="0" applyProtection="0">
      <alignment vertical="center"/>
    </xf>
    <xf numFmtId="220" fontId="5" fillId="0" borderId="0"/>
    <xf numFmtId="220" fontId="0" fillId="0" borderId="0"/>
    <xf numFmtId="220" fontId="146" fillId="0" borderId="0">
      <alignment vertical="top"/>
    </xf>
    <xf numFmtId="220" fontId="151" fillId="0" borderId="0">
      <protection locked="0"/>
    </xf>
    <xf numFmtId="220" fontId="149" fillId="0" borderId="0">
      <protection locked="0"/>
    </xf>
    <xf numFmtId="220" fontId="151" fillId="0" borderId="0">
      <protection locked="0"/>
    </xf>
    <xf numFmtId="220" fontId="5" fillId="0" borderId="0"/>
    <xf numFmtId="220" fontId="139" fillId="48" borderId="0" applyNumberFormat="0" applyBorder="0" applyAlignment="0" applyProtection="0">
      <alignment vertical="center"/>
    </xf>
    <xf numFmtId="220" fontId="149" fillId="0" borderId="0">
      <protection locked="0"/>
    </xf>
    <xf numFmtId="220" fontId="5" fillId="0" borderId="0"/>
    <xf numFmtId="220" fontId="145" fillId="0" borderId="0"/>
    <xf numFmtId="220" fontId="5" fillId="0" borderId="0"/>
    <xf numFmtId="220" fontId="5" fillId="0" borderId="0"/>
    <xf numFmtId="220" fontId="0" fillId="0" borderId="0">
      <alignment vertical="center"/>
    </xf>
    <xf numFmtId="220" fontId="0" fillId="0" borderId="0">
      <alignment vertical="center"/>
    </xf>
    <xf numFmtId="220" fontId="145" fillId="0" borderId="0"/>
    <xf numFmtId="220" fontId="5" fillId="0" borderId="0"/>
    <xf numFmtId="220" fontId="151" fillId="0" borderId="0"/>
    <xf numFmtId="220" fontId="5" fillId="0" borderId="0"/>
    <xf numFmtId="220" fontId="145" fillId="0" borderId="0">
      <protection locked="0"/>
    </xf>
    <xf numFmtId="220" fontId="145" fillId="0" borderId="0">
      <protection locked="0"/>
    </xf>
    <xf numFmtId="220" fontId="220" fillId="93" borderId="0" applyNumberFormat="0" applyBorder="0" applyAlignment="0" applyProtection="0"/>
    <xf numFmtId="220" fontId="0" fillId="0" borderId="0"/>
    <xf numFmtId="220" fontId="5" fillId="0" borderId="0"/>
    <xf numFmtId="220" fontId="139" fillId="45" borderId="0" applyNumberFormat="0" applyBorder="0" applyAlignment="0" applyProtection="0">
      <alignment vertical="center"/>
    </xf>
    <xf numFmtId="220" fontId="181" fillId="0" borderId="0">
      <protection locked="0"/>
    </xf>
    <xf numFmtId="220" fontId="149" fillId="0" borderId="0">
      <protection locked="0"/>
    </xf>
    <xf numFmtId="220" fontId="0" fillId="0" borderId="0"/>
    <xf numFmtId="178" fontId="241" fillId="0" borderId="0" applyFill="0" applyBorder="0" applyProtection="0">
      <alignment horizontal="right"/>
    </xf>
    <xf numFmtId="220" fontId="145" fillId="0" borderId="0">
      <protection locked="0"/>
    </xf>
    <xf numFmtId="220" fontId="145" fillId="0" borderId="0">
      <protection locked="0"/>
    </xf>
    <xf numFmtId="220" fontId="145" fillId="0" borderId="0">
      <protection locked="0"/>
    </xf>
    <xf numFmtId="220" fontId="145" fillId="0" borderId="0">
      <protection locked="0"/>
    </xf>
    <xf numFmtId="220" fontId="145" fillId="0" borderId="0">
      <protection locked="0"/>
    </xf>
    <xf numFmtId="220" fontId="145" fillId="0" borderId="0">
      <protection locked="0"/>
    </xf>
    <xf numFmtId="220" fontId="0" fillId="0" borderId="0"/>
    <xf numFmtId="220" fontId="152" fillId="44" borderId="0" applyNumberFormat="0" applyBorder="0" applyAlignment="0" applyProtection="0">
      <alignment vertical="center"/>
    </xf>
    <xf numFmtId="220" fontId="145" fillId="0" borderId="0"/>
    <xf numFmtId="220" fontId="0" fillId="0" borderId="0"/>
    <xf numFmtId="220" fontId="145" fillId="0" borderId="0">
      <protection locked="0"/>
    </xf>
    <xf numFmtId="220" fontId="145" fillId="0" borderId="0">
      <protection locked="0"/>
    </xf>
    <xf numFmtId="220" fontId="145" fillId="0" borderId="0">
      <protection locked="0"/>
    </xf>
    <xf numFmtId="220" fontId="147" fillId="38" borderId="0" applyNumberFormat="0" applyBorder="0" applyAlignment="0" applyProtection="0">
      <alignment vertical="center"/>
    </xf>
    <xf numFmtId="220" fontId="152" fillId="77" borderId="0" applyNumberFormat="0" applyBorder="0" applyAlignment="0" applyProtection="0">
      <alignment vertical="center"/>
    </xf>
    <xf numFmtId="220" fontId="151" fillId="0" borderId="0">
      <protection locked="0"/>
    </xf>
    <xf numFmtId="220" fontId="152" fillId="48" borderId="0" applyNumberFormat="0" applyBorder="0" applyAlignment="0" applyProtection="0">
      <alignment vertical="center"/>
    </xf>
    <xf numFmtId="220" fontId="152" fillId="44"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61" fillId="54" borderId="0" applyNumberFormat="0" applyBorder="0" applyAlignment="0" applyProtection="0">
      <alignment vertical="center"/>
    </xf>
    <xf numFmtId="220" fontId="145" fillId="0" borderId="0"/>
    <xf numFmtId="220" fontId="5" fillId="0" borderId="0"/>
    <xf numFmtId="220" fontId="145" fillId="0" borderId="0">
      <protection locked="0"/>
    </xf>
    <xf numFmtId="220" fontId="145" fillId="0" borderId="0">
      <protection locked="0"/>
    </xf>
    <xf numFmtId="220" fontId="158" fillId="0" borderId="0" applyNumberFormat="0" applyBorder="0" applyAlignment="0">
      <alignment vertical="center"/>
      <protection locked="0"/>
    </xf>
    <xf numFmtId="220" fontId="145" fillId="0" borderId="0">
      <protection locked="0"/>
    </xf>
    <xf numFmtId="220" fontId="145" fillId="0" borderId="0"/>
    <xf numFmtId="220" fontId="5" fillId="0" borderId="0"/>
    <xf numFmtId="220" fontId="139" fillId="45" borderId="0" applyNumberFormat="0" applyBorder="0" applyAlignment="0" applyProtection="0">
      <alignment vertical="center"/>
    </xf>
    <xf numFmtId="220" fontId="145" fillId="0" borderId="0">
      <protection locked="0"/>
    </xf>
    <xf numFmtId="220" fontId="190" fillId="74" borderId="0" applyNumberFormat="0" applyBorder="0" applyAlignment="0" applyProtection="0">
      <alignment vertical="center"/>
    </xf>
    <xf numFmtId="220" fontId="145" fillId="0" borderId="0">
      <protection locked="0"/>
    </xf>
    <xf numFmtId="220" fontId="145" fillId="0" borderId="0">
      <protection locked="0"/>
    </xf>
    <xf numFmtId="220" fontId="145" fillId="0" borderId="0">
      <protection locked="0"/>
    </xf>
    <xf numFmtId="4" fontId="146" fillId="41" borderId="108" applyNumberFormat="0" applyProtection="0">
      <alignment horizontal="left" vertical="center" indent="1"/>
    </xf>
    <xf numFmtId="180" fontId="0" fillId="0" borderId="0" applyFont="0" applyFill="0" applyBorder="0" applyAlignment="0" applyProtection="0"/>
    <xf numFmtId="220" fontId="5" fillId="0" borderId="0"/>
    <xf numFmtId="220" fontId="145" fillId="0" borderId="0"/>
    <xf numFmtId="220" fontId="152" fillId="35"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9" fillId="0" borderId="0">
      <protection locked="0"/>
    </xf>
    <xf numFmtId="220" fontId="0" fillId="0" borderId="0"/>
    <xf numFmtId="220" fontId="145" fillId="0" borderId="0">
      <protection locked="0"/>
    </xf>
    <xf numFmtId="220" fontId="0" fillId="0" borderId="0"/>
    <xf numFmtId="220" fontId="157" fillId="47" borderId="0" applyNumberFormat="0" applyBorder="0" applyAlignment="0" applyProtection="0">
      <alignment vertical="center"/>
    </xf>
    <xf numFmtId="220" fontId="145" fillId="0" borderId="0"/>
    <xf numFmtId="220" fontId="147" fillId="42" borderId="0" applyNumberFormat="0" applyBorder="0" applyAlignment="0" applyProtection="0">
      <alignment vertical="center"/>
    </xf>
    <xf numFmtId="220" fontId="5" fillId="0" borderId="0"/>
    <xf numFmtId="220" fontId="152" fillId="74" borderId="0" applyNumberFormat="0" applyBorder="0" applyAlignment="0" applyProtection="0">
      <alignment vertical="center"/>
    </xf>
    <xf numFmtId="220" fontId="5" fillId="0" borderId="0"/>
    <xf numFmtId="220" fontId="145" fillId="32" borderId="108" applyNumberFormat="0" applyProtection="0">
      <alignment horizontal="left" vertical="top" indent="1"/>
    </xf>
    <xf numFmtId="222" fontId="152" fillId="0" borderId="0" applyFont="0" applyFill="0" applyBorder="0" applyAlignment="0" applyProtection="0"/>
    <xf numFmtId="220" fontId="145" fillId="0" borderId="0">
      <protection locked="0"/>
    </xf>
    <xf numFmtId="220" fontId="145" fillId="0" borderId="0"/>
    <xf numFmtId="220" fontId="5" fillId="0" borderId="0"/>
    <xf numFmtId="220" fontId="5" fillId="0" borderId="0"/>
    <xf numFmtId="220" fontId="14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0" fillId="0" borderId="0"/>
    <xf numFmtId="220" fontId="101" fillId="0" borderId="0" applyNumberFormat="0" applyFill="0" applyBorder="0" applyAlignment="0" applyProtection="0">
      <alignment vertical="top"/>
      <protection locked="0"/>
    </xf>
    <xf numFmtId="220" fontId="145" fillId="0" borderId="0">
      <protection locked="0"/>
    </xf>
    <xf numFmtId="220" fontId="5" fillId="0" borderId="0"/>
    <xf numFmtId="220" fontId="145" fillId="0" borderId="0">
      <protection locked="0"/>
    </xf>
    <xf numFmtId="220" fontId="5" fillId="0" borderId="0" applyFont="0" applyFill="0" applyBorder="0" applyAlignment="0" applyProtection="0"/>
    <xf numFmtId="220" fontId="14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39" fillId="40" borderId="0" applyNumberFormat="0" applyBorder="0" applyAlignment="0" applyProtection="0">
      <alignment vertical="center"/>
    </xf>
    <xf numFmtId="220" fontId="5" fillId="0" borderId="0"/>
    <xf numFmtId="220" fontId="145" fillId="0" borderId="0">
      <protection locked="0"/>
    </xf>
    <xf numFmtId="220" fontId="145" fillId="0" borderId="0"/>
    <xf numFmtId="220" fontId="5" fillId="0" borderId="0"/>
    <xf numFmtId="220" fontId="145" fillId="0" borderId="0"/>
    <xf numFmtId="220" fontId="0" fillId="0" borderId="0">
      <alignment vertical="center"/>
    </xf>
    <xf numFmtId="220" fontId="145" fillId="0" borderId="0">
      <protection locked="0"/>
    </xf>
    <xf numFmtId="220" fontId="145" fillId="0" borderId="0">
      <protection locked="0"/>
    </xf>
    <xf numFmtId="220" fontId="145" fillId="0" borderId="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90" fillId="0" borderId="0"/>
    <xf numFmtId="220" fontId="5" fillId="0" borderId="0"/>
    <xf numFmtId="220" fontId="145" fillId="0" borderId="0">
      <protection locked="0"/>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45" fillId="0" borderId="0">
      <protection locked="0"/>
    </xf>
    <xf numFmtId="220" fontId="145" fillId="0" borderId="0"/>
    <xf numFmtId="220" fontId="152" fillId="35" borderId="0" applyNumberFormat="0" applyBorder="0" applyAlignment="0" applyProtection="0">
      <alignment vertical="center"/>
    </xf>
    <xf numFmtId="220" fontId="145" fillId="0" borderId="0"/>
    <xf numFmtId="220" fontId="142" fillId="38" borderId="0" applyNumberFormat="0" applyBorder="0" applyAlignment="0" applyProtection="0">
      <alignment vertical="center"/>
    </xf>
    <xf numFmtId="220" fontId="145" fillId="0" borderId="0">
      <protection locked="0"/>
    </xf>
    <xf numFmtId="220" fontId="166" fillId="64" borderId="0" applyNumberFormat="0" applyBorder="0" applyAlignment="0" applyProtection="0">
      <alignment vertical="center"/>
    </xf>
    <xf numFmtId="220" fontId="0" fillId="0" borderId="0"/>
    <xf numFmtId="220" fontId="145" fillId="0" borderId="0"/>
    <xf numFmtId="220" fontId="145" fillId="0" borderId="0">
      <protection locked="0"/>
    </xf>
    <xf numFmtId="220" fontId="139" fillId="0" borderId="0">
      <alignment vertical="center"/>
    </xf>
    <xf numFmtId="220" fontId="90" fillId="0" borderId="0"/>
    <xf numFmtId="220" fontId="145" fillId="0" borderId="0"/>
    <xf numFmtId="220" fontId="5" fillId="0" borderId="0"/>
    <xf numFmtId="220" fontId="145" fillId="0" borderId="0"/>
    <xf numFmtId="220" fontId="145" fillId="0" borderId="0"/>
    <xf numFmtId="220" fontId="5" fillId="0" borderId="0"/>
    <xf numFmtId="220" fontId="145" fillId="0" borderId="0">
      <protection locked="0"/>
    </xf>
    <xf numFmtId="220" fontId="145" fillId="0" borderId="0">
      <protection locked="0"/>
    </xf>
    <xf numFmtId="220" fontId="145" fillId="0" borderId="0"/>
    <xf numFmtId="220" fontId="145" fillId="0" borderId="0">
      <protection locked="0"/>
    </xf>
    <xf numFmtId="220" fontId="5" fillId="0" borderId="0"/>
    <xf numFmtId="220" fontId="5" fillId="0" borderId="0"/>
    <xf numFmtId="220" fontId="145" fillId="0" borderId="0"/>
    <xf numFmtId="220" fontId="5" fillId="0" borderId="0"/>
    <xf numFmtId="220" fontId="145" fillId="0" borderId="0">
      <protection locked="0"/>
    </xf>
    <xf numFmtId="220" fontId="139" fillId="2" borderId="0" applyNumberFormat="0" applyBorder="0" applyAlignment="0" applyProtection="0">
      <alignment vertical="center"/>
    </xf>
    <xf numFmtId="220" fontId="145" fillId="0" borderId="0"/>
    <xf numFmtId="220" fontId="152" fillId="0" borderId="0">
      <alignment vertical="center"/>
    </xf>
    <xf numFmtId="182" fontId="145" fillId="0" borderId="0" applyFont="0" applyFill="0" applyBorder="0" applyAlignment="0" applyProtection="0"/>
    <xf numFmtId="220" fontId="5" fillId="0" borderId="0"/>
    <xf numFmtId="220" fontId="145" fillId="0" borderId="0"/>
    <xf numFmtId="220" fontId="185" fillId="49" borderId="0" applyNumberFormat="0" applyBorder="0" applyAlignment="0" applyProtection="0"/>
    <xf numFmtId="220" fontId="145" fillId="0" borderId="0">
      <protection locked="0"/>
    </xf>
    <xf numFmtId="220" fontId="145" fillId="0" borderId="0">
      <protection locked="0"/>
    </xf>
    <xf numFmtId="220" fontId="146" fillId="41" borderId="108" applyNumberFormat="0" applyProtection="0">
      <alignment horizontal="left" vertical="center" indent="1"/>
    </xf>
    <xf numFmtId="4" fontId="146" fillId="32" borderId="108" applyNumberFormat="0" applyProtection="0">
      <alignment horizontal="right" vertical="center"/>
    </xf>
    <xf numFmtId="220" fontId="145" fillId="0" borderId="0"/>
    <xf numFmtId="198" fontId="0" fillId="0" borderId="0"/>
    <xf numFmtId="220" fontId="145" fillId="0" borderId="0"/>
    <xf numFmtId="220" fontId="5" fillId="0" borderId="0"/>
    <xf numFmtId="220" fontId="145" fillId="0" borderId="0"/>
    <xf numFmtId="220" fontId="150" fillId="35" borderId="0" applyNumberFormat="0" applyBorder="0" applyAlignment="0" applyProtection="0">
      <alignment vertical="center"/>
    </xf>
    <xf numFmtId="220" fontId="145" fillId="0" borderId="0">
      <protection locked="0"/>
    </xf>
    <xf numFmtId="220" fontId="158" fillId="0" borderId="0" applyNumberFormat="0" applyBorder="0" applyAlignment="0" applyProtection="0">
      <alignment vertical="center"/>
    </xf>
    <xf numFmtId="220" fontId="145" fillId="0" borderId="0">
      <protection locked="0"/>
    </xf>
    <xf numFmtId="220" fontId="5" fillId="0" borderId="0"/>
    <xf numFmtId="220" fontId="145" fillId="0" borderId="0"/>
    <xf numFmtId="220" fontId="5" fillId="0" borderId="0"/>
    <xf numFmtId="220" fontId="145" fillId="0" borderId="0">
      <protection locked="0"/>
    </xf>
    <xf numFmtId="220" fontId="145" fillId="0" borderId="0">
      <protection locked="0"/>
    </xf>
    <xf numFmtId="220" fontId="145" fillId="0" borderId="0"/>
    <xf numFmtId="220" fontId="150" fillId="35" borderId="0" applyNumberFormat="0" applyBorder="0" applyAlignment="0" applyProtection="0">
      <alignment vertical="center"/>
    </xf>
    <xf numFmtId="220" fontId="5" fillId="0" borderId="0"/>
    <xf numFmtId="220" fontId="5" fillId="0" borderId="0"/>
    <xf numFmtId="220" fontId="276" fillId="93" borderId="0" applyNumberFormat="0" applyBorder="0" applyAlignment="0" applyProtection="0"/>
    <xf numFmtId="4" fontId="146" fillId="48" borderId="108" applyNumberFormat="0" applyProtection="0">
      <alignment horizontal="right" vertical="center"/>
    </xf>
    <xf numFmtId="220" fontId="277" fillId="0" borderId="136" applyNumberFormat="0" applyFill="0" applyAlignment="0" applyProtection="0"/>
    <xf numFmtId="220" fontId="146" fillId="0" borderId="0">
      <alignment vertical="top"/>
    </xf>
    <xf numFmtId="220" fontId="152" fillId="44"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145" fillId="0" borderId="0">
      <protection locked="0"/>
    </xf>
    <xf numFmtId="220" fontId="145" fillId="0" borderId="0">
      <protection locked="0"/>
    </xf>
    <xf numFmtId="220" fontId="146" fillId="0" borderId="0">
      <alignment vertical="top"/>
    </xf>
    <xf numFmtId="220" fontId="5" fillId="0" borderId="0"/>
    <xf numFmtId="220" fontId="70" fillId="0" borderId="0" applyNumberFormat="0" applyFill="0" applyBorder="0" applyAlignment="0" applyProtection="0">
      <alignment vertical="top"/>
      <protection locked="0"/>
    </xf>
    <xf numFmtId="220" fontId="145" fillId="0" borderId="0"/>
    <xf numFmtId="220" fontId="142" fillId="38" borderId="0" applyNumberFormat="0" applyBorder="0" applyAlignment="0" applyProtection="0">
      <alignment vertical="center"/>
    </xf>
    <xf numFmtId="220" fontId="145" fillId="0" borderId="0">
      <protection locked="0"/>
    </xf>
    <xf numFmtId="220" fontId="139" fillId="63" borderId="0" applyNumberFormat="0" applyBorder="0" applyAlignment="0" applyProtection="0">
      <alignment vertical="center"/>
    </xf>
    <xf numFmtId="220" fontId="147" fillId="96" borderId="0" applyNumberFormat="0" applyBorder="0" applyAlignment="0" applyProtection="0">
      <alignment vertical="center"/>
    </xf>
    <xf numFmtId="239" fontId="75" fillId="0" borderId="0" applyFill="0" applyBorder="0" applyProtection="0">
      <alignment horizontal="right"/>
    </xf>
    <xf numFmtId="220" fontId="147" fillId="42" borderId="0" applyNumberFormat="0" applyBorder="0" applyAlignment="0" applyProtection="0">
      <alignment vertical="center"/>
    </xf>
    <xf numFmtId="220" fontId="14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5" fillId="0" borderId="0">
      <protection locked="0"/>
    </xf>
    <xf numFmtId="220" fontId="151" fillId="0" borderId="0"/>
    <xf numFmtId="220" fontId="145" fillId="0" borderId="0"/>
    <xf numFmtId="220" fontId="0" fillId="0" borderId="0">
      <alignment vertical="center"/>
    </xf>
    <xf numFmtId="220" fontId="168" fillId="0" borderId="113" applyNumberFormat="0" applyFill="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145" fillId="0" borderId="0"/>
    <xf numFmtId="220" fontId="5" fillId="0" borderId="0"/>
    <xf numFmtId="220" fontId="152" fillId="45" borderId="0" applyNumberFormat="0" applyBorder="0" applyAlignment="0" applyProtection="0">
      <alignment vertical="center"/>
    </xf>
    <xf numFmtId="220" fontId="145" fillId="0" borderId="0">
      <protection locked="0"/>
    </xf>
    <xf numFmtId="220" fontId="5" fillId="0" borderId="0"/>
    <xf numFmtId="220" fontId="157" fillId="47" borderId="0" applyNumberFormat="0" applyBorder="0" applyAlignment="0" applyProtection="0">
      <alignment vertical="center"/>
    </xf>
    <xf numFmtId="220" fontId="145" fillId="0" borderId="0">
      <protection locked="0"/>
    </xf>
    <xf numFmtId="220" fontId="139" fillId="63" borderId="0" applyNumberFormat="0" applyBorder="0" applyAlignment="0" applyProtection="0">
      <alignment vertical="center"/>
    </xf>
    <xf numFmtId="220" fontId="145" fillId="0" borderId="0"/>
    <xf numFmtId="220" fontId="5" fillId="0" borderId="0"/>
    <xf numFmtId="220" fontId="150" fillId="35" borderId="0" applyNumberFormat="0" applyBorder="0" applyAlignment="0" applyProtection="0">
      <alignment vertical="center"/>
    </xf>
    <xf numFmtId="220" fontId="5" fillId="0" borderId="0"/>
    <xf numFmtId="220" fontId="145" fillId="0" borderId="0">
      <protection locked="0"/>
    </xf>
    <xf numFmtId="220" fontId="278" fillId="47" borderId="0" applyNumberFormat="0" applyBorder="0" applyAlignment="0" applyProtection="0"/>
    <xf numFmtId="220" fontId="5" fillId="0" borderId="0"/>
    <xf numFmtId="220" fontId="150" fillId="35" borderId="0" applyNumberFormat="0" applyBorder="0" applyAlignment="0" applyProtection="0">
      <alignment vertical="center"/>
    </xf>
    <xf numFmtId="220" fontId="252" fillId="0" borderId="0" applyFont="0" applyFill="0" applyBorder="0" applyAlignment="0" applyProtection="0"/>
    <xf numFmtId="220" fontId="90" fillId="0" borderId="0">
      <protection locked="0"/>
    </xf>
    <xf numFmtId="220" fontId="5" fillId="0" borderId="0"/>
    <xf numFmtId="220" fontId="147" fillId="42" borderId="0" applyNumberFormat="0" applyBorder="0" applyAlignment="0" applyProtection="0">
      <alignment vertical="center"/>
    </xf>
    <xf numFmtId="220" fontId="5" fillId="0" borderId="0"/>
    <xf numFmtId="211" fontId="0" fillId="0" borderId="0" applyFont="0" applyFill="0" applyBorder="0" applyAlignment="0" applyProtection="0"/>
    <xf numFmtId="220" fontId="5" fillId="0" borderId="0"/>
    <xf numFmtId="220" fontId="145" fillId="0" borderId="0"/>
    <xf numFmtId="220" fontId="150" fillId="35" borderId="0" applyNumberFormat="0" applyBorder="0" applyAlignment="0" applyProtection="0">
      <alignment vertical="center"/>
    </xf>
    <xf numFmtId="220" fontId="145" fillId="0" borderId="0"/>
    <xf numFmtId="220" fontId="0" fillId="0" borderId="0"/>
    <xf numFmtId="220" fontId="5" fillId="0" borderId="0"/>
    <xf numFmtId="220" fontId="166" fillId="4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5" fillId="0" borderId="0">
      <protection locked="0"/>
    </xf>
    <xf numFmtId="220" fontId="0" fillId="0" borderId="0">
      <alignment vertical="center"/>
    </xf>
    <xf numFmtId="220" fontId="145" fillId="0" borderId="0"/>
    <xf numFmtId="220" fontId="5" fillId="0" borderId="0"/>
    <xf numFmtId="220" fontId="145" fillId="0" borderId="0"/>
    <xf numFmtId="220" fontId="147" fillId="38" borderId="0" applyNumberFormat="0" applyBorder="0" applyAlignment="0" applyProtection="0">
      <alignment vertical="center"/>
    </xf>
    <xf numFmtId="220" fontId="145" fillId="0" borderId="0">
      <protection locked="0"/>
    </xf>
    <xf numFmtId="220" fontId="145" fillId="0" borderId="0"/>
    <xf numFmtId="211" fontId="0" fillId="0" borderId="0" applyFont="0" applyFill="0" applyBorder="0" applyAlignment="0" applyProtection="0"/>
    <xf numFmtId="220" fontId="264" fillId="117" borderId="0" applyNumberFormat="0" applyProtection="0">
      <alignment horizontal="left" vertical="center" indent="1"/>
    </xf>
    <xf numFmtId="220" fontId="145" fillId="0" borderId="0">
      <protection locked="0"/>
    </xf>
    <xf numFmtId="220" fontId="256" fillId="114" borderId="0">
      <alignment horizontal="right"/>
    </xf>
    <xf numFmtId="211" fontId="0" fillId="0" borderId="0" applyFont="0" applyFill="0" applyBorder="0" applyAlignment="0" applyProtection="0"/>
    <xf numFmtId="220" fontId="145" fillId="0" borderId="0"/>
    <xf numFmtId="220" fontId="145" fillId="0" borderId="0">
      <protection locked="0"/>
    </xf>
    <xf numFmtId="220" fontId="5" fillId="0" borderId="0"/>
    <xf numFmtId="220" fontId="145" fillId="0" borderId="0"/>
    <xf numFmtId="211" fontId="0" fillId="0" borderId="0" applyFont="0" applyFill="0" applyBorder="0" applyAlignment="0" applyProtection="0"/>
    <xf numFmtId="220" fontId="145" fillId="0" borderId="0">
      <protection locked="0"/>
    </xf>
    <xf numFmtId="220" fontId="145" fillId="0" borderId="0"/>
    <xf numFmtId="220" fontId="2" fillId="0" borderId="0"/>
    <xf numFmtId="220" fontId="162" fillId="110" borderId="0" applyNumberFormat="0" applyBorder="0" applyAlignment="0" applyProtection="0"/>
    <xf numFmtId="220" fontId="145" fillId="0" borderId="0">
      <protection locked="0"/>
    </xf>
    <xf numFmtId="220" fontId="162" fillId="110" borderId="0" applyNumberFormat="0" applyBorder="0" applyAlignment="0" applyProtection="0"/>
    <xf numFmtId="220" fontId="145" fillId="0" borderId="0"/>
    <xf numFmtId="220" fontId="145" fillId="0" borderId="0">
      <protection locked="0"/>
    </xf>
    <xf numFmtId="220" fontId="0" fillId="0" borderId="0">
      <alignment vertical="center"/>
    </xf>
    <xf numFmtId="220" fontId="145" fillId="0" borderId="0"/>
    <xf numFmtId="220" fontId="5" fillId="0" borderId="0"/>
    <xf numFmtId="220" fontId="152" fillId="48" borderId="0" applyNumberFormat="0" applyBorder="0" applyAlignment="0" applyProtection="0">
      <alignment vertical="center"/>
    </xf>
    <xf numFmtId="220" fontId="145" fillId="0" borderId="0">
      <protection locked="0"/>
    </xf>
    <xf numFmtId="220" fontId="161" fillId="53" borderId="0" applyNumberFormat="0" applyBorder="0" applyAlignment="0" applyProtection="0">
      <alignment vertical="center"/>
    </xf>
    <xf numFmtId="220" fontId="145" fillId="0" borderId="0">
      <protection locked="0"/>
    </xf>
    <xf numFmtId="220" fontId="221" fillId="0" borderId="0"/>
    <xf numFmtId="220" fontId="145" fillId="0" borderId="0"/>
    <xf numFmtId="220" fontId="5" fillId="0" borderId="0"/>
    <xf numFmtId="220" fontId="145" fillId="0" borderId="0">
      <protection locked="0"/>
    </xf>
    <xf numFmtId="220" fontId="152" fillId="44" borderId="0" applyNumberFormat="0" applyBorder="0" applyAlignment="0" applyProtection="0">
      <alignment vertical="center"/>
    </xf>
    <xf numFmtId="220" fontId="146" fillId="0" borderId="0">
      <alignment vertical="top"/>
    </xf>
    <xf numFmtId="220" fontId="157" fillId="47" borderId="0" applyNumberFormat="0" applyBorder="0" applyAlignment="0" applyProtection="0">
      <alignment vertical="center"/>
    </xf>
    <xf numFmtId="220" fontId="145" fillId="0" borderId="0"/>
    <xf numFmtId="220" fontId="145" fillId="0" borderId="0">
      <protection locked="0"/>
    </xf>
    <xf numFmtId="220" fontId="145" fillId="0" borderId="0"/>
    <xf numFmtId="220" fontId="5" fillId="0" borderId="0"/>
    <xf numFmtId="220" fontId="145" fillId="0" borderId="0">
      <protection locked="0"/>
    </xf>
    <xf numFmtId="220" fontId="5" fillId="0" borderId="0"/>
    <xf numFmtId="220" fontId="5" fillId="0" borderId="0"/>
    <xf numFmtId="220" fontId="5" fillId="0" borderId="0"/>
    <xf numFmtId="25" fontId="213" fillId="0" borderId="0" applyFont="0" applyFill="0" applyBorder="0" applyAlignment="0" applyProtection="0"/>
    <xf numFmtId="220" fontId="148" fillId="54"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5" fillId="0" borderId="0"/>
    <xf numFmtId="220" fontId="149" fillId="0" borderId="0">
      <protection locked="0"/>
    </xf>
    <xf numFmtId="220" fontId="145" fillId="0" borderId="0"/>
    <xf numFmtId="220" fontId="145" fillId="0" borderId="0"/>
    <xf numFmtId="220" fontId="5" fillId="0" borderId="0"/>
    <xf numFmtId="220" fontId="145" fillId="0" borderId="0"/>
    <xf numFmtId="220" fontId="145" fillId="0" borderId="0"/>
    <xf numFmtId="220" fontId="5" fillId="0" borderId="0"/>
    <xf numFmtId="220" fontId="145" fillId="0" borderId="0"/>
    <xf numFmtId="220" fontId="145" fillId="0" borderId="0"/>
    <xf numFmtId="220" fontId="157" fillId="47"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5" fillId="0" borderId="0"/>
    <xf numFmtId="191" fontId="145" fillId="0" borderId="0" applyFont="0" applyFill="0" applyBorder="0" applyAlignment="0" applyProtection="0"/>
    <xf numFmtId="220" fontId="145" fillId="0" borderId="0"/>
    <xf numFmtId="220" fontId="5" fillId="0" borderId="0"/>
    <xf numFmtId="220" fontId="145" fillId="0" borderId="0"/>
    <xf numFmtId="198" fontId="0" fillId="0" borderId="0"/>
    <xf numFmtId="220" fontId="152" fillId="74" borderId="0" applyNumberFormat="0" applyBorder="0" applyAlignment="0" applyProtection="0">
      <alignment vertical="center"/>
    </xf>
    <xf numFmtId="220" fontId="145" fillId="0" borderId="0">
      <protection locked="0"/>
    </xf>
    <xf numFmtId="220" fontId="145" fillId="0" borderId="0">
      <protection locked="0"/>
    </xf>
    <xf numFmtId="220" fontId="5" fillId="0" borderId="0"/>
    <xf numFmtId="220" fontId="279" fillId="0" borderId="0">
      <alignment vertical="center"/>
    </xf>
    <xf numFmtId="220" fontId="0" fillId="0" borderId="0">
      <alignment vertical="center"/>
    </xf>
    <xf numFmtId="220" fontId="145" fillId="0" borderId="0"/>
    <xf numFmtId="220" fontId="5" fillId="0" borderId="0"/>
    <xf numFmtId="9" fontId="0" fillId="0" borderId="0" applyFont="0" applyFill="0" applyBorder="0" applyAlignment="0" applyProtection="0"/>
    <xf numFmtId="220" fontId="145" fillId="0" borderId="0"/>
    <xf numFmtId="220" fontId="5" fillId="0" borderId="0"/>
    <xf numFmtId="220" fontId="145" fillId="0" borderId="0"/>
    <xf numFmtId="220" fontId="145" fillId="0" borderId="0"/>
    <xf numFmtId="220" fontId="5" fillId="0" borderId="0"/>
    <xf numFmtId="9" fontId="0" fillId="0" borderId="0" applyFont="0" applyFill="0" applyBorder="0" applyAlignment="0" applyProtection="0"/>
    <xf numFmtId="220" fontId="145" fillId="0" borderId="0">
      <protection locked="0"/>
    </xf>
    <xf numFmtId="220" fontId="158" fillId="0" borderId="0" applyNumberFormat="0" applyBorder="0" applyProtection="0">
      <alignment vertical="center"/>
    </xf>
    <xf numFmtId="220" fontId="145" fillId="0" borderId="0"/>
    <xf numFmtId="220" fontId="5" fillId="0" borderId="0"/>
    <xf numFmtId="220" fontId="161" fillId="97" borderId="0" applyNumberFormat="0" applyBorder="0" applyAlignment="0" applyProtection="0">
      <alignment vertical="center"/>
    </xf>
    <xf numFmtId="220" fontId="145" fillId="0" borderId="0"/>
    <xf numFmtId="220" fontId="145" fillId="0" borderId="0"/>
    <xf numFmtId="220" fontId="145" fillId="0" borderId="0"/>
    <xf numFmtId="220" fontId="5" fillId="0" borderId="0"/>
    <xf numFmtId="220" fontId="145" fillId="0" borderId="0">
      <protection locked="0"/>
    </xf>
    <xf numFmtId="220" fontId="146" fillId="0" borderId="0">
      <alignment vertical="top"/>
    </xf>
    <xf numFmtId="220" fontId="279" fillId="0" borderId="0">
      <alignment vertical="center"/>
    </xf>
    <xf numFmtId="220" fontId="145" fillId="0" borderId="0"/>
    <xf numFmtId="220" fontId="139" fillId="0" borderId="0">
      <alignment vertical="center"/>
    </xf>
    <xf numFmtId="220" fontId="146" fillId="75" borderId="108" applyNumberFormat="0" applyProtection="0">
      <alignment horizontal="right" vertical="center"/>
    </xf>
    <xf numFmtId="220" fontId="158" fillId="79" borderId="0" applyNumberFormat="0" applyBorder="0" applyAlignment="0" applyProtection="0"/>
    <xf numFmtId="220" fontId="145" fillId="0" borderId="0">
      <protection locked="0"/>
    </xf>
    <xf numFmtId="220" fontId="0" fillId="0" borderId="0"/>
    <xf numFmtId="220" fontId="0" fillId="0" borderId="0"/>
    <xf numFmtId="220" fontId="0" fillId="0" borderId="0"/>
    <xf numFmtId="220" fontId="145" fillId="0" borderId="0">
      <protection locked="0"/>
    </xf>
    <xf numFmtId="220" fontId="145" fillId="0" borderId="0">
      <protection locked="0"/>
    </xf>
    <xf numFmtId="220" fontId="5" fillId="0" borderId="0"/>
    <xf numFmtId="220" fontId="145" fillId="0" borderId="0">
      <protection locked="0"/>
    </xf>
    <xf numFmtId="220" fontId="145" fillId="0" borderId="0"/>
    <xf numFmtId="220" fontId="5" fillId="0" borderId="0"/>
    <xf numFmtId="220" fontId="145" fillId="0" borderId="0">
      <protection locked="0"/>
    </xf>
    <xf numFmtId="220" fontId="150" fillId="35" borderId="0" applyNumberFormat="0" applyBorder="0" applyAlignment="0" applyProtection="0">
      <alignment vertical="center"/>
    </xf>
    <xf numFmtId="220" fontId="145" fillId="0" borderId="0"/>
    <xf numFmtId="220" fontId="145" fillId="0" borderId="0"/>
    <xf numFmtId="220" fontId="139" fillId="9" borderId="0" applyNumberFormat="0" applyBorder="0" applyAlignment="0" applyProtection="0">
      <alignment vertical="center"/>
    </xf>
    <xf numFmtId="220" fontId="145" fillId="0" borderId="0"/>
    <xf numFmtId="220" fontId="0" fillId="0" borderId="0"/>
    <xf numFmtId="220" fontId="5" fillId="0" borderId="0"/>
    <xf numFmtId="220" fontId="145" fillId="0" borderId="0"/>
    <xf numFmtId="220" fontId="145" fillId="0" borderId="0"/>
    <xf numFmtId="220" fontId="0" fillId="0" borderId="0"/>
    <xf numFmtId="220" fontId="145" fillId="0" borderId="0"/>
    <xf numFmtId="220" fontId="5" fillId="0" borderId="0"/>
    <xf numFmtId="220" fontId="145" fillId="0" borderId="0">
      <protection locked="0"/>
    </xf>
    <xf numFmtId="220" fontId="5" fillId="0" borderId="0"/>
    <xf numFmtId="220" fontId="5" fillId="0" borderId="0"/>
    <xf numFmtId="220" fontId="0" fillId="0" borderId="0"/>
    <xf numFmtId="220" fontId="0" fillId="0" borderId="0"/>
    <xf numFmtId="220" fontId="5" fillId="0" borderId="0"/>
    <xf numFmtId="220" fontId="5" fillId="0" borderId="0" applyFont="0" applyFill="0" applyBorder="0" applyAlignment="0" applyProtection="0"/>
    <xf numFmtId="220" fontId="0" fillId="0" borderId="0"/>
    <xf numFmtId="220" fontId="145" fillId="0" borderId="0">
      <protection locked="0"/>
    </xf>
    <xf numFmtId="220" fontId="139" fillId="60" borderId="0" applyNumberFormat="0" applyBorder="0" applyAlignment="0" applyProtection="0">
      <alignment vertical="center"/>
    </xf>
    <xf numFmtId="220" fontId="5" fillId="0" borderId="0"/>
    <xf numFmtId="220" fontId="145" fillId="0" borderId="0"/>
    <xf numFmtId="220" fontId="161" fillId="45" borderId="0" applyNumberFormat="0" applyBorder="0" applyAlignment="0" applyProtection="0">
      <alignment vertical="center"/>
    </xf>
    <xf numFmtId="220" fontId="5" fillId="0" borderId="0"/>
    <xf numFmtId="220" fontId="190" fillId="54"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45" fillId="0" borderId="0">
      <protection locked="0"/>
    </xf>
    <xf numFmtId="220" fontId="5" fillId="0" borderId="0"/>
    <xf numFmtId="220" fontId="161" fillId="45" borderId="0" applyNumberFormat="0" applyBorder="0" applyAlignment="0" applyProtection="0">
      <alignment vertical="center"/>
    </xf>
    <xf numFmtId="220" fontId="145" fillId="0" borderId="0">
      <protection locked="0"/>
    </xf>
    <xf numFmtId="220" fontId="145" fillId="0" borderId="0"/>
    <xf numFmtId="220" fontId="151" fillId="0" borderId="0"/>
    <xf numFmtId="37" fontId="280" fillId="0" borderId="0"/>
    <xf numFmtId="220" fontId="139" fillId="45" borderId="0" applyNumberFormat="0" applyBorder="0" applyAlignment="0" applyProtection="0">
      <alignment vertical="center"/>
    </xf>
    <xf numFmtId="220" fontId="145" fillId="0" borderId="0"/>
    <xf numFmtId="220" fontId="145" fillId="0" borderId="0"/>
    <xf numFmtId="220" fontId="145" fillId="0" borderId="0">
      <protection locked="0"/>
    </xf>
    <xf numFmtId="220" fontId="14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5" fillId="0" borderId="0"/>
    <xf numFmtId="220" fontId="5" fillId="0" borderId="0"/>
    <xf numFmtId="220" fontId="145" fillId="0" borderId="0"/>
    <xf numFmtId="220" fontId="5" fillId="0" borderId="0"/>
    <xf numFmtId="220" fontId="5" fillId="0" borderId="0"/>
    <xf numFmtId="220" fontId="5" fillId="0" borderId="0"/>
    <xf numFmtId="211" fontId="0" fillId="0" borderId="0" applyFont="0" applyFill="0" applyBorder="0" applyAlignment="0" applyProtection="0"/>
    <xf numFmtId="220" fontId="147" fillId="38" borderId="0" applyNumberFormat="0" applyBorder="0" applyAlignment="0" applyProtection="0">
      <alignment vertical="center"/>
    </xf>
    <xf numFmtId="220" fontId="145" fillId="0" borderId="0"/>
    <xf numFmtId="220" fontId="145" fillId="0" borderId="0">
      <protection locked="0"/>
    </xf>
    <xf numFmtId="220" fontId="145" fillId="0" borderId="0">
      <protection locked="0"/>
    </xf>
    <xf numFmtId="220" fontId="145" fillId="0" borderId="0"/>
    <xf numFmtId="220" fontId="5" fillId="0" borderId="0"/>
    <xf numFmtId="220" fontId="145" fillId="0" borderId="0"/>
    <xf numFmtId="220" fontId="5" fillId="0" borderId="0"/>
    <xf numFmtId="220" fontId="0" fillId="0" borderId="0"/>
    <xf numFmtId="220" fontId="145" fillId="0" borderId="0">
      <protection locked="0"/>
    </xf>
    <xf numFmtId="220" fontId="5" fillId="0" borderId="0"/>
    <xf numFmtId="220" fontId="152" fillId="4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5" fillId="0" borderId="0">
      <protection locked="0"/>
    </xf>
    <xf numFmtId="220" fontId="157" fillId="47" borderId="0" applyNumberFormat="0" applyBorder="0" applyAlignment="0" applyProtection="0">
      <alignment vertical="center"/>
    </xf>
    <xf numFmtId="220" fontId="145" fillId="0" borderId="0"/>
    <xf numFmtId="220" fontId="145" fillId="0" borderId="0"/>
    <xf numFmtId="220" fontId="150" fillId="35" borderId="0" applyNumberFormat="0" applyBorder="0" applyAlignment="0" applyProtection="0">
      <alignment vertical="center"/>
    </xf>
    <xf numFmtId="220" fontId="139" fillId="45" borderId="0" applyNumberFormat="0" applyBorder="0" applyAlignment="0" applyProtection="0">
      <alignment vertical="center"/>
    </xf>
    <xf numFmtId="180" fontId="0" fillId="0" borderId="0" applyFont="0" applyFill="0" applyBorder="0" applyAlignment="0" applyProtection="0"/>
    <xf numFmtId="220" fontId="145" fillId="0" borderId="0">
      <protection locked="0"/>
    </xf>
    <xf numFmtId="220" fontId="145" fillId="0" borderId="0">
      <protection locked="0"/>
    </xf>
    <xf numFmtId="191" fontId="163" fillId="0" borderId="0" applyFont="0" applyFill="0" applyBorder="0" applyAlignment="0" applyProtection="0"/>
    <xf numFmtId="220" fontId="145" fillId="0" borderId="0">
      <protection locked="0"/>
    </xf>
    <xf numFmtId="220" fontId="5" fillId="0" borderId="0"/>
    <xf numFmtId="220" fontId="5" fillId="0" borderId="0"/>
    <xf numFmtId="220" fontId="35" fillId="72" borderId="0" applyNumberFormat="0" applyBorder="0" applyAlignment="0" applyProtection="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5" fillId="0" borderId="0">
      <protection locked="0"/>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7" fontId="145" fillId="0" borderId="0"/>
    <xf numFmtId="220" fontId="145" fillId="0" borderId="0">
      <protection locked="0"/>
    </xf>
    <xf numFmtId="220" fontId="90" fillId="0" borderId="0"/>
    <xf numFmtId="220" fontId="151" fillId="0" borderId="0"/>
    <xf numFmtId="220" fontId="145" fillId="0" borderId="0">
      <protection locked="0"/>
    </xf>
    <xf numFmtId="220" fontId="5" fillId="0" borderId="0"/>
    <xf numFmtId="220" fontId="282" fillId="0" borderId="0" applyNumberFormat="0" applyFill="0" applyBorder="0" applyAlignment="0" applyProtection="0">
      <alignment vertical="center"/>
    </xf>
    <xf numFmtId="220" fontId="145" fillId="0" borderId="0"/>
    <xf numFmtId="220" fontId="146" fillId="0" borderId="0">
      <alignment vertical="top"/>
    </xf>
    <xf numFmtId="220" fontId="5" fillId="0" borderId="0"/>
    <xf numFmtId="220" fontId="145" fillId="55" borderId="108" applyNumberFormat="0" applyProtection="0">
      <alignment horizontal="left" vertical="top" indent="1"/>
    </xf>
    <xf numFmtId="220" fontId="145" fillId="0" borderId="0">
      <protection locked="0"/>
    </xf>
    <xf numFmtId="220" fontId="139" fillId="63" borderId="0" applyNumberFormat="0" applyBorder="0" applyAlignment="0" applyProtection="0">
      <alignment vertical="center"/>
    </xf>
    <xf numFmtId="220" fontId="158" fillId="79" borderId="0" applyNumberFormat="0" applyBorder="0" applyAlignment="0" applyProtection="0"/>
    <xf numFmtId="220" fontId="145" fillId="0" borderId="0">
      <protection locked="0"/>
    </xf>
    <xf numFmtId="220" fontId="5" fillId="0" borderId="0"/>
    <xf numFmtId="220" fontId="90" fillId="0" borderId="0"/>
    <xf numFmtId="220" fontId="145" fillId="0" borderId="0"/>
    <xf numFmtId="220" fontId="5" fillId="0" borderId="0"/>
    <xf numFmtId="220" fontId="5" fillId="0" borderId="0"/>
    <xf numFmtId="9" fontId="0" fillId="0" borderId="0" applyFont="0" applyFill="0" applyBorder="0" applyAlignment="0" applyProtection="0">
      <alignment vertical="center"/>
    </xf>
    <xf numFmtId="220" fontId="139" fillId="45" borderId="0" applyNumberFormat="0" applyBorder="0" applyAlignment="0" applyProtection="0">
      <alignment vertical="center"/>
    </xf>
    <xf numFmtId="220" fontId="90" fillId="0" borderId="0"/>
    <xf numFmtId="220" fontId="147" fillId="42" borderId="0" applyNumberFormat="0" applyBorder="0" applyAlignment="0" applyProtection="0">
      <alignment vertical="center"/>
    </xf>
    <xf numFmtId="220" fontId="5" fillId="0" borderId="0"/>
    <xf numFmtId="220" fontId="151" fillId="0" borderId="0">
      <protection locked="0"/>
    </xf>
    <xf numFmtId="220" fontId="148" fillId="104"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40" fontId="90" fillId="0" borderId="0" applyFont="0" applyFill="0" applyBorder="0" applyAlignment="0" applyProtection="0"/>
    <xf numFmtId="220" fontId="145" fillId="0" borderId="0">
      <protection locked="0"/>
    </xf>
    <xf numFmtId="220" fontId="5" fillId="0" borderId="0"/>
    <xf numFmtId="220" fontId="152" fillId="77" borderId="0" applyNumberFormat="0" applyBorder="0" applyAlignment="0" applyProtection="0">
      <alignment vertical="center"/>
    </xf>
    <xf numFmtId="220" fontId="0" fillId="0" borderId="0"/>
    <xf numFmtId="220" fontId="145" fillId="0" borderId="0"/>
    <xf numFmtId="220" fontId="140" fillId="36" borderId="0" applyNumberFormat="0" applyBorder="0" applyAlignment="0" applyProtection="0">
      <alignment vertical="center"/>
    </xf>
    <xf numFmtId="180" fontId="0" fillId="0" borderId="0" applyFont="0" applyFill="0" applyBorder="0" applyAlignment="0" applyProtection="0"/>
    <xf numFmtId="220" fontId="5" fillId="0" borderId="0"/>
    <xf numFmtId="220" fontId="5" fillId="0" borderId="0"/>
    <xf numFmtId="220" fontId="90" fillId="0" borderId="0">
      <protection locked="0"/>
    </xf>
    <xf numFmtId="220" fontId="145" fillId="0" borderId="0">
      <protection locked="0"/>
    </xf>
    <xf numFmtId="220" fontId="149" fillId="0" borderId="0">
      <protection locked="0"/>
    </xf>
    <xf numFmtId="220" fontId="145" fillId="0" borderId="0"/>
    <xf numFmtId="220" fontId="145" fillId="0" borderId="0">
      <protection locked="0"/>
    </xf>
    <xf numFmtId="220" fontId="139" fillId="0" borderId="0">
      <alignment vertical="center"/>
    </xf>
    <xf numFmtId="220" fontId="145" fillId="0" borderId="0">
      <protection locked="0"/>
    </xf>
    <xf numFmtId="220" fontId="145" fillId="0" borderId="0">
      <protection locked="0"/>
    </xf>
    <xf numFmtId="220" fontId="0" fillId="0" borderId="0"/>
    <xf numFmtId="220" fontId="139" fillId="48" borderId="0" applyNumberFormat="0" applyBorder="0" applyAlignment="0" applyProtection="0">
      <alignment vertical="center"/>
    </xf>
    <xf numFmtId="220" fontId="0" fillId="0" borderId="0"/>
    <xf numFmtId="203" fontId="171" fillId="0" borderId="0" applyFill="0" applyBorder="0" applyProtection="0">
      <alignment horizontal="center"/>
    </xf>
    <xf numFmtId="220" fontId="5" fillId="0" borderId="0"/>
    <xf numFmtId="220" fontId="5" fillId="0" borderId="0"/>
    <xf numFmtId="220" fontId="90"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90" fillId="0" borderId="0"/>
    <xf numFmtId="220" fontId="145" fillId="0" borderId="0">
      <protection locked="0"/>
    </xf>
    <xf numFmtId="220" fontId="145" fillId="0" borderId="0">
      <protection locked="0"/>
    </xf>
    <xf numFmtId="220" fontId="145" fillId="0" borderId="0"/>
    <xf numFmtId="220" fontId="90" fillId="0" borderId="0">
      <protection locked="0"/>
    </xf>
    <xf numFmtId="220" fontId="0" fillId="0" borderId="0"/>
    <xf numFmtId="220" fontId="145" fillId="0" borderId="0"/>
    <xf numFmtId="220" fontId="5" fillId="0" borderId="0"/>
    <xf numFmtId="220" fontId="0" fillId="0" borderId="0"/>
    <xf numFmtId="211" fontId="0" fillId="0" borderId="0" applyFont="0" applyFill="0" applyBorder="0" applyAlignment="0" applyProtection="0"/>
    <xf numFmtId="220" fontId="5" fillId="0" borderId="0"/>
    <xf numFmtId="220" fontId="283" fillId="0" borderId="16">
      <alignment horizontal="center"/>
    </xf>
    <xf numFmtId="220" fontId="5" fillId="0" borderId="0"/>
    <xf numFmtId="220" fontId="145" fillId="0" borderId="0">
      <protection locked="0"/>
    </xf>
    <xf numFmtId="220" fontId="0" fillId="0" borderId="0"/>
    <xf numFmtId="43" fontId="0" fillId="0" borderId="0" applyFont="0" applyFill="0" applyBorder="0" applyAlignment="0" applyProtection="0"/>
    <xf numFmtId="220" fontId="5" fillId="0" borderId="0"/>
    <xf numFmtId="220" fontId="90" fillId="0" borderId="0"/>
    <xf numFmtId="220" fontId="142" fillId="38" borderId="0" applyNumberFormat="0" applyBorder="0" applyAlignment="0" applyProtection="0">
      <alignment vertical="center"/>
    </xf>
    <xf numFmtId="220" fontId="139" fillId="21" borderId="0" applyNumberFormat="0" applyBorder="0" applyAlignment="0" applyProtection="0">
      <alignment vertical="center"/>
    </xf>
    <xf numFmtId="220" fontId="146" fillId="0" borderId="0">
      <alignment vertical="top"/>
    </xf>
    <xf numFmtId="220" fontId="146" fillId="0" borderId="0">
      <alignment vertical="top"/>
    </xf>
    <xf numFmtId="220" fontId="145" fillId="0" borderId="0">
      <protection locked="0"/>
    </xf>
    <xf numFmtId="220" fontId="139" fillId="60" borderId="0" applyNumberFormat="0" applyBorder="0" applyAlignment="0" applyProtection="0">
      <alignment vertical="center"/>
    </xf>
    <xf numFmtId="220" fontId="145" fillId="0" borderId="0">
      <protection locked="0"/>
    </xf>
    <xf numFmtId="220" fontId="145" fillId="0" borderId="0">
      <protection locked="0"/>
    </xf>
    <xf numFmtId="220" fontId="145" fillId="0" borderId="0"/>
    <xf numFmtId="220" fontId="142" fillId="38" borderId="0" applyNumberFormat="0" applyBorder="0" applyAlignment="0" applyProtection="0">
      <alignment vertical="center"/>
    </xf>
    <xf numFmtId="220" fontId="145" fillId="0" borderId="0"/>
    <xf numFmtId="220" fontId="145" fillId="0" borderId="0"/>
    <xf numFmtId="220" fontId="5" fillId="0" borderId="0"/>
    <xf numFmtId="220" fontId="0" fillId="0" borderId="0"/>
    <xf numFmtId="198" fontId="0" fillId="0" borderId="0"/>
    <xf numFmtId="220" fontId="149" fillId="0" borderId="0">
      <protection locked="0"/>
    </xf>
    <xf numFmtId="220" fontId="150" fillId="35" borderId="0" applyNumberFormat="0" applyBorder="0" applyAlignment="0" applyProtection="0">
      <alignment vertical="center"/>
    </xf>
    <xf numFmtId="211" fontId="0" fillId="0" borderId="0" applyFont="0" applyFill="0" applyBorder="0" applyAlignment="0" applyProtection="0"/>
    <xf numFmtId="220" fontId="149" fillId="0" borderId="0">
      <protection locked="0"/>
    </xf>
    <xf numFmtId="220" fontId="149" fillId="0" borderId="0">
      <protection locked="0"/>
    </xf>
    <xf numFmtId="220" fontId="147" fillId="42" borderId="0" applyNumberFormat="0" applyBorder="0" applyAlignment="0" applyProtection="0">
      <alignment vertical="center"/>
    </xf>
    <xf numFmtId="220" fontId="149" fillId="0" borderId="0">
      <protection locked="0"/>
    </xf>
    <xf numFmtId="220" fontId="0" fillId="0" borderId="0"/>
    <xf numFmtId="220" fontId="145" fillId="0" borderId="0">
      <protection locked="0"/>
    </xf>
    <xf numFmtId="220" fontId="5" fillId="0" borderId="0"/>
    <xf numFmtId="220" fontId="152" fillId="63" borderId="0" applyNumberFormat="0" applyBorder="0" applyAlignment="0" applyProtection="0">
      <alignment vertical="center"/>
    </xf>
    <xf numFmtId="220" fontId="5" fillId="0" borderId="0"/>
    <xf numFmtId="220" fontId="145" fillId="0" borderId="0">
      <protection locked="0"/>
    </xf>
    <xf numFmtId="220" fontId="5" fillId="0" borderId="0"/>
    <xf numFmtId="220" fontId="145" fillId="0" borderId="0"/>
    <xf numFmtId="220" fontId="5" fillId="0" borderId="0"/>
    <xf numFmtId="220" fontId="145" fillId="0" borderId="0">
      <protection locked="0"/>
    </xf>
    <xf numFmtId="220" fontId="158" fillId="0" borderId="0" applyNumberFormat="0" applyBorder="0" applyAlignment="0">
      <alignment vertical="center"/>
      <protection locked="0"/>
    </xf>
    <xf numFmtId="220" fontId="145" fillId="0" borderId="0"/>
    <xf numFmtId="227" fontId="145" fillId="0" borderId="0"/>
    <xf numFmtId="220" fontId="149" fillId="0" borderId="0">
      <protection locked="0"/>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protection locked="0"/>
    </xf>
    <xf numFmtId="220" fontId="142" fillId="38" borderId="0" applyNumberFormat="0" applyBorder="0" applyAlignment="0" applyProtection="0">
      <alignment vertical="center"/>
    </xf>
    <xf numFmtId="220" fontId="5" fillId="0" borderId="0"/>
    <xf numFmtId="220" fontId="145" fillId="0" borderId="0"/>
    <xf numFmtId="220" fontId="150" fillId="35" borderId="0" applyNumberFormat="0" applyBorder="0" applyAlignment="0" applyProtection="0">
      <alignment vertical="center"/>
    </xf>
    <xf numFmtId="220" fontId="145" fillId="0" borderId="0">
      <protection locked="0"/>
    </xf>
    <xf numFmtId="220" fontId="145" fillId="0" borderId="0">
      <protection locked="0"/>
    </xf>
    <xf numFmtId="220" fontId="152" fillId="60" borderId="0" applyNumberFormat="0" applyBorder="0" applyAlignment="0" applyProtection="0">
      <alignment vertical="center"/>
    </xf>
    <xf numFmtId="220" fontId="139" fillId="89"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39" fontId="213" fillId="0" borderId="0" applyFont="0" applyFill="0" applyBorder="0" applyAlignment="0" applyProtection="0"/>
    <xf numFmtId="198" fontId="0" fillId="0" borderId="0"/>
    <xf numFmtId="220" fontId="145" fillId="0" borderId="0"/>
    <xf numFmtId="220" fontId="145" fillId="0" borderId="0">
      <protection locked="0"/>
    </xf>
    <xf numFmtId="220" fontId="146" fillId="0" borderId="0">
      <alignment vertical="top"/>
    </xf>
    <xf numFmtId="4" fontId="146" fillId="93" borderId="108" applyNumberFormat="0" applyProtection="0">
      <alignment horizontal="right" vertical="center"/>
    </xf>
    <xf numFmtId="220" fontId="0" fillId="0" borderId="0"/>
    <xf numFmtId="180" fontId="0" fillId="0" borderId="0" applyFont="0" applyFill="0" applyBorder="0" applyAlignment="0" applyProtection="0"/>
    <xf numFmtId="220" fontId="145" fillId="0" borderId="0">
      <protection locked="0"/>
    </xf>
    <xf numFmtId="220" fontId="146" fillId="93" borderId="108" applyNumberFormat="0" applyProtection="0">
      <alignment horizontal="right" vertical="center"/>
    </xf>
    <xf numFmtId="220" fontId="146" fillId="0" borderId="0">
      <alignment vertical="top"/>
    </xf>
    <xf numFmtId="220" fontId="5" fillId="0" borderId="0"/>
    <xf numFmtId="220" fontId="145" fillId="0" borderId="0">
      <protection locked="0"/>
    </xf>
    <xf numFmtId="220" fontId="5" fillId="0" borderId="0"/>
    <xf numFmtId="220" fontId="0" fillId="0" borderId="0"/>
    <xf numFmtId="220" fontId="151" fillId="0" borderId="0"/>
    <xf numFmtId="220" fontId="149" fillId="0" borderId="0">
      <protection locked="0"/>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5" fillId="0" borderId="0">
      <protection locked="0"/>
    </xf>
    <xf numFmtId="220" fontId="145" fillId="0" borderId="0">
      <protection locked="0"/>
    </xf>
    <xf numFmtId="220" fontId="149" fillId="0" borderId="0">
      <protection locked="0"/>
    </xf>
    <xf numFmtId="220" fontId="145" fillId="0" borderId="0"/>
    <xf numFmtId="220" fontId="5" fillId="0" borderId="0"/>
    <xf numFmtId="220" fontId="145" fillId="0" borderId="0">
      <protection locked="0"/>
    </xf>
    <xf numFmtId="220" fontId="145" fillId="0" borderId="0"/>
    <xf numFmtId="220" fontId="151" fillId="0" borderId="0"/>
    <xf numFmtId="220" fontId="145" fillId="0" borderId="0">
      <protection locked="0"/>
    </xf>
    <xf numFmtId="220" fontId="5" fillId="0" borderId="0"/>
    <xf numFmtId="220" fontId="145" fillId="0" borderId="0">
      <protection locked="0"/>
    </xf>
    <xf numFmtId="220" fontId="5" fillId="0" borderId="0"/>
    <xf numFmtId="220" fontId="90" fillId="0" borderId="0"/>
    <xf numFmtId="220" fontId="0" fillId="0" borderId="0"/>
    <xf numFmtId="220" fontId="145" fillId="0" borderId="0">
      <protection locked="0"/>
    </xf>
    <xf numFmtId="180" fontId="0" fillId="0" borderId="0" applyFont="0" applyFill="0" applyBorder="0" applyAlignment="0" applyProtection="0"/>
    <xf numFmtId="180" fontId="0" fillId="0" borderId="0" applyFont="0" applyFill="0" applyBorder="0" applyAlignment="0" applyProtection="0"/>
    <xf numFmtId="220" fontId="152" fillId="74" borderId="0" applyNumberFormat="0" applyBorder="0" applyAlignment="0" applyProtection="0">
      <alignment vertical="center"/>
    </xf>
    <xf numFmtId="220" fontId="0" fillId="0" borderId="0"/>
    <xf numFmtId="220" fontId="90" fillId="0" borderId="0"/>
    <xf numFmtId="220" fontId="5" fillId="0" borderId="0"/>
    <xf numFmtId="220" fontId="163" fillId="47" borderId="0" applyNumberFormat="0" applyBorder="0" applyAlignment="0" applyProtection="0"/>
    <xf numFmtId="220" fontId="145" fillId="0" borderId="0">
      <protection locked="0"/>
    </xf>
    <xf numFmtId="220" fontId="145" fillId="0" borderId="0">
      <protection locked="0"/>
    </xf>
    <xf numFmtId="220" fontId="5" fillId="0" borderId="0"/>
    <xf numFmtId="220" fontId="139" fillId="8" borderId="0" applyNumberFormat="0" applyBorder="0" applyAlignment="0" applyProtection="0">
      <alignment vertical="center"/>
    </xf>
    <xf numFmtId="220" fontId="90" fillId="0" borderId="0"/>
    <xf numFmtId="220" fontId="145" fillId="0" borderId="0">
      <protection locked="0"/>
    </xf>
    <xf numFmtId="220" fontId="158" fillId="0" borderId="0" applyNumberFormat="0" applyBorder="0" applyAlignment="0">
      <alignment vertical="center"/>
      <protection locked="0"/>
    </xf>
    <xf numFmtId="220" fontId="145" fillId="0" borderId="0">
      <protection locked="0"/>
    </xf>
    <xf numFmtId="220" fontId="142" fillId="38" borderId="0" applyNumberFormat="0" applyBorder="0" applyAlignment="0" applyProtection="0">
      <alignment vertical="center"/>
    </xf>
    <xf numFmtId="220" fontId="145" fillId="0" borderId="0">
      <protection locked="0"/>
    </xf>
    <xf numFmtId="176" fontId="257"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14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262" fillId="0" borderId="133" applyNumberFormat="0" applyFill="0" applyAlignment="0" applyProtection="0">
      <alignment vertical="center"/>
    </xf>
    <xf numFmtId="220" fontId="151" fillId="0" borderId="0"/>
    <xf numFmtId="220" fontId="5" fillId="0" borderId="0"/>
    <xf numFmtId="220" fontId="145" fillId="0" borderId="0"/>
    <xf numFmtId="220" fontId="75" fillId="0" borderId="0"/>
    <xf numFmtId="220" fontId="145" fillId="0" borderId="0"/>
    <xf numFmtId="220" fontId="157" fillId="47" borderId="0" applyNumberFormat="0" applyBorder="0" applyAlignment="0" applyProtection="0">
      <alignment vertical="center"/>
    </xf>
    <xf numFmtId="220" fontId="145" fillId="0" borderId="0"/>
    <xf numFmtId="220" fontId="145" fillId="0" borderId="0"/>
    <xf numFmtId="220" fontId="145" fillId="0" borderId="0">
      <protection locked="0"/>
    </xf>
    <xf numFmtId="220" fontId="5" fillId="0" borderId="0"/>
    <xf numFmtId="220" fontId="277" fillId="0" borderId="136" applyNumberFormat="0" applyFill="0" applyAlignment="0" applyProtection="0"/>
    <xf numFmtId="220" fontId="145" fillId="0" borderId="0">
      <protection locked="0"/>
    </xf>
    <xf numFmtId="220" fontId="90" fillId="0" borderId="0"/>
    <xf numFmtId="220" fontId="5" fillId="0" borderId="0"/>
    <xf numFmtId="220" fontId="145" fillId="0" borderId="0">
      <protection locked="0"/>
    </xf>
    <xf numFmtId="220" fontId="139" fillId="21" borderId="0" applyNumberFormat="0" applyBorder="0" applyAlignment="0" applyProtection="0">
      <alignment vertical="center"/>
    </xf>
    <xf numFmtId="220" fontId="139" fillId="0" borderId="0">
      <alignment vertical="center"/>
    </xf>
    <xf numFmtId="220" fontId="145" fillId="0" borderId="0">
      <protection locked="0"/>
    </xf>
    <xf numFmtId="198" fontId="0" fillId="0" borderId="0"/>
    <xf numFmtId="220" fontId="145" fillId="0" borderId="0">
      <protection locked="0"/>
    </xf>
    <xf numFmtId="220" fontId="0" fillId="0" borderId="0"/>
    <xf numFmtId="220" fontId="145" fillId="0" borderId="0"/>
    <xf numFmtId="220" fontId="0" fillId="0" borderId="0"/>
    <xf numFmtId="220" fontId="150" fillId="35" borderId="0" applyNumberFormat="0" applyBorder="0" applyAlignment="0" applyProtection="0">
      <alignment vertical="center"/>
    </xf>
    <xf numFmtId="220" fontId="145" fillId="0" borderId="0"/>
    <xf numFmtId="220" fontId="158" fillId="0" borderId="0" applyNumberFormat="0" applyBorder="0" applyAlignment="0" applyProtection="0">
      <alignment vertical="center"/>
    </xf>
    <xf numFmtId="220" fontId="5" fillId="0" borderId="0"/>
    <xf numFmtId="220" fontId="5" fillId="0" borderId="0"/>
    <xf numFmtId="220" fontId="145" fillId="0" borderId="0">
      <protection locked="0"/>
    </xf>
    <xf numFmtId="220" fontId="152" fillId="63" borderId="0" applyNumberFormat="0" applyBorder="0" applyAlignment="0" applyProtection="0">
      <alignment vertical="center"/>
    </xf>
    <xf numFmtId="220" fontId="139" fillId="0" borderId="0">
      <alignment vertical="center"/>
    </xf>
    <xf numFmtId="220" fontId="190" fillId="47" borderId="0" applyNumberFormat="0" applyBorder="0" applyAlignment="0" applyProtection="0">
      <alignment vertical="center"/>
    </xf>
    <xf numFmtId="220" fontId="142" fillId="38" borderId="0" applyNumberFormat="0" applyBorder="0" applyAlignment="0" applyProtection="0">
      <alignment vertical="center"/>
    </xf>
    <xf numFmtId="211" fontId="0" fillId="0" borderId="0" applyFont="0" applyFill="0" applyBorder="0" applyAlignment="0" applyProtection="0"/>
    <xf numFmtId="220" fontId="5" fillId="0" borderId="0"/>
    <xf numFmtId="220" fontId="151" fillId="0" borderId="0"/>
    <xf numFmtId="180" fontId="0" fillId="0" borderId="0" applyFont="0" applyFill="0" applyBorder="0" applyAlignment="0" applyProtection="0"/>
    <xf numFmtId="220" fontId="5" fillId="0" borderId="0"/>
    <xf numFmtId="220" fontId="90" fillId="0" borderId="0">
      <protection locked="0"/>
    </xf>
    <xf numFmtId="180" fontId="0" fillId="0" borderId="0" applyFont="0" applyFill="0" applyBorder="0" applyAlignment="0" applyProtection="0"/>
    <xf numFmtId="211" fontId="0" fillId="0" borderId="0" applyFont="0" applyFill="0" applyBorder="0" applyAlignment="0" applyProtection="0"/>
    <xf numFmtId="220" fontId="146" fillId="0" borderId="0">
      <alignment vertical="top"/>
    </xf>
    <xf numFmtId="180" fontId="0" fillId="0" borderId="0" applyFont="0" applyFill="0" applyBorder="0" applyAlignment="0" applyProtection="0"/>
    <xf numFmtId="220" fontId="181" fillId="0" borderId="0">
      <protection locked="0"/>
    </xf>
    <xf numFmtId="220" fontId="145" fillId="0" borderId="0">
      <protection locked="0"/>
    </xf>
    <xf numFmtId="220" fontId="0" fillId="0" borderId="0"/>
    <xf numFmtId="220" fontId="157" fillId="47" borderId="0" applyNumberFormat="0" applyBorder="0" applyAlignment="0" applyProtection="0">
      <alignment vertical="center"/>
    </xf>
    <xf numFmtId="220" fontId="145"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0" fillId="0" borderId="0"/>
    <xf numFmtId="220" fontId="145" fillId="0" borderId="0">
      <protection locked="0"/>
    </xf>
    <xf numFmtId="220" fontId="145" fillId="0" borderId="0">
      <protection locked="0"/>
    </xf>
    <xf numFmtId="220" fontId="5" fillId="0" borderId="0"/>
    <xf numFmtId="220" fontId="145" fillId="0" borderId="0">
      <protection locked="0"/>
    </xf>
    <xf numFmtId="220" fontId="145" fillId="0" borderId="0">
      <protection locked="0"/>
    </xf>
    <xf numFmtId="220" fontId="5" fillId="0" borderId="0"/>
    <xf numFmtId="220" fontId="145" fillId="0" borderId="0">
      <protection locked="0"/>
    </xf>
    <xf numFmtId="220" fontId="158" fillId="0" borderId="0" applyNumberFormat="0" applyBorder="0" applyAlignment="0">
      <alignment vertical="center"/>
      <protection locked="0"/>
    </xf>
    <xf numFmtId="220" fontId="148" fillId="45" borderId="0" applyNumberFormat="0" applyBorder="0" applyAlignment="0" applyProtection="0">
      <alignment vertical="center"/>
    </xf>
    <xf numFmtId="220" fontId="149" fillId="0" borderId="0">
      <protection locked="0"/>
    </xf>
    <xf numFmtId="220" fontId="211" fillId="0" borderId="129" applyNumberFormat="0" applyFill="0" applyAlignment="0" applyProtection="0">
      <alignment vertical="center"/>
    </xf>
    <xf numFmtId="220" fontId="145" fillId="0" borderId="0">
      <protection locked="0"/>
    </xf>
    <xf numFmtId="220" fontId="145" fillId="0" borderId="0">
      <protection locked="0"/>
    </xf>
    <xf numFmtId="220" fontId="139" fillId="0" borderId="0">
      <alignment vertical="center"/>
    </xf>
    <xf numFmtId="220" fontId="5" fillId="0" borderId="0"/>
    <xf numFmtId="220" fontId="284" fillId="0" borderId="0" applyNumberFormat="0" applyFill="0" applyBorder="0" applyAlignment="0" applyProtection="0">
      <alignment vertical="top"/>
      <protection locked="0"/>
    </xf>
    <xf numFmtId="220" fontId="145" fillId="0" borderId="0">
      <protection locked="0"/>
    </xf>
    <xf numFmtId="220" fontId="150" fillId="35" borderId="0" applyNumberFormat="0" applyBorder="0" applyAlignment="0" applyProtection="0">
      <alignment vertical="center"/>
    </xf>
    <xf numFmtId="220" fontId="145" fillId="0" borderId="0">
      <protection locked="0"/>
    </xf>
    <xf numFmtId="220" fontId="152" fillId="44" borderId="0" applyNumberFormat="0" applyBorder="0" applyAlignment="0" applyProtection="0">
      <alignment vertical="center"/>
    </xf>
    <xf numFmtId="220" fontId="139" fillId="0" borderId="0">
      <alignment vertical="center"/>
    </xf>
    <xf numFmtId="220" fontId="146" fillId="0" borderId="0">
      <alignment vertical="top"/>
      <protection locked="0"/>
    </xf>
    <xf numFmtId="220" fontId="5" fillId="0" borderId="0"/>
    <xf numFmtId="220" fontId="5" fillId="0" borderId="0"/>
    <xf numFmtId="220" fontId="151" fillId="0" borderId="0">
      <protection locked="0"/>
    </xf>
    <xf numFmtId="220" fontId="5" fillId="0" borderId="0"/>
    <xf numFmtId="220" fontId="90" fillId="0" borderId="0"/>
    <xf numFmtId="220" fontId="5" fillId="0" borderId="0"/>
    <xf numFmtId="220" fontId="145" fillId="0" borderId="0"/>
    <xf numFmtId="220" fontId="285" fillId="0" borderId="0" applyFill="0" applyBorder="0">
      <alignment horizontal="centerContinuous"/>
    </xf>
    <xf numFmtId="220" fontId="145" fillId="0" borderId="0"/>
    <xf numFmtId="220" fontId="0" fillId="0" borderId="0"/>
    <xf numFmtId="220" fontId="0" fillId="0" borderId="0"/>
    <xf numFmtId="220" fontId="150" fillId="35" borderId="0" applyNumberFormat="0" applyBorder="0" applyAlignment="0" applyProtection="0">
      <alignment vertical="center"/>
    </xf>
    <xf numFmtId="239" fontId="75" fillId="0" borderId="0" applyFill="0" applyBorder="0" applyProtection="0">
      <alignment horizontal="right"/>
    </xf>
    <xf numFmtId="220" fontId="151" fillId="0" borderId="0"/>
    <xf numFmtId="220" fontId="5" fillId="0" borderId="0"/>
    <xf numFmtId="220" fontId="145" fillId="0" borderId="0"/>
    <xf numFmtId="220" fontId="139" fillId="0" borderId="0">
      <alignment vertical="center"/>
    </xf>
    <xf numFmtId="220" fontId="145" fillId="0" borderId="0"/>
    <xf numFmtId="220" fontId="145" fillId="0" borderId="0"/>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1" fillId="0" borderId="0"/>
    <xf numFmtId="220" fontId="5" fillId="0" borderId="0"/>
    <xf numFmtId="220" fontId="151" fillId="0" borderId="0"/>
    <xf numFmtId="220" fontId="145" fillId="0" borderId="0"/>
    <xf numFmtId="220" fontId="152" fillId="0" borderId="0">
      <alignment vertical="center"/>
    </xf>
    <xf numFmtId="180" fontId="0" fillId="0" borderId="0" applyFont="0" applyFill="0" applyBorder="0" applyAlignment="0" applyProtection="0"/>
    <xf numFmtId="220" fontId="145" fillId="0" borderId="0">
      <protection locked="0"/>
    </xf>
    <xf numFmtId="220" fontId="5" fillId="0" borderId="0"/>
    <xf numFmtId="220" fontId="145" fillId="0" borderId="0"/>
    <xf numFmtId="211" fontId="0" fillId="0" borderId="0" applyFont="0" applyFill="0" applyBorder="0" applyAlignment="0" applyProtection="0"/>
    <xf numFmtId="220" fontId="145" fillId="0" borderId="0"/>
    <xf numFmtId="220" fontId="0" fillId="0" borderId="0"/>
    <xf numFmtId="220" fontId="179" fillId="35" borderId="0" applyNumberFormat="0" applyBorder="0" applyAlignment="0" applyProtection="0"/>
    <xf numFmtId="209" fontId="5" fillId="0" borderId="0"/>
    <xf numFmtId="220" fontId="145" fillId="0" borderId="0"/>
    <xf numFmtId="220" fontId="145" fillId="0" borderId="0">
      <protection locked="0"/>
    </xf>
    <xf numFmtId="220" fontId="145" fillId="0" borderId="0"/>
    <xf numFmtId="220" fontId="0" fillId="0" borderId="0"/>
    <xf numFmtId="220" fontId="149" fillId="0" borderId="0">
      <protection locked="0"/>
    </xf>
    <xf numFmtId="220" fontId="149" fillId="0" borderId="0">
      <protection locked="0"/>
    </xf>
    <xf numFmtId="220" fontId="0" fillId="0" borderId="0"/>
    <xf numFmtId="220" fontId="0" fillId="0" borderId="0"/>
    <xf numFmtId="220" fontId="5" fillId="0" borderId="0"/>
    <xf numFmtId="220" fontId="157" fillId="47" borderId="0" applyNumberFormat="0" applyBorder="0" applyAlignment="0" applyProtection="0">
      <alignment vertical="center"/>
    </xf>
    <xf numFmtId="220" fontId="146" fillId="0" borderId="0">
      <alignment vertical="top"/>
    </xf>
    <xf numFmtId="220" fontId="90" fillId="0" borderId="0">
      <protection locked="0"/>
    </xf>
    <xf numFmtId="220" fontId="5" fillId="0" borderId="0"/>
    <xf numFmtId="220" fontId="5" fillId="0" borderId="0"/>
    <xf numFmtId="220" fontId="5" fillId="0" borderId="0"/>
    <xf numFmtId="220" fontId="146" fillId="0" borderId="0">
      <alignment vertical="top"/>
    </xf>
    <xf numFmtId="220" fontId="0" fillId="0" borderId="0">
      <alignment vertical="center"/>
    </xf>
    <xf numFmtId="220" fontId="146" fillId="0" borderId="0">
      <alignment vertical="top"/>
    </xf>
    <xf numFmtId="220" fontId="145" fillId="0" borderId="0">
      <protection locked="0"/>
    </xf>
    <xf numFmtId="220" fontId="151" fillId="0" borderId="0">
      <protection locked="0"/>
    </xf>
    <xf numFmtId="220" fontId="145" fillId="0" borderId="0">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191" fontId="163" fillId="0" borderId="0" applyFont="0" applyFill="0" applyBorder="0" applyAlignment="0" applyProtection="0"/>
    <xf numFmtId="220" fontId="146" fillId="0" borderId="0">
      <alignment vertical="top"/>
    </xf>
    <xf numFmtId="220" fontId="5" fillId="0" borderId="0"/>
    <xf numFmtId="220" fontId="139" fillId="0" borderId="0">
      <alignment vertical="center"/>
    </xf>
    <xf numFmtId="212" fontId="0" fillId="0" borderId="0"/>
    <xf numFmtId="220" fontId="163" fillId="35" borderId="0" applyNumberFormat="0" applyBorder="0" applyAlignment="0" applyProtection="0"/>
    <xf numFmtId="220" fontId="145" fillId="0" borderId="0">
      <protection locked="0"/>
    </xf>
    <xf numFmtId="220" fontId="92" fillId="0" borderId="0">
      <alignment horizontal="center" wrapText="1"/>
      <protection locked="0"/>
    </xf>
    <xf numFmtId="220" fontId="0" fillId="0" borderId="0"/>
    <xf numFmtId="220" fontId="139" fillId="85" borderId="0" applyNumberFormat="0" applyBorder="0" applyAlignment="0" applyProtection="0">
      <alignment vertical="center"/>
    </xf>
    <xf numFmtId="220" fontId="145" fillId="0" borderId="0">
      <protection locked="0"/>
    </xf>
    <xf numFmtId="220" fontId="152" fillId="93" borderId="0" applyNumberFormat="0" applyBorder="0" applyAlignment="0" applyProtection="0">
      <alignment vertical="center"/>
    </xf>
    <xf numFmtId="220" fontId="5" fillId="0" borderId="0"/>
    <xf numFmtId="220" fontId="90" fillId="0" borderId="0"/>
    <xf numFmtId="220" fontId="0" fillId="0" borderId="0"/>
    <xf numFmtId="220" fontId="139" fillId="48" borderId="0" applyNumberFormat="0" applyBorder="0" applyAlignment="0" applyProtection="0">
      <alignment vertical="center"/>
    </xf>
    <xf numFmtId="179" fontId="75" fillId="0" borderId="0" applyFill="0" applyBorder="0" applyProtection="0">
      <alignment horizontal="right"/>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62" fillId="94" borderId="0" applyNumberFormat="0" applyBorder="0" applyAlignment="0" applyProtection="0"/>
    <xf numFmtId="220" fontId="5" fillId="0" borderId="0"/>
    <xf numFmtId="220" fontId="5" fillId="0" borderId="0"/>
    <xf numFmtId="203" fontId="171" fillId="0" borderId="0" applyFill="0" applyBorder="0" applyProtection="0">
      <alignment horizontal="center"/>
    </xf>
    <xf numFmtId="220" fontId="5" fillId="0" borderId="0"/>
    <xf numFmtId="220" fontId="0" fillId="0" borderId="0"/>
    <xf numFmtId="220" fontId="5" fillId="0" borderId="0"/>
    <xf numFmtId="220" fontId="0" fillId="0" borderId="0"/>
    <xf numFmtId="220" fontId="185" fillId="81" borderId="0" applyNumberFormat="0" applyBorder="0" applyAlignment="0" applyProtection="0"/>
    <xf numFmtId="220" fontId="0" fillId="0" borderId="0"/>
    <xf numFmtId="220" fontId="145" fillId="0" borderId="0">
      <protection locked="0"/>
    </xf>
    <xf numFmtId="214" fontId="171" fillId="0" borderId="0" applyFill="0" applyBorder="0" applyProtection="0">
      <alignment horizontal="center"/>
    </xf>
    <xf numFmtId="220" fontId="5" fillId="0" borderId="0"/>
    <xf numFmtId="220" fontId="145" fillId="0" borderId="0">
      <protection locked="0"/>
    </xf>
    <xf numFmtId="220" fontId="147" fillId="38" borderId="0" applyNumberFormat="0" applyBorder="0" applyAlignment="0" applyProtection="0">
      <alignment vertical="center"/>
    </xf>
    <xf numFmtId="220" fontId="5" fillId="0" borderId="0"/>
    <xf numFmtId="178" fontId="241" fillId="0" borderId="0" applyFill="0" applyBorder="0" applyProtection="0">
      <alignment horizontal="right"/>
    </xf>
    <xf numFmtId="220" fontId="5" fillId="0" borderId="0"/>
    <xf numFmtId="220" fontId="0" fillId="0" borderId="0"/>
    <xf numFmtId="201" fontId="75" fillId="0" borderId="0" applyFill="0" applyBorder="0" applyProtection="0">
      <alignment horizontal="right"/>
    </xf>
    <xf numFmtId="220" fontId="0" fillId="0" borderId="0"/>
    <xf numFmtId="220" fontId="145" fillId="0" borderId="0">
      <protection locked="0"/>
    </xf>
    <xf numFmtId="220" fontId="158" fillId="0" borderId="0" applyNumberFormat="0" applyBorder="0" applyAlignment="0" applyProtection="0">
      <alignment vertical="center"/>
    </xf>
    <xf numFmtId="184" fontId="75" fillId="0" borderId="0" applyFill="0" applyBorder="0" applyProtection="0">
      <alignment horizontal="right"/>
    </xf>
    <xf numFmtId="220" fontId="145" fillId="0" borderId="0">
      <protection locked="0"/>
    </xf>
    <xf numFmtId="220" fontId="145" fillId="0" borderId="0">
      <protection locked="0"/>
    </xf>
    <xf numFmtId="210" fontId="182" fillId="0" borderId="0" applyFont="0" applyFill="0" applyBorder="0" applyAlignment="0" applyProtection="0"/>
    <xf numFmtId="220" fontId="145" fillId="0" borderId="0"/>
    <xf numFmtId="220" fontId="5" fillId="0" borderId="0"/>
    <xf numFmtId="220" fontId="90" fillId="0" borderId="0">
      <protection locked="0"/>
    </xf>
    <xf numFmtId="220" fontId="145" fillId="0" borderId="0"/>
    <xf numFmtId="220" fontId="0" fillId="0" borderId="0"/>
    <xf numFmtId="191" fontId="163" fillId="0" borderId="0" applyFont="0" applyFill="0" applyBorder="0" applyAlignment="0" applyProtection="0"/>
    <xf numFmtId="43" fontId="145" fillId="0" borderId="0" applyFont="0" applyFill="0" applyBorder="0" applyAlignment="0" applyProtection="0"/>
    <xf numFmtId="220" fontId="236" fillId="0" borderId="0"/>
    <xf numFmtId="220" fontId="0" fillId="0" borderId="0"/>
    <xf numFmtId="220" fontId="163" fillId="93" borderId="0" applyNumberFormat="0" applyBorder="0" applyAlignment="0" applyProtection="0"/>
    <xf numFmtId="220" fontId="145" fillId="0" borderId="0"/>
    <xf numFmtId="220" fontId="139" fillId="45" borderId="0" applyNumberFormat="0" applyBorder="0" applyAlignment="0" applyProtection="0">
      <alignment vertical="center"/>
    </xf>
    <xf numFmtId="220" fontId="163" fillId="77" borderId="0" applyNumberFormat="0" applyBorder="0" applyAlignment="0" applyProtection="0"/>
    <xf numFmtId="220" fontId="139" fillId="0" borderId="0">
      <alignment vertical="center"/>
    </xf>
    <xf numFmtId="220" fontId="186" fillId="31" borderId="108" applyNumberFormat="0" applyProtection="0">
      <alignment vertical="center"/>
    </xf>
    <xf numFmtId="220" fontId="5" fillId="0" borderId="0"/>
    <xf numFmtId="37" fontId="28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xf numFmtId="220" fontId="190" fillId="47" borderId="0" applyNumberFormat="0" applyBorder="0" applyAlignment="0" applyProtection="0">
      <alignment vertical="center"/>
    </xf>
    <xf numFmtId="180" fontId="0" fillId="0" borderId="0" applyFont="0" applyFill="0" applyBorder="0" applyAlignment="0" applyProtection="0"/>
    <xf numFmtId="220" fontId="145" fillId="0" borderId="0"/>
    <xf numFmtId="220" fontId="139" fillId="0" borderId="0">
      <alignment vertical="center"/>
    </xf>
    <xf numFmtId="220" fontId="5" fillId="0" borderId="0"/>
    <xf numFmtId="220" fontId="139" fillId="63"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45" fillId="0" borderId="0"/>
    <xf numFmtId="220" fontId="5" fillId="0" borderId="0"/>
    <xf numFmtId="220" fontId="5" fillId="0" borderId="0"/>
    <xf numFmtId="43" fontId="0" fillId="0" borderId="0" applyFont="0" applyFill="0" applyBorder="0" applyAlignment="0" applyProtection="0"/>
    <xf numFmtId="220" fontId="146" fillId="0" borderId="0">
      <alignment vertical="top"/>
    </xf>
    <xf numFmtId="220" fontId="0" fillId="0" borderId="0"/>
    <xf numFmtId="220" fontId="5" fillId="0" borderId="0"/>
    <xf numFmtId="220" fontId="190" fillId="74" borderId="0" applyNumberFormat="0" applyBorder="0" applyAlignment="0" applyProtection="0">
      <alignment vertical="center"/>
    </xf>
    <xf numFmtId="220" fontId="147" fillId="38" borderId="0" applyNumberFormat="0" applyBorder="0" applyAlignment="0" applyProtection="0">
      <alignment vertical="center"/>
    </xf>
    <xf numFmtId="220" fontId="145" fillId="0" borderId="0"/>
    <xf numFmtId="220" fontId="163" fillId="42" borderId="0" applyNumberFormat="0" applyBorder="0" applyAlignment="0" applyProtection="0"/>
    <xf numFmtId="220" fontId="139" fillId="45" borderId="0" applyNumberFormat="0" applyBorder="0" applyAlignment="0" applyProtection="0">
      <alignment vertical="center"/>
    </xf>
    <xf numFmtId="220" fontId="145" fillId="0" borderId="0"/>
    <xf numFmtId="220" fontId="0" fillId="0" borderId="0"/>
    <xf numFmtId="220" fontId="152" fillId="29" borderId="0" applyNumberFormat="0" applyBorder="0" applyAlignment="0" applyProtection="0">
      <alignment vertical="center"/>
    </xf>
    <xf numFmtId="220" fontId="0" fillId="0" borderId="0"/>
    <xf numFmtId="220" fontId="5" fillId="0" borderId="0"/>
    <xf numFmtId="220" fontId="145" fillId="0" borderId="0"/>
    <xf numFmtId="220" fontId="152" fillId="74" borderId="0" applyNumberFormat="0" applyBorder="0" applyAlignment="0" applyProtection="0">
      <alignment vertical="center"/>
    </xf>
    <xf numFmtId="220" fontId="145" fillId="0" borderId="0"/>
    <xf numFmtId="220" fontId="152" fillId="47" borderId="0" applyNumberFormat="0" applyBorder="0" applyAlignment="0" applyProtection="0">
      <alignment vertical="center"/>
    </xf>
    <xf numFmtId="220" fontId="139" fillId="45" borderId="0" applyNumberFormat="0" applyBorder="0" applyAlignment="0" applyProtection="0">
      <alignment vertical="center"/>
    </xf>
    <xf numFmtId="220" fontId="5" fillId="0" borderId="0"/>
    <xf numFmtId="220" fontId="145" fillId="0" borderId="0"/>
    <xf numFmtId="220" fontId="161" fillId="64" borderId="0" applyNumberFormat="0" applyBorder="0" applyAlignment="0" applyProtection="0">
      <alignment vertical="center"/>
    </xf>
    <xf numFmtId="220" fontId="145" fillId="0" borderId="0"/>
    <xf numFmtId="220" fontId="152" fillId="42" borderId="0" applyNumberFormat="0" applyBorder="0" applyAlignment="0" applyProtection="0">
      <alignment vertical="center"/>
    </xf>
    <xf numFmtId="220" fontId="145" fillId="0" borderId="0" applyBorder="0">
      <protection locked="0"/>
    </xf>
    <xf numFmtId="220" fontId="147" fillId="42" borderId="0" applyNumberFormat="0" applyBorder="0" applyAlignment="0" applyProtection="0">
      <alignment vertical="center"/>
    </xf>
    <xf numFmtId="220" fontId="145" fillId="0" borderId="0"/>
    <xf numFmtId="220" fontId="145" fillId="0" borderId="0">
      <protection locked="0"/>
    </xf>
    <xf numFmtId="220" fontId="147" fillId="38" borderId="0" applyNumberFormat="0" applyBorder="0" applyAlignment="0" applyProtection="0">
      <alignment vertical="center"/>
    </xf>
    <xf numFmtId="220" fontId="152" fillId="80" borderId="0" applyNumberFormat="0" applyBorder="0" applyAlignment="0" applyProtection="0">
      <alignment vertical="center"/>
    </xf>
    <xf numFmtId="220" fontId="145" fillId="0" borderId="0"/>
    <xf numFmtId="220" fontId="5" fillId="0" borderId="0"/>
    <xf numFmtId="220" fontId="55" fillId="106" borderId="0" applyNumberFormat="0" applyBorder="0" applyAlignment="0" applyProtection="0"/>
    <xf numFmtId="220" fontId="0" fillId="0" borderId="0"/>
    <xf numFmtId="220" fontId="145" fillId="0" borderId="0"/>
    <xf numFmtId="220" fontId="152" fillId="77" borderId="0" applyNumberFormat="0" applyBorder="0" applyAlignment="0" applyProtection="0">
      <alignment vertical="center"/>
    </xf>
    <xf numFmtId="220" fontId="145" fillId="0" borderId="0"/>
    <xf numFmtId="220" fontId="152" fillId="77" borderId="0" applyNumberFormat="0" applyBorder="0" applyAlignment="0" applyProtection="0">
      <alignment vertical="center"/>
    </xf>
    <xf numFmtId="9" fontId="0" fillId="0" borderId="0" applyFont="0" applyFill="0" applyBorder="0" applyAlignment="0" applyProtection="0"/>
    <xf numFmtId="220" fontId="0" fillId="0" borderId="0"/>
    <xf numFmtId="220" fontId="145" fillId="0" borderId="0"/>
    <xf numFmtId="220" fontId="152" fillId="47"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5" fillId="0" borderId="0"/>
    <xf numFmtId="220" fontId="152" fillId="77" borderId="0" applyNumberFormat="0" applyBorder="0" applyAlignment="0" applyProtection="0">
      <alignment vertical="center"/>
    </xf>
    <xf numFmtId="220" fontId="0" fillId="0" borderId="0"/>
    <xf numFmtId="220" fontId="145" fillId="0" borderId="0"/>
    <xf numFmtId="220" fontId="90" fillId="0" borderId="0"/>
    <xf numFmtId="220" fontId="145" fillId="0" borderId="0"/>
    <xf numFmtId="220" fontId="5" fillId="0" borderId="0"/>
    <xf numFmtId="220" fontId="5" fillId="0" borderId="0"/>
    <xf numFmtId="220" fontId="145" fillId="0" borderId="0">
      <protection locked="0"/>
    </xf>
    <xf numFmtId="220" fontId="5" fillId="0" borderId="0"/>
    <xf numFmtId="220" fontId="161" fillId="54" borderId="0" applyNumberFormat="0" applyBorder="0" applyAlignment="0" applyProtection="0">
      <alignment vertical="center"/>
    </xf>
    <xf numFmtId="220" fontId="147" fillId="38" borderId="0" applyNumberFormat="0" applyBorder="0" applyAlignment="0" applyProtection="0">
      <alignment vertical="center"/>
    </xf>
    <xf numFmtId="220" fontId="145" fillId="0" borderId="0">
      <protection locked="0"/>
    </xf>
    <xf numFmtId="220" fontId="5" fillId="0" borderId="0"/>
    <xf numFmtId="220" fontId="5" fillId="0" borderId="0"/>
    <xf numFmtId="220" fontId="145" fillId="0" borderId="0">
      <protection locked="0"/>
    </xf>
    <xf numFmtId="220" fontId="262" fillId="0" borderId="133" applyNumberFormat="0" applyFill="0" applyAlignment="0" applyProtection="0">
      <alignment vertical="center"/>
    </xf>
    <xf numFmtId="220" fontId="151" fillId="0" borderId="0"/>
    <xf numFmtId="220" fontId="5" fillId="0" borderId="0"/>
    <xf numFmtId="197" fontId="90" fillId="0" borderId="0" applyFont="0" applyFill="0" applyBorder="0" applyAlignment="0" applyProtection="0"/>
    <xf numFmtId="220" fontId="0" fillId="0" borderId="0"/>
    <xf numFmtId="220" fontId="90" fillId="0" borderId="0"/>
    <xf numFmtId="220" fontId="5" fillId="0" borderId="0"/>
    <xf numFmtId="238" fontId="90" fillId="0" borderId="0" applyFont="0" applyFill="0" applyBorder="0" applyAlignment="0" applyProtection="0"/>
    <xf numFmtId="220" fontId="145" fillId="0" borderId="0"/>
    <xf numFmtId="220" fontId="152" fillId="44" borderId="0" applyNumberFormat="0" applyBorder="0" applyAlignment="0" applyProtection="0">
      <alignment vertical="center"/>
    </xf>
    <xf numFmtId="220" fontId="5" fillId="0" borderId="0"/>
    <xf numFmtId="220" fontId="163" fillId="44" borderId="0" applyNumberFormat="0" applyBorder="0" applyAlignment="0" applyProtection="0"/>
    <xf numFmtId="220" fontId="145" fillId="0" borderId="0"/>
    <xf numFmtId="220" fontId="5" fillId="0" borderId="0"/>
    <xf numFmtId="220" fontId="163" fillId="44" borderId="0" applyNumberFormat="0" applyBorder="0" applyAlignment="0" applyProtection="0"/>
    <xf numFmtId="220" fontId="145" fillId="0" borderId="0" applyNumberFormat="0" applyFill="0" applyBorder="0" applyAlignment="0" applyProtection="0"/>
    <xf numFmtId="220" fontId="5" fillId="0" borderId="0"/>
    <xf numFmtId="220" fontId="145" fillId="0" borderId="0">
      <protection locked="0"/>
    </xf>
    <xf numFmtId="220" fontId="0" fillId="0" borderId="0"/>
    <xf numFmtId="220" fontId="163" fillId="35" borderId="0" applyNumberFormat="0" applyBorder="0" applyAlignment="0" applyProtection="0"/>
    <xf numFmtId="220" fontId="145" fillId="0" borderId="0">
      <protection locked="0"/>
    </xf>
    <xf numFmtId="220" fontId="5" fillId="0" borderId="0"/>
    <xf numFmtId="220" fontId="190" fillId="44" borderId="0" applyNumberFormat="0" applyBorder="0" applyAlignment="0" applyProtection="0">
      <alignment vertical="center"/>
    </xf>
    <xf numFmtId="180" fontId="0" fillId="0" borderId="0" applyFont="0" applyFill="0" applyBorder="0" applyAlignment="0" applyProtection="0"/>
    <xf numFmtId="220" fontId="0" fillId="0" borderId="0"/>
    <xf numFmtId="220" fontId="152" fillId="0" borderId="0">
      <alignment vertical="center"/>
    </xf>
    <xf numFmtId="220" fontId="5" fillId="0" borderId="0"/>
    <xf numFmtId="220" fontId="90" fillId="0" borderId="0"/>
    <xf numFmtId="43" fontId="145" fillId="0" borderId="0" applyFont="0" applyFill="0" applyBorder="0" applyAlignment="0" applyProtection="0"/>
    <xf numFmtId="220" fontId="90" fillId="0" borderId="0"/>
    <xf numFmtId="220" fontId="0" fillId="0" borderId="0"/>
    <xf numFmtId="220" fontId="5" fillId="0" borderId="0"/>
    <xf numFmtId="220" fontId="190" fillId="93"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6" fillId="0" borderId="0">
      <alignment vertical="top"/>
    </xf>
    <xf numFmtId="220" fontId="5" fillId="0" borderId="0"/>
    <xf numFmtId="220" fontId="181" fillId="0" borderId="0">
      <protection locked="0"/>
    </xf>
    <xf numFmtId="220" fontId="181"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90" fillId="0" borderId="0"/>
    <xf numFmtId="220" fontId="151" fillId="0" borderId="0"/>
    <xf numFmtId="220" fontId="90" fillId="0" borderId="0"/>
    <xf numFmtId="220" fontId="5" fillId="0" borderId="0"/>
    <xf numFmtId="220" fontId="166" fillId="48" borderId="0" applyNumberFormat="0" applyBorder="0" applyAlignment="0" applyProtection="0">
      <alignment vertical="center"/>
    </xf>
    <xf numFmtId="220" fontId="90" fillId="0" borderId="0"/>
    <xf numFmtId="220" fontId="5" fillId="0" borderId="0"/>
    <xf numFmtId="220" fontId="190" fillId="44" borderId="0" applyNumberFormat="0" applyBorder="0" applyAlignment="0" applyProtection="0">
      <alignment vertical="center"/>
    </xf>
    <xf numFmtId="220" fontId="145" fillId="0" borderId="0"/>
    <xf numFmtId="220" fontId="5" fillId="0" borderId="0"/>
    <xf numFmtId="220" fontId="5" fillId="0" borderId="0"/>
    <xf numFmtId="220" fontId="190" fillId="35" borderId="0" applyNumberFormat="0" applyBorder="0" applyAlignment="0" applyProtection="0">
      <alignment vertical="center"/>
    </xf>
    <xf numFmtId="220" fontId="152" fillId="44" borderId="0" applyNumberFormat="0" applyBorder="0" applyAlignment="0" applyProtection="0">
      <alignment vertical="center"/>
    </xf>
    <xf numFmtId="220" fontId="146" fillId="0" borderId="0">
      <alignment vertical="top"/>
    </xf>
    <xf numFmtId="220" fontId="5" fillId="0" borderId="0"/>
    <xf numFmtId="220" fontId="0" fillId="0" borderId="0"/>
    <xf numFmtId="220" fontId="152" fillId="44" borderId="0" applyNumberFormat="0" applyBorder="0" applyAlignment="0" applyProtection="0">
      <alignment vertical="center"/>
    </xf>
    <xf numFmtId="220" fontId="0" fillId="0" borderId="0"/>
    <xf numFmtId="220" fontId="5" fillId="0" borderId="0"/>
    <xf numFmtId="220" fontId="5" fillId="0" borderId="0"/>
    <xf numFmtId="220" fontId="152" fillId="54" borderId="0" applyNumberFormat="0" applyBorder="0" applyAlignment="0" applyProtection="0">
      <alignment vertical="center"/>
    </xf>
    <xf numFmtId="220" fontId="147" fillId="42" borderId="0" applyNumberFormat="0" applyBorder="0" applyAlignment="0" applyProtection="0">
      <alignment vertical="center"/>
    </xf>
    <xf numFmtId="220" fontId="161" fillId="53" borderId="0" applyNumberFormat="0" applyBorder="0" applyAlignment="0" applyProtection="0">
      <alignment vertical="center"/>
    </xf>
    <xf numFmtId="220" fontId="151" fillId="0" borderId="0"/>
    <xf numFmtId="220" fontId="142" fillId="38" borderId="0" applyNumberFormat="0" applyBorder="0" applyAlignment="0" applyProtection="0">
      <alignment vertical="center"/>
    </xf>
    <xf numFmtId="220" fontId="151" fillId="0" borderId="0"/>
    <xf numFmtId="220" fontId="150" fillId="35" borderId="0" applyNumberFormat="0" applyBorder="0" applyAlignment="0" applyProtection="0">
      <alignment vertical="center"/>
    </xf>
    <xf numFmtId="220" fontId="145" fillId="0" borderId="0">
      <protection locked="0"/>
    </xf>
    <xf numFmtId="220" fontId="151" fillId="0" borderId="0"/>
    <xf numFmtId="220" fontId="147" fillId="42" borderId="0" applyNumberFormat="0" applyBorder="0" applyAlignment="0" applyProtection="0">
      <alignment vertical="center"/>
    </xf>
    <xf numFmtId="220" fontId="152" fillId="44" borderId="0" applyNumberFormat="0" applyBorder="0" applyAlignment="0" applyProtection="0">
      <alignment vertical="center"/>
    </xf>
    <xf numFmtId="220" fontId="5" fillId="0" borderId="0"/>
    <xf numFmtId="220" fontId="152" fillId="54" borderId="0" applyNumberFormat="0" applyBorder="0" applyAlignment="0" applyProtection="0">
      <alignment vertical="center"/>
    </xf>
    <xf numFmtId="220" fontId="90" fillId="0" borderId="0"/>
    <xf numFmtId="220" fontId="145" fillId="0" borderId="0" applyNumberFormat="0" applyFill="0" applyBorder="0" applyAlignment="0" applyProtection="0"/>
    <xf numFmtId="220" fontId="152" fillId="74" borderId="0" applyNumberFormat="0" applyBorder="0" applyAlignment="0" applyProtection="0">
      <alignment vertical="center"/>
    </xf>
    <xf numFmtId="220" fontId="145" fillId="0" borderId="0">
      <protection locked="0"/>
    </xf>
    <xf numFmtId="211" fontId="0" fillId="0" borderId="0" applyFont="0" applyFill="0" applyBorder="0" applyAlignment="0" applyProtection="0"/>
    <xf numFmtId="220" fontId="147" fillId="42" borderId="0" applyNumberFormat="0" applyBorder="0" applyAlignment="0" applyProtection="0">
      <alignment vertical="center"/>
    </xf>
    <xf numFmtId="220" fontId="5" fillId="0" borderId="0"/>
    <xf numFmtId="220" fontId="152" fillId="74" borderId="0" applyNumberFormat="0" applyBorder="0" applyAlignment="0" applyProtection="0">
      <alignment vertical="center"/>
    </xf>
    <xf numFmtId="220" fontId="252" fillId="0" borderId="0" applyFont="0" applyFill="0" applyBorder="0" applyAlignment="0" applyProtection="0"/>
    <xf numFmtId="220" fontId="0" fillId="0" borderId="0"/>
    <xf numFmtId="220" fontId="145" fillId="95" borderId="108" applyNumberFormat="0" applyProtection="0">
      <alignment horizontal="left" vertical="center" indent="1"/>
    </xf>
    <xf numFmtId="220" fontId="145" fillId="0" borderId="0">
      <protection locked="0"/>
    </xf>
    <xf numFmtId="220" fontId="147" fillId="42" borderId="0" applyNumberFormat="0" applyBorder="0" applyAlignment="0" applyProtection="0">
      <alignment vertical="center"/>
    </xf>
    <xf numFmtId="220" fontId="152" fillId="44"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xf numFmtId="220" fontId="152" fillId="74" borderId="0" applyNumberFormat="0" applyBorder="0" applyAlignment="0" applyProtection="0">
      <alignment vertical="center"/>
    </xf>
    <xf numFmtId="220" fontId="152" fillId="35" borderId="0" applyNumberFormat="0" applyBorder="0" applyAlignment="0" applyProtection="0">
      <alignment vertical="center"/>
    </xf>
    <xf numFmtId="220" fontId="145" fillId="0" borderId="0"/>
    <xf numFmtId="220" fontId="220" fillId="97" borderId="0" applyNumberFormat="0" applyBorder="0" applyAlignment="0" applyProtection="0"/>
    <xf numFmtId="220" fontId="90" fillId="0" borderId="0">
      <protection locked="0"/>
    </xf>
    <xf numFmtId="220" fontId="0" fillId="0" borderId="0"/>
    <xf numFmtId="220" fontId="0" fillId="0" borderId="0"/>
    <xf numFmtId="220" fontId="151" fillId="0" borderId="0"/>
    <xf numFmtId="220" fontId="151" fillId="0" borderId="0"/>
    <xf numFmtId="220" fontId="5" fillId="0" borderId="0"/>
    <xf numFmtId="220" fontId="5" fillId="0" borderId="0"/>
    <xf numFmtId="180" fontId="0" fillId="0" borderId="0" applyFont="0" applyFill="0" applyBorder="0" applyAlignment="0" applyProtection="0"/>
    <xf numFmtId="220" fontId="151" fillId="0" borderId="0"/>
    <xf numFmtId="220" fontId="0" fillId="0" borderId="0"/>
    <xf numFmtId="209" fontId="219" fillId="0" borderId="0" applyFont="0" applyFill="0" applyBorder="0" applyAlignment="0" applyProtection="0"/>
    <xf numFmtId="220" fontId="157" fillId="47" borderId="0" applyNumberFormat="0" applyBorder="0" applyAlignment="0" applyProtection="0">
      <alignment vertical="center"/>
    </xf>
    <xf numFmtId="220" fontId="151" fillId="0" borderId="0"/>
    <xf numFmtId="198" fontId="152" fillId="0" borderId="0" applyFont="0" applyFill="0" applyBorder="0" applyAlignment="0" applyProtection="0"/>
    <xf numFmtId="220" fontId="5" fillId="0" borderId="0"/>
    <xf numFmtId="220" fontId="161" fillId="53" borderId="0" applyNumberFormat="0" applyBorder="0" applyAlignment="0" applyProtection="0">
      <alignment vertical="center"/>
    </xf>
    <xf numFmtId="220" fontId="151" fillId="0" borderId="0"/>
    <xf numFmtId="220" fontId="5" fillId="0" borderId="0"/>
    <xf numFmtId="220" fontId="0" fillId="0" borderId="0"/>
    <xf numFmtId="220" fontId="0" fillId="0" borderId="0"/>
    <xf numFmtId="220" fontId="151" fillId="0" borderId="0"/>
    <xf numFmtId="220" fontId="0" fillId="0" borderId="0"/>
    <xf numFmtId="220" fontId="151" fillId="0" borderId="0"/>
    <xf numFmtId="220" fontId="0" fillId="0" borderId="0"/>
    <xf numFmtId="220" fontId="151" fillId="0" borderId="0"/>
    <xf numFmtId="220" fontId="5" fillId="0" borderId="0"/>
    <xf numFmtId="220" fontId="146" fillId="0" borderId="0">
      <alignment vertical="top"/>
    </xf>
    <xf numFmtId="220" fontId="146" fillId="0" borderId="0">
      <alignment vertical="top"/>
    </xf>
    <xf numFmtId="220" fontId="5" fillId="0" borderId="0"/>
    <xf numFmtId="220" fontId="146" fillId="0" borderId="0">
      <alignment vertical="top"/>
    </xf>
    <xf numFmtId="220" fontId="146" fillId="0" borderId="0">
      <alignment vertical="top"/>
    </xf>
    <xf numFmtId="220" fontId="147" fillId="38" borderId="0" applyNumberFormat="0" applyBorder="0" applyAlignment="0" applyProtection="0">
      <alignment vertical="center"/>
    </xf>
    <xf numFmtId="220" fontId="0" fillId="0" borderId="0"/>
    <xf numFmtId="220" fontId="165" fillId="115" borderId="0"/>
    <xf numFmtId="220" fontId="5" fillId="0" borderId="0"/>
    <xf numFmtId="220" fontId="146" fillId="0" borderId="0">
      <alignment vertical="top"/>
    </xf>
    <xf numFmtId="220" fontId="146" fillId="0" borderId="0">
      <alignment vertical="top"/>
    </xf>
    <xf numFmtId="220" fontId="5" fillId="0" borderId="0"/>
    <xf numFmtId="220" fontId="5" fillId="0" borderId="0"/>
    <xf numFmtId="220" fontId="5" fillId="0" borderId="0"/>
    <xf numFmtId="220" fontId="5" fillId="0" borderId="0"/>
    <xf numFmtId="220" fontId="146" fillId="0" borderId="0">
      <alignment vertical="top"/>
    </xf>
    <xf numFmtId="220" fontId="5" fillId="0" borderId="0"/>
    <xf numFmtId="220" fontId="146" fillId="0" borderId="0">
      <alignment vertical="top"/>
    </xf>
    <xf numFmtId="220" fontId="146" fillId="0" borderId="0">
      <alignment vertical="top"/>
    </xf>
    <xf numFmtId="220" fontId="5" fillId="0" borderId="0"/>
    <xf numFmtId="220" fontId="146" fillId="0" borderId="0">
      <alignment vertical="top"/>
    </xf>
    <xf numFmtId="220" fontId="147" fillId="38" borderId="0" applyNumberFormat="0" applyBorder="0" applyAlignment="0" applyProtection="0">
      <alignment vertical="center"/>
    </xf>
    <xf numFmtId="211" fontId="0" fillId="0" borderId="0" applyFont="0" applyFill="0" applyBorder="0" applyAlignment="0" applyProtection="0"/>
    <xf numFmtId="220" fontId="147" fillId="42" borderId="0" applyNumberFormat="0" applyBorder="0" applyAlignment="0" applyProtection="0">
      <alignment vertical="center"/>
    </xf>
    <xf numFmtId="220" fontId="139" fillId="0" borderId="0">
      <alignment vertical="center"/>
    </xf>
    <xf numFmtId="220" fontId="0" fillId="0" borderId="0"/>
    <xf numFmtId="220" fontId="150" fillId="35" borderId="0" applyNumberFormat="0" applyBorder="0" applyAlignment="0" applyProtection="0">
      <alignment vertical="center"/>
    </xf>
    <xf numFmtId="220" fontId="146" fillId="0" borderId="0">
      <alignment vertical="top"/>
    </xf>
    <xf numFmtId="220" fontId="147" fillId="42" borderId="0" applyNumberFormat="0" applyBorder="0" applyAlignment="0" applyProtection="0">
      <alignment vertical="center"/>
    </xf>
    <xf numFmtId="220" fontId="146" fillId="0" borderId="0">
      <alignment vertical="top"/>
    </xf>
    <xf numFmtId="220" fontId="5" fillId="0" borderId="0"/>
    <xf numFmtId="220" fontId="146" fillId="0" borderId="0">
      <alignment vertical="top"/>
    </xf>
    <xf numFmtId="220" fontId="5" fillId="0" borderId="0"/>
    <xf numFmtId="220" fontId="146" fillId="0" borderId="0">
      <alignment vertical="top"/>
    </xf>
    <xf numFmtId="220" fontId="142" fillId="38" borderId="0" applyNumberFormat="0" applyBorder="0" applyAlignment="0" applyProtection="0">
      <alignment vertical="center"/>
    </xf>
    <xf numFmtId="220" fontId="5" fillId="0" borderId="0"/>
    <xf numFmtId="220" fontId="146" fillId="0" borderId="0">
      <alignment vertical="top"/>
    </xf>
    <xf numFmtId="220" fontId="146" fillId="0" borderId="0">
      <alignment vertical="top"/>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139" fillId="57" borderId="0" applyNumberFormat="0" applyBorder="0" applyAlignment="0" applyProtection="0">
      <alignment vertical="center"/>
    </xf>
    <xf numFmtId="220" fontId="146" fillId="0" borderId="0">
      <alignment vertical="top"/>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191" fontId="145" fillId="0" borderId="0" applyFont="0" applyFill="0" applyBorder="0" applyAlignment="0" applyProtection="0"/>
    <xf numFmtId="220" fontId="139" fillId="48" borderId="0" applyNumberFormat="0" applyBorder="0" applyAlignment="0" applyProtection="0">
      <alignment vertical="center"/>
    </xf>
    <xf numFmtId="220" fontId="146" fillId="0" borderId="0">
      <alignment vertical="top"/>
    </xf>
    <xf numFmtId="220" fontId="0" fillId="0" borderId="0">
      <alignment vertical="center"/>
    </xf>
    <xf numFmtId="220" fontId="146" fillId="0" borderId="0">
      <alignment vertical="top"/>
    </xf>
    <xf numFmtId="220" fontId="5" fillId="0" borderId="0"/>
    <xf numFmtId="220" fontId="0" fillId="0" borderId="0"/>
    <xf numFmtId="220" fontId="146" fillId="0" borderId="0">
      <alignment vertical="top"/>
    </xf>
    <xf numFmtId="220" fontId="5" fillId="0" borderId="0"/>
    <xf numFmtId="220" fontId="146" fillId="0" borderId="0">
      <alignment vertical="top"/>
    </xf>
    <xf numFmtId="220" fontId="5" fillId="0" borderId="0"/>
    <xf numFmtId="220" fontId="146" fillId="0" borderId="0">
      <alignment vertical="top"/>
    </xf>
    <xf numFmtId="220" fontId="146" fillId="0" borderId="0">
      <alignment vertical="top"/>
    </xf>
    <xf numFmtId="220" fontId="146" fillId="0" borderId="0">
      <alignment vertical="top"/>
    </xf>
    <xf numFmtId="220" fontId="146" fillId="0" borderId="0">
      <alignment vertical="top"/>
    </xf>
    <xf numFmtId="220" fontId="151" fillId="0" borderId="0"/>
    <xf numFmtId="220" fontId="5" fillId="0" borderId="0"/>
    <xf numFmtId="220" fontId="5" fillId="0" borderId="0"/>
    <xf numFmtId="220" fontId="220" fillId="98" borderId="0" applyNumberFormat="0" applyBorder="0" applyAlignment="0" applyProtection="0"/>
    <xf numFmtId="220" fontId="5" fillId="0" borderId="0"/>
    <xf numFmtId="220" fontId="139" fillId="45" borderId="0" applyNumberFormat="0" applyBorder="0" applyAlignment="0" applyProtection="0">
      <alignment vertical="center"/>
    </xf>
    <xf numFmtId="220" fontId="149" fillId="0" borderId="0">
      <protection locked="0"/>
    </xf>
    <xf numFmtId="220" fontId="145" fillId="0" borderId="0"/>
    <xf numFmtId="220" fontId="5" fillId="0" borderId="0"/>
    <xf numFmtId="198" fontId="0" fillId="0" borderId="0"/>
    <xf numFmtId="220" fontId="147" fillId="38" borderId="0" applyNumberFormat="0" applyBorder="0" applyAlignment="0" applyProtection="0">
      <alignment vertical="center"/>
    </xf>
    <xf numFmtId="220" fontId="145" fillId="0" borderId="0"/>
    <xf numFmtId="220" fontId="5" fillId="0" borderId="0"/>
    <xf numFmtId="220" fontId="166" fillId="54" borderId="0" applyNumberFormat="0" applyBorder="0" applyAlignment="0" applyProtection="0">
      <alignment vertical="center"/>
    </xf>
    <xf numFmtId="220" fontId="145" fillId="0" borderId="0"/>
    <xf numFmtId="220" fontId="150" fillId="35" borderId="0" applyNumberFormat="0" applyBorder="0" applyAlignment="0" applyProtection="0">
      <alignment vertical="center"/>
    </xf>
    <xf numFmtId="220" fontId="145" fillId="0" borderId="0"/>
    <xf numFmtId="220" fontId="145" fillId="0" borderId="0">
      <protection locked="0"/>
    </xf>
    <xf numFmtId="220" fontId="146" fillId="0" borderId="0">
      <alignment vertical="top"/>
    </xf>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66" fillId="64" borderId="0" applyNumberFormat="0" applyBorder="0" applyAlignment="0" applyProtection="0">
      <alignment vertical="center"/>
    </xf>
    <xf numFmtId="220" fontId="158" fillId="0" borderId="0" applyNumberFormat="0" applyBorder="0" applyAlignment="0" applyProtection="0">
      <alignment vertical="center"/>
    </xf>
    <xf numFmtId="220" fontId="145" fillId="0" borderId="0">
      <protection locked="0"/>
    </xf>
    <xf numFmtId="220" fontId="152" fillId="60"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90" fillId="77"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161" fillId="97" borderId="0" applyNumberFormat="0" applyBorder="0" applyAlignment="0" applyProtection="0">
      <alignment vertical="center"/>
    </xf>
    <xf numFmtId="198" fontId="152" fillId="0" borderId="0" applyFont="0" applyFill="0" applyBorder="0" applyAlignment="0" applyProtection="0"/>
    <xf numFmtId="220" fontId="149" fillId="0" borderId="0">
      <protection locked="0"/>
    </xf>
    <xf numFmtId="220" fontId="161" fillId="54" borderId="0" applyNumberFormat="0" applyBorder="0" applyAlignment="0" applyProtection="0">
      <alignment vertical="center"/>
    </xf>
    <xf numFmtId="220" fontId="0" fillId="0" borderId="0"/>
    <xf numFmtId="220" fontId="161" fillId="54" borderId="0" applyNumberFormat="0" applyBorder="0" applyAlignment="0" applyProtection="0">
      <alignment vertical="center"/>
    </xf>
    <xf numFmtId="220" fontId="5" fillId="0" borderId="0"/>
    <xf numFmtId="220" fontId="5" fillId="0" borderId="0"/>
    <xf numFmtId="220" fontId="5" fillId="0" borderId="0"/>
    <xf numFmtId="191" fontId="163" fillId="0" borderId="0" applyFont="0" applyFill="0" applyBorder="0" applyAlignment="0" applyProtection="0"/>
    <xf numFmtId="220" fontId="161" fillId="93" borderId="0" applyNumberFormat="0" applyBorder="0" applyAlignment="0" applyProtection="0">
      <alignment vertical="center"/>
    </xf>
    <xf numFmtId="220" fontId="0" fillId="0" borderId="0"/>
    <xf numFmtId="43" fontId="0" fillId="0" borderId="0" applyFont="0" applyFill="0" applyBorder="0" applyAlignment="0" applyProtection="0"/>
    <xf numFmtId="220" fontId="5" fillId="0" borderId="0"/>
    <xf numFmtId="220" fontId="5" fillId="0" borderId="0"/>
    <xf numFmtId="220" fontId="161" fillId="93" borderId="0" applyNumberFormat="0" applyBorder="0" applyAlignment="0" applyProtection="0">
      <alignment vertical="center"/>
    </xf>
    <xf numFmtId="220" fontId="150" fillId="35" borderId="0" applyNumberFormat="0" applyBorder="0" applyAlignment="0" applyProtection="0">
      <alignment vertical="center"/>
    </xf>
    <xf numFmtId="220" fontId="161" fillId="9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6" fillId="0" borderId="0">
      <alignment vertical="top"/>
    </xf>
    <xf numFmtId="220" fontId="5" fillId="0" borderId="0"/>
    <xf numFmtId="220" fontId="5" fillId="0" borderId="0"/>
    <xf numFmtId="220" fontId="161" fillId="64" borderId="0" applyNumberFormat="0" applyBorder="0" applyAlignment="0" applyProtection="0">
      <alignment vertical="center"/>
    </xf>
    <xf numFmtId="220" fontId="146" fillId="0" borderId="0">
      <alignment vertical="top"/>
    </xf>
    <xf numFmtId="220" fontId="139" fillId="0" borderId="0">
      <alignment vertical="center"/>
    </xf>
    <xf numFmtId="220" fontId="145" fillId="0" borderId="0"/>
    <xf numFmtId="220" fontId="145" fillId="0" borderId="0" applyNumberFormat="0" applyFill="0" applyBorder="0" applyAlignment="0" applyProtection="0"/>
    <xf numFmtId="220" fontId="161" fillId="53" borderId="0" applyNumberFormat="0" applyBorder="0" applyAlignment="0" applyProtection="0">
      <alignment vertical="center"/>
    </xf>
    <xf numFmtId="220" fontId="151" fillId="0" borderId="0">
      <protection locked="0"/>
    </xf>
    <xf numFmtId="220" fontId="5" fillId="0" borderId="0"/>
    <xf numFmtId="220" fontId="181" fillId="0" borderId="0"/>
    <xf numFmtId="220" fontId="90" fillId="0" borderId="0"/>
    <xf numFmtId="220" fontId="5" fillId="0" borderId="0"/>
    <xf numFmtId="220" fontId="151" fillId="0" borderId="0"/>
    <xf numFmtId="220" fontId="147" fillId="38" borderId="0" applyNumberFormat="0" applyBorder="0" applyAlignment="0" applyProtection="0">
      <alignment vertical="center"/>
    </xf>
    <xf numFmtId="220" fontId="139" fillId="19" borderId="0" applyNumberFormat="0" applyBorder="0" applyAlignment="0" applyProtection="0">
      <alignment vertical="center"/>
    </xf>
    <xf numFmtId="220" fontId="151" fillId="0" borderId="0"/>
    <xf numFmtId="220" fontId="151" fillId="0" borderId="0"/>
    <xf numFmtId="220" fontId="152" fillId="44" borderId="0" applyNumberFormat="0" applyBorder="0" applyAlignment="0" applyProtection="0">
      <alignment vertical="center"/>
    </xf>
    <xf numFmtId="220" fontId="152" fillId="74" borderId="0" applyNumberFormat="0" applyBorder="0" applyAlignment="0" applyProtection="0">
      <alignment vertical="center"/>
    </xf>
    <xf numFmtId="220" fontId="90" fillId="0" borderId="0"/>
    <xf numFmtId="220" fontId="0" fillId="0" borderId="0"/>
    <xf numFmtId="220" fontId="5" fillId="0" borderId="0"/>
    <xf numFmtId="220" fontId="145" fillId="0" borderId="0">
      <protection locked="0"/>
    </xf>
    <xf numFmtId="220" fontId="5" fillId="0" borderId="0"/>
    <xf numFmtId="220" fontId="90" fillId="0" borderId="0"/>
    <xf numFmtId="220" fontId="0" fillId="0" borderId="0"/>
    <xf numFmtId="220" fontId="90" fillId="0" borderId="0"/>
    <xf numFmtId="220" fontId="145" fillId="0" borderId="0">
      <protection locked="0"/>
    </xf>
    <xf numFmtId="220" fontId="90" fillId="0" borderId="0"/>
    <xf numFmtId="220" fontId="90" fillId="0" borderId="0"/>
    <xf numFmtId="220" fontId="0" fillId="0" borderId="0"/>
    <xf numFmtId="220" fontId="5" fillId="0" borderId="0"/>
    <xf numFmtId="220" fontId="145" fillId="0" borderId="0">
      <protection locked="0"/>
    </xf>
    <xf numFmtId="220" fontId="0" fillId="0" borderId="0"/>
    <xf numFmtId="220" fontId="181" fillId="0" borderId="0"/>
    <xf numFmtId="220" fontId="5" fillId="0" borderId="0"/>
    <xf numFmtId="220" fontId="142" fillId="38"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179" fillId="44" borderId="0" applyNumberFormat="0" applyBorder="0" applyAlignment="0" applyProtection="0"/>
    <xf numFmtId="220" fontId="0" fillId="0" borderId="0"/>
    <xf numFmtId="220" fontId="181" fillId="0" borderId="0"/>
    <xf numFmtId="191" fontId="163" fillId="0" borderId="0" applyFont="0" applyFill="0" applyBorder="0" applyAlignment="0" applyProtection="0"/>
    <xf numFmtId="220" fontId="157" fillId="47" borderId="0" applyNumberFormat="0" applyBorder="0" applyAlignment="0" applyProtection="0">
      <alignment vertical="center"/>
    </xf>
    <xf numFmtId="220" fontId="145" fillId="0" borderId="0">
      <protection locked="0"/>
    </xf>
    <xf numFmtId="220" fontId="5" fillId="0" borderId="0"/>
    <xf numFmtId="220" fontId="5" fillId="0" borderId="0"/>
    <xf numFmtId="220" fontId="0" fillId="0" borderId="0">
      <alignment vertical="center"/>
    </xf>
    <xf numFmtId="220" fontId="0" fillId="0" borderId="0">
      <alignment vertical="center"/>
    </xf>
    <xf numFmtId="220" fontId="145" fillId="0" borderId="0">
      <protection locked="0"/>
    </xf>
    <xf numFmtId="220" fontId="35" fillId="79" borderId="0" applyNumberFormat="0" applyBorder="0" applyAlignment="0" applyProtection="0"/>
    <xf numFmtId="220" fontId="185" fillId="102" borderId="0" applyNumberFormat="0" applyBorder="0" applyAlignment="0" applyProtection="0"/>
    <xf numFmtId="220" fontId="0" fillId="0" borderId="0"/>
    <xf numFmtId="220" fontId="158" fillId="81" borderId="0" applyNumberFormat="0" applyBorder="0" applyAlignment="0" applyProtection="0"/>
    <xf numFmtId="220" fontId="90" fillId="0" borderId="0"/>
    <xf numFmtId="220" fontId="148" fillId="54" borderId="0" applyNumberFormat="0" applyBorder="0" applyAlignment="0" applyProtection="0">
      <alignment vertical="center"/>
    </xf>
    <xf numFmtId="220" fontId="220" fillId="116" borderId="0" applyNumberFormat="0" applyBorder="0" applyAlignment="0" applyProtection="0"/>
    <xf numFmtId="220" fontId="5" fillId="0" borderId="0"/>
    <xf numFmtId="220" fontId="145" fillId="0" borderId="0"/>
    <xf numFmtId="211" fontId="0" fillId="0" borderId="0" applyFont="0" applyFill="0" applyBorder="0" applyAlignment="0" applyProtection="0"/>
    <xf numFmtId="220" fontId="158" fillId="79" borderId="0" applyNumberFormat="0" applyBorder="0" applyAlignment="0" applyProtection="0"/>
    <xf numFmtId="220" fontId="35" fillId="122" borderId="0" applyNumberFormat="0" applyBorder="0" applyAlignment="0" applyProtection="0"/>
    <xf numFmtId="220" fontId="145" fillId="0" borderId="0"/>
    <xf numFmtId="220" fontId="5" fillId="0" borderId="0"/>
    <xf numFmtId="220" fontId="5" fillId="0" borderId="0"/>
    <xf numFmtId="220" fontId="5" fillId="0" borderId="0"/>
    <xf numFmtId="220" fontId="161" fillId="97" borderId="0" applyNumberFormat="0" applyBorder="0" applyAlignment="0" applyProtection="0">
      <alignment vertical="center"/>
    </xf>
    <xf numFmtId="220" fontId="35" fillId="81" borderId="0" applyNumberFormat="0" applyBorder="0" applyAlignment="0" applyProtection="0"/>
    <xf numFmtId="220" fontId="237" fillId="0" borderId="2" applyNumberFormat="0" applyFill="0" applyProtection="0">
      <alignment horizontal="center"/>
    </xf>
    <xf numFmtId="220" fontId="151" fillId="0" borderId="0"/>
    <xf numFmtId="220" fontId="145" fillId="0" borderId="0"/>
    <xf numFmtId="220" fontId="5" fillId="0" borderId="0"/>
    <xf numFmtId="220" fontId="35" fillId="122" borderId="0" applyNumberFormat="0" applyBorder="0" applyAlignment="0" applyProtection="0"/>
    <xf numFmtId="220" fontId="0" fillId="0" borderId="0"/>
    <xf numFmtId="220" fontId="150" fillId="35" borderId="0" applyNumberFormat="0" applyBorder="0" applyAlignment="0" applyProtection="0">
      <alignment vertical="center"/>
    </xf>
    <xf numFmtId="220" fontId="145" fillId="0" borderId="0"/>
    <xf numFmtId="220" fontId="5" fillId="0" borderId="0"/>
    <xf numFmtId="220" fontId="145" fillId="0" borderId="0">
      <protection locked="0"/>
    </xf>
    <xf numFmtId="220" fontId="0" fillId="0" borderId="0"/>
    <xf numFmtId="10" fontId="152" fillId="0" borderId="0" applyFont="0" applyFill="0" applyBorder="0" applyAlignment="0" applyProtection="0"/>
    <xf numFmtId="220" fontId="90" fillId="0" borderId="0"/>
    <xf numFmtId="220" fontId="151" fillId="0" borderId="0"/>
    <xf numFmtId="220" fontId="152" fillId="48" borderId="0" applyNumberFormat="0" applyBorder="0" applyAlignment="0" applyProtection="0">
      <alignment vertical="center"/>
    </xf>
    <xf numFmtId="220" fontId="5" fillId="0" borderId="0"/>
    <xf numFmtId="220" fontId="90" fillId="0" borderId="0"/>
    <xf numFmtId="220" fontId="139" fillId="45" borderId="0" applyNumberFormat="0" applyBorder="0" applyAlignment="0" applyProtection="0">
      <alignment vertical="center"/>
    </xf>
    <xf numFmtId="220" fontId="146" fillId="0" borderId="0">
      <alignment vertical="top"/>
    </xf>
    <xf numFmtId="220" fontId="5" fillId="0" borderId="0"/>
    <xf numFmtId="220" fontId="152" fillId="54" borderId="0" applyNumberFormat="0" applyBorder="0" applyAlignment="0" applyProtection="0">
      <alignment vertical="center"/>
    </xf>
    <xf numFmtId="220" fontId="157" fillId="47" borderId="0" applyNumberFormat="0" applyBorder="0" applyAlignment="0" applyProtection="0">
      <alignment vertical="center"/>
    </xf>
    <xf numFmtId="220" fontId="35" fillId="79" borderId="0" applyNumberFormat="0" applyBorder="0" applyAlignment="0" applyProtection="0"/>
    <xf numFmtId="220" fontId="139" fillId="45" borderId="0" applyNumberFormat="0" applyBorder="0" applyAlignment="0" applyProtection="0">
      <alignment vertical="center"/>
    </xf>
    <xf numFmtId="220" fontId="5" fillId="0" borderId="0"/>
    <xf numFmtId="220" fontId="145" fillId="0" borderId="0">
      <protection locked="0"/>
    </xf>
    <xf numFmtId="220" fontId="0" fillId="0" borderId="0"/>
    <xf numFmtId="220" fontId="0" fillId="0" borderId="0"/>
    <xf numFmtId="220" fontId="35" fillId="81" borderId="0" applyNumberFormat="0" applyBorder="0" applyAlignment="0" applyProtection="0"/>
    <xf numFmtId="220" fontId="139" fillId="0" borderId="0">
      <alignment vertical="center"/>
    </xf>
    <xf numFmtId="4" fontId="146" fillId="75" borderId="108" applyNumberFormat="0" applyProtection="0">
      <alignment horizontal="right" vertical="center"/>
    </xf>
    <xf numFmtId="220" fontId="185" fillId="81" borderId="0" applyNumberFormat="0" applyBorder="0" applyAlignment="0" applyProtection="0"/>
    <xf numFmtId="220" fontId="142" fillId="38" borderId="0" applyNumberFormat="0" applyBorder="0" applyAlignment="0" applyProtection="0">
      <alignment vertical="center"/>
    </xf>
    <xf numFmtId="220" fontId="177" fillId="0" borderId="0"/>
    <xf numFmtId="220" fontId="220" fillId="98" borderId="0" applyNumberFormat="0" applyBorder="0" applyAlignment="0" applyProtection="0"/>
    <xf numFmtId="220" fontId="5" fillId="0" borderId="0"/>
    <xf numFmtId="220" fontId="145" fillId="0" borderId="0"/>
    <xf numFmtId="220" fontId="5" fillId="0" borderId="0"/>
    <xf numFmtId="220" fontId="35" fillId="123" borderId="0" applyNumberFormat="0" applyBorder="0" applyAlignment="0" applyProtection="0"/>
    <xf numFmtId="220" fontId="152" fillId="0" borderId="0">
      <alignment vertical="center"/>
    </xf>
    <xf numFmtId="220" fontId="35" fillId="79" borderId="0" applyNumberFormat="0" applyBorder="0" applyAlignment="0" applyProtection="0"/>
    <xf numFmtId="220" fontId="145" fillId="0" borderId="0"/>
    <xf numFmtId="220" fontId="145" fillId="0" borderId="0">
      <protection hidden="1"/>
    </xf>
    <xf numFmtId="220" fontId="142" fillId="38" borderId="0" applyNumberFormat="0" applyBorder="0" applyAlignment="0" applyProtection="0">
      <alignment vertical="center"/>
    </xf>
    <xf numFmtId="220" fontId="220" fillId="64" borderId="0" applyNumberFormat="0" applyBorder="0" applyAlignment="0" applyProtection="0"/>
    <xf numFmtId="220" fontId="35" fillId="122" borderId="0" applyNumberFormat="0" applyBorder="0" applyAlignment="0" applyProtection="0"/>
    <xf numFmtId="220" fontId="147" fillId="42" borderId="0" applyNumberFormat="0" applyBorder="0" applyAlignment="0" applyProtection="0">
      <alignment vertical="center"/>
    </xf>
    <xf numFmtId="220" fontId="5" fillId="0" borderId="0"/>
    <xf numFmtId="220" fontId="145" fillId="0" borderId="0">
      <protection locked="0"/>
    </xf>
    <xf numFmtId="220" fontId="142" fillId="38" borderId="0" applyNumberFormat="0" applyBorder="0" applyAlignment="0" applyProtection="0">
      <alignment vertical="center"/>
    </xf>
    <xf numFmtId="220" fontId="286" fillId="0" borderId="0" applyAlignment="0"/>
    <xf numFmtId="220" fontId="92" fillId="0" borderId="0">
      <alignment horizontal="center" wrapText="1"/>
      <protection locked="0"/>
    </xf>
    <xf numFmtId="198" fontId="0" fillId="0" borderId="0"/>
    <xf numFmtId="220" fontId="145" fillId="0" borderId="0"/>
    <xf numFmtId="220" fontId="152" fillId="63" borderId="0" applyNumberFormat="0" applyBorder="0" applyAlignment="0" applyProtection="0">
      <alignment vertical="center"/>
    </xf>
    <xf numFmtId="220" fontId="145" fillId="0" borderId="0">
      <protection locked="0"/>
    </xf>
    <xf numFmtId="220" fontId="145" fillId="0" borderId="0"/>
    <xf numFmtId="220" fontId="149" fillId="0" borderId="0">
      <protection locked="0"/>
    </xf>
    <xf numFmtId="220" fontId="148" fillId="54" borderId="0" applyNumberFormat="0" applyBorder="0" applyAlignment="0" applyProtection="0">
      <alignment vertical="center"/>
    </xf>
    <xf numFmtId="220" fontId="90" fillId="0" borderId="0"/>
    <xf numFmtId="220" fontId="5" fillId="0" borderId="0"/>
    <xf numFmtId="220" fontId="252" fillId="0" borderId="0" applyFont="0" applyFill="0" applyBorder="0" applyAlignment="0" applyProtection="0"/>
    <xf numFmtId="220" fontId="90" fillId="0" borderId="0"/>
    <xf numFmtId="220" fontId="5" fillId="0" borderId="0"/>
    <xf numFmtId="220" fontId="162" fillId="110" borderId="0" applyNumberFormat="0" applyBorder="0" applyAlignment="0" applyProtection="0"/>
    <xf numFmtId="220" fontId="179" fillId="77" borderId="0" applyNumberFormat="0" applyBorder="0" applyAlignment="0" applyProtection="0"/>
    <xf numFmtId="241" fontId="145" fillId="0" borderId="0" applyFont="0" applyFill="0" applyBorder="0" applyAlignment="0" applyProtection="0"/>
    <xf numFmtId="220" fontId="5" fillId="0" borderId="0"/>
    <xf numFmtId="220" fontId="5" fillId="0" borderId="0"/>
    <xf numFmtId="220" fontId="0" fillId="0" borderId="0"/>
    <xf numFmtId="220" fontId="5" fillId="0" borderId="0"/>
    <xf numFmtId="220" fontId="5" fillId="0" borderId="0"/>
    <xf numFmtId="220" fontId="90" fillId="0" borderId="0"/>
    <xf numFmtId="220" fontId="0" fillId="0" borderId="0"/>
    <xf numFmtId="3" fontId="287" fillId="0" borderId="0"/>
    <xf numFmtId="243" fontId="222" fillId="0" borderId="4" applyAlignment="0" applyProtection="0"/>
    <xf numFmtId="220" fontId="142" fillId="38" borderId="0" applyNumberFormat="0" applyBorder="0" applyAlignment="0" applyProtection="0">
      <alignment vertical="center"/>
    </xf>
    <xf numFmtId="220" fontId="288" fillId="0" borderId="0"/>
    <xf numFmtId="220" fontId="152" fillId="29"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229" fillId="0" borderId="15">
      <alignment horizontal="left" vertical="center"/>
    </xf>
    <xf numFmtId="220" fontId="252" fillId="0" borderId="0"/>
    <xf numFmtId="220" fontId="145" fillId="0" borderId="0">
      <protection locked="0"/>
    </xf>
    <xf numFmtId="220" fontId="5" fillId="0" borderId="0"/>
    <xf numFmtId="220" fontId="150" fillId="35" borderId="0" applyNumberFormat="0" applyBorder="0" applyAlignment="0" applyProtection="0">
      <alignment vertical="center"/>
    </xf>
    <xf numFmtId="220" fontId="252" fillId="0" borderId="0"/>
    <xf numFmtId="220" fontId="5" fillId="0" borderId="0"/>
    <xf numFmtId="220" fontId="5" fillId="0" borderId="0"/>
    <xf numFmtId="220" fontId="150" fillId="35" borderId="0" applyNumberFormat="0" applyBorder="0" applyAlignment="0" applyProtection="0">
      <alignment vertical="center"/>
    </xf>
    <xf numFmtId="220" fontId="289" fillId="0" borderId="0"/>
    <xf numFmtId="220" fontId="5" fillId="0" borderId="0"/>
    <xf numFmtId="225" fontId="145" fillId="0" borderId="0"/>
    <xf numFmtId="220" fontId="5" fillId="0" borderId="0"/>
    <xf numFmtId="220" fontId="151" fillId="0" borderId="0">
      <protection locked="0"/>
    </xf>
    <xf numFmtId="220" fontId="5" fillId="0" borderId="0"/>
    <xf numFmtId="220" fontId="0" fillId="0" borderId="0">
      <alignment vertical="center"/>
    </xf>
    <xf numFmtId="220" fontId="5" fillId="0" borderId="0"/>
    <xf numFmtId="220" fontId="5" fillId="0" borderId="0"/>
    <xf numFmtId="220" fontId="151" fillId="0" borderId="0"/>
    <xf numFmtId="244" fontId="75" fillId="0" borderId="0" applyFill="0" applyBorder="0" applyAlignment="0"/>
    <xf numFmtId="220" fontId="5" fillId="0" borderId="0"/>
    <xf numFmtId="220" fontId="151" fillId="0" borderId="0"/>
    <xf numFmtId="220" fontId="145" fillId="0" borderId="0"/>
    <xf numFmtId="220" fontId="139" fillId="48" borderId="0" applyNumberFormat="0" applyBorder="0" applyAlignment="0" applyProtection="0">
      <alignment vertical="center"/>
    </xf>
    <xf numFmtId="220" fontId="145" fillId="0" borderId="0"/>
    <xf numFmtId="207" fontId="75" fillId="0" borderId="0" applyFill="0" applyBorder="0" applyAlignment="0"/>
    <xf numFmtId="220" fontId="145" fillId="0" borderId="0"/>
    <xf numFmtId="188" fontId="75" fillId="0" borderId="0" applyFill="0" applyBorder="0" applyAlignment="0"/>
    <xf numFmtId="220" fontId="145" fillId="0" borderId="0"/>
    <xf numFmtId="220" fontId="142" fillId="38" borderId="0" applyNumberFormat="0" applyBorder="0" applyAlignment="0" applyProtection="0">
      <alignment vertical="center"/>
    </xf>
    <xf numFmtId="220" fontId="290" fillId="100" borderId="132" applyNumberFormat="0" applyAlignment="0" applyProtection="0"/>
    <xf numFmtId="220" fontId="152" fillId="48" borderId="0" applyNumberFormat="0" applyBorder="0" applyAlignment="0" applyProtection="0">
      <alignment vertical="center"/>
    </xf>
    <xf numFmtId="220" fontId="151" fillId="0" borderId="0">
      <protection locked="0"/>
    </xf>
    <xf numFmtId="220" fontId="152" fillId="35" borderId="0" applyNumberFormat="0" applyBorder="0" applyAlignment="0" applyProtection="0">
      <alignment vertical="center"/>
    </xf>
    <xf numFmtId="220" fontId="263" fillId="0" borderId="0"/>
    <xf numFmtId="220" fontId="5" fillId="0" borderId="0"/>
    <xf numFmtId="220" fontId="150" fillId="35" borderId="0" applyNumberFormat="0" applyBorder="0" applyAlignment="0" applyProtection="0">
      <alignment vertical="center"/>
    </xf>
    <xf numFmtId="220" fontId="145" fillId="0" borderId="0"/>
    <xf numFmtId="220" fontId="145" fillId="0" borderId="0"/>
    <xf numFmtId="220" fontId="150" fillId="35" borderId="0" applyNumberFormat="0" applyBorder="0" applyAlignment="0" applyProtection="0">
      <alignment vertical="center"/>
    </xf>
    <xf numFmtId="220" fontId="139" fillId="0" borderId="0">
      <alignment vertical="center"/>
    </xf>
    <xf numFmtId="220" fontId="285" fillId="0" borderId="0" applyFill="0" applyBorder="0">
      <alignment horizontal="right"/>
    </xf>
    <xf numFmtId="220" fontId="5" fillId="0" borderId="0"/>
    <xf numFmtId="220" fontId="5" fillId="0" borderId="0"/>
    <xf numFmtId="220" fontId="145" fillId="0" borderId="0">
      <protection locked="0"/>
    </xf>
    <xf numFmtId="220" fontId="90" fillId="0" borderId="0" applyFill="0" applyBorder="0">
      <alignment horizontal="right"/>
    </xf>
    <xf numFmtId="211" fontId="0" fillId="0" borderId="0" applyFont="0" applyFill="0" applyBorder="0" applyAlignment="0" applyProtection="0"/>
    <xf numFmtId="220" fontId="139" fillId="63" borderId="0" applyNumberFormat="0" applyBorder="0" applyAlignment="0" applyProtection="0">
      <alignment vertical="center"/>
    </xf>
    <xf numFmtId="220" fontId="145" fillId="0" borderId="0"/>
    <xf numFmtId="220" fontId="5" fillId="0" borderId="0"/>
    <xf numFmtId="211" fontId="0" fillId="0" borderId="0" applyFont="0" applyFill="0" applyBorder="0" applyAlignment="0" applyProtection="0"/>
    <xf numFmtId="220" fontId="149" fillId="0" borderId="0">
      <protection locked="0"/>
    </xf>
    <xf numFmtId="220" fontId="149" fillId="0" borderId="0">
      <protection locked="0"/>
    </xf>
    <xf numFmtId="220" fontId="5" fillId="0" borderId="0"/>
    <xf numFmtId="220" fontId="151" fillId="0" borderId="0"/>
    <xf numFmtId="9" fontId="0" fillId="0" borderId="0" applyFont="0" applyFill="0" applyBorder="0" applyAlignment="0" applyProtection="0"/>
    <xf numFmtId="220" fontId="151" fillId="0" borderId="0"/>
    <xf numFmtId="220" fontId="5" fillId="0" borderId="0"/>
    <xf numFmtId="9" fontId="0" fillId="0" borderId="0" applyFont="0" applyFill="0" applyBorder="0" applyAlignment="0" applyProtection="0"/>
    <xf numFmtId="9" fontId="0" fillId="0" borderId="0" applyFont="0" applyFill="0" applyBorder="0" applyAlignment="0" applyProtection="0"/>
    <xf numFmtId="220" fontId="151" fillId="0" borderId="0"/>
    <xf numFmtId="225" fontId="145" fillId="0" borderId="0"/>
    <xf numFmtId="220" fontId="5" fillId="0" borderId="0"/>
    <xf numFmtId="220" fontId="146" fillId="0" borderId="0">
      <alignment vertical="top"/>
    </xf>
    <xf numFmtId="220" fontId="5" fillId="0" borderId="0"/>
    <xf numFmtId="225" fontId="145" fillId="0" borderId="0"/>
    <xf numFmtId="220" fontId="146" fillId="0" borderId="0">
      <alignment vertical="top"/>
    </xf>
    <xf numFmtId="220" fontId="5" fillId="0" borderId="0"/>
    <xf numFmtId="220" fontId="5" fillId="0" borderId="0"/>
    <xf numFmtId="225" fontId="145" fillId="0" borderId="0"/>
    <xf numFmtId="220" fontId="0" fillId="0" borderId="0"/>
    <xf numFmtId="220" fontId="0" fillId="0" borderId="0"/>
    <xf numFmtId="220" fontId="5" fillId="0" borderId="0"/>
    <xf numFmtId="220" fontId="146" fillId="0" borderId="0">
      <alignment vertical="top"/>
    </xf>
    <xf numFmtId="220" fontId="0" fillId="0" borderId="0"/>
    <xf numFmtId="220" fontId="150" fillId="35" borderId="0" applyNumberFormat="0" applyBorder="0" applyAlignment="0" applyProtection="0">
      <alignment vertical="center"/>
    </xf>
    <xf numFmtId="225" fontId="145" fillId="0" borderId="0"/>
    <xf numFmtId="220" fontId="5" fillId="0" borderId="0"/>
    <xf numFmtId="220" fontId="150" fillId="35" borderId="0" applyNumberFormat="0" applyBorder="0" applyAlignment="0" applyProtection="0">
      <alignment vertical="center"/>
    </xf>
    <xf numFmtId="220" fontId="146" fillId="0" borderId="0">
      <alignment vertical="top"/>
    </xf>
    <xf numFmtId="199" fontId="75" fillId="0" borderId="0" applyFill="0" applyBorder="0" applyProtection="0">
      <alignment horizontal="right"/>
    </xf>
    <xf numFmtId="199" fontId="75" fillId="0" borderId="0" applyFill="0" applyBorder="0" applyProtection="0">
      <alignment horizontal="right"/>
    </xf>
    <xf numFmtId="220" fontId="147" fillId="42" borderId="0" applyNumberFormat="0" applyBorder="0" applyAlignment="0" applyProtection="0">
      <alignment vertical="center"/>
    </xf>
    <xf numFmtId="220" fontId="276" fillId="98" borderId="0" applyNumberFormat="0" applyBorder="0" applyAlignment="0" applyProtection="0"/>
    <xf numFmtId="4" fontId="146" fillId="48" borderId="108" applyNumberFormat="0" applyProtection="0">
      <alignment horizontal="right" vertical="center"/>
    </xf>
    <xf numFmtId="214" fontId="171" fillId="0" borderId="0" applyFill="0" applyBorder="0" applyProtection="0">
      <alignment horizontal="center"/>
    </xf>
    <xf numFmtId="224" fontId="75" fillId="0" borderId="0" applyFill="0" applyBorder="0" applyProtection="0">
      <alignment horizontal="right"/>
    </xf>
    <xf numFmtId="224" fontId="75" fillId="0" borderId="0" applyFill="0" applyBorder="0" applyProtection="0">
      <alignment horizontal="right"/>
    </xf>
    <xf numFmtId="220" fontId="0" fillId="0" borderId="0"/>
    <xf numFmtId="220" fontId="5" fillId="0" borderId="0"/>
    <xf numFmtId="239" fontId="75" fillId="0" borderId="0" applyFill="0" applyBorder="0" applyProtection="0">
      <alignment horizontal="right"/>
    </xf>
    <xf numFmtId="220" fontId="5" fillId="0" borderId="0"/>
    <xf numFmtId="220" fontId="147" fillId="38" borderId="0" applyNumberFormat="0" applyBorder="0" applyAlignment="0" applyProtection="0">
      <alignment vertical="center"/>
    </xf>
    <xf numFmtId="235" fontId="291" fillId="0" borderId="0">
      <protection locked="0"/>
    </xf>
    <xf numFmtId="180" fontId="0" fillId="0" borderId="0" applyFont="0" applyFill="0" applyBorder="0" applyAlignment="0" applyProtection="0"/>
    <xf numFmtId="209" fontId="219" fillId="0" borderId="0" applyFont="0" applyFill="0" applyBorder="0" applyAlignment="0" applyProtection="0"/>
    <xf numFmtId="180" fontId="0" fillId="0" borderId="0" applyFont="0" applyFill="0" applyBorder="0" applyAlignment="0" applyProtection="0"/>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220" fontId="158" fillId="79" borderId="0" applyNumberFormat="0" applyBorder="0" applyAlignment="0" applyProtection="0"/>
    <xf numFmtId="211" fontId="0" fillId="0" borderId="0" applyFont="0" applyFill="0" applyBorder="0" applyAlignment="0" applyProtection="0"/>
    <xf numFmtId="180" fontId="0" fillId="0" borderId="0" applyFont="0" applyFill="0" applyBorder="0" applyAlignment="0" applyProtection="0"/>
    <xf numFmtId="209" fontId="219" fillId="0" borderId="0" applyFont="0" applyFill="0" applyBorder="0" applyAlignment="0" applyProtection="0"/>
    <xf numFmtId="209" fontId="219" fillId="0" borderId="0" applyFont="0" applyFill="0" applyBorder="0" applyAlignment="0" applyProtection="0"/>
    <xf numFmtId="220" fontId="5" fillId="0" borderId="0"/>
    <xf numFmtId="211" fontId="0" fillId="0" borderId="0" applyFont="0" applyFill="0" applyBorder="0" applyAlignment="0" applyProtection="0"/>
    <xf numFmtId="220" fontId="147" fillId="42"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5" fillId="0" borderId="0"/>
    <xf numFmtId="180" fontId="0" fillId="0" borderId="0" applyFont="0" applyFill="0" applyBorder="0" applyAlignment="0" applyProtection="0"/>
    <xf numFmtId="220" fontId="5" fillId="0" borderId="0"/>
    <xf numFmtId="180" fontId="0" fillId="0" borderId="0" applyFont="0" applyFill="0" applyBorder="0" applyAlignment="0" applyProtection="0"/>
    <xf numFmtId="220" fontId="5" fillId="0" borderId="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0" fillId="0" borderId="0"/>
    <xf numFmtId="220" fontId="5" fillId="0" borderId="0"/>
    <xf numFmtId="220" fontId="152" fillId="93" borderId="0" applyNumberFormat="0" applyBorder="0" applyAlignment="0" applyProtection="0">
      <alignment vertical="center"/>
    </xf>
    <xf numFmtId="220" fontId="150" fillId="35" borderId="0" applyNumberFormat="0" applyBorder="0" applyAlignment="0" applyProtection="0">
      <alignment vertical="center"/>
    </xf>
    <xf numFmtId="180" fontId="0" fillId="0" borderId="0" applyFont="0" applyFill="0" applyBorder="0" applyAlignment="0" applyProtection="0"/>
    <xf numFmtId="220" fontId="5" fillId="0" borderId="0"/>
    <xf numFmtId="10" fontId="152"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147" fillId="38" borderId="0" applyNumberFormat="0" applyBorder="0" applyAlignment="0" applyProtection="0">
      <alignment vertical="center"/>
    </xf>
    <xf numFmtId="220" fontId="161" fillId="97" borderId="0" applyNumberFormat="0" applyBorder="0" applyAlignment="0" applyProtection="0">
      <alignment vertical="center"/>
    </xf>
    <xf numFmtId="220" fontId="5" fillId="0" borderId="0"/>
    <xf numFmtId="211" fontId="0" fillId="0" borderId="0" applyFont="0" applyFill="0" applyBorder="0" applyAlignment="0" applyProtection="0"/>
    <xf numFmtId="220" fontId="147" fillId="42" borderId="0" applyNumberFormat="0" applyBorder="0" applyAlignment="0" applyProtection="0">
      <alignment vertical="center"/>
    </xf>
    <xf numFmtId="180" fontId="0" fillId="0" borderId="0" applyFont="0" applyFill="0" applyBorder="0" applyAlignment="0" applyProtection="0"/>
    <xf numFmtId="220" fontId="5" fillId="0" borderId="0"/>
    <xf numFmtId="180" fontId="0" fillId="0" borderId="0" applyFont="0" applyFill="0" applyBorder="0" applyAlignment="0" applyProtection="0"/>
    <xf numFmtId="227" fontId="145" fillId="0" borderId="0"/>
    <xf numFmtId="220" fontId="148" fillId="104" borderId="0" applyNumberFormat="0" applyBorder="0" applyAlignment="0" applyProtection="0">
      <alignment vertical="center"/>
    </xf>
    <xf numFmtId="220" fontId="5" fillId="0" borderId="0"/>
    <xf numFmtId="211" fontId="0" fillId="0" borderId="0" applyFont="0" applyFill="0" applyBorder="0" applyAlignment="0" applyProtection="0"/>
    <xf numFmtId="220" fontId="142" fillId="38" borderId="0" applyNumberFormat="0" applyBorder="0" applyAlignment="0" applyProtection="0">
      <alignment vertical="center"/>
    </xf>
    <xf numFmtId="180" fontId="0" fillId="0" borderId="0" applyFont="0" applyFill="0" applyBorder="0" applyAlignment="0" applyProtection="0"/>
    <xf numFmtId="180" fontId="152" fillId="0" borderId="0" applyFont="0" applyFill="0" applyBorder="0" applyAlignment="0" applyProtection="0"/>
    <xf numFmtId="220" fontId="157" fillId="47"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180" fontId="0" fillId="0" borderId="0" applyFont="0" applyFill="0" applyBorder="0" applyAlignment="0" applyProtection="0"/>
    <xf numFmtId="180" fontId="0" fillId="0" borderId="0" applyFont="0" applyFill="0" applyBorder="0" applyAlignment="0" applyProtection="0"/>
    <xf numFmtId="220" fontId="148" fillId="104"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applyFont="0" applyFill="0" applyBorder="0" applyAlignment="0" applyProtection="0"/>
    <xf numFmtId="220" fontId="5" fillId="0" borderId="0"/>
    <xf numFmtId="180" fontId="0" fillId="0" borderId="0" applyFont="0" applyFill="0" applyBorder="0" applyAlignment="0" applyProtection="0"/>
    <xf numFmtId="220" fontId="0" fillId="0" borderId="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5" fillId="0" borderId="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157" fillId="47" borderId="0" applyNumberFormat="0" applyBorder="0" applyAlignment="0" applyProtection="0">
      <alignment vertical="center"/>
    </xf>
    <xf numFmtId="220" fontId="0" fillId="0" borderId="0"/>
    <xf numFmtId="220" fontId="152" fillId="77"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180" fontId="0" fillId="0" borderId="0" applyFont="0" applyFill="0" applyBorder="0" applyAlignment="0" applyProtection="0"/>
    <xf numFmtId="220" fontId="152" fillId="80"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180" fontId="0" fillId="0" borderId="0" applyFont="0" applyFill="0" applyBorder="0" applyAlignment="0" applyProtection="0"/>
    <xf numFmtId="180" fontId="0" fillId="0" borderId="0" applyFont="0" applyFill="0" applyBorder="0" applyAlignment="0" applyProtection="0"/>
    <xf numFmtId="220" fontId="142" fillId="38" borderId="0" applyNumberFormat="0" applyBorder="0" applyAlignment="0" applyProtection="0">
      <alignment vertical="center"/>
    </xf>
    <xf numFmtId="180" fontId="0" fillId="0" borderId="0" applyFont="0" applyFill="0" applyBorder="0" applyAlignment="0" applyProtection="0"/>
    <xf numFmtId="220" fontId="142" fillId="38" borderId="0" applyNumberFormat="0" applyBorder="0" applyAlignment="0" applyProtection="0">
      <alignment vertical="center"/>
    </xf>
    <xf numFmtId="180" fontId="0" fillId="0" borderId="0" applyFont="0" applyFill="0" applyBorder="0" applyAlignment="0" applyProtection="0"/>
    <xf numFmtId="220" fontId="152" fillId="80"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5" fillId="0" borderId="0"/>
    <xf numFmtId="180" fontId="0" fillId="0" borderId="0" applyFont="0" applyFill="0" applyBorder="0" applyAlignment="0" applyProtection="0"/>
    <xf numFmtId="220" fontId="5" fillId="0" borderId="0"/>
    <xf numFmtId="180" fontId="0" fillId="0" borderId="0" applyFont="0" applyFill="0" applyBorder="0" applyAlignment="0" applyProtection="0"/>
    <xf numFmtId="220" fontId="142" fillId="38"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139" fillId="48" borderId="0" applyNumberFormat="0" applyBorder="0" applyAlignment="0" applyProtection="0">
      <alignment vertical="center"/>
    </xf>
    <xf numFmtId="180" fontId="0" fillId="0" borderId="0" applyFont="0" applyFill="0" applyBorder="0" applyAlignment="0" applyProtection="0"/>
    <xf numFmtId="220" fontId="139" fillId="48"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220" fontId="139" fillId="45" borderId="0" applyNumberFormat="0" applyBorder="0" applyAlignment="0" applyProtection="0">
      <alignment vertical="center"/>
    </xf>
    <xf numFmtId="180" fontId="0" fillId="0" borderId="0" applyFont="0" applyFill="0" applyBorder="0" applyAlignment="0" applyProtection="0"/>
    <xf numFmtId="180" fontId="0" fillId="0" borderId="0" applyFont="0" applyFill="0" applyBorder="0" applyAlignment="0" applyProtection="0"/>
    <xf numFmtId="220" fontId="150" fillId="35" borderId="0" applyNumberFormat="0" applyBorder="0" applyAlignment="0" applyProtection="0">
      <alignment vertical="center"/>
    </xf>
    <xf numFmtId="180" fontId="0" fillId="0" borderId="0" applyFont="0" applyFill="0" applyBorder="0" applyAlignment="0" applyProtection="0"/>
    <xf numFmtId="220" fontId="5" fillId="0" borderId="0"/>
    <xf numFmtId="211" fontId="0" fillId="0" borderId="0" applyFont="0" applyFill="0" applyBorder="0" applyAlignment="0" applyProtection="0"/>
    <xf numFmtId="220" fontId="150" fillId="35" borderId="0" applyNumberFormat="0" applyBorder="0" applyAlignment="0" applyProtection="0">
      <alignment vertical="center"/>
    </xf>
    <xf numFmtId="180" fontId="0" fillId="0" borderId="0" applyFont="0" applyFill="0" applyBorder="0" applyAlignment="0" applyProtection="0"/>
    <xf numFmtId="220" fontId="5" fillId="0" borderId="0"/>
    <xf numFmtId="220" fontId="5" fillId="0" borderId="0"/>
    <xf numFmtId="220" fontId="150" fillId="35" borderId="0" applyNumberFormat="0" applyBorder="0" applyAlignment="0" applyProtection="0">
      <alignment vertical="center"/>
    </xf>
    <xf numFmtId="180"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180" fontId="0" fillId="0" borderId="0" applyFont="0" applyFill="0" applyBorder="0" applyAlignment="0" applyProtection="0"/>
    <xf numFmtId="220" fontId="139" fillId="60"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90" fillId="77" borderId="0" applyNumberFormat="0" applyBorder="0" applyAlignment="0" applyProtection="0">
      <alignment vertical="center"/>
    </xf>
    <xf numFmtId="180" fontId="0" fillId="0" borderId="0" applyFont="0" applyFill="0" applyBorder="0" applyAlignment="0" applyProtection="0"/>
    <xf numFmtId="220" fontId="5" fillId="0" borderId="0"/>
    <xf numFmtId="220" fontId="228" fillId="53" borderId="1"/>
    <xf numFmtId="220" fontId="139" fillId="40" borderId="0" applyNumberFormat="0" applyBorder="0" applyAlignment="0" applyProtection="0">
      <alignment vertical="center"/>
    </xf>
    <xf numFmtId="220" fontId="0" fillId="0" borderId="0"/>
    <xf numFmtId="220" fontId="190" fillId="80" borderId="0" applyNumberFormat="0" applyBorder="0" applyAlignment="0" applyProtection="0">
      <alignment vertical="center"/>
    </xf>
    <xf numFmtId="180" fontId="0" fillId="0" borderId="0" applyFont="0" applyFill="0" applyBorder="0" applyAlignment="0" applyProtection="0"/>
    <xf numFmtId="9"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5" fillId="0" borderId="0"/>
    <xf numFmtId="180" fontId="0" fillId="0" borderId="0" applyFont="0" applyFill="0" applyBorder="0" applyAlignment="0" applyProtection="0"/>
    <xf numFmtId="180" fontId="0" fillId="0" borderId="0" applyFont="0" applyFill="0" applyBorder="0" applyAlignment="0" applyProtection="0"/>
    <xf numFmtId="180" fontId="0" fillId="0" borderId="0" applyFont="0" applyFill="0" applyBorder="0" applyAlignment="0" applyProtection="0"/>
    <xf numFmtId="220" fontId="5" fillId="0" borderId="0"/>
    <xf numFmtId="220" fontId="5" fillId="0" borderId="0"/>
    <xf numFmtId="220" fontId="5" fillId="0" borderId="0"/>
    <xf numFmtId="180" fontId="0" fillId="0" borderId="0" applyFont="0" applyFill="0" applyBorder="0" applyAlignment="0" applyProtection="0"/>
    <xf numFmtId="220" fontId="0" fillId="0" borderId="0"/>
    <xf numFmtId="220" fontId="0" fillId="0" borderId="0"/>
    <xf numFmtId="220" fontId="157" fillId="47" borderId="0" applyNumberFormat="0" applyBorder="0" applyAlignment="0" applyProtection="0">
      <alignment vertical="center"/>
    </xf>
    <xf numFmtId="180" fontId="0" fillId="0" borderId="0" applyFont="0" applyFill="0" applyBorder="0" applyAlignment="0" applyProtection="0"/>
    <xf numFmtId="220" fontId="161" fillId="54"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0" fillId="0" borderId="0"/>
    <xf numFmtId="220" fontId="90"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2"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198" fontId="182" fillId="0" borderId="0" applyFont="0" applyFill="0" applyBorder="0" applyAlignment="0" applyProtection="0"/>
    <xf numFmtId="220" fontId="0" fillId="0" borderId="0"/>
    <xf numFmtId="220" fontId="0" fillId="0" borderId="0"/>
    <xf numFmtId="191" fontId="198" fillId="0" borderId="0" applyFont="0" applyFill="0" applyBorder="0" applyAlignment="0" applyProtection="0">
      <alignment vertical="center"/>
    </xf>
    <xf numFmtId="198" fontId="152" fillId="0" borderId="0" applyFont="0" applyFill="0" applyBorder="0" applyAlignment="0" applyProtection="0"/>
    <xf numFmtId="198" fontId="152" fillId="0" borderId="0" applyFont="0" applyFill="0" applyBorder="0" applyAlignment="0" applyProtection="0"/>
    <xf numFmtId="10" fontId="152"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16" fontId="0" fillId="0" borderId="0" applyFont="0" applyFill="0" applyBorder="0" applyAlignment="0" applyProtection="0"/>
    <xf numFmtId="220" fontId="5" fillId="0" borderId="0"/>
    <xf numFmtId="211" fontId="0" fillId="0" borderId="0" applyFont="0" applyFill="0" applyBorder="0" applyAlignment="0" applyProtection="0"/>
    <xf numFmtId="220" fontId="5" fillId="0" borderId="0"/>
    <xf numFmtId="211" fontId="0" fillId="0" borderId="0" applyFont="0" applyFill="0" applyBorder="0" applyAlignment="0" applyProtection="0"/>
    <xf numFmtId="220" fontId="139" fillId="9" borderId="0" applyNumberFormat="0" applyBorder="0" applyAlignment="0" applyProtection="0">
      <alignment vertical="center"/>
    </xf>
    <xf numFmtId="211" fontId="0"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20" fontId="5" fillId="0" borderId="0"/>
    <xf numFmtId="220" fontId="5" fillId="0" borderId="0"/>
    <xf numFmtId="209" fontId="219" fillId="0" borderId="0" applyFont="0" applyFill="0" applyBorder="0" applyAlignment="0" applyProtection="0"/>
    <xf numFmtId="209" fontId="219" fillId="0" borderId="0" applyFont="0" applyFill="0" applyBorder="0" applyAlignment="0" applyProtection="0"/>
    <xf numFmtId="209" fontId="219" fillId="0" borderId="0" applyFont="0" applyFill="0" applyBorder="0" applyAlignment="0" applyProtection="0"/>
    <xf numFmtId="220" fontId="0" fillId="0" borderId="0"/>
    <xf numFmtId="211" fontId="0" fillId="0" borderId="0" applyFont="0" applyFill="0" applyBorder="0" applyAlignment="0" applyProtection="0"/>
    <xf numFmtId="220" fontId="0" fillId="0" borderId="0"/>
    <xf numFmtId="211" fontId="0" fillId="0" borderId="0" applyFont="0" applyFill="0" applyBorder="0" applyAlignment="0" applyProtection="0"/>
    <xf numFmtId="220" fontId="0" fillId="0" borderId="0"/>
    <xf numFmtId="220" fontId="5" fillId="0" borderId="0"/>
    <xf numFmtId="211" fontId="0" fillId="0" borderId="0" applyFont="0" applyFill="0" applyBorder="0" applyAlignment="0" applyProtection="0"/>
    <xf numFmtId="209" fontId="219" fillId="0" borderId="0" applyFont="0" applyFill="0" applyBorder="0" applyAlignment="0" applyProtection="0"/>
    <xf numFmtId="220" fontId="5" fillId="0" borderId="0"/>
    <xf numFmtId="220" fontId="0" fillId="0" borderId="0"/>
    <xf numFmtId="211" fontId="0" fillId="0" borderId="0" applyFont="0" applyFill="0" applyBorder="0" applyAlignment="0" applyProtection="0"/>
    <xf numFmtId="220" fontId="0" fillId="0" borderId="0"/>
    <xf numFmtId="220" fontId="5" fillId="0" borderId="0"/>
    <xf numFmtId="220" fontId="142" fillId="38" borderId="0" applyNumberFormat="0" applyBorder="0" applyAlignment="0" applyProtection="0">
      <alignment vertical="center"/>
    </xf>
    <xf numFmtId="211" fontId="0" fillId="0" borderId="0" applyFont="0" applyFill="0" applyBorder="0" applyAlignment="0" applyProtection="0"/>
    <xf numFmtId="220" fontId="0" fillId="0" borderId="0"/>
    <xf numFmtId="220" fontId="5" fillId="0" borderId="0"/>
    <xf numFmtId="211" fontId="0" fillId="0" borderId="0" applyFont="0" applyFill="0" applyBorder="0" applyAlignment="0" applyProtection="0"/>
    <xf numFmtId="220" fontId="0" fillId="0" borderId="0"/>
    <xf numFmtId="220" fontId="5" fillId="0" borderId="0"/>
    <xf numFmtId="220" fontId="150" fillId="35" borderId="0" applyNumberFormat="0" applyBorder="0" applyAlignment="0" applyProtection="0">
      <alignment vertical="center"/>
    </xf>
    <xf numFmtId="211" fontId="0" fillId="0" borderId="0" applyFont="0" applyFill="0" applyBorder="0" applyAlignment="0" applyProtection="0"/>
    <xf numFmtId="220" fontId="0" fillId="0" borderId="0"/>
    <xf numFmtId="220" fontId="5" fillId="0" borderId="0"/>
    <xf numFmtId="220" fontId="150" fillId="35" borderId="0" applyNumberFormat="0" applyBorder="0" applyAlignment="0" applyProtection="0">
      <alignment vertical="center"/>
    </xf>
    <xf numFmtId="220" fontId="5" fillId="0" borderId="0"/>
    <xf numFmtId="211"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11" fontId="0" fillId="0" borderId="0" applyFont="0" applyFill="0" applyBorder="0" applyAlignment="0" applyProtection="0"/>
    <xf numFmtId="220" fontId="0" fillId="0" borderId="0"/>
    <xf numFmtId="211" fontId="0" fillId="0" borderId="0" applyFont="0" applyFill="0" applyBorder="0" applyAlignment="0" applyProtection="0"/>
    <xf numFmtId="209" fontId="219" fillId="0" borderId="0" applyFont="0" applyFill="0" applyBorder="0" applyAlignment="0" applyProtection="0"/>
    <xf numFmtId="220" fontId="5" fillId="0" borderId="0"/>
    <xf numFmtId="211" fontId="0"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5" fillId="0" borderId="0"/>
    <xf numFmtId="216" fontId="0" fillId="0" borderId="0" applyFont="0" applyFill="0" applyBorder="0" applyAlignment="0" applyProtection="0"/>
    <xf numFmtId="212" fontId="0" fillId="0" borderId="0"/>
    <xf numFmtId="220" fontId="161" fillId="97" borderId="0" applyNumberFormat="0" applyBorder="0" applyAlignment="0" applyProtection="0">
      <alignment vertical="center"/>
    </xf>
    <xf numFmtId="220" fontId="5" fillId="0" borderId="0"/>
    <xf numFmtId="220" fontId="5" fillId="0" borderId="0"/>
    <xf numFmtId="211" fontId="0" fillId="0" borderId="0" applyFont="0" applyFill="0" applyBorder="0" applyAlignment="0" applyProtection="0"/>
    <xf numFmtId="220" fontId="0" fillId="0" borderId="0"/>
    <xf numFmtId="209" fontId="219" fillId="0" borderId="0" applyFont="0" applyFill="0" applyBorder="0" applyAlignment="0" applyProtection="0"/>
    <xf numFmtId="220" fontId="142" fillId="38" borderId="0" applyNumberFormat="0" applyBorder="0" applyAlignment="0" applyProtection="0">
      <alignment vertical="center"/>
    </xf>
    <xf numFmtId="220" fontId="5" fillId="0" borderId="0"/>
    <xf numFmtId="209" fontId="219" fillId="0" borderId="0" applyFont="0" applyFill="0" applyBorder="0" applyAlignment="0" applyProtection="0"/>
    <xf numFmtId="220" fontId="5" fillId="0" borderId="0"/>
    <xf numFmtId="211" fontId="0" fillId="0" borderId="0" applyFont="0" applyFill="0" applyBorder="0" applyAlignment="0" applyProtection="0"/>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11" fontId="0" fillId="0" borderId="0" applyFont="0" applyFill="0" applyBorder="0" applyAlignment="0" applyProtection="0"/>
    <xf numFmtId="220" fontId="147" fillId="38" borderId="0" applyNumberFormat="0" applyBorder="0" applyAlignment="0" applyProtection="0">
      <alignment vertical="center"/>
    </xf>
    <xf numFmtId="211" fontId="0" fillId="0" borderId="0" applyFont="0" applyFill="0" applyBorder="0" applyAlignment="0" applyProtection="0"/>
    <xf numFmtId="220" fontId="147" fillId="38" borderId="0" applyNumberFormat="0" applyBorder="0" applyAlignment="0" applyProtection="0">
      <alignment vertical="center"/>
    </xf>
    <xf numFmtId="220" fontId="5" fillId="0" borderId="0"/>
    <xf numFmtId="211" fontId="0" fillId="0" borderId="0" applyFont="0" applyFill="0" applyBorder="0" applyAlignment="0" applyProtection="0"/>
    <xf numFmtId="216" fontId="0" fillId="0" borderId="0" applyFont="0" applyFill="0" applyBorder="0" applyAlignment="0" applyProtection="0"/>
    <xf numFmtId="220" fontId="147" fillId="38" borderId="0" applyNumberFormat="0" applyBorder="0" applyAlignment="0" applyProtection="0">
      <alignment vertical="center"/>
    </xf>
    <xf numFmtId="220" fontId="5" fillId="0" borderId="0"/>
    <xf numFmtId="211" fontId="0" fillId="0" borderId="0" applyFont="0" applyFill="0" applyBorder="0" applyAlignment="0" applyProtection="0"/>
    <xf numFmtId="211" fontId="0" fillId="0" borderId="0" applyFont="0" applyFill="0" applyBorder="0" applyAlignment="0" applyProtection="0"/>
    <xf numFmtId="211" fontId="0" fillId="0" borderId="0" applyFont="0" applyFill="0" applyBorder="0" applyAlignment="0" applyProtection="0"/>
    <xf numFmtId="220" fontId="147" fillId="42" borderId="0" applyNumberFormat="0" applyBorder="0" applyAlignment="0" applyProtection="0">
      <alignment vertical="center"/>
    </xf>
    <xf numFmtId="220" fontId="0" fillId="0" borderId="0"/>
    <xf numFmtId="211" fontId="0" fillId="0" borderId="0" applyFont="0" applyFill="0" applyBorder="0" applyAlignment="0" applyProtection="0"/>
    <xf numFmtId="220" fontId="147" fillId="38" borderId="0" applyNumberFormat="0" applyBorder="0" applyAlignment="0" applyProtection="0">
      <alignment vertical="center"/>
    </xf>
    <xf numFmtId="220" fontId="152" fillId="74" borderId="0" applyNumberFormat="0" applyBorder="0" applyAlignment="0" applyProtection="0">
      <alignment vertical="center"/>
    </xf>
    <xf numFmtId="43" fontId="152" fillId="0" borderId="0" applyFont="0" applyFill="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11" fontId="0" fillId="0" borderId="0" applyFont="0" applyFill="0" applyBorder="0" applyAlignment="0" applyProtection="0"/>
    <xf numFmtId="220" fontId="157" fillId="47" borderId="0" applyNumberFormat="0" applyBorder="0" applyAlignment="0" applyProtection="0">
      <alignment vertical="center"/>
    </xf>
    <xf numFmtId="220" fontId="5" fillId="0" borderId="0"/>
    <xf numFmtId="220" fontId="5" fillId="0" borderId="0"/>
    <xf numFmtId="220" fontId="5" fillId="0" borderId="0"/>
    <xf numFmtId="211" fontId="0" fillId="0" borderId="0" applyFont="0" applyFill="0" applyBorder="0" applyAlignment="0" applyProtection="0"/>
    <xf numFmtId="220" fontId="5" fillId="0" borderId="0"/>
    <xf numFmtId="220" fontId="139" fillId="9"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11" fontId="0" fillId="0" borderId="0" applyFont="0" applyFill="0" applyBorder="0" applyAlignment="0" applyProtection="0"/>
    <xf numFmtId="220" fontId="5" fillId="0" borderId="0"/>
    <xf numFmtId="220" fontId="0" fillId="0" borderId="0"/>
    <xf numFmtId="211"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211" fontId="0" fillId="0" borderId="0" applyFont="0" applyFill="0" applyBorder="0" applyAlignment="0" applyProtection="0"/>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150" fillId="35" borderId="0" applyNumberFormat="0" applyBorder="0" applyAlignment="0" applyProtection="0">
      <alignment vertical="center"/>
    </xf>
    <xf numFmtId="211" fontId="0" fillId="0" borderId="0" applyFont="0" applyFill="0" applyBorder="0" applyAlignment="0" applyProtection="0"/>
    <xf numFmtId="220" fontId="5" fillId="0" borderId="0"/>
    <xf numFmtId="211" fontId="0" fillId="0" borderId="0" applyFont="0" applyFill="0" applyBorder="0" applyAlignment="0" applyProtection="0"/>
    <xf numFmtId="220" fontId="181" fillId="0" borderId="0" applyNumberFormat="0" applyFont="0" applyFill="0" applyBorder="0" applyProtection="0">
      <alignment horizontal="center" vertical="center" wrapText="1"/>
    </xf>
    <xf numFmtId="211" fontId="0" fillId="0" borderId="0" applyFont="0" applyFill="0" applyBorder="0" applyAlignment="0" applyProtection="0"/>
    <xf numFmtId="220" fontId="5" fillId="0" borderId="0"/>
    <xf numFmtId="220" fontId="0" fillId="0" borderId="0"/>
    <xf numFmtId="211" fontId="0" fillId="0" borderId="0" applyFont="0" applyFill="0" applyBorder="0" applyAlignment="0" applyProtection="0"/>
    <xf numFmtId="211" fontId="0" fillId="0" borderId="0" applyFont="0" applyFill="0" applyBorder="0" applyAlignment="0" applyProtection="0"/>
    <xf numFmtId="220" fontId="5" fillId="0" borderId="0"/>
    <xf numFmtId="220" fontId="5" fillId="0" borderId="0"/>
    <xf numFmtId="211" fontId="0" fillId="0" borderId="0" applyFont="0" applyFill="0" applyBorder="0" applyAlignment="0" applyProtection="0"/>
    <xf numFmtId="192" fontId="139" fillId="0" borderId="0">
      <alignment vertical="center"/>
    </xf>
    <xf numFmtId="220" fontId="5" fillId="0" borderId="0"/>
    <xf numFmtId="220" fontId="5" fillId="0" borderId="0"/>
    <xf numFmtId="211" fontId="0" fillId="0" borderId="0" applyFont="0" applyFill="0" applyBorder="0" applyAlignment="0" applyProtection="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5" fillId="0" borderId="0"/>
    <xf numFmtId="211" fontId="0" fillId="0" borderId="0" applyFont="0" applyFill="0" applyBorder="0" applyAlignment="0" applyProtection="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0" fillId="0" borderId="0"/>
    <xf numFmtId="211" fontId="0" fillId="0" borderId="0" applyFont="0" applyFill="0" applyBorder="0" applyAlignment="0" applyProtection="0"/>
    <xf numFmtId="220" fontId="5" fillId="0" borderId="0"/>
    <xf numFmtId="220" fontId="5" fillId="0" borderId="0"/>
    <xf numFmtId="211" fontId="0" fillId="0" borderId="0" applyFont="0" applyFill="0" applyBorder="0" applyAlignment="0" applyProtection="0"/>
    <xf numFmtId="211" fontId="0" fillId="0" borderId="0" applyFont="0" applyFill="0" applyBorder="0" applyAlignment="0" applyProtection="0"/>
    <xf numFmtId="220" fontId="5" fillId="0" borderId="0"/>
    <xf numFmtId="220" fontId="147" fillId="42" borderId="0" applyNumberFormat="0" applyBorder="0" applyAlignment="0" applyProtection="0">
      <alignment vertical="center"/>
    </xf>
    <xf numFmtId="220" fontId="139" fillId="0" borderId="0">
      <alignment vertical="center"/>
    </xf>
    <xf numFmtId="209" fontId="219" fillId="0" borderId="0" applyFont="0" applyFill="0" applyBorder="0" applyAlignment="0" applyProtection="0"/>
    <xf numFmtId="220" fontId="248" fillId="0" borderId="0" applyNumberFormat="0" applyFill="0" applyBorder="0" applyAlignment="0" applyProtection="0">
      <alignment vertical="center"/>
    </xf>
    <xf numFmtId="220" fontId="179" fillId="29" borderId="0" applyNumberFormat="0" applyBorder="0" applyAlignment="0" applyProtection="0"/>
    <xf numFmtId="212" fontId="0" fillId="0" borderId="0"/>
    <xf numFmtId="220" fontId="163" fillId="74" borderId="0" applyNumberFormat="0" applyBorder="0" applyAlignment="0" applyProtection="0"/>
    <xf numFmtId="220" fontId="139" fillId="85" borderId="0" applyNumberFormat="0" applyBorder="0" applyAlignment="0" applyProtection="0">
      <alignment vertical="center"/>
    </xf>
    <xf numFmtId="220" fontId="179" fillId="80" borderId="0" applyNumberFormat="0" applyBorder="0" applyAlignment="0" applyProtection="0"/>
    <xf numFmtId="220" fontId="5" fillId="0" borderId="0"/>
    <xf numFmtId="220" fontId="163" fillId="80" borderId="0" applyNumberFormat="0" applyBorder="0" applyAlignment="0" applyProtection="0"/>
    <xf numFmtId="220" fontId="139" fillId="5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191" fontId="145" fillId="0" borderId="0" applyFont="0" applyFill="0" applyBorder="0" applyAlignment="0" applyProtection="0"/>
    <xf numFmtId="41" fontId="145" fillId="0" borderId="0" applyFont="0" applyFill="0" applyBorder="0" applyAlignment="0" applyProtection="0"/>
    <xf numFmtId="220" fontId="139" fillId="0" borderId="0">
      <alignment vertical="center"/>
    </xf>
    <xf numFmtId="220" fontId="190" fillId="29" borderId="0" applyNumberFormat="0" applyBorder="0" applyAlignment="0" applyProtection="0">
      <alignment vertical="center"/>
    </xf>
    <xf numFmtId="43" fontId="0" fillId="0" borderId="0" applyFont="0" applyFill="0" applyBorder="0" applyAlignment="0" applyProtection="0"/>
    <xf numFmtId="220" fontId="5" fillId="0" borderId="0"/>
    <xf numFmtId="220" fontId="190" fillId="29" borderId="0" applyNumberFormat="0" applyBorder="0" applyAlignment="0" applyProtection="0">
      <alignment vertical="center"/>
    </xf>
    <xf numFmtId="220" fontId="190" fillId="29" borderId="0" applyNumberFormat="0" applyBorder="0" applyAlignment="0" applyProtection="0">
      <alignment vertical="center"/>
    </xf>
    <xf numFmtId="220" fontId="5" fillId="0" borderId="0"/>
    <xf numFmtId="220" fontId="5" fillId="0" borderId="0"/>
    <xf numFmtId="220" fontId="190" fillId="29" borderId="0" applyNumberFormat="0" applyBorder="0" applyAlignment="0" applyProtection="0">
      <alignment vertical="center"/>
    </xf>
    <xf numFmtId="220" fontId="5" fillId="0" borderId="0"/>
    <xf numFmtId="220" fontId="0" fillId="0" borderId="0"/>
    <xf numFmtId="220" fontId="5" fillId="0" borderId="0"/>
    <xf numFmtId="220" fontId="139" fillId="100" borderId="0" applyNumberFormat="0" applyBorder="0" applyAlignment="0" applyProtection="0">
      <alignment vertical="center"/>
    </xf>
    <xf numFmtId="220" fontId="5" fillId="0" borderId="0"/>
    <xf numFmtId="220" fontId="190" fillId="47" borderId="0" applyNumberFormat="0" applyBorder="0" applyAlignment="0" applyProtection="0">
      <alignment vertical="center"/>
    </xf>
    <xf numFmtId="43" fontId="5" fillId="0" borderId="0" applyFont="0" applyFill="0" applyBorder="0" applyAlignment="0" applyProtection="0"/>
    <xf numFmtId="220" fontId="5" fillId="0" borderId="0"/>
    <xf numFmtId="220" fontId="139" fillId="63" borderId="0" applyNumberFormat="0" applyBorder="0" applyAlignment="0" applyProtection="0">
      <alignment vertical="center"/>
    </xf>
    <xf numFmtId="220" fontId="0" fillId="0" borderId="0">
      <alignment vertical="center"/>
    </xf>
    <xf numFmtId="220" fontId="190" fillId="47" borderId="0" applyNumberFormat="0" applyBorder="0" applyAlignment="0" applyProtection="0">
      <alignment vertical="center"/>
    </xf>
    <xf numFmtId="220" fontId="5" fillId="0" borderId="0"/>
    <xf numFmtId="220" fontId="5" fillId="0" borderId="0"/>
    <xf numFmtId="220" fontId="152" fillId="63" borderId="0" applyNumberFormat="0" applyBorder="0" applyAlignment="0" applyProtection="0">
      <alignment vertical="center"/>
    </xf>
    <xf numFmtId="220" fontId="152" fillId="47" borderId="0" applyNumberFormat="0" applyBorder="0" applyAlignment="0" applyProtection="0">
      <alignment vertical="center"/>
    </xf>
    <xf numFmtId="220" fontId="139" fillId="0" borderId="0">
      <alignment vertical="center"/>
    </xf>
    <xf numFmtId="220" fontId="190" fillId="47" borderId="0" applyNumberFormat="0" applyBorder="0" applyAlignment="0" applyProtection="0">
      <alignment vertical="center"/>
    </xf>
    <xf numFmtId="220" fontId="5" fillId="0" borderId="0"/>
    <xf numFmtId="220" fontId="139" fillId="45"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191" fontId="257" fillId="0" borderId="0" applyFont="0" applyFill="0" applyBorder="0" applyAlignment="0" applyProtection="0"/>
    <xf numFmtId="220" fontId="5" fillId="0" borderId="0"/>
    <xf numFmtId="220" fontId="139" fillId="4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220" fontId="152" fillId="45"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90" fillId="42" borderId="0" applyNumberFormat="0" applyBorder="0" applyAlignment="0" applyProtection="0">
      <alignment vertical="center"/>
    </xf>
    <xf numFmtId="220" fontId="5" fillId="0" borderId="0"/>
    <xf numFmtId="220" fontId="5" fillId="0" borderId="0"/>
    <xf numFmtId="220" fontId="152" fillId="45" borderId="0" applyNumberFormat="0" applyBorder="0" applyAlignment="0" applyProtection="0">
      <alignment vertical="center"/>
    </xf>
    <xf numFmtId="220" fontId="190" fillId="74" borderId="0" applyNumberFormat="0" applyBorder="0" applyAlignment="0" applyProtection="0">
      <alignment vertical="center"/>
    </xf>
    <xf numFmtId="220" fontId="2" fillId="0" borderId="0"/>
    <xf numFmtId="220" fontId="152" fillId="45" borderId="0" applyNumberFormat="0" applyBorder="0" applyAlignment="0" applyProtection="0">
      <alignment vertical="center"/>
    </xf>
    <xf numFmtId="220" fontId="158" fillId="0" borderId="0" applyNumberFormat="0" applyBorder="0" applyAlignment="0">
      <alignment vertical="center"/>
      <protection locked="0"/>
    </xf>
    <xf numFmtId="220" fontId="190" fillId="74" borderId="0" applyNumberFormat="0" applyBorder="0" applyAlignment="0" applyProtection="0">
      <alignment vertical="center"/>
    </xf>
    <xf numFmtId="220" fontId="158" fillId="0" borderId="0" applyNumberFormat="0" applyBorder="0" applyAlignment="0" applyProtection="0">
      <alignment vertical="center"/>
    </xf>
    <xf numFmtId="220" fontId="152" fillId="60" borderId="0" applyNumberFormat="0" applyBorder="0" applyAlignment="0" applyProtection="0">
      <alignment vertical="center"/>
    </xf>
    <xf numFmtId="220" fontId="190" fillId="77" borderId="0" applyNumberFormat="0" applyBorder="0" applyAlignment="0" applyProtection="0">
      <alignment vertical="center"/>
    </xf>
    <xf numFmtId="220" fontId="5" fillId="0" borderId="0"/>
    <xf numFmtId="220" fontId="228" fillId="53" borderId="1"/>
    <xf numFmtId="220" fontId="139" fillId="63" borderId="0" applyNumberFormat="0" applyBorder="0" applyAlignment="0" applyProtection="0">
      <alignment vertical="center"/>
    </xf>
    <xf numFmtId="220" fontId="0" fillId="0" borderId="0"/>
    <xf numFmtId="220" fontId="190" fillId="80" borderId="0" applyNumberFormat="0" applyBorder="0" applyAlignment="0" applyProtection="0">
      <alignment vertical="center"/>
    </xf>
    <xf numFmtId="220" fontId="158" fillId="0" borderId="0" applyNumberFormat="0" applyBorder="0" applyAlignment="0" applyProtection="0">
      <alignment vertical="center"/>
    </xf>
    <xf numFmtId="220" fontId="228" fillId="53" borderId="1">
      <alignment vertical="center"/>
    </xf>
    <xf numFmtId="220" fontId="152" fillId="63" borderId="0" applyNumberFormat="0" applyBorder="0" applyAlignment="0" applyProtection="0">
      <alignment vertical="center"/>
    </xf>
    <xf numFmtId="220" fontId="0" fillId="0" borderId="0"/>
    <xf numFmtId="220" fontId="190" fillId="80" borderId="0" applyNumberFormat="0" applyBorder="0" applyAlignment="0" applyProtection="0">
      <alignment vertical="center"/>
    </xf>
    <xf numFmtId="220" fontId="5" fillId="0" borderId="0"/>
    <xf numFmtId="220" fontId="5" fillId="0" borderId="0"/>
    <xf numFmtId="220" fontId="5" fillId="0" borderId="0"/>
    <xf numFmtId="220" fontId="139" fillId="85" borderId="0" applyNumberFormat="0" applyBorder="0" applyAlignment="0" applyProtection="0">
      <alignment vertical="center"/>
    </xf>
    <xf numFmtId="220" fontId="161" fillId="54" borderId="0" applyNumberFormat="0" applyBorder="0" applyAlignment="0" applyProtection="0">
      <alignment vertical="center"/>
    </xf>
    <xf numFmtId="220" fontId="139" fillId="60" borderId="0" applyNumberFormat="0" applyBorder="0" applyAlignment="0" applyProtection="0">
      <alignment vertical="center"/>
    </xf>
    <xf numFmtId="220" fontId="139" fillId="108" borderId="0" applyNumberFormat="0" applyBorder="0" applyAlignment="0" applyProtection="0">
      <alignment vertical="center"/>
    </xf>
    <xf numFmtId="220" fontId="161" fillId="54" borderId="0" applyNumberFormat="0" applyBorder="0" applyAlignment="0" applyProtection="0">
      <alignment vertical="center"/>
    </xf>
    <xf numFmtId="220" fontId="139" fillId="108" borderId="0" applyNumberFormat="0" applyBorder="0" applyAlignment="0" applyProtection="0">
      <alignment vertical="center"/>
    </xf>
    <xf numFmtId="220" fontId="139" fillId="45" borderId="0" applyNumberFormat="0" applyBorder="0" applyAlignment="0" applyProtection="0">
      <alignment vertical="center"/>
    </xf>
    <xf numFmtId="220" fontId="152" fillId="29" borderId="0" applyNumberFormat="0" applyBorder="0" applyAlignment="0" applyProtection="0">
      <alignment vertical="center"/>
    </xf>
    <xf numFmtId="220" fontId="5" fillId="0" borderId="0"/>
    <xf numFmtId="220" fontId="139" fillId="0" borderId="0">
      <alignment vertical="center"/>
    </xf>
    <xf numFmtId="220" fontId="139" fillId="63" borderId="0" applyNumberFormat="0" applyBorder="0" applyAlignment="0" applyProtection="0">
      <alignment vertical="center"/>
    </xf>
    <xf numFmtId="220" fontId="152" fillId="93" borderId="0" applyNumberFormat="0" applyBorder="0" applyAlignment="0" applyProtection="0">
      <alignment vertical="center"/>
    </xf>
    <xf numFmtId="220" fontId="139" fillId="63" borderId="0" applyNumberFormat="0" applyBorder="0" applyAlignment="0" applyProtection="0">
      <alignment vertical="center"/>
    </xf>
    <xf numFmtId="220" fontId="139" fillId="0" borderId="0">
      <alignment vertical="center"/>
    </xf>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52" fillId="29" borderId="0" applyNumberFormat="0" applyBorder="0" applyAlignment="0" applyProtection="0">
      <alignment vertical="center"/>
    </xf>
    <xf numFmtId="220" fontId="147" fillId="42" borderId="0" applyNumberFormat="0" applyBorder="0" applyAlignment="0" applyProtection="0">
      <alignment vertical="center"/>
    </xf>
    <xf numFmtId="220" fontId="139" fillId="63" borderId="0" applyNumberFormat="0" applyBorder="0" applyAlignment="0" applyProtection="0">
      <alignment vertical="center"/>
    </xf>
    <xf numFmtId="220" fontId="142" fillId="38" borderId="0" applyNumberFormat="0" applyBorder="0" applyAlignment="0" applyProtection="0">
      <alignment vertical="center"/>
    </xf>
    <xf numFmtId="220" fontId="139" fillId="63" borderId="0" applyNumberFormat="0" applyBorder="0" applyAlignment="0" applyProtection="0">
      <alignment vertical="center"/>
    </xf>
    <xf numFmtId="220" fontId="0" fillId="0" borderId="0"/>
    <xf numFmtId="220" fontId="5" fillId="0" borderId="0"/>
    <xf numFmtId="220" fontId="166" fillId="93" borderId="0" applyNumberFormat="0" applyBorder="0" applyAlignment="0" applyProtection="0">
      <alignment vertical="center"/>
    </xf>
    <xf numFmtId="220" fontId="139" fillId="63" borderId="0" applyNumberFormat="0" applyBorder="0" applyAlignment="0" applyProtection="0">
      <alignment vertical="center"/>
    </xf>
    <xf numFmtId="220" fontId="161" fillId="54" borderId="0" applyNumberFormat="0" applyBorder="0" applyAlignment="0" applyProtection="0">
      <alignment vertical="center"/>
    </xf>
    <xf numFmtId="220" fontId="157" fillId="47" borderId="0" applyNumberFormat="0" applyBorder="0" applyAlignment="0" applyProtection="0">
      <alignment vertical="center"/>
    </xf>
    <xf numFmtId="220" fontId="152" fillId="29" borderId="0" applyNumberFormat="0" applyBorder="0" applyAlignment="0" applyProtection="0">
      <alignment vertical="center"/>
    </xf>
    <xf numFmtId="220" fontId="166" fillId="98" borderId="0" applyNumberFormat="0" applyBorder="0" applyAlignment="0" applyProtection="0">
      <alignment vertical="center"/>
    </xf>
    <xf numFmtId="220" fontId="152" fillId="29"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66" fillId="98" borderId="0" applyNumberFormat="0" applyBorder="0" applyAlignment="0" applyProtection="0">
      <alignment vertical="center"/>
    </xf>
    <xf numFmtId="220" fontId="152" fillId="29" borderId="0" applyNumberFormat="0" applyBorder="0" applyAlignment="0" applyProtection="0">
      <alignment vertical="center"/>
    </xf>
    <xf numFmtId="220" fontId="157" fillId="47" borderId="0" applyNumberFormat="0" applyBorder="0" applyAlignment="0" applyProtection="0">
      <alignment vertical="center"/>
    </xf>
    <xf numFmtId="220" fontId="152" fillId="45" borderId="0" applyNumberFormat="0" applyBorder="0" applyAlignment="0" applyProtection="0">
      <alignment vertical="center"/>
    </xf>
    <xf numFmtId="220" fontId="5" fillId="0" borderId="0"/>
    <xf numFmtId="39" fontId="213" fillId="0" borderId="0" applyFont="0" applyFill="0" applyBorder="0" applyAlignment="0" applyProtection="0"/>
    <xf numFmtId="220" fontId="139" fillId="63" borderId="0" applyNumberFormat="0" applyBorder="0" applyAlignment="0" applyProtection="0">
      <alignment vertical="center"/>
    </xf>
    <xf numFmtId="220" fontId="5" fillId="0" borderId="0"/>
    <xf numFmtId="39" fontId="213" fillId="0" borderId="0" applyFont="0" applyFill="0" applyBorder="0" applyAlignment="0" applyProtection="0"/>
    <xf numFmtId="220" fontId="139" fillId="85" borderId="0" applyNumberFormat="0" applyBorder="0" applyAlignment="0" applyProtection="0">
      <alignment vertical="center"/>
    </xf>
    <xf numFmtId="220" fontId="0" fillId="0" borderId="0"/>
    <xf numFmtId="220" fontId="139" fillId="63" borderId="0" applyNumberFormat="0" applyBorder="0" applyAlignment="0" applyProtection="0">
      <alignment vertical="center"/>
    </xf>
    <xf numFmtId="220" fontId="5" fillId="0" borderId="0"/>
    <xf numFmtId="220" fontId="139" fillId="108" borderId="0" applyNumberFormat="0" applyBorder="0" applyAlignment="0" applyProtection="0">
      <alignment vertical="center"/>
    </xf>
    <xf numFmtId="220" fontId="5" fillId="0" borderId="0"/>
    <xf numFmtId="220" fontId="139" fillId="108" borderId="0" applyNumberFormat="0" applyBorder="0" applyAlignment="0" applyProtection="0">
      <alignment vertical="center"/>
    </xf>
    <xf numFmtId="220" fontId="147" fillId="42" borderId="0" applyNumberFormat="0" applyBorder="0" applyAlignment="0" applyProtection="0">
      <alignment vertical="center"/>
    </xf>
    <xf numFmtId="220" fontId="139" fillId="85" borderId="0" applyNumberFormat="0" applyBorder="0" applyAlignment="0" applyProtection="0">
      <alignment vertical="center"/>
    </xf>
    <xf numFmtId="220" fontId="152" fillId="29" borderId="0" applyNumberFormat="0" applyBorder="0" applyAlignment="0" applyProtection="0">
      <alignment vertical="center"/>
    </xf>
    <xf numFmtId="220" fontId="5" fillId="0" borderId="0"/>
    <xf numFmtId="220" fontId="152" fillId="63" borderId="0" applyNumberFormat="0" applyBorder="0" applyAlignment="0" applyProtection="0">
      <alignment vertical="center"/>
    </xf>
    <xf numFmtId="220" fontId="152" fillId="29" borderId="0" applyNumberFormat="0" applyBorder="0" applyAlignment="0" applyProtection="0">
      <alignment vertical="center"/>
    </xf>
    <xf numFmtId="220" fontId="5" fillId="0" borderId="0"/>
    <xf numFmtId="220" fontId="152" fillId="63" borderId="0" applyNumberFormat="0" applyBorder="0" applyAlignment="0" applyProtection="0">
      <alignment vertical="center"/>
    </xf>
    <xf numFmtId="220" fontId="152" fillId="29" borderId="0" applyNumberFormat="0" applyBorder="0" applyAlignment="0" applyProtection="0">
      <alignment vertical="center"/>
    </xf>
    <xf numFmtId="220" fontId="152" fillId="63" borderId="0" applyNumberFormat="0" applyBorder="0" applyAlignment="0" applyProtection="0">
      <alignment vertical="center"/>
    </xf>
    <xf numFmtId="220" fontId="157" fillId="47" borderId="0" applyNumberFormat="0" applyBorder="0" applyAlignment="0" applyProtection="0">
      <alignment vertical="center"/>
    </xf>
    <xf numFmtId="220" fontId="152" fillId="63" borderId="0" applyNumberFormat="0" applyBorder="0" applyAlignment="0" applyProtection="0">
      <alignment vertical="center"/>
    </xf>
    <xf numFmtId="220" fontId="157" fillId="47" borderId="0" applyNumberFormat="0" applyBorder="0" applyAlignment="0" applyProtection="0">
      <alignment vertical="center"/>
    </xf>
    <xf numFmtId="220" fontId="152" fillId="63" borderId="0" applyNumberFormat="0" applyBorder="0" applyAlignment="0" applyProtection="0">
      <alignment vertical="center"/>
    </xf>
    <xf numFmtId="220" fontId="152" fillId="4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39" fillId="45" borderId="0" applyNumberFormat="0" applyBorder="0" applyAlignment="0" applyProtection="0">
      <alignment vertical="center"/>
    </xf>
    <xf numFmtId="220" fontId="150" fillId="35" borderId="0" applyNumberFormat="0" applyBorder="0" applyAlignment="0" applyProtection="0">
      <alignment vertical="center"/>
    </xf>
    <xf numFmtId="220" fontId="139" fillId="50" borderId="0" applyNumberFormat="0" applyBorder="0" applyAlignment="0" applyProtection="0">
      <alignment vertical="center"/>
    </xf>
    <xf numFmtId="220" fontId="139" fillId="50" borderId="0" applyNumberFormat="0" applyBorder="0" applyAlignment="0" applyProtection="0">
      <alignment vertical="center"/>
    </xf>
    <xf numFmtId="220" fontId="139" fillId="45" borderId="0" applyNumberFormat="0" applyBorder="0" applyAlignment="0" applyProtection="0">
      <alignment vertical="center"/>
    </xf>
    <xf numFmtId="220" fontId="152" fillId="47" borderId="0" applyNumberFormat="0" applyBorder="0" applyAlignment="0" applyProtection="0">
      <alignment vertical="center"/>
    </xf>
    <xf numFmtId="220" fontId="5" fillId="0" borderId="0"/>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152" fillId="47" borderId="0" applyNumberFormat="0" applyBorder="0" applyAlignment="0" applyProtection="0">
      <alignment vertical="center"/>
    </xf>
    <xf numFmtId="220" fontId="142" fillId="38" borderId="0" applyNumberFormat="0" applyBorder="0" applyAlignment="0" applyProtection="0">
      <alignment vertical="center"/>
    </xf>
    <xf numFmtId="220" fontId="139" fillId="45"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0" fillId="0" borderId="0"/>
    <xf numFmtId="220" fontId="158" fillId="0" borderId="0" applyNumberFormat="0" applyBorder="0" applyAlignment="0">
      <alignment vertical="center"/>
      <protection locked="0"/>
    </xf>
    <xf numFmtId="220" fontId="152"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39" fillId="19" borderId="0" applyNumberFormat="0" applyBorder="0" applyAlignment="0" applyProtection="0">
      <alignment vertical="center"/>
    </xf>
    <xf numFmtId="220" fontId="152" fillId="47" borderId="0" applyNumberFormat="0" applyBorder="0" applyAlignment="0" applyProtection="0">
      <alignment vertical="center"/>
    </xf>
    <xf numFmtId="220" fontId="150" fillId="35" borderId="0" applyNumberFormat="0" applyBorder="0" applyAlignment="0" applyProtection="0">
      <alignment vertical="center"/>
    </xf>
    <xf numFmtId="220" fontId="152" fillId="47" borderId="0" applyNumberFormat="0" applyBorder="0" applyAlignment="0" applyProtection="0">
      <alignment vertical="center"/>
    </xf>
    <xf numFmtId="220" fontId="5" fillId="0" borderId="0"/>
    <xf numFmtId="220" fontId="5" fillId="0" borderId="0"/>
    <xf numFmtId="220" fontId="139" fillId="19" borderId="0" applyNumberFormat="0" applyBorder="0" applyAlignment="0" applyProtection="0">
      <alignment vertical="center"/>
    </xf>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152" fillId="45" borderId="0" applyNumberFormat="0" applyBorder="0" applyAlignment="0" applyProtection="0">
      <alignment vertical="center"/>
    </xf>
    <xf numFmtId="220" fontId="5" fillId="0" borderId="0"/>
    <xf numFmtId="220" fontId="152" fillId="47" borderId="0" applyNumberFormat="0" applyBorder="0" applyAlignment="0" applyProtection="0">
      <alignment vertical="center"/>
    </xf>
    <xf numFmtId="220" fontId="152" fillId="45" borderId="0" applyNumberFormat="0" applyBorder="0" applyAlignment="0" applyProtection="0">
      <alignment vertical="center"/>
    </xf>
    <xf numFmtId="220" fontId="157" fillId="47" borderId="0" applyNumberFormat="0" applyBorder="0" applyAlignment="0" applyProtection="0">
      <alignment vertical="center"/>
    </xf>
    <xf numFmtId="220" fontId="139" fillId="101"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39" fillId="101" borderId="0" applyNumberFormat="0" applyBorder="0" applyAlignment="0" applyProtection="0">
      <alignment vertical="center"/>
    </xf>
    <xf numFmtId="220" fontId="5" fillId="0" borderId="0"/>
    <xf numFmtId="220" fontId="139" fillId="101" borderId="0" applyNumberFormat="0" applyBorder="0" applyAlignment="0" applyProtection="0">
      <alignment vertical="center"/>
    </xf>
    <xf numFmtId="220" fontId="5" fillId="0" borderId="0"/>
    <xf numFmtId="220" fontId="5" fillId="0" borderId="0"/>
    <xf numFmtId="220" fontId="139" fillId="45" borderId="0" applyNumberFormat="0" applyBorder="0" applyAlignment="0" applyProtection="0">
      <alignment vertical="center"/>
    </xf>
    <xf numFmtId="220" fontId="190" fillId="93" borderId="0" applyNumberFormat="0" applyBorder="0" applyAlignment="0" applyProtection="0">
      <alignment vertical="center"/>
    </xf>
    <xf numFmtId="220" fontId="157" fillId="47" borderId="0" applyNumberFormat="0" applyBorder="0" applyAlignment="0" applyProtection="0">
      <alignment vertical="center"/>
    </xf>
    <xf numFmtId="220" fontId="139" fillId="45" borderId="0" applyNumberFormat="0" applyBorder="0" applyAlignment="0" applyProtection="0">
      <alignment vertical="center"/>
    </xf>
    <xf numFmtId="220" fontId="5" fillId="0" borderId="0"/>
    <xf numFmtId="220" fontId="5" fillId="0" borderId="0"/>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52" fillId="42"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39" fillId="2" borderId="0" applyNumberFormat="0" applyBorder="0" applyAlignment="0" applyProtection="0">
      <alignment vertical="center"/>
    </xf>
    <xf numFmtId="220" fontId="152" fillId="42" borderId="0" applyNumberFormat="0" applyBorder="0" applyAlignment="0" applyProtection="0">
      <alignment vertical="center"/>
    </xf>
    <xf numFmtId="220" fontId="5" fillId="0" borderId="0"/>
    <xf numFmtId="220" fontId="5" fillId="0" borderId="0"/>
    <xf numFmtId="220" fontId="152" fillId="42" borderId="0" applyNumberFormat="0" applyBorder="0" applyAlignment="0" applyProtection="0">
      <alignment vertical="center"/>
    </xf>
    <xf numFmtId="220" fontId="190" fillId="74" borderId="0" applyNumberFormat="0" applyBorder="0" applyAlignment="0" applyProtection="0">
      <alignment vertical="center"/>
    </xf>
    <xf numFmtId="220" fontId="139" fillId="2" borderId="0" applyNumberFormat="0" applyBorder="0" applyAlignment="0" applyProtection="0">
      <alignment vertical="center"/>
    </xf>
    <xf numFmtId="220" fontId="5" fillId="0" borderId="0"/>
    <xf numFmtId="220" fontId="139" fillId="45" borderId="0" applyNumberFormat="0" applyBorder="0" applyAlignment="0" applyProtection="0">
      <alignment vertical="center"/>
    </xf>
    <xf numFmtId="220" fontId="152" fillId="42" borderId="0" applyNumberFormat="0" applyBorder="0" applyAlignment="0" applyProtection="0">
      <alignment vertical="center"/>
    </xf>
    <xf numFmtId="220" fontId="152" fillId="45" borderId="0" applyNumberFormat="0" applyBorder="0" applyAlignment="0" applyProtection="0">
      <alignment vertical="center"/>
    </xf>
    <xf numFmtId="220" fontId="152" fillId="42" borderId="0" applyNumberFormat="0" applyBorder="0" applyAlignment="0" applyProtection="0">
      <alignment vertical="center"/>
    </xf>
    <xf numFmtId="220" fontId="5" fillId="0" borderId="0"/>
    <xf numFmtId="220" fontId="152" fillId="45" borderId="0" applyNumberFormat="0" applyBorder="0" applyAlignment="0" applyProtection="0">
      <alignment vertical="center"/>
    </xf>
    <xf numFmtId="220" fontId="5" fillId="0" borderId="0"/>
    <xf numFmtId="220" fontId="152" fillId="45" borderId="0" applyNumberFormat="0" applyBorder="0" applyAlignment="0" applyProtection="0">
      <alignment vertical="center"/>
    </xf>
    <xf numFmtId="220" fontId="5" fillId="0" borderId="0"/>
    <xf numFmtId="220" fontId="152" fillId="45" borderId="0" applyNumberFormat="0" applyBorder="0" applyAlignment="0" applyProtection="0">
      <alignment vertical="center"/>
    </xf>
    <xf numFmtId="220" fontId="139" fillId="9" borderId="0" applyNumberFormat="0" applyBorder="0" applyAlignment="0" applyProtection="0">
      <alignment vertical="center"/>
    </xf>
    <xf numFmtId="220" fontId="139" fillId="60" borderId="0" applyNumberFormat="0" applyBorder="0" applyAlignment="0" applyProtection="0">
      <alignment vertical="center"/>
    </xf>
    <xf numFmtId="220" fontId="139" fillId="60" borderId="0" applyNumberFormat="0" applyBorder="0" applyAlignment="0" applyProtection="0">
      <alignment vertical="center"/>
    </xf>
    <xf numFmtId="220" fontId="139" fillId="60" borderId="0" applyNumberFormat="0" applyBorder="0" applyAlignment="0" applyProtection="0">
      <alignment vertical="center"/>
    </xf>
    <xf numFmtId="220" fontId="152" fillId="74" borderId="0" applyNumberFormat="0" applyBorder="0" applyAlignment="0" applyProtection="0">
      <alignment vertical="center"/>
    </xf>
    <xf numFmtId="220" fontId="152" fillId="74" borderId="0" applyNumberFormat="0" applyBorder="0" applyAlignment="0" applyProtection="0">
      <alignment vertical="center"/>
    </xf>
    <xf numFmtId="220" fontId="0" fillId="0" borderId="0"/>
    <xf numFmtId="220" fontId="148" fillId="124" borderId="0" applyNumberFormat="0" applyBorder="0" applyAlignment="0" applyProtection="0">
      <alignment vertical="center"/>
    </xf>
    <xf numFmtId="220" fontId="152" fillId="74" borderId="0" applyNumberFormat="0" applyBorder="0" applyAlignment="0" applyProtection="0">
      <alignment vertical="center"/>
    </xf>
    <xf numFmtId="220" fontId="0" fillId="0" borderId="0"/>
    <xf numFmtId="220" fontId="139" fillId="40" borderId="0" applyNumberFormat="0" applyBorder="0" applyAlignment="0" applyProtection="0">
      <alignment vertical="center"/>
    </xf>
    <xf numFmtId="198" fontId="0" fillId="0" borderId="0"/>
    <xf numFmtId="220" fontId="139" fillId="60" borderId="0" applyNumberFormat="0" applyBorder="0" applyAlignment="0" applyProtection="0">
      <alignment vertical="center"/>
    </xf>
    <xf numFmtId="212" fontId="0" fillId="0" borderId="0"/>
    <xf numFmtId="220" fontId="139" fillId="60"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2" fillId="74" borderId="0" applyNumberFormat="0" applyBorder="0" applyAlignment="0" applyProtection="0">
      <alignment vertical="center"/>
    </xf>
    <xf numFmtId="220" fontId="152" fillId="60" borderId="0" applyNumberFormat="0" applyBorder="0" applyAlignment="0" applyProtection="0">
      <alignment vertical="center"/>
    </xf>
    <xf numFmtId="198" fontId="0" fillId="0" borderId="0"/>
    <xf numFmtId="220" fontId="152" fillId="74" borderId="0" applyNumberFormat="0" applyBorder="0" applyAlignment="0" applyProtection="0">
      <alignment vertical="center"/>
    </xf>
    <xf numFmtId="220" fontId="152" fillId="60" borderId="0" applyNumberFormat="0" applyBorder="0" applyAlignment="0" applyProtection="0">
      <alignment vertical="center"/>
    </xf>
    <xf numFmtId="220" fontId="5" fillId="0" borderId="0"/>
    <xf numFmtId="220" fontId="152" fillId="60" borderId="0" applyNumberFormat="0" applyBorder="0" applyAlignment="0" applyProtection="0">
      <alignment vertical="center"/>
    </xf>
    <xf numFmtId="220" fontId="0" fillId="0" borderId="0"/>
    <xf numFmtId="220" fontId="139" fillId="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39" fillId="8"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139" fillId="48" borderId="0" applyNumberFormat="0" applyBorder="0" applyAlignment="0" applyProtection="0">
      <alignment vertical="center"/>
    </xf>
    <xf numFmtId="220" fontId="152" fillId="45"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2" fillId="77" borderId="0" applyNumberFormat="0" applyBorder="0" applyAlignment="0" applyProtection="0">
      <alignment vertical="center"/>
    </xf>
    <xf numFmtId="220" fontId="150" fillId="35" borderId="0" applyNumberFormat="0" applyBorder="0" applyAlignment="0" applyProtection="0">
      <alignment vertical="center"/>
    </xf>
    <xf numFmtId="220" fontId="152" fillId="45"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0" fillId="0" borderId="0"/>
    <xf numFmtId="220" fontId="152" fillId="4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163" fillId="54" borderId="0" applyNumberFormat="0" applyBorder="0" applyAlignment="0" applyProtection="0"/>
    <xf numFmtId="220" fontId="139" fillId="57" borderId="0" applyNumberFormat="0" applyBorder="0" applyAlignment="0" applyProtection="0">
      <alignment vertical="center"/>
    </xf>
    <xf numFmtId="220" fontId="139" fillId="63" borderId="0" applyNumberFormat="0" applyBorder="0" applyAlignment="0" applyProtection="0">
      <alignment vertical="center"/>
    </xf>
    <xf numFmtId="220" fontId="139" fillId="57" borderId="0" applyNumberFormat="0" applyBorder="0" applyAlignment="0" applyProtection="0">
      <alignment vertical="center"/>
    </xf>
    <xf numFmtId="220" fontId="139" fillId="63" borderId="0" applyNumberFormat="0" applyBorder="0" applyAlignment="0" applyProtection="0">
      <alignment vertical="center"/>
    </xf>
    <xf numFmtId="220" fontId="139" fillId="18" borderId="0" applyNumberFormat="0" applyBorder="0" applyAlignment="0" applyProtection="0">
      <alignment vertical="center"/>
    </xf>
    <xf numFmtId="220" fontId="152" fillId="77" borderId="0" applyNumberFormat="0" applyBorder="0" applyAlignment="0" applyProtection="0">
      <alignment vertical="center"/>
    </xf>
    <xf numFmtId="220" fontId="152" fillId="45" borderId="0" applyNumberFormat="0" applyBorder="0" applyAlignment="0" applyProtection="0">
      <alignment vertical="center"/>
    </xf>
    <xf numFmtId="220" fontId="158" fillId="0" borderId="0" applyNumberFormat="0" applyBorder="0" applyAlignment="0">
      <alignment vertical="center"/>
      <protection locked="0"/>
    </xf>
    <xf numFmtId="220" fontId="139" fillId="63" borderId="0" applyNumberFormat="0" applyBorder="0" applyAlignment="0" applyProtection="0">
      <alignment vertical="center"/>
    </xf>
    <xf numFmtId="220" fontId="152" fillId="45" borderId="0" applyNumberFormat="0" applyBorder="0" applyAlignment="0" applyProtection="0">
      <alignment vertical="center"/>
    </xf>
    <xf numFmtId="220" fontId="152" fillId="77" borderId="0" applyNumberFormat="0" applyBorder="0" applyAlignment="0" applyProtection="0">
      <alignment vertical="center"/>
    </xf>
    <xf numFmtId="233" fontId="151" fillId="0" borderId="0" applyFill="0" applyBorder="0" applyAlignment="0"/>
    <xf numFmtId="220" fontId="152" fillId="45" borderId="0" applyNumberFormat="0" applyBorder="0" applyAlignment="0" applyProtection="0">
      <alignment vertical="center"/>
    </xf>
    <xf numFmtId="220" fontId="152" fillId="77" borderId="0" applyNumberFormat="0" applyBorder="0" applyAlignment="0" applyProtection="0">
      <alignment vertical="center"/>
    </xf>
    <xf numFmtId="220" fontId="5" fillId="0" borderId="0"/>
    <xf numFmtId="220" fontId="152" fillId="77" borderId="0" applyNumberFormat="0" applyBorder="0" applyAlignment="0" applyProtection="0">
      <alignment vertical="center"/>
    </xf>
    <xf numFmtId="220" fontId="5" fillId="0" borderId="0"/>
    <xf numFmtId="220" fontId="139" fillId="63" borderId="0" applyNumberFormat="0" applyBorder="0" applyAlignment="0" applyProtection="0">
      <alignment vertical="center"/>
    </xf>
    <xf numFmtId="220" fontId="5" fillId="0" borderId="0"/>
    <xf numFmtId="220" fontId="139" fillId="8"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139" fillId="8" borderId="0" applyNumberFormat="0" applyBorder="0" applyAlignment="0" applyProtection="0">
      <alignment vertical="center"/>
    </xf>
    <xf numFmtId="220" fontId="147" fillId="42" borderId="0" applyNumberFormat="0" applyBorder="0" applyAlignment="0" applyProtection="0">
      <alignment vertical="center"/>
    </xf>
    <xf numFmtId="220" fontId="152" fillId="77" borderId="0" applyNumberFormat="0" applyBorder="0" applyAlignment="0" applyProtection="0">
      <alignment vertical="center"/>
    </xf>
    <xf numFmtId="220" fontId="5" fillId="0" borderId="0"/>
    <xf numFmtId="220" fontId="139" fillId="8" borderId="0" applyNumberFormat="0" applyBorder="0" applyAlignment="0" applyProtection="0">
      <alignment vertical="center"/>
    </xf>
    <xf numFmtId="220" fontId="152" fillId="63" borderId="0" applyNumberFormat="0" applyBorder="0" applyAlignment="0" applyProtection="0">
      <alignment vertical="center"/>
    </xf>
    <xf numFmtId="220" fontId="152" fillId="77" borderId="0" applyNumberFormat="0" applyBorder="0" applyAlignment="0" applyProtection="0">
      <alignment vertical="center"/>
    </xf>
    <xf numFmtId="220" fontId="152" fillId="63" borderId="0" applyNumberFormat="0" applyBorder="0" applyAlignment="0" applyProtection="0">
      <alignment vertical="center"/>
    </xf>
    <xf numFmtId="220" fontId="5" fillId="0" borderId="0"/>
    <xf numFmtId="220" fontId="152" fillId="63" borderId="0" applyNumberFormat="0" applyBorder="0" applyAlignment="0" applyProtection="0">
      <alignment vertical="center"/>
    </xf>
    <xf numFmtId="220" fontId="152" fillId="63" borderId="0" applyNumberFormat="0" applyBorder="0" applyAlignment="0" applyProtection="0">
      <alignment vertical="center"/>
    </xf>
    <xf numFmtId="220" fontId="139" fillId="48" borderId="0" applyNumberFormat="0" applyBorder="0" applyAlignment="0" applyProtection="0">
      <alignment vertical="center"/>
    </xf>
    <xf numFmtId="220" fontId="5" fillId="0" borderId="0"/>
    <xf numFmtId="220" fontId="152" fillId="80" borderId="0" applyNumberFormat="0" applyBorder="0" applyAlignment="0" applyProtection="0">
      <alignment vertical="center"/>
    </xf>
    <xf numFmtId="220" fontId="139" fillId="48" borderId="0" applyNumberFormat="0" applyBorder="0" applyAlignment="0" applyProtection="0">
      <alignment vertical="center"/>
    </xf>
    <xf numFmtId="220" fontId="139" fillId="4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39" fillId="48" borderId="0" applyNumberFormat="0" applyBorder="0" applyAlignment="0" applyProtection="0">
      <alignment vertical="center"/>
    </xf>
    <xf numFmtId="220" fontId="5" fillId="0" borderId="0"/>
    <xf numFmtId="220" fontId="152" fillId="80" borderId="0" applyNumberFormat="0" applyBorder="0" applyAlignment="0" applyProtection="0">
      <alignment vertical="center"/>
    </xf>
    <xf numFmtId="220" fontId="152" fillId="80" borderId="0" applyNumberFormat="0" applyBorder="0" applyAlignment="0" applyProtection="0">
      <alignment vertical="center"/>
    </xf>
    <xf numFmtId="220" fontId="152" fillId="80" borderId="0" applyNumberFormat="0" applyBorder="0" applyAlignment="0" applyProtection="0">
      <alignment vertical="center"/>
    </xf>
    <xf numFmtId="220" fontId="139" fillId="57" borderId="0" applyNumberFormat="0" applyBorder="0" applyAlignment="0" applyProtection="0">
      <alignment vertical="center"/>
    </xf>
    <xf numFmtId="220" fontId="139" fillId="48" borderId="0" applyNumberFormat="0" applyBorder="0" applyAlignment="0" applyProtection="0">
      <alignment vertical="center"/>
    </xf>
    <xf numFmtId="220" fontId="139" fillId="48" borderId="0" applyNumberFormat="0" applyBorder="0" applyAlignment="0" applyProtection="0">
      <alignment vertical="center"/>
    </xf>
    <xf numFmtId="220" fontId="5" fillId="0" borderId="0"/>
    <xf numFmtId="220" fontId="139" fillId="57" borderId="0" applyNumberFormat="0" applyBorder="0" applyAlignment="0" applyProtection="0">
      <alignment vertical="center"/>
    </xf>
    <xf numFmtId="220" fontId="152" fillId="80" borderId="0" applyNumberFormat="0" applyBorder="0" applyAlignment="0" applyProtection="0">
      <alignment vertical="center"/>
    </xf>
    <xf numFmtId="220" fontId="139" fillId="57" borderId="0" applyNumberFormat="0" applyBorder="0" applyAlignment="0" applyProtection="0">
      <alignment vertical="center"/>
    </xf>
    <xf numFmtId="220" fontId="5" fillId="0" borderId="0"/>
    <xf numFmtId="37" fontId="224" fillId="0" borderId="0"/>
    <xf numFmtId="220" fontId="152" fillId="80" borderId="0" applyNumberFormat="0" applyBorder="0" applyAlignment="0" applyProtection="0">
      <alignment vertical="center"/>
    </xf>
    <xf numFmtId="220" fontId="152" fillId="48" borderId="0" applyNumberFormat="0" applyBorder="0" applyAlignment="0" applyProtection="0">
      <alignment vertical="center"/>
    </xf>
    <xf numFmtId="220" fontId="5" fillId="0" borderId="0"/>
    <xf numFmtId="220" fontId="152" fillId="48" borderId="0" applyNumberFormat="0" applyBorder="0" applyAlignment="0" applyProtection="0">
      <alignment vertical="center"/>
    </xf>
    <xf numFmtId="220" fontId="152" fillId="48" borderId="0" applyNumberFormat="0" applyBorder="0" applyAlignment="0" applyProtection="0">
      <alignment vertical="center"/>
    </xf>
    <xf numFmtId="220" fontId="152" fillId="48" borderId="0" applyNumberFormat="0" applyBorder="0" applyAlignment="0" applyProtection="0">
      <alignment vertical="center"/>
    </xf>
    <xf numFmtId="220" fontId="150" fillId="35" borderId="0" applyNumberFormat="0" applyBorder="0" applyAlignment="0" applyProtection="0">
      <alignment vertical="center"/>
    </xf>
    <xf numFmtId="220" fontId="145" fillId="0" borderId="0" applyBorder="0"/>
    <xf numFmtId="220" fontId="145" fillId="0" borderId="0" applyBorder="0">
      <protection locked="0"/>
    </xf>
    <xf numFmtId="220" fontId="145" fillId="0" borderId="0" applyBorder="0"/>
    <xf numFmtId="220" fontId="90" fillId="0" borderId="0"/>
    <xf numFmtId="191" fontId="257" fillId="0" borderId="0" applyFont="0" applyFill="0" applyBorder="0" applyAlignment="0" applyProtection="0"/>
    <xf numFmtId="220" fontId="163" fillId="44" borderId="0" applyNumberFormat="0" applyBorder="0" applyAlignment="0" applyProtection="0"/>
    <xf numFmtId="220" fontId="0" fillId="0" borderId="0"/>
    <xf numFmtId="220" fontId="5" fillId="0" borderId="0"/>
    <xf numFmtId="220" fontId="179" fillId="54" borderId="0" applyNumberFormat="0" applyBorder="0" applyAlignment="0" applyProtection="0"/>
    <xf numFmtId="191" fontId="163" fillId="0" borderId="0" applyFont="0" applyFill="0" applyBorder="0" applyAlignment="0" applyProtection="0"/>
    <xf numFmtId="220" fontId="70" fillId="0" borderId="0" applyNumberFormat="0" applyFill="0" applyBorder="0" applyAlignment="0" applyProtection="0">
      <alignment vertical="top"/>
      <protection locked="0"/>
    </xf>
    <xf numFmtId="220" fontId="5" fillId="0" borderId="0"/>
    <xf numFmtId="220" fontId="179" fillId="93" borderId="0" applyNumberFormat="0" applyBorder="0" applyAlignment="0" applyProtection="0"/>
    <xf numFmtId="220" fontId="163" fillId="44" borderId="0" applyNumberFormat="0" applyBorder="0" applyAlignment="0" applyProtection="0"/>
    <xf numFmtId="220" fontId="157" fillId="47" borderId="0" applyNumberFormat="0" applyBorder="0" applyAlignment="0" applyProtection="0">
      <alignment vertical="center"/>
    </xf>
    <xf numFmtId="220" fontId="5" fillId="0" borderId="0"/>
    <xf numFmtId="220" fontId="190" fillId="44" borderId="0" applyNumberFormat="0" applyBorder="0" applyAlignment="0" applyProtection="0">
      <alignment vertical="center"/>
    </xf>
    <xf numFmtId="220" fontId="5" fillId="0" borderId="0"/>
    <xf numFmtId="220" fontId="190" fillId="44" borderId="0" applyNumberFormat="0" applyBorder="0" applyAlignment="0" applyProtection="0">
      <alignment vertical="center"/>
    </xf>
    <xf numFmtId="220" fontId="142" fillId="38" borderId="0" applyNumberFormat="0" applyBorder="0" applyAlignment="0" applyProtection="0">
      <alignment vertical="center"/>
    </xf>
    <xf numFmtId="191" fontId="163" fillId="0" borderId="0" applyFont="0" applyFill="0" applyBorder="0" applyAlignment="0" applyProtection="0"/>
    <xf numFmtId="220" fontId="190" fillId="54" borderId="0" applyNumberFormat="0" applyBorder="0" applyAlignment="0" applyProtection="0">
      <alignment vertical="center"/>
    </xf>
    <xf numFmtId="220" fontId="190" fillId="54" borderId="0" applyNumberFormat="0" applyBorder="0" applyAlignment="0" applyProtection="0">
      <alignment vertical="center"/>
    </xf>
    <xf numFmtId="220" fontId="5" fillId="0" borderId="0"/>
    <xf numFmtId="220" fontId="5" fillId="0" borderId="0"/>
    <xf numFmtId="220" fontId="190" fillId="74" borderId="0" applyNumberFormat="0" applyBorder="0" applyAlignment="0" applyProtection="0">
      <alignment vertical="center"/>
    </xf>
    <xf numFmtId="220" fontId="0" fillId="0" borderId="0"/>
    <xf numFmtId="43" fontId="221" fillId="0" borderId="0" applyFont="0" applyFill="0" applyBorder="0" applyAlignment="0" applyProtection="0"/>
    <xf numFmtId="220" fontId="5" fillId="0" borderId="0"/>
    <xf numFmtId="220" fontId="190" fillId="44" borderId="0" applyNumberFormat="0" applyBorder="0" applyAlignment="0" applyProtection="0">
      <alignment vertical="center"/>
    </xf>
    <xf numFmtId="220" fontId="147" fillId="38" borderId="0" applyNumberFormat="0" applyBorder="0" applyAlignment="0" applyProtection="0">
      <alignment vertical="center"/>
    </xf>
    <xf numFmtId="220" fontId="190" fillId="4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90" fillId="44" borderId="0" applyNumberFormat="0" applyBorder="0" applyAlignment="0" applyProtection="0">
      <alignment vertical="center"/>
    </xf>
    <xf numFmtId="220" fontId="5" fillId="0" borderId="0"/>
    <xf numFmtId="220" fontId="19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90" fillId="35" borderId="0" applyNumberFormat="0" applyBorder="0" applyAlignment="0" applyProtection="0">
      <alignment vertical="center"/>
    </xf>
    <xf numFmtId="220" fontId="160" fillId="0" borderId="113" applyNumberFormat="0" applyFill="0" applyAlignment="0" applyProtection="0">
      <alignment vertical="center"/>
    </xf>
    <xf numFmtId="220" fontId="5" fillId="0" borderId="0"/>
    <xf numFmtId="220" fontId="139" fillId="21" borderId="0" applyNumberFormat="0" applyBorder="0" applyAlignment="0" applyProtection="0">
      <alignment vertical="center"/>
    </xf>
    <xf numFmtId="220" fontId="0" fillId="0" borderId="0"/>
    <xf numFmtId="220" fontId="152" fillId="44" borderId="0" applyNumberFormat="0" applyBorder="0" applyAlignment="0" applyProtection="0">
      <alignment vertical="center"/>
    </xf>
    <xf numFmtId="220" fontId="5" fillId="0" borderId="0"/>
    <xf numFmtId="220" fontId="139" fillId="63" borderId="0" applyNumberFormat="0" applyBorder="0" applyAlignment="0" applyProtection="0">
      <alignment vertical="center"/>
    </xf>
    <xf numFmtId="220" fontId="5" fillId="0" borderId="0"/>
    <xf numFmtId="220" fontId="0" fillId="0" borderId="0"/>
    <xf numFmtId="220" fontId="139" fillId="63" borderId="0" applyNumberFormat="0" applyBorder="0" applyAlignment="0" applyProtection="0">
      <alignment vertical="center"/>
    </xf>
    <xf numFmtId="220" fontId="5" fillId="0" borderId="0"/>
    <xf numFmtId="220" fontId="139" fillId="63" borderId="0" applyNumberFormat="0" applyBorder="0" applyAlignment="0" applyProtection="0">
      <alignment vertical="center"/>
    </xf>
    <xf numFmtId="220" fontId="152" fillId="54" borderId="0" applyNumberFormat="0" applyBorder="0" applyAlignment="0" applyProtection="0">
      <alignment vertical="center"/>
    </xf>
    <xf numFmtId="220" fontId="5" fillId="0" borderId="0"/>
    <xf numFmtId="220" fontId="5" fillId="0" borderId="0"/>
    <xf numFmtId="220" fontId="139" fillId="63" borderId="0" applyNumberFormat="0" applyBorder="0" applyAlignment="0" applyProtection="0">
      <alignment vertical="center"/>
    </xf>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157" fillId="47"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0" fillId="0" borderId="0"/>
    <xf numFmtId="220" fontId="152" fillId="44"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39" fillId="0" borderId="0">
      <alignment vertical="center"/>
    </xf>
    <xf numFmtId="220" fontId="139" fillId="63" borderId="0" applyNumberFormat="0" applyBorder="0" applyAlignment="0" applyProtection="0">
      <alignment vertical="center"/>
    </xf>
    <xf numFmtId="220" fontId="139" fillId="0" borderId="0">
      <alignment vertical="center"/>
    </xf>
    <xf numFmtId="220" fontId="139" fillId="63" borderId="0" applyNumberFormat="0" applyBorder="0" applyAlignment="0" applyProtection="0">
      <alignment vertical="center"/>
    </xf>
    <xf numFmtId="220" fontId="152" fillId="44" borderId="0" applyNumberFormat="0" applyBorder="0" applyAlignment="0" applyProtection="0">
      <alignment vertical="center"/>
    </xf>
    <xf numFmtId="220" fontId="150" fillId="35" borderId="0" applyNumberFormat="0" applyBorder="0" applyAlignment="0" applyProtection="0">
      <alignment vertical="center"/>
    </xf>
    <xf numFmtId="220" fontId="152" fillId="63" borderId="0" applyNumberFormat="0" applyBorder="0" applyAlignment="0" applyProtection="0">
      <alignment vertical="center"/>
    </xf>
    <xf numFmtId="220" fontId="5" fillId="0" borderId="0"/>
    <xf numFmtId="220" fontId="139" fillId="89" borderId="0" applyNumberFormat="0" applyBorder="0" applyAlignment="0" applyProtection="0">
      <alignment vertical="center"/>
    </xf>
    <xf numFmtId="220" fontId="5" fillId="0" borderId="0"/>
    <xf numFmtId="220" fontId="139" fillId="89" borderId="0" applyNumberFormat="0" applyBorder="0" applyAlignment="0" applyProtection="0">
      <alignment vertical="center"/>
    </xf>
    <xf numFmtId="220" fontId="139" fillId="89" borderId="0" applyNumberFormat="0" applyBorder="0" applyAlignment="0" applyProtection="0">
      <alignment vertical="center"/>
    </xf>
    <xf numFmtId="220" fontId="152" fillId="54" borderId="0" applyNumberFormat="0" applyBorder="0" applyAlignment="0" applyProtection="0">
      <alignment vertical="center"/>
    </xf>
    <xf numFmtId="220" fontId="139" fillId="45" borderId="0" applyNumberFormat="0" applyBorder="0" applyAlignment="0" applyProtection="0">
      <alignment vertical="center"/>
    </xf>
    <xf numFmtId="10" fontId="228" fillId="41" borderId="1" applyNumberFormat="0" applyBorder="0" applyAlignment="0" applyProtection="0"/>
    <xf numFmtId="220" fontId="152" fillId="54" borderId="0" applyNumberFormat="0" applyBorder="0" applyAlignment="0" applyProtection="0">
      <alignment vertical="center"/>
    </xf>
    <xf numFmtId="220" fontId="5" fillId="0" borderId="0"/>
    <xf numFmtId="220" fontId="5" fillId="0" borderId="0"/>
    <xf numFmtId="10" fontId="228" fillId="41" borderId="1" applyNumberFormat="0" applyBorder="0" applyAlignment="0" applyProtection="0"/>
    <xf numFmtId="220" fontId="139" fillId="45" borderId="0" applyNumberFormat="0" applyBorder="0" applyAlignment="0" applyProtection="0">
      <alignment vertical="center"/>
    </xf>
    <xf numFmtId="220" fontId="161" fillId="97" borderId="0" applyNumberFormat="0" applyBorder="0" applyAlignment="0" applyProtection="0">
      <alignment vertical="center"/>
    </xf>
    <xf numFmtId="220" fontId="5" fillId="0" borderId="0"/>
    <xf numFmtId="220" fontId="5" fillId="0" borderId="0"/>
    <xf numFmtId="220" fontId="139" fillId="45" borderId="0" applyNumberFormat="0" applyBorder="0" applyAlignment="0" applyProtection="0">
      <alignment vertical="center"/>
    </xf>
    <xf numFmtId="220" fontId="147" fillId="42" borderId="0" applyNumberFormat="0" applyBorder="0" applyAlignment="0" applyProtection="0">
      <alignment vertical="center"/>
    </xf>
    <xf numFmtId="220" fontId="139" fillId="45" borderId="0" applyNumberFormat="0" applyBorder="0" applyAlignment="0" applyProtection="0">
      <alignment vertical="center"/>
    </xf>
    <xf numFmtId="220" fontId="152" fillId="54" borderId="0" applyNumberFormat="0" applyBorder="0" applyAlignment="0" applyProtection="0">
      <alignment vertical="center"/>
    </xf>
    <xf numFmtId="220" fontId="152" fillId="54" borderId="0" applyNumberFormat="0" applyBorder="0" applyAlignment="0" applyProtection="0">
      <alignment vertical="center"/>
    </xf>
    <xf numFmtId="220" fontId="152" fillId="54" borderId="0" applyNumberFormat="0" applyBorder="0" applyAlignment="0" applyProtection="0">
      <alignment vertical="center"/>
    </xf>
    <xf numFmtId="220" fontId="5" fillId="0" borderId="0"/>
    <xf numFmtId="220" fontId="152" fillId="54" borderId="0" applyNumberFormat="0" applyBorder="0" applyAlignment="0" applyProtection="0">
      <alignment vertical="center"/>
    </xf>
    <xf numFmtId="220" fontId="5" fillId="0" borderId="0"/>
    <xf numFmtId="220" fontId="5" fillId="0" borderId="0"/>
    <xf numFmtId="220" fontId="152" fillId="54" borderId="0" applyNumberFormat="0" applyBorder="0" applyAlignment="0" applyProtection="0">
      <alignment vertical="center"/>
    </xf>
    <xf numFmtId="220" fontId="5" fillId="0" borderId="0"/>
    <xf numFmtId="220" fontId="0" fillId="0" borderId="0"/>
    <xf numFmtId="220" fontId="152" fillId="0" borderId="0">
      <alignment vertical="center"/>
    </xf>
    <xf numFmtId="220" fontId="157" fillId="47" borderId="0" applyNumberFormat="0" applyBorder="0" applyAlignment="0" applyProtection="0">
      <alignment vertical="center"/>
    </xf>
    <xf numFmtId="220" fontId="152" fillId="54" borderId="0" applyNumberFormat="0" applyBorder="0" applyAlignment="0" applyProtection="0">
      <alignment vertical="center"/>
    </xf>
    <xf numFmtId="220" fontId="139" fillId="0" borderId="0">
      <alignment vertical="center"/>
    </xf>
    <xf numFmtId="220" fontId="139" fillId="45" borderId="0" applyNumberFormat="0" applyBorder="0" applyAlignment="0" applyProtection="0">
      <alignment vertical="center"/>
    </xf>
    <xf numFmtId="220" fontId="152" fillId="54" borderId="0" applyNumberFormat="0" applyBorder="0" applyAlignment="0" applyProtection="0">
      <alignment vertical="center"/>
    </xf>
    <xf numFmtId="220" fontId="152" fillId="54" borderId="0" applyNumberFormat="0" applyBorder="0" applyAlignment="0" applyProtection="0">
      <alignment vertical="center"/>
    </xf>
    <xf numFmtId="220" fontId="139" fillId="45" borderId="0" applyNumberFormat="0" applyBorder="0" applyAlignment="0" applyProtection="0">
      <alignment vertical="center"/>
    </xf>
    <xf numFmtId="220" fontId="152" fillId="54" borderId="0" applyNumberFormat="0" applyBorder="0" applyAlignment="0" applyProtection="0">
      <alignment vertical="center"/>
    </xf>
    <xf numFmtId="220" fontId="152" fillId="54" borderId="0" applyNumberFormat="0" applyBorder="0" applyAlignment="0" applyProtection="0">
      <alignment vertical="center"/>
    </xf>
    <xf numFmtId="220" fontId="5" fillId="0" borderId="0"/>
    <xf numFmtId="220" fontId="5" fillId="0" borderId="0"/>
    <xf numFmtId="220" fontId="0" fillId="0" borderId="0"/>
    <xf numFmtId="220" fontId="152" fillId="45" borderId="0" applyNumberFormat="0" applyBorder="0" applyAlignment="0" applyProtection="0">
      <alignment vertical="center"/>
    </xf>
    <xf numFmtId="220" fontId="139" fillId="19"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39" fillId="19" borderId="0" applyNumberFormat="0" applyBorder="0" applyAlignment="0" applyProtection="0">
      <alignment vertical="center"/>
    </xf>
    <xf numFmtId="220" fontId="152" fillId="48" borderId="0" applyNumberFormat="0" applyBorder="0" applyAlignment="0" applyProtection="0">
      <alignment vertical="center"/>
    </xf>
    <xf numFmtId="220" fontId="152" fillId="93" borderId="0" applyNumberFormat="0" applyBorder="0" applyAlignment="0" applyProtection="0">
      <alignment vertical="center"/>
    </xf>
    <xf numFmtId="220" fontId="139" fillId="45" borderId="0" applyNumberFormat="0" applyBorder="0" applyAlignment="0" applyProtection="0">
      <alignment vertical="center"/>
    </xf>
    <xf numFmtId="220" fontId="139" fillId="45" borderId="0" applyNumberFormat="0" applyBorder="0" applyAlignment="0" applyProtection="0">
      <alignment vertical="center"/>
    </xf>
    <xf numFmtId="220" fontId="5" fillId="0" borderId="0"/>
    <xf numFmtId="220" fontId="139" fillId="45"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139" fillId="45" borderId="0" applyNumberFormat="0" applyBorder="0" applyAlignment="0" applyProtection="0">
      <alignment vertical="center"/>
    </xf>
    <xf numFmtId="220" fontId="152" fillId="93" borderId="0" applyNumberFormat="0" applyBorder="0" applyAlignment="0" applyProtection="0">
      <alignment vertical="center"/>
    </xf>
    <xf numFmtId="220" fontId="161" fillId="48" borderId="0" applyNumberFormat="0" applyBorder="0" applyAlignment="0" applyProtection="0">
      <alignment vertical="center"/>
    </xf>
    <xf numFmtId="220" fontId="152" fillId="93" borderId="0" applyNumberFormat="0" applyBorder="0" applyAlignment="0" applyProtection="0">
      <alignment vertical="center"/>
    </xf>
    <xf numFmtId="220" fontId="152" fillId="93" borderId="0" applyNumberFormat="0" applyBorder="0" applyAlignment="0" applyProtection="0">
      <alignment vertical="center"/>
    </xf>
    <xf numFmtId="220" fontId="152" fillId="93" borderId="0" applyNumberFormat="0" applyBorder="0" applyAlignment="0" applyProtection="0">
      <alignment vertical="center"/>
    </xf>
    <xf numFmtId="9" fontId="0" fillId="0" borderId="0" applyFont="0" applyFill="0" applyBorder="0" applyAlignment="0" applyProtection="0">
      <alignment vertical="center"/>
    </xf>
    <xf numFmtId="220" fontId="152" fillId="93" borderId="0" applyNumberFormat="0" applyBorder="0" applyAlignment="0" applyProtection="0">
      <alignment vertical="center"/>
    </xf>
    <xf numFmtId="9" fontId="0" fillId="0" borderId="0" applyFont="0" applyFill="0" applyBorder="0" applyAlignment="0" applyProtection="0">
      <alignment vertical="center"/>
    </xf>
    <xf numFmtId="220" fontId="0" fillId="0" borderId="0"/>
    <xf numFmtId="220" fontId="139" fillId="19" borderId="0" applyNumberFormat="0" applyBorder="0" applyAlignment="0" applyProtection="0">
      <alignment vertical="center"/>
    </xf>
    <xf numFmtId="220" fontId="152" fillId="93" borderId="0" applyNumberFormat="0" applyBorder="0" applyAlignment="0" applyProtection="0">
      <alignment vertical="center"/>
    </xf>
    <xf numFmtId="220" fontId="150" fillId="35" borderId="0" applyNumberFormat="0" applyBorder="0" applyAlignment="0" applyProtection="0">
      <alignment vertical="center"/>
    </xf>
    <xf numFmtId="220" fontId="139" fillId="45" borderId="0" applyNumberFormat="0" applyBorder="0" applyAlignment="0" applyProtection="0">
      <alignment vertical="center"/>
    </xf>
    <xf numFmtId="220" fontId="152" fillId="93" borderId="0" applyNumberFormat="0" applyBorder="0" applyAlignment="0" applyProtection="0">
      <alignment vertical="center"/>
    </xf>
    <xf numFmtId="220" fontId="152" fillId="93" borderId="0" applyNumberFormat="0" applyBorder="0" applyAlignment="0" applyProtection="0">
      <alignment vertical="center"/>
    </xf>
    <xf numFmtId="220" fontId="139" fillId="2" borderId="0" applyNumberFormat="0" applyBorder="0" applyAlignment="0" applyProtection="0">
      <alignment vertical="center"/>
    </xf>
    <xf numFmtId="220" fontId="139" fillId="60" borderId="0" applyNumberFormat="0" applyBorder="0" applyAlignment="0" applyProtection="0">
      <alignment vertical="center"/>
    </xf>
    <xf numFmtId="220" fontId="5" fillId="0" borderId="0"/>
    <xf numFmtId="220" fontId="5" fillId="0" borderId="0"/>
    <xf numFmtId="9" fontId="152" fillId="0" borderId="0" applyFont="0" applyFill="0" applyBorder="0" applyAlignment="0" applyProtection="0">
      <alignment vertical="center"/>
    </xf>
    <xf numFmtId="220" fontId="139" fillId="60" borderId="0" applyNumberFormat="0" applyBorder="0" applyAlignment="0" applyProtection="0">
      <alignment vertical="center"/>
    </xf>
    <xf numFmtId="220" fontId="5" fillId="0" borderId="0"/>
    <xf numFmtId="220" fontId="5" fillId="0" borderId="0"/>
    <xf numFmtId="9" fontId="0" fillId="0" borderId="0" applyFont="0" applyFill="0" applyBorder="0" applyAlignment="0" applyProtection="0"/>
    <xf numFmtId="220" fontId="139" fillId="60" borderId="0" applyNumberFormat="0" applyBorder="0" applyAlignment="0" applyProtection="0">
      <alignment vertical="center"/>
    </xf>
    <xf numFmtId="220" fontId="5" fillId="0" borderId="0"/>
    <xf numFmtId="9" fontId="152" fillId="0" borderId="0" applyFont="0" applyFill="0" applyBorder="0" applyAlignment="0" applyProtection="0">
      <alignment vertical="center"/>
    </xf>
    <xf numFmtId="220" fontId="139" fillId="60" borderId="0" applyNumberFormat="0" applyBorder="0" applyAlignment="0" applyProtection="0">
      <alignment vertical="center"/>
    </xf>
    <xf numFmtId="220" fontId="157" fillId="47" borderId="0" applyNumberFormat="0" applyBorder="0" applyAlignment="0" applyProtection="0">
      <alignment vertical="center"/>
    </xf>
    <xf numFmtId="220" fontId="152" fillId="74" borderId="0" applyNumberFormat="0" applyBorder="0" applyAlignment="0" applyProtection="0">
      <alignment vertical="center"/>
    </xf>
    <xf numFmtId="220" fontId="152" fillId="0" borderId="0">
      <alignment vertical="center"/>
    </xf>
    <xf numFmtId="220" fontId="5" fillId="0" borderId="0"/>
    <xf numFmtId="220" fontId="139" fillId="2" borderId="0" applyNumberFormat="0" applyBorder="0" applyAlignment="0" applyProtection="0">
      <alignment vertical="center"/>
    </xf>
    <xf numFmtId="220" fontId="157" fillId="47" borderId="0" applyNumberFormat="0" applyBorder="0" applyAlignment="0" applyProtection="0">
      <alignment vertical="center"/>
    </xf>
    <xf numFmtId="220" fontId="139" fillId="60" borderId="0" applyNumberFormat="0" applyBorder="0" applyAlignment="0" applyProtection="0">
      <alignment vertical="center"/>
    </xf>
    <xf numFmtId="220" fontId="157" fillId="47" borderId="0" applyNumberFormat="0" applyBorder="0" applyAlignment="0" applyProtection="0">
      <alignment vertical="center"/>
    </xf>
    <xf numFmtId="220" fontId="139" fillId="60" borderId="0" applyNumberFormat="0" applyBorder="0" applyAlignment="0" applyProtection="0">
      <alignment vertical="center"/>
    </xf>
    <xf numFmtId="220" fontId="5" fillId="0" borderId="0"/>
    <xf numFmtId="220" fontId="139" fillId="100" borderId="0" applyNumberFormat="0" applyBorder="0" applyAlignment="0" applyProtection="0">
      <alignment vertical="center"/>
    </xf>
    <xf numFmtId="220" fontId="5" fillId="0" borderId="0"/>
    <xf numFmtId="220" fontId="152" fillId="74" borderId="0" applyNumberFormat="0" applyBorder="0" applyAlignment="0" applyProtection="0">
      <alignment vertical="center"/>
    </xf>
    <xf numFmtId="220" fontId="5" fillId="0" borderId="0"/>
    <xf numFmtId="220" fontId="139" fillId="100" borderId="0" applyNumberFormat="0" applyBorder="0" applyAlignment="0" applyProtection="0">
      <alignment vertical="center"/>
    </xf>
    <xf numFmtId="220" fontId="152" fillId="60" borderId="0" applyNumberFormat="0" applyBorder="0" applyAlignment="0" applyProtection="0">
      <alignment vertical="center"/>
    </xf>
    <xf numFmtId="220" fontId="152" fillId="60" borderId="0" applyNumberFormat="0" applyBorder="0" applyAlignment="0" applyProtection="0">
      <alignment vertical="center"/>
    </xf>
    <xf numFmtId="220" fontId="152" fillId="63" borderId="0" applyNumberFormat="0" applyBorder="0" applyAlignment="0" applyProtection="0">
      <alignment vertical="center"/>
    </xf>
    <xf numFmtId="220" fontId="147" fillId="38" borderId="0" applyNumberFormat="0" applyBorder="0" applyAlignment="0" applyProtection="0">
      <alignment vertical="center"/>
    </xf>
    <xf numFmtId="220" fontId="139" fillId="40" borderId="0" applyNumberFormat="0" applyBorder="0" applyAlignment="0" applyProtection="0">
      <alignment vertical="center"/>
    </xf>
    <xf numFmtId="220" fontId="139" fillId="40" borderId="0" applyNumberFormat="0" applyBorder="0" applyAlignment="0" applyProtection="0">
      <alignment vertical="center"/>
    </xf>
    <xf numFmtId="220" fontId="152" fillId="44" borderId="0" applyNumberFormat="0" applyBorder="0" applyAlignment="0" applyProtection="0">
      <alignment vertical="center"/>
    </xf>
    <xf numFmtId="220" fontId="5" fillId="0" borderId="0"/>
    <xf numFmtId="220" fontId="228" fillId="53" borderId="1">
      <alignment vertical="center"/>
    </xf>
    <xf numFmtId="220" fontId="139" fillId="63" borderId="0" applyNumberFormat="0" applyBorder="0" applyAlignment="0" applyProtection="0">
      <alignment vertical="center"/>
    </xf>
    <xf numFmtId="220" fontId="152" fillId="44" borderId="0" applyNumberFormat="0" applyBorder="0" applyAlignment="0" applyProtection="0">
      <alignment vertical="center"/>
    </xf>
    <xf numFmtId="220" fontId="139" fillId="63" borderId="0" applyNumberFormat="0" applyBorder="0" applyAlignment="0" applyProtection="0">
      <alignment vertical="center"/>
    </xf>
    <xf numFmtId="220" fontId="5" fillId="0" borderId="0"/>
    <xf numFmtId="220" fontId="139" fillId="63" borderId="0" applyNumberFormat="0" applyBorder="0" applyAlignment="0" applyProtection="0">
      <alignment vertical="center"/>
    </xf>
    <xf numFmtId="220" fontId="5" fillId="0" borderId="0"/>
    <xf numFmtId="220" fontId="139" fillId="63" borderId="0" applyNumberFormat="0" applyBorder="0" applyAlignment="0" applyProtection="0">
      <alignment vertical="center"/>
    </xf>
    <xf numFmtId="220" fontId="152" fillId="44" borderId="0" applyNumberFormat="0" applyBorder="0" applyAlignment="0" applyProtection="0">
      <alignment vertical="center"/>
    </xf>
    <xf numFmtId="220" fontId="152" fillId="44" borderId="0" applyNumberFormat="0" applyBorder="0" applyAlignment="0" applyProtection="0">
      <alignment vertical="center"/>
    </xf>
    <xf numFmtId="220" fontId="228" fillId="53" borderId="1">
      <alignment vertical="center"/>
    </xf>
    <xf numFmtId="220" fontId="152" fillId="44" borderId="0" applyNumberFormat="0" applyBorder="0" applyAlignment="0" applyProtection="0">
      <alignment vertical="center"/>
    </xf>
    <xf numFmtId="37" fontId="213" fillId="0" borderId="0" applyFont="0" applyFill="0" applyBorder="0" applyAlignment="0" applyProtection="0"/>
    <xf numFmtId="220" fontId="152" fillId="44" borderId="0" applyNumberFormat="0" applyBorder="0" applyAlignment="0" applyProtection="0">
      <alignment vertical="center"/>
    </xf>
    <xf numFmtId="220" fontId="152" fillId="63" borderId="0" applyNumberFormat="0" applyBorder="0" applyAlignment="0" applyProtection="0">
      <alignment vertical="center"/>
    </xf>
    <xf numFmtId="220" fontId="152" fillId="4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39" fillId="80" borderId="0" applyNumberFormat="0" applyBorder="0" applyAlignment="0" applyProtection="0">
      <alignment vertical="center"/>
    </xf>
    <xf numFmtId="220" fontId="292" fillId="0" borderId="133" applyNumberFormat="0" applyFill="0" applyAlignment="0" applyProtection="0">
      <alignment vertical="center"/>
    </xf>
    <xf numFmtId="220" fontId="139" fillId="18" borderId="0" applyNumberFormat="0" applyBorder="0" applyAlignment="0" applyProtection="0">
      <alignment vertical="center"/>
    </xf>
    <xf numFmtId="220" fontId="152" fillId="35" borderId="0" applyNumberFormat="0" applyBorder="0" applyAlignment="0" applyProtection="0">
      <alignment vertical="center"/>
    </xf>
    <xf numFmtId="220" fontId="5" fillId="0" borderId="0"/>
    <xf numFmtId="220" fontId="152" fillId="35" borderId="0" applyNumberFormat="0" applyBorder="0" applyAlignment="0" applyProtection="0">
      <alignment vertical="center"/>
    </xf>
    <xf numFmtId="220" fontId="139" fillId="0" borderId="0">
      <alignment vertical="center"/>
    </xf>
    <xf numFmtId="220" fontId="139" fillId="48" borderId="0" applyNumberFormat="0" applyBorder="0" applyAlignment="0" applyProtection="0">
      <alignment vertical="center"/>
    </xf>
    <xf numFmtId="220" fontId="158" fillId="0" borderId="0" applyNumberFormat="0" applyBorder="0" applyAlignment="0" applyProtection="0">
      <alignment vertical="center"/>
    </xf>
    <xf numFmtId="220" fontId="139" fillId="48" borderId="0" applyNumberFormat="0" applyBorder="0" applyAlignment="0" applyProtection="0">
      <alignment vertical="center"/>
    </xf>
    <xf numFmtId="220" fontId="0" fillId="0" borderId="0">
      <alignment vertical="center"/>
    </xf>
    <xf numFmtId="220" fontId="152" fillId="35" borderId="0" applyNumberFormat="0" applyBorder="0" applyAlignment="0" applyProtection="0">
      <alignment vertical="center"/>
    </xf>
    <xf numFmtId="220" fontId="152" fillId="35" borderId="0" applyNumberFormat="0" applyBorder="0" applyAlignment="0" applyProtection="0">
      <alignment vertical="center"/>
    </xf>
    <xf numFmtId="220" fontId="142" fillId="38" borderId="0" applyNumberFormat="0" applyBorder="0" applyAlignment="0" applyProtection="0">
      <alignment vertical="center"/>
    </xf>
    <xf numFmtId="220" fontId="2" fillId="0" borderId="0"/>
    <xf numFmtId="220" fontId="158" fillId="0" borderId="0" applyNumberFormat="0" applyBorder="0" applyAlignment="0" applyProtection="0">
      <alignment vertical="center"/>
    </xf>
    <xf numFmtId="220" fontId="152" fillId="35" borderId="0" applyNumberFormat="0" applyBorder="0" applyAlignment="0" applyProtection="0">
      <alignment vertical="center"/>
    </xf>
    <xf numFmtId="220" fontId="158" fillId="0" borderId="0" applyNumberFormat="0" applyBorder="0" applyAlignment="0" applyProtection="0">
      <alignment vertical="center"/>
    </xf>
    <xf numFmtId="220" fontId="152" fillId="35" borderId="0" applyNumberFormat="0" applyBorder="0" applyAlignment="0" applyProtection="0">
      <alignment vertical="center"/>
    </xf>
    <xf numFmtId="220" fontId="152" fillId="35" borderId="0" applyNumberFormat="0" applyBorder="0" applyAlignment="0" applyProtection="0">
      <alignment vertical="center"/>
    </xf>
    <xf numFmtId="220" fontId="5" fillId="0" borderId="0"/>
    <xf numFmtId="220" fontId="152"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62" fillId="94" borderId="0" applyNumberFormat="0" applyBorder="0" applyAlignment="0" applyProtection="0"/>
    <xf numFmtId="220" fontId="276" fillId="97" borderId="0" applyNumberFormat="0" applyBorder="0" applyAlignment="0" applyProtection="0"/>
    <xf numFmtId="220" fontId="276" fillId="54" borderId="0" applyNumberFormat="0" applyBorder="0" applyAlignment="0" applyProtection="0"/>
    <xf numFmtId="220" fontId="276" fillId="64" borderId="0" applyNumberFormat="0" applyBorder="0" applyAlignment="0" applyProtection="0"/>
    <xf numFmtId="220" fontId="276" fillId="48" borderId="0" applyNumberFormat="0" applyBorder="0" applyAlignment="0" applyProtection="0"/>
    <xf numFmtId="220" fontId="166" fillId="9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66" fillId="54"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66" fillId="54"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66" fillId="54" borderId="0" applyNumberFormat="0" applyBorder="0" applyAlignment="0" applyProtection="0">
      <alignment vertical="center"/>
    </xf>
    <xf numFmtId="220" fontId="157" fillId="47" borderId="0" applyNumberFormat="0" applyBorder="0" applyAlignment="0" applyProtection="0">
      <alignment vertical="center"/>
    </xf>
    <xf numFmtId="220" fontId="166" fillId="54" borderId="0" applyNumberFormat="0" applyBorder="0" applyAlignment="0" applyProtection="0">
      <alignment vertical="center"/>
    </xf>
    <xf numFmtId="220" fontId="161" fillId="54"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236" fillId="0" borderId="0"/>
    <xf numFmtId="220" fontId="151" fillId="0" borderId="0"/>
    <xf numFmtId="220" fontId="166" fillId="98" borderId="0" applyNumberFormat="0" applyBorder="0" applyAlignment="0" applyProtection="0">
      <alignment vertical="center"/>
    </xf>
    <xf numFmtId="220" fontId="161" fillId="111" borderId="0" applyNumberFormat="0" applyBorder="0" applyAlignment="0" applyProtection="0">
      <alignment vertical="center"/>
    </xf>
    <xf numFmtId="220" fontId="166" fillId="64"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66" fillId="64"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66" fillId="48" borderId="0" applyNumberFormat="0" applyBorder="0" applyAlignment="0" applyProtection="0">
      <alignment vertical="center"/>
    </xf>
    <xf numFmtId="220" fontId="157" fillId="47" borderId="0" applyNumberFormat="0" applyBorder="0" applyAlignment="0" applyProtection="0">
      <alignment vertical="center"/>
    </xf>
    <xf numFmtId="220" fontId="166" fillId="48" borderId="0" applyNumberFormat="0" applyBorder="0" applyAlignment="0" applyProtection="0">
      <alignment vertical="center"/>
    </xf>
    <xf numFmtId="220" fontId="161" fillId="111" borderId="0" applyNumberFormat="0" applyBorder="0" applyAlignment="0" applyProtection="0">
      <alignment vertical="center"/>
    </xf>
    <xf numFmtId="220" fontId="157" fillId="47" borderId="0" applyNumberFormat="0" applyBorder="0" applyAlignment="0" applyProtection="0">
      <alignment vertical="center"/>
    </xf>
    <xf numFmtId="220" fontId="161" fillId="54" borderId="0" applyNumberFormat="0" applyBorder="0" applyAlignment="0" applyProtection="0">
      <alignment vertical="center"/>
    </xf>
    <xf numFmtId="220" fontId="161" fillId="97" borderId="0" applyNumberFormat="0" applyBorder="0" applyAlignment="0" applyProtection="0">
      <alignment vertical="center"/>
    </xf>
    <xf numFmtId="220" fontId="148" fillId="54" borderId="0" applyNumberFormat="0" applyBorder="0" applyAlignment="0" applyProtection="0">
      <alignment vertical="center"/>
    </xf>
    <xf numFmtId="220" fontId="161" fillId="97" borderId="0" applyNumberFormat="0" applyBorder="0" applyAlignment="0" applyProtection="0">
      <alignment vertical="center"/>
    </xf>
    <xf numFmtId="220" fontId="161" fillId="97" borderId="0" applyNumberFormat="0" applyBorder="0" applyAlignment="0" applyProtection="0">
      <alignment vertical="center"/>
    </xf>
    <xf numFmtId="220" fontId="5" fillId="0" borderId="0"/>
    <xf numFmtId="220" fontId="5" fillId="0" borderId="0"/>
    <xf numFmtId="220" fontId="148" fillId="54" borderId="0" applyNumberFormat="0" applyBorder="0" applyAlignment="0" applyProtection="0">
      <alignment vertical="center"/>
    </xf>
    <xf numFmtId="220" fontId="5" fillId="0" borderId="0"/>
    <xf numFmtId="220" fontId="5" fillId="0" borderId="0"/>
    <xf numFmtId="220" fontId="145" fillId="0" borderId="0">
      <protection locked="0"/>
    </xf>
    <xf numFmtId="220" fontId="148" fillId="54" borderId="0" applyNumberFormat="0" applyBorder="0" applyAlignment="0" applyProtection="0">
      <alignment vertical="center"/>
    </xf>
    <xf numFmtId="25" fontId="213" fillId="0" borderId="0" applyFont="0" applyFill="0" applyBorder="0" applyAlignment="0" applyProtection="0"/>
    <xf numFmtId="220" fontId="148" fillId="54" borderId="0" applyNumberFormat="0" applyBorder="0" applyAlignment="0" applyProtection="0">
      <alignment vertical="center"/>
    </xf>
    <xf numFmtId="25" fontId="213" fillId="0" borderId="0" applyFont="0" applyFill="0" applyBorder="0" applyAlignment="0" applyProtection="0"/>
    <xf numFmtId="227" fontId="145" fillId="0" borderId="0"/>
    <xf numFmtId="220" fontId="148" fillId="54" borderId="0" applyNumberFormat="0" applyBorder="0" applyAlignment="0" applyProtection="0">
      <alignment vertical="center"/>
    </xf>
    <xf numFmtId="25" fontId="213" fillId="0" borderId="0" applyFont="0" applyFill="0" applyBorder="0" applyAlignment="0" applyProtection="0"/>
    <xf numFmtId="227" fontId="145" fillId="0" borderId="0"/>
    <xf numFmtId="220" fontId="148" fillId="54" borderId="0" applyNumberFormat="0" applyBorder="0" applyAlignment="0" applyProtection="0">
      <alignment vertical="center"/>
    </xf>
    <xf numFmtId="220" fontId="148" fillId="54" borderId="0" applyNumberFormat="0" applyBorder="0" applyAlignment="0" applyProtection="0">
      <alignment vertical="center"/>
    </xf>
    <xf numFmtId="220" fontId="148" fillId="104" borderId="0" applyNumberFormat="0" applyBorder="0" applyAlignment="0" applyProtection="0">
      <alignment vertical="center"/>
    </xf>
    <xf numFmtId="220" fontId="5" fillId="0" borderId="0"/>
    <xf numFmtId="220" fontId="5" fillId="0" borderId="0"/>
    <xf numFmtId="220" fontId="161" fillId="54"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61" fillId="97" borderId="0" applyNumberFormat="0" applyBorder="0" applyAlignment="0" applyProtection="0">
      <alignment vertical="center"/>
    </xf>
    <xf numFmtId="220" fontId="161" fillId="97" borderId="0" applyNumberFormat="0" applyBorder="0" applyAlignment="0" applyProtection="0">
      <alignment vertical="center"/>
    </xf>
    <xf numFmtId="220" fontId="161" fillId="64" borderId="0" applyNumberFormat="0" applyBorder="0" applyAlignment="0" applyProtection="0">
      <alignment vertical="center"/>
    </xf>
    <xf numFmtId="220" fontId="161" fillId="97" borderId="0" applyNumberFormat="0" applyBorder="0" applyAlignment="0" applyProtection="0">
      <alignment vertical="center"/>
    </xf>
    <xf numFmtId="220" fontId="5" fillId="0" borderId="0"/>
    <xf numFmtId="220" fontId="5" fillId="0" borderId="0"/>
    <xf numFmtId="220" fontId="161" fillId="54" borderId="0" applyNumberFormat="0" applyBorder="0" applyAlignment="0" applyProtection="0">
      <alignment vertical="center"/>
    </xf>
    <xf numFmtId="220" fontId="5" fillId="0" borderId="0"/>
    <xf numFmtId="220" fontId="5" fillId="0" borderId="0"/>
    <xf numFmtId="220" fontId="161" fillId="9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61" fillId="97" borderId="0" applyNumberFormat="0" applyBorder="0" applyAlignment="0" applyProtection="0">
      <alignment vertical="center"/>
    </xf>
    <xf numFmtId="220" fontId="161" fillId="54" borderId="0" applyNumberFormat="0" applyBorder="0" applyAlignment="0" applyProtection="0">
      <alignment vertical="center"/>
    </xf>
    <xf numFmtId="220" fontId="0" fillId="0" borderId="0"/>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111" borderId="0" applyNumberFormat="0" applyBorder="0" applyAlignment="0" applyProtection="0">
      <alignment vertical="center"/>
    </xf>
    <xf numFmtId="220" fontId="148" fillId="118" borderId="0" applyNumberFormat="0" applyBorder="0" applyAlignment="0" applyProtection="0">
      <alignment vertical="center"/>
    </xf>
    <xf numFmtId="220" fontId="161" fillId="54"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48" fillId="45"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5" fillId="0" borderId="0"/>
    <xf numFmtId="220" fontId="75" fillId="0" borderId="0">
      <protection locked="0"/>
    </xf>
    <xf numFmtId="220" fontId="148" fillId="45"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5" fillId="0" borderId="0"/>
    <xf numFmtId="220" fontId="161" fillId="93" borderId="0" applyNumberFormat="0" applyBorder="0" applyAlignment="0" applyProtection="0">
      <alignment vertical="center"/>
    </xf>
    <xf numFmtId="220" fontId="161" fillId="54" borderId="0" applyNumberFormat="0" applyBorder="0" applyAlignment="0" applyProtection="0">
      <alignment vertical="center"/>
    </xf>
    <xf numFmtId="220" fontId="0" fillId="0" borderId="0"/>
    <xf numFmtId="220" fontId="5" fillId="0" borderId="0"/>
    <xf numFmtId="220" fontId="148" fillId="45"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5" fillId="0" borderId="0"/>
    <xf numFmtId="220" fontId="148" fillId="121"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5" fillId="0" borderId="0"/>
    <xf numFmtId="220" fontId="148" fillId="121" borderId="0" applyNumberFormat="0" applyBorder="0" applyAlignment="0" applyProtection="0">
      <alignment vertical="center"/>
    </xf>
    <xf numFmtId="220" fontId="5" fillId="0" borderId="0"/>
    <xf numFmtId="220" fontId="148" fillId="118" borderId="0" applyNumberFormat="0" applyBorder="0" applyAlignment="0" applyProtection="0">
      <alignment vertical="center"/>
    </xf>
    <xf numFmtId="220" fontId="5" fillId="0" borderId="0"/>
    <xf numFmtId="220" fontId="5" fillId="0" borderId="0"/>
    <xf numFmtId="220" fontId="148" fillId="111" borderId="0" applyNumberFormat="0" applyBorder="0" applyAlignment="0" applyProtection="0">
      <alignment vertical="center"/>
    </xf>
    <xf numFmtId="220" fontId="148" fillId="111" borderId="0" applyNumberFormat="0" applyBorder="0" applyAlignment="0" applyProtection="0">
      <alignment vertical="center"/>
    </xf>
    <xf numFmtId="220" fontId="161" fillId="54" borderId="0" applyNumberFormat="0" applyBorder="0" applyAlignment="0" applyProtection="0">
      <alignment vertical="center"/>
    </xf>
    <xf numFmtId="220" fontId="145" fillId="0" borderId="0"/>
    <xf numFmtId="220" fontId="148" fillId="124" borderId="0" applyNumberFormat="0" applyBorder="0" applyAlignment="0" applyProtection="0">
      <alignment vertical="center"/>
    </xf>
    <xf numFmtId="220" fontId="148" fillId="111"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43" fontId="0" fillId="0" borderId="0" applyFont="0" applyFill="0" applyBorder="0" applyAlignment="0" applyProtection="0"/>
    <xf numFmtId="220" fontId="145" fillId="0" borderId="0"/>
    <xf numFmtId="220" fontId="148" fillId="118" borderId="0" applyNumberFormat="0" applyBorder="0" applyAlignment="0" applyProtection="0">
      <alignment vertical="center"/>
    </xf>
    <xf numFmtId="43" fontId="0" fillId="0" borderId="0" applyFont="0" applyFill="0" applyBorder="0" applyAlignment="0" applyProtection="0"/>
    <xf numFmtId="220" fontId="148" fillId="118" borderId="0" applyNumberFormat="0" applyBorder="0" applyAlignment="0" applyProtection="0">
      <alignment vertical="center"/>
    </xf>
    <xf numFmtId="220" fontId="0" fillId="0" borderId="0"/>
    <xf numFmtId="220" fontId="161" fillId="54" borderId="0" applyNumberFormat="0" applyBorder="0" applyAlignment="0" applyProtection="0">
      <alignment vertical="center"/>
    </xf>
    <xf numFmtId="220" fontId="148" fillId="111" borderId="0" applyNumberFormat="0" applyBorder="0" applyAlignment="0" applyProtection="0">
      <alignment vertical="center"/>
    </xf>
    <xf numFmtId="220" fontId="148" fillId="124" borderId="0" applyNumberFormat="0" applyBorder="0" applyAlignment="0" applyProtection="0">
      <alignment vertical="center"/>
    </xf>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111" borderId="0" applyNumberFormat="0" applyBorder="0" applyAlignment="0" applyProtection="0">
      <alignment vertical="center"/>
    </xf>
    <xf numFmtId="220" fontId="5" fillId="0" borderId="0"/>
    <xf numFmtId="220" fontId="161" fillId="124" borderId="0" applyNumberFormat="0" applyBorder="0" applyAlignment="0" applyProtection="0">
      <alignment vertical="center"/>
    </xf>
    <xf numFmtId="220" fontId="5" fillId="0" borderId="0"/>
    <xf numFmtId="220" fontId="161" fillId="124" borderId="0" applyNumberFormat="0" applyBorder="0" applyAlignment="0" applyProtection="0">
      <alignment vertical="center"/>
    </xf>
    <xf numFmtId="220" fontId="0"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161" fillId="54"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61" fillId="54" borderId="0" applyNumberFormat="0" applyBorder="0" applyAlignment="0" applyProtection="0">
      <alignment vertical="center"/>
    </xf>
    <xf numFmtId="220" fontId="0" fillId="0" borderId="0"/>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150" fillId="35" borderId="0" applyNumberFormat="0" applyBorder="0" applyAlignment="0" applyProtection="0">
      <alignment vertical="center"/>
    </xf>
    <xf numFmtId="220" fontId="161" fillId="111"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40" fillId="36" borderId="0" applyNumberFormat="0" applyBorder="0" applyAlignment="0" applyProtection="0">
      <alignment vertical="center"/>
    </xf>
    <xf numFmtId="220" fontId="161" fillId="111" borderId="0" applyNumberFormat="0" applyBorder="0" applyAlignment="0" applyProtection="0">
      <alignment vertical="center"/>
    </xf>
    <xf numFmtId="220" fontId="157" fillId="47" borderId="0" applyNumberFormat="0" applyBorder="0" applyAlignment="0" applyProtection="0">
      <alignment vertical="center"/>
    </xf>
    <xf numFmtId="220" fontId="161" fillId="111" borderId="0" applyNumberFormat="0" applyBorder="0" applyAlignment="0" applyProtection="0">
      <alignment vertical="center"/>
    </xf>
    <xf numFmtId="220" fontId="5" fillId="0" borderId="0"/>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5" fillId="0" borderId="0"/>
    <xf numFmtId="220" fontId="161" fillId="111" borderId="0" applyNumberFormat="0" applyBorder="0" applyAlignment="0" applyProtection="0">
      <alignment vertical="center"/>
    </xf>
    <xf numFmtId="220" fontId="161" fillId="111" borderId="0" applyNumberFormat="0" applyBorder="0" applyAlignment="0" applyProtection="0">
      <alignment vertical="center"/>
    </xf>
    <xf numFmtId="220" fontId="161" fillId="45" borderId="0" applyNumberFormat="0" applyBorder="0" applyAlignment="0" applyProtection="0">
      <alignment vertical="center"/>
    </xf>
    <xf numFmtId="220" fontId="148" fillId="4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8" fillId="121" borderId="0" applyNumberFormat="0" applyBorder="0" applyAlignment="0" applyProtection="0">
      <alignment vertical="center"/>
    </xf>
    <xf numFmtId="220" fontId="5" fillId="0" borderId="0"/>
    <xf numFmtId="220" fontId="148" fillId="121" borderId="0" applyNumberFormat="0" applyBorder="0" applyAlignment="0" applyProtection="0">
      <alignment vertical="center"/>
    </xf>
    <xf numFmtId="220" fontId="148" fillId="121"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148" fillId="45" borderId="0" applyNumberFormat="0" applyBorder="0" applyAlignment="0" applyProtection="0">
      <alignment vertical="center"/>
    </xf>
    <xf numFmtId="220" fontId="5" fillId="0" borderId="0"/>
    <xf numFmtId="220" fontId="148" fillId="45"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0" fillId="0" borderId="0"/>
    <xf numFmtId="220" fontId="161" fillId="93" borderId="0" applyNumberFormat="0" applyBorder="0" applyAlignment="0" applyProtection="0">
      <alignment vertical="center"/>
    </xf>
    <xf numFmtId="220" fontId="161" fillId="93" borderId="0" applyNumberFormat="0" applyBorder="0" applyAlignment="0" applyProtection="0">
      <alignment vertical="center"/>
    </xf>
    <xf numFmtId="220" fontId="5" fillId="0" borderId="0"/>
    <xf numFmtId="220" fontId="0" fillId="0" borderId="0"/>
    <xf numFmtId="220" fontId="0" fillId="0" borderId="0"/>
    <xf numFmtId="220" fontId="157" fillId="47" borderId="0" applyNumberFormat="0" applyBorder="0" applyAlignment="0" applyProtection="0">
      <alignment vertical="center"/>
    </xf>
    <xf numFmtId="220" fontId="148" fillId="45" borderId="0" applyNumberFormat="0" applyBorder="0" applyAlignment="0" applyProtection="0">
      <alignment vertical="center"/>
    </xf>
    <xf numFmtId="220" fontId="0" fillId="0" borderId="0"/>
    <xf numFmtId="220" fontId="148" fillId="45" borderId="0" applyNumberFormat="0" applyBorder="0" applyAlignment="0" applyProtection="0">
      <alignment vertical="center"/>
    </xf>
    <xf numFmtId="220" fontId="148" fillId="45" borderId="0" applyNumberFormat="0" applyBorder="0" applyAlignment="0" applyProtection="0">
      <alignment vertical="center"/>
    </xf>
    <xf numFmtId="220" fontId="0" fillId="0" borderId="0"/>
    <xf numFmtId="220" fontId="148" fillId="45" borderId="0" applyNumberFormat="0" applyBorder="0" applyAlignment="0" applyProtection="0">
      <alignment vertical="center"/>
    </xf>
    <xf numFmtId="220" fontId="2" fillId="0" borderId="0"/>
    <xf numFmtId="220" fontId="148" fillId="45"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0" fillId="0" borderId="0"/>
    <xf numFmtId="220" fontId="161" fillId="93" borderId="0" applyNumberFormat="0" applyBorder="0" applyAlignment="0" applyProtection="0">
      <alignment vertical="center"/>
    </xf>
    <xf numFmtId="220" fontId="158" fillId="0" borderId="0" applyNumberFormat="0" applyBorder="0" applyAlignment="0">
      <alignment vertical="center"/>
      <protection locked="0"/>
    </xf>
    <xf numFmtId="220" fontId="161" fillId="93" borderId="0" applyNumberFormat="0" applyBorder="0" applyAlignment="0" applyProtection="0">
      <alignment vertical="center"/>
    </xf>
    <xf numFmtId="220" fontId="161" fillId="93"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61" fillId="93"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8" fillId="121" borderId="0" applyNumberFormat="0" applyBorder="0" applyAlignment="0" applyProtection="0">
      <alignment vertical="center"/>
    </xf>
    <xf numFmtId="220" fontId="161" fillId="93" borderId="0" applyNumberFormat="0" applyBorder="0" applyAlignment="0" applyProtection="0">
      <alignment vertical="center"/>
    </xf>
    <xf numFmtId="220" fontId="5" fillId="0" borderId="0"/>
    <xf numFmtId="220" fontId="5" fillId="0" borderId="0"/>
    <xf numFmtId="225" fontId="145" fillId="0" borderId="0"/>
    <xf numFmtId="220" fontId="5" fillId="0" borderId="0"/>
    <xf numFmtId="220" fontId="5" fillId="0" borderId="0"/>
    <xf numFmtId="220" fontId="148" fillId="45" borderId="0" applyNumberFormat="0" applyBorder="0" applyAlignment="0" applyProtection="0">
      <alignment vertical="center"/>
    </xf>
    <xf numFmtId="220" fontId="161" fillId="93" borderId="0" applyNumberFormat="0" applyBorder="0" applyAlignment="0" applyProtection="0">
      <alignment vertical="center"/>
    </xf>
    <xf numFmtId="220" fontId="148" fillId="45" borderId="0" applyNumberFormat="0" applyBorder="0" applyAlignment="0" applyProtection="0">
      <alignment vertical="center"/>
    </xf>
    <xf numFmtId="220" fontId="157" fillId="47" borderId="0" applyNumberFormat="0" applyBorder="0" applyAlignment="0" applyProtection="0">
      <alignment vertical="center"/>
    </xf>
    <xf numFmtId="220" fontId="148" fillId="45" borderId="0" applyNumberFormat="0" applyBorder="0" applyAlignment="0" applyProtection="0">
      <alignment vertical="center"/>
    </xf>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161" fillId="93" borderId="0" applyNumberFormat="0" applyBorder="0" applyAlignment="0" applyProtection="0">
      <alignment vertical="center"/>
    </xf>
    <xf numFmtId="220" fontId="161" fillId="93" borderId="0" applyNumberFormat="0" applyBorder="0" applyAlignment="0" applyProtection="0">
      <alignment vertical="center"/>
    </xf>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161" fillId="45" borderId="0" applyNumberFormat="0" applyBorder="0" applyAlignment="0" applyProtection="0">
      <alignment vertical="center"/>
    </xf>
    <xf numFmtId="220" fontId="161" fillId="93" borderId="0" applyNumberFormat="0" applyBorder="0" applyAlignment="0" applyProtection="0">
      <alignment vertical="center"/>
    </xf>
    <xf numFmtId="220" fontId="188" fillId="31" borderId="108" applyNumberFormat="0" applyProtection="0">
      <alignment vertical="center"/>
    </xf>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5" fillId="0" borderId="0"/>
    <xf numFmtId="220" fontId="161" fillId="93" borderId="0" applyNumberFormat="0" applyBorder="0" applyAlignment="0" applyProtection="0">
      <alignment vertical="center"/>
    </xf>
    <xf numFmtId="220" fontId="140" fillId="36" borderId="0" applyNumberFormat="0" applyBorder="0" applyAlignment="0" applyProtection="0">
      <alignment vertical="center"/>
    </xf>
    <xf numFmtId="220" fontId="161" fillId="45" borderId="0" applyNumberFormat="0" applyBorder="0" applyAlignment="0" applyProtection="0">
      <alignment vertical="center"/>
    </xf>
    <xf numFmtId="220" fontId="161" fillId="93" borderId="0" applyNumberFormat="0" applyBorder="0" applyAlignment="0" applyProtection="0">
      <alignment vertical="center"/>
    </xf>
    <xf numFmtId="220" fontId="147" fillId="42" borderId="0" applyNumberFormat="0" applyBorder="0" applyAlignment="0" applyProtection="0">
      <alignment vertical="center"/>
    </xf>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161" fillId="93" borderId="0" applyNumberFormat="0" applyBorder="0" applyAlignment="0" applyProtection="0">
      <alignment vertical="center"/>
    </xf>
    <xf numFmtId="220" fontId="161" fillId="45" borderId="0" applyNumberFormat="0" applyBorder="0" applyAlignment="0" applyProtection="0">
      <alignment vertical="center"/>
    </xf>
    <xf numFmtId="220" fontId="0" fillId="0" borderId="0">
      <alignment vertical="center"/>
    </xf>
    <xf numFmtId="220" fontId="161" fillId="45" borderId="0" applyNumberFormat="0" applyBorder="0" applyAlignment="0" applyProtection="0">
      <alignment vertical="center"/>
    </xf>
    <xf numFmtId="220" fontId="5" fillId="0" borderId="0"/>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5" fillId="0" borderId="0"/>
    <xf numFmtId="220" fontId="161" fillId="45" borderId="0" applyNumberFormat="0" applyBorder="0" applyAlignment="0" applyProtection="0">
      <alignment vertical="center"/>
    </xf>
    <xf numFmtId="220" fontId="161" fillId="45" borderId="0" applyNumberFormat="0" applyBorder="0" applyAlignment="0" applyProtection="0">
      <alignment vertical="center"/>
    </xf>
    <xf numFmtId="220" fontId="5" fillId="0" borderId="0"/>
    <xf numFmtId="220" fontId="161" fillId="45" borderId="0" applyNumberFormat="0" applyBorder="0" applyAlignment="0" applyProtection="0">
      <alignment vertical="center"/>
    </xf>
    <xf numFmtId="220" fontId="147" fillId="42" borderId="0" applyNumberFormat="0" applyBorder="0" applyAlignment="0" applyProtection="0">
      <alignment vertical="center"/>
    </xf>
    <xf numFmtId="220" fontId="161" fillId="54" borderId="0" applyNumberFormat="0" applyBorder="0" applyAlignment="0" applyProtection="0">
      <alignment vertical="center"/>
    </xf>
    <xf numFmtId="220" fontId="148" fillId="100"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8" fillId="119" borderId="0" applyNumberFormat="0" applyBorder="0" applyAlignment="0" applyProtection="0">
      <alignment vertical="center"/>
    </xf>
    <xf numFmtId="220" fontId="5" fillId="0" borderId="0"/>
    <xf numFmtId="220" fontId="148" fillId="119" borderId="0" applyNumberFormat="0" applyBorder="0" applyAlignment="0" applyProtection="0">
      <alignment vertical="center"/>
    </xf>
    <xf numFmtId="220" fontId="5" fillId="0" borderId="0"/>
    <xf numFmtId="220" fontId="5" fillId="0" borderId="0"/>
    <xf numFmtId="220" fontId="161" fillId="98" borderId="0" applyNumberFormat="0" applyBorder="0" applyAlignment="0" applyProtection="0">
      <alignment vertical="center"/>
    </xf>
    <xf numFmtId="220" fontId="0" fillId="0" borderId="0"/>
    <xf numFmtId="220" fontId="148" fillId="54" borderId="0" applyNumberFormat="0" applyBorder="0" applyAlignment="0" applyProtection="0">
      <alignment vertical="center"/>
    </xf>
    <xf numFmtId="220" fontId="0" fillId="0" borderId="0">
      <alignment vertical="center"/>
    </xf>
    <xf numFmtId="220" fontId="5" fillId="0" borderId="0"/>
    <xf numFmtId="220" fontId="148" fillId="54" borderId="0" applyNumberFormat="0" applyBorder="0" applyAlignment="0" applyProtection="0">
      <alignment vertical="center"/>
    </xf>
    <xf numFmtId="220" fontId="5" fillId="0" borderId="0" applyFont="0" applyFill="0" applyBorder="0" applyAlignment="0" applyProtection="0"/>
    <xf numFmtId="220" fontId="145" fillId="44" borderId="108" applyNumberFormat="0" applyProtection="0">
      <alignment horizontal="left" vertical="center" indent="1"/>
    </xf>
    <xf numFmtId="220" fontId="5" fillId="0" borderId="0"/>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150" fillId="35" borderId="0" applyNumberFormat="0" applyBorder="0" applyAlignment="0" applyProtection="0">
      <alignment vertical="center"/>
    </xf>
    <xf numFmtId="220" fontId="161" fillId="98" borderId="0" applyNumberFormat="0" applyBorder="0" applyAlignment="0" applyProtection="0">
      <alignment vertical="center"/>
    </xf>
    <xf numFmtId="220" fontId="145" fillId="44" borderId="108" applyNumberFormat="0" applyProtection="0">
      <alignment horizontal="left" vertical="center" indent="1"/>
    </xf>
    <xf numFmtId="220" fontId="5" fillId="0" borderId="0"/>
    <xf numFmtId="220" fontId="148" fillId="54" borderId="0" applyNumberFormat="0" applyBorder="0" applyAlignment="0" applyProtection="0">
      <alignment vertical="center"/>
    </xf>
    <xf numFmtId="220" fontId="148" fillId="54"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48" fillId="54"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142" fillId="38" borderId="0" applyNumberFormat="0" applyBorder="0" applyAlignment="0" applyProtection="0">
      <alignment vertical="center"/>
    </xf>
    <xf numFmtId="4" fontId="146" fillId="32" borderId="108" applyNumberFormat="0" applyProtection="0">
      <alignment horizontal="right" vertical="center"/>
    </xf>
    <xf numFmtId="220" fontId="148" fillId="54" borderId="0" applyNumberFormat="0" applyBorder="0" applyAlignment="0" applyProtection="0">
      <alignment vertical="center"/>
    </xf>
    <xf numFmtId="220" fontId="0" fillId="0" borderId="0"/>
    <xf numFmtId="220" fontId="161" fillId="98" borderId="0" applyNumberFormat="0" applyBorder="0" applyAlignment="0" applyProtection="0">
      <alignment vertical="center"/>
    </xf>
    <xf numFmtId="220" fontId="162" fillId="94" borderId="0" applyNumberFormat="0" applyBorder="0" applyAlignment="0" applyProtection="0"/>
    <xf numFmtId="220" fontId="181" fillId="0" borderId="0"/>
    <xf numFmtId="220" fontId="161" fillId="98" borderId="0" applyNumberFormat="0" applyBorder="0" applyAlignment="0" applyProtection="0">
      <alignment vertical="center"/>
    </xf>
    <xf numFmtId="220" fontId="5" fillId="0" borderId="0"/>
    <xf numFmtId="220" fontId="145" fillId="32" borderId="108" applyNumberFormat="0" applyProtection="0">
      <alignment horizontal="left" vertical="center" indent="1"/>
    </xf>
    <xf numFmtId="220" fontId="161" fillId="98" borderId="0" applyNumberFormat="0" applyBorder="0" applyAlignment="0" applyProtection="0">
      <alignment vertical="center"/>
    </xf>
    <xf numFmtId="220" fontId="145" fillId="32" borderId="108" applyNumberFormat="0" applyProtection="0">
      <alignment horizontal="left" vertical="center" indent="1"/>
    </xf>
    <xf numFmtId="220" fontId="161" fillId="98"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57" fillId="47" borderId="0" applyNumberFormat="0" applyBorder="0" applyAlignment="0" applyProtection="0">
      <alignment vertical="center"/>
    </xf>
    <xf numFmtId="220" fontId="161" fillId="98" borderId="0" applyNumberFormat="0" applyBorder="0" applyAlignment="0" applyProtection="0">
      <alignment vertical="center"/>
    </xf>
    <xf numFmtId="220" fontId="157" fillId="47" borderId="0" applyNumberFormat="0" applyBorder="0" applyAlignment="0" applyProtection="0">
      <alignment vertical="center"/>
    </xf>
    <xf numFmtId="220" fontId="161" fillId="98" borderId="0" applyNumberFormat="0" applyBorder="0" applyAlignment="0" applyProtection="0">
      <alignment vertical="center"/>
    </xf>
    <xf numFmtId="220" fontId="157" fillId="47" borderId="0" applyNumberFormat="0" applyBorder="0" applyAlignment="0" applyProtection="0">
      <alignment vertical="center"/>
    </xf>
    <xf numFmtId="220" fontId="161" fillId="98" borderId="0" applyNumberFormat="0" applyBorder="0" applyAlignment="0" applyProtection="0">
      <alignment vertical="center"/>
    </xf>
    <xf numFmtId="220" fontId="148" fillId="119" borderId="0" applyNumberFormat="0" applyBorder="0" applyAlignment="0" applyProtection="0">
      <alignment vertical="center"/>
    </xf>
    <xf numFmtId="220" fontId="5" fillId="0" borderId="0"/>
    <xf numFmtId="220" fontId="5" fillId="0" borderId="0"/>
    <xf numFmtId="220" fontId="161" fillId="98" borderId="0" applyNumberFormat="0" applyBorder="0" applyAlignment="0" applyProtection="0">
      <alignment vertical="center"/>
    </xf>
    <xf numFmtId="220" fontId="148" fillId="54"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161" fillId="98" borderId="0" applyNumberFormat="0" applyBorder="0" applyAlignment="0" applyProtection="0">
      <alignment vertical="center"/>
    </xf>
    <xf numFmtId="220" fontId="148" fillId="100" borderId="0" applyNumberFormat="0" applyBorder="0" applyAlignment="0" applyProtection="0">
      <alignment vertical="center"/>
    </xf>
    <xf numFmtId="220" fontId="148" fillId="54" borderId="0" applyNumberFormat="0" applyBorder="0" applyAlignment="0" applyProtection="0">
      <alignment vertical="center"/>
    </xf>
    <xf numFmtId="220" fontId="148" fillId="119" borderId="0" applyNumberFormat="0" applyBorder="0" applyAlignment="0" applyProtection="0">
      <alignment vertical="center"/>
    </xf>
    <xf numFmtId="220" fontId="148" fillId="119"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48" fillId="54" borderId="0" applyNumberFormat="0" applyBorder="0" applyAlignment="0" applyProtection="0">
      <alignment vertical="center"/>
    </xf>
    <xf numFmtId="220" fontId="5" fillId="0" borderId="0"/>
    <xf numFmtId="220" fontId="148" fillId="100"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5" fillId="0" borderId="0"/>
    <xf numFmtId="220" fontId="5" fillId="0" borderId="0"/>
    <xf numFmtId="220" fontId="161" fillId="98"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246" fillId="0" borderId="125" applyNumberFormat="0" applyFill="0" applyAlignment="0" applyProtection="0">
      <alignment vertical="center"/>
    </xf>
    <xf numFmtId="220" fontId="0" fillId="0" borderId="0"/>
    <xf numFmtId="220" fontId="5" fillId="0" borderId="0"/>
    <xf numFmtId="220" fontId="161" fillId="9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61" fillId="100"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61" fillId="100" borderId="0" applyNumberFormat="0" applyBorder="0" applyAlignment="0" applyProtection="0">
      <alignment vertical="center"/>
    </xf>
    <xf numFmtId="220" fontId="246" fillId="0" borderId="125" applyNumberFormat="0" applyFill="0" applyAlignment="0" applyProtection="0">
      <alignment vertical="center"/>
    </xf>
    <xf numFmtId="220" fontId="0" fillId="0" borderId="0"/>
    <xf numFmtId="220" fontId="161" fillId="98" borderId="0" applyNumberFormat="0" applyBorder="0" applyAlignment="0" applyProtection="0">
      <alignment vertical="center"/>
    </xf>
    <xf numFmtId="220" fontId="246" fillId="0" borderId="125" applyNumberFormat="0" applyFill="0" applyAlignment="0" applyProtection="0">
      <alignment vertical="center"/>
    </xf>
    <xf numFmtId="220" fontId="0"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5" fillId="0" borderId="0"/>
    <xf numFmtId="220" fontId="161" fillId="98" borderId="0" applyNumberFormat="0" applyBorder="0" applyAlignment="0" applyProtection="0">
      <alignment vertical="center"/>
    </xf>
    <xf numFmtId="220" fontId="5" fillId="0" borderId="0"/>
    <xf numFmtId="220" fontId="5"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8" fillId="103"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8" fillId="103" borderId="0" applyNumberFormat="0" applyBorder="0" applyAlignment="0" applyProtection="0">
      <alignment vertical="center"/>
    </xf>
    <xf numFmtId="220" fontId="147" fillId="42"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2" fillId="0" borderId="0"/>
    <xf numFmtId="220" fontId="148" fillId="31" borderId="0" applyNumberFormat="0" applyBorder="0" applyAlignment="0" applyProtection="0">
      <alignment vertical="center"/>
    </xf>
    <xf numFmtId="220" fontId="2" fillId="0" borderId="0"/>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57" fillId="47"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48" fillId="103" borderId="0" applyNumberFormat="0" applyBorder="0" applyAlignment="0" applyProtection="0">
      <alignment vertical="center"/>
    </xf>
    <xf numFmtId="220" fontId="157" fillId="47" borderId="0" applyNumberFormat="0" applyBorder="0" applyAlignment="0" applyProtection="0">
      <alignment vertical="center"/>
    </xf>
    <xf numFmtId="220" fontId="161" fillId="64"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0" fillId="0" borderId="0"/>
    <xf numFmtId="220" fontId="161" fillId="64" borderId="0" applyNumberFormat="0" applyBorder="0" applyAlignment="0" applyProtection="0">
      <alignment vertical="center"/>
    </xf>
    <xf numFmtId="220" fontId="140" fillId="36" borderId="0" applyNumberFormat="0" applyBorder="0" applyAlignment="0" applyProtection="0">
      <alignment vertical="center"/>
    </xf>
    <xf numFmtId="220" fontId="148" fillId="103" borderId="0" applyNumberFormat="0" applyBorder="0" applyAlignment="0" applyProtection="0">
      <alignment vertical="center"/>
    </xf>
    <xf numFmtId="220" fontId="148" fillId="31" borderId="0" applyNumberFormat="0" applyBorder="0" applyAlignment="0" applyProtection="0">
      <alignment vertical="center"/>
    </xf>
    <xf numFmtId="220" fontId="148" fillId="103" borderId="0" applyNumberFormat="0" applyBorder="0" applyAlignment="0" applyProtection="0">
      <alignment vertical="center"/>
    </xf>
    <xf numFmtId="220" fontId="148" fillId="103"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5" fillId="0" borderId="0"/>
    <xf numFmtId="220" fontId="148" fillId="31" borderId="0" applyNumberFormat="0" applyBorder="0" applyAlignment="0" applyProtection="0">
      <alignment vertical="center"/>
    </xf>
    <xf numFmtId="220" fontId="5" fillId="0" borderId="0"/>
    <xf numFmtId="220" fontId="148" fillId="103"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5" fillId="0" borderId="0"/>
    <xf numFmtId="220" fontId="161" fillId="64" borderId="0" applyNumberFormat="0" applyBorder="0" applyAlignment="0" applyProtection="0">
      <alignment vertical="center"/>
    </xf>
    <xf numFmtId="220" fontId="5" fillId="0" borderId="0"/>
    <xf numFmtId="204" fontId="151" fillId="0" borderId="0" applyFill="0" applyBorder="0" applyAlignment="0"/>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147" fillId="42" borderId="0" applyNumberFormat="0" applyBorder="0" applyAlignment="0" applyProtection="0">
      <alignment vertical="center"/>
    </xf>
    <xf numFmtId="220" fontId="161" fillId="64" borderId="0" applyNumberFormat="0" applyBorder="0" applyAlignment="0" applyProtection="0">
      <alignment vertical="center"/>
    </xf>
    <xf numFmtId="220" fontId="147" fillId="42"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4" fontId="146" fillId="55" borderId="0" applyNumberFormat="0" applyProtection="0">
      <alignment horizontal="left" vertical="center" indent="1"/>
    </xf>
    <xf numFmtId="220" fontId="161" fillId="31" borderId="0" applyNumberFormat="0" applyBorder="0" applyAlignment="0" applyProtection="0">
      <alignment vertical="center"/>
    </xf>
    <xf numFmtId="220" fontId="146" fillId="55" borderId="0" applyNumberFormat="0" applyProtection="0">
      <alignment horizontal="left" vertical="center" indent="1"/>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146" fillId="41" borderId="108" applyNumberFormat="0" applyProtection="0">
      <alignment horizontal="left" vertical="top" indent="1"/>
    </xf>
    <xf numFmtId="220" fontId="161" fillId="31" borderId="0" applyNumberFormat="0" applyBorder="0" applyAlignment="0" applyProtection="0">
      <alignment vertical="center"/>
    </xf>
    <xf numFmtId="220" fontId="148" fillId="80" borderId="0" applyNumberFormat="0" applyBorder="0" applyAlignment="0" applyProtection="0">
      <alignment vertical="center"/>
    </xf>
    <xf numFmtId="220" fontId="147" fillId="42" borderId="0" applyNumberFormat="0" applyBorder="0" applyAlignment="0" applyProtection="0">
      <alignment vertical="center"/>
    </xf>
    <xf numFmtId="220" fontId="148" fillId="43" borderId="0" applyNumberFormat="0" applyBorder="0" applyAlignment="0" applyProtection="0">
      <alignment vertical="center"/>
    </xf>
    <xf numFmtId="220" fontId="147" fillId="42" borderId="0" applyNumberFormat="0" applyBorder="0" applyAlignment="0" applyProtection="0">
      <alignment vertical="center"/>
    </xf>
    <xf numFmtId="220" fontId="148" fillId="43" borderId="0" applyNumberFormat="0" applyBorder="0" applyAlignment="0" applyProtection="0">
      <alignment vertical="center"/>
    </xf>
    <xf numFmtId="220" fontId="148" fillId="43"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198" fontId="0" fillId="0" borderId="0"/>
    <xf numFmtId="220" fontId="161" fillId="48" borderId="0" applyNumberFormat="0" applyBorder="0" applyAlignment="0" applyProtection="0">
      <alignment vertical="center"/>
    </xf>
    <xf numFmtId="198" fontId="0" fillId="0" borderId="0"/>
    <xf numFmtId="220" fontId="161" fillId="48" borderId="0" applyNumberFormat="0" applyBorder="0" applyAlignment="0" applyProtection="0">
      <alignment vertical="center"/>
    </xf>
    <xf numFmtId="198" fontId="0"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0" fillId="0" borderId="0"/>
    <xf numFmtId="220" fontId="5" fillId="0" borderId="0"/>
    <xf numFmtId="220" fontId="161" fillId="48" borderId="0" applyNumberFormat="0" applyBorder="0" applyAlignment="0" applyProtection="0">
      <alignment vertical="center"/>
    </xf>
    <xf numFmtId="220" fontId="5" fillId="0" borderId="0"/>
    <xf numFmtId="220" fontId="148" fillId="43"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191" fontId="145" fillId="0" borderId="0" applyFont="0" applyFill="0" applyBorder="0" applyAlignment="0" applyProtection="0"/>
    <xf numFmtId="220" fontId="161" fillId="48" borderId="0" applyNumberFormat="0" applyBorder="0" applyAlignment="0" applyProtection="0">
      <alignment vertical="center"/>
    </xf>
    <xf numFmtId="220" fontId="148" fillId="80" borderId="0" applyNumberFormat="0" applyBorder="0" applyAlignment="0" applyProtection="0">
      <alignment vertical="center"/>
    </xf>
    <xf numFmtId="220" fontId="5" fillId="0" borderId="0"/>
    <xf numFmtId="220" fontId="5" fillId="0" borderId="0"/>
    <xf numFmtId="220" fontId="148" fillId="80"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5" fillId="0" borderId="0"/>
    <xf numFmtId="220" fontId="148" fillId="80" borderId="0" applyNumberFormat="0" applyBorder="0" applyAlignment="0" applyProtection="0">
      <alignment vertical="center"/>
    </xf>
    <xf numFmtId="220" fontId="148" fillId="43" borderId="0" applyNumberFormat="0" applyBorder="0" applyAlignment="0" applyProtection="0">
      <alignment vertical="center"/>
    </xf>
    <xf numFmtId="220" fontId="148" fillId="43" borderId="0" applyNumberFormat="0" applyBorder="0" applyAlignment="0" applyProtection="0">
      <alignment vertical="center"/>
    </xf>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0" fillId="0" borderId="0"/>
    <xf numFmtId="220" fontId="161" fillId="80"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61" fillId="80" borderId="0" applyNumberFormat="0" applyBorder="0" applyAlignment="0" applyProtection="0">
      <alignment vertical="center"/>
    </xf>
    <xf numFmtId="220" fontId="0" fillId="0" borderId="0"/>
    <xf numFmtId="220" fontId="161" fillId="80"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0"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20" fontId="5" fillId="0" borderId="0"/>
    <xf numFmtId="220" fontId="161" fillId="48" borderId="0" applyNumberFormat="0" applyBorder="0" applyAlignment="0" applyProtection="0">
      <alignment vertical="center"/>
    </xf>
    <xf numFmtId="25" fontId="213" fillId="0" borderId="0" applyFont="0" applyFill="0" applyBorder="0" applyAlignment="0" applyProtection="0"/>
    <xf numFmtId="220" fontId="151" fillId="0" borderId="0">
      <protection locked="0"/>
    </xf>
    <xf numFmtId="220" fontId="5" fillId="0" borderId="0"/>
    <xf numFmtId="243" fontId="182" fillId="0" borderId="0" applyFont="0" applyFill="0" applyBorder="0" applyAlignment="0" applyProtection="0"/>
    <xf numFmtId="220" fontId="5" fillId="0" borderId="0"/>
    <xf numFmtId="4" fontId="214" fillId="0" borderId="124"/>
    <xf numFmtId="220" fontId="181" fillId="0" borderId="0"/>
    <xf numFmtId="220" fontId="181" fillId="0" borderId="0"/>
    <xf numFmtId="245" fontId="213" fillId="0" borderId="0" applyFont="0" applyFill="0" applyBorder="0" applyAlignment="0" applyProtection="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90" fillId="0" borderId="0"/>
    <xf numFmtId="220" fontId="5" fillId="0" borderId="0"/>
    <xf numFmtId="245" fontId="213" fillId="0" borderId="0" applyFont="0" applyFill="0" applyBorder="0" applyAlignment="0" applyProtection="0"/>
    <xf numFmtId="220" fontId="157" fillId="47" borderId="0" applyNumberFormat="0" applyBorder="0" applyAlignment="0" applyProtection="0">
      <alignment vertical="center"/>
    </xf>
    <xf numFmtId="220" fontId="90" fillId="0" borderId="0"/>
    <xf numFmtId="220" fontId="5" fillId="0" borderId="0"/>
    <xf numFmtId="220" fontId="227" fillId="0" borderId="0" applyNumberFormat="0" applyFill="0" applyBorder="0" applyAlignment="0" applyProtection="0"/>
    <xf numFmtId="220" fontId="5" fillId="0" borderId="0"/>
    <xf numFmtId="220" fontId="157" fillId="47" borderId="0" applyNumberFormat="0" applyBorder="0" applyAlignment="0" applyProtection="0">
      <alignment vertical="center"/>
    </xf>
    <xf numFmtId="220" fontId="90" fillId="0" borderId="0"/>
    <xf numFmtId="246" fontId="75" fillId="0" borderId="0"/>
    <xf numFmtId="220" fontId="150" fillId="35" borderId="0" applyNumberFormat="0" applyBorder="0" applyAlignment="0" applyProtection="0">
      <alignment vertical="center"/>
    </xf>
    <xf numFmtId="220" fontId="90" fillId="0" borderId="0"/>
    <xf numFmtId="15" fontId="75" fillId="0" borderId="0" applyFont="0" applyFill="0" applyBorder="0" applyAlignment="0" applyProtection="0"/>
    <xf numFmtId="220" fontId="5" fillId="0" borderId="0"/>
    <xf numFmtId="220" fontId="90" fillId="0" borderId="0"/>
    <xf numFmtId="220" fontId="5" fillId="0" borderId="0"/>
    <xf numFmtId="15" fontId="75" fillId="0" borderId="0" applyFont="0" applyFill="0" applyBorder="0" applyAlignment="0" applyProtection="0"/>
    <xf numFmtId="220" fontId="90" fillId="0" borderId="0"/>
    <xf numFmtId="220" fontId="5" fillId="0" borderId="0"/>
    <xf numFmtId="220" fontId="157" fillId="47" borderId="0" applyNumberFormat="0" applyBorder="0" applyAlignment="0" applyProtection="0">
      <alignment vertical="center"/>
    </xf>
    <xf numFmtId="14" fontId="146" fillId="0" borderId="0" applyFill="0" applyBorder="0" applyAlignment="0"/>
    <xf numFmtId="220" fontId="5" fillId="0" borderId="0"/>
    <xf numFmtId="209" fontId="145" fillId="0" borderId="0" applyFont="0" applyFill="0" applyBorder="0" applyAlignment="0" applyProtection="0"/>
    <xf numFmtId="220" fontId="142" fillId="38" borderId="0" applyNumberFormat="0" applyBorder="0" applyAlignment="0" applyProtection="0">
      <alignment vertical="center"/>
    </xf>
    <xf numFmtId="191" fontId="145" fillId="0" borderId="0" applyFont="0" applyFill="0" applyBorder="0" applyAlignment="0" applyProtection="0"/>
    <xf numFmtId="220" fontId="0" fillId="0" borderId="0" applyNumberFormat="0" applyFont="0"/>
    <xf numFmtId="220" fontId="165" fillId="0" borderId="1">
      <alignment horizontal="center"/>
    </xf>
    <xf numFmtId="220" fontId="165" fillId="0" borderId="1">
      <alignment horizontal="center"/>
    </xf>
    <xf numFmtId="220" fontId="5" fillId="0" borderId="0"/>
    <xf numFmtId="220" fontId="5" fillId="0" borderId="0"/>
    <xf numFmtId="220" fontId="5" fillId="0" borderId="0"/>
    <xf numFmtId="220" fontId="165" fillId="0" borderId="1">
      <alignment horizontal="center"/>
    </xf>
    <xf numFmtId="220" fontId="165" fillId="0" borderId="1">
      <alignment horizontal="center" vertical="center"/>
    </xf>
    <xf numFmtId="220" fontId="165" fillId="0" borderId="1">
      <alignment horizontal="center"/>
    </xf>
    <xf numFmtId="220" fontId="165" fillId="0" borderId="1">
      <alignment horizontal="center" vertical="center"/>
    </xf>
    <xf numFmtId="220" fontId="165" fillId="0" borderId="1">
      <alignment horizontal="center" vertical="center"/>
    </xf>
    <xf numFmtId="220" fontId="165" fillId="0" borderId="1">
      <alignment horizontal="center"/>
    </xf>
    <xf numFmtId="220" fontId="165" fillId="0" borderId="1">
      <alignment horizontal="center" vertical="center"/>
    </xf>
    <xf numFmtId="220" fontId="5" fillId="0" borderId="0"/>
    <xf numFmtId="220" fontId="165" fillId="0" borderId="1">
      <alignment horizontal="center" vertical="center"/>
    </xf>
    <xf numFmtId="220" fontId="165" fillId="0" borderId="1">
      <alignment horizontal="center" vertical="center"/>
    </xf>
    <xf numFmtId="220" fontId="165" fillId="0" borderId="1">
      <alignment horizontal="center" vertical="center"/>
    </xf>
    <xf numFmtId="220" fontId="0" fillId="0" borderId="0"/>
    <xf numFmtId="220" fontId="256" fillId="0" borderId="0"/>
    <xf numFmtId="220" fontId="5" fillId="0" borderId="0"/>
    <xf numFmtId="220" fontId="256" fillId="0" borderId="0"/>
    <xf numFmtId="220" fontId="5" fillId="0" borderId="0"/>
    <xf numFmtId="220" fontId="157" fillId="47" borderId="0" applyNumberFormat="0" applyBorder="0" applyAlignment="0" applyProtection="0">
      <alignment vertical="center"/>
    </xf>
    <xf numFmtId="220" fontId="256" fillId="0" borderId="0"/>
    <xf numFmtId="220" fontId="5" fillId="0" borderId="0"/>
    <xf numFmtId="220" fontId="256" fillId="0" borderId="0"/>
    <xf numFmtId="220" fontId="0" fillId="0" borderId="0"/>
    <xf numFmtId="220" fontId="256" fillId="0" borderId="126" applyFill="0">
      <alignment horizontal="center"/>
      <protection locked="0"/>
    </xf>
    <xf numFmtId="220" fontId="256" fillId="0" borderId="126" applyFill="0">
      <alignment horizontal="center"/>
      <protection locked="0"/>
    </xf>
    <xf numFmtId="220" fontId="256" fillId="0" borderId="126" applyFill="0">
      <alignment horizontal="center"/>
      <protection locked="0"/>
    </xf>
    <xf numFmtId="220" fontId="256" fillId="0" borderId="126" applyFill="0">
      <alignment horizontal="center"/>
      <protection locked="0"/>
    </xf>
    <xf numFmtId="220" fontId="0" fillId="0" borderId="0"/>
    <xf numFmtId="220" fontId="5" fillId="0" borderId="0"/>
    <xf numFmtId="220" fontId="165" fillId="0" borderId="0" applyFill="0">
      <alignment horizontal="center"/>
      <protection locked="0"/>
    </xf>
    <xf numFmtId="220" fontId="165" fillId="0" borderId="0" applyFill="0">
      <alignment horizontal="center"/>
      <protection locked="0"/>
    </xf>
    <xf numFmtId="220" fontId="165" fillId="0" borderId="0" applyFill="0">
      <alignment horizontal="center"/>
      <protection locked="0"/>
    </xf>
    <xf numFmtId="220" fontId="165" fillId="115" borderId="0"/>
    <xf numFmtId="220" fontId="165" fillId="115" borderId="0"/>
    <xf numFmtId="220" fontId="165" fillId="115" borderId="0"/>
    <xf numFmtId="220" fontId="150" fillId="35" borderId="0" applyNumberFormat="0" applyBorder="0" applyAlignment="0" applyProtection="0">
      <alignment vertical="center"/>
    </xf>
    <xf numFmtId="220" fontId="165" fillId="0" borderId="0">
      <protection locked="0"/>
    </xf>
    <xf numFmtId="220" fontId="152" fillId="0" borderId="0">
      <alignment vertical="center"/>
    </xf>
    <xf numFmtId="220" fontId="165" fillId="0" borderId="0">
      <protection locked="0"/>
    </xf>
    <xf numFmtId="220" fontId="152" fillId="0" borderId="0">
      <alignment vertical="center"/>
    </xf>
    <xf numFmtId="220" fontId="165" fillId="0" borderId="0">
      <protection locked="0"/>
    </xf>
    <xf numFmtId="220" fontId="165" fillId="0" borderId="0">
      <protection locked="0"/>
    </xf>
    <xf numFmtId="220" fontId="150" fillId="112" borderId="0" applyNumberFormat="0" applyBorder="0" applyAlignment="0" applyProtection="0">
      <alignment vertical="center"/>
    </xf>
    <xf numFmtId="220" fontId="165" fillId="0" borderId="0"/>
    <xf numFmtId="220" fontId="5" fillId="0" borderId="0"/>
    <xf numFmtId="220" fontId="0" fillId="0" borderId="0"/>
    <xf numFmtId="202" fontId="151" fillId="0" borderId="0" applyFill="0" applyBorder="0" applyAlignment="0"/>
    <xf numFmtId="220" fontId="165" fillId="0" borderId="0"/>
    <xf numFmtId="9" fontId="0" fillId="0" borderId="0" applyFont="0" applyFill="0" applyBorder="0" applyAlignment="0" applyProtection="0"/>
    <xf numFmtId="220" fontId="165" fillId="0" borderId="0"/>
    <xf numFmtId="220" fontId="5" fillId="0" borderId="0"/>
    <xf numFmtId="234" fontId="165" fillId="0" borderId="0"/>
    <xf numFmtId="4" fontId="146" fillId="99" borderId="108" applyNumberFormat="0" applyProtection="0">
      <alignment horizontal="right" vertical="center"/>
    </xf>
    <xf numFmtId="206" fontId="16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256" fillId="114" borderId="0">
      <alignment horizontal="right"/>
    </xf>
    <xf numFmtId="220" fontId="5" fillId="0" borderId="0"/>
    <xf numFmtId="220" fontId="5" fillId="0" borderId="0"/>
    <xf numFmtId="220" fontId="256" fillId="114" borderId="0">
      <alignment horizontal="right"/>
    </xf>
    <xf numFmtId="220" fontId="256" fillId="114" borderId="0">
      <alignment horizontal="right"/>
    </xf>
    <xf numFmtId="220" fontId="5" fillId="0" borderId="0"/>
    <xf numFmtId="220" fontId="165" fillId="0" borderId="0"/>
    <xf numFmtId="220" fontId="5" fillId="0" borderId="0"/>
    <xf numFmtId="220" fontId="5" fillId="0" borderId="0"/>
    <xf numFmtId="220" fontId="165" fillId="0" borderId="0"/>
    <xf numFmtId="220" fontId="5" fillId="0" borderId="0"/>
    <xf numFmtId="220" fontId="145" fillId="32" borderId="108" applyNumberFormat="0" applyProtection="0">
      <alignment horizontal="left" vertical="top" indent="1"/>
    </xf>
    <xf numFmtId="220" fontId="165" fillId="0" borderId="0"/>
    <xf numFmtId="220" fontId="140" fillId="36" borderId="0" applyNumberFormat="0" applyBorder="0" applyAlignment="0" applyProtection="0">
      <alignment vertical="center"/>
    </xf>
    <xf numFmtId="220" fontId="5" fillId="0" borderId="0"/>
    <xf numFmtId="220" fontId="145" fillId="32" borderId="108" applyNumberFormat="0" applyProtection="0">
      <alignment horizontal="left" vertical="top" indent="1"/>
    </xf>
    <xf numFmtId="220" fontId="165" fillId="0" borderId="0"/>
    <xf numFmtId="220" fontId="158" fillId="79" borderId="0" applyNumberFormat="0" applyBorder="0" applyAlignment="0" applyProtection="0"/>
    <xf numFmtId="220" fontId="5" fillId="0" borderId="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5" fillId="0" borderId="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5" fillId="0" borderId="0"/>
    <xf numFmtId="220" fontId="158" fillId="79" borderId="0" applyNumberFormat="0" applyBorder="0" applyAlignment="0" applyProtection="0"/>
    <xf numFmtId="220" fontId="158" fillId="79" borderId="0" applyNumberFormat="0" applyBorder="0" applyAlignment="0" applyProtection="0"/>
    <xf numFmtId="220" fontId="0" fillId="0" borderId="0"/>
    <xf numFmtId="220" fontId="158" fillId="79" borderId="0" applyNumberFormat="0" applyBorder="0" applyAlignment="0" applyProtection="0"/>
    <xf numFmtId="220" fontId="5" fillId="0" borderId="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47" fillId="38" borderId="0" applyNumberFormat="0" applyBorder="0" applyAlignment="0" applyProtection="0">
      <alignment vertical="center"/>
    </xf>
    <xf numFmtId="220" fontId="0" fillId="0" borderId="0"/>
    <xf numFmtId="220" fontId="162" fillId="94" borderId="0" applyNumberFormat="0" applyBorder="0" applyAlignment="0" applyProtection="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0" fillId="0" borderId="0"/>
    <xf numFmtId="220" fontId="162" fillId="94" borderId="0" applyNumberFormat="0" applyBorder="0" applyAlignment="0" applyProtection="0"/>
    <xf numFmtId="220" fontId="2" fillId="0" borderId="0"/>
    <xf numFmtId="220" fontId="162" fillId="94" borderId="0" applyNumberFormat="0" applyBorder="0" applyAlignment="0" applyProtection="0"/>
    <xf numFmtId="220" fontId="258" fillId="42" borderId="0" applyNumberFormat="0" applyBorder="0" applyAlignment="0" applyProtection="0">
      <alignment vertical="center"/>
    </xf>
    <xf numFmtId="220" fontId="0" fillId="0" borderId="0"/>
    <xf numFmtId="220" fontId="162" fillId="94" borderId="0" applyNumberFormat="0" applyBorder="0" applyAlignment="0" applyProtection="0"/>
    <xf numFmtId="220" fontId="162" fillId="94" borderId="0" applyNumberFormat="0" applyBorder="0" applyAlignment="0" applyProtection="0"/>
    <xf numFmtId="220" fontId="0" fillId="0" borderId="0"/>
    <xf numFmtId="220" fontId="150" fillId="35" borderId="0" applyNumberFormat="0" applyBorder="0" applyAlignment="0" applyProtection="0">
      <alignment vertical="center"/>
    </xf>
    <xf numFmtId="220" fontId="162" fillId="94" borderId="0" applyNumberFormat="0" applyBorder="0" applyAlignment="0" applyProtection="0"/>
    <xf numFmtId="220" fontId="150" fillId="35" borderId="0" applyNumberFormat="0" applyBorder="0" applyAlignment="0" applyProtection="0">
      <alignment vertical="center"/>
    </xf>
    <xf numFmtId="220" fontId="162" fillId="94" borderId="0" applyNumberFormat="0" applyBorder="0" applyAlignment="0" applyProtection="0"/>
    <xf numFmtId="220" fontId="0" fillId="0" borderId="0"/>
    <xf numFmtId="220" fontId="150" fillId="35" borderId="0" applyNumberFormat="0" applyBorder="0" applyAlignment="0" applyProtection="0">
      <alignment vertical="center"/>
    </xf>
    <xf numFmtId="220" fontId="162" fillId="94" borderId="0" applyNumberFormat="0" applyBorder="0" applyAlignment="0" applyProtection="0"/>
    <xf numFmtId="220" fontId="5" fillId="0" borderId="0"/>
    <xf numFmtId="220" fontId="150" fillId="35" borderId="0" applyNumberFormat="0" applyBorder="0" applyAlignmen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0" fillId="0" borderId="0"/>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57" fillId="47" borderId="0" applyNumberFormat="0" applyBorder="0" applyAlignmen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0" fillId="0" borderId="0"/>
    <xf numFmtId="220" fontId="162" fillId="94" borderId="0" applyNumberFormat="0" applyBorder="0" applyAlignment="0" applyProtection="0"/>
    <xf numFmtId="220" fontId="162" fillId="94" borderId="0" applyNumberFormat="0" applyBorder="0" applyAlignment="0" applyProtection="0"/>
    <xf numFmtId="220" fontId="140" fillId="36" borderId="0" applyNumberFormat="0" applyBorder="0" applyAlignmen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5" fillId="0" borderId="0"/>
    <xf numFmtId="220" fontId="294" fillId="94" borderId="0" applyNumberFormat="0" applyBorder="0" applyAlignment="0" applyProtection="0"/>
    <xf numFmtId="220" fontId="162" fillId="110"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5" fillId="0" borderId="0"/>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5" fillId="0" borderId="0"/>
    <xf numFmtId="220" fontId="158" fillId="81" borderId="0" applyNumberFormat="0" applyBorder="0" applyAlignment="0" applyProtection="0"/>
    <xf numFmtId="220" fontId="5" fillId="0" borderId="0"/>
    <xf numFmtId="220" fontId="0" fillId="0" borderId="0"/>
    <xf numFmtId="220" fontId="158" fillId="81" borderId="0" applyNumberFormat="0" applyBorder="0" applyAlignment="0" applyProtection="0"/>
    <xf numFmtId="220" fontId="5" fillId="0" borderId="0"/>
    <xf numFmtId="220" fontId="158" fillId="81" borderId="0" applyNumberFormat="0" applyBorder="0" applyAlignment="0" applyProtection="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8" fillId="81" borderId="0" applyNumberFormat="0" applyBorder="0" applyAlignment="0" applyProtection="0"/>
    <xf numFmtId="220" fontId="5" fillId="0" borderId="0"/>
    <xf numFmtId="220" fontId="147" fillId="42" borderId="0" applyNumberFormat="0" applyBorder="0" applyAlignment="0" applyProtection="0">
      <alignment vertical="center"/>
    </xf>
    <xf numFmtId="220" fontId="158" fillId="81" borderId="0" applyNumberFormat="0" applyBorder="0" applyAlignment="0" applyProtection="0"/>
    <xf numFmtId="220" fontId="158" fillId="81" borderId="0" applyNumberFormat="0" applyBorder="0" applyAlignment="0" applyProtection="0"/>
    <xf numFmtId="220" fontId="158" fillId="81" borderId="0" applyNumberFormat="0" applyBorder="0" applyAlignment="0" applyProtection="0"/>
    <xf numFmtId="218" fontId="0" fillId="0" borderId="0" applyFont="0" applyFill="0" applyBorder="0" applyAlignment="0" applyProtection="0"/>
    <xf numFmtId="220" fontId="162" fillId="49" borderId="0" applyNumberFormat="0" applyBorder="0" applyAlignment="0" applyProtection="0"/>
    <xf numFmtId="218" fontId="0" fillId="0" borderId="0" applyFont="0" applyFill="0" applyBorder="0" applyAlignment="0" applyProtection="0"/>
    <xf numFmtId="220" fontId="162" fillId="49" borderId="0" applyNumberFormat="0" applyBorder="0" applyAlignment="0" applyProtection="0"/>
    <xf numFmtId="220" fontId="228" fillId="53" borderId="1">
      <alignment vertical="center"/>
    </xf>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162" fillId="49" borderId="0" applyNumberFormat="0" applyBorder="0" applyAlignment="0" applyProtection="0"/>
    <xf numFmtId="220" fontId="162" fillId="49" borderId="0" applyNumberFormat="0" applyBorder="0" applyAlignment="0" applyProtection="0"/>
    <xf numFmtId="220" fontId="162" fillId="110" borderId="0" applyNumberFormat="0" applyBorder="0" applyAlignment="0" applyProtection="0"/>
    <xf numFmtId="220" fontId="5" fillId="0" borderId="0"/>
    <xf numFmtId="220" fontId="2" fillId="0" borderId="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5" fillId="0" borderId="0"/>
    <xf numFmtId="220" fontId="162" fillId="110" borderId="0" applyNumberFormat="0" applyBorder="0" applyAlignment="0" applyProtection="0"/>
    <xf numFmtId="220" fontId="5" fillId="0" borderId="0"/>
    <xf numFmtId="220" fontId="139" fillId="0" borderId="0">
      <alignment vertical="center"/>
    </xf>
    <xf numFmtId="220" fontId="162" fillId="110" borderId="0" applyNumberFormat="0" applyBorder="0" applyAlignment="0" applyProtection="0"/>
    <xf numFmtId="220" fontId="5" fillId="0" borderId="0"/>
    <xf numFmtId="220" fontId="5" fillId="0" borderId="0" applyFont="0" applyFill="0" applyBorder="0" applyAlignment="0" applyProtection="0"/>
    <xf numFmtId="220" fontId="162" fillId="110" borderId="0" applyNumberFormat="0" applyBorder="0" applyAlignment="0" applyProtection="0"/>
    <xf numFmtId="220" fontId="5" fillId="0" borderId="0"/>
    <xf numFmtId="220" fontId="162" fillId="110" borderId="0" applyNumberFormat="0" applyBorder="0" applyAlignment="0" applyProtection="0"/>
    <xf numFmtId="220" fontId="5" fillId="0" borderId="0"/>
    <xf numFmtId="220" fontId="162" fillId="110" borderId="0" applyNumberFormat="0" applyBorder="0" applyAlignment="0" applyProtection="0"/>
    <xf numFmtId="220" fontId="2" fillId="0" borderId="0" applyFont="0" applyAlignment="0">
      <alignment vertical="center"/>
    </xf>
    <xf numFmtId="220" fontId="5" fillId="0" borderId="0"/>
    <xf numFmtId="220" fontId="5" fillId="0" borderId="0"/>
    <xf numFmtId="220" fontId="162" fillId="110" borderId="0" applyNumberFormat="0" applyBorder="0" applyAlignment="0" applyProtection="0"/>
    <xf numFmtId="220" fontId="151" fillId="0" borderId="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45" fillId="0" borderId="0">
      <protection locked="0"/>
    </xf>
    <xf numFmtId="220" fontId="162" fillId="110" borderId="0" applyNumberFormat="0" applyBorder="0" applyAlignment="0" applyProtection="0"/>
    <xf numFmtId="220" fontId="285" fillId="0" borderId="0" applyFill="0" applyBorder="0">
      <alignment horizontal="right"/>
    </xf>
    <xf numFmtId="220" fontId="162" fillId="110" borderId="0" applyNumberFormat="0" applyBorder="0" applyAlignment="0" applyProtection="0"/>
    <xf numFmtId="220" fontId="157" fillId="47" borderId="0" applyNumberFormat="0" applyBorder="0" applyAlignment="0" applyProtection="0">
      <alignment vertical="center"/>
    </xf>
    <xf numFmtId="220" fontId="246" fillId="0" borderId="0" applyNumberFormat="0" applyFill="0" applyBorder="0" applyAlignment="0" applyProtection="0">
      <alignment vertical="center"/>
    </xf>
    <xf numFmtId="220" fontId="162" fillId="110" borderId="0" applyNumberFormat="0" applyBorder="0" applyAlignment="0" applyProtection="0"/>
    <xf numFmtId="220" fontId="162" fillId="110" borderId="0" applyNumberFormat="0" applyBorder="0" applyAlignment="0" applyProtection="0"/>
    <xf numFmtId="220" fontId="5" fillId="0" borderId="0"/>
    <xf numFmtId="220" fontId="162" fillId="110" borderId="0" applyNumberFormat="0" applyBorder="0" applyAlignment="0" applyProtection="0"/>
    <xf numFmtId="220" fontId="162" fillId="110" borderId="0" applyNumberFormat="0" applyBorder="0" applyAlignment="0" applyProtection="0"/>
    <xf numFmtId="220" fontId="295" fillId="0" borderId="0" applyNumberFormat="0" applyFill="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162" fillId="110" borderId="0" applyNumberFormat="0" applyBorder="0" applyAlignment="0" applyProtection="0"/>
    <xf numFmtId="220" fontId="5" fillId="0" borderId="0"/>
    <xf numFmtId="220" fontId="5" fillId="0" borderId="0"/>
    <xf numFmtId="220" fontId="0" fillId="0" borderId="0">
      <alignment vertical="center"/>
    </xf>
    <xf numFmtId="220" fontId="294" fillId="110" borderId="0" applyNumberFormat="0" applyBorder="0" applyAlignment="0" applyProtection="0"/>
    <xf numFmtId="220" fontId="162" fillId="109" borderId="0" applyNumberFormat="0" applyBorder="0" applyAlignment="0" applyProtection="0"/>
    <xf numFmtId="220" fontId="5" fillId="0" borderId="0"/>
    <xf numFmtId="220" fontId="150" fillId="35" borderId="0" applyNumberFormat="0" applyBorder="0" applyAlignment="0" applyProtection="0">
      <alignment vertical="center"/>
    </xf>
    <xf numFmtId="220" fontId="162" fillId="49"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0" fillId="0" borderId="0"/>
    <xf numFmtId="220" fontId="158" fillId="122" borderId="0" applyNumberFormat="0" applyBorder="0" applyAlignment="0" applyProtection="0"/>
    <xf numFmtId="220" fontId="0" fillId="0" borderId="0"/>
    <xf numFmtId="220" fontId="158" fillId="122" borderId="0" applyNumberFormat="0" applyBorder="0" applyAlignment="0" applyProtection="0"/>
    <xf numFmtId="220" fontId="147" fillId="42" borderId="0" applyNumberFormat="0" applyBorder="0" applyAlignment="0" applyProtection="0">
      <alignment vertical="center"/>
    </xf>
    <xf numFmtId="220" fontId="158" fillId="122" borderId="0" applyNumberFormat="0" applyBorder="0" applyAlignment="0" applyProtection="0"/>
    <xf numFmtId="220" fontId="147" fillId="42" borderId="0" applyNumberFormat="0" applyBorder="0" applyAlignment="0" applyProtection="0">
      <alignment vertical="center"/>
    </xf>
    <xf numFmtId="220" fontId="158" fillId="122" borderId="0" applyNumberFormat="0" applyBorder="0" applyAlignment="0" applyProtection="0"/>
    <xf numFmtId="9" fontId="0" fillId="0" borderId="0" applyFont="0" applyFill="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58" fillId="62" borderId="0" applyNumberFormat="0" applyBorder="0" applyAlignment="0" applyProtection="0"/>
    <xf numFmtId="220" fontId="158" fillId="62" borderId="0" applyNumberFormat="0" applyBorder="0" applyAlignment="0" applyProtection="0"/>
    <xf numFmtId="220" fontId="158" fillId="62" borderId="0" applyNumberFormat="0" applyBorder="0" applyAlignment="0" applyProtection="0"/>
    <xf numFmtId="220" fontId="5" fillId="0" borderId="0"/>
    <xf numFmtId="220" fontId="158" fillId="62" borderId="0" applyNumberFormat="0" applyBorder="0" applyAlignment="0" applyProtection="0"/>
    <xf numFmtId="220" fontId="158" fillId="62" borderId="0" applyNumberFormat="0" applyBorder="0" applyAlignment="0" applyProtection="0"/>
    <xf numFmtId="220" fontId="158" fillId="62" borderId="0" applyNumberFormat="0" applyBorder="0" applyAlignment="0" applyProtection="0"/>
    <xf numFmtId="220" fontId="158" fillId="62" borderId="0" applyNumberFormat="0" applyBorder="0" applyAlignment="0" applyProtection="0"/>
    <xf numFmtId="220" fontId="150" fillId="35" borderId="0" applyNumberFormat="0" applyBorder="0" applyAlignment="0" applyProtection="0">
      <alignment vertical="center"/>
    </xf>
    <xf numFmtId="220" fontId="162" fillId="81" borderId="0" applyNumberFormat="0" applyBorder="0" applyAlignment="0" applyProtection="0"/>
    <xf numFmtId="220" fontId="162" fillId="81" borderId="0" applyNumberFormat="0" applyBorder="0" applyAlignment="0" applyProtection="0"/>
    <xf numFmtId="220" fontId="162" fillId="81" borderId="0" applyNumberFormat="0" applyBorder="0" applyAlignment="0" applyProtection="0"/>
    <xf numFmtId="220" fontId="5" fillId="0" borderId="0"/>
    <xf numFmtId="220" fontId="5" fillId="0" borderId="0"/>
    <xf numFmtId="220" fontId="162" fillId="81" borderId="0" applyNumberFormat="0" applyBorder="0" applyAlignment="0" applyProtection="0"/>
    <xf numFmtId="220" fontId="162" fillId="81" borderId="0" applyNumberFormat="0" applyBorder="0" applyAlignment="0" applyProtection="0"/>
    <xf numFmtId="220" fontId="5" fillId="0" borderId="0"/>
    <xf numFmtId="220" fontId="162" fillId="81" borderId="0" applyNumberFormat="0" applyBorder="0" applyAlignment="0" applyProtection="0"/>
    <xf numFmtId="220" fontId="5" fillId="0" borderId="0"/>
    <xf numFmtId="220" fontId="162" fillId="49" borderId="0" applyNumberFormat="0" applyBorder="0" applyAlignment="0" applyProtection="0"/>
    <xf numFmtId="220" fontId="162" fillId="49" borderId="0" applyNumberFormat="0" applyBorder="0" applyAlignment="0" applyProtection="0"/>
    <xf numFmtId="220" fontId="150" fillId="35" borderId="0" applyNumberFormat="0" applyBorder="0" applyAlignment="0" applyProtection="0">
      <alignment vertical="center"/>
    </xf>
    <xf numFmtId="220" fontId="162" fillId="49" borderId="0" applyNumberFormat="0" applyBorder="0" applyAlignment="0" applyProtection="0"/>
    <xf numFmtId="220" fontId="162" fillId="49" borderId="0" applyNumberFormat="0" applyBorder="0" applyAlignment="0" applyProtection="0"/>
    <xf numFmtId="220" fontId="147" fillId="42" borderId="0" applyNumberFormat="0" applyBorder="0" applyAlignment="0" applyProtection="0">
      <alignment vertical="center"/>
    </xf>
    <xf numFmtId="220" fontId="162" fillId="49" borderId="0" applyNumberFormat="0" applyBorder="0" applyAlignment="0" applyProtection="0"/>
    <xf numFmtId="220" fontId="162" fillId="49" borderId="0" applyNumberFormat="0" applyBorder="0" applyAlignment="0" applyProtection="0"/>
    <xf numFmtId="220" fontId="5" fillId="0" borderId="0"/>
    <xf numFmtId="220" fontId="5" fillId="0" borderId="0"/>
    <xf numFmtId="220" fontId="162" fillId="49" borderId="0" applyNumberFormat="0" applyBorder="0" applyAlignment="0" applyProtection="0"/>
    <xf numFmtId="220" fontId="150" fillId="35" borderId="0" applyNumberFormat="0" applyBorder="0" applyAlignment="0" applyProtection="0">
      <alignment vertical="center"/>
    </xf>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62" fillId="49" borderId="0" applyNumberFormat="0" applyBorder="0" applyAlignment="0" applyProtection="0"/>
    <xf numFmtId="220" fontId="150" fillId="35" borderId="0" applyNumberFormat="0" applyBorder="0" applyAlignment="0" applyProtection="0">
      <alignment vertical="center"/>
    </xf>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5" fillId="0" borderId="0"/>
    <xf numFmtId="220" fontId="162" fillId="49" borderId="0" applyNumberFormat="0" applyBorder="0" applyAlignment="0" applyProtection="0"/>
    <xf numFmtId="9" fontId="0" fillId="0" borderId="0" applyFont="0" applyFill="0" applyBorder="0" applyAlignment="0" applyProtection="0"/>
    <xf numFmtId="24" fontId="213" fillId="0" borderId="0" applyFont="0" applyFill="0" applyBorder="0" applyAlignment="0" applyProtection="0"/>
    <xf numFmtId="220" fontId="162" fillId="49" borderId="0" applyNumberFormat="0" applyBorder="0" applyAlignment="0" applyProtection="0"/>
    <xf numFmtId="9" fontId="5" fillId="0" borderId="0" applyFont="0" applyFill="0" applyBorder="0" applyAlignment="0" applyProtection="0">
      <alignment vertical="center"/>
    </xf>
    <xf numFmtId="24" fontId="213" fillId="0" borderId="0" applyFont="0" applyFill="0" applyBorder="0" applyAlignment="0" applyProtection="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157" fillId="47" borderId="0" applyNumberFormat="0" applyBorder="0" applyAlignment="0" applyProtection="0">
      <alignment vertical="center"/>
    </xf>
    <xf numFmtId="220" fontId="90" fillId="0" borderId="0"/>
    <xf numFmtId="220" fontId="162" fillId="49" borderId="0" applyNumberFormat="0" applyBorder="0" applyAlignment="0" applyProtection="0"/>
    <xf numFmtId="220" fontId="162" fillId="49" borderId="0" applyNumberFormat="0" applyBorder="0" applyAlignment="0" applyProtection="0"/>
    <xf numFmtId="220" fontId="0" fillId="0" borderId="0"/>
    <xf numFmtId="220" fontId="162" fillId="49" borderId="0" applyNumberFormat="0" applyBorder="0" applyAlignment="0" applyProtection="0"/>
    <xf numFmtId="220" fontId="5" fillId="0" borderId="0"/>
    <xf numFmtId="220" fontId="162" fillId="49" borderId="0" applyNumberFormat="0" applyBorder="0" applyAlignment="0" applyProtection="0"/>
    <xf numFmtId="220" fontId="0" fillId="0" borderId="0"/>
    <xf numFmtId="220" fontId="162" fillId="49" borderId="0" applyNumberFormat="0" applyBorder="0" applyAlignment="0" applyProtection="0"/>
    <xf numFmtId="212" fontId="0" fillId="0" borderId="0"/>
    <xf numFmtId="220" fontId="294" fillId="49" borderId="0" applyNumberFormat="0" applyBorder="0" applyAlignment="0" applyProtection="0"/>
    <xf numFmtId="220" fontId="150" fillId="35" borderId="0" applyNumberFormat="0" applyBorder="0" applyAlignment="0" applyProtection="0">
      <alignment vertical="center"/>
    </xf>
    <xf numFmtId="220" fontId="162" fillId="94" borderId="0" applyNumberFormat="0" applyBorder="0" applyAlignment="0" applyProtection="0"/>
    <xf numFmtId="220" fontId="0" fillId="0" borderId="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161" fillId="53" borderId="0" applyNumberFormat="0" applyBorder="0" applyAlignment="0" applyProtection="0">
      <alignment vertical="center"/>
    </xf>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158" fillId="79" borderId="0" applyNumberFormat="0" applyBorder="0" applyAlignment="0" applyProtection="0"/>
    <xf numFmtId="220" fontId="5" fillId="0" borderId="0"/>
    <xf numFmtId="220" fontId="147" fillId="42" borderId="0" applyNumberFormat="0" applyBorder="0" applyAlignment="0" applyProtection="0">
      <alignment vertical="center"/>
    </xf>
    <xf numFmtId="220" fontId="0" fillId="0" borderId="0"/>
    <xf numFmtId="220" fontId="158" fillId="81" borderId="0" applyNumberFormat="0" applyBorder="0" applyAlignment="0" applyProtection="0"/>
    <xf numFmtId="220" fontId="5" fillId="0" borderId="0"/>
    <xf numFmtId="220" fontId="0" fillId="0" borderId="0"/>
    <xf numFmtId="220" fontId="158" fillId="81" borderId="0" applyNumberFormat="0" applyBorder="0" applyAlignment="0" applyProtection="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8" fillId="81" borderId="0" applyNumberFormat="0" applyBorder="0" applyAlignment="0" applyProtection="0"/>
    <xf numFmtId="220" fontId="0" fillId="0" borderId="0"/>
    <xf numFmtId="220" fontId="158" fillId="81" borderId="0" applyNumberFormat="0" applyBorder="0" applyAlignment="0" applyProtection="0"/>
    <xf numFmtId="220" fontId="147" fillId="42" borderId="0" applyNumberFormat="0" applyBorder="0" applyAlignment="0" applyProtection="0">
      <alignment vertical="center"/>
    </xf>
    <xf numFmtId="220" fontId="158" fillId="81" borderId="0" applyNumberFormat="0" applyBorder="0" applyAlignment="0" applyProtection="0"/>
    <xf numFmtId="220" fontId="5" fillId="0" borderId="0"/>
    <xf numFmtId="220" fontId="162" fillId="81" borderId="0" applyNumberFormat="0" applyBorder="0" applyAlignment="0" applyProtection="0"/>
    <xf numFmtId="220" fontId="150" fillId="35" borderId="0" applyNumberFormat="0" applyBorder="0" applyAlignment="0" applyProtection="0">
      <alignment vertical="center"/>
    </xf>
    <xf numFmtId="220" fontId="162" fillId="81" borderId="0" applyNumberFormat="0" applyBorder="0" applyAlignment="0" applyProtection="0"/>
    <xf numFmtId="220" fontId="162" fillId="81" borderId="0" applyNumberFormat="0" applyBorder="0" applyAlignment="0" applyProtection="0"/>
    <xf numFmtId="220" fontId="5" fillId="0" borderId="0"/>
    <xf numFmtId="220" fontId="162" fillId="81" borderId="0" applyNumberFormat="0" applyBorder="0" applyAlignment="0" applyProtection="0"/>
    <xf numFmtId="220" fontId="162" fillId="81" borderId="0" applyNumberFormat="0" applyBorder="0" applyAlignment="0" applyProtection="0"/>
    <xf numFmtId="220" fontId="5" fillId="0" borderId="0"/>
    <xf numFmtId="220" fontId="162" fillId="81" borderId="0" applyNumberFormat="0" applyBorder="0" applyAlignment="0" applyProtection="0"/>
    <xf numFmtId="220" fontId="5" fillId="0" borderId="0"/>
    <xf numFmtId="220" fontId="162" fillId="81" borderId="0" applyNumberFormat="0" applyBorder="0" applyAlignment="0" applyProtection="0"/>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157" fillId="47" borderId="0" applyNumberFormat="0" applyBorder="0" applyAlignment="0" applyProtection="0">
      <alignment vertical="center"/>
    </xf>
    <xf numFmtId="220" fontId="162" fillId="94" borderId="0" applyNumberFormat="0" applyBorder="0" applyAlignment="0" applyProtection="0"/>
    <xf numFmtId="220" fontId="0" fillId="0" borderId="0"/>
    <xf numFmtId="220" fontId="157" fillId="47" borderId="0" applyNumberFormat="0" applyBorder="0" applyAlignment="0" applyProtection="0">
      <alignment vertical="center"/>
    </xf>
    <xf numFmtId="220" fontId="162" fillId="94" borderId="0" applyNumberFormat="0" applyBorder="0" applyAlignment="0" applyProtection="0"/>
    <xf numFmtId="220" fontId="157" fillId="47" borderId="0" applyNumberFormat="0" applyBorder="0" applyAlignment="0" applyProtection="0">
      <alignment vertical="center"/>
    </xf>
    <xf numFmtId="220" fontId="162" fillId="94" borderId="0" applyNumberFormat="0" applyBorder="0" applyAlignment="0" applyProtection="0"/>
    <xf numFmtId="220" fontId="147" fillId="42" borderId="0" applyNumberFormat="0" applyBorder="0" applyAlignment="0" applyProtection="0">
      <alignment vertical="center"/>
    </xf>
    <xf numFmtId="220" fontId="162" fillId="94" borderId="0" applyNumberFormat="0" applyBorder="0" applyAlignment="0" applyProtection="0"/>
    <xf numFmtId="220" fontId="5" fillId="0" borderId="0"/>
    <xf numFmtId="220" fontId="157" fillId="47" borderId="0" applyNumberFormat="0" applyBorder="0" applyAlignment="0" applyProtection="0">
      <alignment vertical="center"/>
    </xf>
    <xf numFmtId="220" fontId="162" fillId="94" borderId="0" applyNumberFormat="0" applyBorder="0" applyAlignment="0" applyProtection="0"/>
    <xf numFmtId="220" fontId="157" fillId="47" borderId="0" applyNumberFormat="0" applyBorder="0" applyAlignment="0" applyProtection="0">
      <alignment vertical="center"/>
    </xf>
    <xf numFmtId="220" fontId="162" fillId="94" borderId="0" applyNumberFormat="0" applyBorder="0" applyAlignment="0" applyProtection="0"/>
    <xf numFmtId="220" fontId="147" fillId="42" borderId="0" applyNumberFormat="0" applyBorder="0" applyAlignment="0" applyProtection="0">
      <alignment vertical="center"/>
    </xf>
    <xf numFmtId="220" fontId="162" fillId="94" borderId="0" applyNumberFormat="0" applyBorder="0" applyAlignment="0" applyProtection="0"/>
    <xf numFmtId="220" fontId="5" fillId="0" borderId="0"/>
    <xf numFmtId="220" fontId="142" fillId="38" borderId="0" applyNumberFormat="0" applyBorder="0" applyAlignment="0" applyProtection="0">
      <alignment vertical="center"/>
    </xf>
    <xf numFmtId="220" fontId="162" fillId="94" borderId="0" applyNumberFormat="0" applyBorder="0" applyAlignment="0" applyProtection="0"/>
    <xf numFmtId="220" fontId="142" fillId="38" borderId="0" applyNumberFormat="0" applyBorder="0" applyAlignment="0" applyProtection="0">
      <alignment vertical="center"/>
    </xf>
    <xf numFmtId="220" fontId="162" fillId="94" borderId="0" applyNumberFormat="0" applyBorder="0" applyAlignment="0" applyProtection="0"/>
    <xf numFmtId="220" fontId="142" fillId="38" borderId="0" applyNumberFormat="0" applyBorder="0" applyAlignment="0" applyProtection="0">
      <alignment vertical="center"/>
    </xf>
    <xf numFmtId="220" fontId="162" fillId="94" borderId="0" applyNumberFormat="0" applyBorder="0" applyAlignment="0" applyProtection="0"/>
    <xf numFmtId="220" fontId="150" fillId="35" borderId="0" applyNumberFormat="0" applyBorder="0" applyAlignmen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188" fillId="31" borderId="108" applyNumberForma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88" fillId="31" borderId="108" applyNumberForma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37" fontId="145" fillId="0" borderId="0" applyFont="0" applyFill="0" applyBorder="0" applyAlignment="0" applyProtection="0"/>
    <xf numFmtId="220" fontId="162" fillId="94" borderId="0" applyNumberFormat="0" applyBorder="0" applyAlignment="0" applyProtection="0"/>
    <xf numFmtId="220" fontId="157" fillId="47" borderId="0" applyNumberFormat="0" applyBorder="0" applyAlignment="0" applyProtection="0">
      <alignment vertical="center"/>
    </xf>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162" fillId="94" borderId="0" applyNumberFormat="0" applyBorder="0" applyAlignment="0" applyProtection="0"/>
    <xf numFmtId="220" fontId="5" fillId="0" borderId="0"/>
    <xf numFmtId="220" fontId="162" fillId="94" borderId="0" applyNumberFormat="0" applyBorder="0" applyAlignment="0" applyProtection="0"/>
    <xf numFmtId="220" fontId="5" fillId="0" borderId="0"/>
    <xf numFmtId="220" fontId="294" fillId="94" borderId="0" applyNumberFormat="0" applyBorder="0" applyAlignment="0" applyProtection="0"/>
    <xf numFmtId="220" fontId="150" fillId="35" borderId="0" applyNumberFormat="0" applyBorder="0" applyAlignment="0" applyProtection="0">
      <alignment vertical="center"/>
    </xf>
    <xf numFmtId="220" fontId="162" fillId="56" borderId="0" applyNumberFormat="0" applyBorder="0" applyAlignment="0" applyProtection="0"/>
    <xf numFmtId="9" fontId="0" fillId="0" borderId="0" applyFont="0" applyFill="0" applyBorder="0" applyAlignment="0" applyProtection="0"/>
    <xf numFmtId="4" fontId="216" fillId="32" borderId="108" applyNumberFormat="0" applyProtection="0">
      <alignment horizontal="right" vertical="center"/>
    </xf>
    <xf numFmtId="220" fontId="158" fillId="123" borderId="0" applyNumberFormat="0" applyBorder="0" applyAlignment="0" applyProtection="0"/>
    <xf numFmtId="220" fontId="216" fillId="32" borderId="108" applyNumberFormat="0" applyProtection="0">
      <alignment horizontal="right" vertical="center"/>
    </xf>
    <xf numFmtId="220" fontId="158" fillId="123" borderId="0" applyNumberFormat="0" applyBorder="0" applyAlignment="0" applyProtection="0"/>
    <xf numFmtId="220" fontId="0" fillId="0" borderId="0"/>
    <xf numFmtId="220" fontId="158" fillId="123" borderId="0" applyNumberFormat="0" applyBorder="0" applyAlignment="0" applyProtection="0"/>
    <xf numFmtId="220" fontId="0" fillId="0" borderId="0"/>
    <xf numFmtId="220" fontId="158" fillId="123" borderId="0" applyNumberFormat="0" applyBorder="0" applyAlignment="0" applyProtection="0"/>
    <xf numFmtId="220" fontId="216" fillId="32" borderId="108" applyNumberFormat="0" applyProtection="0">
      <alignment horizontal="right" vertical="center"/>
    </xf>
    <xf numFmtId="220" fontId="158" fillId="123" borderId="0" applyNumberFormat="0" applyBorder="0" applyAlignment="0" applyProtection="0"/>
    <xf numFmtId="220" fontId="158" fillId="123" borderId="0" applyNumberFormat="0" applyBorder="0" applyAlignment="0" applyProtection="0"/>
    <xf numFmtId="191" fontId="198" fillId="0" borderId="0" applyFont="0" applyFill="0" applyBorder="0" applyAlignment="0" applyProtection="0">
      <alignment vertical="center"/>
    </xf>
    <xf numFmtId="220" fontId="158" fillId="123" borderId="0" applyNumberFormat="0" applyBorder="0" applyAlignment="0" applyProtection="0"/>
    <xf numFmtId="191" fontId="198" fillId="0" borderId="0" applyFont="0" applyFill="0" applyBorder="0" applyAlignment="0" applyProtection="0">
      <alignment vertical="center"/>
    </xf>
    <xf numFmtId="220" fontId="158" fillId="123" borderId="0" applyNumberFormat="0" applyBorder="0" applyAlignment="0" applyProtection="0"/>
    <xf numFmtId="220" fontId="158" fillId="79" borderId="0" applyNumberFormat="0" applyBorder="0" applyAlignment="0" applyProtection="0"/>
    <xf numFmtId="220" fontId="139" fillId="0" borderId="0">
      <alignment vertical="center"/>
    </xf>
    <xf numFmtId="4" fontId="146" fillId="75" borderId="108" applyNumberFormat="0" applyProtection="0">
      <alignment horizontal="right" vertical="center"/>
    </xf>
    <xf numFmtId="220" fontId="158" fillId="79" borderId="0" applyNumberFormat="0" applyBorder="0" applyAlignment="0" applyProtection="0"/>
    <xf numFmtId="220" fontId="139" fillId="0" borderId="0">
      <alignment vertical="center"/>
    </xf>
    <xf numFmtId="220" fontId="146" fillId="75" borderId="108" applyNumberFormat="0" applyProtection="0">
      <alignment horizontal="right" vertical="center"/>
    </xf>
    <xf numFmtId="220" fontId="158" fillId="79" borderId="0" applyNumberFormat="0" applyBorder="0" applyAlignment="0" applyProtection="0"/>
    <xf numFmtId="220" fontId="139" fillId="0" borderId="0">
      <alignment vertical="center"/>
    </xf>
    <xf numFmtId="4" fontId="146" fillId="75" borderId="108" applyNumberFormat="0" applyProtection="0">
      <alignment horizontal="right" vertical="center"/>
    </xf>
    <xf numFmtId="220" fontId="158" fillId="79" borderId="0" applyNumberFormat="0" applyBorder="0" applyAlignment="0" applyProtection="0"/>
    <xf numFmtId="220" fontId="0" fillId="0" borderId="0"/>
    <xf numFmtId="220" fontId="146" fillId="75" borderId="108" applyNumberFormat="0" applyProtection="0">
      <alignment horizontal="right" vertical="center"/>
    </xf>
    <xf numFmtId="220" fontId="158" fillId="79" borderId="0" applyNumberFormat="0" applyBorder="0" applyAlignment="0" applyProtection="0"/>
    <xf numFmtId="220" fontId="162" fillId="102" borderId="0" applyNumberFormat="0" applyBorder="0" applyAlignment="0" applyProtection="0"/>
    <xf numFmtId="220" fontId="150" fillId="35" borderId="0" applyNumberFormat="0" applyBorder="0" applyAlignment="0" applyProtection="0">
      <alignment vertical="center"/>
    </xf>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62" fillId="102" borderId="0" applyNumberFormat="0" applyBorder="0" applyAlignment="0" applyProtection="0"/>
    <xf numFmtId="220" fontId="142" fillId="38" borderId="0" applyNumberFormat="0" applyBorder="0" applyAlignment="0" applyProtection="0">
      <alignment vertical="center"/>
    </xf>
    <xf numFmtId="220" fontId="5" fillId="0" borderId="0"/>
    <xf numFmtId="220" fontId="162" fillId="102"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157" fillId="47" borderId="0" applyNumberFormat="0" applyBorder="0" applyAlignment="0" applyProtection="0">
      <alignment vertical="center"/>
    </xf>
    <xf numFmtId="220" fontId="162" fillId="56" borderId="0" applyNumberFormat="0" applyBorder="0" applyAlignment="0" applyProtection="0"/>
    <xf numFmtId="220" fontId="157" fillId="47" borderId="0" applyNumberFormat="0" applyBorder="0" applyAlignment="0" applyProtection="0">
      <alignment vertical="center"/>
    </xf>
    <xf numFmtId="220" fontId="162" fillId="56" borderId="0" applyNumberFormat="0" applyBorder="0" applyAlignment="0" applyProtection="0"/>
    <xf numFmtId="220" fontId="162" fillId="56" borderId="0" applyNumberFormat="0" applyBorder="0" applyAlignment="0" applyProtection="0"/>
    <xf numFmtId="220" fontId="157" fillId="47" borderId="0" applyNumberFormat="0" applyBorder="0" applyAlignment="0" applyProtection="0">
      <alignment vertical="center"/>
    </xf>
    <xf numFmtId="220" fontId="5" fillId="0" borderId="0"/>
    <xf numFmtId="220" fontId="162" fillId="56" borderId="0" applyNumberFormat="0" applyBorder="0" applyAlignment="0" applyProtection="0"/>
    <xf numFmtId="220" fontId="5" fillId="0" borderId="0"/>
    <xf numFmtId="220" fontId="162" fillId="56" borderId="0" applyNumberFormat="0" applyBorder="0" applyAlignment="0" applyProtection="0"/>
    <xf numFmtId="220" fontId="162" fillId="56" borderId="0" applyNumberFormat="0" applyBorder="0" applyAlignment="0" applyProtection="0"/>
    <xf numFmtId="220" fontId="5" fillId="0" borderId="0"/>
    <xf numFmtId="220" fontId="5" fillId="0" borderId="0"/>
    <xf numFmtId="220" fontId="162" fillId="56" borderId="0" applyNumberFormat="0" applyBorder="0" applyAlignment="0" applyProtection="0"/>
    <xf numFmtId="220" fontId="150" fillId="35" borderId="0" applyNumberFormat="0" applyBorder="0" applyAlignment="0" applyProtection="0">
      <alignment vertical="center"/>
    </xf>
    <xf numFmtId="220" fontId="162" fillId="56" borderId="0" applyNumberFormat="0" applyBorder="0" applyAlignment="0" applyProtection="0"/>
    <xf numFmtId="220" fontId="162" fillId="56" borderId="0" applyNumberFormat="0" applyBorder="0" applyAlignment="0" applyProtection="0"/>
    <xf numFmtId="220" fontId="5" fillId="0" borderId="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5" fillId="0" borderId="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5" fillId="0" borderId="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157" fillId="47" borderId="0" applyNumberFormat="0" applyBorder="0" applyAlignment="0" applyProtection="0">
      <alignment vertical="center"/>
    </xf>
    <xf numFmtId="220" fontId="162" fillId="56" borderId="0" applyNumberFormat="0" applyBorder="0" applyAlignment="0" applyProtection="0"/>
    <xf numFmtId="220" fontId="157" fillId="47" borderId="0" applyNumberFormat="0" applyBorder="0" applyAlignment="0" applyProtection="0">
      <alignment vertical="center"/>
    </xf>
    <xf numFmtId="198" fontId="0" fillId="0" borderId="0"/>
    <xf numFmtId="220" fontId="162" fillId="56" borderId="0" applyNumberFormat="0" applyBorder="0" applyAlignment="0" applyProtection="0"/>
    <xf numFmtId="220" fontId="157" fillId="47" borderId="0" applyNumberFormat="0" applyBorder="0" applyAlignment="0" applyProtection="0">
      <alignment vertical="center"/>
    </xf>
    <xf numFmtId="220" fontId="162" fillId="56" borderId="0" applyNumberFormat="0" applyBorder="0" applyAlignment="0" applyProtection="0"/>
    <xf numFmtId="220" fontId="5" fillId="0" borderId="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162" fillId="56" borderId="0" applyNumberFormat="0" applyBorder="0" applyAlignment="0" applyProtection="0"/>
    <xf numFmtId="220" fontId="294" fillId="56" borderId="0" applyNumberFormat="0" applyBorder="0" applyAlignment="0" applyProtection="0"/>
    <xf numFmtId="220" fontId="158" fillId="122" borderId="0" applyNumberFormat="0" applyBorder="0" applyAlignment="0" applyProtection="0"/>
    <xf numFmtId="220" fontId="142" fillId="38" borderId="0" applyNumberFormat="0" applyBorder="0" applyAlignment="0" applyProtection="0">
      <alignment vertical="center"/>
    </xf>
    <xf numFmtId="220" fontId="158" fillId="122" borderId="0" applyNumberFormat="0" applyBorder="0" applyAlignment="0" applyProtection="0"/>
    <xf numFmtId="220" fontId="142" fillId="38" borderId="0" applyNumberFormat="0" applyBorder="0" applyAlignment="0" applyProtection="0">
      <alignment vertical="center"/>
    </xf>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42" fillId="38" borderId="0" applyNumberFormat="0" applyBorder="0" applyAlignment="0" applyProtection="0">
      <alignment vertical="center"/>
    </xf>
    <xf numFmtId="220" fontId="158" fillId="122" borderId="0" applyNumberFormat="0" applyBorder="0" applyAlignment="0" applyProtection="0"/>
    <xf numFmtId="220" fontId="158" fillId="122" borderId="0" applyNumberFormat="0" applyBorder="0" applyAlignment="0" applyProtection="0"/>
    <xf numFmtId="220" fontId="158" fillId="122" borderId="0" applyNumberFormat="0" applyBorder="0" applyAlignment="0" applyProtection="0"/>
    <xf numFmtId="220" fontId="157" fillId="47" borderId="0" applyNumberFormat="0" applyBorder="0" applyAlignment="0" applyProtection="0">
      <alignment vertical="center"/>
    </xf>
    <xf numFmtId="220" fontId="158" fillId="72" borderId="0" applyNumberFormat="0" applyBorder="0" applyAlignment="0" applyProtection="0"/>
    <xf numFmtId="220" fontId="139" fillId="0" borderId="0">
      <alignment vertical="center"/>
    </xf>
    <xf numFmtId="220" fontId="158" fillId="72" borderId="0" applyNumberFormat="0" applyBorder="0" applyAlignment="0" applyProtection="0"/>
    <xf numFmtId="220" fontId="161" fillId="53" borderId="0" applyNumberFormat="0" applyBorder="0" applyAlignment="0" applyProtection="0">
      <alignment vertical="center"/>
    </xf>
    <xf numFmtId="220" fontId="158" fillId="72" borderId="0" applyNumberFormat="0" applyBorder="0" applyAlignment="0" applyProtection="0"/>
    <xf numFmtId="220" fontId="161" fillId="53" borderId="0" applyNumberFormat="0" applyBorder="0" applyAlignment="0" applyProtection="0">
      <alignment vertical="center"/>
    </xf>
    <xf numFmtId="220" fontId="158" fillId="72" borderId="0" applyNumberFormat="0" applyBorder="0" applyAlignment="0" applyProtection="0"/>
    <xf numFmtId="220" fontId="158" fillId="72" borderId="0" applyNumberFormat="0" applyBorder="0" applyAlignment="0" applyProtection="0"/>
    <xf numFmtId="220" fontId="5" fillId="0" borderId="0"/>
    <xf numFmtId="220" fontId="158" fillId="72" borderId="0" applyNumberFormat="0" applyBorder="0" applyAlignment="0" applyProtection="0"/>
    <xf numFmtId="220" fontId="5" fillId="0" borderId="0"/>
    <xf numFmtId="220" fontId="158" fillId="72" borderId="0" applyNumberFormat="0" applyBorder="0" applyAlignment="0" applyProtection="0"/>
    <xf numFmtId="220" fontId="5" fillId="0" borderId="0"/>
    <xf numFmtId="220" fontId="5" fillId="0" borderId="0"/>
    <xf numFmtId="220" fontId="158" fillId="72" borderId="0" applyNumberFormat="0" applyBorder="0" applyAlignment="0" applyProtection="0"/>
    <xf numFmtId="220" fontId="5" fillId="0" borderId="0"/>
    <xf numFmtId="220" fontId="162" fillId="72" borderId="0" applyNumberFormat="0" applyBorder="0" applyAlignment="0" applyProtection="0"/>
    <xf numFmtId="220" fontId="5" fillId="0" borderId="0"/>
    <xf numFmtId="220" fontId="162" fillId="72" borderId="0" applyNumberFormat="0" applyBorder="0" applyAlignment="0" applyProtection="0"/>
    <xf numFmtId="220" fontId="5" fillId="0" borderId="0"/>
    <xf numFmtId="220" fontId="162" fillId="72" borderId="0" applyNumberFormat="0" applyBorder="0" applyAlignment="0" applyProtection="0"/>
    <xf numFmtId="220" fontId="162" fillId="72" borderId="0" applyNumberFormat="0" applyBorder="0" applyAlignment="0" applyProtection="0"/>
    <xf numFmtId="220" fontId="5" fillId="0" borderId="0"/>
    <xf numFmtId="220" fontId="162" fillId="109" borderId="0" applyNumberFormat="0" applyBorder="0" applyAlignment="0" applyProtection="0"/>
    <xf numFmtId="220" fontId="0" fillId="0" borderId="0"/>
    <xf numFmtId="220" fontId="5" fillId="0" borderId="0"/>
    <xf numFmtId="220" fontId="0" fillId="0" borderId="0"/>
    <xf numFmtId="220" fontId="162" fillId="109" borderId="0" applyNumberFormat="0" applyBorder="0" applyAlignment="0" applyProtection="0"/>
    <xf numFmtId="220" fontId="147" fillId="42" borderId="0" applyNumberFormat="0" applyBorder="0" applyAlignment="0" applyProtection="0">
      <alignment vertical="center"/>
    </xf>
    <xf numFmtId="220" fontId="5" fillId="0" borderId="0"/>
    <xf numFmtId="220" fontId="162" fillId="109" borderId="0" applyNumberFormat="0" applyBorder="0" applyAlignment="0" applyProtection="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62" fillId="109" borderId="0" applyNumberFormat="0" applyBorder="0" applyAlignment="0" applyProtection="0"/>
    <xf numFmtId="220" fontId="0" fillId="0" borderId="0"/>
    <xf numFmtId="220" fontId="0" fillId="0" borderId="0"/>
    <xf numFmtId="220" fontId="5" fillId="0" borderId="0"/>
    <xf numFmtId="220" fontId="162" fillId="109" borderId="0" applyNumberFormat="0" applyBorder="0" applyAlignment="0" applyProtection="0"/>
    <xf numFmtId="220" fontId="162" fillId="109" borderId="0" applyNumberFormat="0" applyBorder="0" applyAlignment="0" applyProtection="0"/>
    <xf numFmtId="220" fontId="147" fillId="42" borderId="0" applyNumberFormat="0" applyBorder="0" applyAlignment="0" applyProtection="0">
      <alignment vertical="center"/>
    </xf>
    <xf numFmtId="220" fontId="0" fillId="0" borderId="0"/>
    <xf numFmtId="220" fontId="162" fillId="109" borderId="0" applyNumberFormat="0" applyBorder="0" applyAlignment="0" applyProtection="0"/>
    <xf numFmtId="220" fontId="162" fillId="109" borderId="0" applyNumberFormat="0" applyBorder="0" applyAlignment="0" applyProtection="0"/>
    <xf numFmtId="220" fontId="0" fillId="0" borderId="0">
      <alignment vertical="center"/>
    </xf>
    <xf numFmtId="220" fontId="162" fillId="109" borderId="0" applyNumberFormat="0" applyBorder="0" applyAlignment="0" applyProtection="0"/>
    <xf numFmtId="220" fontId="0" fillId="0" borderId="0"/>
    <xf numFmtId="220" fontId="5" fillId="0" borderId="0"/>
    <xf numFmtId="220" fontId="162" fillId="109" borderId="0" applyNumberFormat="0" applyBorder="0" applyAlignment="0" applyProtection="0"/>
    <xf numFmtId="220" fontId="142" fillId="38" borderId="0" applyNumberFormat="0" applyBorder="0" applyAlignment="0" applyProtection="0">
      <alignment vertical="center"/>
    </xf>
    <xf numFmtId="220" fontId="0" fillId="0" borderId="0">
      <alignment vertical="center"/>
    </xf>
    <xf numFmtId="220" fontId="162" fillId="109" borderId="0" applyNumberFormat="0" applyBorder="0" applyAlignment="0" applyProtection="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62" fillId="109" borderId="0" applyNumberFormat="0" applyBorder="0" applyAlignment="0" applyProtection="0"/>
    <xf numFmtId="220" fontId="157" fillId="47" borderId="0" applyNumberFormat="0" applyBorder="0" applyAlignment="0" applyProtection="0">
      <alignment vertical="center"/>
    </xf>
    <xf numFmtId="220" fontId="162" fillId="109" borderId="0" applyNumberFormat="0" applyBorder="0" applyAlignment="0" applyProtection="0"/>
    <xf numFmtId="220" fontId="157" fillId="47" borderId="0" applyNumberFormat="0" applyBorder="0" applyAlignment="0" applyProtection="0">
      <alignment vertical="center"/>
    </xf>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157" fillId="47" borderId="0" applyNumberFormat="0" applyBorder="0" applyAlignment="0" applyProtection="0">
      <alignment vertical="center"/>
    </xf>
    <xf numFmtId="220" fontId="162" fillId="109" borderId="0" applyNumberFormat="0" applyBorder="0" applyAlignment="0" applyProtection="0"/>
    <xf numFmtId="220" fontId="162" fillId="109" borderId="0" applyNumberFormat="0" applyBorder="0" applyAlignment="0" applyProtection="0"/>
    <xf numFmtId="220" fontId="162" fillId="109" borderId="0" applyNumberFormat="0" applyBorder="0" applyAlignment="0" applyProtection="0"/>
    <xf numFmtId="220" fontId="5" fillId="0" borderId="0"/>
    <xf numFmtId="220" fontId="162" fillId="109" borderId="0" applyNumberFormat="0" applyBorder="0" applyAlignment="0" applyProtection="0"/>
    <xf numFmtId="220" fontId="162" fillId="109" borderId="0" applyNumberFormat="0" applyBorder="0" applyAlignment="0" applyProtection="0"/>
    <xf numFmtId="220" fontId="150" fillId="35" borderId="0" applyNumberFormat="0" applyBorder="0" applyAlignment="0" applyProtection="0">
      <alignment vertical="center"/>
    </xf>
    <xf numFmtId="220" fontId="294" fillId="109" borderId="0" applyNumberFormat="0" applyBorder="0" applyAlignment="0" applyProtection="0"/>
    <xf numFmtId="220" fontId="147" fillId="42"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09" fontId="257" fillId="0" borderId="0"/>
    <xf numFmtId="220" fontId="5" fillId="0" borderId="0"/>
    <xf numFmtId="207" fontId="75" fillId="0" borderId="0" applyFill="0" applyBorder="0" applyAlignment="0"/>
    <xf numFmtId="207" fontId="75" fillId="0" borderId="0" applyFill="0" applyBorder="0" applyAlignment="0"/>
    <xf numFmtId="220" fontId="5" fillId="0" borderId="0"/>
    <xf numFmtId="220" fontId="145" fillId="0" borderId="0" applyFill="0" applyBorder="0" applyProtection="0">
      <protection locked="0"/>
    </xf>
    <xf numFmtId="220" fontId="0" fillId="0" borderId="0"/>
    <xf numFmtId="213" fontId="182" fillId="0" borderId="0" applyFont="0" applyFill="0" applyBorder="0" applyAlignment="0" applyProtection="0"/>
    <xf numFmtId="188" fontId="75" fillId="0" borderId="0" applyFill="0" applyBorder="0" applyAlignment="0"/>
    <xf numFmtId="220" fontId="0" fillId="0" borderId="0"/>
    <xf numFmtId="220" fontId="286" fillId="0" borderId="0" applyAlignment="0"/>
    <xf numFmtId="220" fontId="5" fillId="0" borderId="0"/>
    <xf numFmtId="220" fontId="147" fillId="42" borderId="0" applyNumberFormat="0" applyBorder="0" applyAlignment="0" applyProtection="0">
      <alignment vertical="center"/>
    </xf>
    <xf numFmtId="245" fontId="90" fillId="0" borderId="0" applyFont="0" applyFill="0" applyBorder="0" applyAlignment="0" applyProtection="0"/>
    <xf numFmtId="220" fontId="92" fillId="0" borderId="0">
      <alignment horizontal="center" wrapText="1"/>
      <protection locked="0"/>
    </xf>
    <xf numFmtId="220" fontId="0" fillId="0" borderId="0"/>
    <xf numFmtId="220" fontId="238" fillId="0" borderId="0" applyNumberFormat="0" applyAlignment="0">
      <alignment horizontal="left"/>
    </xf>
    <xf numFmtId="220" fontId="5" fillId="0" borderId="0"/>
    <xf numFmtId="220" fontId="145" fillId="0" borderId="0"/>
    <xf numFmtId="220" fontId="228" fillId="53" borderId="1"/>
    <xf numFmtId="220" fontId="0" fillId="0" borderId="0"/>
    <xf numFmtId="220" fontId="145" fillId="0" borderId="0"/>
    <xf numFmtId="220" fontId="147" fillId="38" borderId="0" applyNumberFormat="0" applyBorder="0" applyAlignment="0" applyProtection="0">
      <alignment vertical="center"/>
    </xf>
    <xf numFmtId="220" fontId="75" fillId="0" borderId="0" applyFont="0" applyFill="0" applyBorder="0" applyAlignment="0" applyProtection="0"/>
    <xf numFmtId="220" fontId="5" fillId="0" borderId="0"/>
    <xf numFmtId="220" fontId="5" fillId="0" borderId="0"/>
    <xf numFmtId="220" fontId="90" fillId="0" borderId="0" applyNumberFormat="0" applyFill="0" applyBorder="0" applyAlignment="0" applyProtection="0"/>
    <xf numFmtId="220" fontId="5" fillId="0" borderId="0"/>
    <xf numFmtId="220" fontId="5" fillId="0" borderId="0"/>
    <xf numFmtId="220" fontId="5" fillId="0" borderId="0"/>
    <xf numFmtId="220" fontId="0"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299" fillId="47" borderId="0" applyNumberFormat="0" applyBorder="0" applyAlignment="0" applyProtection="0"/>
    <xf numFmtId="220" fontId="0" fillId="0" borderId="0"/>
    <xf numFmtId="220" fontId="145" fillId="0" borderId="0">
      <protection locked="0"/>
    </xf>
    <xf numFmtId="220" fontId="157" fillId="47" borderId="0" applyNumberFormat="0" applyBorder="0" applyAlignment="0" applyProtection="0">
      <alignment vertical="center"/>
    </xf>
    <xf numFmtId="220" fontId="278" fillId="47" borderId="0" applyNumberFormat="0" applyBorder="0" applyAlignment="0" applyProtection="0"/>
    <xf numFmtId="220" fontId="147" fillId="38"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5" fillId="0" borderId="0">
      <protection locked="0"/>
    </xf>
    <xf numFmtId="220" fontId="5" fillId="0" borderId="0"/>
    <xf numFmtId="220" fontId="161" fillId="53" borderId="0" applyNumberFormat="0" applyBorder="0" applyAlignment="0" applyProtection="0">
      <alignment vertical="center"/>
    </xf>
    <xf numFmtId="3" fontId="287" fillId="0" borderId="0"/>
    <xf numFmtId="220" fontId="145" fillId="0" borderId="0">
      <protection locked="0"/>
    </xf>
    <xf numFmtId="243" fontId="222" fillId="0" borderId="4" applyAlignment="0" applyProtection="0"/>
    <xf numFmtId="39" fontId="300" fillId="0" borderId="0" applyFont="0" applyFill="0" applyBorder="0" applyAlignment="0" applyProtection="0">
      <alignment horizontal="center" vertical="center"/>
    </xf>
    <xf numFmtId="220" fontId="75" fillId="0" borderId="0">
      <protection locked="0"/>
    </xf>
    <xf numFmtId="220" fontId="145" fillId="0" borderId="0">
      <protection locked="0"/>
    </xf>
    <xf numFmtId="220" fontId="5" fillId="0" borderId="0" applyFont="0" applyFill="0" applyBorder="0" applyAlignment="0" applyProtection="0"/>
    <xf numFmtId="220" fontId="257" fillId="0" borderId="0">
      <protection locked="0"/>
    </xf>
    <xf numFmtId="223" fontId="146" fillId="0" borderId="0" applyFill="0" applyBorder="0" applyAlignment="0"/>
    <xf numFmtId="223" fontId="146" fillId="0" borderId="0" applyFill="0" applyBorder="0" applyAlignment="0"/>
    <xf numFmtId="223" fontId="146" fillId="0" borderId="0" applyFill="0" applyBorder="0" applyAlignment="0"/>
    <xf numFmtId="223" fontId="146" fillId="0" borderId="0" applyFill="0" applyBorder="0" applyAlignment="0">
      <alignment vertical="center"/>
    </xf>
    <xf numFmtId="223" fontId="146" fillId="0" borderId="0" applyFill="0" applyBorder="0" applyAlignment="0">
      <alignment vertical="center"/>
    </xf>
    <xf numFmtId="220" fontId="142" fillId="38" borderId="0" applyNumberFormat="0" applyBorder="0" applyAlignment="0" applyProtection="0">
      <alignment vertical="center"/>
    </xf>
    <xf numFmtId="9" fontId="0" fillId="0" borderId="0" applyFont="0" applyFill="0" applyBorder="0" applyAlignment="0" applyProtection="0"/>
    <xf numFmtId="223" fontId="146" fillId="0" borderId="0" applyFill="0" applyBorder="0" applyAlignment="0"/>
    <xf numFmtId="213" fontId="151" fillId="0" borderId="0" applyFill="0" applyBorder="0" applyAlignment="0"/>
    <xf numFmtId="215" fontId="75" fillId="0" borderId="0" applyFill="0" applyBorder="0" applyAlignment="0"/>
    <xf numFmtId="244" fontId="75" fillId="0" borderId="0" applyFill="0" applyBorder="0" applyAlignment="0"/>
    <xf numFmtId="220" fontId="0" fillId="0" borderId="0"/>
    <xf numFmtId="248" fontId="145" fillId="0" borderId="0" applyFill="0" applyBorder="0" applyAlignment="0"/>
    <xf numFmtId="220" fontId="0" fillId="0" borderId="0"/>
    <xf numFmtId="220" fontId="0" fillId="0" borderId="0"/>
    <xf numFmtId="177" fontId="75" fillId="0" borderId="0" applyFill="0" applyBorder="0" applyAlignment="0"/>
    <xf numFmtId="231" fontId="145" fillId="0" borderId="0" applyFill="0" applyBorder="0" applyAlignment="0"/>
    <xf numFmtId="220" fontId="0" fillId="0" borderId="0">
      <alignment vertical="center"/>
    </xf>
    <xf numFmtId="229" fontId="75" fillId="0" borderId="0" applyFill="0" applyBorder="0" applyAlignment="0"/>
    <xf numFmtId="220" fontId="5" fillId="0" borderId="0"/>
    <xf numFmtId="220" fontId="5" fillId="0" borderId="0"/>
    <xf numFmtId="202" fontId="151" fillId="0" borderId="0" applyFill="0" applyBorder="0" applyAlignment="0"/>
    <xf numFmtId="220" fontId="5" fillId="0" borderId="0"/>
    <xf numFmtId="207" fontId="75" fillId="0" borderId="0" applyFill="0" applyBorder="0" applyAlignment="0"/>
    <xf numFmtId="233" fontId="151" fillId="0" borderId="0" applyFill="0" applyBorder="0" applyAlignment="0"/>
    <xf numFmtId="220" fontId="161" fillId="31" borderId="0" applyNumberFormat="0" applyBorder="0" applyAlignment="0" applyProtection="0">
      <alignment vertical="center"/>
    </xf>
    <xf numFmtId="220" fontId="150" fillId="35" borderId="0" applyNumberFormat="0" applyBorder="0" applyAlignment="0" applyProtection="0">
      <alignment vertical="center"/>
    </xf>
    <xf numFmtId="188" fontId="75" fillId="0" borderId="0" applyFill="0" applyBorder="0" applyAlignment="0"/>
    <xf numFmtId="213" fontId="151" fillId="0" borderId="0" applyFill="0" applyBorder="0" applyAlignment="0"/>
    <xf numFmtId="215" fontId="75" fillId="0" borderId="0" applyFill="0" applyBorder="0" applyAlignment="0"/>
    <xf numFmtId="220" fontId="5" fillId="0" borderId="0"/>
    <xf numFmtId="220" fontId="301" fillId="100" borderId="132" applyNumberFormat="0" applyAlignment="0" applyProtection="0"/>
    <xf numFmtId="220" fontId="301" fillId="100" borderId="132" applyNumberFormat="0" applyAlignment="0" applyProtection="0">
      <alignment vertical="center"/>
    </xf>
    <xf numFmtId="220" fontId="290" fillId="100" borderId="132" applyNumberFormat="0" applyAlignment="0" applyProtection="0"/>
    <xf numFmtId="220" fontId="301" fillId="100" borderId="132" applyNumberFormat="0" applyAlignment="0" applyProtection="0">
      <alignment vertical="center"/>
    </xf>
    <xf numFmtId="220" fontId="263" fillId="0" borderId="0"/>
    <xf numFmtId="220" fontId="5" fillId="0" borderId="0" applyFont="0" applyFill="0" applyBorder="0" applyAlignment="0" applyProtection="0"/>
    <xf numFmtId="220" fontId="263" fillId="0" borderId="0"/>
    <xf numFmtId="220" fontId="5" fillId="0" borderId="0" applyFont="0" applyFill="0" applyBorder="0" applyAlignment="0" applyProtection="0"/>
    <xf numFmtId="220" fontId="263" fillId="0" borderId="0"/>
    <xf numFmtId="2" fontId="145" fillId="0" borderId="0" applyFont="0" applyFill="0" applyBorder="0" applyAlignment="0" applyProtection="0"/>
    <xf numFmtId="220" fontId="149" fillId="0" borderId="0">
      <protection locked="0"/>
    </xf>
    <xf numFmtId="220" fontId="150" fillId="35" borderId="0" applyNumberFormat="0" applyBorder="0" applyAlignment="0" applyProtection="0">
      <alignment vertical="center"/>
    </xf>
    <xf numFmtId="220" fontId="149" fillId="0" borderId="0">
      <protection locked="0"/>
    </xf>
    <xf numFmtId="220" fontId="150" fillId="35" borderId="0" applyNumberFormat="0" applyBorder="0" applyAlignment="0" applyProtection="0">
      <alignment vertical="center"/>
    </xf>
    <xf numFmtId="14" fontId="146" fillId="0" borderId="0" applyFill="0" applyBorder="0" applyAlignment="0"/>
    <xf numFmtId="220" fontId="5" fillId="0" borderId="0"/>
    <xf numFmtId="220" fontId="149" fillId="0" borderId="0">
      <protection locked="0"/>
    </xf>
    <xf numFmtId="220" fontId="5" fillId="0" borderId="0"/>
    <xf numFmtId="220" fontId="149" fillId="0" borderId="0">
      <protection locked="0"/>
    </xf>
    <xf numFmtId="220" fontId="5" fillId="0" borderId="0"/>
    <xf numFmtId="220" fontId="5" fillId="0" borderId="0"/>
    <xf numFmtId="220" fontId="149" fillId="0" borderId="0">
      <protection locked="0"/>
    </xf>
    <xf numFmtId="220" fontId="302" fillId="51" borderId="114" applyNumberFormat="0" applyAlignment="0" applyProtection="0"/>
    <xf numFmtId="220" fontId="150" fillId="35" borderId="0" applyNumberFormat="0" applyBorder="0" applyAlignment="0" applyProtection="0">
      <alignment vertical="center"/>
    </xf>
    <xf numFmtId="250" fontId="257" fillId="0" borderId="0">
      <alignment horizontal="right"/>
    </xf>
    <xf numFmtId="220" fontId="150" fillId="35" borderId="0" applyNumberFormat="0" applyBorder="0" applyAlignment="0" applyProtection="0">
      <alignment vertical="center"/>
    </xf>
    <xf numFmtId="220" fontId="259" fillId="51" borderId="114" applyNumberFormat="0" applyAlignment="0" applyProtection="0"/>
    <xf numFmtId="220" fontId="237" fillId="0" borderId="2" applyNumberFormat="0" applyFill="0" applyProtection="0">
      <alignment horizontal="center"/>
    </xf>
    <xf numFmtId="220" fontId="142" fillId="38" borderId="0" applyNumberFormat="0" applyBorder="0" applyAlignment="0" applyProtection="0">
      <alignment vertical="center"/>
    </xf>
    <xf numFmtId="220" fontId="237" fillId="0" borderId="2" applyNumberFormat="0" applyFill="0" applyProtection="0">
      <alignment horizontal="center"/>
    </xf>
    <xf numFmtId="220" fontId="5" fillId="0" borderId="0"/>
    <xf numFmtId="220" fontId="237" fillId="0" borderId="2" applyNumberFormat="0" applyFill="0" applyProtection="0">
      <alignment horizontal="center"/>
    </xf>
    <xf numFmtId="220" fontId="237" fillId="0" borderId="2" applyNumberFormat="0" applyFill="0" applyProtection="0">
      <alignment horizontal="center"/>
    </xf>
    <xf numFmtId="220" fontId="237" fillId="0" borderId="2" applyNumberFormat="0" applyFill="0" applyProtection="0">
      <alignment horizontal="center"/>
    </xf>
    <xf numFmtId="220" fontId="5" fillId="0" borderId="0"/>
    <xf numFmtId="220" fontId="5" fillId="0" borderId="0"/>
    <xf numFmtId="220" fontId="145" fillId="0" borderId="0">
      <protection locked="0"/>
    </xf>
    <xf numFmtId="220" fontId="239" fillId="0" borderId="0" applyNumberFormat="0" applyFill="0" applyBorder="0" applyAlignment="0" applyProtection="0">
      <alignment vertical="top"/>
      <protection locked="0"/>
    </xf>
    <xf numFmtId="220" fontId="0" fillId="0" borderId="0"/>
    <xf numFmtId="220" fontId="91" fillId="0" borderId="0" applyNumberFormat="0" applyFill="0" applyBorder="0" applyAlignment="0" applyProtection="0"/>
    <xf numFmtId="220" fontId="5" fillId="0" borderId="0"/>
    <xf numFmtId="220" fontId="145" fillId="0" borderId="0">
      <protection locked="0"/>
    </xf>
    <xf numFmtId="198" fontId="0" fillId="0" borderId="0"/>
    <xf numFmtId="220" fontId="285" fillId="0" borderId="0" applyFill="0" applyBorder="0">
      <alignment horizontal="centerContinuous"/>
    </xf>
    <xf numFmtId="220" fontId="0" fillId="0" borderId="0"/>
    <xf numFmtId="220" fontId="225" fillId="0" borderId="0" applyNumberFormat="0" applyAlignment="0"/>
    <xf numFmtId="220" fontId="145" fillId="0" borderId="0">
      <protection locked="0"/>
    </xf>
    <xf numFmtId="220" fontId="5" fillId="0" borderId="0"/>
    <xf numFmtId="220" fontId="90" fillId="0" borderId="0" applyFill="0" applyBorder="0">
      <alignment horizontal="right"/>
    </xf>
    <xf numFmtId="220" fontId="283" fillId="0" borderId="16">
      <alignment horizontal="center"/>
    </xf>
    <xf numFmtId="220" fontId="157" fillId="47" borderId="0" applyNumberFormat="0" applyBorder="0" applyAlignment="0" applyProtection="0">
      <alignment vertical="center"/>
    </xf>
    <xf numFmtId="227" fontId="14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7" fontId="145" fillId="0" borderId="0"/>
    <xf numFmtId="220" fontId="157" fillId="47" borderId="0" applyNumberFormat="0" applyBorder="0" applyAlignment="0" applyProtection="0">
      <alignment vertical="center"/>
    </xf>
    <xf numFmtId="225" fontId="145" fillId="0" borderId="0"/>
    <xf numFmtId="227" fontId="145" fillId="0" borderId="0"/>
    <xf numFmtId="220" fontId="5" fillId="0" borderId="0"/>
    <xf numFmtId="227" fontId="145" fillId="0" borderId="0">
      <alignment vertical="center"/>
    </xf>
    <xf numFmtId="227" fontId="145" fillId="0" borderId="0">
      <alignment vertical="center"/>
    </xf>
    <xf numFmtId="220" fontId="5" fillId="0" borderId="0"/>
    <xf numFmtId="220" fontId="5" fillId="0" borderId="0"/>
    <xf numFmtId="220" fontId="147" fillId="42" borderId="0" applyNumberFormat="0" applyBorder="0" applyAlignment="0" applyProtection="0">
      <alignment vertical="center"/>
    </xf>
    <xf numFmtId="225" fontId="145" fillId="0" borderId="0"/>
    <xf numFmtId="220" fontId="157" fillId="47" borderId="0" applyNumberFormat="0" applyBorder="0" applyAlignment="0" applyProtection="0">
      <alignment vertical="center"/>
    </xf>
    <xf numFmtId="227" fontId="145" fillId="0" borderId="0"/>
    <xf numFmtId="227" fontId="145" fillId="0" borderId="0"/>
    <xf numFmtId="225" fontId="145" fillId="0" borderId="0"/>
    <xf numFmtId="220" fontId="157" fillId="47" borderId="0" applyNumberFormat="0" applyBorder="0" applyAlignment="0" applyProtection="0">
      <alignment vertical="center"/>
    </xf>
    <xf numFmtId="227" fontId="145" fillId="0" borderId="0"/>
    <xf numFmtId="227" fontId="145" fillId="0" borderId="0"/>
    <xf numFmtId="227" fontId="145" fillId="0" borderId="0">
      <alignment vertical="center"/>
    </xf>
    <xf numFmtId="227" fontId="145" fillId="0" borderId="0">
      <alignment vertical="center"/>
    </xf>
    <xf numFmtId="220" fontId="5" fillId="0" borderId="0" applyFont="0" applyFill="0" applyBorder="0" applyAlignment="0" applyProtection="0"/>
    <xf numFmtId="227" fontId="145" fillId="0" borderId="0">
      <alignment vertical="center"/>
    </xf>
    <xf numFmtId="220" fontId="5" fillId="0" borderId="0"/>
    <xf numFmtId="225" fontId="145" fillId="0" borderId="0"/>
    <xf numFmtId="227" fontId="145" fillId="0" borderId="0"/>
    <xf numFmtId="227" fontId="145" fillId="0" borderId="0"/>
    <xf numFmtId="227" fontId="145" fillId="0" borderId="0"/>
    <xf numFmtId="227" fontId="145" fillId="0" borderId="0">
      <alignment vertical="center"/>
    </xf>
    <xf numFmtId="220" fontId="5" fillId="0" borderId="0" applyFont="0" applyFill="0" applyBorder="0" applyAlignment="0" applyProtection="0"/>
    <xf numFmtId="227" fontId="145" fillId="0" borderId="0">
      <alignment vertical="center"/>
    </xf>
    <xf numFmtId="220" fontId="5" fillId="0" borderId="0" applyFont="0" applyFill="0" applyBorder="0" applyAlignment="0" applyProtection="0"/>
    <xf numFmtId="220" fontId="5" fillId="0" borderId="0" applyFont="0" applyFill="0" applyBorder="0" applyAlignment="0" applyProtection="0"/>
    <xf numFmtId="227" fontId="145" fillId="0" borderId="0">
      <alignment vertical="center"/>
    </xf>
    <xf numFmtId="220" fontId="5" fillId="0" borderId="0" applyFont="0" applyFill="0" applyBorder="0" applyAlignment="0" applyProtection="0"/>
    <xf numFmtId="225" fontId="145" fillId="0" borderId="0"/>
    <xf numFmtId="220" fontId="5" fillId="0" borderId="0"/>
    <xf numFmtId="220" fontId="157" fillId="47" borderId="0" applyNumberFormat="0" applyBorder="0" applyAlignment="0" applyProtection="0">
      <alignment vertical="center"/>
    </xf>
    <xf numFmtId="227" fontId="145" fillId="0" borderId="0"/>
    <xf numFmtId="220" fontId="5" fillId="0" borderId="0"/>
    <xf numFmtId="227" fontId="145" fillId="0" borderId="0"/>
    <xf numFmtId="198" fontId="0" fillId="0" borderId="0"/>
    <xf numFmtId="227" fontId="145" fillId="0" borderId="0"/>
    <xf numFmtId="198" fontId="0" fillId="0" borderId="0"/>
    <xf numFmtId="225" fontId="145" fillId="0" borderId="0"/>
    <xf numFmtId="227" fontId="145" fillId="0" borderId="0"/>
    <xf numFmtId="227" fontId="145" fillId="0" borderId="0"/>
    <xf numFmtId="227" fontId="145" fillId="0" borderId="0">
      <alignment vertical="center"/>
    </xf>
    <xf numFmtId="220" fontId="5" fillId="0" borderId="0" applyFont="0" applyFill="0" applyBorder="0" applyAlignment="0" applyProtection="0"/>
    <xf numFmtId="220" fontId="0" fillId="0" borderId="0"/>
    <xf numFmtId="227" fontId="145" fillId="0" borderId="0">
      <alignment vertical="center"/>
    </xf>
    <xf numFmtId="220" fontId="5" fillId="0" borderId="0" applyFont="0" applyFill="0" applyBorder="0" applyAlignment="0" applyProtection="0"/>
    <xf numFmtId="220" fontId="5" fillId="0" borderId="0" applyFont="0" applyFill="0" applyBorder="0" applyAlignment="0" applyProtection="0"/>
    <xf numFmtId="227" fontId="145" fillId="0" borderId="0">
      <alignment vertical="center"/>
    </xf>
    <xf numFmtId="220" fontId="5" fillId="0" borderId="0"/>
    <xf numFmtId="220" fontId="5" fillId="0" borderId="0"/>
    <xf numFmtId="220" fontId="5" fillId="0" borderId="0"/>
    <xf numFmtId="227" fontId="145" fillId="0" borderId="0"/>
    <xf numFmtId="227" fontId="145" fillId="0" borderId="0"/>
    <xf numFmtId="225" fontId="145" fillId="0" borderId="0"/>
    <xf numFmtId="227" fontId="145" fillId="0" borderId="0"/>
    <xf numFmtId="227" fontId="145" fillId="0" borderId="0">
      <alignment vertical="center"/>
    </xf>
    <xf numFmtId="220" fontId="5" fillId="0" borderId="0" applyFont="0" applyFill="0" applyBorder="0" applyAlignment="0" applyProtection="0"/>
    <xf numFmtId="25" fontId="213" fillId="0" borderId="0" applyFont="0" applyFill="0" applyBorder="0" applyAlignment="0" applyProtection="0"/>
    <xf numFmtId="227" fontId="145" fillId="0" borderId="0">
      <alignment vertical="center"/>
    </xf>
    <xf numFmtId="220" fontId="5" fillId="0" borderId="0" applyFont="0" applyFill="0" applyBorder="0" applyAlignment="0" applyProtection="0"/>
    <xf numFmtId="227" fontId="145" fillId="0" borderId="0">
      <alignment vertical="center"/>
    </xf>
    <xf numFmtId="220" fontId="157" fillId="47" borderId="0" applyNumberFormat="0" applyBorder="0" applyAlignment="0" applyProtection="0">
      <alignment vertical="center"/>
    </xf>
    <xf numFmtId="225" fontId="145" fillId="0" borderId="0"/>
    <xf numFmtId="227" fontId="145" fillId="0" borderId="0"/>
    <xf numFmtId="227" fontId="145" fillId="0" borderId="0"/>
    <xf numFmtId="225" fontId="145" fillId="0" borderId="0"/>
    <xf numFmtId="220" fontId="5" fillId="0" borderId="0"/>
    <xf numFmtId="227" fontId="145" fillId="0" borderId="0"/>
    <xf numFmtId="220" fontId="5" fillId="0" borderId="0"/>
    <xf numFmtId="227" fontId="145" fillId="0" borderId="0"/>
    <xf numFmtId="227" fontId="145" fillId="0" borderId="0">
      <alignment vertical="center"/>
    </xf>
    <xf numFmtId="220" fontId="5" fillId="0" borderId="0" applyFont="0" applyFill="0" applyBorder="0" applyAlignment="0" applyProtection="0"/>
    <xf numFmtId="227" fontId="145" fillId="0" borderId="0">
      <alignment vertical="center"/>
    </xf>
    <xf numFmtId="220" fontId="5" fillId="0" borderId="0" applyFont="0" applyFill="0" applyBorder="0" applyAlignment="0" applyProtection="0"/>
    <xf numFmtId="227" fontId="145" fillId="0" borderId="0">
      <alignment vertical="center"/>
    </xf>
    <xf numFmtId="225" fontId="145" fillId="0" borderId="0"/>
    <xf numFmtId="227" fontId="145" fillId="0" borderId="0"/>
    <xf numFmtId="227" fontId="145" fillId="0" borderId="0"/>
    <xf numFmtId="220" fontId="5" fillId="0" borderId="0"/>
    <xf numFmtId="227" fontId="145" fillId="0" borderId="0"/>
    <xf numFmtId="220" fontId="5" fillId="0" borderId="0"/>
    <xf numFmtId="220" fontId="5" fillId="0" borderId="0"/>
    <xf numFmtId="225" fontId="145" fillId="0" borderId="0"/>
    <xf numFmtId="220" fontId="0" fillId="0" borderId="0"/>
    <xf numFmtId="227" fontId="145" fillId="0" borderId="0"/>
    <xf numFmtId="220" fontId="0" fillId="0" borderId="0"/>
    <xf numFmtId="220" fontId="5" fillId="0" borderId="0"/>
    <xf numFmtId="220" fontId="0" fillId="0" borderId="0"/>
    <xf numFmtId="227" fontId="145" fillId="0" borderId="0">
      <alignment vertical="center"/>
    </xf>
    <xf numFmtId="220" fontId="5" fillId="0" borderId="0"/>
    <xf numFmtId="220" fontId="5" fillId="0" borderId="0" applyFont="0" applyFill="0" applyBorder="0" applyAlignment="0" applyProtection="0"/>
    <xf numFmtId="220" fontId="0" fillId="0" borderId="0"/>
    <xf numFmtId="227" fontId="145" fillId="0" borderId="0">
      <alignment vertical="center"/>
    </xf>
    <xf numFmtId="225" fontId="145" fillId="0" borderId="0"/>
    <xf numFmtId="227" fontId="145" fillId="0" borderId="0"/>
    <xf numFmtId="220" fontId="5" fillId="0" borderId="0"/>
    <xf numFmtId="227" fontId="145" fillId="0" borderId="0"/>
    <xf numFmtId="227" fontId="145" fillId="0" borderId="0"/>
    <xf numFmtId="227" fontId="145" fillId="0" borderId="0"/>
    <xf numFmtId="227" fontId="145" fillId="0" borderId="0"/>
    <xf numFmtId="220" fontId="150" fillId="35" borderId="0" applyNumberFormat="0" applyBorder="0" applyAlignment="0" applyProtection="0">
      <alignment vertical="center"/>
    </xf>
    <xf numFmtId="227" fontId="145" fillId="0" borderId="0">
      <alignment vertical="center"/>
    </xf>
    <xf numFmtId="220" fontId="5" fillId="0" borderId="0" applyFont="0" applyFill="0" applyBorder="0" applyAlignment="0" applyProtection="0"/>
    <xf numFmtId="220" fontId="5" fillId="0" borderId="0"/>
    <xf numFmtId="227" fontId="145" fillId="0" borderId="0">
      <alignment vertical="center"/>
    </xf>
    <xf numFmtId="220" fontId="5" fillId="0" borderId="0" applyFont="0" applyFill="0" applyBorder="0" applyAlignment="0" applyProtection="0"/>
    <xf numFmtId="220" fontId="5" fillId="0" borderId="0" applyFont="0" applyFill="0" applyBorder="0" applyAlignment="0" applyProtection="0"/>
    <xf numFmtId="227" fontId="145" fillId="0" borderId="0">
      <alignment vertical="center"/>
    </xf>
    <xf numFmtId="225" fontId="145" fillId="0" borderId="0"/>
    <xf numFmtId="218" fontId="0" fillId="0" borderId="0" applyFont="0" applyFill="0" applyBorder="0" applyAlignment="0" applyProtection="0"/>
    <xf numFmtId="220" fontId="0" fillId="0" borderId="0"/>
    <xf numFmtId="218" fontId="0" fillId="0" borderId="0" applyFont="0" applyFill="0" applyBorder="0" applyAlignment="0" applyProtection="0"/>
    <xf numFmtId="218" fontId="0" fillId="0" borderId="0" applyFont="0" applyFill="0" applyBorder="0" applyAlignment="0" applyProtection="0"/>
    <xf numFmtId="218" fontId="0" fillId="0" borderId="0" applyFont="0" applyFill="0" applyBorder="0" applyAlignment="0" applyProtection="0"/>
    <xf numFmtId="218" fontId="0" fillId="0" borderId="0" applyFont="0" applyFill="0" applyBorder="0" applyAlignment="0" applyProtection="0"/>
    <xf numFmtId="220" fontId="0" fillId="0" borderId="0"/>
    <xf numFmtId="220" fontId="5" fillId="0" borderId="0"/>
    <xf numFmtId="220" fontId="157" fillId="47" borderId="0" applyNumberFormat="0" applyBorder="0" applyAlignment="0" applyProtection="0">
      <alignment vertical="center"/>
    </xf>
    <xf numFmtId="218" fontId="0" fillId="0" borderId="0" applyFont="0" applyFill="0" applyBorder="0" applyAlignment="0" applyProtection="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18" fontId="0" fillId="0" borderId="0" applyFont="0" applyFill="0" applyBorder="0" applyAlignment="0" applyProtection="0"/>
    <xf numFmtId="218" fontId="0" fillId="0" borderId="0" applyFont="0" applyFill="0" applyBorder="0" applyAlignment="0" applyProtection="0"/>
    <xf numFmtId="220" fontId="0" fillId="0" borderId="0"/>
    <xf numFmtId="243" fontId="182" fillId="0" borderId="0" applyFont="0" applyFill="0" applyBorder="0" applyAlignment="0" applyProtection="0"/>
    <xf numFmtId="218" fontId="0" fillId="0" borderId="0" applyFont="0" applyFill="0" applyBorder="0" applyAlignment="0" applyProtection="0"/>
    <xf numFmtId="220" fontId="145" fillId="32" borderId="108" applyNumberFormat="0" applyProtection="0">
      <alignment horizontal="left" vertical="top" indent="1"/>
    </xf>
    <xf numFmtId="218" fontId="0" fillId="0" borderId="0" applyFont="0" applyFill="0" applyBorder="0" applyAlignment="0" applyProtection="0"/>
    <xf numFmtId="220" fontId="145" fillId="32" borderId="108" applyNumberFormat="0" applyProtection="0">
      <alignment horizontal="left" vertical="top" indent="1"/>
    </xf>
    <xf numFmtId="222" fontId="182" fillId="0" borderId="0" applyFont="0" applyFill="0" applyBorder="0" applyAlignment="0" applyProtection="0"/>
    <xf numFmtId="218" fontId="0" fillId="0" borderId="0" applyFont="0" applyFill="0" applyBorder="0" applyAlignment="0" applyProtection="0"/>
    <xf numFmtId="220" fontId="157" fillId="47" borderId="0" applyNumberFormat="0" applyBorder="0" applyAlignment="0" applyProtection="0">
      <alignment vertical="center"/>
    </xf>
    <xf numFmtId="220" fontId="145" fillId="0" borderId="0" applyFont="0" applyFill="0" applyBorder="0" applyAlignment="0" applyProtection="0"/>
    <xf numFmtId="202" fontId="151" fillId="0" borderId="0" applyFont="0" applyFill="0" applyBorder="0" applyAlignment="0" applyProtection="0"/>
    <xf numFmtId="207" fontId="75" fillId="0" borderId="0" applyFont="0" applyFill="0" applyBorder="0" applyAlignment="0" applyProtection="0"/>
    <xf numFmtId="220" fontId="5" fillId="0" borderId="0"/>
    <xf numFmtId="220" fontId="283" fillId="0" borderId="15" applyNumberFormat="0">
      <alignment horizontal="right" wrapText="1"/>
    </xf>
    <xf numFmtId="220" fontId="145" fillId="0" borderId="0" applyFont="0" applyFill="0"/>
    <xf numFmtId="43" fontId="145" fillId="0" borderId="0" applyFont="0" applyFill="0" applyBorder="0" applyAlignment="0" applyProtection="0"/>
    <xf numFmtId="220" fontId="303" fillId="0" borderId="0" applyNumberFormat="0" applyFill="0" applyBorder="0" applyAlignment="0" applyProtection="0">
      <alignment vertical="top"/>
      <protection locked="0"/>
    </xf>
    <xf numFmtId="43" fontId="0" fillId="0" borderId="0" applyFont="0" applyFill="0" applyBorder="0" applyAlignment="0" applyProtection="0"/>
    <xf numFmtId="220" fontId="269" fillId="0" borderId="0" applyNumberFormat="0" applyFill="0" applyBorder="0" applyAlignment="0" applyProtection="0">
      <alignment vertical="top"/>
      <protection locked="0"/>
    </xf>
    <xf numFmtId="220" fontId="209" fillId="0" borderId="0" applyNumberFormat="0" applyAlignment="0">
      <alignment horizontal="left"/>
    </xf>
    <xf numFmtId="191" fontId="163" fillId="0" borderId="0" applyFont="0" applyFill="0" applyBorder="0" applyAlignment="0" applyProtection="0"/>
    <xf numFmtId="191" fontId="146" fillId="0" borderId="0" applyFont="0" applyFill="0" applyBorder="0" applyAlignment="0" applyProtection="0"/>
    <xf numFmtId="220" fontId="5" fillId="0" borderId="0"/>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220" fontId="5" fillId="0" borderId="0"/>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0" fontId="228" fillId="125" borderId="1" applyNumberFormat="0" applyBorder="0" applyAlignment="0" applyProtection="0"/>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0" fontId="228" fillId="125" borderId="1" applyNumberFormat="0" applyBorder="0" applyAlignment="0" applyProtection="0"/>
    <xf numFmtId="191" fontId="198" fillId="0" borderId="0" applyFont="0" applyFill="0" applyBorder="0" applyAlignment="0" applyProtection="0">
      <alignment vertical="center"/>
    </xf>
    <xf numFmtId="220" fontId="5" fillId="0" borderId="0"/>
    <xf numFmtId="191" fontId="198" fillId="0" borderId="0" applyFont="0" applyFill="0" applyBorder="0" applyAlignment="0" applyProtection="0">
      <alignment vertical="center"/>
    </xf>
    <xf numFmtId="220" fontId="5" fillId="0" borderId="0"/>
    <xf numFmtId="191" fontId="198" fillId="0" borderId="0" applyFont="0" applyFill="0" applyBorder="0" applyAlignment="0" applyProtection="0">
      <alignment vertical="center"/>
    </xf>
    <xf numFmtId="220" fontId="5" fillId="0" borderId="0"/>
    <xf numFmtId="220" fontId="5" fillId="0" borderId="0"/>
    <xf numFmtId="220" fontId="5" fillId="0" borderId="0"/>
    <xf numFmtId="191" fontId="198" fillId="0" borderId="0" applyFont="0" applyFill="0" applyBorder="0" applyAlignment="0" applyProtection="0">
      <alignment vertical="center"/>
    </xf>
    <xf numFmtId="220" fontId="139" fillId="0" borderId="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220" fontId="5" fillId="0" borderId="0"/>
    <xf numFmtId="191" fontId="198" fillId="0" borderId="0" applyFont="0" applyFill="0" applyBorder="0" applyAlignment="0" applyProtection="0">
      <alignment vertical="center"/>
    </xf>
    <xf numFmtId="220" fontId="147" fillId="38" borderId="0" applyNumberFormat="0" applyBorder="0" applyAlignment="0" applyProtection="0">
      <alignment vertical="center"/>
    </xf>
    <xf numFmtId="220" fontId="145" fillId="0" borderId="0"/>
    <xf numFmtId="191" fontId="146" fillId="0" borderId="0" applyFont="0" applyFill="0" applyBorder="0" applyAlignment="0" applyProtection="0"/>
    <xf numFmtId="187" fontId="0" fillId="117" borderId="0"/>
    <xf numFmtId="220" fontId="5" fillId="0" borderId="0"/>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191" fontId="163" fillId="0" borderId="0" applyFont="0" applyFill="0" applyBorder="0" applyAlignment="0" applyProtection="0"/>
    <xf numFmtId="220" fontId="285" fillId="29" borderId="0" applyNumberFormat="0" applyFont="0" applyBorder="0" applyAlignment="0" applyProtection="0">
      <alignment horizontal="right"/>
    </xf>
    <xf numFmtId="220" fontId="296" fillId="0" borderId="123" applyNumberFormat="0" applyFill="0" applyAlignment="0" applyProtection="0"/>
    <xf numFmtId="191" fontId="75" fillId="0" borderId="0" applyFont="0" applyFill="0" applyBorder="0" applyAlignment="0" applyProtection="0"/>
    <xf numFmtId="191" fontId="163" fillId="0" borderId="0" applyFont="0" applyFill="0" applyBorder="0" applyAlignment="0" applyProtection="0"/>
    <xf numFmtId="251" fontId="304" fillId="0" borderId="0">
      <alignment horizontal="center"/>
    </xf>
    <xf numFmtId="187" fontId="0" fillId="126" borderId="0"/>
    <xf numFmtId="179" fontId="75" fillId="0" borderId="0" applyFill="0" applyBorder="0" applyProtection="0">
      <alignment horizontal="right"/>
    </xf>
    <xf numFmtId="191" fontId="275" fillId="0" borderId="0" applyFont="0" applyFill="0" applyBorder="0" applyAlignment="0" applyProtection="0"/>
    <xf numFmtId="1" fontId="305" fillId="0" borderId="0">
      <alignment horizontal="center" vertical="center"/>
    </xf>
    <xf numFmtId="191" fontId="146" fillId="0" borderId="0" applyFont="0" applyFill="0" applyBorder="0" applyAlignment="0" applyProtection="0"/>
    <xf numFmtId="220" fontId="5" fillId="0" borderId="0"/>
    <xf numFmtId="191" fontId="146" fillId="0" borderId="0" applyFont="0" applyFill="0" applyBorder="0" applyAlignment="0" applyProtection="0"/>
    <xf numFmtId="49" fontId="0" fillId="0" borderId="0" applyProtection="0">
      <alignment horizontal="left" vertical="top" wrapText="1"/>
    </xf>
    <xf numFmtId="220" fontId="0" fillId="0" borderId="0"/>
    <xf numFmtId="220" fontId="5" fillId="0" borderId="0"/>
    <xf numFmtId="220" fontId="142" fillId="38" borderId="0" applyNumberFormat="0" applyBorder="0" applyAlignment="0" applyProtection="0">
      <alignment vertical="center"/>
    </xf>
    <xf numFmtId="49" fontId="0" fillId="0" borderId="0" applyProtection="0">
      <alignment horizontal="left" vertical="top" wrapText="1"/>
    </xf>
    <xf numFmtId="38" fontId="297" fillId="0" borderId="0"/>
    <xf numFmtId="191" fontId="145" fillId="0" borderId="0" applyFont="0" applyFill="0" applyBorder="0" applyAlignment="0" applyProtection="0"/>
    <xf numFmtId="38" fontId="306" fillId="0" borderId="0"/>
    <xf numFmtId="220" fontId="142" fillId="38" borderId="0" applyNumberFormat="0" applyBorder="0" applyAlignment="0" applyProtection="0">
      <alignment vertical="center"/>
    </xf>
    <xf numFmtId="38" fontId="307" fillId="0" borderId="0"/>
    <xf numFmtId="220" fontId="142" fillId="38" borderId="0" applyNumberFormat="0" applyBorder="0" applyAlignment="0" applyProtection="0">
      <alignment vertical="center"/>
    </xf>
    <xf numFmtId="220" fontId="5" fillId="0" borderId="0"/>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220" fontId="150" fillId="35" borderId="0" applyNumberFormat="0" applyBorder="0" applyAlignment="0" applyProtection="0">
      <alignment vertical="center"/>
    </xf>
    <xf numFmtId="191" fontId="198" fillId="0" borderId="0" applyFont="0" applyFill="0" applyBorder="0" applyAlignment="0" applyProtection="0">
      <alignment vertical="center"/>
    </xf>
    <xf numFmtId="220" fontId="142" fillId="38" borderId="0" applyNumberFormat="0" applyBorder="0" applyAlignment="0" applyProtection="0">
      <alignment vertical="center"/>
    </xf>
    <xf numFmtId="191" fontId="0" fillId="0" borderId="0" applyFont="0" applyFill="0" applyBorder="0" applyAlignment="0" applyProtection="0">
      <alignment vertical="center"/>
    </xf>
    <xf numFmtId="220" fontId="5" fillId="0" borderId="0"/>
    <xf numFmtId="220" fontId="142" fillId="38" borderId="0" applyNumberFormat="0" applyBorder="0" applyAlignment="0" applyProtection="0">
      <alignment vertical="center"/>
    </xf>
    <xf numFmtId="38" fontId="285" fillId="0" borderId="0"/>
    <xf numFmtId="220" fontId="257" fillId="0" borderId="0"/>
    <xf numFmtId="220" fontId="161" fillId="53" borderId="0" applyNumberFormat="0" applyBorder="0" applyAlignment="0" applyProtection="0">
      <alignment vertical="center"/>
    </xf>
    <xf numFmtId="191" fontId="163" fillId="0" borderId="0" applyFont="0" applyFill="0" applyBorder="0" applyAlignment="0" applyProtection="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257" fillId="0" borderId="0"/>
    <xf numFmtId="220" fontId="161" fillId="53" borderId="0" applyNumberFormat="0" applyBorder="0" applyAlignment="0" applyProtection="0">
      <alignment vertical="center"/>
    </xf>
    <xf numFmtId="220" fontId="5" fillId="0" borderId="0"/>
    <xf numFmtId="191" fontId="163" fillId="0" borderId="0" applyFont="0" applyFill="0" applyBorder="0" applyAlignment="0" applyProtection="0"/>
    <xf numFmtId="220" fontId="150" fillId="35" borderId="0" applyNumberFormat="0" applyBorder="0" applyAlignment="0" applyProtection="0">
      <alignment vertical="center"/>
    </xf>
    <xf numFmtId="220" fontId="0" fillId="0" borderId="0"/>
    <xf numFmtId="220" fontId="5" fillId="0" borderId="0"/>
    <xf numFmtId="191" fontId="75" fillId="0" borderId="0" applyFont="0" applyFill="0" applyBorder="0" applyAlignment="0" applyProtection="0"/>
    <xf numFmtId="220" fontId="150" fillId="35" borderId="0" applyNumberFormat="0" applyBorder="0" applyAlignment="0" applyProtection="0">
      <alignment vertical="center"/>
    </xf>
    <xf numFmtId="191" fontId="0" fillId="0" borderId="0" applyFont="0" applyFill="0" applyBorder="0" applyAlignment="0" applyProtection="0">
      <alignment vertical="center"/>
    </xf>
    <xf numFmtId="220" fontId="142" fillId="38" borderId="0" applyNumberFormat="0" applyBorder="0" applyAlignment="0" applyProtection="0">
      <alignment vertical="center"/>
    </xf>
    <xf numFmtId="220" fontId="181" fillId="0" borderId="30" applyNumberFormat="0" applyBorder="0" applyAlignment="0">
      <alignment wrapText="1"/>
    </xf>
    <xf numFmtId="220" fontId="0" fillId="0" borderId="0"/>
    <xf numFmtId="220" fontId="90" fillId="0" borderId="0" applyFont="0" applyFill="0">
      <alignment horizontal="fill"/>
    </xf>
    <xf numFmtId="220" fontId="161" fillId="53" borderId="0" applyNumberFormat="0" applyBorder="0" applyAlignment="0" applyProtection="0">
      <alignment vertical="center"/>
    </xf>
    <xf numFmtId="220" fontId="0" fillId="0" borderId="0"/>
    <xf numFmtId="220" fontId="5" fillId="0" borderId="0"/>
    <xf numFmtId="43" fontId="145" fillId="0" borderId="0" applyFont="0" applyFill="0" applyBorder="0" applyAlignment="0" applyProtection="0"/>
    <xf numFmtId="220" fontId="142" fillId="38" borderId="0" applyNumberFormat="0" applyBorder="0" applyAlignment="0" applyProtection="0">
      <alignment vertical="center"/>
    </xf>
    <xf numFmtId="191" fontId="145" fillId="0" borderId="0" applyFont="0" applyFill="0" applyBorder="0" applyAlignment="0" applyProtection="0"/>
    <xf numFmtId="220" fontId="0" fillId="0" borderId="0"/>
    <xf numFmtId="191" fontId="0" fillId="0" borderId="0" applyFont="0" applyFill="0" applyBorder="0" applyAlignment="0" applyProtection="0">
      <alignment vertical="center"/>
    </xf>
    <xf numFmtId="220" fontId="0" fillId="0" borderId="0"/>
    <xf numFmtId="220" fontId="5" fillId="0" borderId="0"/>
    <xf numFmtId="43" fontId="145" fillId="0" borderId="0" applyFont="0" applyFill="0" applyBorder="0" applyAlignment="0" applyProtection="0"/>
    <xf numFmtId="220" fontId="161" fillId="53" borderId="0" applyNumberFormat="0" applyBorder="0" applyAlignment="0" applyProtection="0">
      <alignment vertical="center"/>
    </xf>
    <xf numFmtId="220" fontId="0" fillId="0" borderId="0"/>
    <xf numFmtId="191" fontId="198" fillId="0" borderId="0" applyFont="0" applyFill="0" applyBorder="0" applyAlignment="0" applyProtection="0">
      <alignment vertical="center"/>
    </xf>
    <xf numFmtId="220" fontId="142" fillId="38" borderId="0" applyNumberFormat="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191" fontId="198" fillId="0" borderId="0" applyFont="0" applyFill="0" applyBorder="0" applyAlignment="0" applyProtection="0">
      <alignment vertical="center"/>
    </xf>
    <xf numFmtId="37" fontId="152" fillId="0" borderId="0" applyFont="0" applyFill="0" applyBorder="0" applyAlignment="0" applyProtection="0"/>
    <xf numFmtId="220" fontId="0" fillId="0" borderId="0"/>
    <xf numFmtId="215" fontId="75" fillId="0" borderId="0" applyFill="0" applyBorder="0" applyAlignment="0"/>
    <xf numFmtId="220" fontId="0" fillId="0" borderId="0"/>
    <xf numFmtId="43" fontId="0" fillId="0" borderId="0" applyFont="0" applyFill="0" applyBorder="0" applyAlignment="0" applyProtection="0"/>
    <xf numFmtId="220" fontId="161" fillId="53" borderId="0" applyNumberFormat="0" applyBorder="0" applyAlignment="0" applyProtection="0">
      <alignment vertical="center"/>
    </xf>
    <xf numFmtId="220" fontId="0" fillId="0" borderId="0"/>
    <xf numFmtId="191" fontId="0" fillId="0" borderId="0" applyFont="0" applyFill="0" applyBorder="0" applyAlignment="0" applyProtection="0">
      <alignment vertical="center"/>
    </xf>
    <xf numFmtId="220" fontId="0" fillId="0" borderId="0"/>
    <xf numFmtId="207" fontId="75" fillId="0" borderId="0" applyFill="0" applyBorder="0" applyAlignment="0"/>
    <xf numFmtId="220" fontId="163" fillId="0" borderId="0" applyFont="0" applyFill="0" applyBorder="0" applyAlignment="0" applyProtection="0"/>
    <xf numFmtId="252" fontId="0" fillId="126" borderId="0"/>
    <xf numFmtId="191" fontId="163" fillId="0" borderId="0" applyFont="0" applyFill="0" applyBorder="0" applyAlignment="0" applyProtection="0"/>
    <xf numFmtId="191" fontId="163" fillId="0" borderId="0" applyFont="0" applyFill="0" applyBorder="0" applyAlignment="0" applyProtection="0"/>
    <xf numFmtId="187" fontId="0" fillId="126"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41" fontId="145" fillId="0" borderId="0" applyFont="0" applyFill="0" applyBorder="0" applyAlignment="0" applyProtection="0"/>
    <xf numFmtId="220" fontId="5" fillId="0" borderId="0"/>
    <xf numFmtId="191" fontId="145" fillId="0" borderId="0" applyFont="0" applyFill="0" applyBorder="0" applyAlignment="0" applyProtection="0"/>
    <xf numFmtId="220" fontId="5" fillId="0" borderId="0"/>
    <xf numFmtId="191" fontId="145" fillId="0" borderId="0" applyFont="0" applyFill="0" applyBorder="0" applyAlignment="0" applyProtection="0"/>
    <xf numFmtId="220" fontId="177" fillId="0" borderId="126"/>
    <xf numFmtId="220" fontId="5" fillId="0" borderId="0"/>
    <xf numFmtId="220" fontId="5" fillId="0" borderId="0"/>
    <xf numFmtId="220" fontId="142" fillId="38" borderId="0" applyNumberFormat="0" applyBorder="0" applyAlignment="0" applyProtection="0">
      <alignment vertical="center"/>
    </xf>
    <xf numFmtId="253" fontId="257" fillId="0" borderId="0" applyFont="0" applyFill="0" applyBorder="0" applyAlignment="0" applyProtection="0"/>
    <xf numFmtId="220" fontId="145" fillId="0" borderId="0"/>
    <xf numFmtId="220" fontId="5" fillId="0" borderId="0"/>
    <xf numFmtId="191" fontId="163" fillId="0" borderId="0" applyFont="0" applyFill="0" applyBorder="0" applyAlignment="0" applyProtection="0"/>
    <xf numFmtId="254" fontId="257" fillId="0" borderId="0" applyFont="0" applyFill="0" applyBorder="0" applyAlignment="0" applyProtection="0"/>
    <xf numFmtId="220" fontId="0" fillId="0" borderId="0">
      <alignment vertical="center"/>
    </xf>
    <xf numFmtId="191" fontId="163" fillId="0" borderId="0" applyFont="0" applyFill="0" applyBorder="0" applyAlignment="0" applyProtection="0"/>
    <xf numFmtId="191" fontId="163" fillId="0" borderId="0" applyFont="0" applyFill="0" applyBorder="0" applyAlignment="0" applyProtection="0"/>
    <xf numFmtId="255" fontId="181" fillId="0" borderId="0" applyFont="0" applyFill="0" applyBorder="0" applyAlignment="0" applyProtection="0"/>
    <xf numFmtId="220" fontId="5" fillId="0" borderId="0"/>
    <xf numFmtId="220" fontId="5" fillId="0" borderId="0"/>
    <xf numFmtId="256" fontId="181" fillId="0" borderId="0" applyFont="0" applyFill="0" applyBorder="0" applyAlignment="0" applyProtection="0"/>
    <xf numFmtId="247" fontId="0" fillId="0" borderId="0" applyFont="0" applyFill="0" applyBorder="0" applyAlignment="0" applyProtection="0"/>
    <xf numFmtId="191" fontId="163" fillId="0" borderId="0" applyFont="0" applyFill="0" applyBorder="0" applyAlignment="0" applyProtection="0"/>
    <xf numFmtId="191" fontId="163" fillId="0" borderId="0" applyFont="0" applyFill="0" applyBorder="0" applyAlignment="0" applyProtection="0"/>
    <xf numFmtId="198" fontId="0" fillId="0" borderId="0" applyFont="0" applyFill="0" applyBorder="0" applyAlignment="0" applyProtection="0"/>
    <xf numFmtId="220" fontId="291" fillId="0" borderId="0">
      <protection locked="0"/>
    </xf>
    <xf numFmtId="191" fontId="163" fillId="0" borderId="0" applyFont="0" applyFill="0" applyBorder="0" applyAlignment="0" applyProtection="0"/>
    <xf numFmtId="191" fontId="163" fillId="0" borderId="0" applyFont="0" applyFill="0" applyBorder="0" applyAlignment="0" applyProtection="0"/>
    <xf numFmtId="257" fontId="198" fillId="0" borderId="0" applyFont="0" applyFill="0" applyBorder="0" applyAlignment="0" applyProtection="0"/>
    <xf numFmtId="191" fontId="145" fillId="0" borderId="0" applyFont="0" applyFill="0" applyBorder="0" applyAlignment="0" applyProtection="0"/>
    <xf numFmtId="258" fontId="198" fillId="0" borderId="0" applyFont="0" applyFill="0" applyBorder="0" applyAlignment="0" applyProtection="0"/>
    <xf numFmtId="220" fontId="5" fillId="0" borderId="0"/>
    <xf numFmtId="191" fontId="145" fillId="0" borderId="0" applyFont="0" applyFill="0" applyBorder="0" applyAlignment="0" applyProtection="0"/>
    <xf numFmtId="220" fontId="5" fillId="0" borderId="0"/>
    <xf numFmtId="220" fontId="5" fillId="0" borderId="0"/>
    <xf numFmtId="220" fontId="308" fillId="31" borderId="0" applyNumberFormat="0" applyBorder="0" applyAlignment="0" applyProtection="0"/>
    <xf numFmtId="37" fontId="224" fillId="0" borderId="0"/>
    <xf numFmtId="220" fontId="142" fillId="38" borderId="0" applyNumberFormat="0" applyBorder="0" applyAlignment="0" applyProtection="0">
      <alignment vertical="center"/>
    </xf>
    <xf numFmtId="220" fontId="5" fillId="0" borderId="0"/>
    <xf numFmtId="43" fontId="0" fillId="0" borderId="0" applyFont="0" applyFill="0" applyBorder="0" applyAlignment="0" applyProtection="0"/>
    <xf numFmtId="43" fontId="0" fillId="0" borderId="0" applyFont="0" applyFill="0" applyBorder="0" applyAlignment="0" applyProtection="0"/>
    <xf numFmtId="220" fontId="225" fillId="0" borderId="0"/>
    <xf numFmtId="43" fontId="145" fillId="0" borderId="0" applyFont="0" applyFill="0" applyBorder="0" applyAlignment="0" applyProtection="0"/>
    <xf numFmtId="43" fontId="221" fillId="0" borderId="0" applyFont="0" applyFill="0" applyBorder="0" applyAlignment="0" applyProtection="0"/>
    <xf numFmtId="220" fontId="145" fillId="0" borderId="0"/>
    <xf numFmtId="220" fontId="145" fillId="0" borderId="0"/>
    <xf numFmtId="43" fontId="5" fillId="0" borderId="0" applyFont="0" applyFill="0" applyBorder="0" applyAlignment="0" applyProtection="0"/>
    <xf numFmtId="220" fontId="150" fillId="35" borderId="0" applyNumberFormat="0" applyBorder="0" applyAlignment="0" applyProtection="0">
      <alignment vertical="center"/>
    </xf>
    <xf numFmtId="43" fontId="5" fillId="0" borderId="0" applyFont="0" applyFill="0" applyBorder="0" applyAlignment="0" applyProtection="0"/>
    <xf numFmtId="220" fontId="145" fillId="0" borderId="0"/>
    <xf numFmtId="43" fontId="0" fillId="0" borderId="0" applyFont="0" applyFill="0" applyBorder="0" applyAlignment="0" applyProtection="0">
      <alignment vertical="center"/>
    </xf>
    <xf numFmtId="220" fontId="223" fillId="0" borderId="0"/>
    <xf numFmtId="43" fontId="75" fillId="0" borderId="0" applyFont="0" applyFill="0" applyBorder="0" applyAlignment="0" applyProtection="0"/>
    <xf numFmtId="220" fontId="223" fillId="0" borderId="0"/>
    <xf numFmtId="220" fontId="5" fillId="0" borderId="0"/>
    <xf numFmtId="220" fontId="5" fillId="0" borderId="0"/>
    <xf numFmtId="191" fontId="163" fillId="0" borderId="0" applyFont="0" applyFill="0" applyBorder="0" applyAlignment="0" applyProtection="0"/>
    <xf numFmtId="189" fontId="75" fillId="0" borderId="0"/>
    <xf numFmtId="220" fontId="5" fillId="0" borderId="0"/>
    <xf numFmtId="37" fontId="182" fillId="0" borderId="0" applyFont="0" applyFill="0" applyBorder="0" applyAlignment="0" applyProtection="0"/>
    <xf numFmtId="220" fontId="163" fillId="0" borderId="0"/>
    <xf numFmtId="37" fontId="152" fillId="0" borderId="0" applyFont="0" applyFill="0" applyBorder="0" applyAlignment="0" applyProtection="0"/>
    <xf numFmtId="37" fontId="152" fillId="0" borderId="0" applyFont="0" applyFill="0" applyBorder="0" applyAlignment="0" applyProtection="0"/>
    <xf numFmtId="37" fontId="152" fillId="0" borderId="0" applyFont="0" applyFill="0" applyBorder="0" applyAlignment="0" applyProtection="0"/>
    <xf numFmtId="37" fontId="152" fillId="0" borderId="0" applyFont="0" applyFill="0" applyBorder="0" applyAlignment="0" applyProtection="0"/>
    <xf numFmtId="220" fontId="0" fillId="0" borderId="0"/>
    <xf numFmtId="220" fontId="5" fillId="0" borderId="0"/>
    <xf numFmtId="213" fontId="152" fillId="0" borderId="0" applyFont="0" applyFill="0" applyBorder="0" applyAlignment="0" applyProtection="0"/>
    <xf numFmtId="220" fontId="147"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13" fontId="152" fillId="0" borderId="0" applyFont="0" applyFill="0" applyBorder="0" applyAlignment="0" applyProtection="0"/>
    <xf numFmtId="220" fontId="5" fillId="0" borderId="0"/>
    <xf numFmtId="220" fontId="5" fillId="0" borderId="0"/>
    <xf numFmtId="220" fontId="147" fillId="42" borderId="0" applyNumberFormat="0" applyBorder="0" applyAlignment="0" applyProtection="0">
      <alignment vertical="center"/>
    </xf>
    <xf numFmtId="213" fontId="152" fillId="0" borderId="0" applyFont="0" applyFill="0" applyBorder="0" applyAlignment="0" applyProtection="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13" fontId="152" fillId="0" borderId="0" applyFont="0" applyFill="0" applyBorder="0" applyAlignment="0" applyProtection="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13" fontId="152" fillId="0" borderId="0" applyFont="0" applyFill="0" applyBorder="0" applyAlignment="0" applyProtection="0"/>
    <xf numFmtId="220" fontId="0" fillId="0" borderId="0"/>
    <xf numFmtId="220" fontId="157" fillId="47" borderId="0" applyNumberFormat="0" applyBorder="0" applyAlignment="0" applyProtection="0">
      <alignment vertical="center"/>
    </xf>
    <xf numFmtId="39" fontId="182" fillId="0" borderId="0" applyFont="0" applyFill="0" applyBorder="0" applyAlignment="0" applyProtection="0"/>
    <xf numFmtId="220" fontId="0" fillId="0" borderId="0"/>
    <xf numFmtId="220" fontId="157" fillId="47" borderId="0" applyNumberFormat="0" applyBorder="0" applyAlignment="0" applyProtection="0">
      <alignment vertical="center"/>
    </xf>
    <xf numFmtId="220" fontId="0" fillId="0" borderId="0"/>
    <xf numFmtId="39" fontId="152" fillId="0" borderId="0" applyFont="0" applyFill="0" applyBorder="0" applyAlignment="0" applyProtection="0"/>
    <xf numFmtId="220" fontId="5" fillId="0" borderId="0"/>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39" fontId="152" fillId="0" borderId="0" applyFont="0" applyFill="0" applyBorder="0" applyAlignment="0" applyProtection="0"/>
    <xf numFmtId="220" fontId="5" fillId="0" borderId="0"/>
    <xf numFmtId="39" fontId="152" fillId="0" borderId="0" applyFont="0" applyFill="0" applyBorder="0" applyAlignment="0" applyProtection="0"/>
    <xf numFmtId="220" fontId="5" fillId="0" borderId="0"/>
    <xf numFmtId="39" fontId="152" fillId="0" borderId="0" applyFont="0" applyFill="0" applyBorder="0" applyAlignment="0" applyProtection="0"/>
    <xf numFmtId="39" fontId="152" fillId="0" borderId="0" applyFont="0" applyFill="0" applyBorder="0" applyAlignment="0" applyProtection="0"/>
    <xf numFmtId="220" fontId="5" fillId="0" borderId="0"/>
    <xf numFmtId="220" fontId="5" fillId="0" borderId="0"/>
    <xf numFmtId="220" fontId="157" fillId="47" borderId="0" applyNumberFormat="0" applyBorder="0" applyAlignment="0" applyProtection="0">
      <alignment vertical="center"/>
    </xf>
    <xf numFmtId="9" fontId="5" fillId="0" borderId="0" applyFont="0" applyFill="0" applyBorder="0" applyAlignment="0" applyProtection="0"/>
    <xf numFmtId="220" fontId="163" fillId="0" borderId="0"/>
    <xf numFmtId="220" fontId="157" fillId="47" borderId="0" applyNumberFormat="0" applyBorder="0" applyAlignment="0" applyProtection="0">
      <alignment vertical="center"/>
    </xf>
    <xf numFmtId="9" fontId="5" fillId="0" borderId="0" applyFont="0" applyFill="0" applyBorder="0" applyAlignment="0" applyProtection="0"/>
    <xf numFmtId="220" fontId="146" fillId="32" borderId="108" applyNumberFormat="0" applyProtection="0">
      <alignment horizontal="right" vertical="center"/>
    </xf>
    <xf numFmtId="220" fontId="163" fillId="0" borderId="0"/>
    <xf numFmtId="37" fontId="213" fillId="0" borderId="0" applyFont="0" applyFill="0" applyBorder="0" applyAlignment="0" applyProtection="0"/>
    <xf numFmtId="37" fontId="213" fillId="0" borderId="0" applyFont="0" applyFill="0" applyBorder="0" applyAlignment="0" applyProtection="0"/>
    <xf numFmtId="37" fontId="213"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37" fontId="213" fillId="0" borderId="0" applyFont="0" applyFill="0" applyBorder="0" applyAlignment="0" applyProtection="0"/>
    <xf numFmtId="220" fontId="157" fillId="47" borderId="0" applyNumberFormat="0" applyBorder="0" applyAlignment="0" applyProtection="0">
      <alignment vertical="center"/>
    </xf>
    <xf numFmtId="9" fontId="5" fillId="0" borderId="0" applyFont="0" applyFill="0" applyBorder="0" applyAlignment="0" applyProtection="0"/>
    <xf numFmtId="37" fontId="213" fillId="0" borderId="0" applyFont="0" applyFill="0" applyBorder="0" applyAlignment="0" applyProtection="0"/>
    <xf numFmtId="220" fontId="157" fillId="47" borderId="0" applyNumberFormat="0" applyBorder="0" applyAlignment="0" applyProtection="0">
      <alignment vertical="center"/>
    </xf>
    <xf numFmtId="37" fontId="213" fillId="0" borderId="0" applyFont="0" applyFill="0" applyBorder="0" applyAlignment="0" applyProtection="0"/>
    <xf numFmtId="220" fontId="147" fillId="38" borderId="0" applyNumberFormat="0" applyBorder="0" applyAlignment="0" applyProtection="0">
      <alignment vertical="center"/>
    </xf>
    <xf numFmtId="37" fontId="213" fillId="0" borderId="0" applyFont="0" applyFill="0" applyBorder="0" applyAlignment="0" applyProtection="0"/>
    <xf numFmtId="220" fontId="163" fillId="0" borderId="0"/>
    <xf numFmtId="220" fontId="5" fillId="0" borderId="0"/>
    <xf numFmtId="220" fontId="0" fillId="0" borderId="0"/>
    <xf numFmtId="220" fontId="0" fillId="0" borderId="0"/>
    <xf numFmtId="220" fontId="0" fillId="0" borderId="0"/>
    <xf numFmtId="39" fontId="213" fillId="0" borderId="0" applyFont="0" applyFill="0" applyBorder="0" applyAlignment="0" applyProtection="0"/>
    <xf numFmtId="39" fontId="213" fillId="0" borderId="0" applyFont="0" applyFill="0" applyBorder="0" applyAlignment="0" applyProtection="0"/>
    <xf numFmtId="39" fontId="213" fillId="0" borderId="0" applyFont="0" applyFill="0" applyBorder="0" applyAlignment="0" applyProtection="0"/>
    <xf numFmtId="220" fontId="142" fillId="38" borderId="0" applyNumberFormat="0" applyBorder="0" applyAlignment="0" applyProtection="0">
      <alignment vertical="center"/>
    </xf>
    <xf numFmtId="39" fontId="213" fillId="0" borderId="0" applyFont="0" applyFill="0" applyBorder="0" applyAlignment="0" applyProtection="0"/>
    <xf numFmtId="220" fontId="142" fillId="38" borderId="0" applyNumberFormat="0" applyBorder="0" applyAlignment="0" applyProtection="0">
      <alignment vertical="center"/>
    </xf>
    <xf numFmtId="39" fontId="213" fillId="0" borderId="0" applyFont="0" applyFill="0" applyBorder="0" applyAlignment="0" applyProtection="0"/>
    <xf numFmtId="220" fontId="147" fillId="42" borderId="0" applyNumberFormat="0" applyBorder="0" applyAlignment="0" applyProtection="0">
      <alignment vertical="center"/>
    </xf>
    <xf numFmtId="220" fontId="139" fillId="0" borderId="0">
      <alignment vertical="center"/>
    </xf>
    <xf numFmtId="220" fontId="145" fillId="0" borderId="0" applyFont="0" applyFill="0" applyBorder="0" applyAlignment="0" applyProtection="0"/>
    <xf numFmtId="220" fontId="5" fillId="0" borderId="0"/>
    <xf numFmtId="220" fontId="163" fillId="0" borderId="0"/>
    <xf numFmtId="220" fontId="5" fillId="0" borderId="0"/>
    <xf numFmtId="220" fontId="157" fillId="47" borderId="0" applyNumberFormat="0" applyBorder="0" applyAlignment="0" applyProtection="0">
      <alignment vertical="center"/>
    </xf>
    <xf numFmtId="220" fontId="163" fillId="0" borderId="0"/>
    <xf numFmtId="220" fontId="236" fillId="0" borderId="0"/>
    <xf numFmtId="220" fontId="147" fillId="42" borderId="0" applyNumberFormat="0" applyBorder="0" applyAlignment="0" applyProtection="0">
      <alignment vertical="center"/>
    </xf>
    <xf numFmtId="220" fontId="0" fillId="0" borderId="0"/>
    <xf numFmtId="220" fontId="163" fillId="0" borderId="0"/>
    <xf numFmtId="220" fontId="5" fillId="0" borderId="0"/>
    <xf numFmtId="220" fontId="147" fillId="42" borderId="0" applyNumberFormat="0" applyBorder="0" applyAlignment="0" applyProtection="0">
      <alignment vertical="center"/>
    </xf>
    <xf numFmtId="220" fontId="0" fillId="0" borderId="0"/>
    <xf numFmtId="220" fontId="151" fillId="0" borderId="0"/>
    <xf numFmtId="220" fontId="5" fillId="0" borderId="0"/>
    <xf numFmtId="220" fontId="227" fillId="0" borderId="0" applyNumberFormat="0" applyFill="0" applyBorder="0" applyAlignment="0" applyProtection="0"/>
    <xf numFmtId="220" fontId="0" fillId="0" borderId="0">
      <alignment vertical="center"/>
    </xf>
    <xf numFmtId="220" fontId="152" fillId="0" borderId="0">
      <alignment vertical="center"/>
    </xf>
    <xf numFmtId="220" fontId="146" fillId="0" borderId="0"/>
    <xf numFmtId="220" fontId="309" fillId="54" borderId="0"/>
    <xf numFmtId="220" fontId="5" fillId="0" borderId="0"/>
    <xf numFmtId="220" fontId="253" fillId="0" borderId="0" applyNumberFormat="0" applyAlignment="0">
      <alignment horizontal="left"/>
    </xf>
    <xf numFmtId="220" fontId="0" fillId="0" borderId="0"/>
    <xf numFmtId="220" fontId="253" fillId="0" borderId="0" applyNumberFormat="0" applyAlignment="0">
      <alignment horizontal="left"/>
    </xf>
    <xf numFmtId="220" fontId="0" fillId="0" borderId="0"/>
    <xf numFmtId="220" fontId="253" fillId="0" borderId="0" applyNumberFormat="0" applyAlignment="0">
      <alignment horizontal="left"/>
    </xf>
    <xf numFmtId="220" fontId="5" fillId="0" borderId="0"/>
    <xf numFmtId="220" fontId="0" fillId="0" borderId="0"/>
    <xf numFmtId="220" fontId="225" fillId="0" borderId="0" applyNumberFormat="0" applyAlignment="0"/>
    <xf numFmtId="220" fontId="5" fillId="0" borderId="0"/>
    <xf numFmtId="220" fontId="5" fillId="0" borderId="0"/>
    <xf numFmtId="220" fontId="5" fillId="0" borderId="0"/>
    <xf numFmtId="220" fontId="225" fillId="0" borderId="0" applyNumberFormat="0" applyAlignment="0"/>
    <xf numFmtId="220" fontId="225" fillId="0" borderId="0" applyNumberFormat="0" applyAlignment="0"/>
    <xf numFmtId="220" fontId="139" fillId="0" borderId="0">
      <alignment vertical="center"/>
    </xf>
    <xf numFmtId="220" fontId="145" fillId="0" borderId="0">
      <protection locked="0"/>
    </xf>
    <xf numFmtId="220" fontId="280" fillId="0" borderId="0"/>
    <xf numFmtId="218" fontId="286" fillId="0" borderId="0" applyFont="0" applyFill="0" applyBorder="0" applyAlignment="0" applyProtection="0"/>
    <xf numFmtId="259" fontId="145" fillId="0" borderId="0" applyFont="0" applyFill="0" applyBorder="0" applyAlignment="0" applyProtection="0"/>
    <xf numFmtId="220" fontId="5" fillId="0" borderId="0"/>
    <xf numFmtId="260" fontId="145" fillId="0" borderId="0" applyFont="0" applyFill="0" applyBorder="0" applyAlignment="0" applyProtection="0"/>
    <xf numFmtId="213" fontId="151" fillId="0" borderId="0" applyFont="0" applyFill="0" applyBorder="0" applyAlignment="0" applyProtection="0"/>
    <xf numFmtId="215" fontId="75" fillId="0" borderId="0" applyFont="0" applyFill="0" applyBorder="0" applyAlignment="0" applyProtection="0"/>
    <xf numFmtId="208" fontId="0" fillId="0" borderId="0" applyFont="0" applyFill="0" applyBorder="0" applyAlignment="0" applyProtection="0"/>
    <xf numFmtId="220" fontId="145" fillId="0" borderId="0"/>
    <xf numFmtId="181" fontId="0" fillId="0" borderId="0" applyFont="0" applyFill="0" applyBorder="0" applyAlignment="0" applyProtection="0">
      <alignment vertical="center"/>
    </xf>
    <xf numFmtId="220" fontId="157" fillId="47" borderId="0" applyNumberFormat="0" applyBorder="0" applyAlignment="0" applyProtection="0">
      <alignment vertical="center"/>
    </xf>
    <xf numFmtId="220" fontId="14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08" fontId="0" fillId="0" borderId="0" applyFont="0" applyFill="0" applyBorder="0" applyAlignment="0" applyProtection="0"/>
    <xf numFmtId="220" fontId="157" fillId="47" borderId="0" applyNumberFormat="0" applyBorder="0" applyAlignment="0" applyProtection="0">
      <alignment vertical="center"/>
    </xf>
    <xf numFmtId="220" fontId="145" fillId="0" borderId="0"/>
    <xf numFmtId="9" fontId="0" fillId="0" borderId="0" applyFont="0" applyFill="0" applyBorder="0" applyAlignment="0" applyProtection="0"/>
    <xf numFmtId="220" fontId="145" fillId="0" borderId="0"/>
    <xf numFmtId="220" fontId="5" fillId="0" borderId="0"/>
    <xf numFmtId="9" fontId="5" fillId="0" borderId="0" applyFont="0" applyFill="0" applyBorder="0" applyAlignment="0" applyProtection="0">
      <alignment vertical="center"/>
    </xf>
    <xf numFmtId="220" fontId="5" fillId="0" borderId="0"/>
    <xf numFmtId="220" fontId="5" fillId="0" borderId="0"/>
    <xf numFmtId="24" fontId="213" fillId="0" borderId="0" applyFont="0" applyFill="0" applyBorder="0" applyAlignment="0" applyProtection="0"/>
    <xf numFmtId="220" fontId="5" fillId="0" borderId="0"/>
    <xf numFmtId="9" fontId="5" fillId="0" borderId="0" applyFont="0" applyFill="0" applyBorder="0" applyAlignment="0" applyProtection="0">
      <alignment vertical="center"/>
    </xf>
    <xf numFmtId="220" fontId="5" fillId="0" borderId="0"/>
    <xf numFmtId="220" fontId="5" fillId="0" borderId="0"/>
    <xf numFmtId="24" fontId="213" fillId="0" borderId="0" applyFont="0" applyFill="0" applyBorder="0" applyAlignment="0" applyProtection="0"/>
    <xf numFmtId="9" fontId="0" fillId="0" borderId="0" applyFont="0" applyFill="0" applyBorder="0" applyAlignment="0" applyProtection="0"/>
    <xf numFmtId="220" fontId="5" fillId="0" borderId="0"/>
    <xf numFmtId="220" fontId="0" fillId="0" borderId="0"/>
    <xf numFmtId="24" fontId="213" fillId="0" borderId="0" applyFont="0" applyFill="0" applyBorder="0" applyAlignment="0" applyProtection="0"/>
    <xf numFmtId="9" fontId="0" fillId="0" borderId="0" applyFont="0" applyFill="0" applyBorder="0" applyAlignment="0" applyProtection="0"/>
    <xf numFmtId="220" fontId="0" fillId="0" borderId="0"/>
    <xf numFmtId="24" fontId="213" fillId="0" borderId="0" applyFont="0" applyFill="0" applyBorder="0" applyAlignment="0" applyProtection="0"/>
    <xf numFmtId="9" fontId="0" fillId="0" borderId="0" applyFont="0" applyFill="0" applyBorder="0" applyAlignment="0" applyProtection="0"/>
    <xf numFmtId="220" fontId="5" fillId="0" borderId="0"/>
    <xf numFmtId="220" fontId="0" fillId="0" borderId="0"/>
    <xf numFmtId="197" fontId="139" fillId="0" borderId="0">
      <alignment vertical="center"/>
    </xf>
    <xf numFmtId="24" fontId="213" fillId="0" borderId="0" applyFont="0" applyFill="0" applyBorder="0" applyAlignment="0" applyProtection="0"/>
    <xf numFmtId="9" fontId="5" fillId="0" borderId="0" applyFont="0" applyFill="0" applyBorder="0" applyAlignment="0" applyProtection="0">
      <alignment vertical="center"/>
    </xf>
    <xf numFmtId="24" fontId="213" fillId="0" borderId="0" applyFont="0" applyFill="0" applyBorder="0" applyAlignment="0" applyProtection="0"/>
    <xf numFmtId="9" fontId="152" fillId="0" borderId="0" applyFont="0" applyFill="0" applyBorder="0" applyAlignment="0" applyProtection="0">
      <alignment vertical="center"/>
    </xf>
    <xf numFmtId="24" fontId="213" fillId="0" borderId="0" applyFont="0" applyFill="0" applyBorder="0" applyAlignment="0" applyProtection="0"/>
    <xf numFmtId="24" fontId="213" fillId="0" borderId="0" applyFont="0" applyFill="0" applyBorder="0" applyAlignment="0" applyProtection="0"/>
    <xf numFmtId="220" fontId="147" fillId="38" borderId="0" applyNumberFormat="0" applyBorder="0" applyAlignment="0" applyProtection="0">
      <alignment vertical="center"/>
    </xf>
    <xf numFmtId="220" fontId="163" fillId="0" borderId="0">
      <protection locked="0"/>
    </xf>
    <xf numFmtId="220" fontId="5" fillId="0" borderId="0"/>
    <xf numFmtId="25" fontId="213" fillId="0" borderId="0" applyFont="0" applyFill="0" applyBorder="0" applyAlignment="0" applyProtection="0"/>
    <xf numFmtId="25" fontId="213" fillId="0" borderId="0" applyFont="0" applyFill="0" applyBorder="0" applyAlignment="0" applyProtection="0"/>
    <xf numFmtId="25" fontId="213" fillId="0" borderId="0" applyFont="0" applyFill="0" applyBorder="0" applyAlignment="0" applyProtection="0"/>
    <xf numFmtId="25" fontId="213" fillId="0" borderId="0" applyFont="0" applyFill="0" applyBorder="0" applyAlignment="0" applyProtection="0"/>
    <xf numFmtId="220" fontId="163" fillId="0" borderId="0">
      <protection locked="0"/>
    </xf>
    <xf numFmtId="243" fontId="152" fillId="0" borderId="0" applyFont="0" applyFill="0" applyBorder="0" applyAlignment="0" applyProtection="0"/>
    <xf numFmtId="220" fontId="5" fillId="0" borderId="0"/>
    <xf numFmtId="243" fontId="152" fillId="0" borderId="0" applyFont="0" applyFill="0" applyBorder="0" applyAlignment="0" applyProtection="0"/>
    <xf numFmtId="220" fontId="157" fillId="47" borderId="0" applyNumberFormat="0" applyBorder="0" applyAlignment="0" applyProtection="0">
      <alignment vertical="center"/>
    </xf>
    <xf numFmtId="243" fontId="152" fillId="0" borderId="0" applyFont="0" applyFill="0" applyBorder="0" applyAlignment="0" applyProtection="0"/>
    <xf numFmtId="243" fontId="152" fillId="0" borderId="0" applyFont="0" applyFill="0" applyBorder="0" applyAlignment="0" applyProtection="0"/>
    <xf numFmtId="243" fontId="152" fillId="0" borderId="0" applyFont="0" applyFill="0" applyBorder="0" applyAlignment="0" applyProtection="0"/>
    <xf numFmtId="220" fontId="5" fillId="0" borderId="0"/>
    <xf numFmtId="220" fontId="145" fillId="32" borderId="108" applyNumberFormat="0" applyProtection="0">
      <alignment horizontal="left" vertical="top" indent="1"/>
    </xf>
    <xf numFmtId="220" fontId="0" fillId="0" borderId="0"/>
    <xf numFmtId="222" fontId="152" fillId="0" borderId="0" applyFont="0" applyFill="0" applyBorder="0" applyAlignment="0" applyProtection="0"/>
    <xf numFmtId="220" fontId="5" fillId="0" borderId="0"/>
    <xf numFmtId="220" fontId="5" fillId="0" borderId="0"/>
    <xf numFmtId="220" fontId="157" fillId="47" borderId="0" applyNumberFormat="0" applyBorder="0" applyAlignment="0" applyProtection="0">
      <alignment vertical="center"/>
    </xf>
    <xf numFmtId="222" fontId="152" fillId="0" borderId="0" applyFont="0" applyFill="0" applyBorder="0" applyAlignment="0" applyProtection="0"/>
    <xf numFmtId="220" fontId="5" fillId="0" borderId="0"/>
    <xf numFmtId="220" fontId="5" fillId="0" borderId="0"/>
    <xf numFmtId="222" fontId="152" fillId="0" borderId="0" applyFont="0" applyFill="0" applyBorder="0" applyAlignment="0" applyProtection="0"/>
    <xf numFmtId="220" fontId="147" fillId="42" borderId="0" applyNumberFormat="0" applyBorder="0" applyAlignment="0" applyProtection="0">
      <alignment vertical="center"/>
    </xf>
    <xf numFmtId="220" fontId="5" fillId="0" borderId="0"/>
    <xf numFmtId="220" fontId="5" fillId="0" borderId="0"/>
    <xf numFmtId="222" fontId="152" fillId="0" borderId="0" applyFont="0" applyFill="0" applyBorder="0" applyAlignment="0" applyProtection="0"/>
    <xf numFmtId="220" fontId="0" fillId="0" borderId="0"/>
    <xf numFmtId="220" fontId="0" fillId="0" borderId="0"/>
    <xf numFmtId="220" fontId="147" fillId="38" borderId="0" applyNumberFormat="0" applyBorder="0" applyAlignment="0" applyProtection="0">
      <alignment vertical="center"/>
    </xf>
    <xf numFmtId="220" fontId="0" fillId="0" borderId="0">
      <alignment vertical="center"/>
    </xf>
    <xf numFmtId="245" fontId="213" fillId="0" borderId="0" applyFont="0" applyFill="0" applyBorder="0" applyAlignment="0" applyProtection="0"/>
    <xf numFmtId="245" fontId="213" fillId="0" borderId="0" applyFont="0" applyFill="0" applyBorder="0" applyAlignment="0" applyProtection="0"/>
    <xf numFmtId="220" fontId="5" fillId="0" borderId="0"/>
    <xf numFmtId="245" fontId="213" fillId="0" borderId="0" applyFont="0" applyFill="0" applyBorder="0" applyAlignment="0" applyProtection="0"/>
    <xf numFmtId="220" fontId="5" fillId="0" borderId="0"/>
    <xf numFmtId="220" fontId="5" fillId="0" borderId="0"/>
    <xf numFmtId="245" fontId="213" fillId="0" borderId="0" applyFont="0" applyFill="0" applyBorder="0" applyAlignment="0" applyProtection="0"/>
    <xf numFmtId="220" fontId="5" fillId="0" borderId="0"/>
    <xf numFmtId="245" fontId="213" fillId="0" borderId="0" applyFont="0" applyFill="0" applyBorder="0" applyAlignment="0" applyProtection="0"/>
    <xf numFmtId="220" fontId="5" fillId="0" borderId="0"/>
    <xf numFmtId="245" fontId="213" fillId="0" borderId="0" applyFont="0" applyFill="0" applyBorder="0" applyAlignment="0" applyProtection="0"/>
    <xf numFmtId="220" fontId="0" fillId="0" borderId="0"/>
    <xf numFmtId="220" fontId="145" fillId="0" borderId="0">
      <protection locked="0"/>
    </xf>
    <xf numFmtId="245" fontId="213" fillId="0" borderId="0" applyFont="0" applyFill="0" applyBorder="0" applyAlignment="0" applyProtection="0"/>
    <xf numFmtId="245" fontId="213" fillId="0" borderId="0" applyFont="0" applyFill="0" applyBorder="0" applyAlignment="0" applyProtection="0"/>
    <xf numFmtId="245" fontId="213" fillId="0" borderId="0" applyFont="0" applyFill="0" applyBorder="0" applyAlignment="0" applyProtection="0"/>
    <xf numFmtId="245" fontId="213" fillId="0" borderId="0" applyFont="0" applyFill="0" applyBorder="0" applyAlignment="0" applyProtection="0"/>
    <xf numFmtId="220" fontId="0" fillId="0" borderId="0"/>
    <xf numFmtId="220" fontId="157" fillId="47" borderId="0" applyNumberFormat="0" applyBorder="0" applyAlignment="0" applyProtection="0">
      <alignment vertical="center"/>
    </xf>
    <xf numFmtId="242" fontId="145" fillId="0" borderId="0" applyFont="0" applyFill="0" applyBorder="0" applyAlignment="0" applyProtection="0"/>
    <xf numFmtId="261" fontId="145" fillId="0" borderId="0" applyFont="0" applyFill="0" applyBorder="0" applyAlignment="0" applyProtection="0"/>
    <xf numFmtId="220" fontId="227" fillId="0" borderId="0" applyNumberFormat="0" applyFill="0" applyBorder="0" applyAlignment="0" applyProtection="0"/>
    <xf numFmtId="220" fontId="142" fillId="38" borderId="0" applyNumberFormat="0" applyBorder="0" applyAlignment="0" applyProtection="0">
      <alignment vertical="center"/>
    </xf>
    <xf numFmtId="246" fontId="75" fillId="0" borderId="0"/>
    <xf numFmtId="220" fontId="145" fillId="0" borderId="0"/>
    <xf numFmtId="220" fontId="5" fillId="0" borderId="0"/>
    <xf numFmtId="220" fontId="150" fillId="35" borderId="0" applyNumberFormat="0" applyBorder="0" applyAlignment="0" applyProtection="0">
      <alignment vertical="center"/>
    </xf>
    <xf numFmtId="15" fontId="221" fillId="0" borderId="0"/>
    <xf numFmtId="220" fontId="70" fillId="0" borderId="0" applyNumberFormat="0" applyFill="0" applyBorder="0" applyAlignment="0" applyProtection="0">
      <alignment vertical="top"/>
      <protection locked="0"/>
    </xf>
    <xf numFmtId="193" fontId="145" fillId="0" borderId="0">
      <protection locked="0"/>
    </xf>
    <xf numFmtId="15" fontId="75" fillId="0" borderId="0" applyFont="0" applyFill="0" applyBorder="0" applyAlignment="0" applyProtection="0"/>
    <xf numFmtId="220" fontId="146" fillId="0" borderId="0"/>
    <xf numFmtId="14" fontId="146" fillId="0" borderId="0" applyFill="0" applyBorder="0" applyAlignment="0"/>
    <xf numFmtId="193" fontId="145" fillId="0" borderId="0">
      <protection locked="0"/>
    </xf>
    <xf numFmtId="220" fontId="5" fillId="0" borderId="0"/>
    <xf numFmtId="220" fontId="5" fillId="0" borderId="0"/>
    <xf numFmtId="14" fontId="311" fillId="0" borderId="0" applyFont="0" applyFill="0" applyBorder="0" applyAlignment="0"/>
    <xf numFmtId="220" fontId="5" fillId="0" borderId="0"/>
    <xf numFmtId="222" fontId="75" fillId="0" borderId="0" applyFill="0" applyBorder="0" applyProtection="0"/>
    <xf numFmtId="262" fontId="75" fillId="0" borderId="0" applyFont="0" applyFill="0" applyBorder="0" applyAlignment="0" applyProtection="0"/>
    <xf numFmtId="220" fontId="5" fillId="0" borderId="0"/>
    <xf numFmtId="220" fontId="5" fillId="0" borderId="0"/>
    <xf numFmtId="220" fontId="5" fillId="0" borderId="0"/>
    <xf numFmtId="263" fontId="75" fillId="0" borderId="0" applyFont="0" applyFill="0" applyBorder="0" applyAlignment="0" applyProtection="0"/>
    <xf numFmtId="220" fontId="163" fillId="0" borderId="0"/>
    <xf numFmtId="220" fontId="75" fillId="0" borderId="0">
      <protection locked="0"/>
    </xf>
    <xf numFmtId="43" fontId="139" fillId="0" borderId="0" applyFont="0" applyFill="0" applyBorder="0" applyAlignment="0" applyProtection="0">
      <alignment vertical="center"/>
    </xf>
    <xf numFmtId="220" fontId="291" fillId="0" borderId="0">
      <protection locked="0"/>
    </xf>
    <xf numFmtId="264" fontId="75" fillId="0" borderId="0"/>
    <xf numFmtId="220" fontId="158" fillId="0" borderId="0" applyNumberFormat="0" applyBorder="0" applyAlignment="0" applyProtection="0">
      <alignment vertical="center"/>
    </xf>
    <xf numFmtId="220" fontId="152" fillId="0" borderId="0">
      <alignment vertical="center"/>
    </xf>
    <xf numFmtId="220" fontId="0" fillId="0" borderId="0"/>
    <xf numFmtId="220" fontId="0" fillId="0" borderId="0"/>
    <xf numFmtId="220" fontId="0" fillId="0" borderId="0">
      <alignment vertical="center"/>
    </xf>
    <xf numFmtId="220" fontId="312" fillId="0" borderId="0" applyNumberFormat="0" applyFill="0" applyBorder="0" applyAlignment="0" applyProtection="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63" fillId="0" borderId="0">
      <protection locked="0"/>
    </xf>
    <xf numFmtId="220" fontId="5" fillId="0" borderId="0"/>
    <xf numFmtId="220" fontId="75" fillId="0" borderId="0">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145" fillId="0" borderId="0">
      <protection locked="0"/>
    </xf>
    <xf numFmtId="220" fontId="5" fillId="0" borderId="0"/>
    <xf numFmtId="9" fontId="0" fillId="0" borderId="0" applyFont="0" applyFill="0" applyBorder="0" applyAlignment="0" applyProtection="0"/>
    <xf numFmtId="220" fontId="145" fillId="0" borderId="0"/>
    <xf numFmtId="220" fontId="145" fillId="0" borderId="0">
      <protection locked="0"/>
    </xf>
    <xf numFmtId="220" fontId="145" fillId="0" borderId="0">
      <protection locked="0"/>
    </xf>
    <xf numFmtId="220" fontId="152" fillId="0" borderId="0"/>
    <xf numFmtId="220" fontId="5" fillId="0" borderId="0"/>
    <xf numFmtId="220" fontId="5" fillId="0" borderId="0"/>
    <xf numFmtId="220" fontId="145" fillId="0" borderId="0">
      <protection locked="0"/>
    </xf>
    <xf numFmtId="220" fontId="0" fillId="0" borderId="0"/>
    <xf numFmtId="220" fontId="145" fillId="0" borderId="0">
      <protection locked="0"/>
    </xf>
    <xf numFmtId="220" fontId="198" fillId="0" borderId="0">
      <protection locked="0"/>
    </xf>
    <xf numFmtId="220" fontId="5" fillId="0" borderId="0"/>
    <xf numFmtId="220" fontId="145" fillId="0" borderId="0">
      <protection locked="0"/>
    </xf>
    <xf numFmtId="220" fontId="150" fillId="35" borderId="0" applyNumberFormat="0" applyBorder="0" applyAlignment="0" applyProtection="0">
      <alignment vertical="center"/>
    </xf>
    <xf numFmtId="220" fontId="163" fillId="0" borderId="0"/>
    <xf numFmtId="220" fontId="145" fillId="0" borderId="0">
      <protection locked="0"/>
    </xf>
    <xf numFmtId="220" fontId="0" fillId="0" borderId="0"/>
    <xf numFmtId="220" fontId="198" fillId="0" borderId="0">
      <protection locked="0"/>
    </xf>
    <xf numFmtId="220" fontId="163" fillId="0" borderId="0"/>
    <xf numFmtId="220" fontId="5" fillId="0" borderId="0"/>
    <xf numFmtId="220" fontId="150" fillId="35" borderId="0" applyNumberFormat="0" applyBorder="0" applyAlignment="0" applyProtection="0">
      <alignment vertical="center"/>
    </xf>
    <xf numFmtId="220" fontId="145" fillId="0" borderId="0">
      <protection locked="0"/>
    </xf>
    <xf numFmtId="220" fontId="139" fillId="0" borderId="0">
      <alignment vertical="center"/>
    </xf>
    <xf numFmtId="220" fontId="257" fillId="0" borderId="0"/>
    <xf numFmtId="220" fontId="139" fillId="0" borderId="0">
      <alignment vertical="center"/>
    </xf>
    <xf numFmtId="220" fontId="5" fillId="0" borderId="0"/>
    <xf numFmtId="220" fontId="145" fillId="0" borderId="0">
      <protection locked="0"/>
    </xf>
    <xf numFmtId="220" fontId="147" fillId="38" borderId="0" applyNumberFormat="0" applyBorder="0" applyAlignment="0" applyProtection="0">
      <alignment vertical="center"/>
    </xf>
    <xf numFmtId="220" fontId="75" fillId="0" borderId="0">
      <protection locked="0"/>
    </xf>
    <xf numFmtId="220" fontId="145" fillId="0" borderId="0">
      <protection locked="0"/>
    </xf>
    <xf numFmtId="220" fontId="221" fillId="0" borderId="0"/>
    <xf numFmtId="220" fontId="145" fillId="0" borderId="0">
      <protection locked="0"/>
    </xf>
    <xf numFmtId="220" fontId="147" fillId="42" borderId="0" applyNumberFormat="0" applyBorder="0" applyAlignment="0" applyProtection="0">
      <alignment vertical="center"/>
    </xf>
    <xf numFmtId="220" fontId="145" fillId="0" borderId="0">
      <protection locked="0"/>
    </xf>
    <xf numFmtId="220" fontId="5" fillId="0" borderId="0"/>
    <xf numFmtId="220" fontId="5" fillId="0" borderId="0"/>
    <xf numFmtId="220" fontId="0" fillId="0" borderId="0">
      <alignment vertical="center"/>
    </xf>
    <xf numFmtId="220" fontId="145" fillId="0" borderId="0">
      <protection locked="0"/>
    </xf>
    <xf numFmtId="220" fontId="5" fillId="0" borderId="0"/>
    <xf numFmtId="220" fontId="0" fillId="0" borderId="0"/>
    <xf numFmtId="220" fontId="145" fillId="0" borderId="0">
      <protection locked="0"/>
    </xf>
    <xf numFmtId="220" fontId="0" fillId="0" borderId="0"/>
    <xf numFmtId="220" fontId="5" fillId="0" borderId="0"/>
    <xf numFmtId="220" fontId="157" fillId="47" borderId="0" applyNumberFormat="0" applyBorder="0" applyAlignment="0" applyProtection="0">
      <alignment vertical="center"/>
    </xf>
    <xf numFmtId="220" fontId="145" fillId="0" borderId="0">
      <protection locked="0"/>
    </xf>
    <xf numFmtId="220" fontId="152" fillId="0" borderId="0">
      <protection locked="0"/>
    </xf>
    <xf numFmtId="220" fontId="145" fillId="0" borderId="0">
      <protection locked="0"/>
    </xf>
    <xf numFmtId="220" fontId="5" fillId="0" borderId="0"/>
    <xf numFmtId="220" fontId="5" fillId="0" borderId="0"/>
    <xf numFmtId="220" fontId="235" fillId="105" borderId="0" applyNumberFormat="0" applyBorder="0" applyAlignment="0" applyProtection="0"/>
    <xf numFmtId="220" fontId="147" fillId="38" borderId="0" applyNumberFormat="0" applyBorder="0" applyAlignment="0" applyProtection="0">
      <alignment vertical="center"/>
    </xf>
    <xf numFmtId="220" fontId="5" fillId="0" borderId="0"/>
    <xf numFmtId="220" fontId="235" fillId="106" borderId="0" applyNumberFormat="0" applyBorder="0" applyAlignment="0" applyProtection="0"/>
    <xf numFmtId="220" fontId="5" fillId="0" borderId="0"/>
    <xf numFmtId="220" fontId="5" fillId="0" borderId="0"/>
    <xf numFmtId="220" fontId="235" fillId="107" borderId="0" applyNumberFormat="0" applyBorder="0" applyAlignment="0" applyProtection="0"/>
    <xf numFmtId="220" fontId="5" fillId="0" borderId="0"/>
    <xf numFmtId="220" fontId="147" fillId="96" borderId="0" applyNumberFormat="0" applyBorder="0" applyAlignment="0" applyProtection="0">
      <alignment vertical="center"/>
    </xf>
    <xf numFmtId="220" fontId="234" fillId="0" borderId="0">
      <protection locked="0"/>
    </xf>
    <xf numFmtId="220" fontId="5" fillId="0" borderId="0"/>
    <xf numFmtId="220" fontId="147" fillId="96" borderId="0" applyNumberFormat="0" applyBorder="0" applyAlignment="0" applyProtection="0">
      <alignment vertical="center"/>
    </xf>
    <xf numFmtId="220" fontId="234" fillId="0" borderId="0">
      <protection locked="0"/>
    </xf>
    <xf numFmtId="220" fontId="5" fillId="0" borderId="0"/>
    <xf numFmtId="220" fontId="5" fillId="0" borderId="0"/>
    <xf numFmtId="220" fontId="161" fillId="53" borderId="0" applyNumberFormat="0" applyBorder="0" applyAlignment="0" applyProtection="0">
      <alignment vertical="center"/>
    </xf>
    <xf numFmtId="202" fontId="151" fillId="0" borderId="0" applyFill="0" applyBorder="0" applyAlignment="0"/>
    <xf numFmtId="220" fontId="5" fillId="0" borderId="0"/>
    <xf numFmtId="220" fontId="5" fillId="0" borderId="0"/>
    <xf numFmtId="220" fontId="5" fillId="0" borderId="0"/>
    <xf numFmtId="220" fontId="5" fillId="0" borderId="0"/>
    <xf numFmtId="220" fontId="5" fillId="0" borderId="0"/>
    <xf numFmtId="207" fontId="75" fillId="0" borderId="0" applyFill="0" applyBorder="0" applyAlignment="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13" fontId="151" fillId="0" borderId="0" applyFill="0" applyBorder="0" applyAlignment="0"/>
    <xf numFmtId="215" fontId="75" fillId="0" borderId="0" applyFill="0" applyBorder="0" applyAlignment="0"/>
    <xf numFmtId="220" fontId="5" fillId="0" borderId="0"/>
    <xf numFmtId="220" fontId="5" fillId="0" borderId="0"/>
    <xf numFmtId="202" fontId="151" fillId="0" borderId="0" applyFill="0" applyBorder="0" applyAlignment="0"/>
    <xf numFmtId="207" fontId="75" fillId="0" borderId="0" applyFill="0" applyBorder="0" applyAlignment="0"/>
    <xf numFmtId="220" fontId="0" fillId="0" borderId="0"/>
    <xf numFmtId="233" fontId="151" fillId="0" borderId="0" applyFill="0" applyBorder="0" applyAlignment="0"/>
    <xf numFmtId="188" fontId="75" fillId="0" borderId="0" applyFill="0" applyBorder="0" applyAlignment="0"/>
    <xf numFmtId="220" fontId="5" fillId="0" borderId="0"/>
    <xf numFmtId="213" fontId="151" fillId="0" borderId="0" applyFill="0" applyBorder="0" applyAlignment="0"/>
    <xf numFmtId="220" fontId="5" fillId="0" borderId="0"/>
    <xf numFmtId="215" fontId="75" fillId="0" borderId="0" applyFill="0" applyBorder="0" applyAlignment="0"/>
    <xf numFmtId="220" fontId="0" fillId="0" borderId="0"/>
    <xf numFmtId="220" fontId="238" fillId="0" borderId="0" applyNumberFormat="0" applyAlignment="0">
      <alignment horizontal="left"/>
    </xf>
    <xf numFmtId="220" fontId="147" fillId="38" borderId="0" applyNumberFormat="0" applyBorder="0" applyAlignment="0" applyProtection="0">
      <alignment vertical="center"/>
    </xf>
    <xf numFmtId="220" fontId="238" fillId="0" borderId="0" applyNumberFormat="0" applyAlignment="0">
      <alignment horizontal="left"/>
    </xf>
    <xf numFmtId="220" fontId="5" fillId="0" borderId="0"/>
    <xf numFmtId="220" fontId="238" fillId="0" borderId="0" applyNumberFormat="0" applyAlignment="0">
      <alignment horizontal="left"/>
    </xf>
    <xf numFmtId="220" fontId="5" fillId="0" borderId="0"/>
    <xf numFmtId="220" fontId="142" fillId="38" borderId="0" applyNumberFormat="0" applyBorder="0" applyAlignment="0" applyProtection="0">
      <alignment vertical="center"/>
    </xf>
    <xf numFmtId="220" fontId="238" fillId="0" borderId="0" applyNumberFormat="0" applyAlignment="0">
      <alignment horizontal="left"/>
    </xf>
    <xf numFmtId="220" fontId="78" fillId="0" borderId="0">
      <alignment horizontal="left"/>
    </xf>
    <xf numFmtId="9" fontId="152" fillId="0" borderId="0" applyFont="0" applyFill="0" applyBorder="0" applyAlignment="0" applyProtection="0">
      <alignment vertical="center"/>
    </xf>
    <xf numFmtId="220" fontId="78" fillId="0" borderId="0">
      <alignment horizontal="left"/>
    </xf>
    <xf numFmtId="9" fontId="158" fillId="0" borderId="0" applyFont="0" applyFill="0" applyBorder="0" applyAlignment="0" applyProtection="0">
      <alignment vertical="center"/>
    </xf>
    <xf numFmtId="220" fontId="78" fillId="0" borderId="0">
      <alignment horizontal="left"/>
    </xf>
    <xf numFmtId="220" fontId="78" fillId="0" borderId="0">
      <alignment horizontal="left"/>
    </xf>
    <xf numFmtId="220" fontId="228" fillId="53" borderId="1"/>
    <xf numFmtId="220" fontId="5" fillId="0" borderId="0"/>
    <xf numFmtId="220" fontId="228" fillId="53" borderId="1"/>
    <xf numFmtId="220" fontId="228" fillId="53" borderId="1"/>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228" fillId="41" borderId="1" applyNumberFormat="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0" fillId="0" borderId="0"/>
    <xf numFmtId="220" fontId="5" fillId="0" borderId="0" applyFont="0" applyFill="0" applyBorder="0" applyAlignment="0" applyProtection="0"/>
    <xf numFmtId="220" fontId="145" fillId="0" borderId="0"/>
    <xf numFmtId="10" fontId="14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applyFont="0" applyFill="0" applyBorder="0" applyAlignment="0" applyProtection="0"/>
    <xf numFmtId="220" fontId="5" fillId="0" borderId="0"/>
    <xf numFmtId="220" fontId="139" fillId="0" borderId="0">
      <alignment vertical="center"/>
    </xf>
    <xf numFmtId="220" fontId="152" fillId="0" borderId="0" applyFont="0" applyFill="0" applyBorder="0" applyAlignment="0" applyProtection="0"/>
    <xf numFmtId="220" fontId="5" fillId="0" borderId="0" applyFont="0" applyFill="0" applyBorder="0" applyAlignment="0" applyProtection="0"/>
    <xf numFmtId="220" fontId="0" fillId="0" borderId="0">
      <alignment vertical="center"/>
    </xf>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0" fillId="0" borderId="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139" fillId="0" borderId="0">
      <alignment vertical="center"/>
    </xf>
    <xf numFmtId="220" fontId="5" fillId="0" borderId="0" applyFont="0" applyFill="0" applyBorder="0" applyAlignment="0" applyProtection="0"/>
    <xf numFmtId="220" fontId="157" fillId="47" borderId="0" applyNumberFormat="0" applyBorder="0" applyAlignment="0" applyProtection="0">
      <alignment vertical="center"/>
    </xf>
    <xf numFmtId="220" fontId="5" fillId="0" borderId="0" applyFont="0" applyFill="0" applyBorder="0" applyAlignment="0" applyProtection="0"/>
    <xf numFmtId="220" fontId="157" fillId="47" borderId="0" applyNumberFormat="0" applyBorder="0" applyAlignment="0" applyProtection="0">
      <alignment vertical="center"/>
    </xf>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150" fillId="35" borderId="0" applyNumberFormat="0" applyBorder="0" applyAlignment="0" applyProtection="0">
      <alignment vertical="center"/>
    </xf>
    <xf numFmtId="220" fontId="5" fillId="0" borderId="0" applyFont="0" applyFill="0" applyBorder="0" applyAlignment="0" applyProtection="0"/>
    <xf numFmtId="220" fontId="147" fillId="42" borderId="0" applyNumberFormat="0" applyBorder="0" applyAlignment="0" applyProtection="0">
      <alignment vertical="center"/>
    </xf>
    <xf numFmtId="220" fontId="5" fillId="0" borderId="0" applyFont="0" applyFill="0" applyBorder="0" applyAlignment="0" applyProtection="0"/>
    <xf numFmtId="220" fontId="5" fillId="0" borderId="0" applyFont="0" applyFill="0" applyBorder="0" applyAlignment="0" applyProtection="0"/>
    <xf numFmtId="220" fontId="147" fillId="38" borderId="0" applyNumberFormat="0" applyBorder="0" applyAlignment="0" applyProtection="0">
      <alignment vertical="center"/>
    </xf>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0" fillId="0" borderId="0"/>
    <xf numFmtId="220" fontId="5" fillId="0" borderId="0"/>
    <xf numFmtId="220" fontId="5" fillId="0" borderId="0" applyFont="0" applyFill="0" applyBorder="0" applyAlignment="0" applyProtection="0"/>
    <xf numFmtId="220" fontId="0" fillId="0" borderId="0"/>
    <xf numFmtId="220" fontId="139" fillId="0" borderId="0">
      <alignment vertical="center"/>
    </xf>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0" fillId="0" borderId="0"/>
    <xf numFmtId="220" fontId="5" fillId="0" borderId="0" applyFont="0" applyFill="0" applyBorder="0" applyAlignment="0" applyProtection="0"/>
    <xf numFmtId="220" fontId="0" fillId="0" borderId="0"/>
    <xf numFmtId="220" fontId="147" fillId="38" borderId="0" applyNumberFormat="0" applyBorder="0" applyAlignment="0" applyProtection="0">
      <alignment vertical="center"/>
    </xf>
    <xf numFmtId="220" fontId="5" fillId="0" borderId="0" applyFont="0" applyFill="0" applyBorder="0" applyAlignment="0" applyProtection="0"/>
    <xf numFmtId="220" fontId="70" fillId="0" borderId="0" applyNumberFormat="0" applyFill="0" applyBorder="0" applyAlignment="0" applyProtection="0">
      <alignment vertical="top"/>
      <protection locked="0"/>
    </xf>
    <xf numFmtId="220" fontId="5" fillId="0" borderId="0" applyFont="0" applyFill="0" applyBorder="0" applyAlignment="0" applyProtection="0"/>
    <xf numFmtId="220" fontId="0" fillId="0" borderId="0"/>
    <xf numFmtId="220" fontId="5" fillId="0" borderId="0" applyFont="0" applyFill="0" applyBorder="0" applyAlignment="0" applyProtection="0"/>
    <xf numFmtId="220" fontId="0" fillId="0" borderId="0"/>
    <xf numFmtId="220" fontId="5" fillId="0" borderId="0" applyFont="0" applyFill="0" applyBorder="0" applyAlignment="0" applyProtection="0"/>
    <xf numFmtId="220" fontId="147" fillId="42" borderId="0" applyNumberFormat="0" applyBorder="0" applyAlignment="0" applyProtection="0">
      <alignment vertical="center"/>
    </xf>
    <xf numFmtId="220" fontId="5" fillId="0" borderId="0" applyFont="0" applyFill="0" applyBorder="0" applyAlignment="0" applyProtection="0"/>
    <xf numFmtId="9" fontId="0"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applyFont="0" applyFill="0" applyBorder="0" applyAlignment="0" applyProtection="0"/>
    <xf numFmtId="220" fontId="147" fillId="42" borderId="0" applyNumberFormat="0" applyBorder="0" applyAlignment="0" applyProtection="0">
      <alignment vertical="center"/>
    </xf>
    <xf numFmtId="220" fontId="5" fillId="0" borderId="0"/>
    <xf numFmtId="220" fontId="5" fillId="0" borderId="0" applyFont="0" applyFill="0" applyBorder="0" applyAlignment="0" applyProtection="0"/>
    <xf numFmtId="9" fontId="0" fillId="0" borderId="0" applyFont="0" applyFill="0" applyBorder="0" applyAlignment="0" applyProtection="0"/>
    <xf numFmtId="220" fontId="0" fillId="0" borderId="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applyFont="0" applyFill="0" applyBorder="0" applyAlignment="0" applyProtection="0"/>
    <xf numFmtId="220" fontId="5" fillId="0" borderId="0" applyFont="0" applyFill="0" applyBorder="0" applyAlignment="0" applyProtection="0"/>
    <xf numFmtId="220" fontId="5" fillId="0" borderId="0"/>
    <xf numFmtId="220" fontId="5" fillId="0" borderId="0"/>
    <xf numFmtId="220" fontId="5" fillId="0" borderId="0"/>
    <xf numFmtId="220" fontId="146" fillId="32" borderId="0" applyNumberFormat="0" applyProtection="0">
      <alignment horizontal="left" vertical="center" indent="1"/>
    </xf>
    <xf numFmtId="220" fontId="5" fillId="0" borderId="0"/>
    <xf numFmtId="220" fontId="5" fillId="0" borderId="0"/>
    <xf numFmtId="220" fontId="167" fillId="0" borderId="0" applyNumberFormat="0" applyFill="0" applyBorder="0" applyAlignment="0" applyProtection="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67" fillId="0" borderId="0" applyNumberFormat="0" applyFill="0" applyBorder="0" applyAlignment="0" applyProtection="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9" fontId="0" fillId="0" borderId="0" applyFont="0" applyFill="0" applyBorder="0" applyAlignment="0" applyProtection="0"/>
    <xf numFmtId="220" fontId="5" fillId="0" borderId="0"/>
    <xf numFmtId="193" fontId="145" fillId="0" borderId="0">
      <protection locked="0"/>
    </xf>
    <xf numFmtId="220" fontId="5" fillId="0" borderId="0"/>
    <xf numFmtId="220" fontId="5" fillId="0" borderId="0"/>
    <xf numFmtId="220" fontId="5" fillId="0" borderId="0"/>
    <xf numFmtId="193" fontId="145" fillId="0" borderId="0">
      <protection locked="0"/>
    </xf>
    <xf numFmtId="220" fontId="5" fillId="0" borderId="0"/>
    <xf numFmtId="220" fontId="5" fillId="0" borderId="0"/>
    <xf numFmtId="220" fontId="5" fillId="0" borderId="0"/>
    <xf numFmtId="220" fontId="5" fillId="0" borderId="0"/>
    <xf numFmtId="220" fontId="5" fillId="0" borderId="0"/>
    <xf numFmtId="193" fontId="145" fillId="0" borderId="0">
      <protection locked="0"/>
    </xf>
    <xf numFmtId="220" fontId="5" fillId="0" borderId="0"/>
    <xf numFmtId="220" fontId="5" fillId="0" borderId="0"/>
    <xf numFmtId="220" fontId="5" fillId="0" borderId="0"/>
    <xf numFmtId="193" fontId="145" fillId="0" borderId="0">
      <protection locked="0"/>
    </xf>
    <xf numFmtId="220" fontId="0" fillId="0" borderId="0">
      <alignment vertical="center"/>
    </xf>
    <xf numFmtId="220" fontId="5" fillId="0" borderId="0"/>
    <xf numFmtId="193" fontId="145" fillId="0" borderId="0">
      <protection locked="0"/>
    </xf>
    <xf numFmtId="220" fontId="5" fillId="0" borderId="0"/>
    <xf numFmtId="220" fontId="5" fillId="0" borderId="0"/>
    <xf numFmtId="193" fontId="145" fillId="0" borderId="0">
      <protection locked="0"/>
    </xf>
    <xf numFmtId="220" fontId="5" fillId="0" borderId="0"/>
    <xf numFmtId="220" fontId="139" fillId="0" borderId="0">
      <alignment vertical="center"/>
    </xf>
    <xf numFmtId="220" fontId="5" fillId="0" borderId="0"/>
    <xf numFmtId="193" fontId="145" fillId="0" borderId="0">
      <protection locked="0"/>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88" fillId="31" borderId="108" applyNumberForma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193" fontId="145" fillId="0" borderId="0">
      <protection locked="0"/>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26" fillId="42" borderId="0" applyNumberFormat="0" applyBorder="0" applyAlignment="0" applyProtection="0"/>
    <xf numFmtId="220" fontId="5" fillId="0" borderId="0"/>
    <xf numFmtId="220" fontId="5" fillId="0" borderId="0"/>
    <xf numFmtId="220" fontId="147" fillId="38" borderId="0" applyNumberFormat="0" applyBorder="0" applyAlignment="0" applyProtection="0">
      <alignment vertical="center"/>
    </xf>
    <xf numFmtId="220" fontId="226" fillId="42" borderId="0" applyNumberFormat="0" applyBorder="0" applyAlignment="0" applyProtection="0"/>
    <xf numFmtId="220" fontId="5" fillId="0" borderId="0"/>
    <xf numFmtId="38" fontId="228" fillId="100" borderId="0" applyNumberFormat="0" applyBorder="0" applyAlignment="0" applyProtection="0"/>
    <xf numFmtId="220" fontId="157" fillId="47" borderId="0" applyNumberFormat="0" applyBorder="0" applyAlignment="0" applyProtection="0">
      <alignment vertical="center"/>
    </xf>
    <xf numFmtId="220" fontId="228" fillId="100" borderId="0" applyNumberFormat="0" applyBorder="0" applyAlignment="0" applyProtection="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38" fontId="228" fillId="100" borderId="0" applyNumberFormat="0" applyBorder="0" applyAlignment="0" applyProtection="0"/>
    <xf numFmtId="220" fontId="157" fillId="47" borderId="0" applyNumberFormat="0" applyBorder="0" applyAlignment="0" applyProtection="0">
      <alignment vertical="center"/>
    </xf>
    <xf numFmtId="220" fontId="228" fillId="100" borderId="0" applyNumberFormat="0" applyBorder="0" applyAlignment="0" applyProtection="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228" fillId="100" borderId="0" applyNumberFormat="0" applyBorder="0" applyAlignment="0" applyProtection="0"/>
    <xf numFmtId="220" fontId="157" fillId="47" borderId="0" applyNumberFormat="0" applyBorder="0" applyAlignment="0" applyProtection="0">
      <alignment vertical="center"/>
    </xf>
    <xf numFmtId="220" fontId="228" fillId="100" borderId="0" applyNumberFormat="0" applyBorder="0" applyAlignment="0" applyProtection="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228" fillId="100" borderId="0" applyNumberFormat="0" applyBorder="0" applyAlignment="0" applyProtection="0"/>
    <xf numFmtId="220" fontId="230" fillId="0" borderId="0">
      <alignment horizontal="left"/>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230" fillId="0" borderId="0">
      <alignment horizontal="left"/>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230" fillId="0" borderId="0">
      <alignment horizontal="left"/>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230" fillId="0" borderId="0">
      <alignment horizontal="left"/>
    </xf>
    <xf numFmtId="220" fontId="229" fillId="0" borderId="127" applyNumberFormat="0" applyAlignment="0" applyProtection="0">
      <alignment horizontal="left" vertical="center"/>
    </xf>
    <xf numFmtId="220" fontId="229" fillId="0" borderId="127" applyNumberFormat="0" applyAlignment="0" applyProtection="0">
      <alignment horizontal="left" vertical="center"/>
    </xf>
    <xf numFmtId="220" fontId="229" fillId="0" borderId="127" applyNumberFormat="0" applyAlignment="0" applyProtection="0">
      <alignment horizontal="left" vertical="center"/>
    </xf>
    <xf numFmtId="220" fontId="147" fillId="42" borderId="0" applyNumberFormat="0" applyBorder="0" applyAlignment="0" applyProtection="0">
      <alignment vertical="center"/>
    </xf>
    <xf numFmtId="220" fontId="229" fillId="0" borderId="127" applyNumberFormat="0" applyAlignment="0" applyProtection="0">
      <alignment horizontal="left" vertical="center"/>
    </xf>
    <xf numFmtId="220" fontId="229" fillId="0" borderId="15">
      <alignment horizontal="left" vertical="center"/>
    </xf>
    <xf numFmtId="220" fontId="150" fillId="35" borderId="0" applyNumberFormat="0" applyBorder="0" applyAlignment="0" applyProtection="0">
      <alignment vertical="center"/>
    </xf>
    <xf numFmtId="220" fontId="229" fillId="0" borderId="15">
      <alignment horizontal="left" vertical="center"/>
    </xf>
    <xf numFmtId="220" fontId="5" fillId="0" borderId="0"/>
    <xf numFmtId="220" fontId="5" fillId="0" borderId="0"/>
    <xf numFmtId="220" fontId="5" fillId="0" borderId="0"/>
    <xf numFmtId="220" fontId="229" fillId="0" borderId="15">
      <alignment horizontal="left" vertical="center"/>
    </xf>
    <xf numFmtId="220" fontId="229" fillId="0" borderId="15">
      <alignment horizontal="left" vertical="center"/>
    </xf>
    <xf numFmtId="220" fontId="5" fillId="0" borderId="0"/>
    <xf numFmtId="220" fontId="5" fillId="0" borderId="0"/>
    <xf numFmtId="220" fontId="5" fillId="0" borderId="0"/>
    <xf numFmtId="220" fontId="229" fillId="0" borderId="15">
      <alignment horizontal="left" vertical="center"/>
    </xf>
    <xf numFmtId="220" fontId="5" fillId="0" borderId="0"/>
    <xf numFmtId="220" fontId="229" fillId="0" borderId="15">
      <alignment horizontal="left" vertical="center"/>
    </xf>
    <xf numFmtId="220" fontId="5" fillId="0" borderId="0"/>
    <xf numFmtId="220" fontId="229" fillId="0" borderId="15">
      <alignment horizontal="left" vertical="center"/>
    </xf>
    <xf numFmtId="220" fontId="229" fillId="0" borderId="15">
      <alignment horizontal="left" vertical="center"/>
    </xf>
    <xf numFmtId="220" fontId="229" fillId="0" borderId="15">
      <alignment horizontal="left" vertical="center"/>
    </xf>
    <xf numFmtId="220" fontId="5" fillId="0" borderId="0"/>
    <xf numFmtId="220" fontId="229" fillId="0" borderId="15">
      <alignment horizontal="left" vertical="center"/>
    </xf>
    <xf numFmtId="220" fontId="229" fillId="0" borderId="15">
      <alignment horizontal="left" vertical="center"/>
    </xf>
    <xf numFmtId="220" fontId="229" fillId="0" borderId="15">
      <alignment horizontal="left" vertical="center"/>
    </xf>
    <xf numFmtId="220" fontId="150" fillId="35" borderId="0" applyNumberFormat="0" applyBorder="0" applyAlignment="0" applyProtection="0">
      <alignment vertical="center"/>
    </xf>
    <xf numFmtId="220" fontId="229" fillId="0" borderId="15">
      <alignment horizontal="left" vertical="center"/>
    </xf>
    <xf numFmtId="220" fontId="229" fillId="0" borderId="15">
      <alignment horizontal="left" vertical="center"/>
    </xf>
    <xf numFmtId="220" fontId="5" fillId="0" borderId="0"/>
    <xf numFmtId="220" fontId="229" fillId="0" borderId="15">
      <alignment horizontal="left" vertical="center"/>
    </xf>
    <xf numFmtId="220" fontId="229" fillId="0" borderId="15">
      <alignment horizontal="left" vertical="center"/>
    </xf>
    <xf numFmtId="220" fontId="5" fillId="0" borderId="0"/>
    <xf numFmtId="220" fontId="5" fillId="64" borderId="130" applyNumberFormat="0" applyFont="0" applyAlignment="0" applyProtection="0">
      <alignment vertical="center"/>
    </xf>
    <xf numFmtId="220" fontId="232" fillId="0" borderId="109" applyNumberFormat="0" applyFill="0" applyAlignment="0" applyProtection="0"/>
    <xf numFmtId="220" fontId="5" fillId="0" borderId="0"/>
    <xf numFmtId="220" fontId="5" fillId="0" borderId="0"/>
    <xf numFmtId="220" fontId="232" fillId="0" borderId="109" applyNumberFormat="0" applyFill="0" applyAlignment="0" applyProtection="0"/>
    <xf numFmtId="220" fontId="5" fillId="64" borderId="130" applyNumberFormat="0" applyFont="0" applyAlignment="0" applyProtection="0">
      <alignment vertical="center"/>
    </xf>
    <xf numFmtId="220" fontId="231" fillId="0" borderId="128" applyNumberFormat="0" applyFill="0" applyAlignment="0" applyProtection="0"/>
    <xf numFmtId="220" fontId="5" fillId="0" borderId="0"/>
    <xf numFmtId="220" fontId="5" fillId="0" borderId="0"/>
    <xf numFmtId="220" fontId="231" fillId="0" borderId="128" applyNumberFormat="0" applyFill="0" applyAlignment="0" applyProtection="0"/>
    <xf numFmtId="220" fontId="233" fillId="0" borderId="129" applyNumberFormat="0" applyFill="0" applyAlignment="0" applyProtection="0"/>
    <xf numFmtId="220" fontId="5" fillId="0" borderId="0"/>
    <xf numFmtId="220" fontId="147" fillId="42" borderId="0" applyNumberFormat="0" applyBorder="0" applyAlignment="0" applyProtection="0">
      <alignment vertical="center"/>
    </xf>
    <xf numFmtId="220" fontId="5" fillId="0" borderId="0"/>
    <xf numFmtId="220" fontId="233" fillId="0" borderId="129" applyNumberFormat="0" applyFill="0" applyAlignment="0" applyProtection="0"/>
    <xf numFmtId="220" fontId="0" fillId="0" borderId="0"/>
    <xf numFmtId="220" fontId="0" fillId="0" borderId="0"/>
    <xf numFmtId="220" fontId="233" fillId="0" borderId="0" applyNumberFormat="0" applyFill="0" applyBorder="0" applyAlignment="0" applyProtection="0"/>
    <xf numFmtId="220" fontId="5" fillId="0" borderId="0"/>
    <xf numFmtId="220" fontId="5" fillId="0" borderId="0"/>
    <xf numFmtId="220" fontId="5" fillId="0" borderId="0"/>
    <xf numFmtId="220" fontId="233" fillId="0" borderId="0" applyNumberFormat="0" applyFill="0" applyBorder="0" applyAlignment="0" applyProtection="0"/>
    <xf numFmtId="220" fontId="5" fillId="0" borderId="0"/>
    <xf numFmtId="220" fontId="5" fillId="0" borderId="0"/>
    <xf numFmtId="220" fontId="157" fillId="47" borderId="0" applyNumberFormat="0" applyBorder="0" applyAlignment="0" applyProtection="0">
      <alignment vertical="center"/>
    </xf>
    <xf numFmtId="193" fontId="145" fillId="0" borderId="0">
      <protection locked="0"/>
    </xf>
    <xf numFmtId="220" fontId="5" fillId="0" borderId="0"/>
    <xf numFmtId="193" fontId="145" fillId="0" borderId="0">
      <protection locked="0"/>
    </xf>
    <xf numFmtId="220" fontId="5" fillId="0" borderId="0"/>
    <xf numFmtId="265" fontId="313" fillId="0" borderId="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272" fillId="0" borderId="0" applyNumberFormat="0" applyFill="0" applyBorder="0" applyAlignment="0" applyProtection="0">
      <alignment vertical="center"/>
    </xf>
    <xf numFmtId="220" fontId="314"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315" fillId="80" borderId="132" applyNumberFormat="0" applyAlignment="0" applyProtection="0"/>
    <xf numFmtId="220" fontId="5" fillId="0" borderId="0"/>
    <xf numFmtId="220" fontId="5" fillId="0" borderId="0"/>
    <xf numFmtId="10" fontId="228" fillId="41" borderId="1" applyNumberFormat="0" applyBorder="0" applyAlignment="0" applyProtection="0"/>
    <xf numFmtId="10" fontId="228" fillId="41" borderId="1" applyNumberFormat="0" applyBorder="0" applyAlignment="0" applyProtection="0"/>
    <xf numFmtId="220" fontId="142" fillId="38" borderId="0" applyNumberFormat="0" applyBorder="0" applyAlignment="0" applyProtection="0">
      <alignment vertical="center"/>
    </xf>
    <xf numFmtId="220" fontId="5" fillId="0" borderId="0"/>
    <xf numFmtId="220" fontId="228" fillId="41" borderId="1" applyNumberFormat="0" applyBorder="0" applyAlignment="0" applyProtection="0">
      <alignment vertical="center"/>
    </xf>
    <xf numFmtId="220" fontId="228" fillId="41" borderId="1" applyNumberFormat="0" applyBorder="0" applyAlignment="0" applyProtection="0">
      <alignment vertical="center"/>
    </xf>
    <xf numFmtId="10" fontId="228" fillId="41" borderId="1" applyNumberFormat="0" applyBorder="0" applyAlignment="0" applyProtection="0"/>
    <xf numFmtId="220" fontId="228" fillId="41" borderId="1" applyNumberFormat="0" applyBorder="0" applyAlignment="0" applyProtection="0">
      <alignment vertical="center"/>
    </xf>
    <xf numFmtId="220" fontId="228" fillId="41" borderId="1" applyNumberFormat="0" applyBorder="0" applyAlignment="0" applyProtection="0"/>
    <xf numFmtId="220" fontId="157" fillId="47" borderId="0" applyNumberFormat="0" applyBorder="0" applyAlignment="0" applyProtection="0">
      <alignment vertical="center"/>
    </xf>
    <xf numFmtId="220" fontId="228" fillId="41" borderId="1" applyNumberFormat="0" applyBorder="0" applyAlignment="0" applyProtection="0"/>
    <xf numFmtId="220" fontId="157" fillId="47" borderId="0" applyNumberFormat="0" applyBorder="0" applyAlignment="0" applyProtection="0">
      <alignment vertical="center"/>
    </xf>
    <xf numFmtId="220" fontId="228" fillId="41" borderId="1" applyNumberFormat="0" applyBorder="0" applyAlignment="0" applyProtection="0"/>
    <xf numFmtId="220" fontId="5" fillId="0" borderId="0"/>
    <xf numFmtId="220" fontId="5" fillId="0" borderId="0"/>
    <xf numFmtId="220" fontId="5" fillId="0" borderId="0"/>
    <xf numFmtId="220" fontId="315" fillId="80" borderId="132" applyNumberFormat="0" applyAlignment="0" applyProtection="0">
      <alignment vertical="center"/>
    </xf>
    <xf numFmtId="220" fontId="5" fillId="0" borderId="0"/>
    <xf numFmtId="220" fontId="5" fillId="0" borderId="0"/>
    <xf numFmtId="220" fontId="315" fillId="80" borderId="132" applyNumberFormat="0" applyAlignment="0" applyProtection="0">
      <alignment vertical="center"/>
    </xf>
    <xf numFmtId="212" fontId="0" fillId="0" borderId="0"/>
    <xf numFmtId="220" fontId="142" fillId="38" borderId="0" applyNumberFormat="0" applyBorder="0" applyAlignment="0" applyProtection="0">
      <alignment vertical="center"/>
    </xf>
    <xf numFmtId="220" fontId="5" fillId="0" borderId="0"/>
    <xf numFmtId="213" fontId="280" fillId="117" borderId="0"/>
    <xf numFmtId="220" fontId="5" fillId="0" borderId="0"/>
    <xf numFmtId="9" fontId="0" fillId="0" borderId="0" applyFont="0" applyFill="0" applyBorder="0" applyAlignment="0" applyProtection="0"/>
    <xf numFmtId="220" fontId="5" fillId="0" borderId="0"/>
    <xf numFmtId="220" fontId="316" fillId="72" borderId="132" applyNumberFormat="0" applyAlignment="0" applyProtection="0"/>
    <xf numFmtId="220" fontId="5" fillId="0" borderId="0"/>
    <xf numFmtId="220" fontId="5" fillId="0" borderId="0"/>
    <xf numFmtId="249" fontId="304" fillId="0" borderId="0">
      <alignment horizontal="center"/>
    </xf>
    <xf numFmtId="220" fontId="5" fillId="0" borderId="0"/>
    <xf numFmtId="266" fontId="317" fillId="0" borderId="0">
      <alignment horizontal="center" vertical="center"/>
      <protection locked="0"/>
    </xf>
    <xf numFmtId="181" fontId="317" fillId="0" borderId="0">
      <alignment horizontal="center" vertical="center"/>
      <protection locked="0"/>
    </xf>
    <xf numFmtId="220" fontId="181"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75" fillId="0" borderId="0" applyNumberFormat="0" applyFont="0" applyFill="0" applyBorder="0" applyProtection="0">
      <alignment horizontal="left" vertical="center"/>
    </xf>
    <xf numFmtId="220" fontId="75" fillId="0" borderId="0" applyNumberFormat="0" applyFont="0" applyFill="0" applyBorder="0" applyProtection="0">
      <alignment horizontal="left" vertical="center"/>
    </xf>
    <xf numFmtId="220" fontId="152" fillId="0" borderId="0" applyNumberFormat="0" applyFont="0" applyFill="0" applyBorder="0" applyProtection="0">
      <alignment horizontal="lef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70" fillId="0" borderId="0" applyNumberFormat="0" applyFill="0" applyBorder="0" applyAlignment="0" applyProtection="0">
      <alignment vertical="top"/>
      <protection locked="0"/>
    </xf>
    <xf numFmtId="220" fontId="5" fillId="0" borderId="0"/>
    <xf numFmtId="202" fontId="151" fillId="0" borderId="0" applyFill="0" applyBorder="0" applyAlignment="0"/>
    <xf numFmtId="220" fontId="5" fillId="0" borderId="0"/>
    <xf numFmtId="220" fontId="0" fillId="0" borderId="0"/>
    <xf numFmtId="220" fontId="5" fillId="0" borderId="0"/>
    <xf numFmtId="220" fontId="5" fillId="0" borderId="0"/>
    <xf numFmtId="213" fontId="151" fillId="0" borderId="0" applyFill="0" applyBorder="0" applyAlignment="0"/>
    <xf numFmtId="220" fontId="5" fillId="0" borderId="0"/>
    <xf numFmtId="202" fontId="151" fillId="0" borderId="0" applyFill="0" applyBorder="0" applyAlignment="0"/>
    <xf numFmtId="220" fontId="319" fillId="0" borderId="0" applyNumberFormat="0" applyFill="0" applyBorder="0" applyAlignment="0" applyProtection="0"/>
    <xf numFmtId="220" fontId="5" fillId="0" borderId="0"/>
    <xf numFmtId="220" fontId="158" fillId="0" borderId="0" applyNumberFormat="0" applyBorder="0" applyAlignment="0" applyProtection="0">
      <alignment vertical="center"/>
    </xf>
    <xf numFmtId="220" fontId="5" fillId="0" borderId="0"/>
    <xf numFmtId="233" fontId="151" fillId="0" borderId="0" applyFill="0" applyBorder="0" applyAlignment="0"/>
    <xf numFmtId="220" fontId="5" fillId="0" borderId="0"/>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13" fontId="151" fillId="0" borderId="0" applyFill="0" applyBorder="0" applyAlignment="0"/>
    <xf numFmtId="220" fontId="5" fillId="0" borderId="0"/>
    <xf numFmtId="220" fontId="320" fillId="0" borderId="123" applyNumberFormat="0" applyFill="0" applyAlignment="0" applyProtection="0"/>
    <xf numFmtId="220" fontId="5" fillId="0" borderId="0"/>
    <xf numFmtId="220" fontId="5" fillId="0" borderId="0"/>
    <xf numFmtId="220" fontId="5" fillId="0" borderId="0"/>
    <xf numFmtId="220" fontId="5" fillId="0" borderId="0"/>
    <xf numFmtId="220" fontId="0" fillId="0" borderId="0"/>
    <xf numFmtId="220" fontId="320" fillId="0" borderId="123" applyNumberFormat="0" applyFill="0" applyAlignment="0" applyProtection="0"/>
    <xf numFmtId="220" fontId="5" fillId="0" borderId="0"/>
    <xf numFmtId="213" fontId="321" fillId="126"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5" fillId="0" borderId="0" applyFont="0" applyFill="0" applyBorder="0" applyAlignment="0" applyProtection="0"/>
    <xf numFmtId="220" fontId="0" fillId="0" borderId="0"/>
    <xf numFmtId="220" fontId="145" fillId="0" borderId="0" applyFont="0" applyFill="0" applyBorder="0" applyAlignment="0" applyProtection="0"/>
    <xf numFmtId="220" fontId="177" fillId="0" borderId="126"/>
    <xf numFmtId="220" fontId="5" fillId="0" borderId="0"/>
    <xf numFmtId="220" fontId="147" fillId="42" borderId="0" applyNumberFormat="0" applyBorder="0" applyAlignment="0" applyProtection="0">
      <alignment vertical="center"/>
    </xf>
    <xf numFmtId="220" fontId="0" fillId="0" borderId="0"/>
    <xf numFmtId="220" fontId="177" fillId="0" borderId="126"/>
    <xf numFmtId="220" fontId="5" fillId="0" borderId="0"/>
    <xf numFmtId="220" fontId="147" fillId="42" borderId="0" applyNumberFormat="0" applyBorder="0" applyAlignment="0" applyProtection="0">
      <alignment vertical="center"/>
    </xf>
    <xf numFmtId="220" fontId="177" fillId="0" borderId="126"/>
    <xf numFmtId="220" fontId="5" fillId="0" borderId="0"/>
    <xf numFmtId="220" fontId="177" fillId="0" borderId="126"/>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45" fillId="0" borderId="0" applyFont="0" applyFill="0" applyBorder="0" applyAlignment="0" applyProtection="0"/>
    <xf numFmtId="220" fontId="145" fillId="0" borderId="0" applyFont="0" applyFill="0" applyBorder="0" applyAlignment="0" applyProtection="0"/>
    <xf numFmtId="220" fontId="5" fillId="0" borderId="0"/>
    <xf numFmtId="220" fontId="5" fillId="0" borderId="0"/>
    <xf numFmtId="220" fontId="5" fillId="0" borderId="0"/>
    <xf numFmtId="220" fontId="322" fillId="0" borderId="0">
      <alignment horizontal="left"/>
    </xf>
    <xf numFmtId="220" fontId="5" fillId="0" borderId="0"/>
    <xf numFmtId="220" fontId="5" fillId="0" borderId="0"/>
    <xf numFmtId="220" fontId="5" fillId="0" borderId="0"/>
    <xf numFmtId="220" fontId="323" fillId="31" borderId="0" applyNumberFormat="0" applyBorder="0" applyAlignment="0" applyProtection="0"/>
    <xf numFmtId="220" fontId="5" fillId="0" borderId="0"/>
    <xf numFmtId="220" fontId="324" fillId="0" borderId="128" applyNumberFormat="0" applyFill="0" applyAlignment="0" applyProtection="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242" fillId="0" borderId="131" applyNumberFormat="0" applyFill="0" applyAlignment="0" applyProtection="0">
      <alignment vertical="center"/>
    </xf>
    <xf numFmtId="220" fontId="323" fillId="31" borderId="0" applyNumberFormat="0" applyBorder="0" applyAlignment="0" applyProtection="0"/>
    <xf numFmtId="220" fontId="150" fillId="35" borderId="0" applyNumberFormat="0" applyBorder="0" applyAlignment="0" applyProtection="0">
      <alignment vertical="center"/>
    </xf>
    <xf numFmtId="220" fontId="7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75" fillId="0" borderId="0"/>
    <xf numFmtId="220" fontId="5" fillId="0" borderId="0"/>
    <xf numFmtId="220" fontId="307" fillId="75" borderId="137">
      <alignment horizontal="center"/>
    </xf>
    <xf numFmtId="220" fontId="307" fillId="75" borderId="137">
      <alignment horizont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37" fontId="224" fillId="0" borderId="0"/>
    <xf numFmtId="220" fontId="5" fillId="0" borderId="0"/>
    <xf numFmtId="220" fontId="5" fillId="0" borderId="0"/>
    <xf numFmtId="220" fontId="0" fillId="0" borderId="0"/>
    <xf numFmtId="220" fontId="5" fillId="0" borderId="0"/>
    <xf numFmtId="220" fontId="5" fillId="0" borderId="0"/>
    <xf numFmtId="220" fontId="5" fillId="0" borderId="0"/>
    <xf numFmtId="198"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325" fillId="0" borderId="0"/>
    <xf numFmtId="198" fontId="0" fillId="0" borderId="0"/>
    <xf numFmtId="198" fontId="0" fillId="0" borderId="0"/>
    <xf numFmtId="198" fontId="0" fillId="0" borderId="0"/>
    <xf numFmtId="220" fontId="5" fillId="0" borderId="0"/>
    <xf numFmtId="198" fontId="0" fillId="0" borderId="0"/>
    <xf numFmtId="220" fontId="5" fillId="0" borderId="0"/>
    <xf numFmtId="198" fontId="0" fillId="0" borderId="0"/>
    <xf numFmtId="198" fontId="0" fillId="0" borderId="0"/>
    <xf numFmtId="267" fontId="146" fillId="0" borderId="20">
      <alignment horizontal="justify" vertical="top" wrapText="1"/>
    </xf>
    <xf numFmtId="212" fontId="0" fillId="0" borderId="0"/>
    <xf numFmtId="220" fontId="5" fillId="0" borderId="0"/>
    <xf numFmtId="220" fontId="5" fillId="0" borderId="0"/>
    <xf numFmtId="220" fontId="5" fillId="0" borderId="0"/>
    <xf numFmtId="220" fontId="5" fillId="0" borderId="0"/>
    <xf numFmtId="198" fontId="0" fillId="0" borderId="0"/>
    <xf numFmtId="198" fontId="0" fillId="0" borderId="0"/>
    <xf numFmtId="212" fontId="0" fillId="0" borderId="0"/>
    <xf numFmtId="220" fontId="5" fillId="0" borderId="0"/>
    <xf numFmtId="220" fontId="5" fillId="0" borderId="0"/>
    <xf numFmtId="220" fontId="5" fillId="0" borderId="0"/>
    <xf numFmtId="220" fontId="279" fillId="0" borderId="0">
      <alignment vertical="center"/>
    </xf>
    <xf numFmtId="198" fontId="0" fillId="0" borderId="0"/>
    <xf numFmtId="198" fontId="0" fillId="0" borderId="0"/>
    <xf numFmtId="220" fontId="5" fillId="0" borderId="0"/>
    <xf numFmtId="198" fontId="0" fillId="0" borderId="0"/>
    <xf numFmtId="220" fontId="5" fillId="0" borderId="0"/>
    <xf numFmtId="220" fontId="5" fillId="0" borderId="0"/>
    <xf numFmtId="212" fontId="0" fillId="0" borderId="0"/>
    <xf numFmtId="220" fontId="5" fillId="0" borderId="0"/>
    <xf numFmtId="220" fontId="5" fillId="0" borderId="0"/>
    <xf numFmtId="220" fontId="5" fillId="0" borderId="0"/>
    <xf numFmtId="212" fontId="0" fillId="0" borderId="0"/>
    <xf numFmtId="198" fontId="0" fillId="0" borderId="0"/>
    <xf numFmtId="198" fontId="0" fillId="0" borderId="0"/>
    <xf numFmtId="220" fontId="5" fillId="0" borderId="0"/>
    <xf numFmtId="212" fontId="0" fillId="0" borderId="0"/>
    <xf numFmtId="198" fontId="0" fillId="0" borderId="0"/>
    <xf numFmtId="220" fontId="5" fillId="0" borderId="0"/>
    <xf numFmtId="220" fontId="5" fillId="0" borderId="0"/>
    <xf numFmtId="198" fontId="0" fillId="0" borderId="0"/>
    <xf numFmtId="198" fontId="0" fillId="0" borderId="0"/>
    <xf numFmtId="212" fontId="0" fillId="0" borderId="0"/>
    <xf numFmtId="220" fontId="5" fillId="0" borderId="0"/>
    <xf numFmtId="212" fontId="0" fillId="0" borderId="0"/>
    <xf numFmtId="212"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12" fontId="0" fillId="0" borderId="0"/>
    <xf numFmtId="212" fontId="0" fillId="0" borderId="0"/>
    <xf numFmtId="220" fontId="5" fillId="0" borderId="0"/>
    <xf numFmtId="220" fontId="5" fillId="0" borderId="0"/>
    <xf numFmtId="220" fontId="5" fillId="0" borderId="0"/>
    <xf numFmtId="198" fontId="0" fillId="0" borderId="0"/>
    <xf numFmtId="198" fontId="0" fillId="0" borderId="0"/>
    <xf numFmtId="220" fontId="5" fillId="0" borderId="0"/>
    <xf numFmtId="220" fontId="5" fillId="0" borderId="0"/>
    <xf numFmtId="198" fontId="0" fillId="0" borderId="0"/>
    <xf numFmtId="220" fontId="5" fillId="0" borderId="0"/>
    <xf numFmtId="198"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12" fontId="0"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60" fillId="0" borderId="113" applyNumberFormat="0" applyFill="0" applyAlignment="0" applyProtection="0">
      <alignment vertical="center"/>
    </xf>
    <xf numFmtId="221" fontId="90" fillId="0" borderId="0"/>
    <xf numFmtId="220" fontId="5" fillId="0" borderId="0"/>
    <xf numFmtId="220" fontId="5" fillId="0" borderId="0"/>
    <xf numFmtId="4" fontId="146" fillId="55" borderId="108" applyNumberFormat="0" applyProtection="0">
      <alignment horizontal="left" vertical="center" indent="1"/>
    </xf>
    <xf numFmtId="220" fontId="5" fillId="0" borderId="0"/>
    <xf numFmtId="220" fontId="5" fillId="0" borderId="0"/>
    <xf numFmtId="220" fontId="5" fillId="0" borderId="0"/>
    <xf numFmtId="220" fontId="5" fillId="0" borderId="0"/>
    <xf numFmtId="212" fontId="0" fillId="0" borderId="0"/>
    <xf numFmtId="220" fontId="5" fillId="0" borderId="0"/>
    <xf numFmtId="220" fontId="5" fillId="0" borderId="0"/>
    <xf numFmtId="220" fontId="5" fillId="0" borderId="0"/>
    <xf numFmtId="212" fontId="0" fillId="0" borderId="0"/>
    <xf numFmtId="220" fontId="5" fillId="0" borderId="0"/>
    <xf numFmtId="220" fontId="5" fillId="0" borderId="0"/>
    <xf numFmtId="220" fontId="326" fillId="64"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326" fillId="64" borderId="0" applyNumberFormat="0" applyBorder="0" applyAlignment="0" applyProtection="0">
      <alignment vertical="center"/>
    </xf>
    <xf numFmtId="220" fontId="5" fillId="0" borderId="0"/>
    <xf numFmtId="220" fontId="5" fillId="0" borderId="0"/>
    <xf numFmtId="212" fontId="0" fillId="0" borderId="0"/>
    <xf numFmtId="220" fontId="5" fillId="0" borderId="0"/>
    <xf numFmtId="4" fontId="146" fillId="55" borderId="108" applyNumberFormat="0" applyProtection="0">
      <alignment horizontal="righ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4" fontId="146" fillId="55" borderId="108" applyNumberFormat="0" applyProtection="0">
      <alignment horizontal="right" vertical="center"/>
    </xf>
    <xf numFmtId="220" fontId="5" fillId="0" borderId="0"/>
    <xf numFmtId="220" fontId="5" fillId="0" borderId="0"/>
    <xf numFmtId="220" fontId="5" fillId="0" borderId="0"/>
    <xf numFmtId="220" fontId="5" fillId="0" borderId="0"/>
    <xf numFmtId="220" fontId="5" fillId="0" borderId="0"/>
    <xf numFmtId="198" fontId="0" fillId="0" borderId="0"/>
    <xf numFmtId="212" fontId="0" fillId="0" borderId="0"/>
    <xf numFmtId="220" fontId="5" fillId="0" borderId="0"/>
    <xf numFmtId="220" fontId="5" fillId="0" borderId="0"/>
    <xf numFmtId="220" fontId="5" fillId="0" borderId="0"/>
    <xf numFmtId="220" fontId="5" fillId="0" borderId="0"/>
    <xf numFmtId="220" fontId="5" fillId="0" borderId="0"/>
    <xf numFmtId="212"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12"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198" fontId="0" fillId="0" borderId="0"/>
    <xf numFmtId="198" fontId="0" fillId="0" borderId="0"/>
    <xf numFmtId="198" fontId="0" fillId="0" borderId="0"/>
    <xf numFmtId="220" fontId="0" fillId="0" borderId="0"/>
    <xf numFmtId="198" fontId="0" fillId="0" borderId="0"/>
    <xf numFmtId="220" fontId="5" fillId="0" borderId="0"/>
    <xf numFmtId="198" fontId="0" fillId="0" borderId="0"/>
    <xf numFmtId="220" fontId="5" fillId="0" borderId="0"/>
    <xf numFmtId="198" fontId="0" fillId="0" borderId="0"/>
    <xf numFmtId="198" fontId="0" fillId="0" borderId="0"/>
    <xf numFmtId="198" fontId="0" fillId="0" borderId="0"/>
    <xf numFmtId="198" fontId="0" fillId="0" borderId="0"/>
    <xf numFmtId="198" fontId="0" fillId="0" borderId="0"/>
    <xf numFmtId="198" fontId="0" fillId="0" borderId="0"/>
    <xf numFmtId="198" fontId="0" fillId="0" borderId="0"/>
    <xf numFmtId="198" fontId="0" fillId="0" borderId="0"/>
    <xf numFmtId="220" fontId="5" fillId="0" borderId="0"/>
    <xf numFmtId="220" fontId="5" fillId="0" borderId="0"/>
    <xf numFmtId="220" fontId="5" fillId="0" borderId="0"/>
    <xf numFmtId="198" fontId="0" fillId="0" borderId="0"/>
    <xf numFmtId="220" fontId="142" fillId="38" borderId="0" applyNumberFormat="0" applyBorder="0" applyAlignment="0" applyProtection="0">
      <alignment vertical="center"/>
    </xf>
    <xf numFmtId="220" fontId="5" fillId="0" borderId="0"/>
    <xf numFmtId="220" fontId="0" fillId="0" borderId="0">
      <alignment vertical="center"/>
    </xf>
    <xf numFmtId="198" fontId="0" fillId="0" borderId="0"/>
    <xf numFmtId="220" fontId="0" fillId="0" borderId="0"/>
    <xf numFmtId="220" fontId="0" fillId="0" borderId="0"/>
    <xf numFmtId="198" fontId="0"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6" fillId="0" borderId="0">
      <alignment vertical="top"/>
    </xf>
    <xf numFmtId="220" fontId="5" fillId="0" borderId="0"/>
    <xf numFmtId="220" fontId="5" fillId="0" borderId="0"/>
    <xf numFmtId="220" fontId="5" fillId="0" borderId="0"/>
    <xf numFmtId="220" fontId="5" fillId="0" borderId="0"/>
    <xf numFmtId="220" fontId="5" fillId="0" borderId="0"/>
    <xf numFmtId="212" fontId="0" fillId="0" borderId="0"/>
    <xf numFmtId="220" fontId="5" fillId="0" borderId="0"/>
    <xf numFmtId="198" fontId="0" fillId="0" borderId="0"/>
    <xf numFmtId="220" fontId="5" fillId="0" borderId="0"/>
    <xf numFmtId="220" fontId="152" fillId="0" borderId="0">
      <alignment vertical="center"/>
    </xf>
    <xf numFmtId="198" fontId="0" fillId="0" borderId="0"/>
    <xf numFmtId="220" fontId="5" fillId="0" borderId="0"/>
    <xf numFmtId="220" fontId="152" fillId="0" borderId="0">
      <alignment vertical="center"/>
    </xf>
    <xf numFmtId="220" fontId="157" fillId="47" borderId="0" applyNumberFormat="0" applyBorder="0" applyAlignment="0" applyProtection="0">
      <alignment vertical="center"/>
    </xf>
    <xf numFmtId="198" fontId="0" fillId="0" borderId="0"/>
    <xf numFmtId="198" fontId="0" fillId="0" borderId="0"/>
    <xf numFmtId="220" fontId="5" fillId="0" borderId="0"/>
    <xf numFmtId="220" fontId="152" fillId="0" borderId="0">
      <alignment vertical="center"/>
    </xf>
    <xf numFmtId="198" fontId="0" fillId="0" borderId="0"/>
    <xf numFmtId="220" fontId="5" fillId="0" borderId="0"/>
    <xf numFmtId="220" fontId="157" fillId="47" borderId="0" applyNumberFormat="0" applyBorder="0" applyAlignment="0" applyProtection="0">
      <alignment vertical="center"/>
    </xf>
    <xf numFmtId="220" fontId="5" fillId="0" borderId="0"/>
    <xf numFmtId="198" fontId="0" fillId="0" borderId="0"/>
    <xf numFmtId="220" fontId="5" fillId="0" borderId="0"/>
    <xf numFmtId="198" fontId="0" fillId="0" borderId="0"/>
    <xf numFmtId="220" fontId="5" fillId="0" borderId="0"/>
    <xf numFmtId="198" fontId="0" fillId="0" borderId="0"/>
    <xf numFmtId="198" fontId="0" fillId="0" borderId="0"/>
    <xf numFmtId="198" fontId="0" fillId="0" borderId="0"/>
    <xf numFmtId="220" fontId="0" fillId="0" borderId="0"/>
    <xf numFmtId="220" fontId="5" fillId="0" borderId="0"/>
    <xf numFmtId="220" fontId="5" fillId="0" borderId="0"/>
    <xf numFmtId="198" fontId="0" fillId="0" borderId="0"/>
    <xf numFmtId="198" fontId="0"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198" fontId="0" fillId="0" borderId="0"/>
    <xf numFmtId="198" fontId="0" fillId="0" borderId="0"/>
    <xf numFmtId="220" fontId="142" fillId="38" borderId="0" applyNumberFormat="0" applyBorder="0" applyAlignment="0" applyProtection="0">
      <alignment vertical="center"/>
    </xf>
    <xf numFmtId="198" fontId="0" fillId="0" borderId="0"/>
    <xf numFmtId="220" fontId="5" fillId="0" borderId="0"/>
    <xf numFmtId="220" fontId="5" fillId="0" borderId="0"/>
    <xf numFmtId="212" fontId="0" fillId="0" borderId="0"/>
    <xf numFmtId="198" fontId="0" fillId="0" borderId="0"/>
    <xf numFmtId="220" fontId="0" fillId="0" borderId="0"/>
    <xf numFmtId="198" fontId="0" fillId="0" borderId="0"/>
    <xf numFmtId="220" fontId="147" fillId="42" borderId="0" applyNumberFormat="0" applyBorder="0" applyAlignment="0" applyProtection="0">
      <alignment vertical="center"/>
    </xf>
    <xf numFmtId="220" fontId="0" fillId="0" borderId="0"/>
    <xf numFmtId="198" fontId="0" fillId="0" borderId="0"/>
    <xf numFmtId="220" fontId="5" fillId="0" borderId="0"/>
    <xf numFmtId="212" fontId="0" fillId="0" borderId="0"/>
    <xf numFmtId="198" fontId="0" fillId="0" borderId="0"/>
    <xf numFmtId="198" fontId="0"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198" fontId="0" fillId="0" borderId="0"/>
    <xf numFmtId="220" fontId="147" fillId="96" borderId="0" applyNumberFormat="0" applyBorder="0" applyAlignment="0" applyProtection="0">
      <alignment vertical="center"/>
    </xf>
    <xf numFmtId="220" fontId="5" fillId="0" borderId="0"/>
    <xf numFmtId="220" fontId="5" fillId="0" borderId="0"/>
    <xf numFmtId="220" fontId="0" fillId="0" borderId="0"/>
    <xf numFmtId="220" fontId="0" fillId="0" borderId="0">
      <alignment vertical="center"/>
    </xf>
    <xf numFmtId="220" fontId="5" fillId="0" borderId="0"/>
    <xf numFmtId="198" fontId="0" fillId="0" borderId="0"/>
    <xf numFmtId="220" fontId="5" fillId="0" borderId="0"/>
    <xf numFmtId="220" fontId="5" fillId="0" borderId="0"/>
    <xf numFmtId="220" fontId="0" fillId="0" borderId="0"/>
    <xf numFmtId="220" fontId="0" fillId="0" borderId="0">
      <alignment vertical="center"/>
    </xf>
    <xf numFmtId="220" fontId="5" fillId="0" borderId="0"/>
    <xf numFmtId="212" fontId="0" fillId="0" borderId="0"/>
    <xf numFmtId="220" fontId="5" fillId="0" borderId="0"/>
    <xf numFmtId="220" fontId="0" fillId="0" borderId="0"/>
    <xf numFmtId="220" fontId="147" fillId="96"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198" fontId="0"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98" fontId="0"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12" fontId="0" fillId="0" borderId="0"/>
    <xf numFmtId="268" fontId="223" fillId="0" borderId="0"/>
    <xf numFmtId="212" fontId="0" fillId="0" borderId="0"/>
    <xf numFmtId="220" fontId="5" fillId="0" borderId="0"/>
    <xf numFmtId="198" fontId="0" fillId="0" borderId="0"/>
    <xf numFmtId="220" fontId="139" fillId="0" borderId="0">
      <alignment vertical="center"/>
    </xf>
    <xf numFmtId="198" fontId="0" fillId="0" borderId="0"/>
    <xf numFmtId="212" fontId="0" fillId="0" borderId="0"/>
    <xf numFmtId="220" fontId="147" fillId="42" borderId="0" applyNumberFormat="0" applyBorder="0" applyAlignment="0" applyProtection="0">
      <alignment vertical="center"/>
    </xf>
    <xf numFmtId="220" fontId="5" fillId="0" borderId="0"/>
    <xf numFmtId="10" fontId="0" fillId="0" borderId="0" applyFont="0" applyFill="0" applyBorder="0" applyAlignment="0" applyProtection="0"/>
    <xf numFmtId="198" fontId="0" fillId="0" borderId="0"/>
    <xf numFmtId="220" fontId="139" fillId="0" borderId="0">
      <alignment vertical="center"/>
    </xf>
    <xf numFmtId="10" fontId="0" fillId="0" borderId="0" applyFont="0" applyFill="0" applyBorder="0" applyAlignment="0" applyProtection="0"/>
    <xf numFmtId="220" fontId="5" fillId="0" borderId="0"/>
    <xf numFmtId="10" fontId="0" fillId="0" borderId="0" applyFont="0" applyFill="0" applyBorder="0" applyAlignment="0" applyProtection="0"/>
    <xf numFmtId="212" fontId="0" fillId="0" borderId="0"/>
    <xf numFmtId="220" fontId="5" fillId="0" borderId="0"/>
    <xf numFmtId="269" fontId="145" fillId="0" borderId="0"/>
    <xf numFmtId="220" fontId="139" fillId="0" borderId="0">
      <alignment vertical="center"/>
    </xf>
    <xf numFmtId="198" fontId="0" fillId="0" borderId="0"/>
    <xf numFmtId="212" fontId="0" fillId="0" borderId="0"/>
    <xf numFmtId="220" fontId="147" fillId="42" borderId="0" applyNumberFormat="0" applyBorder="0" applyAlignment="0" applyProtection="0">
      <alignment vertical="center"/>
    </xf>
    <xf numFmtId="220" fontId="5" fillId="0" borderId="0"/>
    <xf numFmtId="198" fontId="0" fillId="0" borderId="0"/>
    <xf numFmtId="212" fontId="0" fillId="0" borderId="0"/>
    <xf numFmtId="220" fontId="147" fillId="42"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198" fontId="0" fillId="0" borderId="0"/>
    <xf numFmtId="220" fontId="139" fillId="0" borderId="0">
      <alignment vertical="center"/>
    </xf>
    <xf numFmtId="220" fontId="147" fillId="38" borderId="0" applyNumberFormat="0" applyBorder="0" applyAlignment="0" applyProtection="0">
      <alignment vertical="center"/>
    </xf>
    <xf numFmtId="268" fontId="223" fillId="0" borderId="0"/>
    <xf numFmtId="220" fontId="5" fillId="0" borderId="0"/>
    <xf numFmtId="198" fontId="0" fillId="0" borderId="0"/>
    <xf numFmtId="198" fontId="0" fillId="0" borderId="0"/>
    <xf numFmtId="220" fontId="5" fillId="0" borderId="0"/>
    <xf numFmtId="198" fontId="0" fillId="0" borderId="0"/>
    <xf numFmtId="220" fontId="5" fillId="0" borderId="0"/>
    <xf numFmtId="198" fontId="0" fillId="0" borderId="0"/>
    <xf numFmtId="220" fontId="5" fillId="0" borderId="0"/>
    <xf numFmtId="220" fontId="5" fillId="0" borderId="0"/>
    <xf numFmtId="198" fontId="0" fillId="0" borderId="0"/>
    <xf numFmtId="198" fontId="0" fillId="0" borderId="0"/>
    <xf numFmtId="198" fontId="0" fillId="0" borderId="0"/>
    <xf numFmtId="220" fontId="5" fillId="0" borderId="0"/>
    <xf numFmtId="198" fontId="0" fillId="0" borderId="0"/>
    <xf numFmtId="220" fontId="5" fillId="0" borderId="0"/>
    <xf numFmtId="198" fontId="0" fillId="0" borderId="0"/>
    <xf numFmtId="220" fontId="5" fillId="0" borderId="0"/>
    <xf numFmtId="220" fontId="5" fillId="0" borderId="0"/>
    <xf numFmtId="198" fontId="0" fillId="0" borderId="0"/>
    <xf numFmtId="198" fontId="0" fillId="0" borderId="0"/>
    <xf numFmtId="220" fontId="139" fillId="0" borderId="0">
      <alignment vertical="center"/>
    </xf>
    <xf numFmtId="198" fontId="0" fillId="0" borderId="0"/>
    <xf numFmtId="198" fontId="0" fillId="0" borderId="0"/>
    <xf numFmtId="220" fontId="142" fillId="38" borderId="0" applyNumberFormat="0" applyBorder="0" applyAlignment="0" applyProtection="0">
      <alignment vertical="center"/>
    </xf>
    <xf numFmtId="198" fontId="0" fillId="0" borderId="0"/>
    <xf numFmtId="220" fontId="139" fillId="0" borderId="0">
      <alignment vertical="center"/>
    </xf>
    <xf numFmtId="220" fontId="0" fillId="0" borderId="0"/>
    <xf numFmtId="198" fontId="0" fillId="0" borderId="0"/>
    <xf numFmtId="212" fontId="0" fillId="0" borderId="0"/>
    <xf numFmtId="220" fontId="5" fillId="0" borderId="0"/>
    <xf numFmtId="220" fontId="150" fillId="35" borderId="0" applyNumberFormat="0" applyBorder="0" applyAlignment="0" applyProtection="0">
      <alignment vertical="center"/>
    </xf>
    <xf numFmtId="220" fontId="5" fillId="0" borderId="0"/>
    <xf numFmtId="198" fontId="0" fillId="0" borderId="0"/>
    <xf numFmtId="198" fontId="0" fillId="0" borderId="0"/>
    <xf numFmtId="220" fontId="0" fillId="0" borderId="0"/>
    <xf numFmtId="198" fontId="0" fillId="0" borderId="0"/>
    <xf numFmtId="220" fontId="5" fillId="0" borderId="0"/>
    <xf numFmtId="198" fontId="0" fillId="0" borderId="0"/>
    <xf numFmtId="220" fontId="0" fillId="0" borderId="0"/>
    <xf numFmtId="220" fontId="5" fillId="0" borderId="0"/>
    <xf numFmtId="220" fontId="150" fillId="35" borderId="0" applyNumberFormat="0" applyBorder="0" applyAlignment="0" applyProtection="0">
      <alignment vertical="center"/>
    </xf>
    <xf numFmtId="198" fontId="0" fillId="0" borderId="0"/>
    <xf numFmtId="191"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198" fontId="0" fillId="0" borderId="0"/>
    <xf numFmtId="220" fontId="142" fillId="38" borderId="0" applyNumberFormat="0" applyBorder="0" applyAlignment="0" applyProtection="0">
      <alignment vertical="center"/>
    </xf>
    <xf numFmtId="198" fontId="0" fillId="0" borderId="0"/>
    <xf numFmtId="212" fontId="0" fillId="0" borderId="0"/>
    <xf numFmtId="220" fontId="5" fillId="0" borderId="0"/>
    <xf numFmtId="198" fontId="0" fillId="0" borderId="0"/>
    <xf numFmtId="220" fontId="0" fillId="0" borderId="0"/>
    <xf numFmtId="198" fontId="0" fillId="0" borderId="0"/>
    <xf numFmtId="220" fontId="0" fillId="0" borderId="0"/>
    <xf numFmtId="198" fontId="0" fillId="0" borderId="0"/>
    <xf numFmtId="220" fontId="0" fillId="0" borderId="0"/>
    <xf numFmtId="220" fontId="5" fillId="0" borderId="0"/>
    <xf numFmtId="198" fontId="0" fillId="0" borderId="0"/>
    <xf numFmtId="198" fontId="0" fillId="0" borderId="0"/>
    <xf numFmtId="228" fontId="145" fillId="0" borderId="0"/>
    <xf numFmtId="220" fontId="5" fillId="0" borderId="0"/>
    <xf numFmtId="198" fontId="0" fillId="0" borderId="0"/>
    <xf numFmtId="198" fontId="0" fillId="0" borderId="0"/>
    <xf numFmtId="198" fontId="0" fillId="0" borderId="0"/>
    <xf numFmtId="220" fontId="5" fillId="0" borderId="0"/>
    <xf numFmtId="198" fontId="0" fillId="0" borderId="0"/>
    <xf numFmtId="198" fontId="0" fillId="0" borderId="0"/>
    <xf numFmtId="220" fontId="5" fillId="0" borderId="0"/>
    <xf numFmtId="220" fontId="5" fillId="0" borderId="0"/>
    <xf numFmtId="220" fontId="146" fillId="99" borderId="108" applyNumberFormat="0" applyProtection="0">
      <alignment horizontal="right" vertical="center"/>
    </xf>
    <xf numFmtId="220" fontId="5" fillId="0" borderId="0"/>
    <xf numFmtId="198" fontId="0" fillId="0" borderId="0"/>
    <xf numFmtId="220" fontId="5" fillId="0" borderId="0"/>
    <xf numFmtId="220" fontId="0" fillId="0" borderId="0"/>
    <xf numFmtId="220" fontId="0"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6" fillId="55" borderId="108" applyNumberFormat="0" applyProtection="0">
      <alignment horizontal="left" vertical="top" indent="1"/>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4" fontId="146" fillId="47" borderId="108" applyNumberFormat="0" applyProtection="0">
      <alignment horizontal="right" vertical="center"/>
    </xf>
    <xf numFmtId="220" fontId="5" fillId="0" borderId="0"/>
    <xf numFmtId="4" fontId="146" fillId="47" borderId="108" applyNumberFormat="0" applyProtection="0">
      <alignment horizontal="righ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0"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0" fillId="0" borderId="0"/>
    <xf numFmtId="220" fontId="5" fillId="0" borderId="0"/>
    <xf numFmtId="220" fontId="5" fillId="0" borderId="0"/>
    <xf numFmtId="220" fontId="152" fillId="0" borderId="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191" fontId="139"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191" fontId="139"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191" fontId="139" fillId="0" borderId="0" applyFont="0" applyFill="0" applyBorder="0" applyAlignment="0" applyProtection="0">
      <alignment vertical="center"/>
    </xf>
    <xf numFmtId="220" fontId="5" fillId="0" borderId="0"/>
    <xf numFmtId="209" fontId="5" fillId="0" borderId="0"/>
    <xf numFmtId="220" fontId="5" fillId="0" borderId="0"/>
    <xf numFmtId="220" fontId="5" fillId="0" borderId="0"/>
    <xf numFmtId="220" fontId="5" fillId="0" borderId="0"/>
    <xf numFmtId="191" fontId="139" fillId="0" borderId="0" applyFont="0" applyFill="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09"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45" fillId="32" borderId="108" applyNumberFormat="0" applyProtection="0">
      <alignment horizontal="left" vertical="top" indent="1"/>
    </xf>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264" fillId="117" borderId="0" applyNumberFormat="0" applyProtection="0">
      <alignment horizontal="left" vertical="center" indent="1"/>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5" fillId="0" borderId="0"/>
    <xf numFmtId="270" fontId="327" fillId="0" borderId="0"/>
    <xf numFmtId="220" fontId="5" fillId="0" borderId="0"/>
    <xf numFmtId="220" fontId="5" fillId="0" borderId="0"/>
    <xf numFmtId="220" fontId="0" fillId="41" borderId="138" applyNumberFormat="0" applyFont="0" applyAlignment="0" applyProtection="0"/>
    <xf numFmtId="220" fontId="157" fillId="47" borderId="0" applyNumberFormat="0" applyBorder="0" applyAlignment="0" applyProtection="0">
      <alignment vertical="center"/>
    </xf>
    <xf numFmtId="220" fontId="0" fillId="0" borderId="0"/>
    <xf numFmtId="220" fontId="5" fillId="41" borderId="138" applyNumberFormat="0" applyFont="0" applyAlignment="0" applyProtection="0">
      <alignment vertical="center"/>
    </xf>
    <xf numFmtId="220" fontId="5" fillId="41" borderId="138" applyNumberFormat="0" applyFont="0" applyAlignment="0" applyProtection="0">
      <alignment vertical="center"/>
    </xf>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28" fillId="100" borderId="139" applyNumberFormat="0" applyAlignment="0" applyProtection="0"/>
    <xf numFmtId="220" fontId="328" fillId="100" borderId="139" applyNumberFormat="0" applyAlignment="0" applyProtection="0">
      <alignment vertical="center"/>
    </xf>
    <xf numFmtId="9" fontId="0" fillId="0" borderId="0" applyFont="0" applyFill="0" applyBorder="0" applyAlignment="0" applyProtection="0">
      <alignment vertical="center"/>
    </xf>
    <xf numFmtId="220" fontId="5" fillId="0" borderId="0"/>
    <xf numFmtId="220" fontId="328" fillId="100" borderId="139" applyNumberFormat="0" applyAlignment="0" applyProtection="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5" fillId="55" borderId="108" applyNumberFormat="0" applyProtection="0">
      <alignment horizontal="left" vertical="top" indent="1"/>
    </xf>
    <xf numFmtId="220" fontId="5" fillId="0" borderId="0"/>
    <xf numFmtId="220" fontId="5" fillId="0" borderId="0"/>
    <xf numFmtId="9" fontId="0" fillId="0" borderId="0" applyFont="0" applyFill="0" applyBorder="0" applyAlignment="0" applyProtection="0"/>
    <xf numFmtId="220" fontId="146" fillId="93" borderId="108" applyNumberFormat="0" applyProtection="0">
      <alignment horizontal="right" vertical="center"/>
    </xf>
    <xf numFmtId="14" fontId="92" fillId="0" borderId="0">
      <alignment horizontal="center" wrapText="1"/>
      <protection locked="0"/>
    </xf>
    <xf numFmtId="220" fontId="5" fillId="0" borderId="0"/>
    <xf numFmtId="220" fontId="5" fillId="0" borderId="0"/>
    <xf numFmtId="220" fontId="184" fillId="0" borderId="131" applyNumberFormat="0" applyFill="0" applyAlignment="0" applyProtection="0">
      <alignment vertical="center"/>
    </xf>
    <xf numFmtId="220" fontId="5" fillId="0" borderId="0"/>
    <xf numFmtId="220" fontId="5" fillId="0" borderId="0"/>
    <xf numFmtId="220" fontId="5" fillId="0" borderId="0"/>
    <xf numFmtId="220" fontId="5" fillId="0" borderId="0"/>
    <xf numFmtId="271" fontId="145" fillId="0" borderId="0" applyFont="0" applyFill="0" applyBorder="0" applyAlignment="0" applyProtection="0"/>
    <xf numFmtId="220" fontId="0" fillId="0" borderId="0"/>
    <xf numFmtId="220" fontId="5" fillId="0" borderId="0"/>
    <xf numFmtId="220" fontId="145" fillId="0" borderId="0"/>
    <xf numFmtId="220" fontId="5" fillId="0" borderId="0"/>
    <xf numFmtId="220" fontId="145" fillId="0" borderId="0"/>
    <xf numFmtId="10" fontId="145" fillId="0" borderId="0" applyFont="0" applyFill="0" applyBorder="0" applyAlignment="0" applyProtection="0"/>
    <xf numFmtId="220" fontId="157" fillId="47" borderId="0" applyNumberFormat="0" applyBorder="0" applyAlignment="0" applyProtection="0">
      <alignment vertical="center"/>
    </xf>
    <xf numFmtId="10" fontId="152" fillId="0" borderId="0" applyFont="0" applyFill="0" applyBorder="0" applyAlignment="0" applyProtection="0"/>
    <xf numFmtId="10" fontId="152" fillId="0" borderId="0" applyFont="0" applyFill="0" applyBorder="0" applyAlignment="0" applyProtection="0"/>
    <xf numFmtId="220" fontId="5" fillId="0" borderId="0"/>
    <xf numFmtId="10" fontId="152" fillId="0" borderId="0" applyFont="0" applyFill="0" applyBorder="0" applyAlignment="0" applyProtection="0"/>
    <xf numFmtId="220" fontId="5" fillId="0" borderId="0"/>
    <xf numFmtId="10" fontId="152" fillId="0" borderId="0" applyFont="0" applyFill="0" applyBorder="0" applyAlignment="0" applyProtection="0"/>
    <xf numFmtId="10" fontId="0" fillId="0" borderId="0" applyFont="0" applyFill="0" applyBorder="0" applyAlignment="0" applyProtection="0"/>
    <xf numFmtId="10" fontId="0" fillId="0" borderId="0" applyFont="0" applyFill="0" applyBorder="0" applyAlignment="0" applyProtection="0"/>
    <xf numFmtId="220" fontId="5" fillId="0" borderId="0"/>
    <xf numFmtId="10" fontId="0" fillId="0" borderId="0" applyFont="0" applyFill="0" applyBorder="0" applyAlignment="0" applyProtection="0"/>
    <xf numFmtId="10" fontId="0" fillId="0" borderId="0" applyFont="0" applyFill="0" applyBorder="0" applyAlignment="0" applyProtection="0"/>
    <xf numFmtId="220" fontId="147" fillId="42" borderId="0" applyNumberFormat="0" applyBorder="0" applyAlignment="0" applyProtection="0">
      <alignment vertical="center"/>
    </xf>
    <xf numFmtId="10" fontId="0" fillId="0" borderId="0" applyFont="0" applyFill="0" applyBorder="0" applyAlignment="0" applyProtection="0"/>
    <xf numFmtId="10" fontId="0" fillId="0" borderId="0" applyFont="0" applyFill="0" applyBorder="0" applyAlignment="0" applyProtection="0"/>
    <xf numFmtId="10" fontId="0" fillId="0" borderId="0" applyFont="0" applyFill="0" applyBorder="0" applyAlignment="0" applyProtection="0"/>
    <xf numFmtId="10" fontId="0" fillId="0" borderId="0" applyFont="0" applyFill="0" applyBorder="0" applyAlignment="0" applyProtection="0"/>
    <xf numFmtId="220" fontId="5" fillId="0" borderId="0"/>
    <xf numFmtId="10" fontId="0" fillId="0" borderId="0" applyFont="0" applyFill="0" applyBorder="0" applyAlignment="0" applyProtection="0"/>
    <xf numFmtId="220" fontId="5" fillId="0" borderId="0"/>
    <xf numFmtId="220" fontId="0" fillId="0" borderId="0"/>
    <xf numFmtId="220" fontId="150" fillId="35" borderId="0" applyNumberFormat="0" applyBorder="0" applyAlignment="0" applyProtection="0">
      <alignment vertical="center"/>
    </xf>
    <xf numFmtId="220" fontId="186" fillId="31" borderId="108" applyNumberFormat="0" applyProtection="0">
      <alignment horizontal="left" vertical="top" indent="1"/>
    </xf>
    <xf numFmtId="220" fontId="5" fillId="0" borderId="0"/>
    <xf numFmtId="220" fontId="5" fillId="0" borderId="0"/>
    <xf numFmtId="220" fontId="186" fillId="31" borderId="108" applyNumberFormat="0" applyProtection="0">
      <alignment horizontal="left" vertical="top" indent="1"/>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40" fontId="209" fillId="0" borderId="0" applyBorder="0">
      <alignment horizontal="right"/>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11" fillId="0" borderId="0" applyNumberFormat="0" applyFill="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92" fillId="0" borderId="133" applyNumberFormat="0" applyFill="0" applyAlignment="0" applyProtection="0">
      <alignment vertical="center"/>
    </xf>
    <xf numFmtId="220" fontId="5" fillId="0" borderId="0"/>
    <xf numFmtId="9" fontId="151" fillId="0" borderId="0" applyFont="0" applyFill="0" applyBorder="0" applyAlignment="0" applyProtection="0"/>
    <xf numFmtId="220" fontId="5" fillId="0" borderId="0"/>
    <xf numFmtId="220" fontId="5" fillId="0" borderId="0"/>
    <xf numFmtId="183" fontId="145" fillId="0" borderId="0" applyFont="0" applyFill="0" applyProtection="0"/>
    <xf numFmtId="220" fontId="157" fillId="47" borderId="0" applyNumberFormat="0" applyBorder="0" applyAlignment="0" applyProtection="0">
      <alignment vertical="center"/>
    </xf>
    <xf numFmtId="220" fontId="5" fillId="0" borderId="0"/>
    <xf numFmtId="220" fontId="228" fillId="100" borderId="1"/>
    <xf numFmtId="220" fontId="228" fillId="100" borderId="1"/>
    <xf numFmtId="220" fontId="90" fillId="0" borderId="0"/>
    <xf numFmtId="220" fontId="150" fillId="35" borderId="0" applyNumberFormat="0" applyBorder="0" applyAlignment="0" applyProtection="0">
      <alignment vertical="center"/>
    </xf>
    <xf numFmtId="220" fontId="228" fillId="100" borderId="1"/>
    <xf numFmtId="220" fontId="90" fillId="0" borderId="0"/>
    <xf numFmtId="220" fontId="150" fillId="35" borderId="0" applyNumberFormat="0" applyBorder="0" applyAlignment="0" applyProtection="0">
      <alignment vertical="center"/>
    </xf>
    <xf numFmtId="220" fontId="228" fillId="100" borderId="1">
      <alignment vertical="center"/>
    </xf>
    <xf numFmtId="220" fontId="0" fillId="0" borderId="0"/>
    <xf numFmtId="220" fontId="5" fillId="0" borderId="0"/>
    <xf numFmtId="220" fontId="228" fillId="100" borderId="1"/>
    <xf numFmtId="220" fontId="0" fillId="0" borderId="0"/>
    <xf numFmtId="220" fontId="5" fillId="0" borderId="0"/>
    <xf numFmtId="220" fontId="228" fillId="100" borderId="1">
      <alignment vertical="center"/>
    </xf>
    <xf numFmtId="220" fontId="5" fillId="0" borderId="0"/>
    <xf numFmtId="220" fontId="228" fillId="100" borderId="1">
      <alignment vertical="center"/>
    </xf>
    <xf numFmtId="220" fontId="228" fillId="100" borderId="1"/>
    <xf numFmtId="220" fontId="228" fillId="100" borderId="1">
      <alignment vertical="center"/>
    </xf>
    <xf numFmtId="220" fontId="0" fillId="0" borderId="0"/>
    <xf numFmtId="220" fontId="228" fillId="100" borderId="1">
      <alignment vertical="center"/>
    </xf>
    <xf numFmtId="220" fontId="228" fillId="100" borderId="1">
      <alignment vertical="center"/>
    </xf>
    <xf numFmtId="220" fontId="228" fillId="100" borderId="1">
      <alignment vertical="center"/>
    </xf>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6" fillId="55" borderId="108" applyNumberFormat="0" applyProtection="0">
      <alignment horizontal="left" vertical="center" indent="1"/>
    </xf>
    <xf numFmtId="213" fontId="151" fillId="0" borderId="0" applyFill="0" applyBorder="0" applyAlignment="0"/>
    <xf numFmtId="220" fontId="147" fillId="42" borderId="0" applyNumberFormat="0" applyBorder="0" applyAlignment="0" applyProtection="0">
      <alignment vertical="center"/>
    </xf>
    <xf numFmtId="213" fontId="151" fillId="0" borderId="0" applyFill="0" applyBorder="0" applyAlignment="0"/>
    <xf numFmtId="220" fontId="5" fillId="0" borderId="0"/>
    <xf numFmtId="4" fontId="78" fillId="0" borderId="0">
      <alignment horizontal="right"/>
    </xf>
    <xf numFmtId="4" fontId="78" fillId="0" borderId="0">
      <alignment horizontal="right"/>
    </xf>
    <xf numFmtId="261" fontId="331" fillId="0" borderId="0"/>
    <xf numFmtId="220" fontId="5" fillId="0" borderId="0"/>
    <xf numFmtId="220" fontId="221" fillId="0" borderId="0" applyNumberFormat="0" applyFont="0" applyFill="0" applyBorder="0" applyAlignment="0" applyProtection="0">
      <alignment horizontal="left"/>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221" fillId="0" borderId="0" applyNumberFormat="0" applyFont="0" applyFill="0" applyBorder="0" applyAlignment="0" applyProtection="0">
      <alignment horizontal="left"/>
    </xf>
    <xf numFmtId="220" fontId="221" fillId="0" borderId="0" applyNumberFormat="0" applyFont="0" applyFill="0" applyBorder="0" applyAlignment="0" applyProtection="0">
      <alignment horizontal="left"/>
    </xf>
    <xf numFmtId="220" fontId="5" fillId="0" borderId="0"/>
    <xf numFmtId="220" fontId="5" fillId="0" borderId="0"/>
    <xf numFmtId="220" fontId="221" fillId="0" borderId="0" applyNumberFormat="0" applyFont="0" applyFill="0" applyBorder="0" applyAlignment="0" applyProtection="0">
      <alignment horizontal="left"/>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222" fillId="0" borderId="126">
      <alignment horizontal="center"/>
    </xf>
    <xf numFmtId="220" fontId="5" fillId="0" borderId="0"/>
    <xf numFmtId="220" fontId="222" fillId="0" borderId="126">
      <alignment horizontal="center"/>
    </xf>
    <xf numFmtId="220" fontId="222" fillId="0" borderId="126">
      <alignment horizontal="center"/>
    </xf>
    <xf numFmtId="220" fontId="222" fillId="0" borderId="126">
      <alignment horizontal="center"/>
    </xf>
    <xf numFmtId="220" fontId="216" fillId="41" borderId="108" applyNumberFormat="0" applyProtection="0">
      <alignment vertical="center"/>
    </xf>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86" fillId="31" borderId="108" applyNumberFormat="0" applyProtection="0">
      <alignment horizontal="left" vertical="center" indent="1"/>
    </xf>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4" fontId="215" fillId="0" borderId="0">
      <alignment horizontal="right"/>
    </xf>
    <xf numFmtId="4" fontId="215" fillId="0" borderId="0">
      <alignment horizontal="right"/>
    </xf>
    <xf numFmtId="4" fontId="215" fillId="0" borderId="0">
      <alignment horizontal="right"/>
    </xf>
    <xf numFmtId="4" fontId="215" fillId="0" borderId="0">
      <alignment horizontal="right"/>
    </xf>
    <xf numFmtId="4" fontId="215" fillId="0" borderId="0">
      <alignment horizontal="right"/>
    </xf>
    <xf numFmtId="4" fontId="215" fillId="0" borderId="0">
      <alignment horizontal="right"/>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17" fontId="90" fillId="0" borderId="0" applyNumberFormat="0" applyFill="0" applyBorder="0" applyAlignment="0" applyProtection="0">
      <alignment horizontal="left"/>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41" fontId="75" fillId="0" borderId="0" applyFont="0" applyFill="0" applyBorder="0" applyAlignment="0" applyProtection="0"/>
    <xf numFmtId="220" fontId="91" fillId="0" borderId="0" applyNumberFormat="0" applyFill="0" applyBorder="0" applyAlignment="0" applyProtection="0"/>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45" fillId="0" borderId="0"/>
    <xf numFmtId="220" fontId="5" fillId="0" borderId="0"/>
    <xf numFmtId="220" fontId="158" fillId="0" borderId="0" applyNumberFormat="0" applyBorder="0" applyAlignment="0" applyProtection="0">
      <alignment vertical="center"/>
    </xf>
    <xf numFmtId="4" fontId="186" fillId="31" borderId="108" applyNumberFormat="0" applyProtection="0">
      <alignment vertical="center"/>
    </xf>
    <xf numFmtId="220" fontId="158" fillId="0" borderId="0" applyNumberFormat="0" applyBorder="0" applyAlignment="0" applyProtection="0">
      <alignment vertical="center"/>
    </xf>
    <xf numFmtId="4" fontId="186" fillId="31" borderId="108" applyNumberFormat="0" applyProtection="0">
      <alignment vertical="center"/>
    </xf>
    <xf numFmtId="220" fontId="186" fillId="31" borderId="108" applyNumberFormat="0" applyProtection="0">
      <alignment vertical="center"/>
    </xf>
    <xf numFmtId="220" fontId="186" fillId="31" borderId="108" applyNumberFormat="0" applyProtection="0">
      <alignment vertical="center"/>
    </xf>
    <xf numFmtId="220" fontId="5" fillId="0" borderId="0"/>
    <xf numFmtId="220" fontId="158" fillId="0" borderId="0" applyNumberFormat="0" applyBorder="0" applyAlignment="0" applyProtection="0">
      <alignment vertical="center"/>
    </xf>
    <xf numFmtId="4" fontId="186" fillId="31" borderId="108" applyNumberFormat="0" applyProtection="0">
      <alignment vertical="center"/>
    </xf>
    <xf numFmtId="220" fontId="186" fillId="31" borderId="108" applyNumberFormat="0" applyProtection="0">
      <alignment vertical="center"/>
    </xf>
    <xf numFmtId="220" fontId="186" fillId="31" borderId="108" applyNumberFormat="0" applyProtection="0">
      <alignment vertical="center"/>
    </xf>
    <xf numFmtId="220" fontId="5" fillId="0" borderId="0"/>
    <xf numFmtId="220" fontId="139" fillId="0" borderId="0">
      <alignment vertical="center"/>
    </xf>
    <xf numFmtId="4" fontId="186" fillId="31" borderId="108" applyNumberFormat="0" applyProtection="0">
      <alignment vertical="center"/>
    </xf>
    <xf numFmtId="220" fontId="139" fillId="0" borderId="0">
      <alignment vertical="center"/>
    </xf>
    <xf numFmtId="220" fontId="5" fillId="0" borderId="0"/>
    <xf numFmtId="220" fontId="186" fillId="31" borderId="108" applyNumberFormat="0" applyProtection="0">
      <alignment vertical="center"/>
    </xf>
    <xf numFmtId="220" fontId="139" fillId="0" borderId="0">
      <alignment vertical="center"/>
    </xf>
    <xf numFmtId="220" fontId="186" fillId="31" borderId="108" applyNumberFormat="0" applyProtection="0">
      <alignment vertical="center"/>
    </xf>
    <xf numFmtId="220" fontId="139" fillId="0" borderId="0">
      <alignment vertical="center"/>
    </xf>
    <xf numFmtId="220" fontId="5" fillId="0" borderId="0"/>
    <xf numFmtId="220" fontId="186" fillId="31" borderId="108" applyNumberFormat="0" applyProtection="0">
      <alignment vertical="center"/>
    </xf>
    <xf numFmtId="220" fontId="139" fillId="0" borderId="0">
      <alignment vertical="center"/>
    </xf>
    <xf numFmtId="220" fontId="5" fillId="0" borderId="0"/>
    <xf numFmtId="220" fontId="186" fillId="31" borderId="108" applyNumberFormat="0" applyProtection="0">
      <alignment vertical="center"/>
    </xf>
    <xf numFmtId="220" fontId="5" fillId="0" borderId="0"/>
    <xf numFmtId="220" fontId="139" fillId="0" borderId="0">
      <alignment vertical="center"/>
    </xf>
    <xf numFmtId="220" fontId="186" fillId="31" borderId="108" applyNumberFormat="0" applyProtection="0">
      <alignment vertical="center"/>
    </xf>
    <xf numFmtId="4" fontId="188" fillId="31" borderId="108" applyNumberFormat="0" applyProtection="0">
      <alignment vertical="center"/>
    </xf>
    <xf numFmtId="220" fontId="5" fillId="0" borderId="0"/>
    <xf numFmtId="4" fontId="188" fillId="31" borderId="108" applyNumberFormat="0" applyProtection="0">
      <alignment vertical="center"/>
    </xf>
    <xf numFmtId="220" fontId="5" fillId="0" borderId="0"/>
    <xf numFmtId="220" fontId="188" fillId="31" borderId="108" applyNumberFormat="0" applyProtection="0">
      <alignment vertical="center"/>
    </xf>
    <xf numFmtId="220" fontId="5" fillId="0" borderId="0"/>
    <xf numFmtId="220" fontId="188" fillId="31" borderId="108" applyNumberFormat="0" applyProtection="0">
      <alignment vertical="center"/>
    </xf>
    <xf numFmtId="4" fontId="188" fillId="31" borderId="108" applyNumberFormat="0" applyProtection="0">
      <alignment vertical="center"/>
    </xf>
    <xf numFmtId="220" fontId="188" fillId="31" borderId="108" applyNumberFormat="0" applyProtection="0">
      <alignment vertical="center"/>
    </xf>
    <xf numFmtId="220" fontId="188" fillId="31" borderId="108" applyNumberFormat="0" applyProtection="0">
      <alignment vertical="center"/>
    </xf>
    <xf numFmtId="220" fontId="188" fillId="31" borderId="108" applyNumberFormat="0" applyProtection="0">
      <alignment vertical="center"/>
    </xf>
    <xf numFmtId="4" fontId="186" fillId="31" borderId="108" applyNumberFormat="0" applyProtection="0">
      <alignment horizontal="left" vertical="center" indent="1"/>
    </xf>
    <xf numFmtId="220" fontId="152" fillId="0" borderId="0" applyNumberFormat="0" applyBorder="0" applyProtection="0">
      <alignment vertical="center"/>
    </xf>
    <xf numFmtId="4" fontId="186" fillId="31" borderId="108" applyNumberFormat="0" applyProtection="0">
      <alignment horizontal="left" vertical="center" indent="1"/>
    </xf>
    <xf numFmtId="220" fontId="186" fillId="31" borderId="108" applyNumberFormat="0" applyProtection="0">
      <alignment horizontal="left" vertical="center" indent="1"/>
    </xf>
    <xf numFmtId="220" fontId="186" fillId="31" borderId="108" applyNumberFormat="0" applyProtection="0">
      <alignment horizontal="left" vertical="center" indent="1"/>
    </xf>
    <xf numFmtId="220" fontId="152" fillId="0" borderId="0" applyNumberFormat="0" applyBorder="0" applyProtection="0">
      <alignment vertical="center"/>
    </xf>
    <xf numFmtId="4" fontId="186" fillId="31" borderId="108" applyNumberFormat="0" applyProtection="0">
      <alignment horizontal="left" vertical="center" indent="1"/>
    </xf>
    <xf numFmtId="220" fontId="147" fillId="38" borderId="0" applyNumberFormat="0" applyBorder="0" applyAlignment="0" applyProtection="0">
      <alignment vertical="center"/>
    </xf>
    <xf numFmtId="220" fontId="186" fillId="31" borderId="108" applyNumberFormat="0" applyProtection="0">
      <alignment horizontal="left" vertical="center" indent="1"/>
    </xf>
    <xf numFmtId="220" fontId="186" fillId="31" borderId="108" applyNumberFormat="0" applyProtection="0">
      <alignment horizontal="left" vertical="center" indent="1"/>
    </xf>
    <xf numFmtId="220" fontId="0" fillId="0" borderId="0"/>
    <xf numFmtId="4" fontId="186" fillId="31" borderId="108" applyNumberFormat="0" applyProtection="0">
      <alignment horizontal="left" vertical="center" indent="1"/>
    </xf>
    <xf numFmtId="220" fontId="0" fillId="0" borderId="0"/>
    <xf numFmtId="220" fontId="5" fillId="0" borderId="0"/>
    <xf numFmtId="220" fontId="186" fillId="31" borderId="108" applyNumberFormat="0" applyProtection="0">
      <alignment horizontal="left" vertical="center" indent="1"/>
    </xf>
    <xf numFmtId="220" fontId="157" fillId="47" borderId="0" applyNumberFormat="0" applyBorder="0" applyAlignment="0" applyProtection="0">
      <alignment vertical="center"/>
    </xf>
    <xf numFmtId="220" fontId="0" fillId="0" borderId="0"/>
    <xf numFmtId="220" fontId="0" fillId="0" borderId="0"/>
    <xf numFmtId="220" fontId="5" fillId="0" borderId="0"/>
    <xf numFmtId="220" fontId="186" fillId="31" borderId="108" applyNumberFormat="0" applyProtection="0">
      <alignment horizontal="left" vertical="center" indent="1"/>
    </xf>
    <xf numFmtId="220" fontId="2" fillId="0" borderId="0"/>
    <xf numFmtId="4" fontId="186" fillId="31" borderId="108" applyNumberFormat="0" applyProtection="0">
      <alignment horizontal="left" vertical="center" indent="1"/>
    </xf>
    <xf numFmtId="220" fontId="2" fillId="0" borderId="0"/>
    <xf numFmtId="220" fontId="186" fillId="31" borderId="108" applyNumberFormat="0" applyProtection="0">
      <alignment horizontal="left" vertical="center" indent="1"/>
    </xf>
    <xf numFmtId="220" fontId="0" fillId="0" borderId="0"/>
    <xf numFmtId="220" fontId="2" fillId="0" borderId="0"/>
    <xf numFmtId="220" fontId="186" fillId="31" borderId="108" applyNumberFormat="0" applyProtection="0">
      <alignment horizontal="left" vertical="center" indent="1"/>
    </xf>
    <xf numFmtId="220" fontId="5" fillId="0" borderId="0"/>
    <xf numFmtId="220" fontId="5" fillId="0" borderId="0"/>
    <xf numFmtId="220" fontId="186" fillId="31" borderId="108" applyNumberFormat="0" applyProtection="0">
      <alignment horizontal="left" vertical="center" indent="1"/>
    </xf>
    <xf numFmtId="220" fontId="157" fillId="47" borderId="0" applyNumberFormat="0" applyBorder="0" applyAlignment="0" applyProtection="0">
      <alignment vertical="center"/>
    </xf>
    <xf numFmtId="220" fontId="186" fillId="31" borderId="108" applyNumberFormat="0" applyProtection="0">
      <alignment horizontal="left" vertical="top" indent="1"/>
    </xf>
    <xf numFmtId="220" fontId="157" fillId="47" borderId="0" applyNumberFormat="0" applyBorder="0" applyAlignment="0" applyProtection="0">
      <alignment vertical="center"/>
    </xf>
    <xf numFmtId="220" fontId="186" fillId="31" borderId="108" applyNumberFormat="0" applyProtection="0">
      <alignment horizontal="left" vertical="top" indent="1"/>
    </xf>
    <xf numFmtId="220" fontId="274" fillId="47" borderId="0" applyNumberFormat="0" applyBorder="0" applyAlignment="0" applyProtection="0">
      <alignment vertical="center"/>
    </xf>
    <xf numFmtId="220" fontId="186" fillId="31" borderId="108" applyNumberFormat="0" applyProtection="0">
      <alignment horizontal="left" vertical="top" indent="1"/>
    </xf>
    <xf numFmtId="220" fontId="186" fillId="31" borderId="108" applyNumberFormat="0" applyProtection="0">
      <alignment horizontal="left" vertical="top" indent="1"/>
    </xf>
    <xf numFmtId="220" fontId="186" fillId="31" borderId="108" applyNumberFormat="0" applyProtection="0">
      <alignment horizontal="left" vertical="top" indent="1"/>
    </xf>
    <xf numFmtId="220" fontId="5" fillId="0" borderId="0"/>
    <xf numFmtId="220" fontId="142" fillId="38" borderId="0" applyNumberFormat="0" applyBorder="0" applyAlignment="0" applyProtection="0">
      <alignment vertical="center"/>
    </xf>
    <xf numFmtId="220" fontId="186" fillId="31" borderId="108" applyNumberFormat="0" applyProtection="0">
      <alignment horizontal="left" vertical="top" indent="1"/>
    </xf>
    <xf numFmtId="220" fontId="5" fillId="0" borderId="0"/>
    <xf numFmtId="220" fontId="5" fillId="0" borderId="0"/>
    <xf numFmtId="220" fontId="186" fillId="31" borderId="108" applyNumberFormat="0" applyProtection="0">
      <alignment horizontal="left" vertical="top" indent="1"/>
    </xf>
    <xf numFmtId="220" fontId="150" fillId="35" borderId="0" applyNumberFormat="0" applyBorder="0" applyAlignment="0" applyProtection="0">
      <alignment vertical="center"/>
    </xf>
    <xf numFmtId="220" fontId="186" fillId="31" borderId="108" applyNumberFormat="0" applyProtection="0">
      <alignment horizontal="left" vertical="top" indent="1"/>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86" fillId="31" borderId="108" applyNumberFormat="0" applyProtection="0">
      <alignment horizontal="left" vertical="top" indent="1"/>
    </xf>
    <xf numFmtId="220" fontId="186" fillId="31" borderId="108" applyNumberFormat="0" applyProtection="0">
      <alignment horizontal="left" vertical="top" indent="1"/>
    </xf>
    <xf numFmtId="220" fontId="186" fillId="31" borderId="108" applyNumberFormat="0" applyProtection="0">
      <alignment horizontal="left" vertical="top" indent="1"/>
    </xf>
    <xf numFmtId="220" fontId="186" fillId="31" borderId="108" applyNumberFormat="0" applyProtection="0">
      <alignment horizontal="left" vertical="top" indent="1"/>
    </xf>
    <xf numFmtId="220" fontId="5" fillId="0" borderId="0"/>
    <xf numFmtId="220" fontId="0" fillId="0" borderId="0">
      <alignment vertical="center"/>
    </xf>
    <xf numFmtId="4" fontId="186" fillId="55" borderId="0" applyNumberFormat="0" applyProtection="0">
      <alignment horizontal="left" vertical="center" indent="1"/>
    </xf>
    <xf numFmtId="4" fontId="186" fillId="55" borderId="0" applyNumberFormat="0" applyProtection="0">
      <alignment horizontal="left" vertical="center" indent="1"/>
    </xf>
    <xf numFmtId="220" fontId="186" fillId="55" borderId="0" applyNumberFormat="0" applyProtection="0">
      <alignment horizontal="left" vertical="center" indent="1"/>
    </xf>
    <xf numFmtId="220" fontId="186" fillId="55" borderId="0" applyNumberFormat="0" applyProtection="0">
      <alignment horizontal="left" vertical="center" indent="1"/>
    </xf>
    <xf numFmtId="220" fontId="186" fillId="55" borderId="0" applyNumberFormat="0" applyProtection="0">
      <alignment horizontal="left" vertical="center" indent="1"/>
    </xf>
    <xf numFmtId="220" fontId="186" fillId="55" borderId="0" applyNumberFormat="0" applyProtection="0">
      <alignment horizontal="left" vertical="center" indent="1"/>
    </xf>
    <xf numFmtId="220" fontId="186" fillId="55" borderId="0" applyNumberFormat="0" applyProtection="0">
      <alignment horizontal="left" vertical="center" indent="1"/>
    </xf>
    <xf numFmtId="220" fontId="146" fillId="47" borderId="108" applyNumberFormat="0" applyProtection="0">
      <alignment horizontal="right" vertical="center"/>
    </xf>
    <xf numFmtId="220" fontId="146" fillId="47" borderId="108" applyNumberFormat="0" applyProtection="0">
      <alignment horizontal="right" vertical="center"/>
    </xf>
    <xf numFmtId="4" fontId="146" fillId="47" borderId="108" applyNumberFormat="0" applyProtection="0">
      <alignment horizontal="right" vertical="center"/>
    </xf>
    <xf numFmtId="220" fontId="146" fillId="47" borderId="108" applyNumberFormat="0" applyProtection="0">
      <alignment horizontal="right" vertical="center"/>
    </xf>
    <xf numFmtId="220" fontId="146" fillId="47" borderId="108" applyNumberFormat="0" applyProtection="0">
      <alignment horizontal="right" vertical="center"/>
    </xf>
    <xf numFmtId="4" fontId="146" fillId="47" borderId="108" applyNumberFormat="0" applyProtection="0">
      <alignment horizontal="right" vertical="center"/>
    </xf>
    <xf numFmtId="220" fontId="146" fillId="47" borderId="108" applyNumberFormat="0" applyProtection="0">
      <alignment horizontal="right" vertical="center"/>
    </xf>
    <xf numFmtId="220" fontId="146" fillId="47" borderId="108" applyNumberFormat="0" applyProtection="0">
      <alignment horizontal="right" vertical="center"/>
    </xf>
    <xf numFmtId="220" fontId="146" fillId="47" borderId="108" applyNumberFormat="0" applyProtection="0">
      <alignment horizontal="right" vertical="center"/>
    </xf>
    <xf numFmtId="220" fontId="146" fillId="47" borderId="108" applyNumberFormat="0" applyProtection="0">
      <alignment horizontal="right" vertical="center"/>
    </xf>
    <xf numFmtId="220" fontId="146" fillId="47" borderId="108" applyNumberFormat="0" applyProtection="0">
      <alignment horizontal="right" vertical="center"/>
    </xf>
    <xf numFmtId="220" fontId="0" fillId="0" borderId="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4" fontId="146" fillId="54" borderId="108" applyNumberFormat="0" applyProtection="0">
      <alignment horizontal="right" vertical="center"/>
    </xf>
    <xf numFmtId="4" fontId="146" fillId="54" borderId="108" applyNumberFormat="0" applyProtection="0">
      <alignment horizontal="right" vertical="center"/>
    </xf>
    <xf numFmtId="220" fontId="146" fillId="54" borderId="108" applyNumberFormat="0" applyProtection="0">
      <alignment horizontal="right" vertical="center"/>
    </xf>
    <xf numFmtId="220" fontId="146" fillId="54" borderId="108" applyNumberFormat="0" applyProtection="0">
      <alignment horizontal="right" vertical="center"/>
    </xf>
    <xf numFmtId="4" fontId="146" fillId="54" borderId="108" applyNumberFormat="0" applyProtection="0">
      <alignment horizontal="right" vertical="center"/>
    </xf>
    <xf numFmtId="220" fontId="146" fillId="54" borderId="108" applyNumberFormat="0" applyProtection="0">
      <alignment horizontal="right" vertical="center"/>
    </xf>
    <xf numFmtId="220" fontId="146" fillId="54" borderId="108" applyNumberFormat="0" applyProtection="0">
      <alignment horizontal="right" vertical="center"/>
    </xf>
    <xf numFmtId="4" fontId="146" fillId="54" borderId="108" applyNumberFormat="0" applyProtection="0">
      <alignment horizontal="right" vertical="center"/>
    </xf>
    <xf numFmtId="220" fontId="157" fillId="47" borderId="0" applyNumberFormat="0" applyBorder="0" applyAlignment="0" applyProtection="0">
      <alignment vertical="center"/>
    </xf>
    <xf numFmtId="220" fontId="146" fillId="54" borderId="108" applyNumberFormat="0" applyProtection="0">
      <alignment horizontal="right" vertical="center"/>
    </xf>
    <xf numFmtId="220" fontId="150" fillId="35" borderId="0" applyNumberFormat="0" applyBorder="0" applyAlignment="0" applyProtection="0">
      <alignment vertical="center"/>
    </xf>
    <xf numFmtId="4" fontId="146" fillId="54" borderId="108" applyNumberFormat="0" applyProtection="0">
      <alignment horizontal="right" vertical="center"/>
    </xf>
    <xf numFmtId="220" fontId="146" fillId="54" borderId="108" applyNumberFormat="0" applyProtection="0">
      <alignment horizontal="right" vertical="center"/>
    </xf>
    <xf numFmtId="220" fontId="146" fillId="54" borderId="108" applyNumberFormat="0" applyProtection="0">
      <alignment horizontal="right" vertical="center"/>
    </xf>
    <xf numFmtId="220" fontId="150" fillId="35" borderId="0" applyNumberFormat="0" applyBorder="0" applyAlignment="0" applyProtection="0">
      <alignment vertical="center"/>
    </xf>
    <xf numFmtId="220" fontId="146" fillId="54" borderId="108" applyNumberFormat="0" applyProtection="0">
      <alignment horizontal="right" vertical="center"/>
    </xf>
    <xf numFmtId="220" fontId="146" fillId="54" borderId="108" applyNumberFormat="0" applyProtection="0">
      <alignment horizontal="right" vertical="center"/>
    </xf>
    <xf numFmtId="220" fontId="0" fillId="0" borderId="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39" fillId="0" borderId="0">
      <alignment vertical="center"/>
    </xf>
    <xf numFmtId="4" fontId="146" fillId="75" borderId="108" applyNumberFormat="0" applyProtection="0">
      <alignment horizontal="right" vertical="center"/>
    </xf>
    <xf numFmtId="220" fontId="139" fillId="0" borderId="0">
      <alignment vertical="center"/>
    </xf>
    <xf numFmtId="220" fontId="146" fillId="75" borderId="108" applyNumberFormat="0" applyProtection="0">
      <alignment horizontal="right" vertical="center"/>
    </xf>
    <xf numFmtId="220" fontId="139" fillId="0" borderId="0">
      <alignment vertical="center"/>
    </xf>
    <xf numFmtId="4" fontId="146" fillId="75" borderId="108" applyNumberFormat="0" applyProtection="0">
      <alignment horizontal="right" vertical="center"/>
    </xf>
    <xf numFmtId="220" fontId="139" fillId="0" borderId="0">
      <alignment vertical="center"/>
    </xf>
    <xf numFmtId="220" fontId="146" fillId="75" borderId="108" applyNumberFormat="0" applyProtection="0">
      <alignment horizontal="right" vertical="center"/>
    </xf>
    <xf numFmtId="220" fontId="139" fillId="0" borderId="0">
      <alignment vertical="center"/>
    </xf>
    <xf numFmtId="220" fontId="146" fillId="75" borderId="108" applyNumberFormat="0" applyProtection="0">
      <alignment horizontal="right" vertical="center"/>
    </xf>
    <xf numFmtId="220" fontId="0" fillId="0" borderId="0"/>
    <xf numFmtId="220" fontId="146" fillId="75" borderId="108" applyNumberFormat="0" applyProtection="0">
      <alignment horizontal="right" vertical="center"/>
    </xf>
    <xf numFmtId="4" fontId="146" fillId="35" borderId="108" applyNumberFormat="0" applyProtection="0">
      <alignment horizontal="right" vertical="center"/>
    </xf>
    <xf numFmtId="220" fontId="5" fillId="0" borderId="0"/>
    <xf numFmtId="220" fontId="146" fillId="35" borderId="108" applyNumberFormat="0" applyProtection="0">
      <alignment horizontal="right" vertical="center"/>
    </xf>
    <xf numFmtId="220" fontId="150" fillId="35" borderId="0" applyNumberFormat="0" applyBorder="0" applyAlignment="0" applyProtection="0">
      <alignment vertical="center"/>
    </xf>
    <xf numFmtId="4" fontId="146" fillId="35" borderId="108" applyNumberFormat="0" applyProtection="0">
      <alignment horizontal="right" vertical="center"/>
    </xf>
    <xf numFmtId="220" fontId="146" fillId="35" borderId="108" applyNumberFormat="0" applyProtection="0">
      <alignment horizontal="right" vertical="center"/>
    </xf>
    <xf numFmtId="220" fontId="146" fillId="35" borderId="108" applyNumberFormat="0" applyProtection="0">
      <alignment horizontal="right" vertical="center"/>
    </xf>
    <xf numFmtId="4" fontId="146" fillId="35" borderId="108" applyNumberFormat="0" applyProtection="0">
      <alignment horizontal="right" vertical="center"/>
    </xf>
    <xf numFmtId="220" fontId="5" fillId="0" borderId="0"/>
    <xf numFmtId="220" fontId="146" fillId="35" borderId="108" applyNumberFormat="0" applyProtection="0">
      <alignment horizontal="right" vertical="center"/>
    </xf>
    <xf numFmtId="220" fontId="146" fillId="35" borderId="108" applyNumberFormat="0" applyProtection="0">
      <alignment horizontal="right" vertical="center"/>
    </xf>
    <xf numFmtId="4" fontId="146" fillId="35" borderId="108" applyNumberFormat="0" applyProtection="0">
      <alignment horizontal="right" vertical="center"/>
    </xf>
    <xf numFmtId="220" fontId="146" fillId="35" borderId="108" applyNumberFormat="0" applyProtection="0">
      <alignment horizontal="right" vertical="center"/>
    </xf>
    <xf numFmtId="220" fontId="147" fillId="96" borderId="0" applyNumberFormat="0" applyBorder="0" applyAlignment="0" applyProtection="0">
      <alignment vertical="center"/>
    </xf>
    <xf numFmtId="220" fontId="146" fillId="35" borderId="108" applyNumberFormat="0" applyProtection="0">
      <alignment horizontal="right" vertical="center"/>
    </xf>
    <xf numFmtId="220" fontId="146" fillId="35" borderId="108" applyNumberFormat="0" applyProtection="0">
      <alignment horizontal="right" vertical="center"/>
    </xf>
    <xf numFmtId="220" fontId="146" fillId="35" borderId="108" applyNumberFormat="0" applyProtection="0">
      <alignment horizontal="right" vertical="center"/>
    </xf>
    <xf numFmtId="4" fontId="146" fillId="48" borderId="108" applyNumberFormat="0" applyProtection="0">
      <alignment horizontal="right" vertical="center"/>
    </xf>
    <xf numFmtId="220" fontId="5" fillId="0" borderId="0"/>
    <xf numFmtId="220" fontId="146" fillId="48" borderId="108" applyNumberFormat="0" applyProtection="0">
      <alignment horizontal="right" vertical="center"/>
    </xf>
    <xf numFmtId="220" fontId="146" fillId="48" borderId="108" applyNumberFormat="0" applyProtection="0">
      <alignment horizontal="right" vertical="center"/>
    </xf>
    <xf numFmtId="4" fontId="146" fillId="48" borderId="108" applyNumberFormat="0" applyProtection="0">
      <alignment horizontal="right" vertical="center"/>
    </xf>
    <xf numFmtId="220" fontId="157" fillId="47" borderId="0" applyNumberFormat="0" applyBorder="0" applyAlignment="0" applyProtection="0">
      <alignment vertical="center"/>
    </xf>
    <xf numFmtId="220" fontId="146" fillId="48" borderId="108" applyNumberFormat="0" applyProtection="0">
      <alignment horizontal="right" vertical="center"/>
    </xf>
    <xf numFmtId="220" fontId="146" fillId="48" borderId="108" applyNumberFormat="0" applyProtection="0">
      <alignment horizontal="right" vertical="center"/>
    </xf>
    <xf numFmtId="4" fontId="146" fillId="48" borderId="108" applyNumberFormat="0" applyProtection="0">
      <alignment horizontal="right" vertical="center"/>
    </xf>
    <xf numFmtId="220" fontId="146" fillId="48" borderId="108" applyNumberFormat="0" applyProtection="0">
      <alignment horizontal="right" vertical="center"/>
    </xf>
    <xf numFmtId="220" fontId="146" fillId="48" borderId="108" applyNumberFormat="0" applyProtection="0">
      <alignment horizontal="right" vertical="center"/>
    </xf>
    <xf numFmtId="220" fontId="146" fillId="48" borderId="108" applyNumberFormat="0" applyProtection="0">
      <alignment horizontal="right" vertical="center"/>
    </xf>
    <xf numFmtId="220" fontId="146" fillId="48" borderId="108" applyNumberFormat="0" applyProtection="0">
      <alignment horizontal="right" vertical="center"/>
    </xf>
    <xf numFmtId="4" fontId="146" fillId="112" borderId="108" applyNumberFormat="0" applyProtection="0">
      <alignment horizontal="right" vertical="center"/>
    </xf>
    <xf numFmtId="4" fontId="146" fillId="112" borderId="108" applyNumberFormat="0" applyProtection="0">
      <alignment horizontal="right" vertical="center"/>
    </xf>
    <xf numFmtId="220" fontId="146" fillId="112" borderId="108" applyNumberFormat="0" applyProtection="0">
      <alignment horizontal="right" vertical="center"/>
    </xf>
    <xf numFmtId="220" fontId="146" fillId="112" borderId="108" applyNumberFormat="0" applyProtection="0">
      <alignment horizontal="right" vertical="center"/>
    </xf>
    <xf numFmtId="4" fontId="146" fillId="112" borderId="108" applyNumberFormat="0" applyProtection="0">
      <alignment horizontal="right" vertical="center"/>
    </xf>
    <xf numFmtId="220" fontId="146" fillId="112" borderId="108" applyNumberFormat="0" applyProtection="0">
      <alignment horizontal="right" vertical="center"/>
    </xf>
    <xf numFmtId="220" fontId="146" fillId="112" borderId="108" applyNumberFormat="0" applyProtection="0">
      <alignment horizontal="right" vertical="center"/>
    </xf>
    <xf numFmtId="4" fontId="146" fillId="112" borderId="108" applyNumberFormat="0" applyProtection="0">
      <alignment horizontal="right" vertical="center"/>
    </xf>
    <xf numFmtId="220" fontId="5" fillId="0" borderId="0"/>
    <xf numFmtId="220" fontId="5" fillId="0" borderId="0"/>
    <xf numFmtId="220" fontId="157" fillId="47" borderId="0" applyNumberFormat="0" applyBorder="0" applyAlignment="0" applyProtection="0">
      <alignment vertical="center"/>
    </xf>
    <xf numFmtId="220" fontId="146" fillId="112" borderId="108" applyNumberFormat="0" applyProtection="0">
      <alignment horizontal="right" vertical="center"/>
    </xf>
    <xf numFmtId="220" fontId="5" fillId="0" borderId="0"/>
    <xf numFmtId="220" fontId="5" fillId="0" borderId="0"/>
    <xf numFmtId="220" fontId="146" fillId="112" borderId="108" applyNumberFormat="0" applyProtection="0">
      <alignment horizontal="right" vertical="center"/>
    </xf>
    <xf numFmtId="4" fontId="146" fillId="112" borderId="108" applyNumberFormat="0" applyProtection="0">
      <alignment horizontal="right" vertical="center"/>
    </xf>
    <xf numFmtId="220" fontId="146" fillId="112" borderId="108" applyNumberFormat="0" applyProtection="0">
      <alignment horizontal="right" vertical="center"/>
    </xf>
    <xf numFmtId="220" fontId="146" fillId="112" borderId="108" applyNumberFormat="0" applyProtection="0">
      <alignment horizontal="right" vertical="center"/>
    </xf>
    <xf numFmtId="220" fontId="146" fillId="112" borderId="108" applyNumberFormat="0" applyProtection="0">
      <alignment horizontal="right" vertical="center"/>
    </xf>
    <xf numFmtId="220" fontId="146" fillId="112" borderId="108" applyNumberFormat="0" applyProtection="0">
      <alignment horizontal="right" vertical="center"/>
    </xf>
    <xf numFmtId="220" fontId="147" fillId="96" borderId="0" applyNumberFormat="0" applyBorder="0" applyAlignment="0" applyProtection="0">
      <alignment vertical="center"/>
    </xf>
    <xf numFmtId="4" fontId="146" fillId="99" borderId="108" applyNumberFormat="0" applyProtection="0">
      <alignment horizontal="right" vertical="center"/>
    </xf>
    <xf numFmtId="220" fontId="146" fillId="99" borderId="108" applyNumberFormat="0" applyProtection="0">
      <alignment horizontal="right" vertical="center"/>
    </xf>
    <xf numFmtId="4" fontId="146" fillId="99" borderId="108" applyNumberFormat="0" applyProtection="0">
      <alignment horizontal="right" vertical="center"/>
    </xf>
    <xf numFmtId="220" fontId="5" fillId="0" borderId="0"/>
    <xf numFmtId="220" fontId="146" fillId="99" borderId="108" applyNumberFormat="0" applyProtection="0">
      <alignment horizontal="right" vertical="center"/>
    </xf>
    <xf numFmtId="220" fontId="5" fillId="0" borderId="0"/>
    <xf numFmtId="220" fontId="146" fillId="99" borderId="108" applyNumberFormat="0" applyProtection="0">
      <alignment horizontal="right" vertical="center"/>
    </xf>
    <xf numFmtId="220" fontId="5" fillId="0" borderId="0"/>
    <xf numFmtId="220" fontId="146" fillId="99" borderId="108" applyNumberFormat="0" applyProtection="0">
      <alignment horizontal="right" vertical="center"/>
    </xf>
    <xf numFmtId="220" fontId="5" fillId="0" borderId="0"/>
    <xf numFmtId="220" fontId="146" fillId="99" borderId="108" applyNumberFormat="0" applyProtection="0">
      <alignment horizontal="right" vertical="center"/>
    </xf>
    <xf numFmtId="220" fontId="5" fillId="0" borderId="0"/>
    <xf numFmtId="4" fontId="146" fillId="99" borderId="108" applyNumberFormat="0" applyProtection="0">
      <alignment horizontal="right" vertical="center"/>
    </xf>
    <xf numFmtId="220" fontId="5" fillId="0" borderId="0"/>
    <xf numFmtId="220" fontId="146" fillId="99" borderId="108" applyNumberFormat="0" applyProtection="0">
      <alignment horizontal="right" vertical="center"/>
    </xf>
    <xf numFmtId="220" fontId="146" fillId="99" borderId="108" applyNumberFormat="0" applyProtection="0">
      <alignment horizontal="right" vertical="center"/>
    </xf>
    <xf numFmtId="220" fontId="146" fillId="99" borderId="108" applyNumberFormat="0" applyProtection="0">
      <alignment horizontal="right" vertical="center"/>
    </xf>
    <xf numFmtId="220" fontId="0" fillId="0" borderId="0"/>
    <xf numFmtId="4" fontId="146" fillId="113" borderId="108" applyNumberFormat="0" applyProtection="0">
      <alignment horizontal="right" vertical="center"/>
    </xf>
    <xf numFmtId="4" fontId="146" fillId="113" borderId="108" applyNumberFormat="0" applyProtection="0">
      <alignment horizontal="right" vertical="center"/>
    </xf>
    <xf numFmtId="220" fontId="146" fillId="113" borderId="108" applyNumberFormat="0" applyProtection="0">
      <alignment horizontal="right" vertical="center"/>
    </xf>
    <xf numFmtId="220" fontId="150" fillId="35" borderId="0" applyNumberFormat="0" applyBorder="0" applyAlignment="0" applyProtection="0">
      <alignment vertical="center"/>
    </xf>
    <xf numFmtId="220" fontId="146" fillId="113" borderId="108" applyNumberFormat="0" applyProtection="0">
      <alignment horizontal="right" vertical="center"/>
    </xf>
    <xf numFmtId="4" fontId="146" fillId="113" borderId="108" applyNumberFormat="0" applyProtection="0">
      <alignment horizontal="right" vertical="center"/>
    </xf>
    <xf numFmtId="220" fontId="5" fillId="0" borderId="0"/>
    <xf numFmtId="220" fontId="5" fillId="0" borderId="0"/>
    <xf numFmtId="220" fontId="146" fillId="113" borderId="108" applyNumberFormat="0" applyProtection="0">
      <alignment horizontal="right" vertical="center"/>
    </xf>
    <xf numFmtId="220" fontId="5" fillId="0" borderId="0"/>
    <xf numFmtId="220" fontId="146" fillId="113" borderId="108" applyNumberFormat="0" applyProtection="0">
      <alignment horizontal="right" vertical="center"/>
    </xf>
    <xf numFmtId="220" fontId="5" fillId="0" borderId="0"/>
    <xf numFmtId="4" fontId="146" fillId="113" borderId="108" applyNumberFormat="0" applyProtection="0">
      <alignment horizontal="right" vertical="center"/>
    </xf>
    <xf numFmtId="220" fontId="146" fillId="113" borderId="108" applyNumberFormat="0" applyProtection="0">
      <alignment horizontal="right" vertical="center"/>
    </xf>
    <xf numFmtId="220" fontId="146" fillId="113" borderId="108" applyNumberFormat="0" applyProtection="0">
      <alignment horizontal="right" vertical="center"/>
    </xf>
    <xf numFmtId="4" fontId="146" fillId="113" borderId="108" applyNumberFormat="0" applyProtection="0">
      <alignment horizontal="right" vertical="center"/>
    </xf>
    <xf numFmtId="220" fontId="5" fillId="0" borderId="0"/>
    <xf numFmtId="220" fontId="146" fillId="113" borderId="108" applyNumberFormat="0" applyProtection="0">
      <alignment horizontal="right" vertical="center"/>
    </xf>
    <xf numFmtId="220" fontId="5" fillId="0" borderId="0"/>
    <xf numFmtId="220" fontId="146" fillId="113" borderId="108" applyNumberFormat="0" applyProtection="0">
      <alignment horizontal="right" vertical="center"/>
    </xf>
    <xf numFmtId="220" fontId="146" fillId="113" borderId="108" applyNumberFormat="0" applyProtection="0">
      <alignment horizontal="right" vertical="center"/>
    </xf>
    <xf numFmtId="9" fontId="0" fillId="0" borderId="0" applyFont="0" applyFill="0" applyBorder="0" applyAlignment="0" applyProtection="0"/>
    <xf numFmtId="220" fontId="5" fillId="0" borderId="0"/>
    <xf numFmtId="220" fontId="146" fillId="113" borderId="108" applyNumberFormat="0" applyProtection="0">
      <alignment horizontal="right" vertical="center"/>
    </xf>
    <xf numFmtId="220" fontId="0" fillId="0" borderId="0"/>
    <xf numFmtId="4" fontId="146" fillId="93" borderId="108" applyNumberFormat="0" applyProtection="0">
      <alignment horizontal="right" vertical="center"/>
    </xf>
    <xf numFmtId="9" fontId="0" fillId="0" borderId="0" applyFont="0" applyFill="0" applyBorder="0" applyAlignment="0" applyProtection="0">
      <alignment vertical="center"/>
    </xf>
    <xf numFmtId="4" fontId="146" fillId="93" borderId="108" applyNumberFormat="0" applyProtection="0">
      <alignment horizontal="right" vertical="center"/>
    </xf>
    <xf numFmtId="220" fontId="157" fillId="47" borderId="0" applyNumberFormat="0" applyBorder="0" applyAlignment="0" applyProtection="0">
      <alignment vertical="center"/>
    </xf>
    <xf numFmtId="9" fontId="0" fillId="0" borderId="0" applyFont="0" applyFill="0" applyBorder="0" applyAlignment="0" applyProtection="0">
      <alignment vertical="center"/>
    </xf>
    <xf numFmtId="220" fontId="146" fillId="93" borderId="108" applyNumberFormat="0" applyProtection="0">
      <alignment horizontal="right" vertical="center"/>
    </xf>
    <xf numFmtId="220" fontId="157" fillId="47" borderId="0" applyNumberFormat="0" applyBorder="0" applyAlignment="0" applyProtection="0">
      <alignment vertical="center"/>
    </xf>
    <xf numFmtId="220" fontId="146" fillId="93" borderId="108" applyNumberFormat="0" applyProtection="0">
      <alignment horizontal="right" vertical="center"/>
    </xf>
    <xf numFmtId="9" fontId="0" fillId="0" borderId="0" applyFont="0" applyFill="0" applyBorder="0" applyAlignment="0" applyProtection="0">
      <alignment vertical="center"/>
    </xf>
    <xf numFmtId="4" fontId="146" fillId="93" borderId="108" applyNumberFormat="0" applyProtection="0">
      <alignment horizontal="right" vertical="center"/>
    </xf>
    <xf numFmtId="220" fontId="5" fillId="0" borderId="0"/>
    <xf numFmtId="9" fontId="0" fillId="0" borderId="0" applyFont="0" applyFill="0" applyBorder="0" applyAlignment="0" applyProtection="0">
      <alignment vertical="center"/>
    </xf>
    <xf numFmtId="220" fontId="5" fillId="0" borderId="0"/>
    <xf numFmtId="220" fontId="146" fillId="93" borderId="108" applyNumberFormat="0" applyProtection="0">
      <alignment horizontal="right" vertical="center"/>
    </xf>
    <xf numFmtId="9" fontId="0" fillId="0" borderId="0" applyFont="0" applyFill="0" applyBorder="0" applyAlignment="0" applyProtection="0">
      <alignment vertical="center"/>
    </xf>
    <xf numFmtId="4" fontId="146" fillId="93" borderId="108" applyNumberFormat="0" applyProtection="0">
      <alignment horizontal="right" vertical="center"/>
    </xf>
    <xf numFmtId="9" fontId="0" fillId="0" borderId="0" applyFont="0" applyFill="0" applyBorder="0" applyAlignment="0" applyProtection="0">
      <alignment vertical="center"/>
    </xf>
    <xf numFmtId="9" fontId="139" fillId="0" borderId="0" applyFont="0" applyFill="0" applyBorder="0" applyAlignment="0" applyProtection="0">
      <alignment vertical="center"/>
    </xf>
    <xf numFmtId="220" fontId="146" fillId="93" borderId="108" applyNumberFormat="0" applyProtection="0">
      <alignment horizontal="right" vertical="center"/>
    </xf>
    <xf numFmtId="9" fontId="139" fillId="0" borderId="0" applyFont="0" applyFill="0" applyBorder="0" applyAlignment="0" applyProtection="0">
      <alignment vertical="center"/>
    </xf>
    <xf numFmtId="220" fontId="146" fillId="93" borderId="108" applyNumberFormat="0" applyProtection="0">
      <alignment horizontal="right" vertical="center"/>
    </xf>
    <xf numFmtId="220" fontId="146" fillId="93" borderId="108" applyNumberFormat="0" applyProtection="0">
      <alignment horizontal="right" vertical="center"/>
    </xf>
    <xf numFmtId="220" fontId="5" fillId="0" borderId="0"/>
    <xf numFmtId="220" fontId="146" fillId="93" borderId="108" applyNumberFormat="0" applyProtection="0">
      <alignment horizontal="right" vertical="center"/>
    </xf>
    <xf numFmtId="220" fontId="5" fillId="0" borderId="0"/>
    <xf numFmtId="9" fontId="0" fillId="0" borderId="0" applyFont="0" applyFill="0" applyBorder="0" applyAlignment="0" applyProtection="0"/>
    <xf numFmtId="220" fontId="146" fillId="93" borderId="108" applyNumberFormat="0" applyProtection="0">
      <alignment horizontal="right" vertical="center"/>
    </xf>
    <xf numFmtId="4" fontId="186" fillId="127" borderId="140" applyNumberFormat="0" applyProtection="0">
      <alignment horizontal="left" vertical="center" indent="1"/>
    </xf>
    <xf numFmtId="4" fontId="186" fillId="127" borderId="140" applyNumberFormat="0" applyProtection="0">
      <alignment horizontal="left" vertical="center" indent="1"/>
    </xf>
    <xf numFmtId="220" fontId="186" fillId="127" borderId="140" applyNumberFormat="0" applyProtection="0">
      <alignment horizontal="left" vertical="center" indent="1"/>
    </xf>
    <xf numFmtId="220" fontId="186" fillId="127" borderId="140" applyNumberFormat="0" applyProtection="0">
      <alignment horizontal="left" vertical="center" indent="1"/>
    </xf>
    <xf numFmtId="220" fontId="186" fillId="127" borderId="140" applyNumberFormat="0" applyProtection="0">
      <alignment horizontal="left" vertical="center" indent="1"/>
    </xf>
    <xf numFmtId="220" fontId="186" fillId="127" borderId="140" applyNumberFormat="0" applyProtection="0">
      <alignment horizontal="left" vertical="center" indent="1"/>
    </xf>
    <xf numFmtId="220" fontId="186" fillId="127" borderId="140" applyNumberFormat="0" applyProtection="0">
      <alignment horizontal="left" vertical="center" indent="1"/>
    </xf>
    <xf numFmtId="220" fontId="142" fillId="38" borderId="0" applyNumberFormat="0" applyBorder="0" applyAlignment="0" applyProtection="0">
      <alignment vertical="center"/>
    </xf>
    <xf numFmtId="4" fontId="146" fillId="32" borderId="0" applyNumberFormat="0" applyProtection="0">
      <alignment horizontal="left" vertical="center" indent="1"/>
    </xf>
    <xf numFmtId="4" fontId="146" fillId="32" borderId="0" applyNumberFormat="0" applyProtection="0">
      <alignment horizontal="left" vertical="center" indent="1"/>
    </xf>
    <xf numFmtId="220" fontId="146" fillId="32" borderId="0" applyNumberFormat="0" applyProtection="0">
      <alignment horizontal="left" vertical="center" indent="1"/>
    </xf>
    <xf numFmtId="220" fontId="5" fillId="0" borderId="0"/>
    <xf numFmtId="220" fontId="146" fillId="32" borderId="0" applyNumberFormat="0" applyProtection="0">
      <alignment horizontal="left" vertical="center" indent="1"/>
    </xf>
    <xf numFmtId="220" fontId="330" fillId="100" borderId="139" applyNumberFormat="0" applyAlignment="0" applyProtection="0">
      <alignment vertical="center"/>
    </xf>
    <xf numFmtId="220" fontId="5" fillId="0" borderId="0"/>
    <xf numFmtId="220" fontId="146" fillId="32" borderId="0" applyNumberFormat="0" applyProtection="0">
      <alignment horizontal="left" vertical="center" indent="1"/>
    </xf>
    <xf numFmtId="220" fontId="5" fillId="0" borderId="0"/>
    <xf numFmtId="220" fontId="146" fillId="32" borderId="0" applyNumberFormat="0" applyProtection="0">
      <alignment horizontal="left" vertical="center" indent="1"/>
    </xf>
    <xf numFmtId="4" fontId="329" fillId="95" borderId="0" applyNumberFormat="0" applyProtection="0">
      <alignment horizontal="left" vertical="center" indent="1"/>
    </xf>
    <xf numFmtId="4" fontId="329" fillId="95" borderId="0" applyNumberFormat="0" applyProtection="0">
      <alignment horizontal="left" vertical="center" indent="1"/>
    </xf>
    <xf numFmtId="220" fontId="329" fillId="95" borderId="0" applyNumberFormat="0" applyProtection="0">
      <alignment horizontal="left" vertical="center" indent="1"/>
    </xf>
    <xf numFmtId="220" fontId="329" fillId="95" borderId="0" applyNumberFormat="0" applyProtection="0">
      <alignment horizontal="left" vertical="center" indent="1"/>
    </xf>
    <xf numFmtId="220" fontId="329" fillId="95" borderId="0" applyNumberFormat="0" applyProtection="0">
      <alignment horizontal="left" vertical="center" indent="1"/>
    </xf>
    <xf numFmtId="220" fontId="329" fillId="95" borderId="0" applyNumberFormat="0" applyProtection="0">
      <alignment horizontal="left" vertical="center" indent="1"/>
    </xf>
    <xf numFmtId="220" fontId="329" fillId="95" borderId="0" applyNumberFormat="0" applyProtection="0">
      <alignment horizontal="left" vertical="center" indent="1"/>
    </xf>
    <xf numFmtId="220" fontId="5" fillId="0" borderId="0"/>
    <xf numFmtId="220" fontId="146" fillId="55" borderId="108" applyNumberFormat="0" applyProtection="0">
      <alignment horizontal="right" vertical="center"/>
    </xf>
    <xf numFmtId="220" fontId="0" fillId="0" borderId="0"/>
    <xf numFmtId="220" fontId="146" fillId="55" borderId="108" applyNumberFormat="0" applyProtection="0">
      <alignment horizontal="right" vertical="center"/>
    </xf>
    <xf numFmtId="220" fontId="5" fillId="0" borderId="0"/>
    <xf numFmtId="4" fontId="146" fillId="55" borderId="108" applyNumberFormat="0" applyProtection="0">
      <alignment horizontal="right" vertical="center"/>
    </xf>
    <xf numFmtId="220" fontId="0" fillId="0" borderId="0"/>
    <xf numFmtId="220" fontId="146" fillId="55" borderId="108" applyNumberFormat="0" applyProtection="0">
      <alignment horizontal="right" vertical="center"/>
    </xf>
    <xf numFmtId="220" fontId="0" fillId="0" borderId="0"/>
    <xf numFmtId="220" fontId="146" fillId="55" borderId="108" applyNumberFormat="0" applyProtection="0">
      <alignment horizontal="right" vertical="center"/>
    </xf>
    <xf numFmtId="220" fontId="5" fillId="0" borderId="0"/>
    <xf numFmtId="4" fontId="146" fillId="55" borderId="108" applyNumberFormat="0" applyProtection="0">
      <alignment horizontal="right" vertical="center"/>
    </xf>
    <xf numFmtId="220" fontId="5" fillId="0" borderId="0"/>
    <xf numFmtId="220" fontId="0" fillId="0" borderId="0"/>
    <xf numFmtId="220" fontId="146" fillId="55" borderId="108" applyNumberFormat="0" applyProtection="0">
      <alignment horizontal="right" vertical="center"/>
    </xf>
    <xf numFmtId="220" fontId="0" fillId="0" borderId="0"/>
    <xf numFmtId="220" fontId="146" fillId="55" borderId="108" applyNumberFormat="0" applyProtection="0">
      <alignment horizontal="right" vertical="center"/>
    </xf>
    <xf numFmtId="220" fontId="5" fillId="0" borderId="0"/>
    <xf numFmtId="220" fontId="146" fillId="55" borderId="108" applyNumberFormat="0" applyProtection="0">
      <alignment horizontal="right" vertical="center"/>
    </xf>
    <xf numFmtId="220" fontId="5" fillId="0" borderId="0"/>
    <xf numFmtId="220" fontId="146" fillId="55" borderId="108" applyNumberFormat="0" applyProtection="0">
      <alignment horizontal="right" vertical="center"/>
    </xf>
    <xf numFmtId="220" fontId="157" fillId="47" borderId="0" applyNumberFormat="0" applyBorder="0" applyAlignment="0" applyProtection="0">
      <alignment vertical="center"/>
    </xf>
    <xf numFmtId="4" fontId="146" fillId="32" borderId="0" applyNumberFormat="0" applyProtection="0">
      <alignment horizontal="left" vertical="center" indent="1"/>
    </xf>
    <xf numFmtId="220" fontId="0" fillId="0" borderId="0"/>
    <xf numFmtId="220" fontId="5" fillId="0" borderId="0"/>
    <xf numFmtId="4" fontId="146" fillId="32" borderId="0" applyNumberFormat="0" applyProtection="0">
      <alignment horizontal="left" vertical="center" indent="1"/>
    </xf>
    <xf numFmtId="220" fontId="146" fillId="32" borderId="0" applyNumberFormat="0" applyProtection="0">
      <alignment horizontal="left" vertical="center" indent="1"/>
    </xf>
    <xf numFmtId="220" fontId="0" fillId="0" borderId="0"/>
    <xf numFmtId="220" fontId="5" fillId="0" borderId="0"/>
    <xf numFmtId="220" fontId="146" fillId="32" borderId="0" applyNumberFormat="0" applyProtection="0">
      <alignment horizontal="left" vertical="center" indent="1"/>
    </xf>
    <xf numFmtId="220" fontId="0" fillId="0" borderId="0"/>
    <xf numFmtId="220" fontId="5" fillId="0" borderId="0"/>
    <xf numFmtId="220" fontId="146" fillId="32" borderId="0" applyNumberFormat="0" applyProtection="0">
      <alignment horizontal="left" vertical="center" indent="1"/>
    </xf>
    <xf numFmtId="220" fontId="0" fillId="0" borderId="0"/>
    <xf numFmtId="220" fontId="5" fillId="0" borderId="0"/>
    <xf numFmtId="220" fontId="146" fillId="32" borderId="0" applyNumberFormat="0" applyProtection="0">
      <alignment horizontal="left" vertical="center" indent="1"/>
    </xf>
    <xf numFmtId="220" fontId="0" fillId="0" borderId="0"/>
    <xf numFmtId="220" fontId="5" fillId="0" borderId="0"/>
    <xf numFmtId="220" fontId="146" fillId="32" borderId="0" applyNumberFormat="0" applyProtection="0">
      <alignment horizontal="left" vertical="center" indent="1"/>
    </xf>
    <xf numFmtId="220" fontId="146" fillId="55" borderId="0" applyNumberFormat="0" applyProtection="0">
      <alignment horizontal="left" vertical="center" indent="1"/>
    </xf>
    <xf numFmtId="220" fontId="5" fillId="0" borderId="0"/>
    <xf numFmtId="220" fontId="146" fillId="55" borderId="0" applyNumberFormat="0" applyProtection="0">
      <alignment horizontal="left" vertical="center" indent="1"/>
    </xf>
    <xf numFmtId="220" fontId="0" fillId="0" borderId="0"/>
    <xf numFmtId="220" fontId="146" fillId="55" borderId="0" applyNumberFormat="0" applyProtection="0">
      <alignment horizontal="left" vertical="center" indent="1"/>
    </xf>
    <xf numFmtId="220" fontId="0" fillId="0" borderId="0"/>
    <xf numFmtId="220" fontId="157" fillId="47" borderId="0" applyNumberFormat="0" applyBorder="0" applyAlignment="0" applyProtection="0">
      <alignment vertical="center"/>
    </xf>
    <xf numFmtId="220" fontId="145" fillId="95" borderId="108" applyNumberFormat="0" applyProtection="0">
      <alignment horizontal="left" vertical="center" indent="1"/>
    </xf>
    <xf numFmtId="220" fontId="0" fillId="0" borderId="0"/>
    <xf numFmtId="220" fontId="145" fillId="95" borderId="108" applyNumberFormat="0" applyProtection="0">
      <alignment horizontal="left" vertical="center" indent="1"/>
    </xf>
    <xf numFmtId="220" fontId="5" fillId="0" borderId="0"/>
    <xf numFmtId="220" fontId="145" fillId="95" borderId="108" applyNumberFormat="0" applyProtection="0">
      <alignment horizontal="left" vertical="center" indent="1"/>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0" fillId="0" borderId="0"/>
    <xf numFmtId="220" fontId="145" fillId="95" borderId="108" applyNumberFormat="0" applyProtection="0">
      <alignment horizontal="left" vertical="center" indent="1"/>
    </xf>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5" fillId="0" borderId="0"/>
    <xf numFmtId="220" fontId="5" fillId="0" borderId="0"/>
    <xf numFmtId="220" fontId="145" fillId="95" borderId="108" applyNumberFormat="0" applyProtection="0">
      <alignment horizontal="left" vertical="center" indent="1"/>
    </xf>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0" fillId="0" borderId="0"/>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5" fillId="0" borderId="0"/>
    <xf numFmtId="220" fontId="145" fillId="95" borderId="108" applyNumberFormat="0" applyProtection="0">
      <alignment horizontal="left" vertical="center" indent="1"/>
    </xf>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5" fillId="0" borderId="0"/>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5" fillId="0" borderId="0"/>
    <xf numFmtId="220" fontId="147" fillId="38" borderId="0" applyNumberFormat="0" applyBorder="0" applyAlignment="0" applyProtection="0">
      <alignment vertical="center"/>
    </xf>
    <xf numFmtId="220" fontId="145" fillId="95" borderId="108" applyNumberFormat="0" applyProtection="0">
      <alignment horizontal="left" vertical="center" indent="1"/>
    </xf>
    <xf numFmtId="220" fontId="0" fillId="0" borderId="0"/>
    <xf numFmtId="220" fontId="0" fillId="0" borderId="0"/>
    <xf numFmtId="220" fontId="145" fillId="95" borderId="108" applyNumberFormat="0" applyProtection="0">
      <alignment horizontal="left" vertical="top" indent="1"/>
    </xf>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145" fillId="95" borderId="108" applyNumberFormat="0" applyProtection="0">
      <alignment horizontal="left" vertical="top" indent="1"/>
    </xf>
    <xf numFmtId="220" fontId="139" fillId="0" borderId="0">
      <alignment vertical="center"/>
    </xf>
    <xf numFmtId="220" fontId="5" fillId="0" borderId="0"/>
    <xf numFmtId="220" fontId="147" fillId="42" borderId="0" applyNumberFormat="0" applyBorder="0" applyAlignment="0" applyProtection="0">
      <alignment vertical="center"/>
    </xf>
    <xf numFmtId="220" fontId="5" fillId="0" borderId="0"/>
    <xf numFmtId="220" fontId="145" fillId="95" borderId="108" applyNumberFormat="0" applyProtection="0">
      <alignment horizontal="left" vertical="top" indent="1"/>
    </xf>
    <xf numFmtId="220" fontId="139" fillId="0" borderId="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5" fillId="95" borderId="108" applyNumberFormat="0" applyProtection="0">
      <alignment horizontal="left" vertical="top" indent="1"/>
    </xf>
    <xf numFmtId="220" fontId="139" fillId="0" borderId="0">
      <alignment vertical="center"/>
    </xf>
    <xf numFmtId="220" fontId="5"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5" fillId="95" borderId="108" applyNumberFormat="0" applyProtection="0">
      <alignment horizontal="left" vertical="top" indent="1"/>
    </xf>
    <xf numFmtId="220" fontId="139" fillId="0" borderId="0">
      <alignment vertical="center"/>
    </xf>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145" fillId="95" borderId="108" applyNumberFormat="0" applyProtection="0">
      <alignment horizontal="left" vertical="top" indent="1"/>
    </xf>
    <xf numFmtId="220" fontId="139" fillId="0" borderId="0">
      <alignment vertical="center"/>
    </xf>
    <xf numFmtId="220" fontId="5" fillId="0" borderId="0"/>
    <xf numFmtId="220" fontId="145" fillId="95" borderId="108" applyNumberFormat="0" applyProtection="0">
      <alignment horizontal="left" vertical="top" indent="1"/>
    </xf>
    <xf numFmtId="220" fontId="139" fillId="0" borderId="0">
      <alignment vertical="center"/>
    </xf>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0" fillId="0" borderId="0"/>
    <xf numFmtId="220" fontId="145" fillId="95" borderId="108" applyNumberFormat="0" applyProtection="0">
      <alignment horizontal="left" vertical="top" indent="1"/>
    </xf>
    <xf numFmtId="220" fontId="139" fillId="0" borderId="0">
      <alignment vertical="center"/>
    </xf>
    <xf numFmtId="220" fontId="5" fillId="0" borderId="0"/>
    <xf numFmtId="220" fontId="145" fillId="95" borderId="108" applyNumberFormat="0" applyProtection="0">
      <alignment horizontal="left" vertical="top" indent="1"/>
    </xf>
    <xf numFmtId="220" fontId="139" fillId="0" borderId="0">
      <alignment vertical="center"/>
    </xf>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0" fillId="0" borderId="0"/>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5" fillId="0" borderId="0"/>
    <xf numFmtId="220" fontId="5" fillId="0" borderId="0"/>
    <xf numFmtId="220" fontId="147" fillId="42" borderId="0" applyNumberFormat="0" applyBorder="0" applyAlignment="0" applyProtection="0">
      <alignment vertical="center"/>
    </xf>
    <xf numFmtId="220" fontId="145" fillId="95" borderId="108" applyNumberFormat="0" applyProtection="0">
      <alignment horizontal="left" vertical="top" indent="1"/>
    </xf>
    <xf numFmtId="220" fontId="139" fillId="0" borderId="0">
      <alignment vertical="center"/>
    </xf>
    <xf numFmtId="220" fontId="150" fillId="35" borderId="0" applyNumberFormat="0" applyBorder="0" applyAlignment="0" applyProtection="0">
      <alignment vertical="center"/>
    </xf>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5" fillId="0" borderId="0"/>
    <xf numFmtId="220" fontId="145" fillId="55" borderId="108" applyNumberFormat="0" applyProtection="0">
      <alignment horizontal="left" vertical="center" indent="1"/>
    </xf>
    <xf numFmtId="220" fontId="150" fillId="35" borderId="0" applyNumberFormat="0" applyBorder="0" applyAlignment="0" applyProtection="0">
      <alignment vertical="center"/>
    </xf>
    <xf numFmtId="220" fontId="5" fillId="0" borderId="0"/>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5" fillId="0" borderId="0"/>
    <xf numFmtId="220" fontId="145" fillId="55" borderId="108" applyNumberFormat="0" applyProtection="0">
      <alignment horizontal="left" vertical="center" indent="1"/>
    </xf>
    <xf numFmtId="220" fontId="5" fillId="0" borderId="0"/>
    <xf numFmtId="220" fontId="152" fillId="0" borderId="0">
      <alignment vertical="center"/>
    </xf>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5" fillId="0" borderId="0"/>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150" fillId="35" borderId="0" applyNumberFormat="0" applyBorder="0" applyAlignment="0" applyProtection="0">
      <alignment vertical="center"/>
    </xf>
    <xf numFmtId="220" fontId="145" fillId="55" borderId="108" applyNumberFormat="0" applyProtection="0">
      <alignment horizontal="left" vertical="center" indent="1"/>
    </xf>
    <xf numFmtId="220" fontId="150" fillId="35" borderId="0" applyNumberFormat="0" applyBorder="0" applyAlignment="0" applyProtection="0">
      <alignment vertical="center"/>
    </xf>
    <xf numFmtId="220" fontId="145" fillId="55" borderId="108" applyNumberFormat="0" applyProtection="0">
      <alignment horizontal="left" vertical="center" indent="1"/>
    </xf>
    <xf numFmtId="220" fontId="145" fillId="55" borderId="108" applyNumberFormat="0" applyProtection="0">
      <alignment horizontal="left" vertical="center" indent="1"/>
    </xf>
    <xf numFmtId="220" fontId="0" fillId="0" borderId="0"/>
    <xf numFmtId="220" fontId="145" fillId="55" borderId="108" applyNumberFormat="0" applyProtection="0">
      <alignment horizontal="left" vertical="center" indent="1"/>
    </xf>
    <xf numFmtId="43" fontId="0" fillId="0" borderId="0" applyFont="0" applyFill="0" applyBorder="0" applyAlignment="0" applyProtection="0"/>
    <xf numFmtId="220" fontId="5" fillId="0" borderId="0"/>
    <xf numFmtId="220" fontId="145" fillId="55" borderId="108" applyNumberFormat="0" applyProtection="0">
      <alignment horizontal="left" vertical="top" indent="1"/>
    </xf>
    <xf numFmtId="220" fontId="5" fillId="0" borderId="0"/>
    <xf numFmtId="220" fontId="0" fillId="0" borderId="0"/>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0" fillId="0" borderId="0"/>
    <xf numFmtId="220" fontId="145" fillId="55" borderId="108" applyNumberFormat="0" applyProtection="0">
      <alignment horizontal="left" vertical="top" indent="1"/>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5" fillId="0" borderId="0"/>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55" borderId="108" applyNumberFormat="0" applyProtection="0">
      <alignment horizontal="left" vertical="top" indent="1"/>
    </xf>
    <xf numFmtId="220" fontId="145" fillId="55" borderId="108" applyNumberFormat="0" applyProtection="0">
      <alignment horizontal="left" vertical="top" indent="1"/>
    </xf>
    <xf numFmtId="220" fontId="150" fillId="35" borderId="0" applyNumberFormat="0" applyBorder="0" applyAlignment="0" applyProtection="0">
      <alignment vertical="center"/>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150" fillId="35" borderId="0" applyNumberFormat="0" applyBorder="0" applyAlignment="0" applyProtection="0">
      <alignment vertical="center"/>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5" fillId="0" borderId="0"/>
    <xf numFmtId="220" fontId="145" fillId="44" borderId="108" applyNumberFormat="0" applyProtection="0">
      <alignment horizontal="left" vertical="center" indent="1"/>
    </xf>
    <xf numFmtId="220" fontId="0" fillId="0" borderId="0"/>
    <xf numFmtId="220" fontId="145" fillId="44" borderId="108" applyNumberFormat="0" applyProtection="0">
      <alignment horizontal="left" vertical="center" indent="1"/>
    </xf>
    <xf numFmtId="220" fontId="145" fillId="44" borderId="108" applyNumberFormat="0" applyProtection="0">
      <alignment horizontal="left" vertical="center" indent="1"/>
    </xf>
    <xf numFmtId="220" fontId="5" fillId="0" borderId="0"/>
    <xf numFmtId="220" fontId="145" fillId="44" borderId="108" applyNumberFormat="0" applyProtection="0">
      <alignment horizontal="left" vertical="center" indent="1"/>
    </xf>
    <xf numFmtId="220" fontId="5" fillId="0" borderId="0"/>
    <xf numFmtId="220" fontId="0" fillId="0" borderId="0"/>
    <xf numFmtId="220" fontId="145" fillId="44" borderId="108" applyNumberFormat="0" applyProtection="0">
      <alignment horizontal="left" vertical="center" indent="1"/>
    </xf>
    <xf numFmtId="220" fontId="5" fillId="0" borderId="0"/>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5" fillId="0" borderId="0"/>
    <xf numFmtId="220" fontId="145" fillId="44" borderId="108" applyNumberFormat="0" applyProtection="0">
      <alignment horizontal="left" vertical="top" indent="1"/>
    </xf>
    <xf numFmtId="220" fontId="5" fillId="0" borderId="0"/>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5" fillId="0" borderId="0"/>
    <xf numFmtId="220" fontId="145" fillId="44" borderId="108" applyNumberFormat="0" applyProtection="0">
      <alignment horizontal="left" vertical="top" indent="1"/>
    </xf>
    <xf numFmtId="220" fontId="147" fillId="38" borderId="0" applyNumberFormat="0" applyBorder="0" applyAlignment="0" applyProtection="0">
      <alignment vertical="center"/>
    </xf>
    <xf numFmtId="220" fontId="218" fillId="42" borderId="0" applyNumberFormat="0" applyBorder="0" applyAlignment="0" applyProtection="0">
      <alignment vertical="center"/>
    </xf>
    <xf numFmtId="220" fontId="5" fillId="0" borderId="0"/>
    <xf numFmtId="220" fontId="145" fillId="44" borderId="108" applyNumberFormat="0" applyProtection="0">
      <alignment horizontal="left" vertical="top" indent="1"/>
    </xf>
    <xf numFmtId="220" fontId="5" fillId="0" borderId="0"/>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145" fillId="44" borderId="108" applyNumberFormat="0" applyProtection="0">
      <alignment horizontal="left" vertical="top" indent="1"/>
    </xf>
    <xf numFmtId="220" fontId="145" fillId="32" borderId="108" applyNumberFormat="0" applyProtection="0">
      <alignment horizontal="left" vertical="center" indent="1"/>
    </xf>
    <xf numFmtId="220" fontId="0" fillId="0" borderId="0"/>
    <xf numFmtId="220" fontId="0" fillId="0" borderId="0"/>
    <xf numFmtId="220" fontId="145" fillId="32" borderId="108" applyNumberFormat="0" applyProtection="0">
      <alignment horizontal="left" vertical="center" indent="1"/>
    </xf>
    <xf numFmtId="220" fontId="0" fillId="0" borderId="0"/>
    <xf numFmtId="220" fontId="0" fillId="0" borderId="0"/>
    <xf numFmtId="220" fontId="145" fillId="32" borderId="108" applyNumberFormat="0" applyProtection="0">
      <alignment horizontal="left" vertical="center" indent="1"/>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5" fillId="32" borderId="108" applyNumberFormat="0" applyProtection="0">
      <alignment horizontal="left" vertical="center" indent="1"/>
    </xf>
    <xf numFmtId="220" fontId="0" fillId="0" borderId="0"/>
    <xf numFmtId="220" fontId="142" fillId="38" borderId="0" applyNumberFormat="0" applyBorder="0" applyAlignment="0" applyProtection="0">
      <alignment vertical="center"/>
    </xf>
    <xf numFmtId="220" fontId="145" fillId="32" borderId="108" applyNumberFormat="0" applyProtection="0">
      <alignment horizontal="left" vertical="center" indent="1"/>
    </xf>
    <xf numFmtId="220" fontId="145" fillId="32" borderId="108" applyNumberFormat="0" applyProtection="0">
      <alignment horizontal="left" vertical="center" indent="1"/>
    </xf>
    <xf numFmtId="220" fontId="145" fillId="32" borderId="108" applyNumberFormat="0" applyProtection="0">
      <alignment horizontal="left" vertical="center" indent="1"/>
    </xf>
    <xf numFmtId="43" fontId="0" fillId="0" borderId="0" applyFont="0" applyFill="0" applyBorder="0" applyAlignment="0" applyProtection="0"/>
    <xf numFmtId="220" fontId="5" fillId="0" borderId="0"/>
    <xf numFmtId="220" fontId="145" fillId="32" borderId="108" applyNumberFormat="0" applyProtection="0">
      <alignment horizontal="left" vertical="center" indent="1"/>
    </xf>
    <xf numFmtId="220" fontId="145" fillId="32" borderId="108" applyNumberFormat="0" applyProtection="0">
      <alignment horizontal="left" vertical="center" indent="1"/>
    </xf>
    <xf numFmtId="220" fontId="5" fillId="0" borderId="0"/>
    <xf numFmtId="220" fontId="145" fillId="32" borderId="108" applyNumberFormat="0" applyProtection="0">
      <alignment horizontal="left" vertical="center" indent="1"/>
    </xf>
    <xf numFmtId="220" fontId="145" fillId="32" borderId="108" applyNumberFormat="0" applyProtection="0">
      <alignment horizontal="left" vertical="center" indent="1"/>
    </xf>
    <xf numFmtId="220" fontId="145" fillId="32" borderId="108" applyNumberFormat="0" applyProtection="0">
      <alignment horizontal="left" vertical="center" indent="1"/>
    </xf>
    <xf numFmtId="220" fontId="145" fillId="32" borderId="108" applyNumberFormat="0" applyProtection="0">
      <alignment horizontal="left" vertical="top" indent="1"/>
    </xf>
    <xf numFmtId="220" fontId="147" fillId="42" borderId="0" applyNumberFormat="0" applyBorder="0" applyAlignment="0" applyProtection="0">
      <alignment vertical="center"/>
    </xf>
    <xf numFmtId="220" fontId="5" fillId="0" borderId="0"/>
    <xf numFmtId="220" fontId="145" fillId="32" borderId="108" applyNumberFormat="0" applyProtection="0">
      <alignment horizontal="left" vertical="top" indent="1"/>
    </xf>
    <xf numFmtId="220" fontId="152" fillId="0" borderId="0">
      <alignment vertical="center"/>
    </xf>
    <xf numFmtId="220" fontId="145" fillId="32" borderId="108" applyNumberFormat="0" applyProtection="0">
      <alignment horizontal="left" vertical="top" indent="1"/>
    </xf>
    <xf numFmtId="220" fontId="145" fillId="32" borderId="108" applyNumberFormat="0" applyProtection="0">
      <alignment horizontal="left" vertical="top" indent="1"/>
    </xf>
    <xf numFmtId="220" fontId="5" fillId="0" borderId="0"/>
    <xf numFmtId="220" fontId="145" fillId="32" borderId="108" applyNumberFormat="0" applyProtection="0">
      <alignment horizontal="left" vertical="top" indent="1"/>
    </xf>
    <xf numFmtId="4" fontId="146" fillId="41" borderId="108" applyNumberFormat="0" applyProtection="0">
      <alignment vertical="center"/>
    </xf>
    <xf numFmtId="220" fontId="5" fillId="0" borderId="0"/>
    <xf numFmtId="220" fontId="158" fillId="0" borderId="0" applyNumberFormat="0" applyBorder="0" applyAlignment="0" applyProtection="0">
      <alignment vertical="center"/>
    </xf>
    <xf numFmtId="4" fontId="146" fillId="41" borderId="108" applyNumberFormat="0" applyProtection="0">
      <alignment vertical="center"/>
    </xf>
    <xf numFmtId="220" fontId="5" fillId="0" borderId="0"/>
    <xf numFmtId="220" fontId="146" fillId="41" borderId="108" applyNumberFormat="0" applyProtection="0">
      <alignment vertical="center"/>
    </xf>
    <xf numFmtId="220" fontId="146" fillId="41" borderId="108" applyNumberFormat="0" applyProtection="0">
      <alignment vertical="center"/>
    </xf>
    <xf numFmtId="220" fontId="5" fillId="0" borderId="0"/>
    <xf numFmtId="4" fontId="146" fillId="41" borderId="108" applyNumberFormat="0" applyProtection="0">
      <alignment vertical="center"/>
    </xf>
    <xf numFmtId="220" fontId="146" fillId="41" borderId="108" applyNumberFormat="0" applyProtection="0">
      <alignment vertical="center"/>
    </xf>
    <xf numFmtId="220" fontId="146" fillId="41" borderId="108" applyNumberFormat="0" applyProtection="0">
      <alignment vertical="center"/>
    </xf>
    <xf numFmtId="4" fontId="146" fillId="41" borderId="108" applyNumberFormat="0" applyProtection="0">
      <alignment vertical="center"/>
    </xf>
    <xf numFmtId="220" fontId="5" fillId="0" borderId="0"/>
    <xf numFmtId="220" fontId="146" fillId="41" borderId="108" applyNumberFormat="0" applyProtection="0">
      <alignment vertical="center"/>
    </xf>
    <xf numFmtId="220" fontId="5" fillId="0" borderId="0"/>
    <xf numFmtId="220" fontId="146" fillId="41" borderId="108" applyNumberFormat="0" applyProtection="0">
      <alignment vertical="center"/>
    </xf>
    <xf numFmtId="4" fontId="146" fillId="41" borderId="108" applyNumberFormat="0" applyProtection="0">
      <alignment vertical="center"/>
    </xf>
    <xf numFmtId="220" fontId="146" fillId="41" borderId="108" applyNumberFormat="0" applyProtection="0">
      <alignment vertical="center"/>
    </xf>
    <xf numFmtId="220" fontId="146" fillId="41" borderId="108" applyNumberFormat="0" applyProtection="0">
      <alignment vertical="center"/>
    </xf>
    <xf numFmtId="220" fontId="146" fillId="41" borderId="108" applyNumberFormat="0" applyProtection="0">
      <alignment vertical="center"/>
    </xf>
    <xf numFmtId="220" fontId="146" fillId="41" borderId="108" applyNumberFormat="0" applyProtection="0">
      <alignment vertical="center"/>
    </xf>
    <xf numFmtId="220" fontId="0" fillId="0" borderId="0"/>
    <xf numFmtId="220" fontId="5" fillId="0" borderId="0"/>
    <xf numFmtId="220" fontId="5" fillId="0" borderId="0"/>
    <xf numFmtId="4" fontId="216" fillId="41" borderId="108" applyNumberFormat="0" applyProtection="0">
      <alignment vertical="center"/>
    </xf>
    <xf numFmtId="220" fontId="0" fillId="0" borderId="0"/>
    <xf numFmtId="220" fontId="5" fillId="0" borderId="0"/>
    <xf numFmtId="4" fontId="216" fillId="41" borderId="108" applyNumberForma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216" fillId="41" borderId="108" applyNumberFormat="0" applyProtection="0">
      <alignment vertical="center"/>
    </xf>
    <xf numFmtId="4" fontId="216" fillId="41" borderId="108" applyNumberFormat="0" applyProtection="0">
      <alignment vertical="center"/>
    </xf>
    <xf numFmtId="220" fontId="5" fillId="0" borderId="0"/>
    <xf numFmtId="220" fontId="0" fillId="0" borderId="0">
      <alignment vertical="center"/>
    </xf>
    <xf numFmtId="220" fontId="150" fillId="35" borderId="0" applyNumberFormat="0" applyBorder="0" applyAlignment="0" applyProtection="0">
      <alignment vertical="center"/>
    </xf>
    <xf numFmtId="220" fontId="216" fillId="41" borderId="108" applyNumberFormat="0" applyProtection="0">
      <alignment vertical="center"/>
    </xf>
    <xf numFmtId="4" fontId="216" fillId="41" borderId="108" applyNumberFormat="0" applyProtection="0">
      <alignment vertical="center"/>
    </xf>
    <xf numFmtId="220" fontId="5" fillId="0" borderId="0"/>
    <xf numFmtId="220" fontId="5" fillId="0" borderId="0"/>
    <xf numFmtId="220" fontId="216" fillId="41" borderId="108" applyNumberFormat="0" applyProtection="0">
      <alignment vertical="center"/>
    </xf>
    <xf numFmtId="4" fontId="216" fillId="41" borderId="108" applyNumberFormat="0" applyProtection="0">
      <alignment vertical="center"/>
    </xf>
    <xf numFmtId="220" fontId="5" fillId="0" borderId="0"/>
    <xf numFmtId="220" fontId="0" fillId="0" borderId="0"/>
    <xf numFmtId="220" fontId="216" fillId="41" borderId="108" applyNumberFormat="0" applyProtection="0">
      <alignment vertical="center"/>
    </xf>
    <xf numFmtId="220" fontId="0" fillId="0" borderId="0"/>
    <xf numFmtId="220" fontId="216" fillId="41" borderId="108" applyNumberFormat="0" applyProtection="0">
      <alignment vertical="center"/>
    </xf>
    <xf numFmtId="220" fontId="216" fillId="41" borderId="108" applyNumberFormat="0" applyProtection="0">
      <alignment vertical="center"/>
    </xf>
    <xf numFmtId="220" fontId="5" fillId="0" borderId="0"/>
    <xf numFmtId="220" fontId="0" fillId="0" borderId="0"/>
    <xf numFmtId="220" fontId="216" fillId="41" borderId="108" applyNumberFormat="0" applyProtection="0">
      <alignment vertical="center"/>
    </xf>
    <xf numFmtId="220" fontId="0" fillId="0" borderId="0"/>
    <xf numFmtId="4" fontId="146" fillId="41" borderId="108" applyNumberFormat="0" applyProtection="0">
      <alignment horizontal="left" vertical="center" indent="1"/>
    </xf>
    <xf numFmtId="4" fontId="146" fillId="41" borderId="108" applyNumberFormat="0" applyProtection="0">
      <alignment horizontal="left" vertical="center" indent="1"/>
    </xf>
    <xf numFmtId="220" fontId="146" fillId="41" borderId="108" applyNumberFormat="0" applyProtection="0">
      <alignment horizontal="left" vertical="center" indent="1"/>
    </xf>
    <xf numFmtId="220" fontId="146" fillId="41" borderId="108" applyNumberFormat="0" applyProtection="0">
      <alignment horizontal="left" vertical="center" indent="1"/>
    </xf>
    <xf numFmtId="220" fontId="260" fillId="38" borderId="0" applyNumberFormat="0" applyBorder="0" applyAlignment="0" applyProtection="0">
      <alignment vertical="center"/>
    </xf>
    <xf numFmtId="220" fontId="240" fillId="0" borderId="0">
      <alignment horizontal="center"/>
    </xf>
    <xf numFmtId="220" fontId="146" fillId="41" borderId="108" applyNumberFormat="0" applyProtection="0">
      <alignment horizontal="left" vertical="center" indent="1"/>
    </xf>
    <xf numFmtId="220" fontId="0" fillId="0" borderId="0"/>
    <xf numFmtId="220" fontId="260" fillId="38" borderId="0" applyNumberFormat="0" applyBorder="0" applyAlignment="0" applyProtection="0">
      <alignment vertical="center"/>
    </xf>
    <xf numFmtId="220" fontId="240" fillId="0" borderId="0">
      <alignment horizontal="center"/>
    </xf>
    <xf numFmtId="220" fontId="146" fillId="41" borderId="108" applyNumberFormat="0" applyProtection="0">
      <alignment horizontal="left" vertical="center" indent="1"/>
    </xf>
    <xf numFmtId="4" fontId="146" fillId="41" borderId="108" applyNumberFormat="0" applyProtection="0">
      <alignment horizontal="left" vertical="center" indent="1"/>
    </xf>
    <xf numFmtId="220" fontId="260" fillId="83" borderId="0" applyNumberFormat="0" applyBorder="0" applyAlignment="0" applyProtection="0">
      <alignment vertical="center"/>
    </xf>
    <xf numFmtId="220" fontId="146" fillId="41" borderId="108" applyNumberFormat="0" applyProtection="0">
      <alignment horizontal="left" vertical="center" indent="1"/>
    </xf>
    <xf numFmtId="220" fontId="146" fillId="41" borderId="108" applyNumberFormat="0" applyProtection="0">
      <alignment horizontal="left" vertical="center" indent="1"/>
    </xf>
    <xf numFmtId="4" fontId="146" fillId="41" borderId="108" applyNumberFormat="0" applyProtection="0">
      <alignment horizontal="left" vertical="center" indent="1"/>
    </xf>
    <xf numFmtId="220" fontId="5" fillId="0" borderId="0"/>
    <xf numFmtId="220" fontId="146" fillId="41" borderId="108" applyNumberFormat="0" applyProtection="0">
      <alignment horizontal="left" vertical="center" indent="1"/>
    </xf>
    <xf numFmtId="220" fontId="0" fillId="0" borderId="0">
      <alignment vertical="center"/>
    </xf>
    <xf numFmtId="220" fontId="146" fillId="41" borderId="108" applyNumberFormat="0" applyProtection="0">
      <alignment horizontal="left" vertical="center" indent="1"/>
    </xf>
    <xf numFmtId="220" fontId="5" fillId="0" borderId="0"/>
    <xf numFmtId="220" fontId="146" fillId="41" borderId="108" applyNumberFormat="0" applyProtection="0">
      <alignment horizontal="left" vertical="center" indent="1"/>
    </xf>
    <xf numFmtId="220" fontId="146" fillId="41" borderId="108" applyNumberFormat="0" applyProtection="0">
      <alignment horizontal="left" vertical="top" indent="1"/>
    </xf>
    <xf numFmtId="220" fontId="5" fillId="0" borderId="0"/>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142" fillId="38" borderId="0" applyNumberFormat="0" applyBorder="0" applyAlignment="0" applyProtection="0">
      <alignment vertical="center"/>
    </xf>
    <xf numFmtId="220" fontId="5" fillId="0" borderId="0"/>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5" fillId="0" borderId="0"/>
    <xf numFmtId="220" fontId="146" fillId="41" borderId="108" applyNumberFormat="0" applyProtection="0">
      <alignment horizontal="left" vertical="top" indent="1"/>
    </xf>
    <xf numFmtId="220" fontId="5" fillId="0" borderId="0"/>
    <xf numFmtId="220" fontId="147" fillId="42" borderId="0" applyNumberFormat="0" applyBorder="0" applyAlignment="0" applyProtection="0">
      <alignment vertical="center"/>
    </xf>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5" fillId="0" borderId="0"/>
    <xf numFmtId="220" fontId="5" fillId="0" borderId="0"/>
    <xf numFmtId="220" fontId="146" fillId="41" borderId="108" applyNumberFormat="0" applyProtection="0">
      <alignment horizontal="left" vertical="top" indent="1"/>
    </xf>
    <xf numFmtId="220" fontId="5" fillId="0" borderId="0"/>
    <xf numFmtId="220" fontId="5" fillId="0" borderId="0"/>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146" fillId="41" borderId="108" applyNumberFormat="0" applyProtection="0">
      <alignment horizontal="left" vertical="top" indent="1"/>
    </xf>
    <xf numFmtId="220" fontId="146" fillId="32" borderId="108" applyNumberFormat="0" applyProtection="0">
      <alignment horizontal="right" vertical="center"/>
    </xf>
    <xf numFmtId="220" fontId="146" fillId="32" borderId="108" applyNumberFormat="0" applyProtection="0">
      <alignment horizontal="right" vertical="center"/>
    </xf>
    <xf numFmtId="4" fontId="146" fillId="32" borderId="108" applyNumberFormat="0" applyProtection="0">
      <alignment horizontal="right" vertical="center"/>
    </xf>
    <xf numFmtId="220" fontId="146" fillId="32" borderId="108" applyNumberFormat="0" applyProtection="0">
      <alignment horizontal="right" vertical="center"/>
    </xf>
    <xf numFmtId="220" fontId="146" fillId="32" borderId="108" applyNumberFormat="0" applyProtection="0">
      <alignment horizontal="right" vertical="center"/>
    </xf>
    <xf numFmtId="4" fontId="146" fillId="32" borderId="108" applyNumberFormat="0" applyProtection="0">
      <alignment horizontal="right" vertical="center"/>
    </xf>
    <xf numFmtId="220" fontId="146" fillId="32" borderId="108" applyNumberFormat="0" applyProtection="0">
      <alignment horizontal="right" vertical="center"/>
    </xf>
    <xf numFmtId="220" fontId="146" fillId="32" borderId="108" applyNumberFormat="0" applyProtection="0">
      <alignment horizontal="right" vertical="center"/>
    </xf>
    <xf numFmtId="4" fontId="146" fillId="32" borderId="108" applyNumberFormat="0" applyProtection="0">
      <alignment horizontal="right" vertical="center"/>
    </xf>
    <xf numFmtId="220" fontId="146" fillId="32" borderId="108" applyNumberFormat="0" applyProtection="0">
      <alignment horizontal="right" vertical="center"/>
    </xf>
    <xf numFmtId="220" fontId="146" fillId="32" borderId="108" applyNumberFormat="0" applyProtection="0">
      <alignment horizontal="right" vertical="center"/>
    </xf>
    <xf numFmtId="220" fontId="146" fillId="32" borderId="108" applyNumberFormat="0" applyProtection="0">
      <alignment horizontal="right" vertical="center"/>
    </xf>
    <xf numFmtId="220" fontId="5" fillId="0" borderId="0"/>
    <xf numFmtId="4" fontId="216" fillId="32" borderId="108" applyNumberFormat="0" applyProtection="0">
      <alignment horizontal="right" vertical="center"/>
    </xf>
    <xf numFmtId="4" fontId="216" fillId="32" borderId="108" applyNumberFormat="0" applyProtection="0">
      <alignment horizontal="right" vertical="center"/>
    </xf>
    <xf numFmtId="220" fontId="5" fillId="0" borderId="0"/>
    <xf numFmtId="220" fontId="216" fillId="32" borderId="108" applyNumberFormat="0" applyProtection="0">
      <alignment horizontal="right" vertical="center"/>
    </xf>
    <xf numFmtId="9" fontId="0" fillId="0" borderId="0" applyFont="0" applyFill="0" applyBorder="0" applyAlignment="0" applyProtection="0"/>
    <xf numFmtId="4" fontId="216" fillId="32" borderId="108" applyNumberFormat="0" applyProtection="0">
      <alignment horizontal="right" vertical="center"/>
    </xf>
    <xf numFmtId="220" fontId="216" fillId="32" borderId="108" applyNumberFormat="0" applyProtection="0">
      <alignment horizontal="right" vertical="center"/>
    </xf>
    <xf numFmtId="220" fontId="216" fillId="32" borderId="108" applyNumberFormat="0" applyProtection="0">
      <alignment horizontal="right" vertical="center"/>
    </xf>
    <xf numFmtId="9" fontId="0" fillId="0" borderId="0" applyFont="0" applyFill="0" applyBorder="0" applyAlignment="0" applyProtection="0"/>
    <xf numFmtId="4" fontId="216" fillId="32" borderId="108" applyNumberFormat="0" applyProtection="0">
      <alignment horizontal="right" vertical="center"/>
    </xf>
    <xf numFmtId="220" fontId="216" fillId="32" borderId="108" applyNumberFormat="0" applyProtection="0">
      <alignment horizontal="right" vertical="center"/>
    </xf>
    <xf numFmtId="220" fontId="216" fillId="32" borderId="108" applyNumberFormat="0" applyProtection="0">
      <alignment horizontal="right" vertical="center"/>
    </xf>
    <xf numFmtId="9" fontId="0" fillId="0" borderId="0" applyFont="0" applyFill="0" applyBorder="0" applyAlignment="0" applyProtection="0"/>
    <xf numFmtId="220" fontId="216" fillId="32" borderId="108" applyNumberFormat="0" applyProtection="0">
      <alignment horizontal="right" vertical="center"/>
    </xf>
    <xf numFmtId="4" fontId="146" fillId="55" borderId="108" applyNumberFormat="0" applyProtection="0">
      <alignment horizontal="left" vertical="center" indent="1"/>
    </xf>
    <xf numFmtId="4" fontId="146" fillId="55" borderId="108" applyNumberFormat="0" applyProtection="0">
      <alignment horizontal="left" vertical="center" indent="1"/>
    </xf>
    <xf numFmtId="220" fontId="152" fillId="0" borderId="0">
      <alignment vertical="center"/>
    </xf>
    <xf numFmtId="220" fontId="0" fillId="0" borderId="0"/>
    <xf numFmtId="220" fontId="146" fillId="55" borderId="108" applyNumberFormat="0" applyProtection="0">
      <alignment horizontal="left" vertical="center" indent="1"/>
    </xf>
    <xf numFmtId="220" fontId="146" fillId="55" borderId="108" applyNumberFormat="0" applyProtection="0">
      <alignment horizontal="left" vertical="center" indent="1"/>
    </xf>
    <xf numFmtId="4" fontId="146" fillId="55" borderId="108" applyNumberFormat="0" applyProtection="0">
      <alignment horizontal="left" vertical="center" indent="1"/>
    </xf>
    <xf numFmtId="220" fontId="146" fillId="55" borderId="108" applyNumberFormat="0" applyProtection="0">
      <alignment horizontal="left" vertical="center" indent="1"/>
    </xf>
    <xf numFmtId="4" fontId="146" fillId="55" borderId="108" applyNumberFormat="0" applyProtection="0">
      <alignment horizontal="left" vertical="center" indent="1"/>
    </xf>
    <xf numFmtId="220" fontId="5" fillId="0" borderId="0"/>
    <xf numFmtId="220" fontId="5" fillId="0" borderId="0"/>
    <xf numFmtId="220" fontId="146" fillId="55" borderId="108" applyNumberFormat="0" applyProtection="0">
      <alignment horizontal="left" vertical="center" indent="1"/>
    </xf>
    <xf numFmtId="220" fontId="5" fillId="0" borderId="0"/>
    <xf numFmtId="220" fontId="147" fillId="42" borderId="0" applyNumberFormat="0" applyBorder="0" applyAlignment="0" applyProtection="0">
      <alignment vertical="center"/>
    </xf>
    <xf numFmtId="220" fontId="146" fillId="55" borderId="108" applyNumberFormat="0" applyProtection="0">
      <alignment horizontal="left" vertical="center" indent="1"/>
    </xf>
    <xf numFmtId="220" fontId="5" fillId="0" borderId="0"/>
    <xf numFmtId="220" fontId="146" fillId="55" borderId="108" applyNumberFormat="0" applyProtection="0">
      <alignment horizontal="left" vertical="center" indent="1"/>
    </xf>
    <xf numFmtId="220" fontId="5" fillId="0" borderId="0"/>
    <xf numFmtId="220" fontId="146" fillId="55" borderId="108" applyNumberFormat="0" applyProtection="0">
      <alignment horizontal="left" vertical="center" indent="1"/>
    </xf>
    <xf numFmtId="220" fontId="150" fillId="112" borderId="0" applyNumberFormat="0" applyBorder="0" applyAlignment="0" applyProtection="0">
      <alignment vertical="center"/>
    </xf>
    <xf numFmtId="220" fontId="146" fillId="55" borderId="108" applyNumberFormat="0" applyProtection="0">
      <alignment horizontal="left" vertical="center" indent="1"/>
    </xf>
    <xf numFmtId="220" fontId="146" fillId="55" borderId="108" applyNumberFormat="0" applyProtection="0">
      <alignment horizontal="left" vertical="top" indent="1"/>
    </xf>
    <xf numFmtId="220" fontId="5" fillId="0" borderId="0"/>
    <xf numFmtId="220" fontId="139" fillId="0" borderId="0">
      <alignment vertical="center"/>
    </xf>
    <xf numFmtId="220" fontId="146" fillId="55" borderId="108" applyNumberFormat="0" applyProtection="0">
      <alignment horizontal="left" vertical="top" indent="1"/>
    </xf>
    <xf numFmtId="220" fontId="146" fillId="55" borderId="108" applyNumberFormat="0" applyProtection="0">
      <alignment horizontal="left" vertical="top" indent="1"/>
    </xf>
    <xf numFmtId="220" fontId="5" fillId="0" borderId="0"/>
    <xf numFmtId="220" fontId="146" fillId="55" borderId="108" applyNumberFormat="0" applyProtection="0">
      <alignment horizontal="left" vertical="top" indent="1"/>
    </xf>
    <xf numFmtId="220" fontId="5" fillId="0" borderId="0"/>
    <xf numFmtId="220" fontId="146" fillId="55" borderId="108" applyNumberFormat="0" applyProtection="0">
      <alignment horizontal="left" vertical="top" indent="1"/>
    </xf>
    <xf numFmtId="220" fontId="146" fillId="55" borderId="108" applyNumberFormat="0" applyProtection="0">
      <alignment horizontal="left" vertical="top" indent="1"/>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6" fillId="55" borderId="108" applyNumberFormat="0" applyProtection="0">
      <alignment horizontal="left" vertical="top" indent="1"/>
    </xf>
    <xf numFmtId="220" fontId="150" fillId="35" borderId="0" applyNumberFormat="0" applyBorder="0" applyAlignment="0" applyProtection="0">
      <alignment vertical="center"/>
    </xf>
    <xf numFmtId="220" fontId="146" fillId="55" borderId="108" applyNumberFormat="0" applyProtection="0">
      <alignment horizontal="left" vertical="top" indent="1"/>
    </xf>
    <xf numFmtId="220" fontId="142" fillId="38" borderId="0" applyNumberFormat="0" applyBorder="0" applyAlignment="0" applyProtection="0">
      <alignment vertical="center"/>
    </xf>
    <xf numFmtId="220" fontId="146" fillId="55" borderId="108" applyNumberFormat="0" applyProtection="0">
      <alignment horizontal="left" vertical="top" indent="1"/>
    </xf>
    <xf numFmtId="220" fontId="5" fillId="0" borderId="0"/>
    <xf numFmtId="220" fontId="142" fillId="38" borderId="0" applyNumberFormat="0" applyBorder="0" applyAlignment="0" applyProtection="0">
      <alignment vertical="center"/>
    </xf>
    <xf numFmtId="220" fontId="146" fillId="55" borderId="108" applyNumberFormat="0" applyProtection="0">
      <alignment horizontal="left" vertical="top" indent="1"/>
    </xf>
    <xf numFmtId="220" fontId="150" fillId="35" borderId="0" applyNumberFormat="0" applyBorder="0" applyAlignment="0" applyProtection="0">
      <alignment vertical="center"/>
    </xf>
    <xf numFmtId="220" fontId="146" fillId="55" borderId="108" applyNumberFormat="0" applyProtection="0">
      <alignment horizontal="left" vertical="top" indent="1"/>
    </xf>
    <xf numFmtId="220" fontId="146" fillId="55" borderId="108" applyNumberFormat="0" applyProtection="0">
      <alignment horizontal="left" vertical="top" indent="1"/>
    </xf>
    <xf numFmtId="4" fontId="264" fillId="117" borderId="0" applyNumberFormat="0" applyProtection="0">
      <alignment horizontal="left" vertical="center" indent="1"/>
    </xf>
    <xf numFmtId="4" fontId="264" fillId="117" borderId="0" applyNumberFormat="0" applyProtection="0">
      <alignment horizontal="left" vertical="center" indent="1"/>
    </xf>
    <xf numFmtId="220" fontId="5" fillId="0" borderId="0"/>
    <xf numFmtId="220" fontId="264" fillId="117" borderId="0" applyNumberFormat="0" applyProtection="0">
      <alignment horizontal="left" vertical="center" indent="1"/>
    </xf>
    <xf numFmtId="220" fontId="5" fillId="0" borderId="0"/>
    <xf numFmtId="220" fontId="264" fillId="117" borderId="0" applyNumberFormat="0" applyProtection="0">
      <alignment horizontal="left" vertical="center" indent="1"/>
    </xf>
    <xf numFmtId="220" fontId="264" fillId="117" borderId="0" applyNumberFormat="0" applyProtection="0">
      <alignment horizontal="left" vertical="center" indent="1"/>
    </xf>
    <xf numFmtId="220" fontId="5" fillId="0" borderId="0"/>
    <xf numFmtId="4" fontId="243" fillId="32" borderId="108" applyNumberFormat="0" applyProtection="0">
      <alignment horizontal="right" vertical="center"/>
    </xf>
    <xf numFmtId="220" fontId="142" fillId="38" borderId="0" applyNumberFormat="0" applyBorder="0" applyAlignment="0" applyProtection="0">
      <alignment vertical="center"/>
    </xf>
    <xf numFmtId="4" fontId="243" fillId="32" borderId="108" applyNumberFormat="0" applyProtection="0">
      <alignment horizontal="right" vertical="center"/>
    </xf>
    <xf numFmtId="220" fontId="243" fillId="32" borderId="108" applyNumberFormat="0" applyProtection="0">
      <alignment horizontal="right" vertical="center"/>
    </xf>
    <xf numFmtId="220" fontId="142" fillId="38" borderId="0" applyNumberFormat="0" applyBorder="0" applyAlignment="0" applyProtection="0">
      <alignment vertical="center"/>
    </xf>
    <xf numFmtId="4" fontId="243" fillId="32" borderId="108" applyNumberFormat="0" applyProtection="0">
      <alignment horizontal="right" vertical="center"/>
    </xf>
    <xf numFmtId="220" fontId="243" fillId="32" borderId="108" applyNumberFormat="0" applyProtection="0">
      <alignment horizontal="right" vertical="center"/>
    </xf>
    <xf numFmtId="4" fontId="243" fillId="32" borderId="108" applyNumberFormat="0" applyProtection="0">
      <alignment horizontal="right" vertical="center"/>
    </xf>
    <xf numFmtId="220" fontId="243" fillId="32" borderId="108" applyNumberFormat="0" applyProtection="0">
      <alignment horizontal="right" vertical="center"/>
    </xf>
    <xf numFmtId="4" fontId="243" fillId="32" borderId="108" applyNumberFormat="0" applyProtection="0">
      <alignment horizontal="right" vertical="center"/>
    </xf>
    <xf numFmtId="220" fontId="243" fillId="32" borderId="108" applyNumberFormat="0" applyProtection="0">
      <alignment horizontal="right" vertical="center"/>
    </xf>
    <xf numFmtId="220" fontId="243" fillId="32" borderId="108" applyNumberFormat="0" applyProtection="0">
      <alignment horizontal="right" vertical="center"/>
    </xf>
    <xf numFmtId="220" fontId="243" fillId="32" borderId="108" applyNumberFormat="0" applyProtection="0">
      <alignment horizontal="righ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322" fillId="0" borderId="0">
      <alignment horizontal="left"/>
    </xf>
    <xf numFmtId="220" fontId="322" fillId="0" borderId="0">
      <alignment horizontal="left"/>
    </xf>
    <xf numFmtId="220" fontId="322" fillId="0" borderId="0">
      <alignment horizontal="left"/>
    </xf>
    <xf numFmtId="220" fontId="5" fillId="0" borderId="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220" fontId="212" fillId="0" borderId="0" applyNumberFormat="0" applyFill="0" applyBorder="0" applyAlignment="0" applyProtection="0"/>
    <xf numFmtId="9" fontId="0" fillId="0" borderId="0" applyFont="0" applyFill="0" applyBorder="0" applyAlignment="0" applyProtection="0"/>
    <xf numFmtId="220" fontId="212" fillId="0" borderId="0" applyNumberFormat="0" applyFill="0" applyBorder="0" applyAlignment="0" applyProtection="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43" fontId="228" fillId="0" borderId="24"/>
    <xf numFmtId="220" fontId="5" fillId="0" borderId="0"/>
    <xf numFmtId="191" fontId="228" fillId="0" borderId="24"/>
    <xf numFmtId="220" fontId="70" fillId="0" borderId="0" applyNumberFormat="0" applyFill="0" applyBorder="0" applyAlignment="0" applyProtection="0">
      <alignment vertical="top"/>
      <protection locked="0"/>
    </xf>
    <xf numFmtId="43" fontId="228" fillId="0" borderId="24"/>
    <xf numFmtId="220" fontId="5" fillId="0" borderId="0"/>
    <xf numFmtId="191" fontId="228" fillId="0" borderId="24"/>
    <xf numFmtId="220" fontId="150" fillId="35" borderId="0" applyNumberFormat="0" applyBorder="0" applyAlignment="0" applyProtection="0">
      <alignment vertical="center"/>
    </xf>
    <xf numFmtId="220" fontId="5" fillId="0" borderId="0"/>
    <xf numFmtId="220" fontId="5" fillId="0" borderId="0"/>
    <xf numFmtId="191" fontId="228" fillId="0" borderId="24"/>
    <xf numFmtId="220" fontId="150" fillId="35" borderId="0" applyNumberFormat="0" applyBorder="0" applyAlignment="0" applyProtection="0">
      <alignment vertical="center"/>
    </xf>
    <xf numFmtId="220" fontId="5" fillId="0" borderId="0"/>
    <xf numFmtId="43" fontId="228" fillId="0" borderId="24"/>
    <xf numFmtId="220" fontId="5" fillId="0" borderId="0"/>
    <xf numFmtId="220" fontId="5" fillId="0" borderId="0"/>
    <xf numFmtId="220" fontId="5" fillId="0" borderId="0"/>
    <xf numFmtId="220" fontId="5" fillId="0" borderId="0"/>
    <xf numFmtId="220" fontId="206" fillId="0" borderId="1">
      <alignment horizontal="center"/>
    </xf>
    <xf numFmtId="220" fontId="157" fillId="47" borderId="0" applyNumberFormat="0" applyBorder="0" applyAlignment="0" applyProtection="0">
      <alignment vertical="center"/>
    </xf>
    <xf numFmtId="220" fontId="145" fillId="0" borderId="0">
      <protection locked="0"/>
    </xf>
    <xf numFmtId="220" fontId="139" fillId="0" borderId="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206" fillId="0" borderId="1">
      <alignment horizontal="center"/>
    </xf>
    <xf numFmtId="220" fontId="0" fillId="0" borderId="0"/>
    <xf numFmtId="220" fontId="150" fillId="35" borderId="0" applyNumberFormat="0" applyBorder="0" applyAlignment="0" applyProtection="0">
      <alignment vertical="center"/>
    </xf>
    <xf numFmtId="220" fontId="0" fillId="0" borderId="0">
      <alignment vertical="center"/>
    </xf>
    <xf numFmtId="220" fontId="157" fillId="47" borderId="0" applyNumberFormat="0" applyBorder="0" applyAlignment="0" applyProtection="0">
      <alignment vertical="center"/>
    </xf>
    <xf numFmtId="220" fontId="206" fillId="0" borderId="1">
      <alignment horizontal="center"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206" fillId="0" borderId="1">
      <alignment horizontal="center" vertical="center"/>
    </xf>
    <xf numFmtId="220" fontId="206" fillId="0" borderId="1">
      <alignment horizontal="center"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206" fillId="0" borderId="0">
      <alignment horizontal="center" vertical="center"/>
    </xf>
    <xf numFmtId="220" fontId="206" fillId="0" borderId="0">
      <alignment horizontal="center" vertical="center"/>
    </xf>
    <xf numFmtId="220" fontId="5" fillId="0" borderId="0"/>
    <xf numFmtId="220" fontId="147" fillId="42" borderId="0" applyNumberFormat="0" applyBorder="0" applyAlignment="0" applyProtection="0">
      <alignment vertical="center"/>
    </xf>
    <xf numFmtId="220" fontId="175" fillId="0" borderId="0" applyNumberFormat="0" applyFill="0">
      <alignment horizontal="left" vertical="center"/>
    </xf>
    <xf numFmtId="220" fontId="5" fillId="0" borderId="0"/>
    <xf numFmtId="220" fontId="175" fillId="0" borderId="0" applyNumberFormat="0" applyFill="0">
      <alignment horizontal="left" vertical="center"/>
    </xf>
    <xf numFmtId="220" fontId="5" fillId="0" borderId="0"/>
    <xf numFmtId="220" fontId="175" fillId="0" borderId="0" applyNumberFormat="0" applyFill="0">
      <alignment horizontal="left" vertical="center"/>
    </xf>
    <xf numFmtId="220" fontId="142" fillId="38" borderId="0" applyNumberFormat="0" applyBorder="0" applyAlignment="0" applyProtection="0">
      <alignment vertical="center"/>
    </xf>
    <xf numFmtId="220" fontId="177" fillId="0" borderId="0"/>
    <xf numFmtId="220" fontId="177" fillId="0" borderId="0"/>
    <xf numFmtId="220" fontId="177" fillId="0" borderId="0"/>
    <xf numFmtId="220" fontId="5" fillId="0" borderId="0"/>
    <xf numFmtId="220" fontId="5" fillId="0" borderId="0"/>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0" fillId="0" borderId="0">
      <alignment vertical="center"/>
    </xf>
    <xf numFmtId="220" fontId="5" fillId="0" borderId="0"/>
    <xf numFmtId="220" fontId="246" fillId="0" borderId="125" applyNumberFormat="0" applyFill="0" applyAlignment="0" applyProtection="0">
      <alignment vertical="center"/>
    </xf>
    <xf numFmtId="49" fontId="146" fillId="0" borderId="0" applyFill="0" applyBorder="0" applyAlignment="0"/>
    <xf numFmtId="185" fontId="145" fillId="0" borderId="0" applyFill="0" applyBorder="0" applyAlignment="0"/>
    <xf numFmtId="220" fontId="5" fillId="0" borderId="0"/>
    <xf numFmtId="236" fontId="145" fillId="0" borderId="0" applyFill="0" applyBorder="0" applyAlignment="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0" fillId="0" borderId="0"/>
    <xf numFmtId="220" fontId="0" fillId="0" borderId="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260" fillId="38" borderId="0" applyNumberFormat="0" applyBorder="0" applyAlignment="0" applyProtection="0">
      <alignment vertical="center"/>
    </xf>
    <xf numFmtId="220" fontId="240" fillId="0" borderId="0">
      <alignment horizontal="center"/>
    </xf>
    <xf numFmtId="220" fontId="5" fillId="0" borderId="0"/>
    <xf numFmtId="220" fontId="5" fillId="0" borderId="0"/>
    <xf numFmtId="220" fontId="5" fillId="0" borderId="0"/>
    <xf numFmtId="220" fontId="240" fillId="0" borderId="0">
      <alignment horizontal="center"/>
    </xf>
    <xf numFmtId="220" fontId="240" fillId="0" borderId="0">
      <alignment horizontal="center"/>
    </xf>
    <xf numFmtId="220" fontId="150" fillId="35" borderId="0" applyNumberFormat="0" applyBorder="0" applyAlignment="0" applyProtection="0">
      <alignment vertical="center"/>
    </xf>
    <xf numFmtId="220" fontId="240" fillId="0" borderId="0">
      <alignment horizontal="center"/>
    </xf>
    <xf numFmtId="220" fontId="150" fillId="35" borderId="0" applyNumberFormat="0" applyBorder="0" applyAlignment="0" applyProtection="0">
      <alignment vertical="center"/>
    </xf>
    <xf numFmtId="220" fontId="240" fillId="0" borderId="0">
      <alignment horizontal="center"/>
    </xf>
    <xf numFmtId="220" fontId="142" fillId="38" borderId="0" applyNumberFormat="0" applyBorder="0" applyAlignment="0" applyProtection="0">
      <alignment vertical="center"/>
    </xf>
    <xf numFmtId="193" fontId="145" fillId="0" borderId="135">
      <protection locked="0"/>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266" fillId="0" borderId="134" applyNumberFormat="0" applyFill="0" applyAlignment="0" applyProtection="0"/>
    <xf numFmtId="194" fontId="145" fillId="0" borderId="0" applyFont="0" applyFill="0" applyBorder="0" applyAlignment="0" applyProtection="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295" fillId="0" borderId="0" applyNumberFormat="0" applyFill="0" applyBorder="0" applyAlignment="0" applyProtection="0"/>
    <xf numFmtId="220" fontId="5" fillId="0" borderId="0"/>
    <xf numFmtId="220" fontId="0" fillId="0" borderId="0"/>
    <xf numFmtId="220" fontId="5" fillId="0" borderId="0"/>
    <xf numFmtId="220" fontId="181" fillId="0" borderId="0" applyNumberFormat="0" applyFont="0" applyFill="0" applyBorder="0" applyProtection="0">
      <alignment horizontal="center" vertical="center" wrapText="1"/>
    </xf>
    <xf numFmtId="220" fontId="147" fillId="38" borderId="0" applyNumberFormat="0" applyBorder="0" applyAlignment="0" applyProtection="0">
      <alignment vertical="center"/>
    </xf>
    <xf numFmtId="220" fontId="5" fillId="0" borderId="0"/>
    <xf numFmtId="220" fontId="211" fillId="0" borderId="0" applyNumberFormat="0" applyFill="0" applyBorder="0" applyAlignment="0" applyProtection="0">
      <alignment vertical="center"/>
    </xf>
    <xf numFmtId="220" fontId="152" fillId="0" borderId="0" applyNumberFormat="0" applyFont="0" applyFill="0" applyBorder="0" applyProtection="0">
      <alignment horizontal="center" vertical="center" wrapText="1"/>
    </xf>
    <xf numFmtId="218" fontId="145" fillId="0" borderId="0" applyFont="0" applyFill="0" applyBorder="0" applyAlignment="0" applyProtection="0"/>
    <xf numFmtId="220" fontId="5" fillId="0" borderId="0"/>
    <xf numFmtId="202" fontId="145" fillId="0" borderId="0" applyFont="0" applyFill="0" applyBorder="0" applyAlignment="0" applyProtection="0"/>
    <xf numFmtId="197" fontId="145" fillId="0" borderId="0" applyFont="0" applyFill="0" applyBorder="0" applyAlignment="0" applyProtection="0"/>
    <xf numFmtId="238" fontId="145" fillId="0" borderId="0" applyFont="0" applyFill="0" applyBorder="0" applyAlignment="0" applyProtection="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09" fontId="228" fillId="0" borderId="17" applyFill="0" applyBorder="0" applyAlignment="0" applyProtection="0"/>
    <xf numFmtId="220" fontId="5" fillId="0" borderId="0"/>
    <xf numFmtId="220" fontId="5" fillId="0" borderId="0"/>
    <xf numFmtId="220" fontId="5" fillId="0" borderId="0"/>
    <xf numFmtId="220" fontId="157" fillId="47" borderId="0" applyNumberFormat="0" applyBorder="0" applyAlignment="0" applyProtection="0">
      <alignment vertical="center"/>
    </xf>
    <xf numFmtId="9" fontId="288" fillId="0" borderId="0" applyFont="0" applyFill="0" applyBorder="0" applyAlignment="0" applyProtection="0"/>
    <xf numFmtId="220" fontId="181" fillId="0" borderId="0"/>
    <xf numFmtId="220" fontId="282" fillId="0" borderId="0" applyNumberFormat="0" applyFill="0" applyBorder="0" applyAlignment="0" applyProtection="0">
      <alignment vertical="center"/>
    </xf>
    <xf numFmtId="232" fontId="90" fillId="0" borderId="0" applyFont="0" applyFill="0" applyBorder="0" applyAlignment="0" applyProtection="0"/>
    <xf numFmtId="195" fontId="90" fillId="0" borderId="0" applyFont="0" applyFill="0" applyBorder="0" applyAlignment="0" applyProtection="0"/>
    <xf numFmtId="43" fontId="5" fillId="0" borderId="0" applyFont="0" applyFill="0" applyBorder="0" applyAlignment="0" applyProtection="0"/>
    <xf numFmtId="232" fontId="298" fillId="0" borderId="0" applyFont="0" applyFill="0" applyBorder="0" applyAlignment="0" applyProtection="0"/>
    <xf numFmtId="220" fontId="5" fillId="0" borderId="0"/>
    <xf numFmtId="9" fontId="90" fillId="0" borderId="0" applyFont="0" applyFill="0" applyBorder="0" applyAlignment="0" applyProtection="0"/>
    <xf numFmtId="232" fontId="281" fillId="0" borderId="0" applyFont="0" applyFill="0" applyBorder="0" applyAlignment="0" applyProtection="0"/>
    <xf numFmtId="220" fontId="157" fillId="47" borderId="0" applyNumberFormat="0" applyBorder="0" applyAlignment="0" applyProtection="0">
      <alignment vertical="center"/>
    </xf>
    <xf numFmtId="195" fontId="281" fillId="0" borderId="0" applyFont="0" applyFill="0" applyBorder="0" applyAlignment="0" applyProtection="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xf numFmtId="220" fontId="5" fillId="0" borderId="0"/>
    <xf numFmtId="220" fontId="5" fillId="0" borderId="0"/>
    <xf numFmtId="9" fontId="139" fillId="0" borderId="0" applyFont="0" applyFill="0" applyBorder="0" applyAlignment="0" applyProtection="0">
      <alignment vertical="center"/>
    </xf>
    <xf numFmtId="220" fontId="142" fillId="38" borderId="0" applyNumberFormat="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220" fontId="5" fillId="0" borderId="0"/>
    <xf numFmtId="220" fontId="5" fillId="0" borderId="0"/>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220" fontId="5" fillId="0" borderId="0"/>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220" fontId="5" fillId="0" borderId="0"/>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9" fontId="139"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5" fillId="0" borderId="0"/>
    <xf numFmtId="9" fontId="139" fillId="0" borderId="0" applyFont="0" applyFill="0" applyBorder="0" applyAlignment="0" applyProtection="0">
      <alignment vertical="center"/>
    </xf>
    <xf numFmtId="220" fontId="5" fillId="0" borderId="0"/>
    <xf numFmtId="220" fontId="150" fillId="35" borderId="0" applyNumberFormat="0" applyBorder="0" applyAlignment="0" applyProtection="0">
      <alignment vertical="center"/>
    </xf>
    <xf numFmtId="9" fontId="139" fillId="0" borderId="0" applyFont="0" applyFill="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5" fillId="0" borderId="0"/>
    <xf numFmtId="9" fontId="139" fillId="0" borderId="0" applyFont="0" applyFill="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147" fillId="42" borderId="0" applyNumberFormat="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220" fontId="0" fillId="0" borderId="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0" fillId="0" borderId="0"/>
    <xf numFmtId="220" fontId="0" fillId="0" borderId="0"/>
    <xf numFmtId="9" fontId="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220" fontId="5" fillId="0" borderId="0"/>
    <xf numFmtId="220" fontId="5" fillId="0" borderId="0"/>
    <xf numFmtId="9" fontId="5"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157" fillId="47" borderId="0" applyNumberFormat="0" applyBorder="0" applyAlignment="0" applyProtection="0">
      <alignment vertical="center"/>
    </xf>
    <xf numFmtId="9" fontId="5" fillId="0" borderId="0" applyFont="0" applyFill="0" applyBorder="0" applyAlignment="0" applyProtection="0"/>
    <xf numFmtId="220" fontId="5" fillId="0" borderId="0"/>
    <xf numFmtId="9" fontId="5" fillId="0" borderId="0" applyFont="0" applyFill="0" applyBorder="0" applyAlignment="0" applyProtection="0"/>
    <xf numFmtId="9" fontId="5"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220" fontId="5" fillId="0" borderId="0"/>
    <xf numFmtId="9" fontId="5" fillId="0" borderId="0" applyFont="0" applyFill="0" applyBorder="0" applyAlignment="0" applyProtection="0"/>
    <xf numFmtId="9" fontId="0" fillId="0" borderId="0" applyFont="0" applyFill="0" applyBorder="0" applyAlignment="0" applyProtection="0"/>
    <xf numFmtId="220" fontId="0" fillId="0" borderId="0"/>
    <xf numFmtId="220" fontId="5" fillId="0" borderId="0"/>
    <xf numFmtId="220" fontId="157" fillId="47" borderId="0" applyNumberFormat="0" applyBorder="0" applyAlignment="0" applyProtection="0">
      <alignment vertical="center"/>
    </xf>
    <xf numFmtId="9" fontId="0" fillId="0" borderId="0" applyFont="0" applyFill="0" applyBorder="0" applyAlignment="0" applyProtection="0"/>
    <xf numFmtId="220" fontId="5" fillId="0" borderId="0"/>
    <xf numFmtId="220" fontId="5" fillId="0" borderId="0"/>
    <xf numFmtId="220" fontId="157" fillId="47" borderId="0" applyNumberFormat="0" applyBorder="0" applyAlignment="0" applyProtection="0">
      <alignment vertical="center"/>
    </xf>
    <xf numFmtId="9" fontId="0" fillId="0" borderId="0" applyFont="0" applyFill="0" applyBorder="0" applyAlignment="0" applyProtection="0">
      <alignment vertical="center"/>
    </xf>
    <xf numFmtId="220" fontId="142" fillId="38" borderId="0" applyNumberFormat="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xf numFmtId="220" fontId="0"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22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9" fontId="5" fillId="0" borderId="0" applyFont="0" applyFill="0" applyBorder="0" applyAlignment="0" applyProtection="0"/>
    <xf numFmtId="220" fontId="0"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220" fontId="0"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9" fontId="0" fillId="0" borderId="0" applyFont="0" applyFill="0" applyBorder="0" applyAlignment="0" applyProtection="0"/>
    <xf numFmtId="220" fontId="0" fillId="0" borderId="0"/>
    <xf numFmtId="9" fontId="0" fillId="0" borderId="0" applyFont="0" applyFill="0" applyBorder="0" applyAlignment="0" applyProtection="0">
      <alignment vertical="center"/>
    </xf>
    <xf numFmtId="220" fontId="0"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0"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5" fillId="0" borderId="0"/>
    <xf numFmtId="220" fontId="5" fillId="0" borderId="0"/>
    <xf numFmtId="9" fontId="5"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0" fillId="0" borderId="0"/>
    <xf numFmtId="220" fontId="5" fillId="0" borderId="0"/>
    <xf numFmtId="9" fontId="0" fillId="0" borderId="0" applyFont="0" applyFill="0" applyBorder="0" applyAlignment="0" applyProtection="0"/>
    <xf numFmtId="220" fontId="147" fillId="42" borderId="0" applyNumberFormat="0" applyBorder="0" applyAlignment="0" applyProtection="0">
      <alignment vertical="center"/>
    </xf>
    <xf numFmtId="220" fontId="5" fillId="0" borderId="0"/>
    <xf numFmtId="9" fontId="5" fillId="0" borderId="0" applyFont="0" applyFill="0" applyBorder="0" applyAlignment="0" applyProtection="0"/>
    <xf numFmtId="220" fontId="5" fillId="0" borderId="0"/>
    <xf numFmtId="9" fontId="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5"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147" fillId="42" borderId="0" applyNumberFormat="0" applyBorder="0" applyAlignment="0" applyProtection="0">
      <alignment vertical="center"/>
    </xf>
    <xf numFmtId="9" fontId="0" fillId="0" borderId="0" applyFont="0" applyFill="0" applyBorder="0" applyAlignment="0" applyProtection="0"/>
    <xf numFmtId="220" fontId="0" fillId="0" borderId="0"/>
    <xf numFmtId="9" fontId="0" fillId="0" borderId="0" applyFont="0" applyFill="0" applyBorder="0" applyAlignment="0" applyProtection="0"/>
    <xf numFmtId="9" fontId="5"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9" fontId="5"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147" fillId="42"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140" fillId="36" borderId="0" applyNumberFormat="0" applyBorder="0" applyAlignment="0" applyProtection="0">
      <alignment vertical="center"/>
    </xf>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220" fontId="5" fillId="0" borderId="0"/>
    <xf numFmtId="9" fontId="0" fillId="0" borderId="0" applyFont="0" applyFill="0" applyBorder="0" applyAlignment="0" applyProtection="0"/>
    <xf numFmtId="220" fontId="5" fillId="0" borderId="0"/>
    <xf numFmtId="220" fontId="147" fillId="42" borderId="0" applyNumberFormat="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220" fontId="158" fillId="0" borderId="0" applyNumberFormat="0" applyBorder="0" applyProtection="0">
      <alignment vertical="center"/>
    </xf>
    <xf numFmtId="220" fontId="5" fillId="0" borderId="0"/>
    <xf numFmtId="9" fontId="0" fillId="0" borderId="0" applyFont="0" applyFill="0" applyBorder="0" applyAlignment="0" applyProtection="0"/>
    <xf numFmtId="220" fontId="158" fillId="0" borderId="0" applyNumberFormat="0" applyBorder="0" applyProtection="0">
      <alignment vertical="center"/>
    </xf>
    <xf numFmtId="220" fontId="158" fillId="0" borderId="0" applyNumberFormat="0" applyBorder="0" applyProtection="0">
      <alignment vertical="center"/>
    </xf>
    <xf numFmtId="9" fontId="0" fillId="0" borderId="0" applyFont="0" applyFill="0" applyBorder="0" applyAlignment="0" applyProtection="0"/>
    <xf numFmtId="220" fontId="5" fillId="0" borderId="0"/>
    <xf numFmtId="220" fontId="157" fillId="47" borderId="0" applyNumberFormat="0" applyBorder="0" applyAlignment="0" applyProtection="0">
      <alignment vertical="center"/>
    </xf>
    <xf numFmtId="220" fontId="5" fillId="0" borderId="0"/>
    <xf numFmtId="9" fontId="0" fillId="0" borderId="0" applyFont="0" applyFill="0" applyBorder="0" applyAlignment="0" applyProtection="0"/>
    <xf numFmtId="220" fontId="5" fillId="0" borderId="0"/>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5" fillId="0" borderId="0"/>
    <xf numFmtId="220" fontId="5" fillId="0" borderId="0"/>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0" fillId="0" borderId="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147" fillId="38" borderId="0" applyNumberFormat="0" applyBorder="0" applyAlignment="0" applyProtection="0">
      <alignment vertical="center"/>
    </xf>
    <xf numFmtId="9" fontId="0" fillId="0" borderId="0" applyFont="0" applyFill="0" applyBorder="0" applyAlignment="0" applyProtection="0">
      <alignment vertical="center"/>
    </xf>
    <xf numFmtId="220" fontId="0" fillId="0" borderId="0"/>
    <xf numFmtId="9" fontId="0" fillId="0" borderId="0" applyFont="0" applyFill="0" applyBorder="0" applyAlignment="0" applyProtection="0"/>
    <xf numFmtId="220" fontId="5" fillId="0" borderId="0"/>
    <xf numFmtId="220" fontId="147" fillId="38" borderId="0" applyNumberFormat="0" applyBorder="0" applyAlignment="0" applyProtection="0">
      <alignment vertical="center"/>
    </xf>
    <xf numFmtId="9" fontId="0" fillId="0" borderId="0" applyFont="0" applyFill="0" applyBorder="0" applyAlignment="0" applyProtection="0"/>
    <xf numFmtId="220" fontId="147" fillId="38" borderId="0" applyNumberFormat="0" applyBorder="0" applyAlignment="0" applyProtection="0">
      <alignment vertical="center"/>
    </xf>
    <xf numFmtId="9" fontId="0" fillId="0" borderId="0" applyFont="0" applyFill="0" applyBorder="0" applyAlignment="0" applyProtection="0">
      <alignment vertical="center"/>
    </xf>
    <xf numFmtId="220" fontId="147" fillId="38" borderId="0" applyNumberFormat="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xf numFmtId="9" fontId="0"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9" fontId="0" fillId="0" borderId="0" applyFont="0" applyFill="0" applyBorder="0" applyAlignment="0" applyProtection="0"/>
    <xf numFmtId="220" fontId="157" fillId="47" borderId="0" applyNumberFormat="0" applyBorder="0" applyAlignment="0" applyProtection="0">
      <alignment vertical="center"/>
    </xf>
    <xf numFmtId="220" fontId="158" fillId="0" borderId="0" applyNumberFormat="0" applyBorder="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220" fontId="70"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xf numFmtId="220" fontId="150" fillId="35" borderId="0" applyNumberFormat="0" applyBorder="0" applyAlignment="0" applyProtection="0">
      <alignment vertical="center"/>
    </xf>
    <xf numFmtId="220" fontId="158" fillId="0" borderId="0" applyNumberFormat="0" applyBorder="0" applyProtection="0">
      <alignment vertical="center"/>
    </xf>
    <xf numFmtId="220" fontId="150" fillId="35" borderId="0" applyNumberFormat="0" applyBorder="0" applyAlignment="0" applyProtection="0">
      <alignment vertical="center"/>
    </xf>
    <xf numFmtId="220" fontId="158" fillId="0" borderId="0" applyNumberFormat="0" applyBorder="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220" fontId="5" fillId="0" borderId="0"/>
    <xf numFmtId="220" fontId="5" fillId="0" borderId="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157" fillId="47"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70" fillId="0" borderId="0" applyNumberFormat="0" applyFill="0" applyBorder="0" applyAlignment="0" applyProtection="0">
      <alignment vertical="top"/>
      <protection locked="0"/>
    </xf>
    <xf numFmtId="9" fontId="0" fillId="0" borderId="0" applyFont="0" applyFill="0" applyBorder="0" applyAlignment="0" applyProtection="0"/>
    <xf numFmtId="9" fontId="0" fillId="0" borderId="0" applyFont="0" applyFill="0" applyBorder="0" applyAlignment="0" applyProtection="0"/>
    <xf numFmtId="220" fontId="5" fillId="0" borderId="0"/>
    <xf numFmtId="220" fontId="70" fillId="0" borderId="0" applyNumberFormat="0" applyFill="0" applyBorder="0" applyAlignment="0" applyProtection="0">
      <alignment vertical="top"/>
      <protection locked="0"/>
    </xf>
    <xf numFmtId="9" fontId="0" fillId="0" borderId="0" applyFont="0" applyFill="0" applyBorder="0" applyAlignment="0" applyProtection="0"/>
    <xf numFmtId="9" fontId="152" fillId="0" borderId="0" applyFont="0" applyFill="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147" fillId="96"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xf numFmtId="220" fontId="5" fillId="0" borderId="0"/>
    <xf numFmtId="220" fontId="5" fillId="0" borderId="0"/>
    <xf numFmtId="9" fontId="5" fillId="0" borderId="0" applyFont="0" applyFill="0" applyBorder="0" applyAlignment="0" applyProtection="0"/>
    <xf numFmtId="220" fontId="0"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220" fontId="5" fillId="0" borderId="0"/>
    <xf numFmtId="220" fontId="5" fillId="0" borderId="0"/>
    <xf numFmtId="220" fontId="152" fillId="0" borderId="0">
      <alignment vertical="center"/>
    </xf>
    <xf numFmtId="9" fontId="5"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xf numFmtId="9" fontId="5" fillId="0" borderId="0" applyFont="0" applyFill="0" applyBorder="0" applyAlignment="0" applyProtection="0"/>
    <xf numFmtId="220" fontId="147" fillId="38" borderId="0" applyNumberFormat="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9" fontId="5" fillId="0" borderId="0" applyFont="0" applyFill="0" applyBorder="0" applyAlignment="0" applyProtection="0"/>
    <xf numFmtId="220" fontId="147" fillId="38" borderId="0" applyNumberFormat="0" applyBorder="0" applyAlignment="0" applyProtection="0">
      <alignment vertical="center"/>
    </xf>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xf numFmtId="220" fontId="5" fillId="0" borderId="0"/>
    <xf numFmtId="9" fontId="152"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220" fontId="0" fillId="0" borderId="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alignment vertical="center"/>
    </xf>
    <xf numFmtId="9" fontId="0"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alignment vertical="center"/>
    </xf>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220" fontId="5" fillId="0" borderId="0"/>
    <xf numFmtId="9" fontId="0" fillId="0" borderId="0" applyFont="0" applyFill="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5" fillId="0" borderId="0"/>
    <xf numFmtId="220" fontId="0"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220" fontId="0" fillId="0" borderId="0"/>
    <xf numFmtId="9" fontId="0" fillId="0" borderId="0" applyFont="0" applyFill="0" applyBorder="0" applyAlignment="0" applyProtection="0"/>
    <xf numFmtId="9" fontId="0" fillId="0" borderId="0" applyFont="0" applyFill="0" applyBorder="0" applyAlignment="0" applyProtection="0"/>
    <xf numFmtId="220" fontId="0" fillId="0" borderId="0"/>
    <xf numFmtId="9" fontId="0" fillId="0" borderId="0" applyFont="0" applyFill="0" applyBorder="0" applyAlignment="0" applyProtection="0"/>
    <xf numFmtId="220" fontId="5" fillId="0" borderId="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5" fillId="0" borderId="0"/>
    <xf numFmtId="9" fontId="152"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xf numFmtId="220" fontId="5" fillId="0" borderId="0"/>
    <xf numFmtId="220" fontId="5" fillId="0" borderId="0"/>
    <xf numFmtId="220" fontId="150" fillId="35" borderId="0" applyNumberFormat="0" applyBorder="0" applyAlignment="0" applyProtection="0">
      <alignment vertical="center"/>
    </xf>
    <xf numFmtId="9" fontId="158"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xf numFmtId="9" fontId="152" fillId="0" borderId="0" applyFont="0" applyFill="0" applyBorder="0" applyAlignment="0" applyProtection="0">
      <alignment vertical="center"/>
    </xf>
    <xf numFmtId="220" fontId="150" fillId="35" borderId="0" applyNumberFormat="0" applyBorder="0" applyAlignment="0" applyProtection="0">
      <alignment vertical="center"/>
    </xf>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150" fillId="35" borderId="0" applyNumberFormat="0" applyBorder="0" applyAlignment="0" applyProtection="0">
      <alignment vertical="center"/>
    </xf>
    <xf numFmtId="9" fontId="158" fillId="0" borderId="0" applyFont="0" applyFill="0" applyBorder="0" applyAlignment="0" applyProtection="0">
      <alignment vertical="center"/>
    </xf>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152" fillId="0" borderId="0" applyFont="0" applyFill="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0" fillId="0" borderId="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0"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0" fillId="0" borderId="0"/>
    <xf numFmtId="9" fontId="0" fillId="0" borderId="0" applyFont="0" applyFill="0" applyBorder="0" applyAlignment="0" applyProtection="0"/>
    <xf numFmtId="220" fontId="142"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147"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191" fontId="5" fillId="0" borderId="0" applyFont="0" applyFill="0" applyBorder="0" applyAlignment="0" applyProtection="0"/>
    <xf numFmtId="22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0" fillId="0" borderId="0"/>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9" fontId="0" fillId="0" borderId="0" applyFont="0" applyFill="0" applyBorder="0" applyAlignment="0" applyProtection="0"/>
    <xf numFmtId="191" fontId="5"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142"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147" fillId="38" borderId="0" applyNumberFormat="0" applyBorder="0" applyAlignment="0" applyProtection="0">
      <alignment vertical="center"/>
    </xf>
    <xf numFmtId="220" fontId="5" fillId="0" borderId="0"/>
    <xf numFmtId="9" fontId="0" fillId="0" borderId="0" applyFont="0" applyFill="0" applyBorder="0" applyAlignment="0" applyProtection="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220" fontId="5" fillId="0" borderId="0"/>
    <xf numFmtId="220" fontId="161" fillId="53"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5" fillId="0" borderId="0"/>
    <xf numFmtId="9" fontId="0" fillId="0" borderId="0" applyFont="0" applyFill="0" applyBorder="0" applyAlignment="0" applyProtection="0"/>
    <xf numFmtId="9" fontId="0" fillId="0" borderId="0" applyFont="0" applyFill="0" applyBorder="0" applyAlignment="0" applyProtection="0"/>
    <xf numFmtId="220" fontId="139" fillId="0" borderId="0">
      <alignment vertical="center"/>
    </xf>
    <xf numFmtId="220" fontId="5" fillId="0" borderId="0"/>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220" fontId="5"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139" fillId="0" borderId="0">
      <alignment vertical="center"/>
    </xf>
    <xf numFmtId="220" fontId="142" fillId="38"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70" fillId="0" borderId="0" applyNumberFormat="0" applyFill="0" applyBorder="0" applyAlignment="0" applyProtection="0">
      <alignment vertical="top"/>
      <protection locked="0"/>
    </xf>
    <xf numFmtId="9" fontId="0" fillId="0" borderId="0" applyFont="0" applyFill="0" applyBorder="0" applyAlignment="0" applyProtection="0"/>
    <xf numFmtId="220" fontId="139" fillId="0" borderId="0">
      <alignment vertical="center"/>
    </xf>
    <xf numFmtId="9" fontId="0" fillId="0" borderId="0" applyFont="0" applyFill="0" applyBorder="0" applyAlignment="0" applyProtection="0"/>
    <xf numFmtId="220" fontId="5" fillId="0" borderId="0"/>
    <xf numFmtId="9" fontId="90" fillId="0" borderId="0" applyFont="0" applyFill="0" applyBorder="0" applyAlignment="0" applyProtection="0"/>
    <xf numFmtId="220" fontId="5" fillId="0" borderId="0"/>
    <xf numFmtId="220" fontId="0" fillId="0" borderId="0"/>
    <xf numFmtId="220" fontId="139" fillId="0" borderId="0">
      <alignment vertical="center"/>
    </xf>
    <xf numFmtId="9" fontId="0" fillId="0" borderId="0" applyFont="0" applyFill="0" applyBorder="0" applyAlignment="0" applyProtection="0">
      <alignment vertical="center"/>
    </xf>
    <xf numFmtId="9" fontId="5" fillId="0" borderId="0" applyFont="0" applyFill="0" applyBorder="0" applyAlignment="0" applyProtection="0">
      <alignment vertical="center"/>
    </xf>
    <xf numFmtId="9" fontId="152" fillId="0" borderId="0" applyFont="0" applyFill="0" applyBorder="0" applyAlignment="0" applyProtection="0">
      <alignment vertical="center"/>
    </xf>
    <xf numFmtId="9" fontId="0" fillId="0" borderId="0" applyFont="0" applyFill="0" applyBorder="0" applyAlignment="0" applyProtection="0"/>
    <xf numFmtId="9" fontId="5" fillId="0" borderId="0" applyFont="0" applyFill="0" applyBorder="0" applyAlignment="0" applyProtection="0">
      <alignment vertical="center"/>
    </xf>
    <xf numFmtId="220" fontId="5" fillId="0" borderId="0"/>
    <xf numFmtId="220" fontId="0" fillId="0" borderId="0"/>
    <xf numFmtId="197" fontId="139" fillId="0" borderId="0">
      <alignment vertical="center"/>
    </xf>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220" fontId="5" fillId="0" borderId="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152" fillId="0" borderId="0" applyFont="0" applyFill="0" applyBorder="0" applyAlignment="0" applyProtection="0">
      <alignment vertical="center"/>
    </xf>
    <xf numFmtId="220" fontId="5" fillId="0" borderId="0"/>
    <xf numFmtId="9" fontId="0" fillId="0" borderId="0" applyFont="0" applyFill="0" applyBorder="0" applyAlignment="0" applyProtection="0"/>
    <xf numFmtId="9" fontId="0" fillId="0" borderId="0" applyFont="0" applyFill="0" applyBorder="0" applyAlignment="0" applyProtection="0"/>
    <xf numFmtId="220" fontId="5" fillId="0" borderId="0"/>
    <xf numFmtId="9" fontId="0" fillId="0" borderId="0" applyFont="0" applyFill="0" applyBorder="0" applyAlignment="0" applyProtection="0"/>
    <xf numFmtId="220" fontId="5" fillId="0" borderId="0"/>
    <xf numFmtId="220" fontId="150"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220" fontId="150" fillId="35" borderId="0" applyNumberFormat="0" applyBorder="0" applyAlignment="0" applyProtection="0">
      <alignment vertical="center"/>
    </xf>
    <xf numFmtId="220" fontId="0" fillId="0" borderId="0"/>
    <xf numFmtId="9" fontId="0" fillId="0" borderId="0" applyFont="0" applyFill="0" applyBorder="0" applyAlignment="0" applyProtection="0"/>
    <xf numFmtId="220" fontId="5" fillId="0" borderId="0"/>
    <xf numFmtId="220" fontId="154" fillId="0" borderId="0" applyFont="0" applyFill="0" applyBorder="0" applyAlignment="0" applyProtection="0"/>
    <xf numFmtId="220" fontId="154"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5" fillId="0" borderId="20" applyNumberFormat="0" applyFill="0" applyProtection="0">
      <alignment horizontal="right"/>
    </xf>
    <xf numFmtId="220" fontId="5" fillId="0" borderId="0"/>
    <xf numFmtId="220" fontId="5" fillId="0" borderId="0"/>
    <xf numFmtId="220" fontId="0" fillId="0" borderId="0"/>
    <xf numFmtId="220" fontId="145" fillId="0" borderId="20" applyNumberFormat="0" applyFill="0" applyProtection="0">
      <alignment horizontal="right"/>
    </xf>
    <xf numFmtId="220" fontId="5" fillId="0" borderId="0"/>
    <xf numFmtId="220" fontId="5" fillId="0" borderId="0"/>
    <xf numFmtId="220" fontId="155" fillId="0" borderId="110" applyNumberFormat="0" applyFill="0" applyAlignment="0" applyProtection="0">
      <alignment vertical="center"/>
    </xf>
    <xf numFmtId="220" fontId="5" fillId="0" borderId="0"/>
    <xf numFmtId="220" fontId="5" fillId="0" borderId="0"/>
    <xf numFmtId="220" fontId="5" fillId="0" borderId="0"/>
    <xf numFmtId="220" fontId="159" fillId="0" borderId="112" applyNumberFormat="0" applyFill="0" applyAlignment="0" applyProtection="0">
      <alignment vertical="center"/>
    </xf>
    <xf numFmtId="220" fontId="5" fillId="0" borderId="0"/>
    <xf numFmtId="220" fontId="159" fillId="0" borderId="112" applyNumberFormat="0" applyFill="0" applyAlignment="0" applyProtection="0">
      <alignment vertical="center"/>
    </xf>
    <xf numFmtId="220" fontId="5" fillId="0" borderId="0"/>
    <xf numFmtId="220" fontId="159" fillId="0" borderId="112" applyNumberFormat="0" applyFill="0" applyAlignment="0" applyProtection="0">
      <alignment vertical="center"/>
    </xf>
    <xf numFmtId="220" fontId="153" fillId="0" borderId="109" applyNumberFormat="0" applyFill="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68" fillId="0" borderId="113" applyNumberFormat="0" applyFill="0" applyAlignment="0" applyProtection="0">
      <alignment vertical="center"/>
    </xf>
    <xf numFmtId="220" fontId="5" fillId="0" borderId="0"/>
    <xf numFmtId="220" fontId="5" fillId="0" borderId="0"/>
    <xf numFmtId="220" fontId="0" fillId="0" borderId="0"/>
    <xf numFmtId="220" fontId="168" fillId="0" borderId="113" applyNumberFormat="0" applyFill="0" applyAlignment="0" applyProtection="0">
      <alignment vertical="center"/>
    </xf>
    <xf numFmtId="220" fontId="5" fillId="0" borderId="0"/>
    <xf numFmtId="220" fontId="153" fillId="0" borderId="109" applyNumberFormat="0" applyFill="0" applyAlignment="0" applyProtection="0">
      <alignment vertical="center"/>
    </xf>
    <xf numFmtId="220" fontId="5" fillId="0" borderId="0"/>
    <xf numFmtId="220" fontId="168" fillId="0" borderId="113" applyNumberFormat="0" applyFill="0" applyAlignment="0" applyProtection="0">
      <alignment vertical="center"/>
    </xf>
    <xf numFmtId="220" fontId="168" fillId="0" borderId="113" applyNumberFormat="0" applyFill="0" applyAlignment="0" applyProtection="0">
      <alignment vertical="center"/>
    </xf>
    <xf numFmtId="220" fontId="168" fillId="0" borderId="113" applyNumberFormat="0" applyFill="0" applyAlignment="0" applyProtection="0">
      <alignment vertical="center"/>
    </xf>
    <xf numFmtId="220" fontId="153" fillId="0" borderId="109" applyNumberFormat="0" applyFill="0" applyAlignment="0" applyProtection="0">
      <alignment vertical="center"/>
    </xf>
    <xf numFmtId="220" fontId="160" fillId="0" borderId="113" applyNumberFormat="0" applyFill="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60" fillId="0" borderId="113" applyNumberFormat="0" applyFill="0" applyAlignment="0" applyProtection="0">
      <alignment vertical="center"/>
    </xf>
    <xf numFmtId="220" fontId="160" fillId="0" borderId="113" applyNumberFormat="0" applyFill="0" applyAlignment="0" applyProtection="0">
      <alignment vertical="center"/>
    </xf>
    <xf numFmtId="220" fontId="153" fillId="0" borderId="109" applyNumberFormat="0" applyFill="0" applyAlignment="0" applyProtection="0">
      <alignment vertical="center"/>
    </xf>
    <xf numFmtId="220" fontId="5" fillId="0" borderId="0"/>
    <xf numFmtId="220" fontId="139" fillId="0" borderId="0">
      <alignment vertical="center"/>
    </xf>
    <xf numFmtId="220" fontId="155" fillId="0" borderId="110" applyNumberFormat="0" applyFill="0" applyAlignment="0" applyProtection="0">
      <alignment vertical="center"/>
    </xf>
    <xf numFmtId="220" fontId="5" fillId="0" borderId="0"/>
    <xf numFmtId="220" fontId="160" fillId="0" borderId="113" applyNumberFormat="0" applyFill="0" applyAlignment="0" applyProtection="0">
      <alignment vertical="center"/>
    </xf>
    <xf numFmtId="220" fontId="139" fillId="0" borderId="0">
      <alignment vertical="center"/>
    </xf>
    <xf numFmtId="220" fontId="159" fillId="0" borderId="112" applyNumberFormat="0" applyFill="0" applyAlignment="0" applyProtection="0">
      <alignment vertical="center"/>
    </xf>
    <xf numFmtId="220" fontId="159" fillId="0" borderId="112" applyNumberFormat="0" applyFill="0" applyAlignment="0" applyProtection="0">
      <alignment vertical="center"/>
    </xf>
    <xf numFmtId="220" fontId="5" fillId="0" borderId="0"/>
    <xf numFmtId="220" fontId="157" fillId="47" borderId="0" applyNumberFormat="0" applyBorder="0" applyAlignment="0" applyProtection="0">
      <alignment vertical="center"/>
    </xf>
    <xf numFmtId="220" fontId="160" fillId="0" borderId="113" applyNumberFormat="0" applyFill="0" applyAlignment="0" applyProtection="0">
      <alignment vertical="center"/>
    </xf>
    <xf numFmtId="220" fontId="155" fillId="0" borderId="110" applyNumberFormat="0" applyFill="0" applyAlignment="0" applyProtection="0">
      <alignment vertical="center"/>
    </xf>
    <xf numFmtId="220" fontId="153" fillId="0" borderId="109" applyNumberFormat="0" applyFill="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3" fillId="0" borderId="109" applyNumberFormat="0" applyFill="0" applyAlignment="0" applyProtection="0">
      <alignment vertical="center"/>
    </xf>
    <xf numFmtId="220" fontId="5" fillId="0" borderId="0"/>
    <xf numFmtId="220" fontId="147" fillId="42" borderId="0" applyNumberFormat="0" applyBorder="0" applyAlignment="0" applyProtection="0">
      <alignment vertical="center"/>
    </xf>
    <xf numFmtId="220" fontId="153" fillId="0" borderId="109" applyNumberFormat="0" applyFill="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242" fillId="0" borderId="131" applyNumberFormat="0" applyFill="0" applyAlignment="0" applyProtection="0">
      <alignment vertical="center"/>
    </xf>
    <xf numFmtId="220" fontId="5" fillId="0" borderId="0"/>
    <xf numFmtId="220" fontId="324" fillId="0" borderId="128" applyNumberFormat="0" applyFill="0" applyAlignment="0" applyProtection="0">
      <alignment vertical="center"/>
    </xf>
    <xf numFmtId="220" fontId="5" fillId="0" borderId="0"/>
    <xf numFmtId="220" fontId="262" fillId="0" borderId="133" applyNumberFormat="0" applyFill="0" applyAlignment="0" applyProtection="0">
      <alignment vertical="center"/>
    </xf>
    <xf numFmtId="220" fontId="262" fillId="0" borderId="133" applyNumberFormat="0" applyFill="0" applyAlignment="0" applyProtection="0">
      <alignment vertical="center"/>
    </xf>
    <xf numFmtId="220" fontId="324" fillId="0" borderId="128" applyNumberFormat="0" applyFill="0" applyAlignment="0" applyProtection="0">
      <alignment vertical="center"/>
    </xf>
    <xf numFmtId="220" fontId="262" fillId="0" borderId="133" applyNumberFormat="0" applyFill="0" applyAlignment="0" applyProtection="0">
      <alignment vertical="center"/>
    </xf>
    <xf numFmtId="220" fontId="262" fillId="0" borderId="133" applyNumberFormat="0" applyFill="0" applyAlignment="0" applyProtection="0">
      <alignment vertical="center"/>
    </xf>
    <xf numFmtId="220" fontId="262" fillId="0" borderId="133" applyNumberFormat="0" applyFill="0" applyAlignment="0" applyProtection="0">
      <alignment vertical="center"/>
    </xf>
    <xf numFmtId="220" fontId="262" fillId="0" borderId="133" applyNumberFormat="0" applyFill="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324" fillId="0" borderId="128" applyNumberFormat="0" applyFill="0" applyAlignment="0" applyProtection="0">
      <alignment vertical="center"/>
    </xf>
    <xf numFmtId="220" fontId="292" fillId="0" borderId="133" applyNumberFormat="0" applyFill="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292" fillId="0" borderId="133" applyNumberFormat="0" applyFill="0" applyAlignment="0" applyProtection="0">
      <alignment vertical="center"/>
    </xf>
    <xf numFmtId="220" fontId="292" fillId="0" borderId="133" applyNumberFormat="0" applyFill="0" applyAlignment="0" applyProtection="0">
      <alignment vertical="center"/>
    </xf>
    <xf numFmtId="220" fontId="5" fillId="0" borderId="0"/>
    <xf numFmtId="220" fontId="292" fillId="0" borderId="133" applyNumberFormat="0" applyFill="0" applyAlignment="0" applyProtection="0">
      <alignment vertical="center"/>
    </xf>
    <xf numFmtId="220" fontId="5" fillId="0" borderId="0"/>
    <xf numFmtId="220" fontId="139" fillId="0" borderId="0">
      <alignment vertical="center"/>
    </xf>
    <xf numFmtId="220" fontId="184" fillId="0" borderId="131" applyNumberFormat="0" applyFill="0" applyAlignment="0" applyProtection="0">
      <alignment vertical="center"/>
    </xf>
    <xf numFmtId="220" fontId="5" fillId="0" borderId="0"/>
    <xf numFmtId="220" fontId="184" fillId="0" borderId="131" applyNumberFormat="0" applyFill="0" applyAlignment="0" applyProtection="0">
      <alignment vertical="center"/>
    </xf>
    <xf numFmtId="220" fontId="5" fillId="0" borderId="0"/>
    <xf numFmtId="220" fontId="157" fillId="47" borderId="0" applyNumberFormat="0" applyBorder="0" applyAlignment="0" applyProtection="0">
      <alignment vertical="center"/>
    </xf>
    <xf numFmtId="220" fontId="292" fillId="0" borderId="133" applyNumberFormat="0" applyFill="0" applyAlignment="0" applyProtection="0">
      <alignment vertical="center"/>
    </xf>
    <xf numFmtId="220" fontId="324" fillId="0" borderId="128" applyNumberFormat="0" applyFill="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324" fillId="0" borderId="128" applyNumberFormat="0" applyFill="0" applyAlignment="0" applyProtection="0">
      <alignment vertical="center"/>
    </xf>
    <xf numFmtId="220" fontId="5" fillId="0" borderId="0"/>
    <xf numFmtId="220" fontId="324" fillId="0" borderId="128" applyNumberFormat="0" applyFill="0" applyAlignment="0" applyProtection="0">
      <alignment vertical="center"/>
    </xf>
    <xf numFmtId="220" fontId="5" fillId="0" borderId="0"/>
    <xf numFmtId="220" fontId="5" fillId="0" borderId="0"/>
    <xf numFmtId="220" fontId="324" fillId="0" borderId="128" applyNumberFormat="0" applyFill="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248" fillId="0" borderId="141" applyNumberFormat="0" applyFill="0" applyAlignment="0" applyProtection="0">
      <alignment vertical="center"/>
    </xf>
    <xf numFmtId="220" fontId="176" fillId="0" borderId="142" applyNumberFormat="0" applyFill="0" applyAlignment="0" applyProtection="0">
      <alignment vertical="center"/>
    </xf>
    <xf numFmtId="220" fontId="176" fillId="0" borderId="142" applyNumberFormat="0" applyFill="0" applyAlignment="0" applyProtection="0">
      <alignment vertical="center"/>
    </xf>
    <xf numFmtId="220" fontId="176" fillId="0" borderId="142" applyNumberFormat="0" applyFill="0" applyAlignment="0" applyProtection="0">
      <alignment vertical="center"/>
    </xf>
    <xf numFmtId="220" fontId="211" fillId="0" borderId="129" applyNumberFormat="0" applyFill="0" applyAlignment="0" applyProtection="0">
      <alignment vertical="center"/>
    </xf>
    <xf numFmtId="220" fontId="246" fillId="0" borderId="125" applyNumberFormat="0" applyFill="0" applyAlignment="0" applyProtection="0">
      <alignment vertical="center"/>
    </xf>
    <xf numFmtId="220" fontId="211" fillId="0" borderId="129" applyNumberFormat="0" applyFill="0" applyAlignment="0" applyProtection="0">
      <alignment vertical="center"/>
    </xf>
    <xf numFmtId="220" fontId="246" fillId="0" borderId="125" applyNumberFormat="0" applyFill="0" applyAlignment="0" applyProtection="0">
      <alignment vertical="center"/>
    </xf>
    <xf numFmtId="220" fontId="0" fillId="0" borderId="0"/>
    <xf numFmtId="220" fontId="246" fillId="0" borderId="125" applyNumberFormat="0" applyFill="0" applyAlignment="0" applyProtection="0">
      <alignment vertical="center"/>
    </xf>
    <xf numFmtId="220" fontId="0" fillId="0" borderId="0"/>
    <xf numFmtId="220" fontId="246" fillId="0" borderId="125" applyNumberFormat="0" applyFill="0" applyAlignment="0" applyProtection="0">
      <alignment vertical="center"/>
    </xf>
    <xf numFmtId="220" fontId="0" fillId="0" borderId="0"/>
    <xf numFmtId="220" fontId="147" fillId="42" borderId="0" applyNumberFormat="0" applyBorder="0" applyAlignment="0" applyProtection="0">
      <alignment vertical="center"/>
    </xf>
    <xf numFmtId="220" fontId="246" fillId="0" borderId="125" applyNumberFormat="0" applyFill="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205" fillId="0" borderId="125" applyNumberFormat="0" applyFill="0" applyAlignment="0" applyProtection="0">
      <alignment vertical="center"/>
    </xf>
    <xf numFmtId="220" fontId="5" fillId="0" borderId="0"/>
    <xf numFmtId="220" fontId="5" fillId="0" borderId="0"/>
    <xf numFmtId="220" fontId="5" fillId="0" borderId="0"/>
    <xf numFmtId="220" fontId="176" fillId="0" borderId="142" applyNumberFormat="0" applyFill="0" applyAlignment="0" applyProtection="0">
      <alignment vertical="center"/>
    </xf>
    <xf numFmtId="220" fontId="205" fillId="0" borderId="125" applyNumberFormat="0" applyFill="0" applyAlignment="0" applyProtection="0">
      <alignment vertical="center"/>
    </xf>
    <xf numFmtId="220" fontId="205" fillId="0" borderId="125" applyNumberFormat="0" applyFill="0" applyAlignment="0" applyProtection="0">
      <alignment vertical="center"/>
    </xf>
    <xf numFmtId="220" fontId="0" fillId="0" borderId="0"/>
    <xf numFmtId="220" fontId="205" fillId="0" borderId="125" applyNumberFormat="0" applyFill="0" applyAlignment="0" applyProtection="0">
      <alignment vertical="center"/>
    </xf>
    <xf numFmtId="220" fontId="0" fillId="0" borderId="0"/>
    <xf numFmtId="220" fontId="205" fillId="0" borderId="125" applyNumberFormat="0" applyFill="0" applyAlignment="0" applyProtection="0">
      <alignment vertical="center"/>
    </xf>
    <xf numFmtId="220" fontId="211" fillId="0" borderId="129" applyNumberFormat="0" applyFill="0" applyAlignment="0" applyProtection="0">
      <alignment vertical="center"/>
    </xf>
    <xf numFmtId="220" fontId="139" fillId="0" borderId="0">
      <alignment vertical="center"/>
    </xf>
    <xf numFmtId="220" fontId="248" fillId="0" borderId="141" applyNumberFormat="0" applyFill="0" applyAlignment="0" applyProtection="0">
      <alignment vertical="center"/>
    </xf>
    <xf numFmtId="220" fontId="5" fillId="0" borderId="0"/>
    <xf numFmtId="220" fontId="147" fillId="38" borderId="0" applyNumberFormat="0" applyBorder="0" applyAlignment="0" applyProtection="0">
      <alignment vertical="center"/>
    </xf>
    <xf numFmtId="220" fontId="205" fillId="0" borderId="125" applyNumberFormat="0" applyFill="0" applyAlignment="0" applyProtection="0">
      <alignment vertical="center"/>
    </xf>
    <xf numFmtId="220" fontId="139" fillId="0" borderId="0">
      <alignment vertical="center"/>
    </xf>
    <xf numFmtId="220" fontId="176" fillId="0" borderId="142" applyNumberFormat="0" applyFill="0" applyAlignment="0" applyProtection="0">
      <alignment vertical="center"/>
    </xf>
    <xf numFmtId="220" fontId="176" fillId="0" borderId="142" applyNumberFormat="0" applyFill="0" applyAlignment="0" applyProtection="0">
      <alignment vertical="center"/>
    </xf>
    <xf numFmtId="220" fontId="5" fillId="0" borderId="0"/>
    <xf numFmtId="220" fontId="5" fillId="0" borderId="0"/>
    <xf numFmtId="220" fontId="248" fillId="0" borderId="141" applyNumberFormat="0" applyFill="0" applyAlignment="0" applyProtection="0">
      <alignment vertical="center"/>
    </xf>
    <xf numFmtId="220" fontId="248" fillId="0" borderId="141" applyNumberFormat="0" applyFill="0" applyAlignment="0" applyProtection="0">
      <alignment vertical="center"/>
    </xf>
    <xf numFmtId="220" fontId="211" fillId="0" borderId="129" applyNumberFormat="0" applyFill="0" applyAlignment="0" applyProtection="0">
      <alignment vertical="center"/>
    </xf>
    <xf numFmtId="220" fontId="5" fillId="0" borderId="0"/>
    <xf numFmtId="220" fontId="211" fillId="0" borderId="129" applyNumberFormat="0" applyFill="0" applyAlignment="0" applyProtection="0">
      <alignment vertical="center"/>
    </xf>
    <xf numFmtId="220" fontId="5" fillId="0" borderId="0"/>
    <xf numFmtId="220" fontId="211" fillId="0" borderId="129" applyNumberFormat="0" applyFill="0" applyAlignment="0" applyProtection="0">
      <alignment vertical="center"/>
    </xf>
    <xf numFmtId="220" fontId="0" fillId="0" borderId="0"/>
    <xf numFmtId="220" fontId="5" fillId="0" borderId="0"/>
    <xf numFmtId="220" fontId="211" fillId="0" borderId="129" applyNumberFormat="0" applyFill="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248" fillId="0" borderId="0" applyNumberFormat="0" applyFill="0" applyBorder="0" applyAlignment="0" applyProtection="0">
      <alignment vertical="center"/>
    </xf>
    <xf numFmtId="220" fontId="5" fillId="0" borderId="0"/>
    <xf numFmtId="220" fontId="176" fillId="0" borderId="0" applyNumberFormat="0" applyFill="0" applyBorder="0" applyAlignment="0" applyProtection="0">
      <alignment vertical="center"/>
    </xf>
    <xf numFmtId="220" fontId="5" fillId="0" borderId="0"/>
    <xf numFmtId="220" fontId="176" fillId="0" borderId="0" applyNumberFormat="0" applyFill="0" applyBorder="0" applyAlignment="0" applyProtection="0">
      <alignment vertical="center"/>
    </xf>
    <xf numFmtId="220" fontId="176" fillId="0" borderId="0" applyNumberFormat="0" applyFill="0" applyBorder="0" applyAlignment="0" applyProtection="0">
      <alignment vertical="center"/>
    </xf>
    <xf numFmtId="220" fontId="0" fillId="0" borderId="0"/>
    <xf numFmtId="220" fontId="211" fillId="0" borderId="0" applyNumberFormat="0" applyFill="0" applyBorder="0" applyAlignment="0" applyProtection="0">
      <alignment vertical="center"/>
    </xf>
    <xf numFmtId="220" fontId="5" fillId="0" borderId="0"/>
    <xf numFmtId="220" fontId="0" fillId="0" borderId="0">
      <alignment vertical="center"/>
    </xf>
    <xf numFmtId="220" fontId="246" fillId="0" borderId="0" applyNumberFormat="0" applyFill="0" applyBorder="0" applyAlignment="0" applyProtection="0">
      <alignment vertical="center"/>
    </xf>
    <xf numFmtId="220" fontId="5" fillId="0" borderId="0"/>
    <xf numFmtId="220" fontId="246" fillId="0" borderId="0" applyNumberFormat="0" applyFill="0" applyBorder="0" applyAlignment="0" applyProtection="0">
      <alignment vertical="center"/>
    </xf>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246" fillId="0" borderId="0" applyNumberFormat="0" applyFill="0" applyBorder="0" applyAlignment="0" applyProtection="0">
      <alignment vertical="center"/>
    </xf>
    <xf numFmtId="220" fontId="246" fillId="0" borderId="0" applyNumberFormat="0" applyFill="0" applyBorder="0" applyAlignment="0" applyProtection="0">
      <alignment vertical="center"/>
    </xf>
    <xf numFmtId="220" fontId="246" fillId="0" borderId="0" applyNumberFormat="0" applyFill="0" applyBorder="0" applyAlignment="0" applyProtection="0">
      <alignment vertical="center"/>
    </xf>
    <xf numFmtId="220" fontId="246" fillId="0" borderId="0" applyNumberFormat="0" applyFill="0" applyBorder="0" applyAlignment="0" applyProtection="0">
      <alignment vertical="center"/>
    </xf>
    <xf numFmtId="220" fontId="246" fillId="0" borderId="0" applyNumberFormat="0" applyFill="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211" fillId="0" borderId="0" applyNumberFormat="0" applyFill="0" applyBorder="0" applyAlignment="0" applyProtection="0">
      <alignment vertical="center"/>
    </xf>
    <xf numFmtId="220" fontId="5" fillId="0" borderId="0"/>
    <xf numFmtId="220" fontId="5" fillId="0" borderId="0"/>
    <xf numFmtId="220" fontId="205" fillId="0" borderId="0" applyNumberFormat="0" applyFill="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76" fillId="0" borderId="0" applyNumberFormat="0" applyFill="0" applyBorder="0" applyAlignment="0" applyProtection="0">
      <alignment vertical="center"/>
    </xf>
    <xf numFmtId="220" fontId="0" fillId="0" borderId="0"/>
    <xf numFmtId="220" fontId="205" fillId="0" borderId="0" applyNumberFormat="0" applyFill="0" applyBorder="0" applyAlignment="0" applyProtection="0">
      <alignment vertical="center"/>
    </xf>
    <xf numFmtId="220" fontId="5" fillId="0" borderId="0"/>
    <xf numFmtId="220" fontId="5" fillId="0" borderId="0"/>
    <xf numFmtId="220" fontId="5" fillId="0" borderId="0"/>
    <xf numFmtId="220" fontId="205" fillId="0" borderId="0" applyNumberFormat="0" applyFill="0" applyBorder="0" applyAlignment="0" applyProtection="0">
      <alignment vertical="center"/>
    </xf>
    <xf numFmtId="220" fontId="5" fillId="0" borderId="0"/>
    <xf numFmtId="220" fontId="205" fillId="0" borderId="0" applyNumberFormat="0" applyFill="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211" fillId="0" borderId="0" applyNumberFormat="0" applyFill="0" applyBorder="0" applyAlignment="0" applyProtection="0">
      <alignment vertical="center"/>
    </xf>
    <xf numFmtId="220" fontId="5" fillId="0" borderId="0"/>
    <xf numFmtId="220" fontId="205" fillId="0" borderId="0" applyNumberFormat="0" applyFill="0" applyBorder="0" applyAlignment="0" applyProtection="0">
      <alignment vertical="center"/>
    </xf>
    <xf numFmtId="220" fontId="5" fillId="0" borderId="0"/>
    <xf numFmtId="220" fontId="147" fillId="42" borderId="0" applyNumberFormat="0" applyBorder="0" applyAlignment="0" applyProtection="0">
      <alignment vertical="center"/>
    </xf>
    <xf numFmtId="220" fontId="176" fillId="0" borderId="0" applyNumberFormat="0" applyFill="0" applyBorder="0" applyAlignment="0" applyProtection="0">
      <alignment vertical="center"/>
    </xf>
    <xf numFmtId="220" fontId="5" fillId="0" borderId="0"/>
    <xf numFmtId="220" fontId="5" fillId="0" borderId="0"/>
    <xf numFmtId="220" fontId="205" fillId="0" borderId="0" applyNumberFormat="0" applyFill="0" applyBorder="0" applyAlignment="0" applyProtection="0">
      <alignment vertical="center"/>
    </xf>
    <xf numFmtId="220" fontId="248" fillId="0" borderId="0" applyNumberFormat="0" applyFill="0" applyBorder="0" applyAlignment="0" applyProtection="0">
      <alignment vertical="center"/>
    </xf>
    <xf numFmtId="220" fontId="248" fillId="0" borderId="0" applyNumberFormat="0" applyFill="0" applyBorder="0" applyAlignment="0" applyProtection="0">
      <alignment vertical="center"/>
    </xf>
    <xf numFmtId="220" fontId="211" fillId="0" borderId="0" applyNumberFormat="0" applyFill="0" applyBorder="0" applyAlignment="0" applyProtection="0">
      <alignment vertical="center"/>
    </xf>
    <xf numFmtId="220" fontId="5" fillId="0" borderId="0"/>
    <xf numFmtId="220" fontId="5" fillId="0" borderId="0"/>
    <xf numFmtId="220" fontId="211" fillId="0" borderId="0" applyNumberFormat="0" applyFill="0" applyBorder="0" applyAlignment="0" applyProtection="0">
      <alignment vertical="center"/>
    </xf>
    <xf numFmtId="220" fontId="5" fillId="0" borderId="0"/>
    <xf numFmtId="220" fontId="150" fillId="35" borderId="0" applyNumberFormat="0" applyBorder="0" applyAlignment="0" applyProtection="0">
      <alignment vertical="center"/>
    </xf>
    <xf numFmtId="220" fontId="211" fillId="0" borderId="0" applyNumberFormat="0" applyFill="0" applyBorder="0" applyAlignment="0" applyProtection="0">
      <alignment vertical="center"/>
    </xf>
    <xf numFmtId="220" fontId="5" fillId="0" borderId="0"/>
    <xf numFmtId="220" fontId="5" fillId="0" borderId="0"/>
    <xf numFmtId="220" fontId="5" fillId="0" borderId="0"/>
    <xf numFmtId="220" fontId="5" fillId="0" borderId="0"/>
    <xf numFmtId="220" fontId="199" fillId="0" borderId="0" applyNumberFormat="0" applyFill="0" applyBorder="0" applyAlignment="0" applyProtection="0">
      <alignment vertical="center"/>
    </xf>
    <xf numFmtId="220" fontId="282" fillId="0" borderId="0" applyNumberFormat="0" applyFill="0" applyBorder="0" applyAlignment="0" applyProtection="0">
      <alignment vertical="center"/>
    </xf>
    <xf numFmtId="220" fontId="282" fillId="0" borderId="0" applyNumberFormat="0" applyFill="0" applyBorder="0" applyAlignment="0" applyProtection="0">
      <alignment vertical="center"/>
    </xf>
    <xf numFmtId="220" fontId="282" fillId="0" borderId="0" applyNumberFormat="0" applyFill="0" applyBorder="0" applyAlignment="0" applyProtection="0">
      <alignment vertical="center"/>
    </xf>
    <xf numFmtId="220" fontId="5" fillId="0" borderId="0"/>
    <xf numFmtId="220" fontId="5" fillId="0" borderId="0"/>
    <xf numFmtId="220" fontId="143" fillId="0" borderId="0" applyNumberFormat="0" applyFill="0" applyBorder="0" applyAlignment="0" applyProtection="0">
      <alignment vertical="center"/>
    </xf>
    <xf numFmtId="220" fontId="310" fillId="0" borderId="0" applyNumberFormat="0" applyFill="0" applyBorder="0" applyAlignment="0" applyProtection="0">
      <alignment vertical="center"/>
    </xf>
    <xf numFmtId="220" fontId="310" fillId="0" borderId="0" applyNumberFormat="0" applyFill="0" applyBorder="0" applyAlignment="0" applyProtection="0">
      <alignment vertical="center"/>
    </xf>
    <xf numFmtId="220" fontId="143" fillId="0" borderId="0" applyNumberFormat="0" applyFill="0" applyBorder="0" applyAlignment="0" applyProtection="0">
      <alignment vertical="center"/>
    </xf>
    <xf numFmtId="220" fontId="310" fillId="0" borderId="0" applyNumberFormat="0" applyFill="0" applyBorder="0" applyAlignment="0" applyProtection="0">
      <alignment vertical="center"/>
    </xf>
    <xf numFmtId="220" fontId="0" fillId="0" borderId="0"/>
    <xf numFmtId="220" fontId="310" fillId="0" borderId="0" applyNumberFormat="0" applyFill="0" applyBorder="0" applyAlignment="0" applyProtection="0">
      <alignment vertical="center"/>
    </xf>
    <xf numFmtId="220" fontId="0" fillId="0" borderId="0"/>
    <xf numFmtId="220" fontId="5" fillId="0" borderId="0"/>
    <xf numFmtId="220" fontId="310" fillId="0" borderId="0" applyNumberFormat="0" applyFill="0" applyBorder="0" applyAlignment="0" applyProtection="0">
      <alignment vertical="center"/>
    </xf>
    <xf numFmtId="220" fontId="0" fillId="0" borderId="0"/>
    <xf numFmtId="220" fontId="310" fillId="0" borderId="0" applyNumberFormat="0" applyFill="0" applyBorder="0" applyAlignment="0" applyProtection="0">
      <alignment vertical="center"/>
    </xf>
    <xf numFmtId="220" fontId="142" fillId="38" borderId="0" applyNumberFormat="0" applyBorder="0" applyAlignment="0" applyProtection="0">
      <alignment vertical="center"/>
    </xf>
    <xf numFmtId="220" fontId="139" fillId="0" borderId="0">
      <alignment vertical="center"/>
    </xf>
    <xf numFmtId="220" fontId="310" fillId="0" borderId="0" applyNumberFormat="0" applyFill="0" applyBorder="0" applyAlignment="0" applyProtection="0">
      <alignment vertical="center"/>
    </xf>
    <xf numFmtId="220" fontId="142" fillId="38" borderId="0" applyNumberFormat="0" applyBorder="0" applyAlignment="0" applyProtection="0">
      <alignment vertical="center"/>
    </xf>
    <xf numFmtId="220" fontId="139" fillId="0" borderId="0">
      <alignment vertical="center"/>
    </xf>
    <xf numFmtId="220" fontId="310" fillId="0" borderId="0" applyNumberFormat="0" applyFill="0" applyBorder="0" applyAlignment="0" applyProtection="0">
      <alignment vertical="center"/>
    </xf>
    <xf numFmtId="220" fontId="142" fillId="38" borderId="0" applyNumberFormat="0" applyBorder="0" applyAlignment="0" applyProtection="0">
      <alignment vertical="center"/>
    </xf>
    <xf numFmtId="220" fontId="310" fillId="0" borderId="0" applyNumberFormat="0" applyFill="0" applyBorder="0" applyAlignment="0" applyProtection="0">
      <alignment vertical="center"/>
    </xf>
    <xf numFmtId="220" fontId="5" fillId="0" borderId="0"/>
    <xf numFmtId="220" fontId="174" fillId="0" borderId="0" applyNumberForma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282" fillId="0" borderId="0" applyNumberFormat="0" applyFill="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174" fillId="0" borderId="0" applyNumberFormat="0" applyFill="0" applyBorder="0" applyAlignment="0" applyProtection="0">
      <alignment vertical="center"/>
    </xf>
    <xf numFmtId="220" fontId="174" fillId="0" borderId="0" applyNumberFormat="0" applyFill="0" applyBorder="0" applyAlignment="0" applyProtection="0">
      <alignment vertical="center"/>
    </xf>
    <xf numFmtId="220" fontId="174" fillId="0" borderId="0" applyNumberFormat="0" applyFill="0" applyBorder="0" applyAlignment="0" applyProtection="0">
      <alignment vertical="center"/>
    </xf>
    <xf numFmtId="220" fontId="174" fillId="0" borderId="0" applyNumberFormat="0" applyFill="0" applyBorder="0" applyAlignment="0" applyProtection="0">
      <alignment vertical="center"/>
    </xf>
    <xf numFmtId="220" fontId="143" fillId="0" borderId="0" applyNumberFormat="0" applyFill="0" applyBorder="0" applyAlignment="0" applyProtection="0">
      <alignment vertical="center"/>
    </xf>
    <xf numFmtId="220" fontId="199" fillId="0" borderId="0" applyNumberFormat="0" applyFill="0" applyBorder="0" applyAlignment="0" applyProtection="0">
      <alignment vertical="center"/>
    </xf>
    <xf numFmtId="220" fontId="174" fillId="0" borderId="0" applyNumberFormat="0" applyFill="0" applyBorder="0" applyAlignment="0" applyProtection="0">
      <alignment vertical="center"/>
    </xf>
    <xf numFmtId="220" fontId="5" fillId="0" borderId="0"/>
    <xf numFmtId="220" fontId="199" fillId="0" borderId="0" applyNumberFormat="0" applyFill="0" applyBorder="0" applyAlignment="0" applyProtection="0">
      <alignment vertical="center"/>
    </xf>
    <xf numFmtId="220" fontId="0" fillId="0" borderId="0"/>
    <xf numFmtId="220" fontId="199" fillId="0" borderId="0" applyNumberFormat="0" applyFill="0" applyBorder="0" applyAlignment="0" applyProtection="0">
      <alignment vertical="center"/>
    </xf>
    <xf numFmtId="220" fontId="143" fillId="0" borderId="0" applyNumberFormat="0" applyFill="0" applyBorder="0" applyAlignment="0" applyProtection="0">
      <alignment vertical="center"/>
    </xf>
    <xf numFmtId="220" fontId="5" fillId="0" borderId="0"/>
    <xf numFmtId="220" fontId="143" fillId="0" borderId="0" applyNumberFormat="0" applyFill="0" applyBorder="0" applyAlignment="0" applyProtection="0">
      <alignment vertical="center"/>
    </xf>
    <xf numFmtId="220" fontId="5" fillId="0" borderId="0"/>
    <xf numFmtId="220" fontId="143" fillId="0" borderId="0" applyNumberFormat="0" applyFill="0" applyBorder="0" applyAlignment="0" applyProtection="0">
      <alignment vertical="center"/>
    </xf>
    <xf numFmtId="220" fontId="143" fillId="0" borderId="0" applyNumberFormat="0" applyFill="0" applyBorder="0" applyAlignment="0" applyProtection="0">
      <alignment vertical="center"/>
    </xf>
    <xf numFmtId="220" fontId="192" fillId="0" borderId="20" applyNumberFormat="0" applyFill="0" applyProtection="0">
      <alignment horizontal="center"/>
    </xf>
    <xf numFmtId="220" fontId="192" fillId="0" borderId="20" applyNumberFormat="0" applyFill="0" applyProtection="0">
      <alignment horizontal="center"/>
    </xf>
    <xf numFmtId="220" fontId="142" fillId="38" borderId="0" applyNumberFormat="0" applyBorder="0" applyAlignment="0" applyProtection="0">
      <alignment vertical="center"/>
    </xf>
    <xf numFmtId="220" fontId="318"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49" fontId="145" fillId="0" borderId="0" applyNumberFormat="0" applyFont="0" applyBorder="0" applyAlignment="0" applyProtection="0">
      <alignment horizontal="left"/>
      <protection hidden="1"/>
    </xf>
    <xf numFmtId="220" fontId="5" fillId="0" borderId="0"/>
    <xf numFmtId="220" fontId="5" fillId="0" borderId="0"/>
    <xf numFmtId="220" fontId="5" fillId="0" borderId="0"/>
    <xf numFmtId="220" fontId="33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212" fillId="0" borderId="0" applyNumberFormat="0" applyFill="0" applyBorder="0" applyAlignment="0" applyProtection="0"/>
    <xf numFmtId="220" fontId="212" fillId="0" borderId="0" applyNumberFormat="0" applyFill="0" applyBorder="0" applyAlignment="0" applyProtection="0"/>
    <xf numFmtId="220" fontId="5" fillId="0" borderId="0"/>
    <xf numFmtId="220" fontId="150" fillId="35" borderId="0" applyNumberFormat="0" applyBorder="0" applyAlignment="0" applyProtection="0">
      <alignment vertical="center"/>
    </xf>
    <xf numFmtId="220" fontId="212" fillId="0" borderId="0" applyNumberFormat="0" applyFill="0" applyBorder="0" applyAlignment="0" applyProtection="0"/>
    <xf numFmtId="220" fontId="5" fillId="0" borderId="0"/>
    <xf numFmtId="220" fontId="212" fillId="0" borderId="0" applyNumberFormat="0" applyFill="0" applyBorder="0" applyAlignment="0" applyProtection="0"/>
    <xf numFmtId="220" fontId="5" fillId="0" borderId="0"/>
    <xf numFmtId="220" fontId="212" fillId="0" borderId="0" applyNumberFormat="0" applyFill="0" applyBorder="0" applyAlignment="0" applyProtection="0"/>
    <xf numFmtId="220" fontId="212" fillId="0" borderId="0" applyNumberFormat="0" applyFill="0" applyBorder="0" applyAlignment="0" applyProtection="0"/>
    <xf numFmtId="220" fontId="212" fillId="0" borderId="0" applyNumberFormat="0" applyFill="0" applyBorder="0" applyAlignment="0" applyProtection="0"/>
    <xf numFmtId="220" fontId="5" fillId="0" borderId="0"/>
    <xf numFmtId="220" fontId="5" fillId="0" borderId="0"/>
    <xf numFmtId="49" fontId="145" fillId="0" borderId="0" applyNumberFormat="0" applyFont="0">
      <alignment horizontal="left"/>
    </xf>
    <xf numFmtId="220" fontId="221" fillId="0" borderId="0"/>
    <xf numFmtId="220" fontId="181" fillId="0" borderId="0"/>
    <xf numFmtId="220" fontId="150" fillId="35" borderId="0" applyNumberFormat="0" applyBorder="0" applyAlignment="0" applyProtection="0">
      <alignment vertical="center"/>
    </xf>
    <xf numFmtId="220" fontId="270" fillId="0" borderId="7" applyNumberFormat="0" applyFill="0" applyProtection="0">
      <alignment horizontal="center"/>
    </xf>
    <xf numFmtId="220" fontId="147" fillId="42" borderId="0" applyNumberFormat="0" applyBorder="0" applyAlignment="0" applyProtection="0">
      <alignment vertical="center"/>
    </xf>
    <xf numFmtId="220" fontId="270" fillId="0" borderId="7" applyNumberFormat="0" applyFill="0" applyProtection="0">
      <alignment horizontal="center"/>
    </xf>
    <xf numFmtId="220" fontId="70" fillId="0" borderId="0" applyNumberFormat="0" applyFill="0" applyBorder="0" applyAlignment="0" applyProtection="0">
      <alignment vertical="top"/>
      <protection locked="0"/>
    </xf>
    <xf numFmtId="220" fontId="5" fillId="0" borderId="0"/>
    <xf numFmtId="220" fontId="5" fillId="0" borderId="0"/>
    <xf numFmtId="220" fontId="254" fillId="37" borderId="0" applyNumberFormat="0" applyBorder="0" applyAlignment="0" applyProtection="0">
      <alignment vertical="center"/>
    </xf>
    <xf numFmtId="220" fontId="158" fillId="0" borderId="0" applyNumberFormat="0" applyBorder="0" applyAlignment="0" applyProtection="0">
      <alignment vertical="center"/>
    </xf>
    <xf numFmtId="220" fontId="254" fillId="37"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254" fillId="37" borderId="0" applyNumberFormat="0" applyBorder="0" applyAlignment="0" applyProtection="0">
      <alignment vertical="center"/>
    </xf>
    <xf numFmtId="220" fontId="139" fillId="0" borderId="0">
      <alignment vertical="center"/>
    </xf>
    <xf numFmtId="220" fontId="5" fillId="0" borderId="0"/>
    <xf numFmtId="220" fontId="254" fillId="37" borderId="0" applyNumberFormat="0" applyBorder="0" applyAlignment="0" applyProtection="0">
      <alignment vertical="center"/>
    </xf>
    <xf numFmtId="220" fontId="5" fillId="0" borderId="0"/>
    <xf numFmtId="220" fontId="5" fillId="0" borderId="0"/>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96" fillId="35" borderId="0" applyNumberFormat="0" applyBorder="0" applyAlignment="0" applyProtection="0">
      <alignment vertical="center"/>
    </xf>
    <xf numFmtId="220" fontId="196"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96" fillId="35" borderId="0" applyNumberFormat="0" applyBorder="0" applyAlignment="0" applyProtection="0">
      <alignment vertical="center"/>
    </xf>
    <xf numFmtId="220" fontId="196" fillId="35" borderId="0" applyNumberFormat="0" applyBorder="0" applyAlignment="0" applyProtection="0">
      <alignment vertical="center"/>
    </xf>
    <xf numFmtId="220" fontId="196" fillId="35" borderId="0" applyNumberFormat="0" applyBorder="0" applyAlignment="0" applyProtection="0">
      <alignment vertical="center"/>
    </xf>
    <xf numFmtId="220" fontId="5" fillId="0" borderId="0"/>
    <xf numFmtId="220" fontId="196" fillId="35" borderId="0" applyNumberFormat="0" applyBorder="0" applyAlignment="0" applyProtection="0">
      <alignment vertical="center"/>
    </xf>
    <xf numFmtId="220" fontId="158" fillId="0" borderId="0" applyNumberFormat="0" applyBorder="0" applyProtection="0">
      <alignment vertical="center"/>
    </xf>
    <xf numFmtId="220" fontId="150" fillId="35" borderId="0" applyNumberFormat="0" applyBorder="0" applyAlignment="0" applyProtection="0">
      <alignment vertical="center"/>
    </xf>
    <xf numFmtId="220" fontId="196" fillId="35" borderId="0" applyNumberFormat="0" applyBorder="0" applyAlignment="0" applyProtection="0">
      <alignment vertical="center"/>
    </xf>
    <xf numFmtId="43" fontId="5" fillId="0" borderId="0" applyFont="0" applyFill="0" applyBorder="0" applyAlignment="0" applyProtection="0"/>
    <xf numFmtId="220" fontId="5" fillId="0" borderId="0"/>
    <xf numFmtId="220" fontId="158" fillId="0" borderId="0" applyNumberFormat="0" applyBorder="0" applyProtection="0">
      <alignment vertical="center"/>
    </xf>
    <xf numFmtId="220" fontId="196" fillId="35"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43" fontId="221" fillId="0" borderId="0" applyFont="0" applyFill="0" applyBorder="0" applyAlignment="0" applyProtection="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8" fillId="0" borderId="0" applyNumberFormat="0" applyBorder="0" applyProtection="0">
      <alignment vertical="center"/>
    </xf>
    <xf numFmtId="220" fontId="254" fillId="3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254" fillId="37" borderId="0" applyNumberFormat="0" applyBorder="0" applyAlignment="0" applyProtection="0">
      <alignment vertical="center"/>
    </xf>
    <xf numFmtId="220" fontId="150" fillId="35" borderId="0" applyNumberFormat="0" applyBorder="0" applyAlignment="0" applyProtection="0">
      <alignment vertical="center"/>
    </xf>
    <xf numFmtId="220" fontId="254" fillId="37" borderId="0" applyNumberFormat="0" applyBorder="0" applyAlignment="0" applyProtection="0">
      <alignment vertical="center"/>
    </xf>
    <xf numFmtId="220" fontId="142" fillId="38" borderId="0" applyNumberFormat="0" applyBorder="0" applyAlignment="0" applyProtection="0">
      <alignment vertical="center"/>
    </xf>
    <xf numFmtId="220" fontId="254" fillId="37" borderId="0" applyNumberFormat="0" applyBorder="0" applyAlignment="0" applyProtection="0">
      <alignment vertical="center"/>
    </xf>
    <xf numFmtId="220" fontId="5" fillId="0" borderId="0"/>
    <xf numFmtId="220" fontId="5" fillId="0" borderId="0"/>
    <xf numFmtId="220" fontId="254" fillId="3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2" fillId="0" borderId="0">
      <alignment vertical="center"/>
    </xf>
    <xf numFmtId="220" fontId="2"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2"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39" fillId="0" borderId="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39" fillId="0" borderId="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43" fontId="139" fillId="0" borderId="0" applyFont="0" applyFill="0" applyBorder="0" applyAlignment="0" applyProtection="0">
      <alignment vertical="center"/>
    </xf>
    <xf numFmtId="220" fontId="157" fillId="47" borderId="0" applyNumberFormat="0" applyBorder="0" applyAlignment="0" applyProtection="0">
      <alignment vertical="center"/>
    </xf>
    <xf numFmtId="43" fontId="139" fillId="0" borderId="0" applyFont="0" applyFill="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0"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47" fillId="96"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220" fontId="217" fillId="78" borderId="116" applyNumberFormat="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alignment vertical="center"/>
    </xf>
    <xf numFmtId="220" fontId="5" fillId="0" borderId="0"/>
    <xf numFmtId="43" fontId="5" fillId="0" borderId="0" applyFont="0" applyFill="0" applyBorder="0" applyAlignment="0" applyProtection="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01"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0" fillId="0" borderId="0">
      <alignment vertical="center"/>
    </xf>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0" fillId="0" borderId="0">
      <alignment vertical="center"/>
    </xf>
    <xf numFmtId="220" fontId="150" fillId="112" borderId="0" applyNumberFormat="0" applyBorder="0" applyAlignment="0" applyProtection="0">
      <alignment vertical="center"/>
    </xf>
    <xf numFmtId="220" fontId="142" fillId="38" borderId="0" applyNumberFormat="0" applyBorder="0" applyAlignment="0" applyProtection="0">
      <alignment vertical="center"/>
    </xf>
    <xf numFmtId="220" fontId="150" fillId="112"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0" fillId="0" borderId="0"/>
    <xf numFmtId="220" fontId="150" fillId="112" borderId="0" applyNumberFormat="0" applyBorder="0" applyAlignment="0" applyProtection="0">
      <alignment vertical="center"/>
    </xf>
    <xf numFmtId="220" fontId="5" fillId="0" borderId="0"/>
    <xf numFmtId="220" fontId="0" fillId="0" borderId="0"/>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61" fillId="31"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61" fillId="6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6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90" fillId="0" borderId="0"/>
    <xf numFmtId="220" fontId="150" fillId="35" borderId="0" applyNumberFormat="0" applyBorder="0" applyAlignment="0" applyProtection="0">
      <alignment vertical="center"/>
    </xf>
    <xf numFmtId="220" fontId="161" fillId="64"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09"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09"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61" fillId="99"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2" fillId="0" borderId="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2"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39" fillId="0" borderId="0">
      <alignment vertical="center"/>
    </xf>
    <xf numFmtId="220" fontId="152" fillId="0" borderId="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43" fontId="5" fillId="0" borderId="0" applyFont="0" applyFill="0" applyBorder="0" applyAlignment="0" applyProtection="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221" fillId="0" borderId="0"/>
    <xf numFmtId="220" fontId="150" fillId="35" borderId="0" applyNumberFormat="0" applyBorder="0" applyAlignment="0" applyProtection="0">
      <alignment vertical="center"/>
    </xf>
    <xf numFmtId="220" fontId="221"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2" fillId="0" borderId="0">
      <alignment vertical="center"/>
    </xf>
    <xf numFmtId="220" fontId="152" fillId="0" borderId="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112"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43" fontId="0" fillId="0" borderId="0" applyFont="0" applyFill="0" applyBorder="0" applyAlignment="0" applyProtection="0"/>
    <xf numFmtId="220" fontId="157" fillId="47" borderId="0" applyNumberFormat="0" applyBorder="0" applyAlignment="0" applyProtection="0">
      <alignment vertical="center"/>
    </xf>
    <xf numFmtId="220" fontId="150" fillId="112" borderId="0" applyNumberFormat="0" applyBorder="0" applyAlignment="0" applyProtection="0">
      <alignment vertical="center"/>
    </xf>
    <xf numFmtId="43" fontId="0" fillId="0" borderId="0" applyFont="0" applyFill="0" applyBorder="0" applyAlignment="0" applyProtection="0"/>
    <xf numFmtId="220" fontId="157" fillId="47"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43" fontId="0" fillId="0" borderId="0" applyFont="0" applyFill="0" applyBorder="0" applyAlignment="0" applyProtection="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0" borderId="0">
      <alignment vertical="center"/>
    </xf>
    <xf numFmtId="220" fontId="5" fillId="0" borderId="0"/>
    <xf numFmtId="220" fontId="157" fillId="47" borderId="0" applyNumberFormat="0" applyBorder="0" applyAlignment="0" applyProtection="0">
      <alignment vertical="center"/>
    </xf>
    <xf numFmtId="220" fontId="147" fillId="96"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39" fillId="0" borderId="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339" fillId="95"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221"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340" fillId="42"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39" fillId="0" borderId="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268" fillId="120" borderId="0" applyNumberFormat="0" applyBorder="0" applyAlignment="0" applyProtection="0"/>
    <xf numFmtId="220" fontId="268" fillId="120" borderId="0" applyNumberFormat="0" applyBorder="0" applyAlignment="0" applyProtection="0"/>
    <xf numFmtId="220" fontId="268" fillId="120" borderId="0" applyNumberFormat="0" applyBorder="0" applyAlignment="0" applyProtection="0"/>
    <xf numFmtId="220" fontId="268" fillId="120" borderId="0" applyNumberFormat="0" applyBorder="0" applyAlignment="0" applyProtection="0"/>
    <xf numFmtId="220" fontId="5" fillId="0" borderId="0"/>
    <xf numFmtId="220" fontId="268" fillId="120" borderId="0" applyNumberFormat="0" applyBorder="0" applyAlignment="0" applyProtection="0"/>
    <xf numFmtId="220" fontId="268" fillId="120" borderId="0" applyNumberFormat="0" applyBorder="0" applyAlignment="0" applyProtection="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0"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2"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39" fillId="0" borderId="0">
      <alignment vertical="center"/>
    </xf>
    <xf numFmtId="220" fontId="139" fillId="0" borderId="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218" fillId="62" borderId="0" applyNumberFormat="0" applyBorder="0" applyAlignment="0" applyProtection="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39" fillId="0" borderId="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0" fillId="36"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2" fillId="0" borderId="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0"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39" fillId="0" borderId="0">
      <alignment vertical="center"/>
    </xf>
    <xf numFmtId="220" fontId="325" fillId="0" borderId="0">
      <alignment vertical="center"/>
    </xf>
    <xf numFmtId="220" fontId="157" fillId="47" borderId="0" applyNumberFormat="0" applyBorder="0" applyAlignment="0" applyProtection="0">
      <alignment vertical="center"/>
    </xf>
    <xf numFmtId="220" fontId="5" fillId="0" borderId="0"/>
    <xf numFmtId="220" fontId="5"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0" borderId="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39" fillId="0" borderId="0">
      <alignment vertical="center"/>
    </xf>
    <xf numFmtId="220" fontId="157" fillId="47"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57" fillId="47"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2" fillId="0" borderId="0">
      <alignment vertical="center"/>
    </xf>
    <xf numFmtId="220" fontId="152" fillId="0" borderId="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5" fillId="0" borderId="0"/>
    <xf numFmtId="220" fontId="139" fillId="0" borderId="0">
      <alignment vertical="center"/>
    </xf>
    <xf numFmtId="220" fontId="5" fillId="0" borderId="0"/>
    <xf numFmtId="220" fontId="157" fillId="47" borderId="0" applyNumberFormat="0" applyBorder="0" applyAlignment="0" applyProtection="0">
      <alignment vertical="center"/>
    </xf>
    <xf numFmtId="220" fontId="0" fillId="0" borderId="0"/>
    <xf numFmtId="220" fontId="139" fillId="0" borderId="0">
      <alignment vertical="center"/>
    </xf>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5" fillId="0" borderId="0"/>
    <xf numFmtId="220" fontId="139" fillId="0" borderId="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0" borderId="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0"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2" fillId="0" borderId="0">
      <alignment vertical="center"/>
    </xf>
    <xf numFmtId="220" fontId="157" fillId="47" borderId="0" applyNumberFormat="0" applyBorder="0" applyAlignment="0" applyProtection="0">
      <alignment vertical="center"/>
    </xf>
    <xf numFmtId="220" fontId="152" fillId="0" borderId="0">
      <alignment vertical="center"/>
    </xf>
    <xf numFmtId="220" fontId="157" fillId="47" borderId="0" applyNumberFormat="0" applyBorder="0" applyAlignment="0" applyProtection="0">
      <alignment vertical="center"/>
    </xf>
    <xf numFmtId="220" fontId="245" fillId="100" borderId="132" applyNumberFormat="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41" fontId="139" fillId="0" borderId="0" applyFont="0" applyFill="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250" fillId="42"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09" fontId="5"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0" fillId="0" borderId="0"/>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47" fillId="38"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43" fontId="0" fillId="0" borderId="0" applyFont="0" applyFill="0" applyBorder="0" applyAlignment="0" applyProtection="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0" fillId="0" borderId="0"/>
    <xf numFmtId="220" fontId="139" fillId="0" borderId="0">
      <alignment vertical="center"/>
    </xf>
    <xf numFmtId="192" fontId="139"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02" fontId="139" fillId="0" borderId="0">
      <alignment vertical="center"/>
    </xf>
    <xf numFmtId="192" fontId="139" fillId="0" borderId="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39" fillId="0" borderId="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247" fillId="84"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43" fontId="152" fillId="0" borderId="0" applyFont="0" applyFill="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0" fillId="0" borderId="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0" fillId="0" borderId="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217" fillId="78" borderId="116" applyNumberFormat="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261" fillId="47"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39" fillId="0" borderId="0">
      <alignment vertical="center"/>
    </xf>
    <xf numFmtId="220" fontId="139" fillId="0" borderId="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42"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254" fillId="37" borderId="0" applyNumberFormat="0" applyBorder="0" applyAlignment="0" applyProtection="0">
      <alignment vertical="center"/>
    </xf>
    <xf numFmtId="220" fontId="5" fillId="0" borderId="0"/>
    <xf numFmtId="220" fontId="254" fillId="3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255"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2" fillId="0" borderId="0">
      <alignment vertical="center"/>
    </xf>
    <xf numFmtId="220" fontId="5" fillId="0" borderId="0"/>
    <xf numFmtId="220" fontId="150" fillId="35" borderId="0" applyNumberFormat="0" applyBorder="0" applyAlignment="0" applyProtection="0">
      <alignment vertical="center"/>
    </xf>
    <xf numFmtId="220" fontId="152" fillId="0" borderId="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192" fontId="139" fillId="0" borderId="0">
      <alignment vertical="center"/>
    </xf>
    <xf numFmtId="220" fontId="5" fillId="0" borderId="0"/>
    <xf numFmtId="220" fontId="5" fillId="0" borderId="0"/>
    <xf numFmtId="220" fontId="0" fillId="0" borderId="0">
      <alignment vertical="center"/>
    </xf>
    <xf numFmtId="220" fontId="5" fillId="0" borderId="0"/>
    <xf numFmtId="237"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2" fillId="0" borderId="0">
      <alignment vertical="center"/>
    </xf>
    <xf numFmtId="220" fontId="150" fillId="35" borderId="0" applyNumberFormat="0" applyBorder="0" applyAlignment="0" applyProtection="0">
      <alignment vertical="center"/>
    </xf>
    <xf numFmtId="220" fontId="152" fillId="0" borderId="0">
      <alignment vertical="center"/>
    </xf>
    <xf numFmtId="220" fontId="152"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39" fillId="0" borderId="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2" fillId="0" borderId="0">
      <alignment vertical="center"/>
    </xf>
    <xf numFmtId="220" fontId="150" fillId="35" borderId="0" applyNumberFormat="0" applyBorder="0" applyAlignment="0" applyProtection="0">
      <alignment vertical="center"/>
    </xf>
    <xf numFmtId="220" fontId="2"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alignment vertical="center"/>
    </xf>
    <xf numFmtId="220" fontId="0" fillId="0" borderId="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alignment vertical="center"/>
    </xf>
    <xf numFmtId="220" fontId="0" fillId="0" borderId="0">
      <alignment vertical="center"/>
    </xf>
    <xf numFmtId="220" fontId="150" fillId="35" borderId="0" applyNumberFormat="0" applyBorder="0" applyAlignment="0" applyProtection="0">
      <alignment vertical="center"/>
    </xf>
    <xf numFmtId="220" fontId="0" fillId="0" borderId="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43" fontId="0" fillId="0" borderId="0" applyFont="0" applyFill="0" applyBorder="0" applyAlignment="0" applyProtection="0"/>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5" fillId="0" borderId="0"/>
    <xf numFmtId="43" fontId="0" fillId="0" borderId="0" applyFont="0" applyFill="0" applyBorder="0" applyAlignment="0" applyProtection="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0" fillId="0" borderId="0"/>
    <xf numFmtId="202" fontId="139" fillId="0" borderId="0">
      <alignment vertical="center"/>
    </xf>
    <xf numFmtId="192" fontId="139" fillId="0" borderId="0">
      <alignment vertical="center"/>
    </xf>
    <xf numFmtId="220" fontId="5" fillId="0" borderId="0"/>
    <xf numFmtId="220" fontId="150" fillId="35" borderId="0" applyNumberFormat="0" applyBorder="0" applyAlignment="0" applyProtection="0">
      <alignment vertical="center"/>
    </xf>
    <xf numFmtId="220" fontId="0" fillId="0" borderId="0"/>
    <xf numFmtId="220" fontId="0" fillId="0" borderId="0"/>
    <xf numFmtId="220" fontId="150" fillId="35" borderId="0" applyNumberFormat="0" applyBorder="0" applyAlignment="0" applyProtection="0">
      <alignment vertical="center"/>
    </xf>
    <xf numFmtId="220" fontId="0" fillId="0" borderId="0"/>
    <xf numFmtId="220" fontId="0" fillId="0" borderId="0"/>
    <xf numFmtId="220" fontId="0"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192" fontId="139" fillId="0" borderId="0">
      <alignment vertical="center"/>
    </xf>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0" fillId="0" borderId="0"/>
    <xf numFmtId="220" fontId="150" fillId="112"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39" fillId="0" borderId="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157" fillId="47"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272" fillId="0" borderId="0" applyNumberFormat="0" applyFill="0" applyBorder="0" applyAlignment="0" applyProtection="0">
      <alignment vertical="top"/>
      <protection locked="0"/>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39" fillId="0" borderId="0">
      <alignment vertical="center"/>
    </xf>
    <xf numFmtId="220" fontId="5" fillId="0" borderId="0"/>
    <xf numFmtId="220" fontId="150" fillId="35" borderId="0" applyNumberFormat="0" applyBorder="0" applyAlignment="0" applyProtection="0">
      <alignment vertical="center"/>
    </xf>
    <xf numFmtId="220" fontId="139" fillId="0" borderId="0">
      <alignment vertical="center"/>
    </xf>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5" fillId="0" borderId="0"/>
    <xf numFmtId="220" fontId="5" fillId="0" borderId="0"/>
    <xf numFmtId="220" fontId="274" fillId="47" borderId="0" applyNumberFormat="0" applyBorder="0" applyAlignment="0" applyProtection="0">
      <alignment vertical="center"/>
    </xf>
    <xf numFmtId="220" fontId="5" fillId="0" borderId="0"/>
    <xf numFmtId="220" fontId="274" fillId="47" borderId="0" applyNumberFormat="0" applyBorder="0" applyAlignment="0" applyProtection="0">
      <alignment vertical="center"/>
    </xf>
    <xf numFmtId="220" fontId="5" fillId="0" borderId="0"/>
    <xf numFmtId="220" fontId="274" fillId="47"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43" fontId="5" fillId="0" borderId="0" applyFont="0" applyFill="0" applyBorder="0" applyAlignment="0" applyProtection="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47" fillId="96"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0" fillId="0" borderId="0"/>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61" fillId="53"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0"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61" fillId="53"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61" fillId="53"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61" fillId="53" borderId="0" applyNumberFormat="0" applyBorder="0" applyAlignment="0" applyProtection="0">
      <alignment vertical="center"/>
    </xf>
    <xf numFmtId="220" fontId="147" fillId="42" borderId="0" applyNumberFormat="0" applyBorder="0" applyAlignment="0" applyProtection="0">
      <alignment vertical="center"/>
    </xf>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61" fillId="53"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61" fillId="53" borderId="0" applyNumberFormat="0" applyBorder="0" applyAlignment="0" applyProtection="0">
      <alignment vertical="center"/>
    </xf>
    <xf numFmtId="220" fontId="148" fillId="54"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61" fillId="53" borderId="0" applyNumberFormat="0" applyBorder="0" applyAlignment="0" applyProtection="0">
      <alignment vertical="center"/>
    </xf>
    <xf numFmtId="220" fontId="147" fillId="96"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61" fillId="53" borderId="0" applyNumberFormat="0" applyBorder="0" applyAlignment="0" applyProtection="0">
      <alignment vertical="center"/>
    </xf>
    <xf numFmtId="220" fontId="0"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61" fillId="5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150" fillId="35" borderId="0" applyNumberFormat="0" applyBorder="0" applyAlignment="0" applyProtection="0">
      <alignment vertical="center"/>
    </xf>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0" fillId="0" borderId="0">
      <alignment vertical="center"/>
    </xf>
    <xf numFmtId="220" fontId="150" fillId="35" borderId="0" applyNumberFormat="0" applyBorder="0" applyAlignment="0" applyProtection="0">
      <alignment vertical="center"/>
    </xf>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2"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2" fillId="0" borderId="0"/>
    <xf numFmtId="220" fontId="5" fillId="0" borderId="0"/>
    <xf numFmtId="220" fontId="5" fillId="0" borderId="0"/>
    <xf numFmtId="220" fontId="5" fillId="0" borderId="0"/>
    <xf numFmtId="220" fontId="5" fillId="0" borderId="0"/>
    <xf numFmtId="220" fontId="2"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72"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2" fillId="0" borderId="0"/>
    <xf numFmtId="220" fontId="5" fillId="0" borderId="0"/>
    <xf numFmtId="220" fontId="2"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2" fillId="0" borderId="0">
      <alignment vertical="center"/>
    </xf>
    <xf numFmtId="220" fontId="5" fillId="0" borderId="0"/>
    <xf numFmtId="220" fontId="152" fillId="0" borderId="0">
      <alignment vertical="center"/>
    </xf>
    <xf numFmtId="220" fontId="5" fillId="0" borderId="0"/>
    <xf numFmtId="220" fontId="5" fillId="0" borderId="0"/>
    <xf numFmtId="220" fontId="152" fillId="0" borderId="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0" fillId="0" borderId="0"/>
    <xf numFmtId="220" fontId="150" fillId="11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39" fillId="0" borderId="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0" fillId="11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72" fontId="337" fillId="0" borderId="0" applyFont="0" applyFill="0" applyBorder="0" applyAlignment="0" applyProtection="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09" fontId="5" fillId="0" borderId="0"/>
    <xf numFmtId="220" fontId="5" fillId="0" borderId="0"/>
    <xf numFmtId="220" fontId="158" fillId="0"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09"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50" fillId="11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197" fontId="139" fillId="0" borderId="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37" fontId="139" fillId="0" borderId="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50" fillId="35" borderId="0" applyNumberFormat="0" applyBorder="0" applyAlignment="0" applyProtection="0">
      <alignment vertical="center"/>
    </xf>
    <xf numFmtId="220" fontId="140" fillId="36"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5" fillId="0" borderId="0"/>
    <xf numFmtId="220" fontId="0" fillId="0" borderId="0"/>
    <xf numFmtId="220" fontId="341" fillId="0" borderId="143" applyNumberFormat="0" applyFill="0" applyAlignment="0" applyProtection="0">
      <alignment vertical="center"/>
    </xf>
    <xf numFmtId="220" fontId="5" fillId="0" borderId="0"/>
    <xf numFmtId="220" fontId="157" fillId="47"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alignment vertical="center"/>
    </xf>
    <xf numFmtId="220" fontId="0" fillId="0" borderId="0">
      <alignment vertical="center"/>
    </xf>
    <xf numFmtId="220" fontId="150" fillId="35" borderId="0" applyNumberFormat="0" applyBorder="0" applyAlignment="0" applyProtection="0">
      <alignment vertical="center"/>
    </xf>
    <xf numFmtId="220" fontId="5" fillId="0" borderId="0"/>
    <xf numFmtId="220" fontId="0" fillId="0" borderId="0">
      <alignment vertical="center"/>
    </xf>
    <xf numFmtId="220" fontId="0"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alignment vertical="center"/>
    </xf>
    <xf numFmtId="220" fontId="293" fillId="0" borderId="0">
      <alignment vertical="center"/>
    </xf>
    <xf numFmtId="220" fontId="150" fillId="35" borderId="0" applyNumberFormat="0" applyBorder="0" applyAlignment="0" applyProtection="0">
      <alignment vertical="center"/>
    </xf>
    <xf numFmtId="220" fontId="5" fillId="0" borderId="0"/>
    <xf numFmtId="220" fontId="254" fillId="37" borderId="0" applyNumberFormat="0" applyBorder="0" applyAlignment="0" applyProtection="0">
      <alignment vertical="center"/>
    </xf>
    <xf numFmtId="220" fontId="254" fillId="37" borderId="0" applyNumberFormat="0" applyBorder="0" applyAlignment="0" applyProtection="0">
      <alignment vertical="center"/>
    </xf>
    <xf numFmtId="220" fontId="110" fillId="47"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37" fontId="139"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7" fillId="47"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0" fillId="0" borderId="0"/>
    <xf numFmtId="220" fontId="157" fillId="47" borderId="0" applyNumberFormat="0" applyBorder="0" applyAlignment="0" applyProtection="0">
      <alignment vertical="center"/>
    </xf>
    <xf numFmtId="220" fontId="5" fillId="0" borderId="0"/>
    <xf numFmtId="220" fontId="139" fillId="0" borderId="0">
      <alignment vertical="center"/>
    </xf>
    <xf numFmtId="43" fontId="0" fillId="0" borderId="0" applyFont="0" applyFill="0" applyBorder="0" applyAlignment="0" applyProtection="0"/>
    <xf numFmtId="220" fontId="157" fillId="47" borderId="0" applyNumberFormat="0" applyBorder="0" applyAlignment="0" applyProtection="0">
      <alignment vertical="center"/>
    </xf>
    <xf numFmtId="220" fontId="139" fillId="0" borderId="0">
      <alignment vertical="center"/>
    </xf>
    <xf numFmtId="220" fontId="0"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6" fillId="52" borderId="115" applyNumberFormat="0" applyAlignment="0" applyProtection="0">
      <alignment vertical="center"/>
    </xf>
    <xf numFmtId="220" fontId="345" fillId="47" borderId="0" applyNumberFormat="0" applyBorder="0" applyAlignment="0" applyProtection="0">
      <alignment vertical="center"/>
    </xf>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255" fillId="47"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255" fillId="47"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39"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346" fillId="78" borderId="120" applyNumberFormat="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2" fillId="0" borderId="0" applyNumberFormat="0" applyBorder="0" applyProtection="0">
      <alignment vertical="center"/>
    </xf>
    <xf numFmtId="220" fontId="150" fillId="35" borderId="0" applyNumberFormat="0" applyBorder="0" applyAlignment="0" applyProtection="0">
      <alignment vertical="center"/>
    </xf>
    <xf numFmtId="220" fontId="5" fillId="0" borderId="0"/>
    <xf numFmtId="220" fontId="152" fillId="0" borderId="0" applyNumberFormat="0" applyBorder="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0" fillId="0" borderId="0">
      <alignment vertical="center"/>
    </xf>
    <xf numFmtId="220" fontId="150" fillId="35" borderId="0" applyNumberFormat="0" applyBorder="0" applyAlignment="0" applyProtection="0">
      <alignment vertical="center"/>
    </xf>
    <xf numFmtId="220" fontId="5" fillId="0" borderId="0"/>
    <xf numFmtId="220" fontId="152"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39" fillId="0" borderId="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157" fillId="47"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275" fillId="0" borderId="0"/>
    <xf numFmtId="220" fontId="5" fillId="0" borderId="0"/>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01"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alignment vertical="center"/>
    </xf>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0" fillId="0" borderId="0"/>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37"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0" fillId="0" borderId="0"/>
    <xf numFmtId="220" fontId="2" fillId="0" borderId="0"/>
    <xf numFmtId="220" fontId="150" fillId="35"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39" fillId="0" borderId="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0" fillId="0" borderId="0">
      <alignment vertical="center"/>
    </xf>
    <xf numFmtId="220" fontId="5" fillId="0" borderId="0"/>
    <xf numFmtId="220" fontId="139" fillId="0" borderId="0">
      <alignment vertical="center"/>
    </xf>
    <xf numFmtId="237"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2" fillId="0" borderId="0">
      <alignment vertical="center"/>
    </xf>
    <xf numFmtId="220" fontId="5"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0" fillId="36" borderId="0" applyNumberFormat="0" applyBorder="0" applyAlignment="0" applyProtection="0">
      <alignment vertical="center"/>
    </xf>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150" fillId="35"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50" fillId="112" borderId="0" applyNumberFormat="0" applyBorder="0" applyAlignment="0" applyProtection="0">
      <alignment vertical="center"/>
    </xf>
    <xf numFmtId="220" fontId="0"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0"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150" fillId="112" borderId="0" applyNumberFormat="0" applyBorder="0" applyAlignment="0" applyProtection="0">
      <alignment vertical="center"/>
    </xf>
    <xf numFmtId="220" fontId="150" fillId="112" borderId="0" applyNumberFormat="0" applyBorder="0" applyAlignment="0" applyProtection="0">
      <alignment vertical="center"/>
    </xf>
    <xf numFmtId="220" fontId="5" fillId="0" borderId="0"/>
    <xf numFmtId="220" fontId="157" fillId="47" borderId="0" applyNumberFormat="0" applyBorder="0" applyAlignment="0" applyProtection="0">
      <alignment vertical="center"/>
    </xf>
    <xf numFmtId="220" fontId="150" fillId="3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09"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xf numFmtId="220" fontId="0" fillId="0" borderId="0">
      <alignment vertical="center"/>
    </xf>
    <xf numFmtId="220" fontId="5" fillId="0" borderId="0"/>
    <xf numFmtId="220" fontId="5" fillId="0" borderId="0"/>
    <xf numFmtId="220" fontId="5" fillId="0" borderId="0"/>
    <xf numFmtId="220" fontId="0" fillId="0" borderId="0"/>
    <xf numFmtId="220" fontId="0" fillId="0" borderId="0">
      <alignment vertical="center"/>
    </xf>
    <xf numFmtId="220" fontId="5" fillId="0" borderId="0"/>
    <xf numFmtId="43" fontId="5" fillId="0" borderId="0" applyFont="0" applyFill="0" applyBorder="0" applyAlignment="0" applyProtection="0">
      <alignment vertical="center"/>
    </xf>
    <xf numFmtId="191" fontId="139" fillId="0" borderId="0" applyFont="0" applyFill="0" applyBorder="0" applyAlignment="0" applyProtection="0">
      <alignment vertical="center"/>
    </xf>
    <xf numFmtId="220" fontId="0" fillId="0" borderId="0"/>
    <xf numFmtId="220" fontId="5" fillId="0" borderId="0"/>
    <xf numFmtId="220" fontId="5" fillId="0" borderId="0"/>
    <xf numFmtId="43" fontId="325" fillId="0" borderId="0" applyFont="0" applyFill="0" applyBorder="0" applyAlignment="0" applyProtection="0">
      <alignment vertical="center"/>
    </xf>
    <xf numFmtId="43" fontId="5" fillId="0" borderId="0" applyFont="0" applyFill="0" applyBorder="0" applyAlignment="0" applyProtection="0">
      <alignment vertical="center"/>
    </xf>
    <xf numFmtId="220" fontId="0"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0" fillId="0" borderId="0">
      <alignment vertical="center"/>
    </xf>
    <xf numFmtId="220" fontId="5" fillId="0" borderId="0"/>
    <xf numFmtId="220" fontId="0" fillId="0" borderId="0">
      <alignment vertical="center"/>
    </xf>
    <xf numFmtId="273" fontId="337" fillId="0" borderId="0" applyFont="0" applyFill="0" applyBorder="0" applyAlignment="0" applyProtection="0"/>
    <xf numFmtId="220" fontId="5" fillId="0" borderId="0"/>
    <xf numFmtId="220" fontId="0" fillId="0" borderId="0">
      <alignment vertical="center"/>
    </xf>
    <xf numFmtId="220" fontId="5" fillId="0" borderId="0"/>
    <xf numFmtId="220" fontId="5" fillId="0" borderId="0"/>
    <xf numFmtId="209"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39" fillId="0" borderId="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50" fillId="35" borderId="0" applyNumberFormat="0" applyBorder="0" applyAlignment="0" applyProtection="0">
      <alignment vertical="center"/>
    </xf>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0" fillId="0" borderId="0">
      <alignment vertical="center"/>
    </xf>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64" fillId="51" borderId="114" applyNumberFormat="0" applyAlignment="0" applyProtection="0">
      <alignment vertical="center"/>
    </xf>
    <xf numFmtId="220" fontId="150" fillId="35"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6" fontId="139" fillId="0" borderId="0">
      <alignment vertical="center"/>
    </xf>
    <xf numFmtId="220" fontId="5" fillId="0" borderId="0"/>
    <xf numFmtId="220" fontId="139" fillId="0" borderId="0">
      <alignment vertical="center"/>
    </xf>
    <xf numFmtId="220" fontId="5" fillId="0" borderId="0"/>
    <xf numFmtId="237" fontId="139" fillId="0" borderId="0">
      <alignment vertical="center"/>
    </xf>
    <xf numFmtId="220" fontId="5" fillId="0" borderId="0"/>
    <xf numFmtId="220" fontId="5" fillId="0" borderId="0"/>
    <xf numFmtId="220" fontId="5" fillId="0" borderId="0"/>
    <xf numFmtId="220" fontId="150" fillId="35" borderId="0" applyNumberFormat="0" applyBorder="0" applyAlignment="0" applyProtection="0">
      <alignment vertical="center"/>
    </xf>
    <xf numFmtId="220" fontId="150" fillId="35" borderId="0" applyNumberFormat="0" applyBorder="0" applyAlignment="0" applyProtection="0">
      <alignment vertical="center"/>
    </xf>
    <xf numFmtId="220" fontId="5" fillId="0" borderId="0"/>
    <xf numFmtId="238"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275" fillId="0" borderId="0"/>
    <xf numFmtId="220" fontId="275" fillId="0" borderId="0"/>
    <xf numFmtId="238" fontId="5" fillId="0" borderId="0"/>
    <xf numFmtId="220" fontId="139" fillId="0" borderId="0">
      <alignment vertical="center"/>
    </xf>
    <xf numFmtId="220" fontId="5" fillId="0" borderId="0"/>
    <xf numFmtId="220" fontId="5" fillId="0" borderId="0"/>
    <xf numFmtId="220" fontId="5" fillId="0" borderId="0"/>
    <xf numFmtId="194"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Protection="0">
      <alignment vertical="center"/>
    </xf>
    <xf numFmtId="220" fontId="158" fillId="0" borderId="0" applyNumberFormat="0" applyBorder="0" applyProtection="0">
      <alignment vertical="center"/>
    </xf>
    <xf numFmtId="220" fontId="5" fillId="0" borderId="0"/>
    <xf numFmtId="43" fontId="5" fillId="0" borderId="0" applyFont="0" applyFill="0" applyBorder="0" applyAlignment="0" applyProtection="0"/>
    <xf numFmtId="220" fontId="5" fillId="0" borderId="0"/>
    <xf numFmtId="220" fontId="158" fillId="0" borderId="0" applyNumberFormat="0" applyBorder="0" applyProtection="0">
      <alignment vertical="center"/>
    </xf>
    <xf numFmtId="220" fontId="0" fillId="0" borderId="0">
      <alignment vertical="center"/>
    </xf>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5" fillId="0" borderId="0"/>
    <xf numFmtId="220" fontId="158" fillId="0" borderId="0" applyNumberFormat="0" applyBorder="0" applyProtection="0">
      <alignment vertical="center"/>
    </xf>
    <xf numFmtId="220" fontId="158" fillId="0" borderId="0" applyNumberFormat="0" applyBorder="0" applyProtection="0">
      <alignment vertical="center"/>
    </xf>
    <xf numFmtId="220" fontId="5" fillId="0" borderId="0"/>
    <xf numFmtId="220" fontId="0" fillId="0" borderId="0">
      <alignment vertical="center"/>
    </xf>
    <xf numFmtId="220" fontId="147" fillId="38" borderId="0" applyNumberFormat="0" applyBorder="0" applyAlignment="0" applyProtection="0">
      <alignment vertical="center"/>
    </xf>
    <xf numFmtId="220" fontId="0" fillId="0" borderId="0">
      <alignment vertical="center"/>
    </xf>
    <xf numFmtId="220" fontId="147" fillId="38" borderId="0" applyNumberFormat="0" applyBorder="0" applyAlignment="0" applyProtection="0">
      <alignment vertical="center"/>
    </xf>
    <xf numFmtId="220" fontId="0" fillId="0" borderId="0">
      <alignment vertical="center"/>
    </xf>
    <xf numFmtId="220" fontId="0" fillId="0" borderId="0">
      <alignment vertical="center"/>
    </xf>
    <xf numFmtId="220" fontId="0" fillId="0" borderId="0">
      <alignment vertical="center"/>
    </xf>
    <xf numFmtId="220" fontId="0" fillId="0" borderId="0"/>
    <xf numFmtId="220" fontId="2" fillId="0" borderId="0"/>
    <xf numFmtId="220" fontId="2" fillId="0" borderId="0"/>
    <xf numFmtId="220" fontId="5" fillId="0" borderId="0"/>
    <xf numFmtId="220" fontId="2" fillId="0" borderId="0"/>
    <xf numFmtId="220" fontId="2" fillId="0" borderId="0"/>
    <xf numFmtId="220" fontId="0" fillId="0" borderId="0">
      <alignment vertical="center"/>
    </xf>
    <xf numFmtId="220" fontId="2" fillId="0" borderId="0"/>
    <xf numFmtId="220" fontId="2" fillId="0" borderId="0"/>
    <xf numFmtId="220" fontId="0" fillId="0" borderId="0">
      <alignment vertical="center"/>
    </xf>
    <xf numFmtId="220" fontId="0" fillId="0" borderId="0"/>
    <xf numFmtId="220" fontId="139" fillId="0" borderId="0">
      <alignment vertical="center"/>
    </xf>
    <xf numFmtId="220" fontId="275" fillId="0" borderId="0"/>
    <xf numFmtId="220" fontId="0" fillId="0" borderId="0">
      <alignment vertical="center"/>
    </xf>
    <xf numFmtId="220" fontId="0" fillId="0" borderId="0">
      <alignment vertical="center"/>
    </xf>
    <xf numFmtId="220" fontId="2" fillId="0" borderId="0"/>
    <xf numFmtId="220" fontId="2" fillId="0" borderId="0"/>
    <xf numFmtId="220" fontId="139" fillId="0" borderId="0">
      <alignment vertical="center"/>
    </xf>
    <xf numFmtId="220" fontId="5" fillId="0" borderId="0"/>
    <xf numFmtId="220" fontId="0" fillId="0" borderId="0"/>
    <xf numFmtId="220" fontId="5" fillId="0" borderId="0"/>
    <xf numFmtId="220" fontId="275" fillId="0" borderId="0"/>
    <xf numFmtId="220" fontId="139" fillId="0" borderId="0">
      <alignment vertical="center"/>
    </xf>
    <xf numFmtId="220" fontId="5" fillId="0" borderId="0"/>
    <xf numFmtId="220" fontId="0" fillId="0" borderId="0"/>
    <xf numFmtId="220" fontId="147" fillId="38" borderId="0" applyNumberFormat="0" applyBorder="0" applyAlignment="0" applyProtection="0">
      <alignment vertical="center"/>
    </xf>
    <xf numFmtId="220" fontId="139" fillId="0" borderId="0">
      <alignment vertical="center"/>
    </xf>
    <xf numFmtId="220" fontId="275" fillId="0" borderId="0"/>
    <xf numFmtId="220" fontId="5" fillId="0" borderId="0"/>
    <xf numFmtId="220" fontId="5" fillId="0" borderId="0"/>
    <xf numFmtId="220" fontId="5" fillId="0" borderId="0"/>
    <xf numFmtId="220" fontId="2" fillId="0" borderId="0"/>
    <xf numFmtId="220" fontId="5" fillId="0" borderId="0"/>
    <xf numFmtId="220" fontId="139" fillId="0" borderId="0">
      <alignment vertical="center"/>
    </xf>
    <xf numFmtId="220" fontId="5" fillId="0" borderId="0"/>
    <xf numFmtId="220" fontId="2" fillId="0" borderId="0"/>
    <xf numFmtId="220" fontId="5" fillId="0" borderId="0"/>
    <xf numFmtId="220" fontId="139" fillId="0" borderId="0">
      <alignment vertical="center"/>
    </xf>
    <xf numFmtId="220" fontId="5" fillId="0" borderId="0"/>
    <xf numFmtId="220" fontId="5" fillId="0" borderId="0"/>
    <xf numFmtId="220" fontId="2" fillId="0" borderId="0"/>
    <xf numFmtId="220" fontId="2" fillId="0" borderId="0"/>
    <xf numFmtId="220" fontId="5" fillId="0" borderId="0"/>
    <xf numFmtId="220" fontId="5" fillId="0" borderId="0"/>
    <xf numFmtId="220" fontId="2" fillId="0" borderId="0"/>
    <xf numFmtId="220" fontId="147" fillId="42" borderId="0" applyNumberFormat="0" applyBorder="0" applyAlignment="0" applyProtection="0">
      <alignment vertical="center"/>
    </xf>
    <xf numFmtId="220" fontId="2" fillId="0" borderId="0"/>
    <xf numFmtId="220" fontId="0" fillId="0" borderId="0">
      <alignment vertical="center"/>
    </xf>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alignment vertical="center"/>
    </xf>
    <xf numFmtId="220" fontId="5" fillId="0" borderId="0"/>
    <xf numFmtId="220" fontId="5" fillId="0" borderId="0"/>
    <xf numFmtId="220" fontId="5" fillId="0" borderId="0"/>
    <xf numFmtId="191" fontId="0" fillId="0" borderId="0" applyFont="0" applyFill="0" applyBorder="0" applyAlignment="0" applyProtection="0"/>
    <xf numFmtId="220" fontId="5" fillId="0" borderId="0"/>
    <xf numFmtId="220" fontId="5" fillId="0" borderId="0"/>
    <xf numFmtId="220" fontId="0" fillId="0" borderId="0">
      <alignment vertical="center"/>
    </xf>
    <xf numFmtId="220" fontId="5" fillId="0" borderId="0"/>
    <xf numFmtId="43" fontId="0" fillId="0" borderId="0" applyFont="0" applyFill="0" applyBorder="0" applyAlignment="0" applyProtection="0"/>
    <xf numFmtId="220" fontId="5" fillId="0" borderId="0"/>
    <xf numFmtId="220" fontId="5" fillId="0" borderId="0">
      <alignment vertical="center"/>
    </xf>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221"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221" fillId="0" borderId="0"/>
    <xf numFmtId="220" fontId="221" fillId="0" borderId="0"/>
    <xf numFmtId="220" fontId="221" fillId="0" borderId="0"/>
    <xf numFmtId="220" fontId="5" fillId="0" borderId="0"/>
    <xf numFmtId="220" fontId="5" fillId="0" borderId="0"/>
    <xf numFmtId="265" fontId="139" fillId="0" borderId="0">
      <alignment vertical="center"/>
    </xf>
    <xf numFmtId="220" fontId="139" fillId="0" borderId="0">
      <alignment vertical="center"/>
    </xf>
    <xf numFmtId="192" fontId="139" fillId="0" borderId="0">
      <alignment vertical="center"/>
    </xf>
    <xf numFmtId="220" fontId="0" fillId="0" borderId="0"/>
    <xf numFmtId="220" fontId="139" fillId="0" borderId="0">
      <alignment vertical="center"/>
    </xf>
    <xf numFmtId="220" fontId="0" fillId="0" borderId="0"/>
    <xf numFmtId="220" fontId="139" fillId="0" borderId="0">
      <alignment vertical="center"/>
    </xf>
    <xf numFmtId="220" fontId="0" fillId="0" borderId="0"/>
    <xf numFmtId="237" fontId="139" fillId="0" borderId="0">
      <alignment vertical="center"/>
    </xf>
    <xf numFmtId="220" fontId="0" fillId="0" borderId="0"/>
    <xf numFmtId="238" fontId="139" fillId="0" borderId="0">
      <alignment vertical="center"/>
    </xf>
    <xf numFmtId="220" fontId="0" fillId="0" borderId="0"/>
    <xf numFmtId="220" fontId="139" fillId="0" borderId="0">
      <alignment vertical="center"/>
    </xf>
    <xf numFmtId="220" fontId="0" fillId="0" borderId="0"/>
    <xf numFmtId="220" fontId="139" fillId="0" borderId="0">
      <alignment vertical="center"/>
    </xf>
    <xf numFmtId="220" fontId="5" fillId="0" borderId="0"/>
    <xf numFmtId="197" fontId="139" fillId="0" borderId="0">
      <alignment vertical="center"/>
    </xf>
    <xf numFmtId="220" fontId="5" fillId="0" borderId="0"/>
    <xf numFmtId="192" fontId="139" fillId="0" borderId="0">
      <alignment vertical="center"/>
    </xf>
    <xf numFmtId="237" fontId="139" fillId="0" borderId="0">
      <alignment vertical="center"/>
    </xf>
    <xf numFmtId="220" fontId="0" fillId="0" borderId="0"/>
    <xf numFmtId="220" fontId="5" fillId="0" borderId="0"/>
    <xf numFmtId="220" fontId="5" fillId="0" borderId="0"/>
    <xf numFmtId="220" fontId="139" fillId="0" borderId="0">
      <alignment vertical="center"/>
    </xf>
    <xf numFmtId="220" fontId="347" fillId="0" borderId="0">
      <alignment vertical="center"/>
    </xf>
    <xf numFmtId="220" fontId="0" fillId="0" borderId="0"/>
    <xf numFmtId="237" fontId="139" fillId="0" borderId="0">
      <alignment vertical="center"/>
    </xf>
    <xf numFmtId="237" fontId="139" fillId="0" borderId="0">
      <alignment vertical="center"/>
    </xf>
    <xf numFmtId="220" fontId="70" fillId="0" borderId="0" applyNumberFormat="0" applyFill="0" applyBorder="0" applyAlignment="0" applyProtection="0">
      <alignment vertical="top"/>
      <protection locked="0"/>
    </xf>
    <xf numFmtId="265" fontId="139" fillId="0" borderId="0">
      <alignment vertical="center"/>
    </xf>
    <xf numFmtId="265" fontId="139" fillId="0" borderId="0">
      <alignment vertical="center"/>
    </xf>
    <xf numFmtId="220" fontId="5" fillId="0" borderId="0"/>
    <xf numFmtId="192"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190" fontId="139" fillId="0" borderId="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194" fontId="139" fillId="0" borderId="0">
      <alignment vertical="center"/>
    </xf>
    <xf numFmtId="220" fontId="5" fillId="0" borderId="0"/>
    <xf numFmtId="220" fontId="5" fillId="0" borderId="0"/>
    <xf numFmtId="220" fontId="5" fillId="0" borderId="0"/>
    <xf numFmtId="190" fontId="139" fillId="0" borderId="0">
      <alignment vertical="center"/>
    </xf>
    <xf numFmtId="190" fontId="139" fillId="0" borderId="0">
      <alignment vertical="center"/>
    </xf>
    <xf numFmtId="192" fontId="139" fillId="0" borderId="0">
      <alignment vertical="center"/>
    </xf>
    <xf numFmtId="220" fontId="5" fillId="0" borderId="0"/>
    <xf numFmtId="220" fontId="5" fillId="0" borderId="0"/>
    <xf numFmtId="220" fontId="139" fillId="0" borderId="0">
      <alignment vertical="center"/>
    </xf>
    <xf numFmtId="192" fontId="139" fillId="0" borderId="0">
      <alignment vertical="center"/>
    </xf>
    <xf numFmtId="220" fontId="5" fillId="0" borderId="0"/>
    <xf numFmtId="220" fontId="139" fillId="0" borderId="0">
      <alignment vertical="center"/>
    </xf>
    <xf numFmtId="220" fontId="139" fillId="0" borderId="0">
      <alignment vertical="center"/>
    </xf>
    <xf numFmtId="194"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37" fontId="139" fillId="0" borderId="0">
      <alignment vertical="center"/>
    </xf>
    <xf numFmtId="220" fontId="5" fillId="0" borderId="0"/>
    <xf numFmtId="220" fontId="139" fillId="0" borderId="0">
      <alignment vertical="center"/>
    </xf>
    <xf numFmtId="220"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139" fillId="0" borderId="0">
      <alignment vertical="center"/>
    </xf>
    <xf numFmtId="220" fontId="139" fillId="0" borderId="0">
      <alignment vertical="center"/>
    </xf>
    <xf numFmtId="192"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37" fontId="139" fillId="0" borderId="0">
      <alignment vertical="center"/>
    </xf>
    <xf numFmtId="220" fontId="139" fillId="0" borderId="0">
      <alignment vertical="center"/>
    </xf>
    <xf numFmtId="220" fontId="5" fillId="0" borderId="0"/>
    <xf numFmtId="220" fontId="5" fillId="0" borderId="0"/>
    <xf numFmtId="220" fontId="0" fillId="0" borderId="0"/>
    <xf numFmtId="220" fontId="139" fillId="0" borderId="0">
      <alignment vertical="center"/>
    </xf>
    <xf numFmtId="194" fontId="139" fillId="0" borderId="0">
      <alignment vertical="center"/>
    </xf>
    <xf numFmtId="220" fontId="139" fillId="0" borderId="0">
      <alignment vertical="center"/>
    </xf>
    <xf numFmtId="237" fontId="139" fillId="0" borderId="0">
      <alignment vertical="center"/>
    </xf>
    <xf numFmtId="220" fontId="139" fillId="0" borderId="0">
      <alignment vertical="center"/>
    </xf>
    <xf numFmtId="237" fontId="139" fillId="0" borderId="0">
      <alignment vertical="center"/>
    </xf>
    <xf numFmtId="220" fontId="139" fillId="0" borderId="0">
      <alignment vertical="center"/>
    </xf>
    <xf numFmtId="220" fontId="5" fillId="0" borderId="0"/>
    <xf numFmtId="220" fontId="5" fillId="0" borderId="0"/>
    <xf numFmtId="220" fontId="5" fillId="0" borderId="0"/>
    <xf numFmtId="220" fontId="0" fillId="0" borderId="0"/>
    <xf numFmtId="220" fontId="139" fillId="0" borderId="0">
      <alignment vertical="center"/>
    </xf>
    <xf numFmtId="197" fontId="139" fillId="0" borderId="0">
      <alignment vertical="center"/>
    </xf>
    <xf numFmtId="220" fontId="5" fillId="0" borderId="0"/>
    <xf numFmtId="220" fontId="0" fillId="0" borderId="0"/>
    <xf numFmtId="220" fontId="139" fillId="0" borderId="0">
      <alignment vertical="center"/>
    </xf>
    <xf numFmtId="197" fontId="139" fillId="0" borderId="0">
      <alignment vertical="center"/>
    </xf>
    <xf numFmtId="237"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0" fillId="0" borderId="0"/>
    <xf numFmtId="220" fontId="139" fillId="0" borderId="0">
      <alignment vertical="center"/>
    </xf>
    <xf numFmtId="220" fontId="5" fillId="0" borderId="0"/>
    <xf numFmtId="198" fontId="139" fillId="0" borderId="0">
      <alignment vertical="center"/>
    </xf>
    <xf numFmtId="220" fontId="139" fillId="0" borderId="0">
      <alignment vertical="center"/>
    </xf>
    <xf numFmtId="260" fontId="152" fillId="0" borderId="0">
      <alignment vertical="center"/>
    </xf>
    <xf numFmtId="220" fontId="139" fillId="0" borderId="0">
      <alignment vertical="center"/>
    </xf>
    <xf numFmtId="260" fontId="152" fillId="0" borderId="0">
      <alignment vertical="center"/>
    </xf>
    <xf numFmtId="220" fontId="139" fillId="0" borderId="0">
      <alignment vertical="center"/>
    </xf>
    <xf numFmtId="260" fontId="152" fillId="0" borderId="0">
      <alignment vertical="center"/>
    </xf>
    <xf numFmtId="220" fontId="139" fillId="0" borderId="0">
      <alignment vertical="center"/>
    </xf>
    <xf numFmtId="220" fontId="139" fillId="0" borderId="0">
      <alignment vertical="center"/>
    </xf>
    <xf numFmtId="26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70" fillId="0" borderId="0" applyNumberFormat="0" applyFill="0" applyBorder="0" applyAlignment="0" applyProtection="0">
      <alignment vertical="top"/>
      <protection locked="0"/>
    </xf>
    <xf numFmtId="260" fontId="152" fillId="0" borderId="0">
      <alignment vertical="center"/>
    </xf>
    <xf numFmtId="220" fontId="139" fillId="0" borderId="0">
      <alignment vertical="center"/>
    </xf>
    <xf numFmtId="220" fontId="139" fillId="0" borderId="0">
      <alignment vertical="center"/>
    </xf>
    <xf numFmtId="260" fontId="152" fillId="0" borderId="0">
      <alignment vertical="center"/>
    </xf>
    <xf numFmtId="220" fontId="139" fillId="0" borderId="0">
      <alignment vertical="center"/>
    </xf>
    <xf numFmtId="220" fontId="139" fillId="0" borderId="0">
      <alignment vertical="center"/>
    </xf>
    <xf numFmtId="260" fontId="152" fillId="0" borderId="0">
      <alignment vertical="center"/>
    </xf>
    <xf numFmtId="220" fontId="139" fillId="0" borderId="0">
      <alignment vertical="center"/>
    </xf>
    <xf numFmtId="220" fontId="0" fillId="0" borderId="0">
      <alignment vertical="center"/>
    </xf>
    <xf numFmtId="227"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60" fontId="152" fillId="0" borderId="0">
      <alignment vertical="center"/>
    </xf>
    <xf numFmtId="220" fontId="139" fillId="0" borderId="0">
      <alignment vertical="center"/>
    </xf>
    <xf numFmtId="260" fontId="152" fillId="0" borderId="0">
      <alignment vertical="center"/>
    </xf>
    <xf numFmtId="220" fontId="139" fillId="0" borderId="0">
      <alignment vertical="center"/>
    </xf>
    <xf numFmtId="260" fontId="152" fillId="0" borderId="0">
      <alignment vertical="center"/>
    </xf>
    <xf numFmtId="220" fontId="5" fillId="0" borderId="0"/>
    <xf numFmtId="220" fontId="0" fillId="0" borderId="0">
      <alignment vertical="center"/>
    </xf>
    <xf numFmtId="220" fontId="0" fillId="0" borderId="0">
      <alignment vertical="center"/>
    </xf>
    <xf numFmtId="220" fontId="5" fillId="0" borderId="0"/>
    <xf numFmtId="220" fontId="0" fillId="0" borderId="0">
      <alignment vertical="center"/>
    </xf>
    <xf numFmtId="220" fontId="0" fillId="0" borderId="0">
      <alignment vertical="center"/>
    </xf>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221"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alignment vertical="center"/>
    </xf>
    <xf numFmtId="220" fontId="5" fillId="0" borderId="0"/>
    <xf numFmtId="220" fontId="147" fillId="38" borderId="0" applyNumberFormat="0" applyBorder="0" applyAlignment="0" applyProtection="0">
      <alignment vertical="center"/>
    </xf>
    <xf numFmtId="237" fontId="5" fillId="0" borderId="0"/>
    <xf numFmtId="220" fontId="5" fillId="0" borderId="0"/>
    <xf numFmtId="220" fontId="5" fillId="0" borderId="0"/>
    <xf numFmtId="220" fontId="5" fillId="0" borderId="0"/>
    <xf numFmtId="220" fontId="5" fillId="0" borderId="0">
      <alignment vertical="center"/>
    </xf>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152" fillId="0" borderId="0">
      <alignment vertical="center"/>
    </xf>
    <xf numFmtId="220" fontId="5"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139" fillId="0" borderId="0">
      <alignment vertical="center"/>
    </xf>
    <xf numFmtId="220" fontId="5" fillId="0" borderId="0"/>
    <xf numFmtId="220" fontId="5" fillId="64" borderId="130" applyNumberFormat="0" applyFont="0" applyAlignment="0" applyProtection="0">
      <alignment vertical="center"/>
    </xf>
    <xf numFmtId="220" fontId="0" fillId="0" borderId="0"/>
    <xf numFmtId="220" fontId="5" fillId="64" borderId="130" applyNumberFormat="0" applyFont="0" applyAlignment="0" applyProtection="0">
      <alignment vertical="center"/>
    </xf>
    <xf numFmtId="220" fontId="0" fillId="0" borderId="0"/>
    <xf numFmtId="220" fontId="0" fillId="0" borderId="0"/>
    <xf numFmtId="220" fontId="5" fillId="0" borderId="0"/>
    <xf numFmtId="220" fontId="5" fillId="0" borderId="0"/>
    <xf numFmtId="220" fontId="0" fillId="0" borderId="0"/>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90" fillId="0" borderId="0"/>
    <xf numFmtId="220" fontId="5" fillId="0" borderId="0"/>
    <xf numFmtId="220" fontId="0" fillId="0" borderId="0"/>
    <xf numFmtId="220" fontId="0" fillId="0" borderId="0"/>
    <xf numFmtId="220" fontId="5" fillId="0" borderId="0"/>
    <xf numFmtId="0" fontId="139" fillId="0" borderId="0">
      <alignment vertical="center"/>
    </xf>
    <xf numFmtId="220" fontId="0" fillId="0" borderId="0">
      <alignment vertical="center"/>
    </xf>
    <xf numFmtId="0" fontId="139" fillId="0" borderId="0">
      <alignment vertical="center"/>
    </xf>
    <xf numFmtId="220" fontId="0" fillId="0" borderId="0">
      <alignment vertical="center"/>
    </xf>
    <xf numFmtId="220" fontId="0" fillId="0" borderId="0">
      <alignment vertical="center"/>
    </xf>
    <xf numFmtId="220" fontId="0" fillId="0" borderId="0">
      <alignment vertical="center"/>
    </xf>
    <xf numFmtId="220" fontId="142" fillId="38" borderId="0" applyNumberFormat="0" applyBorder="0" applyAlignment="0" applyProtection="0">
      <alignment vertical="center"/>
    </xf>
    <xf numFmtId="220" fontId="5" fillId="0" borderId="0"/>
    <xf numFmtId="220" fontId="5" fillId="0" borderId="0"/>
    <xf numFmtId="220" fontId="221" fillId="0" borderId="0"/>
    <xf numFmtId="220" fontId="5" fillId="0" borderId="0"/>
    <xf numFmtId="220" fontId="221" fillId="0" borderId="0"/>
    <xf numFmtId="220" fontId="139" fillId="0" borderId="0">
      <alignment vertical="center"/>
    </xf>
    <xf numFmtId="220" fontId="0" fillId="0" borderId="0">
      <alignment vertical="center"/>
    </xf>
    <xf numFmtId="220" fontId="0"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5" fillId="0" borderId="0"/>
    <xf numFmtId="220" fontId="0" fillId="0" borderId="0"/>
    <xf numFmtId="220" fontId="221" fillId="0" borderId="0"/>
    <xf numFmtId="220" fontId="5" fillId="0" borderId="0"/>
    <xf numFmtId="220" fontId="5" fillId="0" borderId="0"/>
    <xf numFmtId="220" fontId="221" fillId="0" borderId="0"/>
    <xf numFmtId="220" fontId="5" fillId="0" borderId="0"/>
    <xf numFmtId="220" fontId="5" fillId="0" borderId="0">
      <alignment vertical="center"/>
    </xf>
    <xf numFmtId="220" fontId="221" fillId="0" borderId="0"/>
    <xf numFmtId="220" fontId="221" fillId="0" borderId="0"/>
    <xf numFmtId="220" fontId="221" fillId="0" borderId="0"/>
    <xf numFmtId="220" fontId="221" fillId="0" borderId="0"/>
    <xf numFmtId="220" fontId="0"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139" fillId="0" borderId="0">
      <alignment vertical="center"/>
    </xf>
    <xf numFmtId="220" fontId="0" fillId="0" borderId="0"/>
    <xf numFmtId="220" fontId="5" fillId="0" borderId="0"/>
    <xf numFmtId="237" fontId="5" fillId="0" borderId="0"/>
    <xf numFmtId="237" fontId="5" fillId="0" borderId="0"/>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0" fillId="0" borderId="0">
      <alignment vertical="center"/>
    </xf>
    <xf numFmtId="220" fontId="139" fillId="0" borderId="0"/>
    <xf numFmtId="220" fontId="5" fillId="0" borderId="0"/>
    <xf numFmtId="220" fontId="5" fillId="0" borderId="0"/>
    <xf numFmtId="220" fontId="5" fillId="0" borderId="0"/>
    <xf numFmtId="220" fontId="5" fillId="0" borderId="0"/>
    <xf numFmtId="220" fontId="5" fillId="0" borderId="0"/>
    <xf numFmtId="220" fontId="139"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alignment vertical="center"/>
    </xf>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alignment vertical="center"/>
    </xf>
    <xf numFmtId="220" fontId="0" fillId="0" borderId="0"/>
    <xf numFmtId="220" fontId="5" fillId="0" borderId="0"/>
    <xf numFmtId="220" fontId="5" fillId="0" borderId="0"/>
    <xf numFmtId="220" fontId="0" fillId="0" borderId="0">
      <alignment vertical="center"/>
    </xf>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152" fillId="0" borderId="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58" fillId="0"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2" fillId="0" borderId="0"/>
    <xf numFmtId="220" fontId="0" fillId="0" borderId="0"/>
    <xf numFmtId="220" fontId="2" fillId="0" borderId="0"/>
    <xf numFmtId="220" fontId="5" fillId="0" borderId="0"/>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142" fillId="38" borderId="0" applyNumberFormat="0" applyBorder="0" applyAlignment="0" applyProtection="0">
      <alignment vertical="center"/>
    </xf>
    <xf numFmtId="220" fontId="139" fillId="0" borderId="0">
      <alignment vertical="center"/>
    </xf>
    <xf numFmtId="220" fontId="0" fillId="0" borderId="0"/>
    <xf numFmtId="220" fontId="0" fillId="0" borderId="0"/>
    <xf numFmtId="220" fontId="5" fillId="0" borderId="0"/>
    <xf numFmtId="220" fontId="139" fillId="0" borderId="0">
      <alignment vertical="center"/>
    </xf>
    <xf numFmtId="220" fontId="152" fillId="0" borderId="0" applyNumberFormat="0" applyBorder="0" applyProtection="0">
      <alignment vertical="center"/>
    </xf>
    <xf numFmtId="220" fontId="0" fillId="0" borderId="0"/>
    <xf numFmtId="220" fontId="152" fillId="0" borderId="0" applyNumberFormat="0" applyBorder="0" applyProtection="0">
      <alignment vertical="center"/>
    </xf>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0" fillId="0" borderId="0"/>
    <xf numFmtId="220" fontId="158" fillId="0" borderId="0" applyNumberFormat="0" applyBorder="0" applyAlignment="0">
      <alignment vertical="center"/>
      <protection locked="0"/>
    </xf>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152" fillId="0" borderId="0">
      <alignment vertical="center"/>
    </xf>
    <xf numFmtId="220" fontId="0" fillId="0" borderId="0">
      <alignment vertical="center"/>
    </xf>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338" fillId="0" borderId="0">
      <alignment vertical="center"/>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267" fillId="0" borderId="0" applyNumberFormat="0" applyBorder="0" applyProtection="0">
      <alignment vertical="center"/>
    </xf>
    <xf numFmtId="220" fontId="152" fillId="0" borderId="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139" fillId="0" borderId="0">
      <alignment vertical="center"/>
    </xf>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52" fillId="0" borderId="0">
      <alignment vertical="center"/>
    </xf>
    <xf numFmtId="220" fontId="0" fillId="0" borderId="0">
      <alignment vertical="center"/>
    </xf>
    <xf numFmtId="220" fontId="0" fillId="0" borderId="0"/>
    <xf numFmtId="220" fontId="5" fillId="0" borderId="0"/>
    <xf numFmtId="220" fontId="0" fillId="0" borderId="0"/>
    <xf numFmtId="220" fontId="0" fillId="0" borderId="0">
      <alignment vertical="center"/>
    </xf>
    <xf numFmtId="220" fontId="0"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52" fillId="0" borderId="0">
      <alignment vertical="center"/>
    </xf>
    <xf numFmtId="220" fontId="152" fillId="0" borderId="0">
      <alignment vertical="center"/>
    </xf>
    <xf numFmtId="220" fontId="152" fillId="0" borderId="0">
      <alignment vertical="center"/>
    </xf>
    <xf numFmtId="220" fontId="152" fillId="0" borderId="0">
      <alignment vertical="center"/>
    </xf>
    <xf numFmtId="220" fontId="152" fillId="0" borderId="0">
      <alignment vertical="center"/>
    </xf>
    <xf numFmtId="220" fontId="152" fillId="0" borderId="0">
      <alignment vertical="center"/>
    </xf>
    <xf numFmtId="220" fontId="0" fillId="0" borderId="0"/>
    <xf numFmtId="220" fontId="152" fillId="0" borderId="0">
      <alignment vertical="center"/>
    </xf>
    <xf numFmtId="220" fontId="152" fillId="0" borderId="0">
      <alignment vertical="center"/>
    </xf>
    <xf numFmtId="220" fontId="5" fillId="0" borderId="0"/>
    <xf numFmtId="220" fontId="152" fillId="0" borderId="0">
      <alignment vertical="center"/>
    </xf>
    <xf numFmtId="220" fontId="152" fillId="0" borderId="0">
      <alignment vertical="center"/>
    </xf>
    <xf numFmtId="220" fontId="0" fillId="0" borderId="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152" fillId="0" borderId="0">
      <alignment vertical="center"/>
    </xf>
    <xf numFmtId="220" fontId="152" fillId="0" borderId="0">
      <alignment vertical="center"/>
    </xf>
    <xf numFmtId="220" fontId="5" fillId="0" borderId="0"/>
    <xf numFmtId="220" fontId="152" fillId="0" borderId="0">
      <alignment vertical="center"/>
    </xf>
    <xf numFmtId="220" fontId="152" fillId="0" borderId="0">
      <alignment vertical="center"/>
    </xf>
    <xf numFmtId="220" fontId="158" fillId="0" borderId="0" applyNumberFormat="0" applyBorder="0" applyAlignment="0">
      <alignment vertical="center"/>
      <protection locked="0"/>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2" fillId="0" borderId="0">
      <alignment vertical="center"/>
    </xf>
    <xf numFmtId="220" fontId="152" fillId="0" borderId="0">
      <alignment vertical="center"/>
    </xf>
    <xf numFmtId="220" fontId="152" fillId="0" borderId="0">
      <alignment vertical="center"/>
    </xf>
    <xf numFmtId="220" fontId="152" fillId="0" borderId="0">
      <alignment vertical="center"/>
    </xf>
    <xf numFmtId="220" fontId="152" fillId="0" borderId="0">
      <alignment vertical="center"/>
    </xf>
    <xf numFmtId="220" fontId="158" fillId="0"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158" fillId="0"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0" fillId="0" borderId="0"/>
    <xf numFmtId="220" fontId="158" fillId="0" borderId="0" applyNumberFormat="0" applyBorder="0" applyAlignment="0">
      <alignment vertical="center"/>
      <protection locked="0"/>
    </xf>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58" fillId="0"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alignment vertical="center"/>
    </xf>
    <xf numFmtId="220" fontId="0"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alignment vertical="center"/>
    </xf>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alignment vertical="center"/>
    </xf>
    <xf numFmtId="220" fontId="0" fillId="0" borderId="0"/>
    <xf numFmtId="220" fontId="147" fillId="38" borderId="0" applyNumberFormat="0" applyBorder="0" applyAlignment="0" applyProtection="0">
      <alignment vertical="center"/>
    </xf>
    <xf numFmtId="220" fontId="0" fillId="0" borderId="0">
      <alignment vertical="center"/>
    </xf>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alignment vertical="center"/>
    </xf>
    <xf numFmtId="220" fontId="5" fillId="0" borderId="0"/>
    <xf numFmtId="220" fontId="158" fillId="0" borderId="0" applyNumberFormat="0" applyBorder="0" applyAlignment="0">
      <alignment vertical="center"/>
      <protection locked="0"/>
    </xf>
    <xf numFmtId="220" fontId="147" fillId="38" borderId="0" applyNumberFormat="0" applyBorder="0" applyAlignment="0" applyProtection="0">
      <alignment vertical="center"/>
    </xf>
    <xf numFmtId="220" fontId="0" fillId="0" borderId="0">
      <alignment vertical="center"/>
    </xf>
    <xf numFmtId="220" fontId="158" fillId="0"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52" fillId="0" borderId="0">
      <alignment vertical="center"/>
    </xf>
    <xf numFmtId="220" fontId="5" fillId="0" borderId="0"/>
    <xf numFmtId="220" fontId="0" fillId="0" borderId="0"/>
    <xf numFmtId="220" fontId="152" fillId="0" borderId="0">
      <alignment vertical="center"/>
    </xf>
    <xf numFmtId="220" fontId="0" fillId="0" borderId="0"/>
    <xf numFmtId="220" fontId="152" fillId="0" borderId="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25" fillId="0" borderId="0">
      <alignment vertical="center"/>
    </xf>
    <xf numFmtId="220" fontId="5" fillId="0" borderId="0"/>
    <xf numFmtId="220" fontId="5" fillId="0" borderId="0"/>
    <xf numFmtId="220" fontId="0" fillId="0" borderId="0"/>
    <xf numFmtId="220" fontId="0" fillId="0" borderId="0"/>
    <xf numFmtId="220" fontId="5" fillId="0" borderId="0"/>
    <xf numFmtId="220" fontId="0" fillId="0" borderId="0"/>
    <xf numFmtId="43" fontId="5" fillId="0" borderId="0" applyFont="0" applyFill="0" applyBorder="0" applyAlignment="0" applyProtection="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8" fillId="58" borderId="116" applyNumberFormat="0" applyAlignment="0" applyProtection="0">
      <alignment vertical="center"/>
    </xf>
    <xf numFmtId="220" fontId="5" fillId="0" borderId="0"/>
    <xf numFmtId="220" fontId="348" fillId="58" borderId="116" applyNumberFormat="0" applyAlignment="0" applyProtection="0">
      <alignment vertical="center"/>
    </xf>
    <xf numFmtId="220" fontId="5" fillId="0" borderId="0"/>
    <xf numFmtId="220" fontId="348" fillId="58" borderId="116" applyNumberFormat="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338" fillId="0" borderId="0">
      <alignment vertical="center"/>
      <protection locked="0"/>
    </xf>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158" fillId="0" borderId="0" applyNumberFormat="0" applyBorder="0" applyAlignment="0">
      <alignment vertical="center"/>
      <protection locked="0"/>
    </xf>
    <xf numFmtId="220" fontId="152" fillId="0" borderId="0">
      <alignment vertical="center"/>
    </xf>
    <xf numFmtId="220" fontId="0"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52" fillId="0" borderId="0">
      <alignment vertical="center"/>
    </xf>
    <xf numFmtId="220" fontId="0" fillId="0" borderId="0"/>
    <xf numFmtId="220" fontId="152" fillId="0" borderId="0">
      <alignment vertical="center"/>
    </xf>
    <xf numFmtId="220" fontId="152" fillId="0" borderId="0">
      <alignment vertical="center"/>
    </xf>
    <xf numFmtId="220" fontId="0"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152" fillId="0" borderId="0">
      <alignment vertical="center"/>
    </xf>
    <xf numFmtId="220" fontId="0" fillId="0" borderId="0"/>
    <xf numFmtId="220" fontId="0" fillId="0" borderId="0"/>
    <xf numFmtId="220" fontId="0" fillId="0" borderId="0"/>
    <xf numFmtId="220" fontId="5"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158" fillId="0" borderId="0" applyNumberFormat="0" applyBorder="0" applyAlignment="0">
      <alignment vertical="center"/>
      <protection locked="0"/>
    </xf>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61" fillId="64"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158" fillId="0" borderId="0" applyNumberFormat="0" applyBorder="0" applyAlignment="0">
      <alignment vertical="center"/>
      <protection locked="0"/>
    </xf>
    <xf numFmtId="220" fontId="5" fillId="0" borderId="0"/>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158" fillId="0" borderId="0" applyNumberFormat="0" applyBorder="0" applyAlignment="0">
      <alignment vertical="center"/>
      <protection locked="0"/>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0" fillId="0" borderId="0"/>
    <xf numFmtId="220" fontId="158" fillId="0" borderId="0" applyNumberFormat="0" applyBorder="0" applyAlignment="0">
      <alignment vertical="center"/>
      <protection locked="0"/>
    </xf>
    <xf numFmtId="220" fontId="0" fillId="0" borderId="0"/>
    <xf numFmtId="220" fontId="5" fillId="0" borderId="0"/>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158" fillId="0" borderId="0" applyNumberFormat="0" applyBorder="0" applyAlignment="0">
      <alignment vertical="center"/>
      <protection locked="0"/>
    </xf>
    <xf numFmtId="220" fontId="0" fillId="0" borderId="0"/>
    <xf numFmtId="220" fontId="147" fillId="42"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39" fillId="0" borderId="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0"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139"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 fillId="0" borderId="0"/>
    <xf numFmtId="220" fontId="5" fillId="0" borderId="0"/>
    <xf numFmtId="220" fontId="5" fillId="0" borderId="0"/>
    <xf numFmtId="220" fontId="5" fillId="0" borderId="0"/>
    <xf numFmtId="220" fontId="2"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0" fillId="0" borderId="0">
      <alignment vertical="center"/>
    </xf>
    <xf numFmtId="220" fontId="5" fillId="0" borderId="0"/>
    <xf numFmtId="220" fontId="0" fillId="0" borderId="0">
      <alignment vertical="center"/>
    </xf>
    <xf numFmtId="220" fontId="5" fillId="0" borderId="0"/>
    <xf numFmtId="220" fontId="0" fillId="0" borderId="0"/>
    <xf numFmtId="220" fontId="0" fillId="0" borderId="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2"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152" fillId="0" borderId="0">
      <alignment vertical="center"/>
    </xf>
    <xf numFmtId="220" fontId="5" fillId="0" borderId="0"/>
    <xf numFmtId="220" fontId="5" fillId="0" borderId="0"/>
    <xf numFmtId="220" fontId="152" fillId="0" borderId="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152" fillId="0" borderId="0">
      <alignment vertical="center"/>
    </xf>
    <xf numFmtId="220" fontId="5" fillId="0" borderId="0"/>
    <xf numFmtId="220" fontId="0" fillId="0" borderId="0"/>
    <xf numFmtId="220" fontId="0" fillId="0" borderId="0"/>
    <xf numFmtId="220" fontId="152" fillId="0" borderId="0">
      <alignment vertical="center"/>
    </xf>
    <xf numFmtId="220" fontId="5" fillId="0" borderId="0"/>
    <xf numFmtId="220" fontId="0" fillId="0" borderId="0"/>
    <xf numFmtId="220" fontId="0" fillId="0" borderId="0"/>
    <xf numFmtId="220" fontId="152" fillId="0" borderId="0">
      <alignment vertical="center"/>
    </xf>
    <xf numFmtId="220" fontId="0" fillId="0" borderId="0"/>
    <xf numFmtId="220" fontId="142" fillId="38" borderId="0" applyNumberFormat="0" applyBorder="0" applyAlignment="0" applyProtection="0">
      <alignment vertical="center"/>
    </xf>
    <xf numFmtId="220" fontId="5" fillId="0" borderId="0"/>
    <xf numFmtId="220" fontId="152"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52"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139" fillId="0" borderId="0">
      <alignment vertical="center"/>
    </xf>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0"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2" fillId="0" borderId="0">
      <alignment vertical="center"/>
    </xf>
    <xf numFmtId="220" fontId="152" fillId="0" borderId="0">
      <alignment vertical="center"/>
    </xf>
    <xf numFmtId="220" fontId="0" fillId="0" borderId="0"/>
    <xf numFmtId="220" fontId="5" fillId="0" borderId="0"/>
    <xf numFmtId="220" fontId="5" fillId="0" borderId="0"/>
    <xf numFmtId="220" fontId="5" fillId="0" borderId="0"/>
    <xf numFmtId="220" fontId="139" fillId="0" borderId="0">
      <alignment vertical="center"/>
    </xf>
    <xf numFmtId="220" fontId="0"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0" fillId="0" borderId="0"/>
    <xf numFmtId="220" fontId="152" fillId="0" borderId="0">
      <alignment vertical="center"/>
    </xf>
    <xf numFmtId="220" fontId="0" fillId="0" borderId="0"/>
    <xf numFmtId="220" fontId="152" fillId="0" borderId="0">
      <alignment vertical="center"/>
    </xf>
    <xf numFmtId="220" fontId="147" fillId="38" borderId="0" applyNumberFormat="0" applyBorder="0" applyAlignment="0" applyProtection="0">
      <alignment vertical="center"/>
    </xf>
    <xf numFmtId="220" fontId="152" fillId="0" borderId="0">
      <alignment vertical="center"/>
    </xf>
    <xf numFmtId="220" fontId="147" fillId="38" borderId="0" applyNumberFormat="0" applyBorder="0" applyAlignment="0" applyProtection="0">
      <alignment vertical="center"/>
    </xf>
    <xf numFmtId="220" fontId="152" fillId="0" borderId="0">
      <alignment vertical="center"/>
    </xf>
    <xf numFmtId="220" fontId="152" fillId="0" borderId="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139" fillId="0" borderId="0">
      <alignment vertical="center"/>
    </xf>
    <xf numFmtId="220" fontId="0" fillId="0" borderId="0"/>
    <xf numFmtId="220" fontId="5" fillId="0" borderId="0"/>
    <xf numFmtId="220" fontId="5" fillId="0" borderId="0"/>
    <xf numFmtId="220" fontId="139" fillId="0" borderId="0">
      <alignment vertical="center"/>
    </xf>
    <xf numFmtId="220" fontId="0" fillId="0" borderId="0"/>
    <xf numFmtId="220" fontId="5" fillId="0" borderId="0"/>
    <xf numFmtId="220" fontId="147" fillId="42" borderId="0" applyNumberFormat="0" applyBorder="0" applyAlignment="0" applyProtection="0">
      <alignment vertical="center"/>
    </xf>
    <xf numFmtId="220" fontId="139" fillId="0" borderId="0">
      <alignment vertical="center"/>
    </xf>
    <xf numFmtId="220" fontId="5" fillId="0" borderId="0"/>
    <xf numFmtId="220" fontId="139" fillId="0" borderId="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alignment vertical="center"/>
    </xf>
    <xf numFmtId="220" fontId="5" fillId="0" borderId="0"/>
    <xf numFmtId="220" fontId="5" fillId="0" borderId="0"/>
    <xf numFmtId="220" fontId="139" fillId="0" borderId="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39" fillId="0" borderId="0">
      <alignment vertical="center"/>
    </xf>
    <xf numFmtId="220" fontId="5" fillId="0" borderId="0"/>
    <xf numFmtId="220" fontId="0" fillId="0" borderId="0"/>
    <xf numFmtId="220" fontId="0" fillId="0" borderId="0"/>
    <xf numFmtId="220" fontId="5" fillId="0" borderId="0"/>
    <xf numFmtId="220" fontId="0" fillId="0" borderId="0">
      <alignment vertical="center"/>
    </xf>
    <xf numFmtId="220" fontId="0" fillId="0" borderId="0">
      <alignment vertical="center"/>
    </xf>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alignment vertical="center"/>
    </xf>
    <xf numFmtId="220" fontId="0" fillId="0" borderId="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alignment vertical="center"/>
    </xf>
    <xf numFmtId="220" fontId="0" fillId="0" borderId="0"/>
    <xf numFmtId="220" fontId="5" fillId="0" borderId="0"/>
    <xf numFmtId="220" fontId="0" fillId="0" borderId="0">
      <alignment vertical="center"/>
    </xf>
    <xf numFmtId="220" fontId="0" fillId="0" borderId="0">
      <alignment vertical="center"/>
    </xf>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338" fillId="0" borderId="0">
      <alignment vertical="center"/>
    </xf>
    <xf numFmtId="220" fontId="5"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221" fillId="0" borderId="0"/>
    <xf numFmtId="220" fontId="221" fillId="0" borderId="0"/>
    <xf numFmtId="220" fontId="0" fillId="0" borderId="0"/>
    <xf numFmtId="220" fontId="147" fillId="42" borderId="0" applyNumberFormat="0" applyBorder="0" applyAlignment="0" applyProtection="0">
      <alignment vertical="center"/>
    </xf>
    <xf numFmtId="220" fontId="139" fillId="0" borderId="0">
      <alignment vertical="center"/>
    </xf>
    <xf numFmtId="220" fontId="5" fillId="0" borderId="0"/>
    <xf numFmtId="220" fontId="0" fillId="0" borderId="0"/>
    <xf numFmtId="220" fontId="5" fillId="0" borderId="0"/>
    <xf numFmtId="220" fontId="5" fillId="0" borderId="0"/>
    <xf numFmtId="220" fontId="139" fillId="0" borderId="0">
      <alignment vertical="center"/>
    </xf>
    <xf numFmtId="220" fontId="158" fillId="0" borderId="0" applyNumberFormat="0" applyBorder="0" applyProtection="0">
      <alignment vertical="center"/>
    </xf>
    <xf numFmtId="220" fontId="5" fillId="0" borderId="0"/>
    <xf numFmtId="220" fontId="158" fillId="0" borderId="0" applyNumberFormat="0" applyBorder="0" applyProtection="0">
      <alignment vertical="center"/>
    </xf>
    <xf numFmtId="220" fontId="139" fillId="0" borderId="0">
      <alignment vertical="center"/>
    </xf>
    <xf numFmtId="220" fontId="158" fillId="0" borderId="0" applyNumberFormat="0" applyBorder="0" applyProtection="0">
      <alignment vertical="center"/>
    </xf>
    <xf numFmtId="220" fontId="158" fillId="0" borderId="0" applyNumberFormat="0" applyBorder="0" applyProtection="0">
      <alignment vertical="center"/>
    </xf>
    <xf numFmtId="220" fontId="0" fillId="0" borderId="0">
      <alignment vertical="center"/>
    </xf>
    <xf numFmtId="220" fontId="0" fillId="0" borderId="0">
      <alignment vertical="center"/>
    </xf>
    <xf numFmtId="220" fontId="0" fillId="0" borderId="0"/>
    <xf numFmtId="220" fontId="0" fillId="0" borderId="0"/>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0"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5" fillId="0" borderId="0"/>
    <xf numFmtId="220" fontId="0" fillId="0" borderId="0"/>
    <xf numFmtId="220" fontId="0" fillId="0" borderId="0"/>
    <xf numFmtId="220" fontId="221" fillId="0" borderId="0"/>
    <xf numFmtId="220" fontId="0" fillId="0" borderId="0"/>
    <xf numFmtId="220" fontId="0" fillId="0" borderId="0"/>
    <xf numFmtId="220" fontId="0" fillId="0" borderId="0">
      <alignment vertical="center"/>
    </xf>
    <xf numFmtId="220" fontId="0" fillId="0" borderId="0"/>
    <xf numFmtId="220" fontId="0" fillId="0" borderId="0">
      <alignment vertical="center"/>
    </xf>
    <xf numFmtId="220" fontId="221" fillId="0" borderId="0"/>
    <xf numFmtId="220" fontId="0" fillId="0" borderId="0">
      <alignment vertical="center"/>
    </xf>
    <xf numFmtId="220" fontId="221" fillId="0" borderId="0"/>
    <xf numFmtId="220" fontId="0" fillId="0" borderId="0">
      <alignment vertical="center"/>
    </xf>
    <xf numFmtId="220" fontId="147" fillId="42" borderId="0" applyNumberFormat="0" applyBorder="0" applyAlignment="0" applyProtection="0">
      <alignment vertical="center"/>
    </xf>
    <xf numFmtId="220" fontId="0" fillId="0" borderId="0"/>
    <xf numFmtId="220" fontId="152" fillId="0" borderId="0">
      <alignment vertical="center"/>
    </xf>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152" fillId="0" borderId="0">
      <alignment vertical="center"/>
    </xf>
    <xf numFmtId="220" fontId="5" fillId="0" borderId="0"/>
    <xf numFmtId="220" fontId="152" fillId="0" borderId="0">
      <alignment vertical="center"/>
    </xf>
    <xf numFmtId="220" fontId="5" fillId="0" borderId="0"/>
    <xf numFmtId="220" fontId="152" fillId="0" borderId="0">
      <alignment vertical="center"/>
    </xf>
    <xf numFmtId="220" fontId="152" fillId="0" borderId="0">
      <alignment vertical="center"/>
    </xf>
    <xf numFmtId="220" fontId="152" fillId="0" borderId="0">
      <alignment vertical="center"/>
    </xf>
    <xf numFmtId="220" fontId="5" fillId="0" borderId="0"/>
    <xf numFmtId="220" fontId="0"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0" fillId="0" borderId="0"/>
    <xf numFmtId="220" fontId="0" fillId="0" borderId="0"/>
    <xf numFmtId="220" fontId="70" fillId="0" borderId="0" applyNumberFormat="0" applyFill="0" applyBorder="0" applyAlignment="0" applyProtection="0">
      <alignment vertical="top"/>
      <protection locked="0"/>
    </xf>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152" fillId="0" borderId="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152" fillId="0" borderId="0">
      <alignment vertical="center"/>
    </xf>
    <xf numFmtId="220" fontId="0"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152" fillId="0" borderId="0">
      <alignment vertical="center"/>
    </xf>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52" fillId="0" borderId="0">
      <alignment vertical="center"/>
    </xf>
    <xf numFmtId="220" fontId="0" fillId="0" borderId="0"/>
    <xf numFmtId="220" fontId="5" fillId="0" borderId="0"/>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0" fillId="0" borderId="0"/>
    <xf numFmtId="220" fontId="0" fillId="0" borderId="0">
      <alignment vertical="center"/>
    </xf>
    <xf numFmtId="220" fontId="0" fillId="0" borderId="0"/>
    <xf numFmtId="220" fontId="0" fillId="0" borderId="0">
      <alignment vertical="center"/>
    </xf>
    <xf numFmtId="220" fontId="5"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0"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152" fillId="0" borderId="0">
      <alignment vertical="center"/>
    </xf>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alignment vertical="center"/>
    </xf>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0" fillId="0" borderId="0">
      <alignment vertical="center"/>
    </xf>
    <xf numFmtId="220" fontId="0" fillId="0" borderId="0"/>
    <xf numFmtId="220" fontId="0" fillId="0" borderId="0">
      <alignment vertical="center"/>
    </xf>
    <xf numFmtId="220" fontId="0" fillId="0" borderId="0">
      <alignment vertical="center"/>
    </xf>
    <xf numFmtId="220" fontId="0" fillId="0" borderId="0">
      <alignment vertical="center"/>
    </xf>
    <xf numFmtId="220" fontId="2" fillId="0" borderId="0"/>
    <xf numFmtId="220" fontId="2" fillId="0" borderId="0"/>
    <xf numFmtId="220" fontId="2" fillId="0" borderId="0"/>
    <xf numFmtId="220" fontId="0" fillId="0" borderId="0"/>
    <xf numFmtId="220" fontId="147" fillId="42" borderId="0" applyNumberFormat="0" applyBorder="0" applyAlignment="0" applyProtection="0">
      <alignment vertical="center"/>
    </xf>
    <xf numFmtId="220" fontId="0" fillId="0" borderId="0"/>
    <xf numFmtId="220" fontId="267" fillId="0" borderId="0" applyNumberFormat="0" applyBorder="0" applyProtection="0">
      <alignment vertical="center"/>
    </xf>
    <xf numFmtId="220" fontId="267" fillId="0" borderId="0" applyNumberFormat="0" applyBorder="0" applyProtection="0">
      <alignment vertical="center"/>
    </xf>
    <xf numFmtId="220" fontId="147" fillId="42" borderId="0" applyNumberFormat="0" applyBorder="0" applyAlignment="0" applyProtection="0">
      <alignment vertical="center"/>
    </xf>
    <xf numFmtId="220" fontId="5" fillId="0" borderId="0"/>
    <xf numFmtId="220" fontId="152" fillId="0" borderId="0" applyNumberFormat="0" applyBorder="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267" fillId="0" borderId="0" applyNumberFormat="0" applyBorder="0" applyProtection="0">
      <alignment vertical="center"/>
    </xf>
    <xf numFmtId="220" fontId="267" fillId="0" borderId="0" applyNumberFormat="0" applyBorder="0" applyProtection="0">
      <alignment vertical="center"/>
    </xf>
    <xf numFmtId="220" fontId="5" fillId="0" borderId="0"/>
    <xf numFmtId="220" fontId="152" fillId="0" borderId="0" applyNumberFormat="0" applyBorder="0" applyProtection="0">
      <alignment vertical="center"/>
    </xf>
    <xf numFmtId="220" fontId="152" fillId="0" borderId="0" applyNumberFormat="0" applyBorder="0" applyProtection="0">
      <alignment vertical="center"/>
    </xf>
    <xf numFmtId="220" fontId="152" fillId="0" borderId="0" applyNumberFormat="0" applyBorder="0" applyProtection="0">
      <alignment vertical="center"/>
    </xf>
    <xf numFmtId="220" fontId="152" fillId="0" borderId="0" applyNumberFormat="0" applyBorder="0" applyProtection="0">
      <alignment vertical="center"/>
    </xf>
    <xf numFmtId="220" fontId="2" fillId="0" borderId="0"/>
    <xf numFmtId="220" fontId="0" fillId="0" borderId="0"/>
    <xf numFmtId="220" fontId="0" fillId="0" borderId="0"/>
    <xf numFmtId="220" fontId="5" fillId="0" borderId="0"/>
    <xf numFmtId="220" fontId="5" fillId="0" borderId="0"/>
    <xf numFmtId="220" fontId="5" fillId="0" borderId="0"/>
    <xf numFmtId="220" fontId="2" fillId="0" borderId="0"/>
    <xf numFmtId="220" fontId="2" fillId="0" borderId="0"/>
    <xf numFmtId="220" fontId="2"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139" fillId="0" borderId="0">
      <alignment vertical="center"/>
    </xf>
    <xf numFmtId="220" fontId="5" fillId="0" borderId="0"/>
    <xf numFmtId="220" fontId="0" fillId="0" borderId="0"/>
    <xf numFmtId="220" fontId="5" fillId="0" borderId="0"/>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5" fillId="0" borderId="0"/>
    <xf numFmtId="220" fontId="139"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0" fillId="0" borderId="0"/>
    <xf numFmtId="220" fontId="139" fillId="0" borderId="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158" fillId="0" borderId="0" applyNumberFormat="0" applyBorder="0" applyAlignment="0">
      <alignment vertical="center"/>
      <protection locked="0"/>
    </xf>
    <xf numFmtId="220" fontId="0"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142" fillId="38" borderId="0" applyNumberFormat="0" applyBorder="0" applyAlignment="0" applyProtection="0">
      <alignment vertical="center"/>
    </xf>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158" fillId="0" borderId="0" applyNumberFormat="0" applyBorder="0" applyAlignment="0">
      <alignment vertical="center"/>
      <protection locked="0"/>
    </xf>
    <xf numFmtId="220" fontId="5" fillId="0" borderId="0"/>
    <xf numFmtId="220" fontId="5" fillId="0" borderId="0"/>
    <xf numFmtId="220" fontId="142" fillId="38" borderId="0" applyNumberFormat="0" applyBorder="0" applyAlignment="0" applyProtection="0">
      <alignment vertical="center"/>
    </xf>
    <xf numFmtId="220" fontId="158" fillId="0" borderId="0" applyNumberFormat="0" applyBorder="0" applyAlignment="0">
      <alignment vertical="center"/>
      <protection locked="0"/>
    </xf>
    <xf numFmtId="220" fontId="260" fillId="83"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58" fillId="0" borderId="0" applyNumberFormat="0" applyBorder="0" applyAlignment="0">
      <alignment vertical="center"/>
      <protection locked="0"/>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58" fillId="0" borderId="0" applyNumberFormat="0" applyBorder="0" applyAlignment="0">
      <alignment vertical="center"/>
      <protection locked="0"/>
    </xf>
    <xf numFmtId="220" fontId="5" fillId="0" borderId="0"/>
    <xf numFmtId="220" fontId="139" fillId="0" borderId="0">
      <alignment vertical="center"/>
    </xf>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0" fillId="0" borderId="0">
      <alignment vertical="center"/>
    </xf>
    <xf numFmtId="220" fontId="0" fillId="0" borderId="0">
      <alignment vertical="center"/>
    </xf>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0"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0" fillId="0" borderId="0"/>
    <xf numFmtId="220" fontId="158" fillId="0" borderId="0" applyNumberFormat="0" applyBorder="0" applyAlignment="0">
      <alignment vertical="center"/>
      <protection locked="0"/>
    </xf>
    <xf numFmtId="220" fontId="5" fillId="0" borderId="0"/>
    <xf numFmtId="220" fontId="0"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158" fillId="0" borderId="0" applyNumberFormat="0" applyBorder="0" applyAlignment="0">
      <alignment vertical="center"/>
      <protection locked="0"/>
    </xf>
    <xf numFmtId="220" fontId="5" fillId="0" borderId="0"/>
    <xf numFmtId="220" fontId="0" fillId="0" borderId="0"/>
    <xf numFmtId="220" fontId="5" fillId="0" borderId="0"/>
    <xf numFmtId="220" fontId="158" fillId="0" borderId="0" applyNumberFormat="0" applyBorder="0" applyAlignment="0">
      <alignment vertical="center"/>
      <protection locked="0"/>
    </xf>
    <xf numFmtId="220" fontId="158" fillId="0" borderId="0" applyNumberFormat="0" applyBorder="0" applyAlignment="0">
      <alignment vertical="center"/>
      <protection locked="0"/>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58" fillId="0" borderId="0" applyNumberFormat="0" applyBorder="0" applyAlignment="0">
      <alignment vertical="center"/>
      <protection locked="0"/>
    </xf>
    <xf numFmtId="220" fontId="5" fillId="0" borderId="0"/>
    <xf numFmtId="220" fontId="5" fillId="0" borderId="0"/>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4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139" fillId="0" borderId="0">
      <alignment vertical="center"/>
    </xf>
    <xf numFmtId="220" fontId="5" fillId="0" borderId="0"/>
    <xf numFmtId="220" fontId="0" fillId="0" borderId="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180" fontId="5" fillId="0" borderId="0"/>
    <xf numFmtId="220" fontId="5" fillId="0" borderId="0"/>
    <xf numFmtId="220" fontId="5" fillId="0" borderId="0"/>
    <xf numFmtId="220" fontId="5" fillId="0" borderId="0"/>
    <xf numFmtId="220" fontId="5" fillId="0" borderId="0"/>
    <xf numFmtId="220" fontId="5" fillId="0" borderId="0">
      <alignment vertical="top"/>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279" fillId="0" borderId="0">
      <alignment vertical="center"/>
    </xf>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142" fillId="38" borderId="0" applyNumberFormat="0" applyBorder="0" applyAlignment="0" applyProtection="0">
      <alignment vertical="center"/>
    </xf>
    <xf numFmtId="220" fontId="0" fillId="0" borderId="0">
      <alignment vertical="center"/>
    </xf>
    <xf numFmtId="220" fontId="139" fillId="0" borderId="0">
      <alignment vertical="center"/>
    </xf>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39" fillId="0" borderId="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39" fillId="0" borderId="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8" fillId="116"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alignment vertical="center"/>
    </xf>
    <xf numFmtId="220" fontId="5" fillId="0" borderId="0"/>
    <xf numFmtId="220" fontId="0" fillId="0" borderId="0"/>
    <xf numFmtId="220" fontId="0" fillId="0" borderId="0">
      <alignment vertical="center"/>
    </xf>
    <xf numFmtId="220" fontId="0" fillId="0" borderId="0">
      <alignment vertical="center"/>
    </xf>
    <xf numFmtId="220" fontId="0" fillId="0" borderId="0"/>
    <xf numFmtId="220" fontId="279"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alignment vertical="center"/>
    </xf>
    <xf numFmtId="220" fontId="0" fillId="0" borderId="0"/>
    <xf numFmtId="220" fontId="0" fillId="0" borderId="0">
      <alignment vertical="center"/>
    </xf>
    <xf numFmtId="220" fontId="5" fillId="0" borderId="0"/>
    <xf numFmtId="220" fontId="5" fillId="0" borderId="0"/>
    <xf numFmtId="220" fontId="279" fillId="0" borderId="0">
      <alignment vertical="center"/>
    </xf>
    <xf numFmtId="220" fontId="5" fillId="0" borderId="0"/>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279" fillId="0" borderId="0">
      <alignment vertical="center"/>
    </xf>
    <xf numFmtId="220" fontId="0" fillId="0" borderId="0">
      <alignment vertical="center"/>
    </xf>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5" fillId="0" borderId="0"/>
    <xf numFmtId="220" fontId="5" fillId="0" borderId="0"/>
    <xf numFmtId="220" fontId="5" fillId="0" borderId="0"/>
    <xf numFmtId="220" fontId="0" fillId="0" borderId="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79" fillId="0" borderId="0">
      <alignment vertical="center"/>
    </xf>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alignment vertical="center"/>
    </xf>
    <xf numFmtId="220" fontId="0" fillId="0" borderId="0">
      <alignment vertical="center"/>
    </xf>
    <xf numFmtId="220" fontId="0"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39" fillId="0" borderId="0">
      <alignment vertical="center"/>
    </xf>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0" fillId="0" borderId="0"/>
    <xf numFmtId="220" fontId="0" fillId="0" borderId="0">
      <alignment vertical="center"/>
    </xf>
    <xf numFmtId="220" fontId="0" fillId="0" borderId="0"/>
    <xf numFmtId="220" fontId="5" fillId="0" borderId="0"/>
    <xf numFmtId="220" fontId="0"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341" fillId="0" borderId="143" applyNumberFormat="0" applyFill="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341" fillId="0" borderId="143" applyNumberFormat="0" applyFill="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336" fillId="0" borderId="121" applyNumberFormat="0" applyFill="0" applyAlignment="0" applyProtection="0">
      <alignment vertical="center"/>
    </xf>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0" fillId="0" borderId="0">
      <alignment vertical="center"/>
    </xf>
    <xf numFmtId="220" fontId="0" fillId="0" borderId="0"/>
    <xf numFmtId="220" fontId="0"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43" fontId="5"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alignment vertical="center"/>
    </xf>
    <xf numFmtId="220" fontId="158" fillId="0"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39" fillId="0" borderId="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39" fillId="0" borderId="0">
      <alignment vertical="center"/>
    </xf>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alignment vertical="center"/>
    </xf>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0"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xf numFmtId="220" fontId="139" fillId="0" borderId="0">
      <alignment vertical="center"/>
    </xf>
    <xf numFmtId="220" fontId="0"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alignment vertical="center"/>
    </xf>
    <xf numFmtId="220" fontId="0"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0" fillId="0" borderId="0"/>
    <xf numFmtId="220" fontId="5" fillId="0" borderId="0"/>
    <xf numFmtId="220" fontId="139" fillId="0" borderId="0">
      <alignment vertical="center"/>
    </xf>
    <xf numFmtId="220" fontId="0"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43" fontId="5" fillId="0" borderId="0" applyFont="0" applyFill="0" applyBorder="0" applyAlignment="0" applyProtection="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2"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2"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52"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09" fontId="5"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0" fillId="0" borderId="0"/>
    <xf numFmtId="220" fontId="5" fillId="0" borderId="0"/>
    <xf numFmtId="220" fontId="5" fillId="0" borderId="0"/>
    <xf numFmtId="220" fontId="158" fillId="0" borderId="0" applyNumberFormat="0" applyBorder="0" applyAlignment="0" applyProtection="0">
      <alignment vertical="center"/>
    </xf>
    <xf numFmtId="209" fontId="5" fillId="0" borderId="0"/>
    <xf numFmtId="220" fontId="152" fillId="0" borderId="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0" fillId="0" borderId="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5" fillId="0" borderId="0"/>
    <xf numFmtId="220" fontId="142" fillId="38" borderId="0" applyNumberFormat="0" applyBorder="0" applyAlignment="0" applyProtection="0">
      <alignment vertical="center"/>
    </xf>
    <xf numFmtId="220" fontId="5" fillId="0" borderId="0"/>
    <xf numFmtId="209" fontId="5" fillId="0" borderId="0"/>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09" fontId="5" fillId="0" borderId="0"/>
    <xf numFmtId="220" fontId="5" fillId="0" borderId="0"/>
    <xf numFmtId="209"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09" fontId="5" fillId="0" borderId="0"/>
    <xf numFmtId="220" fontId="0" fillId="0" borderId="0"/>
    <xf numFmtId="220" fontId="2" fillId="0" borderId="0"/>
    <xf numFmtId="220" fontId="0" fillId="0" borderId="0"/>
    <xf numFmtId="220" fontId="2" fillId="0" borderId="0"/>
    <xf numFmtId="220" fontId="147" fillId="38" borderId="0" applyNumberFormat="0" applyBorder="0" applyAlignment="0" applyProtection="0">
      <alignment vertical="center"/>
    </xf>
    <xf numFmtId="220" fontId="2"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47" fillId="38"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0" fillId="0" borderId="0"/>
    <xf numFmtId="220" fontId="158" fillId="0" borderId="0" applyNumberFormat="0" applyBorder="0" applyAlignment="0" applyProtection="0">
      <alignment vertical="center"/>
    </xf>
    <xf numFmtId="209" fontId="5" fillId="0" borderId="0"/>
    <xf numFmtId="220" fontId="158" fillId="0" borderId="0" applyNumberFormat="0" applyBorder="0" applyAlignment="0" applyProtection="0">
      <alignment vertical="center"/>
    </xf>
    <xf numFmtId="220" fontId="5" fillId="0" borderId="0"/>
    <xf numFmtId="220" fontId="5" fillId="0" borderId="0"/>
    <xf numFmtId="220" fontId="2" fillId="0" borderId="0"/>
    <xf numFmtId="220" fontId="2" fillId="0" borderId="0"/>
    <xf numFmtId="220" fontId="2"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09" fontId="5" fillId="0" borderId="0"/>
    <xf numFmtId="209"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5" fillId="0" borderId="0"/>
    <xf numFmtId="220" fontId="2" fillId="0" borderId="0"/>
    <xf numFmtId="220" fontId="5" fillId="0" borderId="0"/>
    <xf numFmtId="220" fontId="5" fillId="0" borderId="0"/>
    <xf numFmtId="220" fontId="2" fillId="0" borderId="0"/>
    <xf numFmtId="220" fontId="147" fillId="42" borderId="0" applyNumberFormat="0" applyBorder="0" applyAlignment="0" applyProtection="0">
      <alignment vertical="center"/>
    </xf>
    <xf numFmtId="220" fontId="158" fillId="0" borderId="0" applyNumberFormat="0" applyBorder="0" applyAlignment="0" applyProtection="0">
      <alignment vertical="center"/>
    </xf>
    <xf numFmtId="220" fontId="147" fillId="42" borderId="0" applyNumberFormat="0" applyBorder="0" applyAlignment="0" applyProtection="0">
      <alignment vertical="center"/>
    </xf>
    <xf numFmtId="220" fontId="158" fillId="0" borderId="0" applyNumberFormat="0" applyBorder="0" applyAlignment="0" applyProtection="0">
      <alignment vertical="center"/>
    </xf>
    <xf numFmtId="220" fontId="5" fillId="0" borderId="0"/>
    <xf numFmtId="220" fontId="0" fillId="0" borderId="0"/>
    <xf numFmtId="220" fontId="139" fillId="0" borderId="0">
      <alignment vertical="center"/>
    </xf>
    <xf numFmtId="220"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39" fillId="0" borderId="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alignment vertical="center"/>
    </xf>
    <xf numFmtId="220" fontId="152"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293" fillId="0" borderId="0">
      <alignment vertical="center"/>
    </xf>
    <xf numFmtId="220" fontId="0"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0" fillId="0" borderId="0"/>
    <xf numFmtId="220" fontId="0" fillId="0" borderId="0"/>
    <xf numFmtId="220" fontId="5" fillId="0" borderId="0"/>
    <xf numFmtId="220" fontId="0" fillId="0" borderId="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145" fillId="0" borderId="0">
      <protection hidden="1"/>
    </xf>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2" fillId="0" borderId="0"/>
    <xf numFmtId="220" fontId="0" fillId="0" borderId="0"/>
    <xf numFmtId="220" fontId="0" fillId="0" borderId="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alignment vertical="center"/>
    </xf>
    <xf numFmtId="220" fontId="0" fillId="0" borderId="0"/>
    <xf numFmtId="220" fontId="0" fillId="0" borderId="0"/>
    <xf numFmtId="220" fontId="5" fillId="0" borderId="0"/>
    <xf numFmtId="220" fontId="0" fillId="0" borderId="0"/>
    <xf numFmtId="220" fontId="0" fillId="0" borderId="0"/>
    <xf numFmtId="220" fontId="0" fillId="0" borderId="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0" fillId="0" borderId="0">
      <alignment vertical="center"/>
    </xf>
    <xf numFmtId="220" fontId="0" fillId="0" borderId="0">
      <alignment vertical="center"/>
    </xf>
    <xf numFmtId="220" fontId="221" fillId="0" borderId="0"/>
    <xf numFmtId="220" fontId="5" fillId="0" borderId="0"/>
    <xf numFmtId="220" fontId="0" fillId="0" borderId="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221"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0" fillId="0" borderId="0"/>
    <xf numFmtId="220" fontId="5"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2" fillId="0" borderId="0"/>
    <xf numFmtId="220" fontId="2" fillId="0" borderId="0"/>
    <xf numFmtId="220" fontId="5" fillId="0" borderId="0"/>
    <xf numFmtId="220" fontId="221" fillId="0" borderId="0"/>
    <xf numFmtId="220" fontId="5" fillId="0" borderId="0"/>
    <xf numFmtId="220" fontId="158" fillId="0" borderId="0" applyNumberFormat="0" applyBorder="0" applyAlignment="0" applyProtection="0">
      <alignment vertical="center"/>
    </xf>
    <xf numFmtId="220" fontId="2" fillId="0" borderId="0"/>
    <xf numFmtId="220" fontId="2" fillId="0" borderId="0"/>
    <xf numFmtId="220" fontId="5" fillId="0" borderId="0"/>
    <xf numFmtId="220" fontId="2" fillId="0" borderId="0"/>
    <xf numFmtId="220" fontId="158" fillId="0" borderId="0" applyNumberFormat="0" applyBorder="0" applyAlignment="0" applyProtection="0">
      <alignment vertical="center"/>
    </xf>
    <xf numFmtId="220" fontId="0" fillId="0" borderId="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39" fillId="0" borderId="0">
      <alignment vertical="center"/>
    </xf>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139" fillId="0" borderId="0">
      <alignment vertical="center"/>
    </xf>
    <xf numFmtId="220" fontId="0" fillId="0" borderId="0"/>
    <xf numFmtId="220" fontId="147" fillId="42" borderId="0" applyNumberFormat="0" applyBorder="0" applyAlignment="0" applyProtection="0">
      <alignment vertical="center"/>
    </xf>
    <xf numFmtId="220" fontId="0" fillId="0" borderId="0">
      <alignment vertical="center"/>
    </xf>
    <xf numFmtId="220" fontId="0" fillId="0" borderId="0"/>
    <xf numFmtId="220" fontId="147" fillId="42" borderId="0" applyNumberFormat="0" applyBorder="0" applyAlignment="0" applyProtection="0">
      <alignment vertical="center"/>
    </xf>
    <xf numFmtId="220" fontId="0" fillId="0" borderId="0">
      <alignment vertical="center"/>
    </xf>
    <xf numFmtId="220" fontId="0" fillId="0" borderId="0"/>
    <xf numFmtId="220" fontId="147" fillId="42" borderId="0" applyNumberFormat="0" applyBorder="0" applyAlignment="0" applyProtection="0">
      <alignment vertical="center"/>
    </xf>
    <xf numFmtId="220" fontId="0" fillId="0" borderId="0">
      <alignment vertical="center"/>
    </xf>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5" fillId="0" borderId="0"/>
    <xf numFmtId="220" fontId="0" fillId="0" borderId="0">
      <alignment vertical="center"/>
    </xf>
    <xf numFmtId="220" fontId="0"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52" fillId="0" borderId="0">
      <alignment vertical="center"/>
    </xf>
    <xf numFmtId="220" fontId="152" fillId="0" borderId="0">
      <alignment vertical="center"/>
    </xf>
    <xf numFmtId="220" fontId="158" fillId="0" borderId="0" applyNumberFormat="0" applyBorder="0" applyAlignment="0" applyProtection="0">
      <alignment vertical="center"/>
    </xf>
    <xf numFmtId="220" fontId="152" fillId="0" borderId="0">
      <alignment vertical="center"/>
    </xf>
    <xf numFmtId="220" fontId="158" fillId="0" borderId="0" applyNumberFormat="0" applyBorder="0" applyAlignment="0" applyProtection="0">
      <alignment vertical="center"/>
    </xf>
    <xf numFmtId="220" fontId="2" fillId="0" borderId="0"/>
    <xf numFmtId="220" fontId="0" fillId="0" borderId="0"/>
    <xf numFmtId="220" fontId="0" fillId="0" borderId="0"/>
    <xf numFmtId="220" fontId="152" fillId="0" borderId="0">
      <alignment vertical="center"/>
    </xf>
    <xf numFmtId="220" fontId="0" fillId="0" borderId="0"/>
    <xf numFmtId="220" fontId="2" fillId="0" borderId="0"/>
    <xf numFmtId="220" fontId="0" fillId="0" borderId="0"/>
    <xf numFmtId="220" fontId="0" fillId="0" borderId="0"/>
    <xf numFmtId="220" fontId="0" fillId="0" borderId="0">
      <alignment vertical="center"/>
    </xf>
    <xf numFmtId="220" fontId="0" fillId="0" borderId="0"/>
    <xf numFmtId="220" fontId="0" fillId="0" borderId="0"/>
    <xf numFmtId="220" fontId="0" fillId="0" borderId="0"/>
    <xf numFmtId="220" fontId="158" fillId="0" borderId="0" applyNumberFormat="0" applyBorder="0" applyAlignment="0" applyProtection="0">
      <alignment vertical="center"/>
    </xf>
    <xf numFmtId="220" fontId="158" fillId="0" borderId="0" applyNumberFormat="0" applyBorder="0" applyAlignment="0" applyProtection="0">
      <alignment vertical="center"/>
    </xf>
    <xf numFmtId="220" fontId="0" fillId="0" borderId="0"/>
    <xf numFmtId="220" fontId="2"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58" fillId="0" borderId="0" applyNumberFormat="0" applyBorder="0" applyAlignment="0" applyProtection="0">
      <alignment vertical="center"/>
    </xf>
    <xf numFmtId="220" fontId="5" fillId="0" borderId="0"/>
    <xf numFmtId="220" fontId="5" fillId="0" borderId="0"/>
    <xf numFmtId="220" fontId="158" fillId="0" borderId="0" applyNumberFormat="0" applyBorder="0" applyAlignment="0" applyProtection="0">
      <alignment vertical="center"/>
    </xf>
    <xf numFmtId="220" fontId="0" fillId="0" borderId="0"/>
    <xf numFmtId="220" fontId="2" fillId="0" borderId="0"/>
    <xf numFmtId="220" fontId="2" fillId="0" borderId="0"/>
    <xf numFmtId="220" fontId="0" fillId="0" borderId="0"/>
    <xf numFmtId="220" fontId="0" fillId="0" borderId="0"/>
    <xf numFmtId="220" fontId="5" fillId="0" borderId="0"/>
    <xf numFmtId="220" fontId="158" fillId="0" borderId="0" applyNumberFormat="0" applyBorder="0" applyAlignment="0" applyProtection="0">
      <alignment vertical="center"/>
    </xf>
    <xf numFmtId="220" fontId="0" fillId="0" borderId="0"/>
    <xf numFmtId="220" fontId="0" fillId="0" borderId="0"/>
    <xf numFmtId="220" fontId="5" fillId="0" borderId="0"/>
    <xf numFmtId="220" fontId="158" fillId="0" borderId="0" applyNumberFormat="0" applyBorder="0" applyAlignment="0" applyProtection="0">
      <alignment vertical="center"/>
    </xf>
    <xf numFmtId="220" fontId="0" fillId="0" borderId="0"/>
    <xf numFmtId="220" fontId="5" fillId="0" borderId="0"/>
    <xf numFmtId="220" fontId="158" fillId="0" borderId="0" applyNumberFormat="0" applyBorder="0" applyAlignment="0" applyProtection="0">
      <alignment vertical="center"/>
    </xf>
    <xf numFmtId="220" fontId="0" fillId="0" borderId="0"/>
    <xf numFmtId="220" fontId="5" fillId="0" borderId="0"/>
    <xf numFmtId="220" fontId="158" fillId="0" borderId="0" applyNumberFormat="0" applyBorder="0" applyAlignment="0" applyProtection="0">
      <alignment vertical="center"/>
    </xf>
    <xf numFmtId="220" fontId="349" fillId="42" borderId="0" applyNumberFormat="0" applyBorder="0" applyAlignment="0" applyProtection="0">
      <alignment vertical="center"/>
    </xf>
    <xf numFmtId="220" fontId="0" fillId="0" borderId="0"/>
    <xf numFmtId="220" fontId="5" fillId="0" borderId="0"/>
    <xf numFmtId="220" fontId="5" fillId="0" borderId="0"/>
    <xf numFmtId="220" fontId="0" fillId="0" borderId="0">
      <alignment vertical="center"/>
    </xf>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139" fillId="0" borderId="0">
      <alignment vertical="center"/>
    </xf>
    <xf numFmtId="220" fontId="139" fillId="0" borderId="0">
      <alignment vertical="center"/>
    </xf>
    <xf numFmtId="220" fontId="0" fillId="0" borderId="0">
      <alignment vertical="center"/>
    </xf>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139" fillId="0" borderId="0">
      <alignment vertical="center"/>
    </xf>
    <xf numFmtId="220" fontId="139" fillId="0" borderId="0">
      <alignment vertical="center"/>
    </xf>
    <xf numFmtId="220" fontId="5" fillId="0" borderId="0"/>
    <xf numFmtId="220" fontId="0" fillId="0" borderId="0">
      <alignment vertical="top"/>
    </xf>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alignment vertical="top"/>
    </xf>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2"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2" fillId="0" borderId="0"/>
    <xf numFmtId="220" fontId="0" fillId="0" borderId="0"/>
    <xf numFmtId="220" fontId="0" fillId="0" borderId="0"/>
    <xf numFmtId="220" fontId="5" fillId="0" borderId="0"/>
    <xf numFmtId="220" fontId="5" fillId="0" borderId="0"/>
    <xf numFmtId="43" fontId="0" fillId="0" borderId="0" applyFont="0" applyFill="0" applyBorder="0" applyAlignment="0" applyProtection="0"/>
    <xf numFmtId="220" fontId="2" fillId="0" borderId="0"/>
    <xf numFmtId="220" fontId="2"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2" fillId="0" borderId="0"/>
    <xf numFmtId="220" fontId="0" fillId="0" borderId="0"/>
    <xf numFmtId="220" fontId="5" fillId="0" borderId="0"/>
    <xf numFmtId="220" fontId="2" fillId="0" borderId="0"/>
    <xf numFmtId="220" fontId="0" fillId="0" borderId="0"/>
    <xf numFmtId="220" fontId="5" fillId="0" borderId="0"/>
    <xf numFmtId="220" fontId="2" fillId="0" borderId="0"/>
    <xf numFmtId="220" fontId="5" fillId="0" borderId="0"/>
    <xf numFmtId="220" fontId="0" fillId="0" borderId="0"/>
    <xf numFmtId="220" fontId="0" fillId="0" borderId="0"/>
    <xf numFmtId="220" fontId="2" fillId="0" borderId="0"/>
    <xf numFmtId="220" fontId="5" fillId="0" borderId="0"/>
    <xf numFmtId="220" fontId="5" fillId="0" borderId="0"/>
    <xf numFmtId="220" fontId="2" fillId="0" borderId="0"/>
    <xf numFmtId="220" fontId="2" fillId="0" borderId="0"/>
    <xf numFmtId="220" fontId="2" fillId="0" borderId="0"/>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5" fillId="0" borderId="0"/>
    <xf numFmtId="220" fontId="0"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5" fillId="0" borderId="0"/>
    <xf numFmtId="220" fontId="139" fillId="0" borderId="0">
      <alignment vertical="center"/>
    </xf>
    <xf numFmtId="220" fontId="142" fillId="38"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0" fillId="0" borderId="0"/>
    <xf numFmtId="220" fontId="5" fillId="0" borderId="0"/>
    <xf numFmtId="220" fontId="139" fillId="0" borderId="0">
      <alignment vertical="center"/>
    </xf>
    <xf numFmtId="220" fontId="5" fillId="0" borderId="0"/>
    <xf numFmtId="220" fontId="0" fillId="0" borderId="0"/>
    <xf numFmtId="220" fontId="139" fillId="0" borderId="0">
      <alignment vertical="center"/>
    </xf>
    <xf numFmtId="220" fontId="142" fillId="38" borderId="0" applyNumberFormat="0" applyBorder="0" applyAlignment="0" applyProtection="0">
      <alignment vertical="center"/>
    </xf>
    <xf numFmtId="220" fontId="0" fillId="0" borderId="0"/>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39" fillId="0" borderId="0">
      <alignment vertical="center"/>
    </xf>
    <xf numFmtId="220" fontId="5" fillId="0" borderId="0"/>
    <xf numFmtId="220" fontId="142" fillId="38" borderId="0" applyNumberFormat="0" applyBorder="0" applyAlignment="0" applyProtection="0">
      <alignment vertical="center"/>
    </xf>
    <xf numFmtId="220" fontId="139" fillId="0" borderId="0">
      <alignment vertical="center"/>
    </xf>
    <xf numFmtId="220" fontId="0"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0"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42" fillId="38"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0"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142" fillId="38" borderId="0" applyNumberFormat="0" applyBorder="0" applyAlignment="0" applyProtection="0">
      <alignment vertical="center"/>
    </xf>
    <xf numFmtId="220" fontId="139" fillId="0" borderId="0">
      <alignment vertical="center"/>
    </xf>
    <xf numFmtId="220" fontId="5" fillId="0" borderId="0"/>
    <xf numFmtId="220" fontId="5" fillId="0" borderId="0"/>
    <xf numFmtId="220" fontId="142" fillId="38" borderId="0" applyNumberFormat="0" applyBorder="0" applyAlignment="0" applyProtection="0">
      <alignment vertical="center"/>
    </xf>
    <xf numFmtId="220" fontId="139" fillId="0" borderId="0">
      <alignment vertical="center"/>
    </xf>
    <xf numFmtId="220" fontId="142" fillId="38" borderId="0" applyNumberFormat="0" applyBorder="0" applyAlignment="0" applyProtection="0">
      <alignment vertical="center"/>
    </xf>
    <xf numFmtId="220" fontId="139" fillId="0" borderId="0">
      <alignment vertical="center"/>
    </xf>
    <xf numFmtId="220" fontId="5" fillId="0" borderId="0"/>
    <xf numFmtId="220" fontId="142" fillId="38" borderId="0" applyNumberFormat="0" applyBorder="0" applyAlignment="0" applyProtection="0">
      <alignment vertical="center"/>
    </xf>
    <xf numFmtId="220" fontId="139" fillId="0" borderId="0">
      <alignment vertical="center"/>
    </xf>
    <xf numFmtId="220" fontId="142" fillId="38" borderId="0" applyNumberFormat="0" applyBorder="0" applyAlignment="0" applyProtection="0">
      <alignment vertical="center"/>
    </xf>
    <xf numFmtId="220" fontId="139" fillId="0" borderId="0">
      <alignment vertical="center"/>
    </xf>
    <xf numFmtId="220" fontId="5" fillId="0" borderId="0"/>
    <xf numFmtId="220" fontId="142" fillId="38" borderId="0" applyNumberFormat="0" applyBorder="0" applyAlignment="0" applyProtection="0">
      <alignment vertical="center"/>
    </xf>
    <xf numFmtId="220" fontId="139" fillId="0" borderId="0">
      <alignment vertical="center"/>
    </xf>
    <xf numFmtId="220" fontId="0" fillId="0" borderId="0"/>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0" fillId="0" borderId="0"/>
    <xf numFmtId="220" fontId="139" fillId="0" borderId="0">
      <alignment vertical="center"/>
    </xf>
    <xf numFmtId="220" fontId="5" fillId="0" borderId="0"/>
    <xf numFmtId="220" fontId="5" fillId="0" borderId="0"/>
    <xf numFmtId="220" fontId="139" fillId="0" borderId="0">
      <alignment vertical="center"/>
    </xf>
    <xf numFmtId="220" fontId="0" fillId="0" borderId="0"/>
    <xf numFmtId="220" fontId="139" fillId="0" borderId="0">
      <alignment vertical="center"/>
    </xf>
    <xf numFmtId="220" fontId="0"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5" fillId="0" borderId="0"/>
    <xf numFmtId="220" fontId="139" fillId="0" borderId="0">
      <alignment vertical="center"/>
    </xf>
    <xf numFmtId="220" fontId="147" fillId="38" borderId="0" applyNumberFormat="0" applyBorder="0" applyAlignment="0" applyProtection="0">
      <alignment vertical="center"/>
    </xf>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147" fillId="42" borderId="0" applyNumberFormat="0" applyBorder="0" applyAlignment="0" applyProtection="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42" fillId="38"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5" fillId="0" borderId="0"/>
    <xf numFmtId="220" fontId="139" fillId="0" borderId="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39" fillId="0" borderId="0">
      <alignment vertical="center"/>
    </xf>
    <xf numFmtId="220" fontId="5" fillId="0" borderId="0"/>
    <xf numFmtId="220" fontId="139" fillId="0" borderId="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39" fillId="0" borderId="0">
      <alignment vertical="center"/>
    </xf>
    <xf numFmtId="220" fontId="147" fillId="42" borderId="0" applyNumberFormat="0" applyBorder="0" applyAlignment="0" applyProtection="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147" fillId="42" borderId="0" applyNumberFormat="0" applyBorder="0" applyAlignment="0" applyProtection="0">
      <alignment vertical="center"/>
    </xf>
    <xf numFmtId="220" fontId="139" fillId="0" borderId="0">
      <alignment vertical="center"/>
    </xf>
    <xf numFmtId="220" fontId="139" fillId="0" borderId="0">
      <alignment vertical="center"/>
    </xf>
    <xf numFmtId="220" fontId="139" fillId="0" borderId="0">
      <alignment vertical="center"/>
    </xf>
    <xf numFmtId="220" fontId="139" fillId="0" borderId="0">
      <alignment vertical="center"/>
    </xf>
    <xf numFmtId="220" fontId="5" fillId="0" borderId="0"/>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5" fillId="0" borderId="0"/>
    <xf numFmtId="220" fontId="5" fillId="0" borderId="0"/>
    <xf numFmtId="220" fontId="139" fillId="0" borderId="0">
      <alignment vertical="center"/>
    </xf>
    <xf numFmtId="220" fontId="139" fillId="0" borderId="0">
      <alignment vertical="center"/>
    </xf>
    <xf numFmtId="220" fontId="139" fillId="0" borderId="0">
      <alignment vertical="center"/>
    </xf>
    <xf numFmtId="220" fontId="5" fillId="0" borderId="0"/>
    <xf numFmtId="220" fontId="5" fillId="0" borderId="0"/>
    <xf numFmtId="220" fontId="5" fillId="0" borderId="0"/>
    <xf numFmtId="220" fontId="139" fillId="0" borderId="0">
      <alignment vertical="center"/>
    </xf>
    <xf numFmtId="220" fontId="5" fillId="0" borderId="0"/>
    <xf numFmtId="220" fontId="5" fillId="0" borderId="0"/>
    <xf numFmtId="220" fontId="5" fillId="0" borderId="0"/>
    <xf numFmtId="220" fontId="5" fillId="0" borderId="0"/>
    <xf numFmtId="220" fontId="139" fillId="0" borderId="0">
      <alignment vertical="center"/>
    </xf>
    <xf numFmtId="220" fontId="2" fillId="0" borderId="0"/>
    <xf numFmtId="220" fontId="5" fillId="0" borderId="0"/>
    <xf numFmtId="220" fontId="5" fillId="0" borderId="0"/>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0" fillId="0" borderId="0">
      <alignment vertical="center"/>
    </xf>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152" fillId="0" borderId="0">
      <alignment vertical="center"/>
    </xf>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152" fillId="0" borderId="0">
      <alignment vertical="center"/>
    </xf>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204" fillId="0" borderId="0" applyNumberFormat="0" applyFill="0" applyBorder="0" applyAlignment="0" applyProtection="0"/>
    <xf numFmtId="220" fontId="5" fillId="0" borderId="0"/>
    <xf numFmtId="220" fontId="0" fillId="0" borderId="0"/>
    <xf numFmtId="220" fontId="101" fillId="0" borderId="0" applyNumberFormat="0" applyFill="0" applyBorder="0" applyAlignment="0" applyProtection="0">
      <alignment vertical="top"/>
      <protection locked="0"/>
    </xf>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01"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01" fillId="0" borderId="0" applyNumberFormat="0" applyFill="0" applyBorder="0" applyAlignment="0" applyProtection="0">
      <alignment vertical="top"/>
      <protection locked="0"/>
    </xf>
    <xf numFmtId="220" fontId="142" fillId="38" borderId="0" applyNumberFormat="0" applyBorder="0" applyAlignment="0" applyProtection="0">
      <alignment vertical="center"/>
    </xf>
    <xf numFmtId="220" fontId="0"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43" fontId="0" fillId="0" borderId="0" applyFont="0" applyFill="0" applyBorder="0" applyAlignment="0" applyProtection="0"/>
    <xf numFmtId="220" fontId="5" fillId="0" borderId="0"/>
    <xf numFmtId="220" fontId="70" fillId="0" borderId="0" applyNumberFormat="0" applyFill="0" applyBorder="0" applyAlignment="0" applyProtection="0">
      <alignment vertical="top"/>
      <protection locked="0"/>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0"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0"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0"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0" fillId="0" borderId="0"/>
    <xf numFmtId="220" fontId="0" fillId="0" borderId="0"/>
    <xf numFmtId="220" fontId="5" fillId="0" borderId="0"/>
    <xf numFmtId="220" fontId="70" fillId="0" borderId="0" applyNumberFormat="0" applyFill="0" applyBorder="0" applyAlignment="0" applyProtection="0">
      <alignment vertical="top"/>
      <protection locked="0"/>
    </xf>
    <xf numFmtId="220" fontId="0" fillId="0" borderId="0"/>
    <xf numFmtId="220" fontId="5" fillId="0" borderId="0"/>
    <xf numFmtId="220" fontId="0"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0"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0" fillId="0" borderId="0"/>
    <xf numFmtId="220" fontId="0" fillId="0" borderId="0"/>
    <xf numFmtId="220" fontId="0"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0" fillId="0" borderId="0"/>
    <xf numFmtId="220" fontId="142" fillId="38"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0"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0"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0"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147" fillId="42" borderId="0" applyNumberFormat="0" applyBorder="0" applyAlignment="0" applyProtection="0">
      <alignment vertical="center"/>
    </xf>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147"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70" fillId="0" borderId="0" applyNumberFormat="0" applyFill="0" applyBorder="0" applyAlignment="0" applyProtection="0">
      <alignment vertical="top"/>
      <protection locked="0"/>
    </xf>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70" fillId="0" borderId="0" applyNumberFormat="0" applyFill="0" applyBorder="0" applyAlignment="0" applyProtection="0">
      <alignment vertical="top"/>
      <protection locked="0"/>
    </xf>
    <xf numFmtId="220" fontId="142" fillId="38" borderId="0" applyNumberFormat="0" applyBorder="0" applyAlignment="0" applyProtection="0">
      <alignment vertical="center"/>
    </xf>
    <xf numFmtId="220" fontId="0" fillId="0" borderId="0"/>
    <xf numFmtId="220" fontId="70" fillId="0" borderId="0" applyNumberFormat="0" applyFill="0" applyBorder="0" applyAlignment="0" applyProtection="0">
      <alignment vertical="top"/>
      <protection locked="0"/>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5" fillId="0" borderId="0"/>
    <xf numFmtId="220" fontId="5" fillId="0" borderId="0"/>
    <xf numFmtId="220" fontId="0" fillId="0" borderId="0"/>
    <xf numFmtId="220" fontId="5" fillId="0" borderId="0"/>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147" fillId="42" borderId="0" applyNumberFormat="0" applyBorder="0" applyAlignment="0" applyProtection="0">
      <alignment vertical="center"/>
    </xf>
    <xf numFmtId="220" fontId="5" fillId="0" borderId="0"/>
    <xf numFmtId="220" fontId="70" fillId="0" borderId="0" applyNumberFormat="0" applyFill="0" applyBorder="0" applyAlignment="0" applyProtection="0">
      <alignment vertical="top"/>
      <protection locked="0"/>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70" fillId="0" borderId="0" applyNumberFormat="0" applyFill="0" applyBorder="0" applyAlignment="0" applyProtection="0">
      <alignment vertical="top"/>
      <protection locked="0"/>
    </xf>
    <xf numFmtId="220" fontId="101" fillId="0" borderId="0" applyNumberFormat="0" applyFill="0" applyBorder="0" applyAlignment="0" applyProtection="0">
      <alignment vertical="top"/>
      <protection locked="0"/>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0" fillId="0" borderId="0"/>
    <xf numFmtId="220" fontId="101"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101"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0" fillId="0" borderId="0"/>
    <xf numFmtId="220" fontId="0" fillId="0" borderId="0"/>
    <xf numFmtId="220" fontId="0" fillId="0" borderId="0"/>
    <xf numFmtId="220" fontId="101"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5" fillId="0" borderId="0"/>
    <xf numFmtId="220" fontId="70" fillId="0" borderId="0" applyNumberFormat="0" applyFill="0" applyBorder="0" applyAlignment="0" applyProtection="0">
      <alignment vertical="top"/>
      <protection locked="0"/>
    </xf>
    <xf numFmtId="220" fontId="0" fillId="0" borderId="0"/>
    <xf numFmtId="220" fontId="147" fillId="42" borderId="0" applyNumberFormat="0" applyBorder="0" applyAlignment="0" applyProtection="0">
      <alignment vertical="center"/>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70" fillId="0" borderId="0" applyNumberFormat="0" applyFill="0" applyBorder="0" applyAlignment="0" applyProtection="0">
      <alignment vertical="top"/>
      <protection locked="0"/>
    </xf>
    <xf numFmtId="220" fontId="101" fillId="0" borderId="0" applyNumberFormat="0" applyFill="0" applyBorder="0" applyAlignment="0" applyProtection="0">
      <alignment vertical="top"/>
      <protection locked="0"/>
    </xf>
    <xf numFmtId="220" fontId="0" fillId="0" borderId="0"/>
    <xf numFmtId="220" fontId="353" fillId="0" borderId="0"/>
    <xf numFmtId="220" fontId="5" fillId="0" borderId="0"/>
    <xf numFmtId="220" fontId="142" fillId="38" borderId="0" applyNumberFormat="0" applyBorder="0" applyAlignment="0" applyProtection="0">
      <alignment vertical="center"/>
    </xf>
    <xf numFmtId="220" fontId="0" fillId="0" borderId="0" applyNumberFormat="0" applyFill="0" applyBorder="0" applyAlignment="0" applyProtection="0"/>
    <xf numFmtId="220" fontId="5" fillId="0" borderId="0"/>
    <xf numFmtId="220" fontId="5" fillId="0" borderId="0"/>
    <xf numFmtId="220" fontId="9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260" fillId="83" borderId="0" applyNumberFormat="0" applyBorder="0" applyAlignment="0" applyProtection="0">
      <alignment vertical="center"/>
    </xf>
    <xf numFmtId="220" fontId="260" fillId="83" borderId="0" applyNumberFormat="0" applyBorder="0" applyAlignment="0" applyProtection="0">
      <alignment vertical="center"/>
    </xf>
    <xf numFmtId="220" fontId="260" fillId="83" borderId="0" applyNumberFormat="0" applyBorder="0" applyAlignment="0" applyProtection="0">
      <alignment vertical="center"/>
    </xf>
    <xf numFmtId="220" fontId="260" fillId="38" borderId="0" applyNumberFormat="0" applyBorder="0" applyAlignment="0" applyProtection="0">
      <alignment vertical="center"/>
    </xf>
    <xf numFmtId="220" fontId="142" fillId="38" borderId="0" applyNumberFormat="0" applyBorder="0" applyAlignment="0" applyProtection="0">
      <alignment vertical="center"/>
    </xf>
    <xf numFmtId="220" fontId="260"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260"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260" fillId="38" borderId="0" applyNumberFormat="0" applyBorder="0" applyAlignment="0" applyProtection="0">
      <alignment vertical="center"/>
    </xf>
    <xf numFmtId="220" fontId="260" fillId="38" borderId="0" applyNumberFormat="0" applyBorder="0" applyAlignment="0" applyProtection="0">
      <alignment vertical="center"/>
    </xf>
    <xf numFmtId="220" fontId="260"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260" fillId="83" borderId="0" applyNumberFormat="0" applyBorder="0" applyAlignment="0" applyProtection="0">
      <alignment vertical="center"/>
    </xf>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43" fontId="139"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43" fontId="5" fillId="0" borderId="0" applyFont="0" applyFill="0" applyBorder="0" applyAlignment="0" applyProtection="0"/>
    <xf numFmtId="220" fontId="0"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43" fontId="5" fillId="0" borderId="0" applyFont="0" applyFill="0" applyBorder="0" applyAlignment="0" applyProtection="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43" fontId="5" fillId="0" borderId="0" applyFont="0" applyFill="0" applyBorder="0" applyAlignment="0" applyProtection="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91" fontId="0" fillId="0" borderId="0" applyFont="0" applyFill="0" applyBorder="0" applyAlignment="0" applyProtection="0"/>
    <xf numFmtId="220" fontId="5" fillId="0" borderId="0"/>
    <xf numFmtId="220" fontId="142" fillId="38" borderId="0" applyNumberFormat="0" applyBorder="0" applyAlignment="0" applyProtection="0">
      <alignment vertical="center"/>
    </xf>
    <xf numFmtId="43" fontId="0" fillId="0" borderId="0" applyFont="0" applyFill="0" applyBorder="0" applyAlignment="0" applyProtection="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43" fontId="0" fillId="0" borderId="0" applyFont="0" applyFill="0" applyBorder="0" applyAlignment="0" applyProtection="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354" fillId="48" borderId="145"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147" fillId="96"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217" fillId="78" borderId="116"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96"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1" fontId="9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8" fillId="116"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147" fillId="9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61" fillId="31"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339" fillId="9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218" fillId="62" borderId="0" applyNumberFormat="0" applyBorder="0" applyAlignment="0" applyProtection="0"/>
    <xf numFmtId="220" fontId="0" fillId="0" borderId="0"/>
    <xf numFmtId="220" fontId="218" fillId="62" borderId="0" applyNumberFormat="0" applyBorder="0" applyAlignment="0" applyProtection="0"/>
    <xf numFmtId="220" fontId="218" fillId="62" borderId="0" applyNumberFormat="0" applyBorder="0" applyAlignment="0" applyProtection="0"/>
    <xf numFmtId="220" fontId="218" fillId="62" borderId="0" applyNumberFormat="0" applyBorder="0" applyAlignment="0" applyProtection="0"/>
    <xf numFmtId="220" fontId="218" fillId="62" borderId="0" applyNumberFormat="0" applyBorder="0" applyAlignment="0" applyProtection="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161" fillId="31"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139" fillId="65" borderId="117" applyNumberFormat="0" applyFont="0" applyAlignment="0" applyProtection="0">
      <alignment vertical="center"/>
    </xf>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19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4" fontId="181" fillId="0" borderId="0" applyFont="0" applyFill="0" applyBorder="0" applyAlignment="0" applyProtection="0"/>
    <xf numFmtId="220" fontId="5" fillId="0" borderId="0"/>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352" fillId="31"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0" fillId="0" borderId="0"/>
    <xf numFmtId="220" fontId="5" fillId="0" borderId="0"/>
    <xf numFmtId="220" fontId="355" fillId="125" borderId="63" applyNumberFormat="0" applyAlignment="0" applyProtection="0">
      <alignment vertical="center"/>
    </xf>
    <xf numFmtId="220" fontId="147" fillId="42" borderId="0" applyNumberFormat="0" applyBorder="0" applyAlignment="0" applyProtection="0">
      <alignment vertical="center"/>
    </xf>
    <xf numFmtId="220" fontId="5" fillId="0" borderId="0"/>
    <xf numFmtId="220" fontId="355" fillId="125" borderId="63" applyNumberFormat="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260" fillId="83" borderId="0" applyNumberFormat="0" applyBorder="0" applyAlignment="0" applyProtection="0">
      <alignment vertical="center"/>
    </xf>
    <xf numFmtId="220" fontId="0" fillId="0" borderId="0"/>
    <xf numFmtId="220" fontId="5" fillId="0" borderId="0"/>
    <xf numFmtId="220" fontId="5" fillId="0" borderId="0"/>
    <xf numFmtId="220" fontId="260" fillId="83"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218" fillId="42" borderId="0" applyNumberFormat="0" applyBorder="0" applyAlignment="0" applyProtection="0">
      <alignment vertical="center"/>
    </xf>
    <xf numFmtId="220" fontId="218"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140" fillId="36"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0" fillId="36"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8" fillId="90"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0"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147" fillId="9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5" fillId="0" borderId="0"/>
    <xf numFmtId="220" fontId="147" fillId="42" borderId="0" applyNumberFormat="0" applyBorder="0" applyAlignment="0" applyProtection="0">
      <alignment vertical="center"/>
    </xf>
    <xf numFmtId="220" fontId="0"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260" fillId="83" borderId="0" applyNumberFormat="0" applyBorder="0" applyAlignment="0" applyProtection="0">
      <alignment vertical="center"/>
    </xf>
    <xf numFmtId="220" fontId="260" fillId="83"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43" fontId="5" fillId="0" borderId="0" applyFont="0" applyFill="0" applyBorder="0" applyAlignment="0" applyProtection="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18" fillId="42"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7" fillId="42" borderId="0" applyNumberFormat="0" applyBorder="0" applyAlignment="0" applyProtection="0">
      <alignment vertical="center"/>
    </xf>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7" fillId="42"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43" fontId="0" fillId="0" borderId="0" applyFont="0" applyFill="0" applyBorder="0" applyAlignment="0" applyProtection="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191"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7" fillId="96"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142" fillId="38" borderId="0" applyNumberFormat="0" applyBorder="0" applyAlignment="0" applyProtection="0">
      <alignment vertical="center"/>
    </xf>
    <xf numFmtId="220" fontId="0" fillId="0" borderId="0"/>
    <xf numFmtId="220" fontId="142" fillId="38"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142" fillId="38" borderId="0" applyNumberFormat="0" applyBorder="0" applyAlignment="0" applyProtection="0">
      <alignment vertical="center"/>
    </xf>
    <xf numFmtId="220" fontId="142"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0" fillId="36" borderId="0" applyNumberFormat="0" applyBorder="0" applyAlignment="0" applyProtection="0">
      <alignment vertical="center"/>
    </xf>
    <xf numFmtId="220" fontId="140" fillId="36"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147" fillId="38" borderId="0" applyNumberFormat="0" applyBorder="0" applyAlignment="0" applyProtection="0">
      <alignment vertical="center"/>
    </xf>
    <xf numFmtId="220" fontId="0" fillId="0" borderId="0"/>
    <xf numFmtId="220" fontId="0" fillId="0" borderId="0"/>
    <xf numFmtId="220" fontId="147" fillId="38" borderId="0" applyNumberFormat="0" applyBorder="0" applyAlignment="0" applyProtection="0">
      <alignment vertical="center"/>
    </xf>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148" fillId="31"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0" fillId="0" borderId="0"/>
    <xf numFmtId="220" fontId="147" fillId="38" borderId="0" applyNumberFormat="0" applyBorder="0" applyAlignment="0" applyProtection="0">
      <alignment vertical="center"/>
    </xf>
    <xf numFmtId="220" fontId="147" fillId="38"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147" fillId="38" borderId="0" applyNumberFormat="0" applyBorder="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41" fontId="145"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319" fillId="0" borderId="0" applyNumberForma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344" fillId="0" borderId="122" applyNumberFormat="0" applyFill="0" applyAlignment="0" applyProtection="0">
      <alignment vertical="center"/>
    </xf>
    <xf numFmtId="220" fontId="344" fillId="0" borderId="122" applyNumberFormat="0" applyFill="0" applyAlignment="0" applyProtection="0">
      <alignment vertical="center"/>
    </xf>
    <xf numFmtId="220" fontId="344" fillId="0" borderId="122" applyNumberFormat="0" applyFill="0" applyAlignment="0" applyProtection="0">
      <alignment vertical="center"/>
    </xf>
    <xf numFmtId="220" fontId="0" fillId="0" borderId="0"/>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344" fillId="0" borderId="144" applyNumberFormat="0" applyFill="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4" fillId="0" borderId="122" applyNumberFormat="0" applyFill="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344" fillId="0" borderId="122" applyNumberFormat="0" applyFill="0" applyAlignment="0" applyProtection="0">
      <alignment vertical="center"/>
    </xf>
    <xf numFmtId="220" fontId="5" fillId="0" borderId="0"/>
    <xf numFmtId="220" fontId="0" fillId="0" borderId="0"/>
    <xf numFmtId="220" fontId="0" fillId="0" borderId="0"/>
    <xf numFmtId="220" fontId="0" fillId="0" borderId="0"/>
    <xf numFmtId="220" fontId="356" fillId="0" borderId="134" applyNumberFormat="0" applyFill="0" applyAlignment="0" applyProtection="0">
      <alignment vertical="center"/>
    </xf>
    <xf numFmtId="220" fontId="5" fillId="0" borderId="0"/>
    <xf numFmtId="220" fontId="356" fillId="0" borderId="134" applyNumberFormat="0" applyFill="0" applyAlignment="0" applyProtection="0">
      <alignment vertical="center"/>
    </xf>
    <xf numFmtId="220" fontId="5" fillId="0" borderId="0"/>
    <xf numFmtId="220" fontId="356" fillId="0" borderId="134" applyNumberFormat="0" applyFill="0" applyAlignment="0" applyProtection="0">
      <alignment vertical="center"/>
    </xf>
    <xf numFmtId="220" fontId="5" fillId="0" borderId="0"/>
    <xf numFmtId="220" fontId="356" fillId="0" borderId="134" applyNumberFormat="0" applyFill="0" applyAlignment="0" applyProtection="0">
      <alignment vertical="center"/>
    </xf>
    <xf numFmtId="220" fontId="5" fillId="0" borderId="0"/>
    <xf numFmtId="220" fontId="5" fillId="0" borderId="0"/>
    <xf numFmtId="220" fontId="5" fillId="0" borderId="0"/>
    <xf numFmtId="220" fontId="357" fillId="0" borderId="0" applyFont="0" applyBorder="0" applyAlignment="0" applyProtection="0">
      <alignment horizontal="center"/>
    </xf>
    <xf numFmtId="220" fontId="357" fillId="0" borderId="0" applyFont="0" applyBorder="0" applyAlignment="0" applyProtection="0">
      <alignment horizont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2" applyBorder="0" applyAlignment="0">
      <alignment horizontal="center"/>
    </xf>
    <xf numFmtId="220" fontId="0" fillId="0" borderId="2" applyBorder="0" applyAlignment="0">
      <alignment horizont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4" fontId="0" fillId="0" borderId="0" applyFont="0" applyFill="0" applyBorder="0" applyAlignment="0" applyProtection="0">
      <alignment vertical="center"/>
    </xf>
    <xf numFmtId="44"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81" fontId="0" fillId="0" borderId="0" applyFont="0" applyFill="0" applyBorder="0" applyAlignment="0" applyProtection="0"/>
    <xf numFmtId="220" fontId="5" fillId="0" borderId="0"/>
    <xf numFmtId="44" fontId="0" fillId="0" borderId="0" applyFont="0" applyFill="0" applyBorder="0" applyAlignment="0" applyProtection="0">
      <alignment vertical="center"/>
    </xf>
    <xf numFmtId="220" fontId="0" fillId="0" borderId="0"/>
    <xf numFmtId="220" fontId="5" fillId="0" borderId="0"/>
    <xf numFmtId="220" fontId="0" fillId="0" borderId="0"/>
    <xf numFmtId="220" fontId="5" fillId="0" borderId="0"/>
    <xf numFmtId="220" fontId="0" fillId="0" borderId="0"/>
    <xf numFmtId="220" fontId="0" fillId="0" borderId="0"/>
    <xf numFmtId="220" fontId="0" fillId="0" borderId="0"/>
    <xf numFmtId="44" fontId="0" fillId="0" borderId="0" applyFont="0" applyFill="0" applyBorder="0" applyAlignment="0" applyProtection="0">
      <alignment vertical="center"/>
    </xf>
    <xf numFmtId="220" fontId="0" fillId="0" borderId="0"/>
    <xf numFmtId="220" fontId="0" fillId="0" borderId="0"/>
    <xf numFmtId="220" fontId="0" fillId="0" borderId="0"/>
    <xf numFmtId="218" fontId="90" fillId="0" borderId="0" applyFont="0" applyFill="0" applyBorder="0" applyAlignment="0" applyProtection="0"/>
    <xf numFmtId="220" fontId="5" fillId="0" borderId="0"/>
    <xf numFmtId="202" fontId="90" fillId="0" borderId="0" applyFont="0" applyFill="0" applyBorder="0" applyAlignment="0" applyProtection="0"/>
    <xf numFmtId="220" fontId="5" fillId="0" borderId="0"/>
    <xf numFmtId="220" fontId="5" fillId="0" borderId="0"/>
    <xf numFmtId="220" fontId="0" fillId="0" borderId="0"/>
    <xf numFmtId="220" fontId="0" fillId="0" borderId="0"/>
    <xf numFmtId="220" fontId="358" fillId="125" borderId="145" applyNumberFormat="0" applyAlignment="0" applyProtection="0">
      <alignment vertical="center"/>
    </xf>
    <xf numFmtId="220" fontId="358" fillId="125" borderId="145"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358" fillId="125" borderId="145" applyNumberFormat="0" applyAlignment="0" applyProtection="0">
      <alignment vertical="center"/>
    </xf>
    <xf numFmtId="220" fontId="358" fillId="125" borderId="145" applyNumberFormat="0" applyAlignment="0" applyProtection="0">
      <alignment vertical="center"/>
    </xf>
    <xf numFmtId="220" fontId="358" fillId="125" borderId="145" applyNumberFormat="0" applyAlignment="0" applyProtection="0">
      <alignment vertical="center"/>
    </xf>
    <xf numFmtId="220" fontId="358" fillId="125" borderId="145" applyNumberFormat="0" applyAlignment="0" applyProtection="0">
      <alignment vertical="center"/>
    </xf>
    <xf numFmtId="220" fontId="358" fillId="125" borderId="145" applyNumberFormat="0" applyAlignment="0" applyProtection="0">
      <alignment vertical="center"/>
    </xf>
    <xf numFmtId="220" fontId="358" fillId="125" borderId="145" applyNumberFormat="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217" fillId="78" borderId="116" applyNumberFormat="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245" fillId="100" borderId="132" applyNumberForma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217" fillId="78" borderId="116" applyNumberFormat="0" applyAlignment="0" applyProtection="0">
      <alignment vertical="center"/>
    </xf>
    <xf numFmtId="220" fontId="5" fillId="0" borderId="0"/>
    <xf numFmtId="220" fontId="0" fillId="0" borderId="0"/>
    <xf numFmtId="220" fontId="0" fillId="0" borderId="0"/>
    <xf numFmtId="220" fontId="245" fillId="100" borderId="132" applyNumberFormat="0" applyAlignment="0" applyProtection="0">
      <alignment vertical="center"/>
    </xf>
    <xf numFmtId="220" fontId="5" fillId="0" borderId="0"/>
    <xf numFmtId="220" fontId="245" fillId="100" borderId="132" applyNumberFormat="0" applyAlignment="0" applyProtection="0">
      <alignment vertical="center"/>
    </xf>
    <xf numFmtId="220" fontId="5" fillId="0" borderId="0"/>
    <xf numFmtId="220" fontId="247" fillId="84" borderId="0" applyNumberFormat="0" applyBorder="0" applyAlignment="0" applyProtection="0">
      <alignment vertical="center"/>
    </xf>
    <xf numFmtId="220" fontId="5" fillId="0" borderId="0"/>
    <xf numFmtId="220" fontId="245" fillId="100" borderId="132" applyNumberFormat="0" applyAlignment="0" applyProtection="0">
      <alignment vertical="center"/>
    </xf>
    <xf numFmtId="220" fontId="247" fillId="84" borderId="0" applyNumberFormat="0" applyBorder="0" applyAlignment="0" applyProtection="0">
      <alignment vertical="center"/>
    </xf>
    <xf numFmtId="220" fontId="5" fillId="0" borderId="0"/>
    <xf numFmtId="220" fontId="247" fillId="84"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156" fillId="46" borderId="111" applyNumberFormat="0" applyAlignment="0" applyProtection="0">
      <alignment vertical="center"/>
    </xf>
    <xf numFmtId="220" fontId="156" fillId="46" borderId="111" applyNumberFormat="0" applyAlignment="0" applyProtection="0">
      <alignment vertical="center"/>
    </xf>
    <xf numFmtId="220" fontId="156" fillId="46" borderId="111" applyNumberFormat="0" applyAlignment="0" applyProtection="0">
      <alignment vertical="center"/>
    </xf>
    <xf numFmtId="220" fontId="0" fillId="0" borderId="0"/>
    <xf numFmtId="220" fontId="156" fillId="52" borderId="115" applyNumberFormat="0" applyAlignment="0" applyProtection="0">
      <alignment vertical="center"/>
    </xf>
    <xf numFmtId="220" fontId="156" fillId="52" borderId="115"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156" fillId="52" borderId="115" applyNumberFormat="0" applyAlignment="0" applyProtection="0">
      <alignment vertical="center"/>
    </xf>
    <xf numFmtId="220" fontId="156" fillId="52" borderId="115" applyNumberFormat="0" applyAlignment="0" applyProtection="0">
      <alignment vertical="center"/>
    </xf>
    <xf numFmtId="220" fontId="156" fillId="52" borderId="115" applyNumberFormat="0" applyAlignment="0" applyProtection="0">
      <alignment vertical="center"/>
    </xf>
    <xf numFmtId="220" fontId="156" fillId="52" borderId="115" applyNumberFormat="0" applyAlignment="0" applyProtection="0">
      <alignment vertical="center"/>
    </xf>
    <xf numFmtId="220" fontId="156" fillId="52" borderId="115" applyNumberFormat="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6" fillId="46" borderId="111" applyNumberFormat="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164" fillId="51" borderId="114" applyNumberForma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156" fillId="46" borderId="111" applyNumberFormat="0" applyAlignment="0" applyProtection="0">
      <alignment vertical="center"/>
    </xf>
    <xf numFmtId="220" fontId="5" fillId="0" borderId="0"/>
    <xf numFmtId="220" fontId="0" fillId="0" borderId="0"/>
    <xf numFmtId="220" fontId="0" fillId="0" borderId="0"/>
    <xf numFmtId="220" fontId="0" fillId="0" borderId="0"/>
    <xf numFmtId="220" fontId="164" fillId="51" borderId="114" applyNumberFormat="0" applyAlignment="0" applyProtection="0">
      <alignment vertical="center"/>
    </xf>
    <xf numFmtId="220" fontId="164" fillId="51" borderId="114" applyNumberFormat="0" applyAlignment="0" applyProtection="0">
      <alignment vertical="center"/>
    </xf>
    <xf numFmtId="220" fontId="164" fillId="51" borderId="114" applyNumberFormat="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332" fillId="0" borderId="0" applyNumberFormat="0" applyFill="0" applyBorder="0" applyAlignment="0" applyProtection="0">
      <alignment vertical="center"/>
    </xf>
    <xf numFmtId="220" fontId="332" fillId="0" borderId="0" applyNumberFormat="0" applyFill="0" applyBorder="0" applyAlignment="0" applyProtection="0">
      <alignment vertical="center"/>
    </xf>
    <xf numFmtId="220" fontId="332" fillId="0" borderId="0" applyNumberFormat="0" applyFill="0" applyBorder="0" applyAlignment="0" applyProtection="0">
      <alignment vertical="center"/>
    </xf>
    <xf numFmtId="220" fontId="0" fillId="0" borderId="0"/>
    <xf numFmtId="220" fontId="244" fillId="0" borderId="0" applyNumberFormat="0" applyFill="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244" fillId="0" borderId="0" applyNumberFormat="0" applyFill="0" applyBorder="0" applyAlignment="0" applyProtection="0">
      <alignment vertical="center"/>
    </xf>
    <xf numFmtId="220" fontId="244" fillId="0" borderId="0" applyNumberFormat="0" applyFill="0" applyBorder="0" applyAlignment="0" applyProtection="0">
      <alignment vertical="center"/>
    </xf>
    <xf numFmtId="220" fontId="244" fillId="0" borderId="0" applyNumberFormat="0" applyFill="0" applyBorder="0" applyAlignment="0" applyProtection="0">
      <alignment vertical="center"/>
    </xf>
    <xf numFmtId="220" fontId="244" fillId="0" borderId="0" applyNumberFormat="0" applyFill="0" applyBorder="0" applyAlignment="0" applyProtection="0">
      <alignment vertical="center"/>
    </xf>
    <xf numFmtId="220" fontId="244" fillId="0" borderId="0" applyNumberFormat="0" applyFill="0" applyBorder="0" applyAlignment="0" applyProtection="0">
      <alignment vertical="center"/>
    </xf>
    <xf numFmtId="220" fontId="244" fillId="0" borderId="0" applyNumberFormat="0" applyFill="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32" fillId="0" borderId="0" applyNumberFormat="0" applyFill="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332" fillId="0" borderId="0" applyNumberFormat="0" applyFill="0" applyBorder="0" applyAlignment="0" applyProtection="0">
      <alignment vertical="center"/>
    </xf>
    <xf numFmtId="220" fontId="5" fillId="0" borderId="0"/>
    <xf numFmtId="220" fontId="0" fillId="0" borderId="0"/>
    <xf numFmtId="220" fontId="0" fillId="0" borderId="0"/>
    <xf numFmtId="220" fontId="0" fillId="0" borderId="0"/>
    <xf numFmtId="220" fontId="333" fillId="0" borderId="0" applyNumberFormat="0" applyFill="0" applyBorder="0" applyAlignment="0" applyProtection="0">
      <alignment vertical="center"/>
    </xf>
    <xf numFmtId="220" fontId="5" fillId="0" borderId="0"/>
    <xf numFmtId="220" fontId="333" fillId="0" borderId="0" applyNumberFormat="0" applyFill="0" applyBorder="0" applyAlignment="0" applyProtection="0">
      <alignment vertical="center"/>
    </xf>
    <xf numFmtId="220" fontId="5" fillId="0" borderId="0"/>
    <xf numFmtId="220" fontId="333" fillId="0" borderId="0" applyNumberFormat="0" applyFill="0" applyBorder="0" applyAlignment="0" applyProtection="0">
      <alignment vertical="center"/>
    </xf>
    <xf numFmtId="220" fontId="5" fillId="0" borderId="0"/>
    <xf numFmtId="220" fontId="333" fillId="0" borderId="0" applyNumberFormat="0" applyFill="0" applyBorder="0" applyAlignment="0" applyProtection="0">
      <alignment vertical="center"/>
    </xf>
    <xf numFmtId="220" fontId="5" fillId="0" borderId="0"/>
    <xf numFmtId="220" fontId="5" fillId="0" borderId="0"/>
    <xf numFmtId="220" fontId="5" fillId="0" borderId="0"/>
    <xf numFmtId="220" fontId="270" fillId="0" borderId="7" applyNumberFormat="0" applyFill="0" applyProtection="0">
      <alignment horizontal="left"/>
    </xf>
    <xf numFmtId="220" fontId="0" fillId="0" borderId="0"/>
    <xf numFmtId="220" fontId="0" fillId="0" borderId="0"/>
    <xf numFmtId="220" fontId="342" fillId="0" borderId="0" applyNumberFormat="0" applyFill="0" applyBorder="0" applyAlignment="0" applyProtection="0">
      <alignment vertical="center"/>
    </xf>
    <xf numFmtId="220" fontId="342" fillId="0" borderId="0" applyNumberFormat="0" applyFill="0" applyBorder="0" applyAlignment="0" applyProtection="0">
      <alignment vertical="center"/>
    </xf>
    <xf numFmtId="220" fontId="342" fillId="0" borderId="0" applyNumberFormat="0" applyFill="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2" fillId="0" borderId="0" applyNumberFormat="0" applyFill="0" applyBorder="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2" fillId="0" borderId="0" applyNumberFormat="0" applyFill="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342" fillId="0" borderId="0" applyNumberFormat="0" applyFill="0" applyBorder="0" applyAlignment="0" applyProtection="0">
      <alignment vertical="center"/>
    </xf>
    <xf numFmtId="220" fontId="5" fillId="0" borderId="0"/>
    <xf numFmtId="220" fontId="0" fillId="0" borderId="0"/>
    <xf numFmtId="220" fontId="0" fillId="0" borderId="0"/>
    <xf numFmtId="220" fontId="0" fillId="0" borderId="0"/>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0" fillId="0" borderId="0"/>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334" fillId="0" borderId="0" applyNumberForma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36" fillId="0" borderId="121" applyNumberFormat="0" applyFill="0" applyAlignment="0" applyProtection="0">
      <alignment vertical="center"/>
    </xf>
    <xf numFmtId="220" fontId="336" fillId="0" borderId="121" applyNumberFormat="0" applyFill="0" applyAlignment="0" applyProtection="0">
      <alignment vertical="center"/>
    </xf>
    <xf numFmtId="220" fontId="336" fillId="0" borderId="121" applyNumberFormat="0" applyFill="0" applyAlignment="0" applyProtection="0">
      <alignment vertical="center"/>
    </xf>
    <xf numFmtId="220" fontId="0" fillId="0" borderId="0"/>
    <xf numFmtId="220" fontId="341" fillId="0" borderId="143" applyNumberFormat="0" applyFill="0" applyAlignment="0" applyProtection="0">
      <alignment vertical="center"/>
    </xf>
    <xf numFmtId="220" fontId="341" fillId="0" borderId="143" applyNumberFormat="0" applyFill="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341" fillId="0" borderId="143" applyNumberFormat="0" applyFill="0" applyAlignment="0" applyProtection="0">
      <alignment vertical="center"/>
    </xf>
    <xf numFmtId="220" fontId="341" fillId="0" borderId="143" applyNumberFormat="0" applyFill="0" applyAlignment="0" applyProtection="0">
      <alignment vertical="center"/>
    </xf>
    <xf numFmtId="220" fontId="341" fillId="0" borderId="143" applyNumberFormat="0" applyFill="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336" fillId="0" borderId="121" applyNumberFormat="0" applyFill="0" applyAlignment="0" applyProtection="0">
      <alignment vertical="center"/>
    </xf>
    <xf numFmtId="220" fontId="5" fillId="0" borderId="0"/>
    <xf numFmtId="220" fontId="0" fillId="0" borderId="0"/>
    <xf numFmtId="220" fontId="0" fillId="0" borderId="0"/>
    <xf numFmtId="220" fontId="5" fillId="0" borderId="0"/>
    <xf numFmtId="220" fontId="210" fillId="0" borderId="123" applyNumberFormat="0" applyFill="0" applyAlignment="0" applyProtection="0">
      <alignment vertical="center"/>
    </xf>
    <xf numFmtId="220" fontId="5" fillId="0" borderId="0"/>
    <xf numFmtId="220" fontId="210" fillId="0" borderId="123" applyNumberFormat="0" applyFill="0" applyAlignment="0" applyProtection="0">
      <alignment vertical="center"/>
    </xf>
    <xf numFmtId="220" fontId="5" fillId="0" borderId="0"/>
    <xf numFmtId="220" fontId="210" fillId="0" borderId="123" applyNumberFormat="0" applyFill="0" applyAlignment="0" applyProtection="0">
      <alignment vertical="center"/>
    </xf>
    <xf numFmtId="220" fontId="5" fillId="0" borderId="0"/>
    <xf numFmtId="220" fontId="5" fillId="0" borderId="0"/>
    <xf numFmtId="220" fontId="5" fillId="0" borderId="0"/>
    <xf numFmtId="220" fontId="0" fillId="0" borderId="0"/>
    <xf numFmtId="220" fontId="5" fillId="0" borderId="0"/>
    <xf numFmtId="220" fontId="169" fillId="0" borderId="0"/>
    <xf numFmtId="276" fontId="145" fillId="0" borderId="0" applyFont="0" applyFill="0" applyBorder="0" applyAlignment="0" applyProtection="0"/>
    <xf numFmtId="192" fontId="145" fillId="0" borderId="0" applyFont="0" applyFill="0" applyBorder="0" applyAlignment="0" applyProtection="0"/>
    <xf numFmtId="220" fontId="90" fillId="0" borderId="0"/>
    <xf numFmtId="220" fontId="90" fillId="0" borderId="0"/>
    <xf numFmtId="220" fontId="90" fillId="0" borderId="0"/>
    <xf numFmtId="220" fontId="90" fillId="0" borderId="0"/>
    <xf numFmtId="226" fontId="343" fillId="0" borderId="0" applyFont="0" applyFill="0" applyBorder="0" applyAlignment="0" applyProtection="0"/>
    <xf numFmtId="240" fontId="343" fillId="0" borderId="0" applyFont="0" applyFill="0" applyBorder="0" applyAlignment="0" applyProtection="0"/>
    <xf numFmtId="274" fontId="181" fillId="0" borderId="0" applyFont="0" applyFill="0" applyBorder="0" applyAlignment="0" applyProtection="0"/>
    <xf numFmtId="220" fontId="5" fillId="0" borderId="0"/>
    <xf numFmtId="220" fontId="7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220" fontId="75" fillId="0" borderId="0" applyFill="0" applyBorder="0" applyProtection="0">
      <alignment horizontal="right"/>
    </xf>
    <xf numFmtId="220" fontId="0" fillId="0" borderId="0"/>
    <xf numFmtId="220" fontId="5" fillId="0" borderId="0"/>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41" fontId="75" fillId="0" borderId="0" applyFont="0" applyFill="0" applyBorder="0" applyAlignment="0" applyProtection="0"/>
    <xf numFmtId="43" fontId="75" fillId="0" borderId="0" applyFont="0" applyFill="0" applyBorder="0" applyAlignment="0" applyProtection="0"/>
    <xf numFmtId="220" fontId="5" fillId="0" borderId="0"/>
    <xf numFmtId="220" fontId="5" fillId="0" borderId="0"/>
    <xf numFmtId="43" fontId="152" fillId="0" borderId="0" applyFont="0" applyFill="0" applyBorder="0" applyAlignment="0" applyProtection="0">
      <alignment vertical="center"/>
    </xf>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43" fontId="5"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30" fontId="0" fillId="0" borderId="0" applyFont="0" applyFill="0" applyBorder="0" applyAlignment="0" applyProtection="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220" fontId="0" fillId="0" borderId="0"/>
    <xf numFmtId="192"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5" fillId="0" borderId="0"/>
    <xf numFmtId="220" fontId="0" fillId="0" borderId="0"/>
    <xf numFmtId="220" fontId="5" fillId="0" borderId="0"/>
    <xf numFmtId="43" fontId="152"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152" fillId="0" borderId="0" applyFont="0" applyFill="0" applyBorder="0" applyAlignment="0" applyProtection="0">
      <alignment vertical="center"/>
    </xf>
    <xf numFmtId="220" fontId="5" fillId="0" borderId="0"/>
    <xf numFmtId="220" fontId="5" fillId="0" borderId="0"/>
    <xf numFmtId="43" fontId="0" fillId="0" borderId="0" applyFont="0" applyFill="0" applyBorder="0" applyAlignment="0" applyProtection="0"/>
    <xf numFmtId="220" fontId="0" fillId="0" borderId="0"/>
    <xf numFmtId="220" fontId="5" fillId="0" borderId="0"/>
    <xf numFmtId="220" fontId="0"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5" fillId="0" borderId="0"/>
    <xf numFmtId="220" fontId="0" fillId="0" borderId="0"/>
    <xf numFmtId="220" fontId="5" fillId="0" borderId="0"/>
    <xf numFmtId="43" fontId="5"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148" fillId="54"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5" fillId="0" borderId="0"/>
    <xf numFmtId="220" fontId="148" fillId="54" borderId="0" applyNumberFormat="0" applyBorder="0" applyAlignment="0" applyProtection="0">
      <alignment vertical="center"/>
    </xf>
    <xf numFmtId="220" fontId="5" fillId="0" borderId="0"/>
    <xf numFmtId="220" fontId="5" fillId="0" borderId="0"/>
    <xf numFmtId="220" fontId="0" fillId="0" borderId="0"/>
    <xf numFmtId="220" fontId="5" fillId="0" borderId="0"/>
    <xf numFmtId="220" fontId="0" fillId="0" borderId="0"/>
    <xf numFmtId="191"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0" fillId="0" borderId="0"/>
    <xf numFmtId="191" fontId="0" fillId="0" borderId="0" applyFont="0" applyFill="0" applyBorder="0" applyAlignment="0" applyProtection="0"/>
    <xf numFmtId="43" fontId="0" fillId="0" borderId="0" applyFont="0" applyFill="0" applyBorder="0" applyAlignment="0" applyProtection="0"/>
    <xf numFmtId="191"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220" fontId="0" fillId="0" borderId="0"/>
    <xf numFmtId="19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5"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191" fontId="0" fillId="0" borderId="0" applyFont="0" applyFill="0" applyBorder="0" applyAlignment="0" applyProtection="0"/>
    <xf numFmtId="220" fontId="0" fillId="0" borderId="0"/>
    <xf numFmtId="220" fontId="0" fillId="0" borderId="0"/>
    <xf numFmtId="191"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5" fillId="0" borderId="0"/>
    <xf numFmtId="43" fontId="5" fillId="0" borderId="0" applyFont="0" applyFill="0" applyBorder="0" applyAlignment="0" applyProtection="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43" fontId="0" fillId="0" borderId="0" applyFont="0" applyFill="0" applyBorder="0" applyAlignment="0" applyProtection="0"/>
    <xf numFmtId="220" fontId="0"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91" fontId="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0" fillId="0" borderId="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43" fontId="0" fillId="0" borderId="0" applyFont="0" applyFill="0" applyBorder="0" applyAlignment="0" applyProtection="0"/>
    <xf numFmtId="220" fontId="0" fillId="0" borderId="0"/>
    <xf numFmtId="43" fontId="221" fillId="0" borderId="0" applyFont="0" applyFill="0" applyBorder="0" applyAlignment="0" applyProtection="0"/>
    <xf numFmtId="43" fontId="221"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43" fontId="221" fillId="0" borderId="0" applyFont="0" applyFill="0" applyBorder="0" applyAlignment="0" applyProtection="0"/>
    <xf numFmtId="43" fontId="221" fillId="0" borderId="0" applyFont="0" applyFill="0" applyBorder="0" applyAlignment="0" applyProtection="0"/>
    <xf numFmtId="43" fontId="221" fillId="0" borderId="0" applyFont="0" applyFill="0" applyBorder="0" applyAlignment="0" applyProtection="0"/>
    <xf numFmtId="43" fontId="221"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91" fontId="0" fillId="0" borderId="0" applyFont="0" applyFill="0" applyBorder="0" applyAlignment="0" applyProtection="0"/>
    <xf numFmtId="43" fontId="152"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alignment vertical="center"/>
    </xf>
    <xf numFmtId="220" fontId="5" fillId="0" borderId="0"/>
    <xf numFmtId="220" fontId="5" fillId="0" borderId="0"/>
    <xf numFmtId="220" fontId="5" fillId="0" borderId="0"/>
    <xf numFmtId="43" fontId="0" fillId="0" borderId="0" applyFont="0" applyFill="0" applyBorder="0" applyAlignment="0" applyProtection="0">
      <alignment vertical="center"/>
    </xf>
    <xf numFmtId="220" fontId="5" fillId="0" borderId="0"/>
    <xf numFmtId="220" fontId="0" fillId="0" borderId="0"/>
    <xf numFmtId="43" fontId="0"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43" fontId="0" fillId="0" borderId="0" applyFont="0" applyFill="0" applyBorder="0" applyAlignment="0" applyProtection="0">
      <alignment vertical="center"/>
    </xf>
    <xf numFmtId="220" fontId="5" fillId="0" borderId="0"/>
    <xf numFmtId="43" fontId="0"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152"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5"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0" fillId="0" borderId="0"/>
    <xf numFmtId="220" fontId="0"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5"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xf numFmtId="220" fontId="5" fillId="0" borderId="0"/>
    <xf numFmtId="220" fontId="0"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5" fillId="0" borderId="0"/>
    <xf numFmtId="220" fontId="5"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0"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5" fillId="0" borderId="0"/>
    <xf numFmtId="220" fontId="5"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0" fillId="0" borderId="0"/>
    <xf numFmtId="43" fontId="0" fillId="0" borderId="0" applyFont="0" applyFill="0" applyBorder="0" applyAlignment="0" applyProtection="0">
      <alignment vertical="center"/>
    </xf>
    <xf numFmtId="220" fontId="5" fillId="0" borderId="0"/>
    <xf numFmtId="220" fontId="5" fillId="0" borderId="0"/>
    <xf numFmtId="220" fontId="5" fillId="0" borderId="0"/>
    <xf numFmtId="43" fontId="0" fillId="0" borderId="0" applyFont="0" applyFill="0" applyBorder="0" applyAlignment="0" applyProtection="0">
      <alignment vertical="center"/>
    </xf>
    <xf numFmtId="220" fontId="5"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220" fontId="5" fillId="0" borderId="0"/>
    <xf numFmtId="220" fontId="5" fillId="0" borderId="0"/>
    <xf numFmtId="43" fontId="0" fillId="0" borderId="0" applyFon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152" fillId="0" borderId="0" applyFont="0" applyFill="0" applyBorder="0" applyAlignment="0" applyProtection="0">
      <alignment vertical="center"/>
    </xf>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43" fontId="5" fillId="0" borderId="0" applyFont="0" applyFill="0" applyBorder="0" applyAlignment="0" applyProtection="0"/>
    <xf numFmtId="43" fontId="5" fillId="0" borderId="0" applyFont="0" applyFill="0" applyBorder="0" applyAlignment="0" applyProtection="0"/>
    <xf numFmtId="43" fontId="325" fillId="0" borderId="0" applyFont="0" applyFill="0" applyBorder="0" applyAlignment="0" applyProtection="0">
      <alignment vertical="center"/>
    </xf>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152" fillId="0" borderId="0" applyFont="0" applyFill="0" applyBorder="0" applyAlignment="0" applyProtection="0">
      <alignment vertical="center"/>
    </xf>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43" fontId="152" fillId="0" borderId="0" applyFont="0" applyFill="0" applyBorder="0" applyAlignment="0" applyProtection="0">
      <alignment vertical="center"/>
    </xf>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152" fillId="0" borderId="0" applyFont="0" applyFill="0" applyBorder="0" applyAlignment="0" applyProtection="0">
      <alignment vertical="center"/>
    </xf>
    <xf numFmtId="220" fontId="0" fillId="0" borderId="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43" fontId="139" fillId="0" borderId="0" applyFont="0" applyFill="0" applyBorder="0" applyAlignment="0" applyProtection="0">
      <alignment vertical="center"/>
    </xf>
    <xf numFmtId="191" fontId="0"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191" fontId="139" fillId="0" borderId="0" applyFont="0" applyFill="0" applyBorder="0" applyAlignment="0" applyProtection="0">
      <alignment vertical="center"/>
    </xf>
    <xf numFmtId="43" fontId="0" fillId="0" borderId="0" applyFont="0" applyFill="0" applyBorder="0" applyAlignment="0" applyProtection="0"/>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0" fillId="0" borderId="0" applyFont="0" applyFill="0" applyBorder="0" applyAlignment="0" applyProtection="0"/>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195" fontId="139" fillId="0" borderId="0" applyFont="0" applyFill="0" applyBorder="0" applyAlignment="0" applyProtection="0">
      <alignment vertical="center"/>
    </xf>
    <xf numFmtId="195" fontId="139" fillId="0" borderId="0" applyFont="0" applyFill="0" applyBorder="0" applyAlignment="0" applyProtection="0">
      <alignment vertical="center"/>
    </xf>
    <xf numFmtId="43" fontId="0" fillId="0" borderId="0" applyFont="0" applyFill="0" applyBorder="0" applyAlignment="0" applyProtection="0"/>
    <xf numFmtId="43" fontId="5" fillId="0" borderId="0" applyFont="0" applyFill="0" applyBorder="0" applyAlignment="0" applyProtection="0">
      <alignment vertical="center"/>
    </xf>
    <xf numFmtId="195"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220" fontId="5" fillId="0" borderId="0"/>
    <xf numFmtId="220" fontId="5" fillId="0" borderId="0"/>
    <xf numFmtId="220" fontId="5" fillId="0" borderId="0"/>
    <xf numFmtId="220" fontId="0" fillId="0" borderId="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220" fontId="5" fillId="0" borderId="0"/>
    <xf numFmtId="220" fontId="5" fillId="0" borderId="0"/>
    <xf numFmtId="220" fontId="5" fillId="0" borderId="0"/>
    <xf numFmtId="220" fontId="0" fillId="0" borderId="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77" fontId="0" fillId="0" borderId="0" applyFont="0" applyFill="0" applyBorder="0" applyAlignment="0" applyProtection="0">
      <alignment vertical="center"/>
    </xf>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5" fillId="0" borderId="0"/>
    <xf numFmtId="191" fontId="5" fillId="0" borderId="0" applyFont="0" applyFill="0" applyBorder="0" applyAlignment="0" applyProtection="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43" fontId="5" fillId="0" borderId="0" applyFont="0" applyFill="0" applyBorder="0" applyAlignment="0" applyProtection="0"/>
    <xf numFmtId="220" fontId="5" fillId="0" borderId="0"/>
    <xf numFmtId="220" fontId="0" fillId="0" borderId="0"/>
    <xf numFmtId="43" fontId="5" fillId="0" borderId="0" applyFont="0" applyFill="0" applyBorder="0" applyAlignment="0" applyProtection="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91" fontId="5"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191" fontId="5" fillId="0" borderId="0" applyFont="0" applyFill="0" applyBorder="0" applyAlignment="0" applyProtection="0"/>
    <xf numFmtId="43" fontId="5" fillId="0" borderId="0" applyFont="0" applyFill="0" applyBorder="0" applyAlignment="0" applyProtection="0"/>
    <xf numFmtId="220" fontId="0" fillId="0" borderId="0"/>
    <xf numFmtId="191" fontId="5" fillId="0" borderId="0" applyFont="0" applyFill="0" applyBorder="0" applyAlignment="0" applyProtection="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220" fontId="0" fillId="0" borderId="0"/>
    <xf numFmtId="191" fontId="5" fillId="0" borderId="0" applyFont="0" applyFill="0" applyBorder="0" applyAlignment="0" applyProtection="0"/>
    <xf numFmtId="43" fontId="5" fillId="0" borderId="0" applyFont="0" applyFill="0" applyBorder="0" applyAlignment="0" applyProtection="0"/>
    <xf numFmtId="220" fontId="0" fillId="0" borderId="0"/>
    <xf numFmtId="191" fontId="0"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191" fontId="0" fillId="0" borderId="0" applyFont="0" applyFill="0" applyBorder="0" applyAlignment="0" applyProtection="0"/>
    <xf numFmtId="220" fontId="0" fillId="0" borderId="0"/>
    <xf numFmtId="220" fontId="0" fillId="0" borderId="0"/>
    <xf numFmtId="220" fontId="148" fillId="90"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5" fillId="0" borderId="0"/>
    <xf numFmtId="43" fontId="5" fillId="0" borderId="0" applyFont="0" applyFill="0" applyBorder="0" applyAlignment="0" applyProtection="0"/>
    <xf numFmtId="220" fontId="5" fillId="0" borderId="0"/>
    <xf numFmtId="43" fontId="5" fillId="0" borderId="0" applyFont="0" applyFill="0" applyBorder="0" applyAlignment="0" applyProtection="0"/>
    <xf numFmtId="22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1" fontId="5" fillId="0" borderId="0" applyFont="0" applyFill="0" applyBorder="0" applyAlignment="0" applyProtection="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191" fontId="5" fillId="0" borderId="0" applyFont="0" applyFill="0" applyBorder="0" applyAlignment="0" applyProtection="0"/>
    <xf numFmtId="43" fontId="5" fillId="0" borderId="0" applyFont="0" applyFill="0" applyBorder="0" applyAlignment="0" applyProtection="0"/>
    <xf numFmtId="191"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5" fillId="0" borderId="0" applyFont="0" applyFill="0" applyBorder="0" applyAlignment="0" applyProtection="0"/>
    <xf numFmtId="220" fontId="5" fillId="0" borderId="0"/>
    <xf numFmtId="191"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5" fillId="0" borderId="0"/>
    <xf numFmtId="220" fontId="5" fillId="0" borderId="0"/>
    <xf numFmtId="220" fontId="0" fillId="0" borderId="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43" fontId="5" fillId="0" borderId="0" applyFont="0" applyFill="0" applyBorder="0" applyAlignment="0" applyProtection="0"/>
    <xf numFmtId="22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1" fontId="5" fillId="0" borderId="0" applyFont="0" applyFill="0" applyBorder="0" applyAlignment="0" applyProtection="0"/>
    <xf numFmtId="43" fontId="5" fillId="0" borderId="0" applyFont="0" applyFill="0" applyBorder="0" applyAlignment="0" applyProtection="0"/>
    <xf numFmtId="191" fontId="5" fillId="0" borderId="0" applyFont="0" applyFill="0" applyBorder="0" applyAlignment="0" applyProtection="0"/>
    <xf numFmtId="220" fontId="0" fillId="0" borderId="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191" fontId="5" fillId="0" borderId="0" applyFont="0" applyFill="0" applyBorder="0" applyAlignment="0" applyProtection="0"/>
    <xf numFmtId="220" fontId="148" fillId="91" borderId="0" applyNumberFormat="0" applyBorder="0" applyAlignment="0" applyProtection="0">
      <alignment vertical="center"/>
    </xf>
    <xf numFmtId="43" fontId="5" fillId="0" borderId="0" applyFont="0" applyFill="0" applyBorder="0" applyAlignment="0" applyProtection="0"/>
    <xf numFmtId="191"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191"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139" fillId="0" borderId="0" applyFont="0" applyFill="0" applyBorder="0" applyAlignment="0" applyProtection="0">
      <alignment vertical="center"/>
    </xf>
    <xf numFmtId="220" fontId="0" fillId="0" borderId="0"/>
    <xf numFmtId="191" fontId="5" fillId="0" borderId="0" applyFont="0" applyFill="0" applyBorder="0" applyAlignment="0" applyProtection="0"/>
    <xf numFmtId="43"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5" fillId="0" borderId="0" applyFont="0" applyFill="0" applyBorder="0" applyAlignment="0" applyProtection="0"/>
    <xf numFmtId="220" fontId="148" fillId="71" borderId="0" applyNumberFormat="0" applyBorder="0" applyAlignment="0" applyProtection="0">
      <alignment vertical="center"/>
    </xf>
    <xf numFmtId="43" fontId="5" fillId="0" borderId="0" applyFont="0" applyFill="0" applyBorder="0" applyAlignment="0" applyProtection="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191" fontId="5"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43" fontId="5" fillId="0" borderId="0" applyFont="0" applyFill="0" applyBorder="0" applyAlignment="0" applyProtection="0"/>
    <xf numFmtId="220" fontId="0" fillId="0" borderId="0"/>
    <xf numFmtId="220" fontId="5" fillId="0" borderId="0"/>
    <xf numFmtId="220" fontId="148" fillId="69" borderId="0" applyNumberFormat="0" applyBorder="0" applyAlignment="0" applyProtection="0">
      <alignment vertical="center"/>
    </xf>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0" fillId="0" borderId="0"/>
    <xf numFmtId="220" fontId="0" fillId="0" borderId="0"/>
    <xf numFmtId="220" fontId="0" fillId="0" borderId="0"/>
    <xf numFmtId="43" fontId="5" fillId="0" borderId="0" applyFont="0" applyFill="0" applyBorder="0" applyAlignment="0" applyProtection="0"/>
    <xf numFmtId="220" fontId="5" fillId="0" borderId="0"/>
    <xf numFmtId="191"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5" fillId="0" borderId="0"/>
    <xf numFmtId="220" fontId="5" fillId="0" borderId="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220" fontId="0" fillId="0" borderId="0"/>
    <xf numFmtId="43" fontId="5" fillId="0" borderId="0" applyFont="0" applyFill="0" applyBorder="0" applyAlignment="0" applyProtection="0"/>
    <xf numFmtId="220" fontId="5" fillId="0" borderId="0"/>
    <xf numFmtId="220" fontId="5" fillId="0" borderId="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220" fontId="0" fillId="0" borderId="0"/>
    <xf numFmtId="220" fontId="0" fillId="0" borderId="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0"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0" fillId="0" borderId="0"/>
    <xf numFmtId="43" fontId="5" fillId="0" borderId="0" applyFont="0" applyFill="0" applyBorder="0" applyAlignment="0" applyProtection="0"/>
    <xf numFmtId="43" fontId="5" fillId="0" borderId="0" applyFont="0" applyFill="0" applyBorder="0" applyAlignment="0" applyProtection="0"/>
    <xf numFmtId="220" fontId="5" fillId="0" borderId="0"/>
    <xf numFmtId="220" fontId="5" fillId="0" borderId="0"/>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191" fontId="0" fillId="0" borderId="0" applyFont="0" applyFill="0" applyBorder="0" applyAlignment="0" applyProtection="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43" fontId="152" fillId="0" borderId="0" applyFont="0" applyFill="0" applyBorder="0" applyAlignment="0" applyProtection="0"/>
    <xf numFmtId="191"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191" fontId="0" fillId="0" borderId="0" applyFont="0" applyFill="0" applyBorder="0" applyAlignment="0" applyProtection="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43" fontId="5" fillId="0" borderId="0" applyFont="0" applyFill="0" applyBorder="0" applyAlignment="0" applyProtection="0"/>
    <xf numFmtId="220" fontId="0" fillId="0" borderId="0"/>
    <xf numFmtId="220" fontId="0" fillId="0" borderId="0"/>
    <xf numFmtId="43" fontId="139" fillId="0" borderId="0" applyFont="0" applyFill="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139" fillId="0" borderId="0" applyFont="0" applyFill="0" applyBorder="0" applyAlignment="0" applyProtection="0">
      <alignment vertical="center"/>
    </xf>
    <xf numFmtId="220" fontId="0" fillId="0" borderId="0"/>
    <xf numFmtId="191" fontId="139" fillId="0" borderId="0" applyFont="0" applyFill="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139" fillId="0" borderId="0" applyFont="0" applyFill="0" applyBorder="0" applyAlignment="0" applyProtection="0">
      <alignment vertical="center"/>
    </xf>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91" fontId="139" fillId="0" borderId="0" applyFont="0" applyFill="0" applyBorder="0" applyAlignment="0" applyProtection="0">
      <alignment vertical="center"/>
    </xf>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0" fillId="0" borderId="0"/>
    <xf numFmtId="220" fontId="0" fillId="0" borderId="0"/>
    <xf numFmtId="43" fontId="0" fillId="0" borderId="0" applyFont="0" applyFill="0" applyBorder="0" applyAlignment="0" applyProtection="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220" fontId="5"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5"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220" fontId="0" fillId="0" borderId="0"/>
    <xf numFmtId="220" fontId="0" fillId="0" borderId="0"/>
    <xf numFmtId="43"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43" fontId="152" fillId="0" borderId="0" applyFont="0" applyFill="0" applyBorder="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32" fontId="139" fillId="0" borderId="0" applyFont="0" applyFill="0" applyBorder="0" applyAlignment="0" applyProtection="0">
      <alignment vertical="center"/>
    </xf>
    <xf numFmtId="220" fontId="5" fillId="0" borderId="0"/>
    <xf numFmtId="191"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0" fillId="0" borderId="0"/>
    <xf numFmtId="43" fontId="0" fillId="0" borderId="0" applyFont="0" applyFill="0" applyBorder="0" applyAlignment="0" applyProtection="0"/>
    <xf numFmtId="220" fontId="5" fillId="0" borderId="0"/>
    <xf numFmtId="191"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43"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13" fontId="0" fillId="0" borderId="0" applyFont="0" applyFill="0" applyBorder="0" applyAlignment="0" applyProtection="0"/>
    <xf numFmtId="191" fontId="0" fillId="0" borderId="0" applyFont="0" applyFill="0" applyBorder="0" applyAlignment="0" applyProtection="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43" fontId="139" fillId="0" borderId="0" applyFont="0" applyFill="0" applyBorder="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191" fontId="0" fillId="0" borderId="0" applyFont="0" applyFill="0" applyBorder="0" applyAlignment="0" applyProtection="0"/>
    <xf numFmtId="220" fontId="0" fillId="0" borderId="0"/>
    <xf numFmtId="220" fontId="0" fillId="0" borderId="0"/>
    <xf numFmtId="220" fontId="0" fillId="0" borderId="0"/>
    <xf numFmtId="220" fontId="0" fillId="0" borderId="0"/>
    <xf numFmtId="191" fontId="0" fillId="0" borderId="0" applyFont="0" applyFill="0" applyBorder="0" applyAlignment="0" applyProtection="0"/>
    <xf numFmtId="43" fontId="0" fillId="0" borderId="0" applyFont="0" applyFill="0" applyBorder="0" applyAlignment="0" applyProtection="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43" fontId="139" fillId="0" borderId="0" applyFont="0" applyFill="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5" fillId="0" borderId="0"/>
    <xf numFmtId="43" fontId="5" fillId="0" borderId="0" applyFont="0" applyFill="0" applyBorder="0" applyAlignment="0" applyProtection="0"/>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43" fontId="5"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09" fontId="0" fillId="0" borderId="0" applyFont="0" applyFill="0" applyBorder="0" applyAlignment="0" applyProtection="0"/>
    <xf numFmtId="220" fontId="0" fillId="0" borderId="0"/>
    <xf numFmtId="41" fontId="0" fillId="0" borderId="0" applyFont="0" applyFill="0" applyBorder="0" applyAlignment="0" applyProtection="0"/>
    <xf numFmtId="209"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139" fillId="0" borderId="0" applyFont="0" applyFill="0" applyBorder="0" applyAlignment="0" applyProtection="0">
      <alignment vertical="center"/>
    </xf>
    <xf numFmtId="41" fontId="139" fillId="0" borderId="0" applyFont="0" applyFill="0" applyBorder="0" applyAlignment="0" applyProtection="0">
      <alignment vertical="center"/>
    </xf>
    <xf numFmtId="41" fontId="139" fillId="0" borderId="0" applyFont="0" applyFill="0" applyBorder="0" applyAlignment="0" applyProtection="0">
      <alignment vertical="center"/>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xf numFmtId="220" fontId="0" fillId="0" borderId="0"/>
    <xf numFmtId="220" fontId="0" fillId="0" borderId="0"/>
    <xf numFmtId="209"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220" fontId="0" fillId="0" borderId="0"/>
    <xf numFmtId="41" fontId="0" fillId="0" borderId="0" applyFont="0" applyFill="0" applyBorder="0" applyAlignment="0" applyProtection="0"/>
    <xf numFmtId="220" fontId="0" fillId="0" borderId="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xf numFmtId="220" fontId="0" fillId="0" borderId="0"/>
    <xf numFmtId="220" fontId="0" fillId="0" borderId="0"/>
    <xf numFmtId="220" fontId="0" fillId="0" borderId="0"/>
    <xf numFmtId="209"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0" fillId="0" borderId="0"/>
    <xf numFmtId="220" fontId="0" fillId="0" borderId="0"/>
    <xf numFmtId="41" fontId="0" fillId="0" borderId="0" applyFont="0" applyFill="0" applyBorder="0" applyAlignment="0" applyProtection="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09" fontId="0" fillId="0" borderId="0" applyFont="0" applyFill="0" applyBorder="0" applyAlignment="0" applyProtection="0"/>
    <xf numFmtId="41" fontId="0" fillId="0" borderId="0" applyFont="0" applyFill="0" applyBorder="0" applyAlignment="0" applyProtection="0"/>
    <xf numFmtId="220" fontId="5" fillId="0" borderId="0"/>
    <xf numFmtId="209" fontId="0" fillId="0" borderId="0" applyFont="0" applyFill="0" applyBorder="0" applyAlignment="0" applyProtection="0"/>
    <xf numFmtId="220" fontId="0" fillId="0" borderId="0"/>
    <xf numFmtId="220" fontId="0" fillId="0" borderId="0"/>
    <xf numFmtId="41" fontId="0" fillId="0" borderId="0" applyFont="0" applyFill="0" applyBorder="0" applyAlignment="0" applyProtection="0"/>
    <xf numFmtId="220" fontId="5" fillId="0" borderId="0"/>
    <xf numFmtId="220" fontId="0" fillId="0" borderId="0"/>
    <xf numFmtId="209" fontId="0" fillId="0" borderId="0" applyFont="0" applyFill="0" applyBorder="0" applyAlignment="0" applyProtection="0"/>
    <xf numFmtId="41" fontId="0" fillId="0" borderId="0" applyFont="0" applyFill="0" applyBorder="0" applyAlignment="0" applyProtection="0"/>
    <xf numFmtId="220" fontId="5" fillId="0" borderId="0"/>
    <xf numFmtId="209" fontId="0" fillId="0" borderId="0" applyFont="0" applyFill="0" applyBorder="0" applyAlignment="0" applyProtection="0"/>
    <xf numFmtId="220" fontId="0" fillId="0" borderId="0"/>
    <xf numFmtId="220" fontId="0" fillId="0" borderId="0"/>
    <xf numFmtId="209" fontId="0" fillId="0" borderId="0" applyFont="0" applyFill="0" applyBorder="0" applyAlignment="0" applyProtection="0"/>
    <xf numFmtId="220" fontId="0" fillId="0" borderId="0"/>
    <xf numFmtId="41" fontId="0" fillId="0" borderId="0" applyFont="0" applyFill="0" applyBorder="0" applyAlignment="0" applyProtection="0"/>
    <xf numFmtId="220" fontId="0" fillId="0" borderId="0"/>
    <xf numFmtId="41" fontId="0" fillId="0" borderId="0" applyFont="0" applyFill="0" applyBorder="0" applyAlignment="0" applyProtection="0"/>
    <xf numFmtId="41" fontId="0" fillId="0" borderId="0" applyFont="0" applyFill="0" applyBorder="0" applyAlignment="0" applyProtection="0">
      <alignment vertical="center"/>
    </xf>
    <xf numFmtId="220" fontId="0" fillId="0" borderId="0"/>
    <xf numFmtId="41" fontId="0" fillId="0" borderId="0" applyFont="0" applyFill="0" applyBorder="0" applyAlignment="0" applyProtection="0"/>
    <xf numFmtId="41" fontId="0" fillId="0" borderId="0" applyFont="0" applyFill="0" applyBorder="0" applyAlignment="0" applyProtection="0">
      <alignment vertical="center"/>
    </xf>
    <xf numFmtId="220" fontId="0" fillId="0" borderId="0"/>
    <xf numFmtId="41" fontId="0" fillId="0" borderId="0" applyFont="0" applyFill="0" applyBorder="0" applyAlignment="0" applyProtection="0"/>
    <xf numFmtId="220" fontId="5" fillId="0" borderId="0"/>
    <xf numFmtId="209"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220" fontId="0" fillId="0" borderId="0"/>
    <xf numFmtId="220" fontId="0" fillId="0" borderId="0"/>
    <xf numFmtId="220" fontId="0" fillId="0" borderId="0"/>
    <xf numFmtId="41" fontId="0" fillId="0" borderId="0" applyFont="0" applyFill="0" applyBorder="0" applyAlignment="0" applyProtection="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1" fontId="0" fillId="0" borderId="0" applyFont="0" applyFill="0" applyBorder="0" applyAlignment="0" applyProtection="0"/>
    <xf numFmtId="41"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41" fontId="0" fillId="0" borderId="0" applyFont="0" applyFill="0" applyBorder="0" applyAlignment="0" applyProtection="0"/>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0" fillId="0" borderId="0"/>
    <xf numFmtId="220" fontId="0" fillId="0" borderId="0"/>
    <xf numFmtId="220" fontId="0" fillId="0" borderId="0"/>
    <xf numFmtId="220" fontId="0" fillId="0" borderId="0"/>
    <xf numFmtId="41" fontId="0" fillId="0" borderId="0" applyFont="0" applyFill="0" applyBorder="0" applyAlignment="0" applyProtection="0"/>
    <xf numFmtId="220" fontId="5" fillId="0" borderId="0"/>
    <xf numFmtId="220" fontId="0" fillId="0" borderId="0"/>
    <xf numFmtId="220" fontId="5" fillId="0" borderId="0"/>
    <xf numFmtId="220" fontId="5" fillId="0" borderId="0"/>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32" fontId="139" fillId="0" borderId="0" applyFont="0" applyFill="0" applyBorder="0" applyAlignment="0" applyProtection="0">
      <alignment vertical="center"/>
    </xf>
    <xf numFmtId="232" fontId="139" fillId="0" borderId="0" applyFont="0" applyFill="0" applyBorder="0" applyAlignment="0" applyProtection="0">
      <alignment vertical="center"/>
    </xf>
    <xf numFmtId="232" fontId="139" fillId="0" borderId="0" applyFont="0" applyFill="0" applyBorder="0" applyAlignment="0" applyProtection="0">
      <alignment vertical="center"/>
    </xf>
    <xf numFmtId="195" fontId="152" fillId="0" borderId="0" applyFont="0" applyFill="0" applyBorder="0" applyAlignment="0" applyProtection="0">
      <alignment vertical="center"/>
    </xf>
    <xf numFmtId="220" fontId="359" fillId="0" borderId="0"/>
    <xf numFmtId="41" fontId="337" fillId="0" borderId="0" applyFont="0" applyFill="0" applyBorder="0" applyAlignment="0" applyProtection="0"/>
    <xf numFmtId="43" fontId="337" fillId="0" borderId="0" applyFont="0" applyFill="0" applyBorder="0" applyAlignment="0" applyProtection="0"/>
    <xf numFmtId="220" fontId="55" fillId="105" borderId="0" applyNumberFormat="0" applyBorder="0" applyAlignment="0" applyProtection="0"/>
    <xf numFmtId="220" fontId="55" fillId="105" borderId="0" applyNumberFormat="0" applyBorder="0" applyAlignment="0" applyProtection="0"/>
    <xf numFmtId="220" fontId="0" fillId="0" borderId="0"/>
    <xf numFmtId="220" fontId="0" fillId="0" borderId="0"/>
    <xf numFmtId="220" fontId="0" fillId="0" borderId="0"/>
    <xf numFmtId="220" fontId="55" fillId="105" borderId="0" applyNumberFormat="0" applyBorder="0" applyAlignment="0" applyProtection="0"/>
    <xf numFmtId="220" fontId="55" fillId="105" borderId="0" applyNumberFormat="0" applyBorder="0" applyAlignment="0" applyProtection="0"/>
    <xf numFmtId="220" fontId="0" fillId="0" borderId="0"/>
    <xf numFmtId="220" fontId="55" fillId="105" borderId="0" applyNumberFormat="0" applyBorder="0" applyAlignment="0" applyProtection="0"/>
    <xf numFmtId="220" fontId="55" fillId="105" borderId="0" applyNumberFormat="0" applyBorder="0" applyAlignment="0" applyProtection="0"/>
    <xf numFmtId="220" fontId="5" fillId="0" borderId="0"/>
    <xf numFmtId="220" fontId="5" fillId="0" borderId="0"/>
    <xf numFmtId="220" fontId="55" fillId="106" borderId="0" applyNumberFormat="0" applyBorder="0" applyAlignment="0" applyProtection="0"/>
    <xf numFmtId="220" fontId="55" fillId="106" borderId="0" applyNumberFormat="0" applyBorder="0" applyAlignment="0" applyProtection="0"/>
    <xf numFmtId="220" fontId="0" fillId="0" borderId="0"/>
    <xf numFmtId="220" fontId="0" fillId="0" borderId="0"/>
    <xf numFmtId="220" fontId="55" fillId="106" borderId="0" applyNumberFormat="0" applyBorder="0" applyAlignment="0" applyProtection="0"/>
    <xf numFmtId="220" fontId="0" fillId="0" borderId="0"/>
    <xf numFmtId="220" fontId="55" fillId="106" borderId="0" applyNumberFormat="0" applyBorder="0" applyAlignment="0" applyProtection="0"/>
    <xf numFmtId="220" fontId="55" fillId="106" borderId="0" applyNumberFormat="0" applyBorder="0" applyAlignment="0" applyProtection="0"/>
    <xf numFmtId="220" fontId="5" fillId="0" borderId="0"/>
    <xf numFmtId="220" fontId="5" fillId="0" borderId="0"/>
    <xf numFmtId="220" fontId="55" fillId="107" borderId="0" applyNumberFormat="0" applyBorder="0" applyAlignment="0" applyProtection="0"/>
    <xf numFmtId="220" fontId="55" fillId="107" borderId="0" applyNumberFormat="0" applyBorder="0" applyAlignment="0" applyProtection="0"/>
    <xf numFmtId="220" fontId="0" fillId="0" borderId="0"/>
    <xf numFmtId="220" fontId="0" fillId="0" borderId="0"/>
    <xf numFmtId="220" fontId="0" fillId="0" borderId="0"/>
    <xf numFmtId="220" fontId="55" fillId="107" borderId="0" applyNumberFormat="0" applyBorder="0" applyAlignment="0" applyProtection="0"/>
    <xf numFmtId="220" fontId="55" fillId="107" borderId="0" applyNumberFormat="0" applyBorder="0" applyAlignment="0" applyProtection="0"/>
    <xf numFmtId="220" fontId="0" fillId="0" borderId="0"/>
    <xf numFmtId="220" fontId="55" fillId="107" borderId="0" applyNumberFormat="0" applyBorder="0" applyAlignment="0" applyProtection="0"/>
    <xf numFmtId="220" fontId="55" fillId="107" borderId="0" applyNumberFormat="0" applyBorder="0" applyAlignment="0" applyProtection="0"/>
    <xf numFmtId="220" fontId="5" fillId="0" borderId="0"/>
    <xf numFmtId="220" fontId="0" fillId="0" borderId="0"/>
    <xf numFmtId="220" fontId="148" fillId="86" borderId="0" applyNumberFormat="0" applyBorder="0" applyAlignment="0" applyProtection="0">
      <alignment vertical="center"/>
    </xf>
    <xf numFmtId="220" fontId="148" fillId="86" borderId="0" applyNumberFormat="0" applyBorder="0" applyAlignment="0" applyProtection="0">
      <alignment vertical="center"/>
    </xf>
    <xf numFmtId="220" fontId="148" fillId="86" borderId="0" applyNumberFormat="0" applyBorder="0" applyAlignment="0" applyProtection="0">
      <alignment vertical="center"/>
    </xf>
    <xf numFmtId="220" fontId="0" fillId="0" borderId="0"/>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0" fillId="0" borderId="0"/>
    <xf numFmtId="220" fontId="0" fillId="0" borderId="0"/>
    <xf numFmtId="220" fontId="161" fillId="116"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86"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161" fillId="116" borderId="0" applyNumberFormat="0" applyBorder="0" applyAlignment="0" applyProtection="0">
      <alignment vertical="center"/>
    </xf>
    <xf numFmtId="220" fontId="0" fillId="0" borderId="0"/>
    <xf numFmtId="220" fontId="0" fillId="0" borderId="0"/>
    <xf numFmtId="220" fontId="148" fillId="86" borderId="0" applyNumberFormat="0" applyBorder="0" applyAlignment="0" applyProtection="0">
      <alignment vertical="center"/>
    </xf>
    <xf numFmtId="220" fontId="5" fillId="0" borderId="0"/>
    <xf numFmtId="220" fontId="0" fillId="0" borderId="0"/>
    <xf numFmtId="220" fontId="0" fillId="0" borderId="0"/>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5" fillId="0" borderId="0"/>
    <xf numFmtId="220" fontId="161" fillId="116"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75" fillId="0" borderId="0">
      <protection locked="0"/>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0" fillId="0" borderId="0"/>
    <xf numFmtId="220" fontId="148" fillId="82" borderId="0" applyNumberFormat="0" applyBorder="0" applyAlignment="0" applyProtection="0">
      <alignment vertical="center"/>
    </xf>
    <xf numFmtId="220" fontId="148" fillId="82" borderId="0" applyNumberFormat="0" applyBorder="0" applyAlignment="0" applyProtection="0">
      <alignment vertical="center"/>
    </xf>
    <xf numFmtId="220" fontId="148" fillId="82" borderId="0" applyNumberFormat="0" applyBorder="0" applyAlignment="0" applyProtection="0">
      <alignment vertical="center"/>
    </xf>
    <xf numFmtId="220" fontId="0" fillId="0" borderId="0"/>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0" fillId="0" borderId="0"/>
    <xf numFmtId="220" fontId="0" fillId="0" borderId="0"/>
    <xf numFmtId="220" fontId="161" fillId="75"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82"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161" fillId="75" borderId="0" applyNumberFormat="0" applyBorder="0" applyAlignment="0" applyProtection="0">
      <alignment vertical="center"/>
    </xf>
    <xf numFmtId="220" fontId="0" fillId="0" borderId="0"/>
    <xf numFmtId="220" fontId="0" fillId="0" borderId="0"/>
    <xf numFmtId="220" fontId="0" fillId="0" borderId="0"/>
    <xf numFmtId="220" fontId="0" fillId="0" borderId="0"/>
    <xf numFmtId="220" fontId="148" fillId="82" borderId="0" applyNumberFormat="0" applyBorder="0" applyAlignment="0" applyProtection="0">
      <alignment vertical="center"/>
    </xf>
    <xf numFmtId="220" fontId="5" fillId="0" borderId="0"/>
    <xf numFmtId="220" fontId="0" fillId="0" borderId="0"/>
    <xf numFmtId="220" fontId="0"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75" borderId="0" applyNumberFormat="0" applyBorder="0" applyAlignment="0" applyProtection="0">
      <alignment vertical="center"/>
    </xf>
    <xf numFmtId="220" fontId="161" fillId="75" borderId="0" applyNumberFormat="0" applyBorder="0" applyAlignment="0" applyProtection="0">
      <alignment vertical="center"/>
    </xf>
    <xf numFmtId="220" fontId="5" fillId="0" borderId="0"/>
    <xf numFmtId="220" fontId="161" fillId="75"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75" borderId="0" applyNumberFormat="0" applyBorder="0" applyAlignment="0" applyProtection="0">
      <alignment vertical="center"/>
    </xf>
    <xf numFmtId="220" fontId="161" fillId="75" borderId="0" applyNumberFormat="0" applyBorder="0" applyAlignment="0" applyProtection="0">
      <alignment vertical="center"/>
    </xf>
    <xf numFmtId="220" fontId="5" fillId="0" borderId="0"/>
    <xf numFmtId="220" fontId="161" fillId="75"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75" borderId="0" applyNumberFormat="0" applyBorder="0" applyAlignment="0" applyProtection="0">
      <alignment vertical="center"/>
    </xf>
    <xf numFmtId="220" fontId="161" fillId="75" borderId="0" applyNumberFormat="0" applyBorder="0" applyAlignment="0" applyProtection="0">
      <alignment vertical="center"/>
    </xf>
    <xf numFmtId="220" fontId="5" fillId="0" borderId="0"/>
    <xf numFmtId="220" fontId="161" fillId="75"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75" borderId="0" applyNumberFormat="0" applyBorder="0" applyAlignment="0" applyProtection="0">
      <alignment vertical="center"/>
    </xf>
    <xf numFmtId="220" fontId="161" fillId="75"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0" fillId="0" borderId="0"/>
    <xf numFmtId="220" fontId="148" fillId="90" borderId="0" applyNumberFormat="0" applyBorder="0" applyAlignment="0" applyProtection="0">
      <alignment vertical="center"/>
    </xf>
    <xf numFmtId="220" fontId="0" fillId="0" borderId="0"/>
    <xf numFmtId="220" fontId="0" fillId="0" borderId="0"/>
    <xf numFmtId="220" fontId="0" fillId="0" borderId="0"/>
    <xf numFmtId="220" fontId="161" fillId="99"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148" fillId="116"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90"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0"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99" borderId="0" applyNumberFormat="0" applyBorder="0" applyAlignment="0" applyProtection="0">
      <alignment vertical="center"/>
    </xf>
    <xf numFmtId="220" fontId="161" fillId="99" borderId="0" applyNumberFormat="0" applyBorder="0" applyAlignment="0" applyProtection="0">
      <alignment vertical="center"/>
    </xf>
    <xf numFmtId="220" fontId="5" fillId="0" borderId="0"/>
    <xf numFmtId="220" fontId="161" fillId="99"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99" borderId="0" applyNumberFormat="0" applyBorder="0" applyAlignment="0" applyProtection="0">
      <alignment vertical="center"/>
    </xf>
    <xf numFmtId="220" fontId="161" fillId="99" borderId="0" applyNumberFormat="0" applyBorder="0" applyAlignment="0" applyProtection="0">
      <alignment vertical="center"/>
    </xf>
    <xf numFmtId="220" fontId="5" fillId="0" borderId="0"/>
    <xf numFmtId="220" fontId="161" fillId="99"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99" borderId="0" applyNumberFormat="0" applyBorder="0" applyAlignment="0" applyProtection="0">
      <alignment vertical="center"/>
    </xf>
    <xf numFmtId="220" fontId="161" fillId="99" borderId="0" applyNumberFormat="0" applyBorder="0" applyAlignment="0" applyProtection="0">
      <alignment vertical="center"/>
    </xf>
    <xf numFmtId="220" fontId="5" fillId="0" borderId="0"/>
    <xf numFmtId="220" fontId="161" fillId="99" borderId="0" applyNumberFormat="0" applyBorder="0" applyAlignment="0" applyProtection="0">
      <alignment vertical="center"/>
    </xf>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161" fillId="99" borderId="0" applyNumberFormat="0" applyBorder="0" applyAlignment="0" applyProtection="0">
      <alignment vertical="center"/>
    </xf>
    <xf numFmtId="220" fontId="161" fillId="99"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161" fillId="116" borderId="0" applyNumberFormat="0" applyBorder="0" applyAlignment="0" applyProtection="0">
      <alignment vertical="center"/>
    </xf>
    <xf numFmtId="220" fontId="161" fillId="116" borderId="0" applyNumberFormat="0" applyBorder="0" applyAlignment="0" applyProtection="0">
      <alignment vertical="center"/>
    </xf>
    <xf numFmtId="220" fontId="5" fillId="0" borderId="0"/>
    <xf numFmtId="220" fontId="0" fillId="0" borderId="0"/>
    <xf numFmtId="220" fontId="148" fillId="91" borderId="0" applyNumberFormat="0" applyBorder="0" applyAlignment="0" applyProtection="0">
      <alignment vertical="center"/>
    </xf>
    <xf numFmtId="220" fontId="148" fillId="91" borderId="0" applyNumberFormat="0" applyBorder="0" applyAlignment="0" applyProtection="0">
      <alignment vertical="center"/>
    </xf>
    <xf numFmtId="220" fontId="148" fillId="91" borderId="0" applyNumberFormat="0" applyBorder="0" applyAlignment="0" applyProtection="0">
      <alignment vertical="center"/>
    </xf>
    <xf numFmtId="220" fontId="0" fillId="0" borderId="0"/>
    <xf numFmtId="220" fontId="148" fillId="54" borderId="0" applyNumberFormat="0" applyBorder="0" applyAlignment="0" applyProtection="0">
      <alignment vertical="center"/>
    </xf>
    <xf numFmtId="220" fontId="148" fillId="54" borderId="0" applyNumberFormat="0" applyBorder="0" applyAlignment="0" applyProtection="0">
      <alignment vertical="center"/>
    </xf>
    <xf numFmtId="220" fontId="0" fillId="0" borderId="0"/>
    <xf numFmtId="220" fontId="0" fillId="0" borderId="0"/>
    <xf numFmtId="220" fontId="161" fillId="98"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148" fillId="54"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91"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161" fillId="98"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95" borderId="0" applyNumberFormat="0" applyBorder="0" applyAlignment="0" applyProtection="0">
      <alignment vertical="center"/>
    </xf>
    <xf numFmtId="220" fontId="161" fillId="95" borderId="0" applyNumberFormat="0" applyBorder="0" applyAlignment="0" applyProtection="0">
      <alignment vertical="center"/>
    </xf>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5" fillId="0" borderId="0"/>
    <xf numFmtId="220" fontId="161" fillId="98" borderId="0" applyNumberFormat="0" applyBorder="0" applyAlignment="0" applyProtection="0">
      <alignment vertical="center"/>
    </xf>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161" fillId="98" borderId="0" applyNumberFormat="0" applyBorder="0" applyAlignment="0" applyProtection="0">
      <alignment vertical="center"/>
    </xf>
    <xf numFmtId="220" fontId="161" fillId="98"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161" fillId="54" borderId="0" applyNumberFormat="0" applyBorder="0" applyAlignment="0" applyProtection="0">
      <alignment vertical="center"/>
    </xf>
    <xf numFmtId="220" fontId="161" fillId="54" borderId="0" applyNumberFormat="0" applyBorder="0" applyAlignment="0" applyProtection="0">
      <alignment vertical="center"/>
    </xf>
    <xf numFmtId="220" fontId="5" fillId="0" borderId="0"/>
    <xf numFmtId="220" fontId="0" fillId="0" borderId="0"/>
    <xf numFmtId="220" fontId="148" fillId="71" borderId="0" applyNumberFormat="0" applyBorder="0" applyAlignment="0" applyProtection="0">
      <alignment vertical="center"/>
    </xf>
    <xf numFmtId="220" fontId="148" fillId="71" borderId="0" applyNumberFormat="0" applyBorder="0" applyAlignment="0" applyProtection="0">
      <alignment vertical="center"/>
    </xf>
    <xf numFmtId="220" fontId="148" fillId="71" borderId="0" applyNumberFormat="0" applyBorder="0" applyAlignment="0" applyProtection="0">
      <alignment vertical="center"/>
    </xf>
    <xf numFmtId="220" fontId="0" fillId="0" borderId="0"/>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0" fillId="0" borderId="0"/>
    <xf numFmtId="220" fontId="0" fillId="0" borderId="0"/>
    <xf numFmtId="220" fontId="5" fillId="0" borderId="0"/>
    <xf numFmtId="220" fontId="5" fillId="0" borderId="0"/>
    <xf numFmtId="220" fontId="5" fillId="0" borderId="0"/>
    <xf numFmtId="220" fontId="5" fillId="0" borderId="0"/>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148" fillId="31" borderId="0" applyNumberFormat="0" applyBorder="0" applyAlignment="0" applyProtection="0">
      <alignment vertical="center"/>
    </xf>
    <xf numFmtId="220" fontId="5"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71"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161" fillId="64" borderId="0" applyNumberFormat="0" applyBorder="0" applyAlignment="0" applyProtection="0">
      <alignment vertical="center"/>
    </xf>
    <xf numFmtId="220" fontId="0" fillId="0" borderId="0"/>
    <xf numFmtId="220" fontId="5" fillId="0" borderId="0"/>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64" borderId="0" applyNumberFormat="0" applyBorder="0" applyAlignment="0" applyProtection="0">
      <alignment vertical="center"/>
    </xf>
    <xf numFmtId="220" fontId="161" fillId="64"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161" fillId="31" borderId="0" applyNumberFormat="0" applyBorder="0" applyAlignment="0" applyProtection="0">
      <alignment vertical="center"/>
    </xf>
    <xf numFmtId="220" fontId="5" fillId="0" borderId="0"/>
    <xf numFmtId="220" fontId="0" fillId="0" borderId="0"/>
    <xf numFmtId="220" fontId="148" fillId="69" borderId="0" applyNumberFormat="0" applyBorder="0" applyAlignment="0" applyProtection="0">
      <alignment vertical="center"/>
    </xf>
    <xf numFmtId="220" fontId="148" fillId="69" borderId="0" applyNumberFormat="0" applyBorder="0" applyAlignment="0" applyProtection="0">
      <alignment vertical="center"/>
    </xf>
    <xf numFmtId="220" fontId="148" fillId="69" borderId="0" applyNumberFormat="0" applyBorder="0" applyAlignment="0" applyProtection="0">
      <alignment vertical="center"/>
    </xf>
    <xf numFmtId="220" fontId="0" fillId="0" borderId="0"/>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0" fillId="0" borderId="0"/>
    <xf numFmtId="220" fontId="161" fillId="112" borderId="0" applyNumberFormat="0" applyBorder="0" applyAlignment="0" applyProtection="0">
      <alignment vertical="center"/>
    </xf>
    <xf numFmtId="220" fontId="0" fillId="0" borderId="0"/>
    <xf numFmtId="220" fontId="5" fillId="0" borderId="0"/>
    <xf numFmtId="220" fontId="5" fillId="0" borderId="0"/>
    <xf numFmtId="220" fontId="5" fillId="0" borderId="0"/>
    <xf numFmtId="220" fontId="5" fillId="0" borderId="0"/>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148" fillId="80"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48" fillId="69" borderId="0" applyNumberFormat="0" applyBorder="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161" fillId="112" borderId="0" applyNumberFormat="0" applyBorder="0" applyAlignment="0" applyProtection="0">
      <alignment vertical="center"/>
    </xf>
    <xf numFmtId="220" fontId="0" fillId="0" borderId="0"/>
    <xf numFmtId="220" fontId="5" fillId="0" borderId="0"/>
    <xf numFmtId="220" fontId="0" fillId="0" borderId="0"/>
    <xf numFmtId="220" fontId="0" fillId="0" borderId="0"/>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5" fillId="0" borderId="0"/>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5" fillId="0" borderId="0"/>
    <xf numFmtId="220" fontId="161" fillId="112" borderId="0" applyNumberFormat="0" applyBorder="0" applyAlignment="0" applyProtection="0">
      <alignment vertical="center"/>
    </xf>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5" fillId="0" borderId="0"/>
    <xf numFmtId="220" fontId="161" fillId="112" borderId="0" applyNumberFormat="0" applyBorder="0" applyAlignment="0" applyProtection="0">
      <alignment vertical="center"/>
    </xf>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20" fontId="161" fillId="112" borderId="0" applyNumberFormat="0" applyBorder="0" applyAlignment="0" applyProtection="0">
      <alignment vertical="center"/>
    </xf>
    <xf numFmtId="220" fontId="161" fillId="112" borderId="0" applyNumberFormat="0" applyBorder="0" applyAlignment="0" applyProtection="0">
      <alignment vertical="center"/>
    </xf>
    <xf numFmtId="220" fontId="5" fillId="0" borderId="0"/>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20" fontId="5" fillId="0" borderId="0"/>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20" fontId="5" fillId="0" borderId="0"/>
    <xf numFmtId="220" fontId="161" fillId="80" borderId="0" applyNumberFormat="0" applyBorder="0" applyAlignment="0" applyProtection="0">
      <alignment vertical="center"/>
    </xf>
    <xf numFmtId="220" fontId="161" fillId="80" borderId="0" applyNumberFormat="0" applyBorder="0" applyAlignment="0" applyProtection="0">
      <alignment vertical="center"/>
    </xf>
    <xf numFmtId="278" fontId="145" fillId="0" borderId="7" applyFill="0" applyProtection="0">
      <alignment horizontal="right"/>
    </xf>
    <xf numFmtId="220" fontId="0" fillId="0" borderId="0"/>
    <xf numFmtId="220" fontId="5" fillId="0" borderId="0"/>
    <xf numFmtId="220" fontId="145" fillId="0" borderId="20" applyNumberFormat="0" applyFill="0" applyProtection="0">
      <alignment horizontal="left"/>
    </xf>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360" fillId="64" borderId="0" applyNumberFormat="0" applyBorder="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247" fillId="84" borderId="0" applyNumberFormat="0" applyBorder="0" applyAlignment="0" applyProtection="0">
      <alignment vertical="center"/>
    </xf>
    <xf numFmtId="220" fontId="5" fillId="0" borderId="0"/>
    <xf numFmtId="220" fontId="0" fillId="0" borderId="0"/>
    <xf numFmtId="220" fontId="0" fillId="0" borderId="0"/>
    <xf numFmtId="220" fontId="352" fillId="31" borderId="0" applyNumberFormat="0" applyBorder="0" applyAlignment="0" applyProtection="0">
      <alignment vertical="center"/>
    </xf>
    <xf numFmtId="220" fontId="5" fillId="0" borderId="0"/>
    <xf numFmtId="220" fontId="352" fillId="31" borderId="0" applyNumberFormat="0" applyBorder="0" applyAlignment="0" applyProtection="0">
      <alignment vertical="center"/>
    </xf>
    <xf numFmtId="220" fontId="5" fillId="0" borderId="0"/>
    <xf numFmtId="220" fontId="352" fillId="31" borderId="0" applyNumberFormat="0" applyBorder="0" applyAlignment="0" applyProtection="0">
      <alignment vertical="center"/>
    </xf>
    <xf numFmtId="220" fontId="5" fillId="0" borderId="0"/>
    <xf numFmtId="220" fontId="352" fillId="31" borderId="0" applyNumberFormat="0" applyBorder="0" applyAlignment="0" applyProtection="0">
      <alignment vertical="center"/>
    </xf>
    <xf numFmtId="220" fontId="5" fillId="0" borderId="0"/>
    <xf numFmtId="220" fontId="5" fillId="0" borderId="0"/>
    <xf numFmtId="220" fontId="5" fillId="0" borderId="0"/>
    <xf numFmtId="220" fontId="5" fillId="0" borderId="0"/>
    <xf numFmtId="220" fontId="346" fillId="78" borderId="120" applyNumberFormat="0" applyAlignment="0" applyProtection="0">
      <alignment vertical="center"/>
    </xf>
    <xf numFmtId="220" fontId="346" fillId="78" borderId="120" applyNumberFormat="0" applyAlignment="0" applyProtection="0">
      <alignment vertical="center"/>
    </xf>
    <xf numFmtId="220" fontId="346" fillId="78" borderId="120" applyNumberFormat="0" applyAlignment="0" applyProtection="0">
      <alignment vertical="center"/>
    </xf>
    <xf numFmtId="220" fontId="355" fillId="125" borderId="63" applyNumberFormat="0" applyAlignment="0" applyProtection="0">
      <alignment vertical="center"/>
    </xf>
    <xf numFmtId="220" fontId="355" fillId="125" borderId="63"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355" fillId="125" borderId="63" applyNumberFormat="0" applyAlignment="0" applyProtection="0">
      <alignment vertical="center"/>
    </xf>
    <xf numFmtId="220" fontId="355" fillId="125" borderId="63" applyNumberFormat="0" applyAlignment="0" applyProtection="0">
      <alignment vertical="center"/>
    </xf>
    <xf numFmtId="220" fontId="355" fillId="125" borderId="63" applyNumberFormat="0" applyAlignment="0" applyProtection="0">
      <alignment vertical="center"/>
    </xf>
    <xf numFmtId="220" fontId="355" fillId="125" borderId="63" applyNumberFormat="0" applyAlignment="0" applyProtection="0">
      <alignment vertical="center"/>
    </xf>
    <xf numFmtId="220" fontId="5"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6" fillId="78" borderId="120" applyNumberFormat="0" applyAlignment="0" applyProtection="0">
      <alignment vertical="center"/>
    </xf>
    <xf numFmtId="220" fontId="5" fillId="0" borderId="0"/>
    <xf numFmtId="220" fontId="0" fillId="0" borderId="0"/>
    <xf numFmtId="220" fontId="0" fillId="0" borderId="0"/>
    <xf numFmtId="220" fontId="330" fillId="100" borderId="139" applyNumberForma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0" fillId="0" borderId="0"/>
    <xf numFmtId="220" fontId="330" fillId="100" borderId="139" applyNumberFormat="0" applyAlignment="0" applyProtection="0">
      <alignment vertical="center"/>
    </xf>
    <xf numFmtId="220" fontId="5" fillId="0" borderId="0"/>
    <xf numFmtId="220" fontId="330" fillId="100" borderId="139" applyNumberFormat="0" applyAlignment="0" applyProtection="0">
      <alignment vertical="center"/>
    </xf>
    <xf numFmtId="220" fontId="5" fillId="0" borderId="0"/>
    <xf numFmtId="220" fontId="330" fillId="100" borderId="139" applyNumberFormat="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0" fillId="0" borderId="0"/>
    <xf numFmtId="220" fontId="0" fillId="0" borderId="0"/>
    <xf numFmtId="220" fontId="354" fillId="48" borderId="145" applyNumberFormat="0" applyAlignment="0" applyProtection="0">
      <alignment vertical="center"/>
    </xf>
    <xf numFmtId="220" fontId="354" fillId="48" borderId="145"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354" fillId="48" borderId="145" applyNumberFormat="0" applyAlignment="0" applyProtection="0">
      <alignment vertical="center"/>
    </xf>
    <xf numFmtId="220" fontId="354" fillId="48" borderId="145" applyNumberFormat="0" applyAlignment="0" applyProtection="0">
      <alignment vertical="center"/>
    </xf>
    <xf numFmtId="220" fontId="354" fillId="48" borderId="145" applyNumberFormat="0" applyAlignment="0" applyProtection="0">
      <alignment vertical="center"/>
    </xf>
    <xf numFmtId="220" fontId="354" fillId="48" borderId="145" applyNumberFormat="0" applyAlignment="0" applyProtection="0">
      <alignment vertical="center"/>
    </xf>
    <xf numFmtId="220" fontId="354" fillId="48" borderId="145" applyNumberFormat="0" applyAlignment="0" applyProtection="0">
      <alignment vertical="center"/>
    </xf>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348" fillId="58" borderId="116" applyNumberFormat="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361" fillId="80" borderId="132" applyNumberForma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348" fillId="58" borderId="116" applyNumberFormat="0" applyAlignment="0" applyProtection="0">
      <alignment vertical="center"/>
    </xf>
    <xf numFmtId="220" fontId="5" fillId="0" borderId="0"/>
    <xf numFmtId="220" fontId="0" fillId="0" borderId="0"/>
    <xf numFmtId="220" fontId="0" fillId="0" borderId="0"/>
    <xf numFmtId="220" fontId="0" fillId="0" borderId="0"/>
    <xf numFmtId="220" fontId="361" fillId="80" borderId="132" applyNumberFormat="0" applyAlignment="0" applyProtection="0">
      <alignment vertical="center"/>
    </xf>
    <xf numFmtId="220" fontId="361" fillId="80" borderId="132" applyNumberFormat="0" applyAlignment="0" applyProtection="0">
      <alignment vertical="center"/>
    </xf>
    <xf numFmtId="220" fontId="5" fillId="0" borderId="0"/>
    <xf numFmtId="220" fontId="361" fillId="80" borderId="132" applyNumberFormat="0" applyAlignment="0" applyProtection="0">
      <alignment vertical="center"/>
    </xf>
    <xf numFmtId="220" fontId="5" fillId="0" borderId="0"/>
    <xf numFmtId="220" fontId="361" fillId="80" borderId="132" applyNumberFormat="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 fontId="145" fillId="0" borderId="7" applyFill="0" applyProtection="0">
      <alignment horizontal="center"/>
    </xf>
    <xf numFmtId="220" fontId="0" fillId="0" borderId="0"/>
    <xf numFmtId="220" fontId="333" fillId="0" borderId="0" applyNumberFormat="0" applyFill="0" applyBorder="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0" fillId="0" borderId="0"/>
    <xf numFmtId="220" fontId="350" fillId="0" borderId="0"/>
    <xf numFmtId="220" fontId="239" fillId="51" borderId="1">
      <alignment horizontal="center" vertical="center"/>
    </xf>
    <xf numFmtId="41" fontId="90" fillId="0" borderId="0" applyFont="0" applyFill="0" applyBorder="0" applyAlignment="0" applyProtection="0"/>
    <xf numFmtId="43" fontId="90" fillId="0" borderId="0" applyFont="0" applyFill="0" applyBorder="0" applyAlignment="0" applyProtection="0"/>
    <xf numFmtId="232" fontId="169" fillId="0" borderId="0" applyFont="0" applyFill="0" applyBorder="0" applyAlignment="0" applyProtection="0"/>
    <xf numFmtId="195" fontId="169" fillId="0" borderId="0" applyFont="0" applyFill="0" applyBorder="0" applyAlignment="0" applyProtection="0"/>
    <xf numFmtId="220" fontId="286" fillId="0" borderId="0">
      <alignment shrinkToFit="1"/>
    </xf>
    <xf numFmtId="202" fontId="145" fillId="0" borderId="0" applyFont="0" applyFill="0" applyBorder="0" applyAlignment="0" applyProtection="0"/>
    <xf numFmtId="275" fontId="181" fillId="0" borderId="0" applyFont="0" applyFill="0" applyBorder="0" applyAlignment="0" applyProtection="0"/>
    <xf numFmtId="220" fontId="351" fillId="0" borderId="0"/>
    <xf numFmtId="220" fontId="5" fillId="0" borderId="0"/>
    <xf numFmtId="220" fontId="5" fillId="0" borderId="0"/>
    <xf numFmtId="220" fontId="5" fillId="0" borderId="0"/>
    <xf numFmtId="220" fontId="5" fillId="0" borderId="0"/>
    <xf numFmtId="220" fontId="5" fillId="0" borderId="0"/>
    <xf numFmtId="220" fontId="352" fillId="31" borderId="0" applyNumberFormat="0" applyBorder="0" applyAlignment="0" applyProtection="0">
      <alignment vertical="center"/>
    </xf>
    <xf numFmtId="220" fontId="5" fillId="0" borderId="0"/>
    <xf numFmtId="220" fontId="90" fillId="0" borderId="0"/>
    <xf numFmtId="220" fontId="145" fillId="0" borderId="0"/>
    <xf numFmtId="220" fontId="145" fillId="0" borderId="0"/>
    <xf numFmtId="220" fontId="145" fillId="0" borderId="0"/>
    <xf numFmtId="220" fontId="90" fillId="0" borderId="0"/>
    <xf numFmtId="220" fontId="90" fillId="0" borderId="0"/>
    <xf numFmtId="220" fontId="90" fillId="0" borderId="0"/>
    <xf numFmtId="220" fontId="5" fillId="0" borderId="0"/>
    <xf numFmtId="220" fontId="5" fillId="0" borderId="0"/>
    <xf numFmtId="220" fontId="90" fillId="0" borderId="0"/>
    <xf numFmtId="220" fontId="0" fillId="0" borderId="0"/>
    <xf numFmtId="220" fontId="90" fillId="0" borderId="0"/>
    <xf numFmtId="220" fontId="90" fillId="0" borderId="0"/>
    <xf numFmtId="220" fontId="90" fillId="0" borderId="0"/>
    <xf numFmtId="220" fontId="90" fillId="0" borderId="0"/>
    <xf numFmtId="220" fontId="90" fillId="0" borderId="0"/>
    <xf numFmtId="220" fontId="5" fillId="0" borderId="0"/>
    <xf numFmtId="220" fontId="90" fillId="0" borderId="0"/>
    <xf numFmtId="220" fontId="90" fillId="0" borderId="0"/>
    <xf numFmtId="220" fontId="90" fillId="0" borderId="0"/>
    <xf numFmtId="220" fontId="0" fillId="0" borderId="0"/>
    <xf numFmtId="220" fontId="90" fillId="0" borderId="0"/>
    <xf numFmtId="220" fontId="90" fillId="0" borderId="0"/>
    <xf numFmtId="220" fontId="0" fillId="0" borderId="0"/>
    <xf numFmtId="220" fontId="145" fillId="0" borderId="0"/>
    <xf numFmtId="220" fontId="90" fillId="0" borderId="0"/>
    <xf numFmtId="220" fontId="0" fillId="0" borderId="0"/>
    <xf numFmtId="220" fontId="145" fillId="0" borderId="0"/>
    <xf numFmtId="220" fontId="90" fillId="0" borderId="0"/>
    <xf numFmtId="220" fontId="0" fillId="0" borderId="0"/>
    <xf numFmtId="220" fontId="0" fillId="0" borderId="0"/>
    <xf numFmtId="220" fontId="90" fillId="0" borderId="0"/>
    <xf numFmtId="220" fontId="90" fillId="0" borderId="0"/>
    <xf numFmtId="220" fontId="145" fillId="0" borderId="0"/>
    <xf numFmtId="220" fontId="338" fillId="0" borderId="0">
      <alignment vertical="center"/>
    </xf>
    <xf numFmtId="220" fontId="5" fillId="0" borderId="0"/>
    <xf numFmtId="220" fontId="5" fillId="0" borderId="0"/>
    <xf numFmtId="220" fontId="5" fillId="0" borderId="0"/>
    <xf numFmtId="220" fontId="158" fillId="0" borderId="0">
      <alignment vertical="center"/>
    </xf>
    <xf numFmtId="220" fontId="5" fillId="0" borderId="0"/>
    <xf numFmtId="197" fontId="169" fillId="0" borderId="0" applyFont="0" applyFill="0" applyBorder="0" applyAlignment="0" applyProtection="0"/>
    <xf numFmtId="274" fontId="181" fillId="0" borderId="0" applyFont="0" applyFill="0" applyBorder="0" applyAlignment="0" applyProtection="0"/>
    <xf numFmtId="238" fontId="169" fillId="0" borderId="0" applyFont="0" applyFill="0" applyBorder="0" applyAlignment="0" applyProtection="0"/>
    <xf numFmtId="274" fontId="181" fillId="0" borderId="0" applyFont="0" applyFill="0" applyBorder="0" applyAlignment="0" applyProtection="0"/>
    <xf numFmtId="220" fontId="5" fillId="0" borderId="0"/>
    <xf numFmtId="220" fontId="5" fillId="0" borderId="0"/>
    <xf numFmtId="220" fontId="5" fillId="0" borderId="0"/>
    <xf numFmtId="40" fontId="154" fillId="0" borderId="0" applyFont="0" applyFill="0" applyBorder="0" applyAlignment="0" applyProtection="0"/>
    <xf numFmtId="38" fontId="154" fillId="0" borderId="0" applyFont="0" applyFill="0" applyBorder="0" applyAlignment="0" applyProtection="0"/>
    <xf numFmtId="220" fontId="5" fillId="0" borderId="0"/>
    <xf numFmtId="220" fontId="5" fillId="0" borderId="0"/>
    <xf numFmtId="220" fontId="5" fillId="0" borderId="0"/>
    <xf numFmtId="220" fontId="139" fillId="65" borderId="117" applyNumberFormat="0" applyFont="0" applyAlignment="0" applyProtection="0">
      <alignment vertical="center"/>
    </xf>
    <xf numFmtId="220" fontId="0" fillId="0" borderId="0"/>
    <xf numFmtId="220" fontId="139" fillId="65" borderId="117" applyNumberFormat="0" applyFont="0" applyAlignment="0" applyProtection="0">
      <alignment vertical="center"/>
    </xf>
    <xf numFmtId="220" fontId="139" fillId="65" borderId="117" applyNumberFormat="0" applyFont="0" applyAlignment="0" applyProtection="0">
      <alignment vertical="center"/>
    </xf>
    <xf numFmtId="220" fontId="139" fillId="65" borderId="117" applyNumberFormat="0" applyFont="0" applyAlignment="0" applyProtection="0">
      <alignment vertical="center"/>
    </xf>
    <xf numFmtId="220" fontId="0" fillId="0" borderId="0"/>
    <xf numFmtId="220" fontId="152" fillId="64" borderId="130" applyNumberFormat="0" applyFont="0" applyAlignment="0" applyProtection="0">
      <alignment vertical="center"/>
    </xf>
    <xf numFmtId="220" fontId="152" fillId="64" borderId="130" applyNumberFormat="0" applyFon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0" fillId="0" borderId="0"/>
    <xf numFmtId="220" fontId="152" fillId="64" borderId="130" applyNumberFormat="0" applyFont="0" applyAlignment="0" applyProtection="0">
      <alignment vertical="center"/>
    </xf>
    <xf numFmtId="220" fontId="152" fillId="64" borderId="130" applyNumberFormat="0" applyFont="0" applyAlignment="0" applyProtection="0">
      <alignment vertical="center"/>
    </xf>
    <xf numFmtId="220" fontId="152" fillId="64" borderId="130" applyNumberFormat="0" applyFont="0" applyAlignment="0" applyProtection="0">
      <alignment vertical="center"/>
    </xf>
    <xf numFmtId="220" fontId="152" fillId="64" borderId="130" applyNumberFormat="0" applyFont="0" applyAlignment="0" applyProtection="0">
      <alignment vertical="center"/>
    </xf>
    <xf numFmtId="220" fontId="152" fillId="64" borderId="130" applyNumberFormat="0" applyFont="0" applyAlignment="0" applyProtection="0">
      <alignment vertical="center"/>
    </xf>
    <xf numFmtId="220" fontId="5" fillId="0" borderId="0"/>
    <xf numFmtId="220" fontId="0" fillId="0" borderId="0"/>
    <xf numFmtId="220" fontId="0" fillId="0" borderId="0"/>
    <xf numFmtId="220" fontId="0" fillId="0" borderId="0"/>
    <xf numFmtId="220" fontId="0"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152" fillId="65" borderId="117" applyNumberFormat="0" applyFont="0" applyAlignment="0" applyProtection="0">
      <alignment vertical="center"/>
    </xf>
    <xf numFmtId="220" fontId="5" fillId="0" borderId="0"/>
    <xf numFmtId="220" fontId="0" fillId="0" borderId="0"/>
    <xf numFmtId="220" fontId="0" fillId="0" borderId="0"/>
    <xf numFmtId="220" fontId="5" fillId="0" borderId="0"/>
    <xf numFmtId="220" fontId="5" fillId="0" borderId="0"/>
    <xf numFmtId="220" fontId="5" fillId="0" borderId="0"/>
    <xf numFmtId="220" fontId="0" fillId="41" borderId="138" applyNumberFormat="0" applyFont="0" applyAlignment="0" applyProtection="0">
      <alignment vertical="center"/>
    </xf>
    <xf numFmtId="220" fontId="0" fillId="0" borderId="0"/>
    <xf numFmtId="220" fontId="0" fillId="0" borderId="0"/>
    <xf numFmtId="220" fontId="0" fillId="0" borderId="0"/>
    <xf numFmtId="220" fontId="0" fillId="0" borderId="0"/>
    <xf numFmtId="220" fontId="0" fillId="0" borderId="0"/>
    <xf numFmtId="220" fontId="0" fillId="0" borderId="0"/>
    <xf numFmtId="220" fontId="0" fillId="0" borderId="0"/>
    <xf numFmtId="220" fontId="5" fillId="0" borderId="0"/>
    <xf numFmtId="220" fontId="0" fillId="0" borderId="0"/>
    <xf numFmtId="220" fontId="0" fillId="0" borderId="0"/>
    <xf numFmtId="220" fontId="5" fillId="64" borderId="130" applyNumberFormat="0" applyFont="0" applyAlignment="0" applyProtection="0">
      <alignment vertical="center"/>
    </xf>
    <xf numFmtId="220" fontId="5" fillId="64" borderId="130" applyNumberFormat="0" applyFont="0" applyAlignment="0" applyProtection="0">
      <alignment vertical="center"/>
    </xf>
    <xf numFmtId="220" fontId="152" fillId="41" borderId="138" applyNumberFormat="0" applyFont="0" applyAlignment="0" applyProtection="0">
      <alignment vertical="center"/>
    </xf>
    <xf numFmtId="220" fontId="0" fillId="41" borderId="138" applyNumberFormat="0" applyFont="0" applyAlignment="0" applyProtection="0">
      <alignment vertical="center"/>
    </xf>
    <xf numFmtId="220" fontId="5" fillId="0" borderId="0"/>
    <xf numFmtId="220" fontId="152" fillId="41" borderId="138" applyNumberFormat="0" applyFont="0" applyAlignment="0" applyProtection="0">
      <alignment vertical="center"/>
    </xf>
    <xf numFmtId="220" fontId="0" fillId="41" borderId="138" applyNumberFormat="0" applyFont="0" applyAlignment="0" applyProtection="0">
      <alignment vertical="center"/>
    </xf>
    <xf numFmtId="220" fontId="0" fillId="41" borderId="138" applyNumberFormat="0" applyFont="0" applyAlignment="0" applyProtection="0">
      <alignment vertical="center"/>
    </xf>
    <xf numFmtId="220" fontId="0" fillId="41" borderId="138" applyNumberFormat="0" applyFont="0" applyAlignment="0" applyProtection="0">
      <alignment vertical="center"/>
    </xf>
    <xf numFmtId="220" fontId="0" fillId="41" borderId="138" applyNumberFormat="0" applyFont="0" applyAlignment="0" applyProtection="0">
      <alignment vertical="center"/>
    </xf>
    <xf numFmtId="220" fontId="152" fillId="41" borderId="138" applyNumberFormat="0" applyFont="0" applyAlignment="0" applyProtection="0">
      <alignment vertical="center"/>
    </xf>
    <xf numFmtId="220" fontId="5" fillId="64" borderId="130" applyNumberFormat="0" applyFont="0" applyAlignment="0" applyProtection="0">
      <alignment vertical="center"/>
    </xf>
    <xf numFmtId="220" fontId="5" fillId="64" borderId="130" applyNumberFormat="0" applyFont="0" applyAlignment="0" applyProtection="0">
      <alignment vertical="center"/>
    </xf>
    <xf numFmtId="220" fontId="0" fillId="41" borderId="138" applyNumberFormat="0" applyFont="0" applyAlignment="0" applyProtection="0">
      <alignment vertical="center"/>
    </xf>
    <xf numFmtId="220" fontId="0" fillId="41" borderId="138" applyNumberFormat="0" applyFont="0" applyAlignment="0" applyProtection="0">
      <alignment vertical="center"/>
    </xf>
    <xf numFmtId="220" fontId="152" fillId="41" borderId="138" applyNumberFormat="0" applyFont="0" applyAlignment="0" applyProtection="0">
      <alignment vertical="center"/>
    </xf>
    <xf numFmtId="220" fontId="0" fillId="41" borderId="138" applyNumberFormat="0" applyFont="0" applyAlignment="0" applyProtection="0">
      <alignment vertical="center"/>
    </xf>
    <xf numFmtId="220" fontId="0" fillId="41" borderId="138" applyNumberFormat="0" applyFont="0" applyAlignment="0" applyProtection="0">
      <alignment vertical="center"/>
    </xf>
    <xf numFmtId="220" fontId="5" fillId="0" borderId="0"/>
    <xf numFmtId="220" fontId="5" fillId="64" borderId="130" applyNumberFormat="0" applyFont="0" applyAlignment="0" applyProtection="0">
      <alignment vertical="center"/>
    </xf>
    <xf numFmtId="220" fontId="5" fillId="64" borderId="130" applyNumberFormat="0" applyFont="0" applyAlignment="0" applyProtection="0">
      <alignment vertical="center"/>
    </xf>
    <xf numFmtId="220" fontId="5" fillId="0" borderId="0"/>
    <xf numFmtId="220" fontId="5" fillId="64" borderId="130" applyNumberFormat="0" applyFont="0" applyAlignment="0" applyProtection="0">
      <alignment vertical="center"/>
    </xf>
    <xf numFmtId="220" fontId="5" fillId="64" borderId="130" applyNumberFormat="0" applyFont="0" applyAlignment="0" applyProtection="0">
      <alignment vertical="center"/>
    </xf>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195" fontId="145" fillId="0" borderId="1" applyNumberFormat="0"/>
    <xf numFmtId="195" fontId="145" fillId="0" borderId="1" applyNumberFormat="0"/>
    <xf numFmtId="220" fontId="0" fillId="0" borderId="0"/>
    <xf numFmtId="195" fontId="145" fillId="0" borderId="1" applyNumberFormat="0"/>
    <xf numFmtId="220" fontId="145" fillId="0" borderId="1" applyNumberFormat="0">
      <alignment vertical="center"/>
    </xf>
    <xf numFmtId="220" fontId="145" fillId="0" borderId="1" applyNumberFormat="0">
      <alignment vertical="center"/>
    </xf>
    <xf numFmtId="220" fontId="145" fillId="0" borderId="1" applyNumberFormat="0">
      <alignment vertical="center"/>
    </xf>
    <xf numFmtId="220" fontId="145" fillId="0" borderId="1" applyNumberFormat="0">
      <alignment vertical="center"/>
    </xf>
    <xf numFmtId="195" fontId="145" fillId="0" borderId="1" applyNumberFormat="0"/>
    <xf numFmtId="220" fontId="145" fillId="0" borderId="1" applyNumberFormat="0">
      <alignment vertical="center"/>
    </xf>
    <xf numFmtId="220" fontId="145" fillId="0" borderId="1" applyNumberFormat="0">
      <alignment vertical="center"/>
    </xf>
    <xf numFmtId="220" fontId="145" fillId="0" borderId="1" applyNumberFormat="0">
      <alignment vertical="center"/>
    </xf>
    <xf numFmtId="220" fontId="145" fillId="0" borderId="1" applyNumberFormat="0">
      <alignment vertical="center"/>
    </xf>
    <xf numFmtId="220" fontId="145" fillId="0" borderId="1" applyNumberFormat="0"/>
    <xf numFmtId="195" fontId="145" fillId="0" borderId="1" applyNumberFormat="0"/>
    <xf numFmtId="195" fontId="145" fillId="0" borderId="1" applyNumberFormat="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20" fontId="5" fillId="0" borderId="0"/>
    <xf numFmtId="279" fontId="362" fillId="0" borderId="0" applyFont="0" applyFill="0" applyBorder="0" applyAlignment="0" applyProtection="0"/>
    <xf numFmtId="280" fontId="362" fillId="0" borderId="0" applyFont="0" applyFill="0" applyBorder="0" applyAlignment="0" applyProtection="0"/>
    <xf numFmtId="220" fontId="149" fillId="0" borderId="0"/>
  </cellStyleXfs>
  <cellXfs count="2952">
    <xf numFmtId="220" fontId="0" fillId="0" borderId="0" xfId="0"/>
    <xf numFmtId="220" fontId="1" fillId="2" borderId="1" xfId="23535" applyFont="1" applyFill="1" applyBorder="1" applyAlignment="1" applyProtection="1">
      <alignment horizontal="center" vertical="center"/>
      <protection locked="0"/>
    </xf>
    <xf numFmtId="220" fontId="1" fillId="2" borderId="1" xfId="26231" applyFont="1" applyFill="1" applyBorder="1" applyAlignment="1" applyProtection="1">
      <alignment horizontal="center" vertical="center"/>
      <protection locked="0"/>
    </xf>
    <xf numFmtId="220" fontId="1" fillId="0" borderId="1" xfId="23535" applyFont="1" applyFill="1" applyBorder="1" applyAlignment="1" applyProtection="1">
      <alignment vertical="center"/>
      <protection locked="0"/>
    </xf>
    <xf numFmtId="43" fontId="1" fillId="0" borderId="1" xfId="39" applyFont="1" applyFill="1" applyBorder="1" applyAlignment="1" applyProtection="1">
      <alignment horizontal="center" vertical="top" wrapText="1"/>
      <protection locked="0"/>
    </xf>
    <xf numFmtId="10" fontId="1" fillId="2" borderId="1" xfId="55" applyNumberFormat="1" applyFont="1" applyFill="1" applyBorder="1" applyAlignment="1" applyProtection="1">
      <alignment vertical="center"/>
    </xf>
    <xf numFmtId="220" fontId="1" fillId="0" borderId="1" xfId="26231" applyFont="1" applyFill="1" applyBorder="1" applyAlignment="1" applyProtection="1">
      <alignment vertical="center"/>
      <protection locked="0"/>
    </xf>
    <xf numFmtId="43" fontId="1" fillId="2" borderId="1" xfId="26231" applyNumberFormat="1" applyFont="1" applyFill="1" applyBorder="1" applyAlignment="1" applyProtection="1">
      <alignment vertical="center"/>
    </xf>
    <xf numFmtId="43" fontId="1" fillId="0" borderId="1" xfId="26231" applyNumberFormat="1" applyFont="1" applyFill="1" applyBorder="1" applyAlignment="1" applyProtection="1">
      <alignment vertical="center"/>
      <protection locked="0"/>
    </xf>
    <xf numFmtId="220" fontId="2" fillId="0" borderId="1" xfId="23535" applyFont="1" applyFill="1" applyBorder="1" applyAlignment="1" applyProtection="1">
      <alignment vertical="center"/>
      <protection locked="0"/>
    </xf>
    <xf numFmtId="220" fontId="1" fillId="2" borderId="1" xfId="23535" applyFont="1" applyFill="1" applyBorder="1" applyAlignment="1" applyProtection="1">
      <alignment vertical="center"/>
      <protection locked="0"/>
    </xf>
    <xf numFmtId="220" fontId="2" fillId="0" borderId="0" xfId="0" applyFont="1"/>
    <xf numFmtId="220" fontId="2" fillId="0" borderId="0" xfId="0" applyFont="1" applyAlignment="1">
      <alignment horizontal="center"/>
    </xf>
    <xf numFmtId="220" fontId="2" fillId="0" borderId="0" xfId="0" applyFont="1" applyAlignment="1">
      <alignment horizontal="left"/>
    </xf>
    <xf numFmtId="281" fontId="2" fillId="0" borderId="0" xfId="0" applyNumberFormat="1" applyFont="1"/>
    <xf numFmtId="282" fontId="3" fillId="3" borderId="0" xfId="36193" applyNumberFormat="1" applyFont="1" applyFill="1" applyAlignment="1">
      <alignment horizontal="left"/>
    </xf>
    <xf numFmtId="43" fontId="3" fillId="3" borderId="0" xfId="36193" applyFont="1" applyFill="1" applyAlignment="1"/>
    <xf numFmtId="282" fontId="3" fillId="4" borderId="0" xfId="36193" applyNumberFormat="1" applyFont="1" applyFill="1" applyAlignment="1">
      <alignment horizontal="left"/>
    </xf>
    <xf numFmtId="43" fontId="3" fillId="4" borderId="0" xfId="36193" applyFont="1" applyFill="1" applyAlignment="1"/>
    <xf numFmtId="282" fontId="3" fillId="4" borderId="1" xfId="36193" applyNumberFormat="1" applyFont="1" applyFill="1" applyBorder="1" applyAlignment="1">
      <alignment horizontal="left" vertical="center" wrapText="1"/>
    </xf>
    <xf numFmtId="43" fontId="3" fillId="4" borderId="1" xfId="36193" applyFont="1" applyFill="1" applyBorder="1" applyAlignment="1">
      <alignment horizontal="center" vertical="center" wrapText="1"/>
    </xf>
    <xf numFmtId="43" fontId="3" fillId="4" borderId="1" xfId="36193" applyFont="1" applyFill="1" applyBorder="1" applyAlignment="1">
      <alignment horizontal="center"/>
    </xf>
    <xf numFmtId="43" fontId="4" fillId="4" borderId="1" xfId="36193" applyFont="1" applyFill="1" applyBorder="1" applyAlignment="1">
      <alignment horizontal="center" vertical="center" wrapText="1"/>
    </xf>
    <xf numFmtId="43" fontId="4" fillId="4" borderId="1" xfId="36193" applyFont="1" applyFill="1" applyBorder="1" applyAlignment="1">
      <alignment horizontal="center" shrinkToFit="1"/>
    </xf>
    <xf numFmtId="43" fontId="4" fillId="4" borderId="1" xfId="36193" applyFont="1" applyFill="1" applyBorder="1" applyAlignment="1">
      <alignment horizontal="center" wrapText="1" shrinkToFit="1"/>
    </xf>
    <xf numFmtId="282" fontId="5" fillId="4" borderId="1" xfId="36193" applyNumberFormat="1" applyFont="1" applyFill="1" applyBorder="1" applyAlignment="1">
      <alignment horizontal="left" vertical="center" shrinkToFit="1"/>
    </xf>
    <xf numFmtId="43" fontId="5" fillId="0" borderId="1" xfId="36193" applyFont="1" applyFill="1" applyBorder="1" applyAlignment="1">
      <alignment horizontal="center" vertical="center" shrinkToFit="1"/>
    </xf>
    <xf numFmtId="43" fontId="5" fillId="0" borderId="1" xfId="36193" applyFont="1" applyFill="1" applyBorder="1" applyAlignment="1">
      <alignment horizontal="left" vertical="center" shrinkToFit="1"/>
    </xf>
    <xf numFmtId="43" fontId="5" fillId="4" borderId="1" xfId="36193" applyFont="1" applyFill="1" applyBorder="1" applyAlignment="1">
      <alignment horizontal="right" vertical="center" shrinkToFit="1"/>
    </xf>
    <xf numFmtId="43" fontId="5" fillId="0" borderId="1" xfId="36193" applyFont="1" applyFill="1" applyBorder="1" applyAlignment="1">
      <alignment horizontal="right" vertical="center" shrinkToFit="1"/>
    </xf>
    <xf numFmtId="43" fontId="5" fillId="0" borderId="1" xfId="36193" applyFont="1" applyBorder="1" applyAlignment="1">
      <alignment shrinkToFit="1"/>
    </xf>
    <xf numFmtId="43" fontId="5" fillId="4" borderId="1" xfId="36193" applyFont="1" applyFill="1" applyBorder="1" applyAlignment="1">
      <alignment horizontal="center" vertical="center" shrinkToFit="1"/>
    </xf>
    <xf numFmtId="43" fontId="5" fillId="4" borderId="1" xfId="36193" applyFont="1" applyFill="1" applyBorder="1" applyAlignment="1">
      <alignment shrinkToFit="1"/>
    </xf>
    <xf numFmtId="282" fontId="5" fillId="0" borderId="0" xfId="36193" applyNumberFormat="1" applyFont="1" applyFill="1" applyBorder="1" applyAlignment="1">
      <alignment horizontal="left" vertical="center" shrinkToFit="1"/>
    </xf>
    <xf numFmtId="43" fontId="5" fillId="0" borderId="0" xfId="36193" applyFont="1" applyFill="1" applyBorder="1" applyAlignment="1">
      <alignment horizontal="center" vertical="center" shrinkToFit="1"/>
    </xf>
    <xf numFmtId="43" fontId="5" fillId="0" borderId="0" xfId="36193" applyFont="1" applyBorder="1" applyAlignment="1"/>
    <xf numFmtId="43" fontId="5" fillId="3" borderId="0" xfId="36193" applyFont="1" applyFill="1" applyAlignment="1"/>
    <xf numFmtId="43" fontId="4" fillId="4" borderId="1" xfId="36193" applyFont="1" applyFill="1" applyBorder="1" applyAlignment="1"/>
    <xf numFmtId="43" fontId="4" fillId="4" borderId="1" xfId="36193" applyFont="1" applyFill="1" applyBorder="1" applyAlignment="1">
      <alignment horizontal="center"/>
    </xf>
    <xf numFmtId="43" fontId="6" fillId="4" borderId="0" xfId="36193" applyFont="1" applyFill="1" applyAlignment="1"/>
    <xf numFmtId="43" fontId="5" fillId="4" borderId="1" xfId="36193" applyFont="1" applyFill="1" applyBorder="1" applyAlignment="1"/>
    <xf numFmtId="43" fontId="5" fillId="4" borderId="0" xfId="36193" applyFont="1" applyFill="1" applyAlignment="1"/>
    <xf numFmtId="43" fontId="5" fillId="4" borderId="0" xfId="36193" applyFont="1" applyFill="1" applyAlignment="1">
      <alignment shrinkToFit="1"/>
    </xf>
    <xf numFmtId="282" fontId="5" fillId="4" borderId="1" xfId="36193" applyNumberFormat="1" applyFont="1" applyFill="1" applyBorder="1" applyAlignment="1">
      <alignment horizontal="left" shrinkToFit="1"/>
    </xf>
    <xf numFmtId="43" fontId="3" fillId="4" borderId="1" xfId="36193" applyFont="1" applyFill="1" applyBorder="1" applyAlignment="1">
      <alignment horizontal="center" wrapText="1"/>
    </xf>
    <xf numFmtId="43" fontId="4" fillId="4" borderId="1" xfId="36193" applyFont="1" applyFill="1" applyBorder="1" applyAlignment="1">
      <alignment horizontal="center" wrapText="1"/>
    </xf>
    <xf numFmtId="43" fontId="5" fillId="0" borderId="1" xfId="36193" applyFont="1" applyFill="1" applyBorder="1" applyAlignment="1">
      <alignment vertical="center" shrinkToFit="1"/>
    </xf>
    <xf numFmtId="43" fontId="3" fillId="4" borderId="1" xfId="36193" applyFont="1" applyFill="1" applyBorder="1" applyAlignment="1">
      <alignment horizontal="center" vertical="center"/>
    </xf>
    <xf numFmtId="43" fontId="3" fillId="0" borderId="1" xfId="36193" applyFont="1" applyBorder="1" applyAlignment="1">
      <alignment horizontal="center"/>
    </xf>
    <xf numFmtId="43" fontId="7" fillId="5" borderId="0" xfId="36193" applyFont="1" applyFill="1" applyAlignment="1">
      <alignment horizontal="left" vertical="center"/>
    </xf>
    <xf numFmtId="43" fontId="8" fillId="5" borderId="0" xfId="36193" applyFont="1" applyFill="1" applyAlignment="1">
      <alignment vertical="center"/>
    </xf>
    <xf numFmtId="43" fontId="8" fillId="5" borderId="2" xfId="36193" applyFont="1" applyFill="1" applyBorder="1" applyAlignment="1">
      <alignment vertical="center" wrapText="1"/>
    </xf>
    <xf numFmtId="43" fontId="8" fillId="5" borderId="2" xfId="36193" applyFont="1" applyFill="1" applyBorder="1" applyAlignment="1">
      <alignment horizontal="center" vertical="center" wrapText="1"/>
    </xf>
    <xf numFmtId="43" fontId="8" fillId="5" borderId="0" xfId="36193" applyFont="1" applyFill="1" applyBorder="1" applyAlignment="1">
      <alignment vertical="center" wrapText="1"/>
    </xf>
    <xf numFmtId="43" fontId="8" fillId="5" borderId="0" xfId="36193" applyFont="1" applyFill="1" applyBorder="1" applyAlignment="1">
      <alignment vertical="center"/>
    </xf>
    <xf numFmtId="43" fontId="8" fillId="5" borderId="0" xfId="36193" applyFont="1" applyFill="1" applyBorder="1">
      <alignment vertical="center"/>
    </xf>
    <xf numFmtId="43" fontId="9" fillId="5" borderId="0" xfId="36193" applyFont="1" applyFill="1" applyBorder="1" applyAlignment="1">
      <alignment vertical="center" wrapText="1"/>
    </xf>
    <xf numFmtId="43" fontId="9" fillId="5" borderId="0" xfId="36193" applyFont="1" applyFill="1" applyBorder="1">
      <alignment vertical="center"/>
    </xf>
    <xf numFmtId="43" fontId="10" fillId="5" borderId="0" xfId="36193" applyFont="1" applyFill="1" applyBorder="1" applyAlignment="1">
      <alignment vertical="center" wrapText="1"/>
    </xf>
    <xf numFmtId="43" fontId="9" fillId="5" borderId="0" xfId="36193" applyFont="1" applyFill="1" applyBorder="1" applyAlignment="1">
      <alignment vertical="center"/>
    </xf>
    <xf numFmtId="43" fontId="2" fillId="5" borderId="0" xfId="39" applyFont="1" applyFill="1"/>
    <xf numFmtId="43" fontId="11" fillId="5" borderId="0" xfId="36193" applyFont="1" applyFill="1" applyBorder="1" applyAlignment="1">
      <alignment vertical="center" wrapText="1"/>
    </xf>
    <xf numFmtId="43" fontId="11" fillId="5" borderId="0" xfId="36193" applyFont="1" applyFill="1" applyBorder="1" applyAlignment="1">
      <alignment vertical="center"/>
    </xf>
    <xf numFmtId="43" fontId="8" fillId="6" borderId="3" xfId="36193" applyFont="1" applyFill="1" applyBorder="1" applyAlignment="1">
      <alignment vertical="center" wrapText="1"/>
    </xf>
    <xf numFmtId="43" fontId="8" fillId="6" borderId="4" xfId="36193" applyFont="1" applyFill="1" applyBorder="1" applyAlignment="1">
      <alignment vertical="center" wrapText="1"/>
    </xf>
    <xf numFmtId="43" fontId="8" fillId="6" borderId="5" xfId="36193" applyFont="1" applyFill="1" applyBorder="1" applyAlignment="1">
      <alignment vertical="center" wrapText="1"/>
    </xf>
    <xf numFmtId="43" fontId="8" fillId="6" borderId="6" xfId="36193" applyFont="1" applyFill="1" applyBorder="1" applyAlignment="1">
      <alignment vertical="center" wrapText="1"/>
    </xf>
    <xf numFmtId="43" fontId="8" fillId="6" borderId="2" xfId="36193" applyFont="1" applyFill="1" applyBorder="1" applyAlignment="1">
      <alignment vertical="center" wrapText="1"/>
    </xf>
    <xf numFmtId="43" fontId="8" fillId="6" borderId="7" xfId="36193" applyFont="1" applyFill="1" applyBorder="1" applyAlignment="1">
      <alignment vertical="center" wrapText="1"/>
    </xf>
    <xf numFmtId="220" fontId="12" fillId="0" borderId="0" xfId="0" applyFont="1" applyAlignment="1">
      <alignment horizontal="right"/>
    </xf>
    <xf numFmtId="220" fontId="13" fillId="2" borderId="0" xfId="14678" applyFont="1" applyFill="1" applyAlignment="1" applyProtection="1">
      <alignment vertical="center"/>
      <protection locked="0"/>
    </xf>
    <xf numFmtId="220" fontId="14" fillId="7" borderId="0" xfId="49" applyFont="1" applyFill="1" applyAlignment="1" applyProtection="1">
      <alignment horizontal="center" vertical="center"/>
      <protection locked="0"/>
    </xf>
    <xf numFmtId="220" fontId="0" fillId="2" borderId="0" xfId="0" applyFill="1" applyAlignment="1">
      <alignment vertical="center"/>
    </xf>
    <xf numFmtId="220" fontId="13" fillId="8" borderId="0" xfId="26230" applyFont="1" applyFill="1" applyBorder="1" applyAlignment="1" applyProtection="1">
      <alignment horizontal="left" vertical="center"/>
      <protection locked="0"/>
    </xf>
    <xf numFmtId="220" fontId="15" fillId="2" borderId="1" xfId="0" applyFont="1" applyFill="1" applyBorder="1" applyAlignment="1">
      <alignment horizontal="center" vertical="center" wrapText="1"/>
    </xf>
    <xf numFmtId="220" fontId="15" fillId="2" borderId="1" xfId="0" applyFont="1" applyFill="1" applyBorder="1" applyAlignment="1">
      <alignment horizontal="left" vertical="center" wrapText="1"/>
    </xf>
    <xf numFmtId="220" fontId="16" fillId="2" borderId="1" xfId="0" applyFont="1" applyFill="1" applyBorder="1" applyAlignment="1">
      <alignment horizontal="right" vertical="center" wrapText="1"/>
    </xf>
    <xf numFmtId="281" fontId="16" fillId="9" borderId="1" xfId="0" applyNumberFormat="1" applyFont="1" applyFill="1" applyBorder="1" applyAlignment="1">
      <alignment horizontal="right" vertical="center" wrapText="1"/>
    </xf>
    <xf numFmtId="281" fontId="8" fillId="2" borderId="1" xfId="39" applyNumberFormat="1" applyFont="1" applyFill="1" applyBorder="1" applyAlignment="1" applyProtection="1">
      <alignment vertical="center"/>
    </xf>
    <xf numFmtId="43" fontId="17" fillId="8" borderId="1" xfId="39" applyFont="1" applyFill="1" applyBorder="1" applyAlignment="1" applyProtection="1">
      <alignment horizontal="right" vertical="center" wrapText="1"/>
      <protection locked="0"/>
    </xf>
    <xf numFmtId="43" fontId="8" fillId="2" borderId="1" xfId="39" applyFont="1" applyFill="1" applyBorder="1" applyAlignment="1" applyProtection="1">
      <alignment vertical="center"/>
    </xf>
    <xf numFmtId="220" fontId="18" fillId="2" borderId="1" xfId="0" applyFont="1" applyFill="1" applyBorder="1" applyAlignment="1">
      <alignment horizontal="left" vertical="center" wrapText="1"/>
    </xf>
    <xf numFmtId="43" fontId="16" fillId="8" borderId="1" xfId="39" applyFont="1" applyFill="1" applyBorder="1" applyAlignment="1" applyProtection="1">
      <alignment horizontal="right" vertical="center" wrapText="1"/>
      <protection locked="0"/>
    </xf>
    <xf numFmtId="220" fontId="16" fillId="2" borderId="1" xfId="0" applyFont="1" applyFill="1" applyBorder="1" applyAlignment="1">
      <alignment horizontal="left" vertical="center" wrapText="1"/>
    </xf>
    <xf numFmtId="220" fontId="8" fillId="2" borderId="1" xfId="0" applyFont="1" applyFill="1" applyBorder="1" applyAlignment="1">
      <alignment vertical="center"/>
    </xf>
    <xf numFmtId="43" fontId="16" fillId="8" borderId="1" xfId="39" applyFont="1" applyFill="1" applyBorder="1" applyAlignment="1" applyProtection="1">
      <alignment horizontal="left" vertical="center" wrapText="1"/>
      <protection locked="0"/>
    </xf>
    <xf numFmtId="281" fontId="16" fillId="2" borderId="1" xfId="0" applyNumberFormat="1" applyFont="1" applyFill="1" applyBorder="1" applyAlignment="1">
      <alignment horizontal="right" vertical="center" wrapText="1"/>
    </xf>
    <xf numFmtId="43" fontId="16" fillId="2" borderId="1" xfId="39" applyFont="1" applyFill="1" applyBorder="1" applyAlignment="1">
      <alignment horizontal="right" vertical="center" wrapText="1"/>
    </xf>
    <xf numFmtId="281" fontId="19" fillId="2" borderId="1" xfId="39" applyNumberFormat="1" applyFont="1" applyFill="1" applyBorder="1" applyAlignment="1" applyProtection="1">
      <alignment vertical="center"/>
    </xf>
    <xf numFmtId="220" fontId="8" fillId="10" borderId="0" xfId="0" applyFont="1" applyFill="1" applyBorder="1" applyAlignment="1">
      <alignment vertical="center"/>
    </xf>
    <xf numFmtId="220" fontId="1" fillId="2" borderId="0" xfId="26230" applyFont="1" applyFill="1" applyAlignment="1" applyProtection="1">
      <alignment vertical="center"/>
      <protection locked="0"/>
    </xf>
    <xf numFmtId="43" fontId="8" fillId="10" borderId="0" xfId="0" applyNumberFormat="1" applyFont="1" applyFill="1" applyBorder="1" applyAlignment="1" applyProtection="1">
      <alignment vertical="center"/>
    </xf>
    <xf numFmtId="43" fontId="1" fillId="11" borderId="0" xfId="39" applyFont="1" applyFill="1" applyBorder="1" applyAlignment="1" applyProtection="1">
      <alignment vertical="center" shrinkToFit="1"/>
    </xf>
    <xf numFmtId="43" fontId="1" fillId="2" borderId="0" xfId="39" applyFont="1" applyFill="1" applyAlignment="1" applyProtection="1">
      <alignment vertical="center"/>
    </xf>
    <xf numFmtId="220" fontId="20" fillId="2" borderId="0" xfId="26230" applyFont="1" applyFill="1" applyAlignment="1" applyProtection="1">
      <alignment vertical="center"/>
      <protection locked="0"/>
    </xf>
    <xf numFmtId="220" fontId="1" fillId="2" borderId="0" xfId="26230" applyFont="1" applyFill="1" applyBorder="1" applyAlignment="1" applyProtection="1">
      <alignment vertical="center"/>
      <protection locked="0"/>
    </xf>
    <xf numFmtId="220" fontId="8" fillId="10" borderId="1" xfId="0" applyFont="1" applyFill="1" applyBorder="1" applyAlignment="1">
      <alignment horizontal="center" vertical="center"/>
    </xf>
    <xf numFmtId="43" fontId="8" fillId="10" borderId="1" xfId="0" applyNumberFormat="1" applyFont="1" applyFill="1" applyBorder="1" applyAlignment="1">
      <alignment horizontal="center" vertical="center"/>
    </xf>
    <xf numFmtId="220" fontId="1" fillId="2" borderId="1" xfId="26230" applyFont="1" applyFill="1" applyBorder="1" applyAlignment="1" applyProtection="1">
      <alignment horizontal="center" vertical="center"/>
      <protection locked="0"/>
    </xf>
    <xf numFmtId="220" fontId="13" fillId="2" borderId="1" xfId="26230" applyFont="1" applyFill="1" applyBorder="1" applyAlignment="1" applyProtection="1">
      <alignment vertical="center"/>
      <protection locked="0"/>
    </xf>
    <xf numFmtId="43" fontId="1" fillId="2" borderId="1" xfId="26230" applyNumberFormat="1" applyFont="1" applyFill="1" applyBorder="1" applyAlignment="1" applyProtection="1">
      <alignment vertical="center"/>
    </xf>
    <xf numFmtId="220" fontId="2" fillId="2" borderId="1" xfId="26230" applyFont="1" applyFill="1" applyBorder="1" applyAlignment="1" applyProtection="1">
      <alignment vertical="center"/>
      <protection locked="0"/>
    </xf>
    <xf numFmtId="43" fontId="1" fillId="0" borderId="1" xfId="26230" applyNumberFormat="1" applyFont="1" applyFill="1" applyBorder="1" applyAlignment="1" applyProtection="1">
      <alignment vertical="center"/>
      <protection locked="0"/>
    </xf>
    <xf numFmtId="220" fontId="1" fillId="0" borderId="1" xfId="26230" applyFont="1" applyFill="1" applyBorder="1" applyAlignment="1" applyProtection="1">
      <alignment vertical="center"/>
      <protection locked="0"/>
    </xf>
    <xf numFmtId="220" fontId="1" fillId="2" borderId="1" xfId="26230" applyFont="1" applyFill="1" applyBorder="1" applyAlignment="1" applyProtection="1">
      <alignment vertical="center"/>
      <protection locked="0"/>
    </xf>
    <xf numFmtId="43" fontId="1" fillId="2" borderId="0" xfId="26230" applyNumberFormat="1" applyFont="1" applyFill="1" applyBorder="1" applyAlignment="1" applyProtection="1">
      <alignment vertical="center"/>
      <protection locked="0"/>
    </xf>
    <xf numFmtId="220" fontId="13" fillId="0" borderId="0" xfId="26230" applyFont="1" applyFill="1" applyAlignment="1" applyProtection="1">
      <alignment vertical="center"/>
      <protection locked="0"/>
    </xf>
    <xf numFmtId="220" fontId="1" fillId="0" borderId="0" xfId="26230" applyFont="1" applyFill="1" applyAlignment="1" applyProtection="1">
      <alignment vertical="center"/>
      <protection locked="0"/>
    </xf>
    <xf numFmtId="220" fontId="1" fillId="0" borderId="0" xfId="26230" applyFont="1" applyFill="1" applyBorder="1" applyAlignment="1" applyProtection="1">
      <alignment vertical="center"/>
      <protection locked="0"/>
    </xf>
    <xf numFmtId="220" fontId="13" fillId="12" borderId="0" xfId="26230" applyFont="1" applyFill="1" applyBorder="1" applyAlignment="1" applyProtection="1">
      <alignment horizontal="left" vertical="center"/>
      <protection locked="0"/>
    </xf>
    <xf numFmtId="220" fontId="1" fillId="12" borderId="0" xfId="26230" applyFont="1" applyFill="1" applyAlignment="1" applyProtection="1">
      <alignment vertical="center"/>
      <protection locked="0"/>
    </xf>
    <xf numFmtId="281" fontId="8" fillId="12" borderId="1" xfId="0" applyNumberFormat="1" applyFont="1" applyFill="1" applyBorder="1" applyAlignment="1" applyProtection="1">
      <alignment vertical="center"/>
      <protection locked="0"/>
    </xf>
    <xf numFmtId="220" fontId="8" fillId="2" borderId="1" xfId="0" applyFont="1" applyFill="1" applyBorder="1" applyAlignment="1">
      <alignment horizontal="center" vertical="center"/>
    </xf>
    <xf numFmtId="220" fontId="8" fillId="2" borderId="1" xfId="0" applyFont="1" applyFill="1" applyBorder="1" applyAlignment="1" applyProtection="1">
      <alignment horizontal="center" vertical="center"/>
      <protection locked="0"/>
    </xf>
    <xf numFmtId="281" fontId="8" fillId="2" borderId="1" xfId="0" applyNumberFormat="1" applyFont="1" applyFill="1" applyBorder="1" applyAlignment="1">
      <alignment vertical="center"/>
    </xf>
    <xf numFmtId="281" fontId="8" fillId="2" borderId="1" xfId="0" applyNumberFormat="1" applyFont="1" applyFill="1" applyBorder="1" applyAlignment="1" applyProtection="1">
      <alignment vertical="center"/>
      <protection locked="0"/>
    </xf>
    <xf numFmtId="281" fontId="8" fillId="9" borderId="1" xfId="0" applyNumberFormat="1" applyFont="1" applyFill="1" applyBorder="1" applyAlignment="1" applyProtection="1">
      <alignment vertical="center"/>
      <protection locked="0"/>
    </xf>
    <xf numFmtId="281" fontId="8" fillId="8" borderId="1" xfId="0" applyNumberFormat="1" applyFont="1" applyFill="1" applyBorder="1" applyAlignment="1" applyProtection="1">
      <alignment vertical="center"/>
      <protection locked="0"/>
    </xf>
    <xf numFmtId="43" fontId="8" fillId="2" borderId="1" xfId="39" applyFont="1" applyFill="1" applyBorder="1" applyAlignment="1" applyProtection="1">
      <alignment vertical="center"/>
      <protection locked="0"/>
    </xf>
    <xf numFmtId="220" fontId="21" fillId="2" borderId="1" xfId="0" applyFont="1" applyFill="1" applyBorder="1" applyAlignment="1">
      <alignment vertical="center"/>
    </xf>
    <xf numFmtId="43" fontId="8" fillId="8" borderId="1" xfId="39" applyFont="1" applyFill="1" applyBorder="1" applyAlignment="1" applyProtection="1">
      <alignment vertical="center"/>
      <protection locked="0"/>
    </xf>
    <xf numFmtId="281" fontId="8" fillId="10" borderId="1" xfId="39" applyNumberFormat="1" applyFont="1" applyFill="1" applyBorder="1" applyAlignment="1" applyProtection="1">
      <alignment vertical="center"/>
    </xf>
    <xf numFmtId="43" fontId="8" fillId="10" borderId="1" xfId="39" applyFont="1" applyFill="1" applyBorder="1" applyAlignment="1" applyProtection="1">
      <alignment vertical="center"/>
      <protection locked="0"/>
    </xf>
    <xf numFmtId="43" fontId="8" fillId="10" borderId="0" xfId="39" applyFont="1" applyFill="1" applyBorder="1" applyAlignment="1">
      <alignment vertical="center"/>
    </xf>
    <xf numFmtId="220" fontId="12" fillId="0" borderId="0" xfId="0" applyFont="1"/>
    <xf numFmtId="43" fontId="1" fillId="10" borderId="0" xfId="39" applyFont="1" applyFill="1" applyBorder="1" applyAlignment="1" applyProtection="1">
      <alignment vertical="center" shrinkToFit="1"/>
    </xf>
    <xf numFmtId="43" fontId="8" fillId="10" borderId="0" xfId="0" applyNumberFormat="1" applyFont="1" applyFill="1" applyBorder="1" applyAlignment="1">
      <alignment vertical="center"/>
    </xf>
    <xf numFmtId="220" fontId="8" fillId="10" borderId="0" xfId="0" applyFont="1" applyFill="1" applyBorder="1" applyAlignment="1">
      <alignment horizontal="left" vertical="center"/>
    </xf>
    <xf numFmtId="220" fontId="13" fillId="2" borderId="0" xfId="26230" applyFont="1" applyFill="1" applyBorder="1" applyAlignment="1" applyProtection="1">
      <alignment vertical="center"/>
      <protection locked="0"/>
    </xf>
    <xf numFmtId="220" fontId="1" fillId="12" borderId="0" xfId="26230" applyFont="1" applyFill="1" applyBorder="1" applyAlignment="1" applyProtection="1">
      <alignment horizontal="left" vertical="center"/>
      <protection locked="0"/>
    </xf>
    <xf numFmtId="281" fontId="8" fillId="2" borderId="1" xfId="39" applyNumberFormat="1" applyFont="1" applyFill="1" applyBorder="1" applyAlignment="1" applyProtection="1">
      <alignment vertical="center"/>
      <protection locked="0"/>
    </xf>
    <xf numFmtId="281" fontId="8" fillId="10" borderId="1" xfId="39" applyNumberFormat="1" applyFont="1" applyFill="1" applyBorder="1" applyAlignment="1" applyProtection="1">
      <alignment vertical="center"/>
      <protection locked="0"/>
    </xf>
    <xf numFmtId="220" fontId="13" fillId="2" borderId="1" xfId="14678" applyFont="1" applyFill="1" applyBorder="1" applyAlignment="1" applyProtection="1">
      <alignment horizontal="center" vertical="top" wrapText="1"/>
      <protection locked="0"/>
    </xf>
    <xf numFmtId="43" fontId="1" fillId="0" borderId="1" xfId="39" applyFont="1" applyFill="1" applyBorder="1" applyAlignment="1" applyProtection="1">
      <alignment horizontal="justify" vertical="top" shrinkToFit="1"/>
      <protection locked="0"/>
    </xf>
    <xf numFmtId="43" fontId="1" fillId="0" borderId="1" xfId="39" applyFont="1" applyFill="1" applyBorder="1" applyAlignment="1" applyProtection="1">
      <alignment horizontal="right" vertical="top" shrinkToFit="1"/>
      <protection locked="0"/>
    </xf>
    <xf numFmtId="43" fontId="13" fillId="2" borderId="1" xfId="39" applyFont="1" applyFill="1" applyBorder="1" applyAlignment="1" applyProtection="1">
      <alignment horizontal="right" vertical="top" shrinkToFit="1"/>
    </xf>
    <xf numFmtId="43" fontId="1" fillId="0" borderId="1" xfId="39" applyFont="1" applyFill="1" applyBorder="1" applyAlignment="1" applyProtection="1">
      <alignment horizontal="right" vertical="center" shrinkToFit="1"/>
      <protection locked="0"/>
    </xf>
    <xf numFmtId="43" fontId="1" fillId="0" borderId="1" xfId="39" applyFont="1" applyFill="1" applyBorder="1" applyAlignment="1" applyProtection="1">
      <alignment vertical="center" shrinkToFit="1"/>
      <protection locked="0"/>
    </xf>
    <xf numFmtId="220" fontId="1" fillId="2" borderId="1" xfId="14678" applyFont="1" applyFill="1" applyBorder="1" applyAlignment="1" applyProtection="1">
      <alignment horizontal="center" shrinkToFit="1"/>
      <protection locked="0"/>
    </xf>
    <xf numFmtId="43" fontId="1" fillId="2" borderId="1" xfId="39" applyFont="1" applyFill="1" applyBorder="1" applyAlignment="1" applyProtection="1">
      <alignment horizontal="right" vertical="center" shrinkToFit="1"/>
    </xf>
    <xf numFmtId="220" fontId="13" fillId="2" borderId="1" xfId="14678" applyFont="1" applyFill="1" applyBorder="1" applyProtection="1">
      <protection locked="0"/>
    </xf>
    <xf numFmtId="220" fontId="0" fillId="0" borderId="0" xfId="0" applyFont="1"/>
    <xf numFmtId="220" fontId="1" fillId="0" borderId="1" xfId="26201" applyFont="1" applyFill="1" applyBorder="1" applyAlignment="1" applyProtection="1">
      <alignment vertical="center" shrinkToFit="1"/>
      <protection locked="0"/>
    </xf>
    <xf numFmtId="220" fontId="1" fillId="2" borderId="1" xfId="26201" applyFont="1" applyFill="1" applyBorder="1" applyAlignment="1" applyProtection="1">
      <alignment vertical="center" shrinkToFit="1"/>
      <protection locked="0"/>
    </xf>
    <xf numFmtId="43" fontId="1" fillId="2" borderId="0" xfId="39" applyFont="1" applyFill="1" applyAlignment="1" applyProtection="1">
      <protection locked="0"/>
    </xf>
    <xf numFmtId="43" fontId="1" fillId="2" borderId="0" xfId="39" applyFont="1" applyFill="1" applyBorder="1" applyAlignment="1" applyProtection="1">
      <alignment horizontal="right" vertical="center" shrinkToFit="1"/>
      <protection locked="0"/>
    </xf>
    <xf numFmtId="220" fontId="1" fillId="2" borderId="0" xfId="26201" applyFont="1" applyFill="1" applyBorder="1" applyAlignment="1" applyProtection="1">
      <alignment vertical="center"/>
      <protection locked="0"/>
    </xf>
    <xf numFmtId="220" fontId="13" fillId="2" borderId="1" xfId="14678" applyFont="1" applyFill="1" applyBorder="1" applyAlignment="1" applyProtection="1">
      <alignment horizontal="center" vertical="center" wrapText="1"/>
      <protection locked="0"/>
    </xf>
    <xf numFmtId="43" fontId="1" fillId="0" borderId="1" xfId="39" applyFont="1" applyFill="1" applyBorder="1" applyAlignment="1" applyProtection="1">
      <alignment horizontal="left" vertical="center" shrinkToFit="1"/>
      <protection locked="0"/>
    </xf>
    <xf numFmtId="43" fontId="1" fillId="0" borderId="1" xfId="39" applyFont="1" applyFill="1" applyBorder="1" applyAlignment="1" applyProtection="1">
      <alignment shrinkToFit="1"/>
      <protection locked="0"/>
    </xf>
    <xf numFmtId="220" fontId="1" fillId="2" borderId="1" xfId="14678" applyFont="1" applyFill="1" applyBorder="1" applyAlignment="1" applyProtection="1">
      <alignment shrinkToFit="1"/>
      <protection locked="0"/>
    </xf>
    <xf numFmtId="43" fontId="1" fillId="2" borderId="1" xfId="39" applyFont="1" applyFill="1" applyBorder="1" applyAlignment="1" applyProtection="1">
      <alignment vertical="center" shrinkToFit="1"/>
      <protection locked="0"/>
    </xf>
    <xf numFmtId="220" fontId="1" fillId="2" borderId="0" xfId="26201" applyFont="1" applyFill="1" applyAlignment="1" applyProtection="1">
      <alignment vertical="center"/>
      <protection locked="0"/>
    </xf>
    <xf numFmtId="220" fontId="1" fillId="2" borderId="0" xfId="14678" applyFont="1" applyFill="1" applyAlignment="1" applyProtection="1">
      <protection locked="0"/>
    </xf>
    <xf numFmtId="220" fontId="20" fillId="2" borderId="1" xfId="14678" applyFont="1" applyFill="1" applyBorder="1" applyAlignment="1" applyProtection="1">
      <alignment horizontal="center" vertical="center" wrapText="1"/>
      <protection locked="0"/>
    </xf>
    <xf numFmtId="220" fontId="1" fillId="2" borderId="1" xfId="14678" applyFont="1" applyFill="1" applyBorder="1" applyAlignment="1" applyProtection="1">
      <alignment horizontal="center" wrapText="1"/>
      <protection locked="0"/>
    </xf>
    <xf numFmtId="43" fontId="1" fillId="2" borderId="1" xfId="26201" applyNumberFormat="1" applyFont="1" applyFill="1" applyBorder="1" applyAlignment="1" applyProtection="1">
      <alignment vertical="center" shrinkToFit="1"/>
      <protection locked="0"/>
    </xf>
    <xf numFmtId="43" fontId="1" fillId="2" borderId="1" xfId="39" applyFont="1" applyFill="1" applyBorder="1" applyAlignment="1" applyProtection="1">
      <alignment horizontal="right" vertical="center" shrinkToFit="1"/>
      <protection locked="0"/>
    </xf>
    <xf numFmtId="220" fontId="13" fillId="0" borderId="2" xfId="0" applyFont="1" applyBorder="1"/>
    <xf numFmtId="220" fontId="20" fillId="0" borderId="2" xfId="0" applyFont="1" applyBorder="1"/>
    <xf numFmtId="220" fontId="2" fillId="0" borderId="2" xfId="0" applyFont="1" applyBorder="1"/>
    <xf numFmtId="220" fontId="1" fillId="0" borderId="2" xfId="0" applyFont="1" applyBorder="1"/>
    <xf numFmtId="220" fontId="13" fillId="0" borderId="0" xfId="0" applyFont="1"/>
    <xf numFmtId="43" fontId="13" fillId="0" borderId="0" xfId="0" applyNumberFormat="1" applyFont="1"/>
    <xf numFmtId="220" fontId="1" fillId="0" borderId="0" xfId="0" applyFont="1"/>
    <xf numFmtId="43" fontId="1" fillId="0" borderId="0" xfId="0" applyNumberFormat="1" applyFont="1"/>
    <xf numFmtId="43" fontId="1" fillId="0" borderId="0" xfId="39" applyFont="1"/>
    <xf numFmtId="43" fontId="13" fillId="0" borderId="0" xfId="39" applyFont="1"/>
    <xf numFmtId="220" fontId="20" fillId="0" borderId="8" xfId="0" applyFont="1" applyBorder="1" applyProtection="1">
      <protection locked="0"/>
    </xf>
    <xf numFmtId="43" fontId="20" fillId="0" borderId="9" xfId="39" applyFont="1" applyBorder="1" applyProtection="1">
      <protection locked="0"/>
    </xf>
    <xf numFmtId="220" fontId="13" fillId="0" borderId="0" xfId="0" applyFont="1" applyProtection="1">
      <protection locked="0"/>
    </xf>
    <xf numFmtId="220" fontId="1" fillId="0" borderId="10" xfId="0" applyFont="1" applyBorder="1" applyProtection="1">
      <protection locked="0"/>
    </xf>
    <xf numFmtId="43" fontId="1" fillId="0" borderId="11" xfId="39" applyFont="1" applyBorder="1" applyProtection="1"/>
    <xf numFmtId="220" fontId="1" fillId="0" borderId="0" xfId="0" applyFont="1" applyProtection="1">
      <protection locked="0"/>
    </xf>
    <xf numFmtId="220" fontId="20" fillId="0" borderId="10" xfId="0" applyFont="1" applyBorder="1" applyProtection="1">
      <protection locked="0"/>
    </xf>
    <xf numFmtId="43" fontId="13" fillId="0" borderId="11" xfId="39" applyFont="1" applyBorder="1" applyProtection="1"/>
    <xf numFmtId="43" fontId="13" fillId="0" borderId="11" xfId="39" applyFont="1" applyBorder="1" applyProtection="1">
      <protection locked="0"/>
    </xf>
    <xf numFmtId="220" fontId="2" fillId="0" borderId="10" xfId="0" applyFont="1" applyBorder="1" applyProtection="1">
      <protection locked="0"/>
    </xf>
    <xf numFmtId="43" fontId="1" fillId="0" borderId="11" xfId="39" applyFont="1" applyBorder="1" applyProtection="1">
      <protection locked="0"/>
    </xf>
    <xf numFmtId="220" fontId="2" fillId="0" borderId="12" xfId="0" applyFont="1" applyBorder="1" applyProtection="1">
      <protection locked="0"/>
    </xf>
    <xf numFmtId="43" fontId="1" fillId="0" borderId="13" xfId="39" applyFont="1" applyBorder="1" applyProtection="1"/>
    <xf numFmtId="43" fontId="1" fillId="0" borderId="0" xfId="39" applyFont="1" applyProtection="1">
      <protection locked="0"/>
    </xf>
    <xf numFmtId="43" fontId="2" fillId="0" borderId="1" xfId="36193" applyFont="1" applyBorder="1">
      <alignment vertical="center"/>
    </xf>
    <xf numFmtId="43" fontId="2" fillId="0" borderId="1" xfId="36193" applyFont="1" applyBorder="1" applyAlignment="1">
      <alignment horizontal="right" vertical="center"/>
    </xf>
    <xf numFmtId="43" fontId="20" fillId="0" borderId="1" xfId="36193" applyFont="1" applyBorder="1">
      <alignment vertical="center"/>
    </xf>
    <xf numFmtId="43" fontId="22" fillId="6" borderId="1" xfId="36193" applyFont="1" applyFill="1" applyBorder="1" applyAlignment="1">
      <alignment horizontal="center" vertical="center"/>
    </xf>
    <xf numFmtId="43" fontId="22" fillId="6" borderId="1" xfId="36193" applyFont="1" applyFill="1" applyBorder="1">
      <alignment vertical="center"/>
    </xf>
    <xf numFmtId="43" fontId="20" fillId="0" borderId="0" xfId="36193" applyFont="1" applyFill="1" applyAlignment="1" applyProtection="1">
      <alignment horizontal="left"/>
    </xf>
    <xf numFmtId="43" fontId="22" fillId="6" borderId="0" xfId="36193" applyFont="1" applyFill="1">
      <alignment vertical="center"/>
    </xf>
    <xf numFmtId="43" fontId="2" fillId="0" borderId="0" xfId="36193" applyFont="1">
      <alignment vertical="center"/>
    </xf>
    <xf numFmtId="43" fontId="20" fillId="2" borderId="1" xfId="36193" applyFont="1" applyFill="1" applyBorder="1" applyAlignment="1" applyProtection="1">
      <alignment horizontal="center" vertical="center" wrapText="1"/>
    </xf>
    <xf numFmtId="43" fontId="13" fillId="2" borderId="1" xfId="36193" applyFont="1" applyFill="1" applyBorder="1" applyAlignment="1" applyProtection="1">
      <alignment horizontal="center" vertical="center" wrapText="1"/>
    </xf>
    <xf numFmtId="43" fontId="23" fillId="2" borderId="1" xfId="36193" applyFont="1" applyFill="1" applyBorder="1" applyAlignment="1" applyProtection="1">
      <alignment horizontal="center" vertical="center" wrapText="1"/>
    </xf>
    <xf numFmtId="43" fontId="2" fillId="0" borderId="1" xfId="36193" applyFont="1" applyBorder="1" applyAlignment="1" applyProtection="1">
      <alignment vertical="center" shrinkToFit="1"/>
      <protection locked="0"/>
    </xf>
    <xf numFmtId="43" fontId="13" fillId="0" borderId="1" xfId="36193" applyFont="1" applyFill="1" applyBorder="1" applyAlignment="1" applyProtection="1">
      <alignment horizontal="center" shrinkToFit="1"/>
      <protection locked="0"/>
    </xf>
    <xf numFmtId="14" fontId="2" fillId="0" borderId="1" xfId="36193" applyNumberFormat="1" applyFont="1" applyBorder="1" applyAlignment="1" applyProtection="1">
      <alignment vertical="center" shrinkToFit="1"/>
      <protection locked="0"/>
    </xf>
    <xf numFmtId="219" fontId="2" fillId="0" borderId="1" xfId="55" applyNumberFormat="1" applyFont="1" applyBorder="1" applyAlignment="1" applyProtection="1">
      <alignment vertical="center" shrinkToFit="1"/>
      <protection locked="0"/>
    </xf>
    <xf numFmtId="43" fontId="20" fillId="2" borderId="1" xfId="36193" applyFont="1" applyFill="1" applyBorder="1" applyAlignment="1" applyProtection="1">
      <alignment horizontal="center" vertical="center" shrinkToFit="1"/>
    </xf>
    <xf numFmtId="43" fontId="20" fillId="0" borderId="0" xfId="36193" applyFont="1" applyFill="1" applyAlignment="1" applyProtection="1"/>
    <xf numFmtId="43" fontId="22" fillId="0" borderId="0" xfId="36193" applyFont="1" applyFill="1">
      <alignment vertical="center"/>
    </xf>
    <xf numFmtId="43" fontId="20" fillId="2" borderId="1" xfId="36193" applyFont="1" applyFill="1" applyBorder="1" applyAlignment="1" applyProtection="1">
      <alignment horizontal="left" wrapText="1"/>
    </xf>
    <xf numFmtId="43" fontId="20" fillId="2" borderId="1" xfId="36193" applyFont="1" applyFill="1" applyBorder="1" applyAlignment="1" applyProtection="1">
      <alignment horizontal="center" wrapText="1"/>
    </xf>
    <xf numFmtId="43" fontId="23" fillId="2" borderId="14" xfId="36193" applyFont="1" applyFill="1" applyBorder="1" applyAlignment="1" applyProtection="1">
      <alignment vertical="center" wrapText="1"/>
    </xf>
    <xf numFmtId="43" fontId="20" fillId="0" borderId="1" xfId="36193" applyFont="1" applyFill="1" applyBorder="1" applyAlignment="1" applyProtection="1">
      <alignment horizontal="center" shrinkToFit="1"/>
      <protection locked="0"/>
    </xf>
    <xf numFmtId="43" fontId="22" fillId="0" borderId="0" xfId="36193" applyFont="1" applyAlignment="1">
      <alignment vertical="center" wrapText="1"/>
    </xf>
    <xf numFmtId="43" fontId="2" fillId="0" borderId="0" xfId="36193" applyFont="1" applyAlignment="1">
      <alignment vertical="center" wrapText="1"/>
    </xf>
    <xf numFmtId="43" fontId="22" fillId="0" borderId="0" xfId="36193" applyFont="1">
      <alignment vertical="center"/>
    </xf>
    <xf numFmtId="43" fontId="2" fillId="0" borderId="1" xfId="36193" applyFont="1" applyBorder="1" applyAlignment="1">
      <alignment horizontal="center" vertical="center" wrapText="1"/>
    </xf>
    <xf numFmtId="43" fontId="22" fillId="0" borderId="1" xfId="36193" applyFont="1" applyBorder="1" applyAlignment="1">
      <alignment horizontal="center" vertical="center" wrapText="1"/>
    </xf>
    <xf numFmtId="43" fontId="2" fillId="0" borderId="1" xfId="36193" applyFont="1" applyBorder="1" applyAlignment="1">
      <alignment vertical="center" shrinkToFit="1"/>
    </xf>
    <xf numFmtId="43" fontId="20" fillId="0" borderId="1" xfId="36193" applyFont="1" applyFill="1" applyBorder="1" applyAlignment="1" applyProtection="1">
      <alignment horizontal="center" vertical="center" wrapText="1"/>
      <protection locked="0"/>
    </xf>
    <xf numFmtId="43" fontId="23" fillId="6" borderId="1" xfId="36193" applyFont="1" applyFill="1" applyBorder="1" applyAlignment="1" applyProtection="1">
      <alignment horizontal="center" vertical="center" shrinkToFit="1"/>
    </xf>
    <xf numFmtId="43" fontId="2" fillId="0" borderId="0" xfId="36193" applyFont="1" applyFill="1" applyAlignment="1">
      <alignment vertical="center" wrapText="1"/>
    </xf>
    <xf numFmtId="43" fontId="24" fillId="2" borderId="1" xfId="36193" applyFont="1" applyFill="1" applyBorder="1" applyAlignment="1" applyProtection="1">
      <alignment horizontal="center" vertical="center" wrapText="1"/>
    </xf>
    <xf numFmtId="43" fontId="13" fillId="0" borderId="1" xfId="36193" applyFont="1" applyFill="1" applyBorder="1" applyAlignment="1" applyProtection="1">
      <alignment horizontal="center" wrapText="1" shrinkToFit="1"/>
      <protection locked="0"/>
    </xf>
    <xf numFmtId="43" fontId="20" fillId="0" borderId="1" xfId="36193" applyFont="1" applyFill="1" applyBorder="1" applyAlignment="1" applyProtection="1">
      <alignment horizontal="center" wrapText="1" shrinkToFit="1"/>
      <protection locked="0"/>
    </xf>
    <xf numFmtId="43" fontId="1" fillId="0" borderId="1" xfId="36193" applyFont="1" applyFill="1" applyBorder="1" applyAlignment="1" applyProtection="1">
      <alignment vertical="center" shrinkToFit="1"/>
      <protection locked="0"/>
    </xf>
    <xf numFmtId="43" fontId="1" fillId="0" borderId="1" xfId="36193" applyFont="1" applyFill="1" applyBorder="1" applyAlignment="1" applyProtection="1">
      <alignment horizontal="right" vertical="center" shrinkToFit="1"/>
      <protection locked="0"/>
    </xf>
    <xf numFmtId="43" fontId="1" fillId="2" borderId="1" xfId="36193" applyFont="1" applyFill="1" applyBorder="1" applyAlignment="1" applyProtection="1">
      <alignment horizontal="center" vertical="center" shrinkToFit="1"/>
    </xf>
    <xf numFmtId="43" fontId="1" fillId="2" borderId="1" xfId="36193" applyFont="1" applyFill="1" applyBorder="1" applyAlignment="1" applyProtection="1">
      <alignment horizontal="right" vertical="center" shrinkToFit="1"/>
    </xf>
    <xf numFmtId="43" fontId="1" fillId="2" borderId="1" xfId="36193" applyFont="1" applyFill="1" applyBorder="1" applyAlignment="1" applyProtection="1">
      <alignment vertical="center" shrinkToFit="1"/>
    </xf>
    <xf numFmtId="43" fontId="1" fillId="0" borderId="1" xfId="36193" applyFont="1" applyFill="1" applyBorder="1" applyAlignment="1" applyProtection="1">
      <alignment vertical="center" wrapText="1" shrinkToFit="1"/>
      <protection locked="0"/>
    </xf>
    <xf numFmtId="43" fontId="1" fillId="2" borderId="1" xfId="36193" applyFont="1" applyFill="1" applyBorder="1" applyAlignment="1" applyProtection="1">
      <alignment vertical="center" wrapText="1" shrinkToFit="1"/>
    </xf>
    <xf numFmtId="43" fontId="1" fillId="2" borderId="1" xfId="36193" applyFont="1" applyFill="1" applyBorder="1" applyAlignment="1" applyProtection="1">
      <alignment horizontal="center" vertical="center" wrapText="1" shrinkToFit="1"/>
    </xf>
    <xf numFmtId="220" fontId="25" fillId="6" borderId="14" xfId="5271" applyFont="1" applyFill="1" applyBorder="1" applyAlignment="1" applyProtection="1">
      <alignment vertical="center" shrinkToFit="1"/>
      <protection locked="0"/>
    </xf>
    <xf numFmtId="220" fontId="25" fillId="6" borderId="15" xfId="5271" applyFont="1" applyFill="1" applyBorder="1" applyAlignment="1" applyProtection="1">
      <alignment vertical="center" shrinkToFit="1"/>
      <protection locked="0"/>
    </xf>
    <xf numFmtId="43" fontId="25" fillId="6" borderId="15" xfId="39" applyFont="1" applyFill="1" applyBorder="1" applyAlignment="1" applyProtection="1">
      <alignment vertical="center" shrinkToFit="1"/>
      <protection locked="0"/>
    </xf>
    <xf numFmtId="220" fontId="8" fillId="5" borderId="0" xfId="5271" applyFont="1" applyFill="1" applyBorder="1" applyAlignment="1" applyProtection="1">
      <alignment vertical="center"/>
      <protection locked="0"/>
    </xf>
    <xf numFmtId="220" fontId="19" fillId="13" borderId="0" xfId="0" applyFont="1" applyFill="1" applyAlignment="1" applyProtection="1">
      <alignment vertical="center"/>
      <protection locked="0"/>
    </xf>
    <xf numFmtId="220" fontId="8" fillId="13" borderId="0" xfId="0" applyFont="1" applyFill="1" applyAlignment="1" applyProtection="1">
      <alignment vertical="center"/>
      <protection locked="0"/>
    </xf>
    <xf numFmtId="43" fontId="25" fillId="6" borderId="0" xfId="0" applyNumberFormat="1" applyFont="1" applyFill="1" applyAlignment="1" applyProtection="1">
      <alignment vertical="center" shrinkToFit="1"/>
      <protection locked="0"/>
    </xf>
    <xf numFmtId="220" fontId="8" fillId="0" borderId="0" xfId="5271" applyFont="1" applyAlignment="1" applyProtection="1">
      <alignment vertical="center" shrinkToFit="1"/>
      <protection locked="0"/>
    </xf>
    <xf numFmtId="43" fontId="8" fillId="0" borderId="0" xfId="39" applyFont="1" applyAlignment="1" applyProtection="1">
      <alignment vertical="center" shrinkToFit="1"/>
    </xf>
    <xf numFmtId="43" fontId="8" fillId="5" borderId="0" xfId="5271" applyNumberFormat="1" applyFont="1" applyFill="1" applyAlignment="1" applyProtection="1">
      <alignment vertical="center" shrinkToFit="1"/>
      <protection locked="0"/>
    </xf>
    <xf numFmtId="220" fontId="8" fillId="13" borderId="0" xfId="0" applyFont="1" applyFill="1" applyAlignment="1" applyProtection="1">
      <alignment horizontal="center" vertical="center"/>
      <protection locked="0"/>
    </xf>
    <xf numFmtId="43" fontId="8" fillId="13" borderId="0" xfId="0" applyNumberFormat="1" applyFont="1" applyFill="1" applyAlignment="1" applyProtection="1">
      <alignment vertical="center" shrinkToFit="1"/>
    </xf>
    <xf numFmtId="220" fontId="8" fillId="5" borderId="1" xfId="5271" applyFont="1" applyFill="1" applyBorder="1" applyAlignment="1" applyProtection="1">
      <alignment horizontal="center" vertical="center" shrinkToFit="1"/>
      <protection locked="0"/>
    </xf>
    <xf numFmtId="43" fontId="26" fillId="5" borderId="1" xfId="36193" applyFont="1" applyFill="1" applyBorder="1" applyAlignment="1" applyProtection="1">
      <alignment vertical="center" wrapText="1"/>
      <protection locked="0"/>
    </xf>
    <xf numFmtId="43" fontId="19" fillId="5" borderId="1" xfId="39" applyFont="1" applyFill="1" applyBorder="1" applyAlignment="1" applyProtection="1">
      <alignment horizontal="center" vertical="center" shrinkToFit="1"/>
      <protection locked="0"/>
    </xf>
    <xf numFmtId="220" fontId="8" fillId="5" borderId="0" xfId="5271" applyFont="1" applyFill="1" applyBorder="1" applyAlignment="1" applyProtection="1">
      <alignment horizontal="center" vertical="center" shrinkToFit="1"/>
      <protection locked="0"/>
    </xf>
    <xf numFmtId="220" fontId="19" fillId="13" borderId="1" xfId="0" applyFont="1" applyFill="1" applyBorder="1" applyAlignment="1" applyProtection="1">
      <alignment vertical="center"/>
      <protection locked="0"/>
    </xf>
    <xf numFmtId="220" fontId="8" fillId="13" borderId="1" xfId="0" applyFont="1" applyFill="1" applyBorder="1" applyAlignment="1" applyProtection="1">
      <alignment vertical="center"/>
      <protection locked="0"/>
    </xf>
    <xf numFmtId="220" fontId="8" fillId="13" borderId="1" xfId="0" applyFont="1" applyFill="1" applyBorder="1" applyAlignment="1" applyProtection="1">
      <alignment horizontal="center" vertical="center" shrinkToFit="1"/>
      <protection locked="0"/>
    </xf>
    <xf numFmtId="220" fontId="8" fillId="5" borderId="1" xfId="5271" applyFont="1" applyFill="1" applyBorder="1" applyAlignment="1" applyProtection="1">
      <alignment vertical="center" shrinkToFit="1"/>
    </xf>
    <xf numFmtId="220" fontId="8" fillId="5" borderId="1" xfId="5271" applyFont="1" applyFill="1" applyBorder="1" applyAlignment="1" applyProtection="1">
      <alignment vertical="center" shrinkToFit="1"/>
      <protection locked="0"/>
    </xf>
    <xf numFmtId="43" fontId="8" fillId="5" borderId="1" xfId="39" applyFont="1" applyFill="1" applyBorder="1" applyAlignment="1" applyProtection="1">
      <alignment vertical="center" shrinkToFit="1"/>
    </xf>
    <xf numFmtId="220" fontId="25" fillId="5" borderId="0" xfId="5271" applyFont="1" applyFill="1" applyAlignment="1" applyProtection="1">
      <alignment vertical="center" shrinkToFit="1"/>
      <protection locked="0"/>
    </xf>
    <xf numFmtId="43" fontId="8" fillId="13" borderId="1" xfId="36193" applyFont="1" applyFill="1" applyBorder="1" applyAlignment="1" applyProtection="1">
      <alignment vertical="center" shrinkToFit="1"/>
    </xf>
    <xf numFmtId="43" fontId="8" fillId="5" borderId="1" xfId="36193" applyFont="1" applyFill="1" applyBorder="1" applyAlignment="1" applyProtection="1">
      <alignment vertical="center" shrinkToFit="1"/>
      <protection locked="0"/>
    </xf>
    <xf numFmtId="43" fontId="19" fillId="14" borderId="1" xfId="36193" applyFont="1" applyFill="1" applyBorder="1" applyAlignment="1" applyProtection="1">
      <alignment vertical="center" shrinkToFit="1"/>
      <protection locked="0"/>
    </xf>
    <xf numFmtId="43" fontId="19" fillId="14" borderId="1" xfId="39" applyFont="1" applyFill="1" applyBorder="1" applyAlignment="1" applyProtection="1">
      <alignment vertical="center" shrinkToFit="1"/>
    </xf>
    <xf numFmtId="220" fontId="8" fillId="5" borderId="16" xfId="5271" applyFont="1" applyFill="1" applyBorder="1" applyAlignment="1" applyProtection="1">
      <alignment vertical="center" shrinkToFit="1"/>
    </xf>
    <xf numFmtId="43" fontId="8" fillId="6" borderId="0" xfId="36193" applyFont="1" applyFill="1" applyAlignment="1" applyProtection="1">
      <alignment vertical="center" shrinkToFit="1"/>
      <protection locked="0"/>
    </xf>
    <xf numFmtId="43" fontId="8" fillId="6" borderId="0" xfId="39" applyFont="1" applyFill="1" applyAlignment="1" applyProtection="1">
      <alignment vertical="center" shrinkToFit="1"/>
    </xf>
    <xf numFmtId="220" fontId="8" fillId="5" borderId="0" xfId="5271" applyFont="1" applyFill="1" applyBorder="1" applyAlignment="1" applyProtection="1">
      <alignment vertical="center" shrinkToFit="1"/>
      <protection locked="0"/>
    </xf>
    <xf numFmtId="43" fontId="8" fillId="5" borderId="0" xfId="39" applyFont="1" applyFill="1" applyAlignment="1" applyProtection="1">
      <alignment vertical="center" shrinkToFit="1"/>
    </xf>
    <xf numFmtId="43" fontId="8" fillId="5" borderId="0" xfId="36193" applyFont="1" applyFill="1" applyAlignment="1" applyProtection="1">
      <alignment vertical="center" shrinkToFit="1"/>
      <protection locked="0"/>
    </xf>
    <xf numFmtId="220" fontId="25" fillId="13" borderId="0" xfId="0" applyFont="1" applyFill="1" applyAlignment="1" applyProtection="1">
      <alignment vertical="center"/>
      <protection locked="0"/>
    </xf>
    <xf numFmtId="43" fontId="25" fillId="13" borderId="0" xfId="36193" applyFont="1" applyFill="1" applyAlignment="1" applyProtection="1">
      <alignment vertical="center" shrinkToFit="1"/>
      <protection locked="0"/>
    </xf>
    <xf numFmtId="220" fontId="0" fillId="13" borderId="0" xfId="0" applyFill="1" applyAlignment="1" applyProtection="1">
      <alignment vertical="center"/>
      <protection locked="0"/>
    </xf>
    <xf numFmtId="220" fontId="8" fillId="13" borderId="0" xfId="5271" applyFont="1" applyFill="1" applyBorder="1" applyAlignment="1" applyProtection="1">
      <alignment vertical="center"/>
      <protection locked="0"/>
    </xf>
    <xf numFmtId="220" fontId="27" fillId="12" borderId="1" xfId="0" applyFont="1" applyFill="1" applyBorder="1" applyAlignment="1" applyProtection="1">
      <alignment horizontal="center" vertical="center"/>
      <protection locked="0"/>
    </xf>
    <xf numFmtId="220" fontId="8" fillId="12" borderId="1" xfId="0" applyFont="1" applyFill="1" applyBorder="1" applyAlignment="1" applyProtection="1">
      <alignment horizontal="center" vertical="center"/>
      <protection locked="0"/>
    </xf>
    <xf numFmtId="220" fontId="8" fillId="6" borderId="14" xfId="0" applyFont="1" applyFill="1" applyBorder="1" applyAlignment="1" applyProtection="1">
      <alignment horizontal="left" vertical="center"/>
      <protection locked="0"/>
    </xf>
    <xf numFmtId="220" fontId="8" fillId="13" borderId="1" xfId="0" applyFont="1" applyFill="1" applyBorder="1" applyAlignment="1" applyProtection="1">
      <alignment horizontal="center" vertical="center"/>
      <protection locked="0"/>
    </xf>
    <xf numFmtId="220" fontId="8" fillId="13" borderId="1" xfId="5271" applyFont="1" applyFill="1" applyBorder="1" applyAlignment="1" applyProtection="1">
      <alignment horizontal="center" vertical="center"/>
      <protection locked="0"/>
    </xf>
    <xf numFmtId="10" fontId="8" fillId="13" borderId="1" xfId="12364" applyNumberFormat="1" applyFont="1" applyFill="1" applyBorder="1" applyProtection="1">
      <alignment vertical="center"/>
      <protection locked="0"/>
    </xf>
    <xf numFmtId="220" fontId="8" fillId="5" borderId="1" xfId="0" applyFont="1" applyFill="1" applyBorder="1" applyAlignment="1" applyProtection="1">
      <alignment vertical="center"/>
      <protection locked="0"/>
    </xf>
    <xf numFmtId="43" fontId="8" fillId="13" borderId="1" xfId="36193" applyFont="1" applyFill="1" applyBorder="1" applyProtection="1">
      <alignment vertical="center"/>
    </xf>
    <xf numFmtId="220" fontId="15" fillId="13" borderId="1" xfId="0" applyFont="1" applyFill="1" applyBorder="1" applyAlignment="1" applyProtection="1">
      <alignment horizontal="left" vertical="center"/>
      <protection locked="0"/>
    </xf>
    <xf numFmtId="220" fontId="8" fillId="13" borderId="1" xfId="5271" applyFont="1" applyFill="1" applyBorder="1" applyAlignment="1" applyProtection="1">
      <alignment vertical="center" shrinkToFit="1"/>
    </xf>
    <xf numFmtId="43" fontId="8" fillId="5" borderId="1" xfId="36193" applyFont="1" applyFill="1" applyBorder="1" applyProtection="1">
      <alignment vertical="center"/>
      <protection locked="0"/>
    </xf>
    <xf numFmtId="43" fontId="8" fillId="13" borderId="1" xfId="0" applyNumberFormat="1" applyFont="1" applyFill="1" applyBorder="1" applyAlignment="1" applyProtection="1">
      <alignment vertical="center"/>
      <protection locked="0"/>
    </xf>
    <xf numFmtId="220" fontId="0" fillId="0" borderId="0" xfId="0" applyAlignment="1" applyProtection="1">
      <alignment vertical="center"/>
      <protection locked="0"/>
    </xf>
    <xf numFmtId="43" fontId="8" fillId="5" borderId="1" xfId="34818" applyFont="1" applyFill="1" applyBorder="1" applyProtection="1">
      <alignment vertical="center"/>
      <protection locked="0"/>
    </xf>
    <xf numFmtId="220" fontId="0" fillId="13" borderId="1" xfId="0" applyFill="1" applyBorder="1" applyAlignment="1" applyProtection="1">
      <alignment vertical="center"/>
      <protection locked="0"/>
    </xf>
    <xf numFmtId="220" fontId="8" fillId="13" borderId="0" xfId="5271" applyFont="1" applyFill="1" applyAlignment="1" applyProtection="1">
      <alignment vertical="center" shrinkToFit="1"/>
      <protection locked="0"/>
    </xf>
    <xf numFmtId="220" fontId="8" fillId="5" borderId="0" xfId="0" applyFont="1" applyFill="1" applyAlignment="1" applyProtection="1">
      <alignment horizontal="center" vertical="center"/>
      <protection locked="0"/>
    </xf>
    <xf numFmtId="220" fontId="8" fillId="13" borderId="0" xfId="0" applyFont="1" applyFill="1" applyAlignment="1" applyProtection="1">
      <alignment vertical="center" shrinkToFit="1"/>
      <protection locked="0"/>
    </xf>
    <xf numFmtId="43" fontId="25" fillId="6" borderId="0" xfId="0" applyNumberFormat="1" applyFont="1" applyFill="1" applyAlignment="1" applyProtection="1">
      <alignment vertical="center" shrinkToFit="1"/>
    </xf>
    <xf numFmtId="43" fontId="8" fillId="5" borderId="1" xfId="36193" applyFont="1" applyFill="1" applyBorder="1" applyAlignment="1" applyProtection="1">
      <alignment vertical="center" shrinkToFit="1"/>
    </xf>
    <xf numFmtId="43" fontId="19" fillId="5" borderId="1" xfId="36193" applyFont="1" applyFill="1" applyBorder="1" applyAlignment="1" applyProtection="1">
      <alignment vertical="center" shrinkToFit="1"/>
      <protection locked="0"/>
    </xf>
    <xf numFmtId="43" fontId="19" fillId="5" borderId="1" xfId="39" applyFont="1" applyFill="1" applyBorder="1" applyAlignment="1" applyProtection="1">
      <alignment vertical="center" shrinkToFit="1"/>
    </xf>
    <xf numFmtId="220" fontId="8" fillId="5" borderId="0" xfId="5271" applyFont="1" applyFill="1" applyBorder="1" applyAlignment="1" applyProtection="1">
      <alignment vertical="center" shrinkToFit="1"/>
    </xf>
    <xf numFmtId="43" fontId="25" fillId="6" borderId="0" xfId="39" applyFont="1" applyFill="1" applyAlignment="1" applyProtection="1">
      <alignment vertical="center" shrinkToFit="1"/>
    </xf>
    <xf numFmtId="43" fontId="8" fillId="5" borderId="0" xfId="36193" applyFont="1" applyFill="1" applyBorder="1" applyAlignment="1" applyProtection="1">
      <alignment vertical="center" shrinkToFit="1"/>
      <protection locked="0"/>
    </xf>
    <xf numFmtId="43" fontId="8" fillId="5" borderId="0" xfId="39" applyFont="1" applyFill="1" applyBorder="1" applyAlignment="1" applyProtection="1">
      <alignment vertical="center" shrinkToFit="1"/>
      <protection locked="0"/>
    </xf>
    <xf numFmtId="220" fontId="8" fillId="5" borderId="0" xfId="5271" applyFont="1" applyFill="1" applyAlignment="1" applyProtection="1">
      <alignment vertical="center" shrinkToFit="1"/>
      <protection locked="0"/>
    </xf>
    <xf numFmtId="43" fontId="8" fillId="5" borderId="0" xfId="39" applyFont="1" applyFill="1" applyAlignment="1" applyProtection="1">
      <alignment vertical="center" shrinkToFit="1"/>
      <protection locked="0"/>
    </xf>
    <xf numFmtId="220" fontId="8" fillId="5" borderId="0" xfId="5271" applyFont="1" applyFill="1" applyAlignment="1" applyProtection="1">
      <alignment horizontal="center" vertical="center" shrinkToFit="1"/>
      <protection locked="0"/>
    </xf>
    <xf numFmtId="220" fontId="21" fillId="13" borderId="1" xfId="0" applyFont="1" applyFill="1" applyBorder="1" applyAlignment="1" applyProtection="1">
      <alignment vertical="center"/>
      <protection locked="0"/>
    </xf>
    <xf numFmtId="220" fontId="0" fillId="13" borderId="0" xfId="0" applyFill="1" applyAlignment="1" applyProtection="1">
      <alignment vertical="center" shrinkToFit="1"/>
      <protection locked="0"/>
    </xf>
    <xf numFmtId="220" fontId="0" fillId="13" borderId="0" xfId="0" applyFont="1" applyFill="1" applyAlignment="1" applyProtection="1">
      <alignment vertical="center" shrinkToFit="1"/>
      <protection locked="0"/>
    </xf>
    <xf numFmtId="220" fontId="8" fillId="13" borderId="0" xfId="0" applyFont="1" applyFill="1" applyAlignment="1" applyProtection="1">
      <alignment horizontal="left" vertical="center"/>
      <protection locked="0"/>
    </xf>
    <xf numFmtId="220" fontId="8" fillId="13" borderId="0" xfId="5271" applyFont="1" applyFill="1" applyBorder="1" applyAlignment="1" applyProtection="1">
      <alignment horizontal="center" vertical="center" shrinkToFit="1"/>
      <protection locked="0"/>
    </xf>
    <xf numFmtId="220" fontId="8" fillId="13" borderId="1" xfId="0" applyFont="1" applyFill="1" applyBorder="1" applyAlignment="1" applyProtection="1">
      <alignment vertical="center" shrinkToFit="1"/>
      <protection locked="0"/>
    </xf>
    <xf numFmtId="220" fontId="27" fillId="12" borderId="1" xfId="0" applyFont="1" applyFill="1" applyBorder="1" applyAlignment="1" applyProtection="1">
      <alignment horizontal="center" vertical="center" shrinkToFit="1"/>
      <protection locked="0"/>
    </xf>
    <xf numFmtId="220" fontId="8" fillId="12" borderId="1" xfId="0" applyFont="1" applyFill="1" applyBorder="1" applyAlignment="1" applyProtection="1">
      <alignment horizontal="center" vertical="center" shrinkToFit="1"/>
      <protection locked="0"/>
    </xf>
    <xf numFmtId="220" fontId="8" fillId="13" borderId="1" xfId="5271" applyFont="1" applyFill="1" applyBorder="1" applyAlignment="1" applyProtection="1">
      <alignment horizontal="center" vertical="center" shrinkToFit="1"/>
      <protection locked="0"/>
    </xf>
    <xf numFmtId="220" fontId="8" fillId="13" borderId="1" xfId="5271" applyFont="1" applyFill="1" applyBorder="1" applyAlignment="1" applyProtection="1">
      <alignment horizontal="center" vertical="center" shrinkToFit="1"/>
    </xf>
    <xf numFmtId="10" fontId="8" fillId="13" borderId="1" xfId="12364" applyNumberFormat="1" applyFont="1" applyFill="1" applyBorder="1" applyAlignment="1" applyProtection="1">
      <alignment vertical="center" shrinkToFit="1"/>
      <protection locked="0"/>
    </xf>
    <xf numFmtId="220" fontId="8" fillId="5" borderId="1" xfId="0" applyFont="1" applyFill="1" applyBorder="1" applyAlignment="1" applyProtection="1">
      <alignment vertical="center" shrinkToFit="1"/>
      <protection locked="0"/>
    </xf>
    <xf numFmtId="220" fontId="15" fillId="13" borderId="1" xfId="0" applyFont="1" applyFill="1" applyBorder="1" applyAlignment="1" applyProtection="1">
      <alignment horizontal="left" vertical="center"/>
    </xf>
    <xf numFmtId="43" fontId="8" fillId="13" borderId="1" xfId="0" applyNumberFormat="1" applyFont="1" applyFill="1" applyBorder="1" applyAlignment="1" applyProtection="1">
      <alignment horizontal="left" vertical="center"/>
    </xf>
    <xf numFmtId="43" fontId="19" fillId="13" borderId="1" xfId="0" applyNumberFormat="1" applyFont="1" applyFill="1" applyBorder="1" applyAlignment="1" applyProtection="1">
      <alignment horizontal="left" vertical="center"/>
    </xf>
    <xf numFmtId="43" fontId="28" fillId="13" borderId="1" xfId="0" applyNumberFormat="1" applyFont="1" applyFill="1" applyBorder="1" applyAlignment="1" applyProtection="1">
      <alignment horizontal="left" vertical="center"/>
    </xf>
    <xf numFmtId="220" fontId="8" fillId="13" borderId="1" xfId="0" applyFont="1" applyFill="1" applyBorder="1" applyAlignment="1" applyProtection="1">
      <alignment horizontal="left" vertical="center"/>
    </xf>
    <xf numFmtId="220" fontId="8" fillId="5" borderId="0" xfId="5271" applyFont="1" applyFill="1" applyProtection="1">
      <alignment vertical="center"/>
      <protection locked="0"/>
    </xf>
    <xf numFmtId="43" fontId="25" fillId="13" borderId="0" xfId="36193" applyFont="1" applyFill="1" applyProtection="1">
      <alignment vertical="center"/>
      <protection locked="0"/>
    </xf>
    <xf numFmtId="220" fontId="0" fillId="13" borderId="1" xfId="0" applyFill="1" applyBorder="1" applyAlignment="1" applyProtection="1">
      <alignment vertical="center"/>
    </xf>
    <xf numFmtId="220" fontId="2" fillId="0" borderId="0" xfId="0" applyFont="1" applyAlignment="1">
      <alignment wrapText="1"/>
    </xf>
    <xf numFmtId="43" fontId="2" fillId="0" borderId="0" xfId="0" applyNumberFormat="1" applyFont="1" applyFill="1"/>
    <xf numFmtId="220" fontId="2" fillId="15" borderId="17" xfId="49" applyFont="1" applyFill="1" applyBorder="1" applyAlignment="1" applyProtection="1">
      <alignment horizontal="center" vertical="center"/>
      <protection locked="0"/>
    </xf>
    <xf numFmtId="220" fontId="22" fillId="4" borderId="0" xfId="0" applyFont="1" applyFill="1"/>
    <xf numFmtId="220" fontId="2" fillId="4" borderId="0" xfId="0" applyFont="1" applyFill="1"/>
    <xf numFmtId="220" fontId="20" fillId="0" borderId="0" xfId="0" applyFont="1" applyAlignment="1">
      <alignment wrapText="1"/>
    </xf>
    <xf numFmtId="220" fontId="20" fillId="0" borderId="0" xfId="0" applyFont="1" applyAlignment="1"/>
    <xf numFmtId="220" fontId="2" fillId="0" borderId="0" xfId="0" applyFont="1" applyAlignment="1">
      <alignment horizontal="left" wrapText="1"/>
    </xf>
    <xf numFmtId="43" fontId="2" fillId="16" borderId="0" xfId="0" applyNumberFormat="1" applyFont="1" applyFill="1"/>
    <xf numFmtId="220" fontId="2" fillId="4" borderId="0" xfId="0" applyFont="1" applyFill="1" applyAlignment="1">
      <alignment horizontal="left" wrapText="1"/>
    </xf>
    <xf numFmtId="220" fontId="2" fillId="4" borderId="0" xfId="0" applyFont="1" applyFill="1" applyAlignment="1">
      <alignment wrapText="1"/>
    </xf>
    <xf numFmtId="43" fontId="2" fillId="4" borderId="0" xfId="0" applyNumberFormat="1" applyFont="1" applyFill="1"/>
    <xf numFmtId="43" fontId="2" fillId="0" borderId="0" xfId="39" applyFont="1" applyAlignment="1">
      <alignment horizontal="left"/>
    </xf>
    <xf numFmtId="43" fontId="2" fillId="0" borderId="0" xfId="39" applyFont="1"/>
    <xf numFmtId="220" fontId="20" fillId="0" borderId="0" xfId="0" applyFont="1" applyFill="1" applyAlignment="1">
      <alignment vertical="center" wrapText="1"/>
    </xf>
    <xf numFmtId="265" fontId="29" fillId="0" borderId="0" xfId="26" applyNumberFormat="1" applyFont="1" applyFill="1" applyBorder="1" applyAlignment="1">
      <alignment horizontal="center" wrapText="1"/>
    </xf>
    <xf numFmtId="220" fontId="2" fillId="0" borderId="0" xfId="0" applyFont="1" applyFill="1"/>
    <xf numFmtId="220" fontId="2" fillId="0" borderId="0" xfId="0" applyFont="1" applyFill="1" applyAlignment="1">
      <alignment wrapText="1"/>
    </xf>
    <xf numFmtId="43" fontId="2" fillId="0" borderId="0" xfId="0" applyNumberFormat="1" applyFont="1"/>
    <xf numFmtId="220" fontId="20" fillId="0" borderId="0" xfId="0" applyFont="1" applyFill="1" applyAlignment="1">
      <alignment vertical="center"/>
    </xf>
    <xf numFmtId="220" fontId="20" fillId="0" borderId="0" xfId="0" applyFont="1" applyAlignment="1">
      <alignment horizontal="center"/>
    </xf>
    <xf numFmtId="220" fontId="23" fillId="0" borderId="0" xfId="0" applyFont="1" applyFill="1" applyAlignment="1">
      <alignment vertical="center"/>
    </xf>
    <xf numFmtId="43" fontId="2" fillId="0" borderId="0" xfId="39" applyFont="1" applyFill="1"/>
    <xf numFmtId="220" fontId="20" fillId="0" borderId="0" xfId="0" applyFont="1" applyAlignment="1">
      <alignment horizontal="center" wrapText="1"/>
    </xf>
    <xf numFmtId="43" fontId="2" fillId="0" borderId="0" xfId="0" applyNumberFormat="1" applyFont="1" applyAlignment="1">
      <alignment wrapText="1"/>
    </xf>
    <xf numFmtId="220" fontId="30" fillId="2" borderId="0" xfId="0" applyFont="1" applyFill="1" applyAlignment="1" applyProtection="1"/>
    <xf numFmtId="220" fontId="20" fillId="17" borderId="0" xfId="0" applyFont="1" applyFill="1" applyAlignment="1">
      <alignment horizontal="center"/>
    </xf>
    <xf numFmtId="43" fontId="2" fillId="17" borderId="0" xfId="0" applyNumberFormat="1" applyFont="1" applyFill="1" applyAlignment="1">
      <alignment wrapText="1"/>
    </xf>
    <xf numFmtId="43" fontId="5" fillId="0" borderId="0" xfId="39" applyFont="1"/>
    <xf numFmtId="43" fontId="2" fillId="4" borderId="0" xfId="0" applyNumberFormat="1" applyFont="1" applyFill="1" applyAlignment="1">
      <alignment wrapText="1"/>
    </xf>
    <xf numFmtId="220" fontId="20" fillId="17" borderId="0" xfId="0" applyFont="1" applyFill="1" applyAlignment="1">
      <alignment horizontal="center" wrapText="1"/>
    </xf>
    <xf numFmtId="220" fontId="2" fillId="0" borderId="10" xfId="26184" applyNumberFormat="1" applyFont="1" applyFill="1" applyBorder="1" applyAlignment="1">
      <alignment horizontal="left" vertical="center" wrapText="1"/>
    </xf>
    <xf numFmtId="220" fontId="2" fillId="4" borderId="12" xfId="26193" applyNumberFormat="1" applyFont="1" applyFill="1" applyBorder="1" applyAlignment="1">
      <alignment horizontal="center" vertical="center" wrapText="1"/>
    </xf>
    <xf numFmtId="9" fontId="2" fillId="0" borderId="0" xfId="55" applyFont="1" applyFill="1"/>
    <xf numFmtId="220" fontId="20" fillId="0" borderId="0" xfId="0" applyFont="1" applyFill="1" applyAlignment="1">
      <alignment horizontal="center" wrapText="1"/>
    </xf>
    <xf numFmtId="43" fontId="2" fillId="0" borderId="0" xfId="0" applyNumberFormat="1" applyFont="1" applyFill="1" applyAlignment="1">
      <alignment wrapText="1"/>
    </xf>
    <xf numFmtId="43" fontId="2" fillId="0" borderId="0" xfId="0" applyNumberFormat="1" applyFont="1" applyAlignment="1">
      <alignment horizontal="left" wrapText="1"/>
    </xf>
    <xf numFmtId="220" fontId="13" fillId="0" borderId="0" xfId="26195" applyFont="1" applyFill="1" applyAlignment="1">
      <alignment horizontal="center" vertical="center"/>
    </xf>
    <xf numFmtId="220" fontId="20" fillId="0" borderId="0" xfId="0" applyFont="1" applyAlignment="1">
      <alignment horizontal="left" wrapText="1"/>
    </xf>
    <xf numFmtId="220" fontId="30" fillId="0" borderId="0" xfId="0" applyFont="1" applyAlignment="1">
      <alignment wrapText="1"/>
    </xf>
    <xf numFmtId="220" fontId="2" fillId="3" borderId="0" xfId="0" applyFont="1" applyFill="1" applyAlignment="1">
      <alignment wrapText="1"/>
    </xf>
    <xf numFmtId="43" fontId="2" fillId="3" borderId="0" xfId="0" applyNumberFormat="1" applyFont="1" applyFill="1" applyAlignment="1">
      <alignment wrapText="1"/>
    </xf>
    <xf numFmtId="220" fontId="23" fillId="0" borderId="0" xfId="0" applyFont="1" applyAlignment="1">
      <alignment horizontal="left" wrapText="1"/>
    </xf>
    <xf numFmtId="220" fontId="3" fillId="0" borderId="0" xfId="0" applyFont="1" applyAlignment="1"/>
    <xf numFmtId="43" fontId="2" fillId="4" borderId="0" xfId="0" applyNumberFormat="1" applyFont="1" applyFill="1" applyAlignment="1">
      <alignment horizontal="left" wrapText="1"/>
    </xf>
    <xf numFmtId="220" fontId="4" fillId="0" borderId="0" xfId="0" applyFont="1"/>
    <xf numFmtId="220" fontId="20" fillId="3" borderId="0" xfId="0" applyFont="1" applyFill="1" applyAlignment="1">
      <alignment horizontal="center" wrapText="1"/>
    </xf>
    <xf numFmtId="43" fontId="2" fillId="4" borderId="0" xfId="39" applyFont="1" applyFill="1"/>
    <xf numFmtId="220" fontId="23" fillId="0" borderId="0" xfId="0" applyFont="1" applyFill="1" applyAlignment="1"/>
    <xf numFmtId="220" fontId="31" fillId="0" borderId="0" xfId="0" applyFont="1" applyAlignment="1"/>
    <xf numFmtId="220" fontId="2" fillId="0" borderId="0" xfId="0" applyFont="1" applyAlignment="1">
      <alignment horizontal="center" wrapText="1"/>
    </xf>
    <xf numFmtId="220" fontId="2" fillId="4" borderId="0" xfId="0" applyFont="1" applyFill="1" applyAlignment="1">
      <alignment horizontal="center" wrapText="1"/>
    </xf>
    <xf numFmtId="220" fontId="5" fillId="0" borderId="0" xfId="0" applyFont="1"/>
    <xf numFmtId="220" fontId="3" fillId="17" borderId="0" xfId="0" applyFont="1" applyFill="1" applyAlignment="1">
      <alignment horizontal="center" wrapText="1"/>
    </xf>
    <xf numFmtId="220" fontId="20" fillId="0" borderId="0" xfId="0" applyFont="1"/>
    <xf numFmtId="220" fontId="23" fillId="0" borderId="0" xfId="26203" applyNumberFormat="1" applyFont="1" applyFill="1" applyAlignment="1" applyProtection="1">
      <alignment horizontal="left" vertical="center" wrapText="1"/>
      <protection locked="0"/>
    </xf>
    <xf numFmtId="220" fontId="2" fillId="6" borderId="0" xfId="0" applyFont="1" applyFill="1"/>
    <xf numFmtId="43" fontId="2" fillId="6" borderId="0" xfId="0" applyNumberFormat="1" applyFont="1" applyFill="1"/>
    <xf numFmtId="43" fontId="2" fillId="2" borderId="0" xfId="39" applyFont="1" applyFill="1"/>
    <xf numFmtId="43" fontId="2" fillId="12" borderId="0" xfId="39" applyFont="1" applyFill="1"/>
    <xf numFmtId="43" fontId="2" fillId="18" borderId="0" xfId="39" applyFont="1" applyFill="1"/>
    <xf numFmtId="43" fontId="2" fillId="19" borderId="0" xfId="0" applyNumberFormat="1" applyFont="1" applyFill="1"/>
    <xf numFmtId="43" fontId="22" fillId="6" borderId="0" xfId="0" applyNumberFormat="1" applyFont="1" applyFill="1"/>
    <xf numFmtId="220" fontId="2" fillId="17" borderId="0" xfId="0" applyFont="1" applyFill="1" applyAlignment="1">
      <alignment wrapText="1"/>
    </xf>
    <xf numFmtId="43" fontId="22" fillId="0" borderId="0" xfId="0" applyNumberFormat="1" applyFont="1" applyFill="1"/>
    <xf numFmtId="43" fontId="2" fillId="6" borderId="0" xfId="39" applyFont="1" applyFill="1"/>
    <xf numFmtId="220" fontId="20" fillId="0" borderId="0" xfId="0" applyFont="1" applyFill="1" applyAlignment="1" applyProtection="1">
      <protection locked="0"/>
    </xf>
    <xf numFmtId="220" fontId="3" fillId="0" borderId="0" xfId="0" applyFont="1" applyAlignment="1">
      <alignment horizontal="center"/>
    </xf>
    <xf numFmtId="220" fontId="5" fillId="0" borderId="0" xfId="0" applyFont="1" applyAlignment="1"/>
    <xf numFmtId="220" fontId="5" fillId="4" borderId="0" xfId="0" applyFont="1" applyFill="1" applyAlignment="1"/>
    <xf numFmtId="220" fontId="20" fillId="0" borderId="0" xfId="0" applyFont="1" applyFill="1" applyAlignment="1"/>
    <xf numFmtId="43" fontId="0" fillId="0" borderId="0" xfId="39" applyFont="1"/>
    <xf numFmtId="43" fontId="2" fillId="16" borderId="0" xfId="39" applyFont="1" applyFill="1"/>
    <xf numFmtId="220" fontId="23" fillId="0" borderId="0" xfId="23895" applyFont="1" applyFill="1" applyBorder="1" applyAlignment="1">
      <alignment horizontal="left" vertical="center" wrapText="1"/>
    </xf>
    <xf numFmtId="220" fontId="4" fillId="0" borderId="0" xfId="0" applyFont="1" applyAlignment="1"/>
    <xf numFmtId="220" fontId="20" fillId="0" borderId="0" xfId="26183" applyFont="1" applyFill="1" applyBorder="1" applyAlignment="1" applyProtection="1">
      <alignment horizontal="left" vertical="center" wrapText="1"/>
      <protection locked="0"/>
    </xf>
    <xf numFmtId="220" fontId="2" fillId="0" borderId="0" xfId="26183" applyFont="1" applyFill="1" applyBorder="1" applyAlignment="1" applyProtection="1">
      <alignment horizontal="left" vertical="center" wrapText="1"/>
      <protection locked="0"/>
    </xf>
    <xf numFmtId="220" fontId="2" fillId="4" borderId="0" xfId="26183" applyFont="1" applyFill="1" applyBorder="1" applyAlignment="1" applyProtection="1">
      <alignment horizontal="left" vertical="center" wrapText="1"/>
      <protection locked="0"/>
    </xf>
    <xf numFmtId="43" fontId="2" fillId="12" borderId="0" xfId="0" applyNumberFormat="1" applyFont="1" applyFill="1"/>
    <xf numFmtId="220" fontId="2" fillId="12" borderId="0" xfId="0" applyFont="1" applyFill="1"/>
    <xf numFmtId="43" fontId="8" fillId="12" borderId="0" xfId="34818" applyFont="1" applyFill="1" applyBorder="1" applyAlignment="1" applyProtection="1">
      <alignment horizontal="center" vertical="center"/>
    </xf>
    <xf numFmtId="43" fontId="8" fillId="12" borderId="0" xfId="34818" applyFont="1" applyFill="1" applyBorder="1" applyProtection="1">
      <alignment vertical="center"/>
    </xf>
    <xf numFmtId="43" fontId="8" fillId="12" borderId="0" xfId="34818" applyFont="1" applyFill="1" applyBorder="1" applyProtection="1">
      <alignment vertical="center"/>
      <protection locked="0"/>
    </xf>
    <xf numFmtId="220" fontId="20" fillId="0" borderId="18" xfId="0" applyFont="1" applyFill="1" applyBorder="1" applyAlignment="1">
      <alignment horizontal="center" vertical="center" wrapText="1"/>
    </xf>
    <xf numFmtId="220" fontId="23" fillId="0" borderId="0" xfId="0" applyFont="1" applyAlignment="1">
      <alignment wrapText="1"/>
    </xf>
    <xf numFmtId="220" fontId="32" fillId="0" borderId="0" xfId="8561" applyFont="1" applyAlignment="1" applyProtection="1">
      <alignment vertical="center" wrapText="1"/>
      <protection locked="0"/>
    </xf>
    <xf numFmtId="220" fontId="32" fillId="0" borderId="0" xfId="8561" applyFont="1" applyAlignment="1" applyProtection="1">
      <alignment vertical="center"/>
      <protection locked="0"/>
    </xf>
    <xf numFmtId="43" fontId="32" fillId="0" borderId="0" xfId="39" applyFont="1" applyAlignment="1" applyProtection="1">
      <alignment vertical="center"/>
      <protection locked="0"/>
    </xf>
    <xf numFmtId="43" fontId="33" fillId="0" borderId="0" xfId="39" applyFont="1" applyAlignment="1" applyProtection="1">
      <alignment vertical="center"/>
      <protection locked="0"/>
    </xf>
    <xf numFmtId="220" fontId="27" fillId="0" borderId="0" xfId="8561" applyNumberFormat="1" applyFont="1" applyFill="1" applyAlignment="1" applyProtection="1">
      <alignment horizontal="left" vertical="center" wrapText="1"/>
      <protection locked="0"/>
    </xf>
    <xf numFmtId="220" fontId="34" fillId="0" borderId="0" xfId="8561" applyNumberFormat="1" applyFont="1" applyFill="1" applyAlignment="1" applyProtection="1">
      <alignment horizontal="center" vertical="center"/>
      <protection locked="0"/>
    </xf>
    <xf numFmtId="43" fontId="34" fillId="0" borderId="0" xfId="39" applyFont="1" applyFill="1" applyAlignment="1" applyProtection="1">
      <alignment horizontal="center" vertical="center"/>
      <protection locked="0"/>
    </xf>
    <xf numFmtId="220" fontId="27" fillId="0" borderId="2" xfId="23534" applyNumberFormat="1" applyFont="1" applyFill="1" applyBorder="1" applyAlignment="1" applyProtection="1">
      <alignment horizontal="left" vertical="center" wrapText="1"/>
    </xf>
    <xf numFmtId="43" fontId="27" fillId="0" borderId="0" xfId="39" applyFont="1" applyFill="1" applyAlignment="1" applyProtection="1">
      <alignment horizontal="left" vertical="center" wrapText="1"/>
      <protection locked="0"/>
    </xf>
    <xf numFmtId="220" fontId="32" fillId="0" borderId="0" xfId="8561" applyFont="1" applyFill="1" applyAlignment="1" applyProtection="1">
      <alignment vertical="center"/>
      <protection locked="0"/>
    </xf>
    <xf numFmtId="43" fontId="1" fillId="0" borderId="1" xfId="13027" applyNumberFormat="1" applyFont="1" applyFill="1" applyBorder="1" applyAlignment="1" applyProtection="1">
      <alignment horizontal="center" vertical="center" shrinkToFit="1"/>
    </xf>
    <xf numFmtId="43" fontId="35" fillId="0" borderId="0" xfId="39" applyFont="1" applyFill="1" applyAlignment="1" applyProtection="1">
      <alignment vertical="center"/>
      <protection locked="0"/>
    </xf>
    <xf numFmtId="43" fontId="36" fillId="0" borderId="1" xfId="39" applyFont="1" applyFill="1" applyBorder="1" applyAlignment="1" applyProtection="1">
      <alignment horizontal="center" vertical="center" shrinkToFit="1"/>
    </xf>
    <xf numFmtId="49" fontId="27" fillId="0" borderId="0" xfId="8561" applyNumberFormat="1" applyFont="1" applyFill="1" applyAlignment="1" applyProtection="1">
      <alignment horizontal="left" vertical="center" wrapText="1"/>
      <protection locked="0"/>
    </xf>
    <xf numFmtId="220" fontId="2" fillId="0" borderId="19" xfId="39" applyNumberFormat="1" applyFont="1" applyFill="1" applyBorder="1" applyAlignment="1" applyProtection="1">
      <alignment horizontal="left" vertical="center" wrapText="1"/>
      <protection locked="0"/>
    </xf>
    <xf numFmtId="220" fontId="2" fillId="0" borderId="1" xfId="22819" applyFont="1" applyFill="1" applyBorder="1" applyAlignment="1" applyProtection="1">
      <alignment vertical="center"/>
    </xf>
    <xf numFmtId="43" fontId="2" fillId="0" borderId="1" xfId="39" applyFont="1" applyFill="1" applyBorder="1" applyAlignment="1" applyProtection="1">
      <alignment vertical="center"/>
    </xf>
    <xf numFmtId="220" fontId="2" fillId="0" borderId="1" xfId="22819" applyFont="1" applyFill="1" applyBorder="1" applyAlignment="1" applyProtection="1">
      <alignment horizontal="left" vertical="center"/>
    </xf>
    <xf numFmtId="43" fontId="2" fillId="0" borderId="1" xfId="39" applyFont="1" applyFill="1" applyBorder="1" applyAlignment="1" applyProtection="1">
      <alignment horizontal="left" vertical="center"/>
    </xf>
    <xf numFmtId="220" fontId="2" fillId="0" borderId="1" xfId="22819" applyFont="1" applyFill="1" applyBorder="1" applyAlignment="1" applyProtection="1">
      <alignment horizontal="left" vertical="center"/>
      <protection locked="0"/>
    </xf>
    <xf numFmtId="43" fontId="13" fillId="0" borderId="1" xfId="35012" applyFont="1" applyFill="1" applyBorder="1" applyAlignment="1" applyProtection="1">
      <alignment horizontal="center" vertical="center"/>
    </xf>
    <xf numFmtId="220" fontId="1" fillId="0" borderId="0" xfId="26204" applyFont="1" applyFill="1" applyBorder="1" applyAlignment="1" applyProtection="1">
      <alignment vertical="center"/>
    </xf>
    <xf numFmtId="43" fontId="36" fillId="0" borderId="0" xfId="39" applyFont="1" applyFill="1" applyBorder="1" applyAlignment="1" applyProtection="1">
      <alignment horizontal="center" vertical="center" shrinkToFit="1"/>
    </xf>
    <xf numFmtId="220" fontId="35" fillId="0" borderId="0" xfId="23534" applyFont="1" applyFill="1" applyAlignment="1" applyProtection="1">
      <alignment vertical="center"/>
      <protection locked="0"/>
    </xf>
    <xf numFmtId="43" fontId="35" fillId="0" borderId="0" xfId="39" applyFont="1" applyAlignment="1" applyProtection="1">
      <alignment vertical="center"/>
      <protection locked="0"/>
    </xf>
    <xf numFmtId="220" fontId="37" fillId="0" borderId="0" xfId="23534" applyFont="1" applyAlignment="1" applyProtection="1">
      <alignment horizontal="center" vertical="center"/>
      <protection locked="0"/>
    </xf>
    <xf numFmtId="220" fontId="35" fillId="0" borderId="0" xfId="23534" applyFont="1" applyAlignment="1" applyProtection="1">
      <alignment horizontal="left" vertical="center"/>
      <protection locked="0"/>
    </xf>
    <xf numFmtId="43" fontId="38" fillId="0" borderId="0" xfId="39" applyFont="1" applyAlignment="1" applyProtection="1">
      <alignment vertical="center"/>
      <protection locked="0"/>
    </xf>
    <xf numFmtId="43" fontId="37" fillId="0" borderId="0" xfId="39" applyFont="1" applyAlignment="1" applyProtection="1">
      <alignment vertical="center"/>
      <protection locked="0"/>
    </xf>
    <xf numFmtId="43" fontId="35" fillId="0" borderId="0" xfId="23534" applyNumberFormat="1" applyFont="1" applyFill="1" applyAlignment="1" applyProtection="1">
      <alignment vertical="center"/>
      <protection locked="0"/>
    </xf>
    <xf numFmtId="10" fontId="35" fillId="0" borderId="0" xfId="55" applyNumberFormat="1" applyFont="1" applyFill="1" applyAlignment="1" applyProtection="1">
      <alignment vertical="center"/>
      <protection locked="0"/>
    </xf>
    <xf numFmtId="220" fontId="35" fillId="0" borderId="0" xfId="23534" applyFont="1" applyAlignment="1" applyProtection="1">
      <alignment vertical="center"/>
      <protection locked="0"/>
    </xf>
    <xf numFmtId="43" fontId="39" fillId="0" borderId="0" xfId="39" applyFont="1" applyAlignment="1" applyProtection="1">
      <alignment vertical="center"/>
      <protection locked="0"/>
    </xf>
    <xf numFmtId="43" fontId="35" fillId="0" borderId="0" xfId="39" applyFont="1" applyBorder="1" applyAlignment="1" applyProtection="1">
      <alignment vertical="center"/>
      <protection locked="0"/>
    </xf>
    <xf numFmtId="43" fontId="38" fillId="0" borderId="0" xfId="39" applyFont="1" applyBorder="1" applyAlignment="1" applyProtection="1">
      <alignment vertical="center"/>
      <protection locked="0"/>
    </xf>
    <xf numFmtId="43" fontId="35" fillId="0" borderId="0" xfId="39" applyFont="1" applyFill="1" applyBorder="1" applyAlignment="1" applyProtection="1">
      <alignment vertical="center"/>
      <protection locked="0"/>
    </xf>
    <xf numFmtId="43" fontId="32" fillId="0" borderId="0" xfId="39" applyFont="1" applyFill="1" applyAlignment="1" applyProtection="1">
      <alignment vertical="center"/>
      <protection locked="0"/>
    </xf>
    <xf numFmtId="43" fontId="7" fillId="0" borderId="1" xfId="26190" applyNumberFormat="1" applyFont="1" applyFill="1" applyBorder="1" applyAlignment="1" applyProtection="1">
      <alignment horizontal="center" vertical="center" shrinkToFit="1"/>
    </xf>
    <xf numFmtId="43" fontId="7" fillId="0" borderId="0" xfId="26190" applyNumberFormat="1" applyFont="1" applyFill="1" applyBorder="1" applyAlignment="1" applyProtection="1">
      <alignment horizontal="center" vertical="center" shrinkToFit="1"/>
    </xf>
    <xf numFmtId="43" fontId="7" fillId="0" borderId="1" xfId="39" applyFont="1" applyFill="1" applyBorder="1" applyAlignment="1" applyProtection="1">
      <alignment horizontal="center" vertical="center" shrinkToFit="1"/>
    </xf>
    <xf numFmtId="220" fontId="5" fillId="0" borderId="0" xfId="22819"/>
    <xf numFmtId="220" fontId="36" fillId="0" borderId="1" xfId="22819" applyFont="1" applyFill="1" applyBorder="1" applyAlignment="1" applyProtection="1"/>
    <xf numFmtId="43" fontId="36" fillId="0" borderId="1" xfId="39" applyFont="1" applyFill="1" applyBorder="1" applyAlignment="1" applyProtection="1"/>
    <xf numFmtId="43" fontId="5" fillId="0" borderId="0" xfId="22819" applyNumberFormat="1"/>
    <xf numFmtId="220" fontId="36" fillId="0" borderId="1" xfId="22819" applyFont="1" applyFill="1" applyBorder="1" applyAlignment="1" applyProtection="1">
      <alignment horizontal="left"/>
    </xf>
    <xf numFmtId="43" fontId="36" fillId="0" borderId="1" xfId="39" applyFont="1" applyFill="1" applyBorder="1" applyAlignment="1" applyProtection="1">
      <alignment horizontal="left"/>
    </xf>
    <xf numFmtId="43" fontId="7" fillId="0" borderId="1" xfId="34857" applyFont="1" applyFill="1" applyBorder="1" applyAlignment="1" applyProtection="1">
      <alignment horizontal="center" vertical="center"/>
    </xf>
    <xf numFmtId="43" fontId="35" fillId="0" borderId="1" xfId="23534" applyNumberFormat="1" applyFont="1" applyBorder="1" applyAlignment="1" applyProtection="1">
      <alignment vertical="center"/>
      <protection locked="0"/>
    </xf>
    <xf numFmtId="43" fontId="7" fillId="0" borderId="1" xfId="39" applyFont="1" applyFill="1" applyBorder="1" applyAlignment="1" applyProtection="1">
      <alignment horizontal="center" vertical="center"/>
    </xf>
    <xf numFmtId="220" fontId="1" fillId="0" borderId="0" xfId="26207" applyNumberFormat="1" applyFont="1" applyFill="1" applyBorder="1" applyAlignment="1" applyProtection="1">
      <alignment vertical="center"/>
    </xf>
    <xf numFmtId="43" fontId="36" fillId="0" borderId="0" xfId="26207" applyNumberFormat="1" applyFont="1" applyFill="1" applyBorder="1" applyAlignment="1" applyProtection="1">
      <alignment vertical="center"/>
    </xf>
    <xf numFmtId="43" fontId="36" fillId="0" borderId="0" xfId="39" applyFont="1" applyFill="1" applyBorder="1" applyAlignment="1" applyProtection="1">
      <alignment horizontal="left" vertical="center"/>
    </xf>
    <xf numFmtId="43" fontId="1" fillId="0" borderId="0" xfId="26207" applyNumberFormat="1" applyFont="1" applyFill="1" applyBorder="1" applyAlignment="1" applyProtection="1">
      <alignment vertical="center"/>
    </xf>
    <xf numFmtId="43" fontId="2" fillId="0" borderId="0" xfId="39" applyFont="1" applyFill="1" applyBorder="1" applyAlignment="1" applyProtection="1">
      <alignment vertical="center"/>
    </xf>
    <xf numFmtId="220" fontId="5" fillId="0" borderId="0" xfId="22819" applyAlignment="1">
      <alignment horizontal="left"/>
    </xf>
    <xf numFmtId="43" fontId="37" fillId="0" borderId="0" xfId="39" applyFont="1" applyFill="1" applyAlignment="1" applyProtection="1">
      <alignment vertical="center"/>
      <protection locked="0"/>
    </xf>
    <xf numFmtId="43" fontId="35" fillId="6" borderId="0" xfId="39" applyFont="1" applyFill="1" applyAlignment="1" applyProtection="1">
      <alignment vertical="center"/>
      <protection locked="0"/>
    </xf>
    <xf numFmtId="43" fontId="0" fillId="0" borderId="0" xfId="35882" applyFont="1" applyFill="1"/>
    <xf numFmtId="220" fontId="37" fillId="0" borderId="0" xfId="23534" applyFont="1" applyFill="1" applyAlignment="1" applyProtection="1">
      <alignment vertical="center"/>
      <protection locked="0"/>
    </xf>
    <xf numFmtId="220" fontId="40" fillId="0" borderId="0" xfId="16401" applyFont="1" applyFill="1" applyBorder="1" applyAlignment="1">
      <alignment horizontal="center" vertical="center"/>
    </xf>
    <xf numFmtId="220" fontId="41" fillId="0" borderId="0" xfId="20263" applyFont="1" applyFill="1" applyAlignment="1" applyProtection="1">
      <alignment vertical="center"/>
    </xf>
    <xf numFmtId="220" fontId="40" fillId="0" borderId="0" xfId="16401" applyFont="1" applyFill="1" applyBorder="1" applyAlignment="1">
      <alignment vertical="center"/>
    </xf>
    <xf numFmtId="220" fontId="42" fillId="0" borderId="0" xfId="23562" applyFont="1" applyFill="1" applyAlignment="1">
      <alignment vertical="center"/>
    </xf>
    <xf numFmtId="220" fontId="43" fillId="0" borderId="0" xfId="16401" applyFont="1" applyFill="1" applyBorder="1" applyAlignment="1">
      <alignment horizontal="left" vertical="center"/>
    </xf>
    <xf numFmtId="220" fontId="5" fillId="0" borderId="0" xfId="16401" applyFont="1" applyFill="1" applyBorder="1" applyAlignment="1">
      <alignment horizontal="right" vertical="center"/>
    </xf>
    <xf numFmtId="220" fontId="42" fillId="0" borderId="0" xfId="26227" applyFont="1" applyFill="1" applyAlignment="1">
      <alignment horizontal="center" vertical="center"/>
    </xf>
    <xf numFmtId="220" fontId="42" fillId="0" borderId="0" xfId="16401" applyFont="1" applyFill="1" applyBorder="1" applyAlignment="1">
      <alignment horizontal="center" vertical="center"/>
    </xf>
    <xf numFmtId="220" fontId="42" fillId="0" borderId="0" xfId="16401" applyFont="1" applyFill="1" applyBorder="1" applyAlignment="1">
      <alignment horizontal="left" vertical="center"/>
    </xf>
    <xf numFmtId="220" fontId="42" fillId="0" borderId="0" xfId="26227" applyFont="1" applyFill="1" applyAlignment="1">
      <alignment horizontal="left" vertical="center"/>
    </xf>
    <xf numFmtId="220" fontId="44" fillId="0" borderId="0" xfId="16401" applyFont="1" applyFill="1" applyBorder="1" applyAlignment="1">
      <alignment horizontal="center" vertical="center"/>
    </xf>
    <xf numFmtId="220" fontId="42" fillId="0" borderId="0" xfId="23562" applyFont="1" applyFill="1" applyAlignment="1">
      <alignment horizontal="center" vertical="center"/>
    </xf>
    <xf numFmtId="220" fontId="45" fillId="0" borderId="0" xfId="23562" applyFont="1" applyFill="1" applyAlignment="1">
      <alignment vertical="center"/>
    </xf>
    <xf numFmtId="220" fontId="3" fillId="20" borderId="7" xfId="23562" applyFont="1" applyFill="1" applyBorder="1" applyAlignment="1" applyProtection="1">
      <alignment horizontal="center" vertical="center" wrapText="1"/>
    </xf>
    <xf numFmtId="220" fontId="46" fillId="20" borderId="20" xfId="23562" applyFont="1" applyFill="1" applyBorder="1" applyAlignment="1" applyProtection="1">
      <alignment horizontal="center" vertical="center" wrapText="1"/>
    </xf>
    <xf numFmtId="220" fontId="46" fillId="20" borderId="6" xfId="23562" applyFont="1" applyFill="1" applyBorder="1" applyAlignment="1" applyProtection="1">
      <alignment horizontal="center" vertical="center" wrapText="1"/>
    </xf>
    <xf numFmtId="220" fontId="5" fillId="0" borderId="0" xfId="23562" applyFont="1" applyFill="1" applyAlignment="1">
      <alignment horizontal="center" vertical="center"/>
    </xf>
    <xf numFmtId="220" fontId="47" fillId="0" borderId="0" xfId="23562" applyFont="1" applyFill="1" applyAlignment="1">
      <alignment vertical="center"/>
    </xf>
    <xf numFmtId="220" fontId="42" fillId="20" borderId="21" xfId="23562" applyFont="1" applyFill="1" applyBorder="1" applyAlignment="1" applyProtection="1">
      <alignment horizontal="center" vertical="center" wrapText="1"/>
    </xf>
    <xf numFmtId="220" fontId="42" fillId="20" borderId="18" xfId="23562" applyFont="1" applyFill="1" applyBorder="1" applyAlignment="1" applyProtection="1">
      <alignment horizontal="center" vertical="center" wrapText="1"/>
    </xf>
    <xf numFmtId="220" fontId="42" fillId="20" borderId="22" xfId="23562" applyFont="1" applyFill="1" applyBorder="1" applyAlignment="1" applyProtection="1">
      <alignment horizontal="center" vertical="center" wrapText="1"/>
    </xf>
    <xf numFmtId="43" fontId="42" fillId="0" borderId="0" xfId="39" applyFont="1" applyFill="1" applyAlignment="1">
      <alignment vertical="center"/>
    </xf>
    <xf numFmtId="220" fontId="5" fillId="0" borderId="0" xfId="23562" applyFont="1" applyFill="1" applyAlignment="1">
      <alignment vertical="center"/>
    </xf>
    <xf numFmtId="220" fontId="42" fillId="0" borderId="23" xfId="23562" applyFont="1" applyFill="1" applyBorder="1" applyAlignment="1">
      <alignment vertical="center" shrinkToFit="1"/>
    </xf>
    <xf numFmtId="49" fontId="42" fillId="0" borderId="24" xfId="23562" applyNumberFormat="1" applyFont="1" applyFill="1" applyBorder="1" applyAlignment="1" applyProtection="1">
      <alignment horizontal="center" vertical="center" wrapText="1"/>
    </xf>
    <xf numFmtId="43" fontId="42" fillId="0" borderId="24" xfId="36192" applyFont="1" applyFill="1" applyBorder="1" applyAlignment="1" applyProtection="1">
      <alignment horizontal="right" vertical="center" wrapText="1"/>
    </xf>
    <xf numFmtId="220" fontId="42" fillId="0" borderId="25" xfId="23562" applyFont="1" applyFill="1" applyBorder="1" applyAlignment="1" applyProtection="1">
      <alignment horizontal="left" vertical="center" wrapText="1"/>
    </xf>
    <xf numFmtId="43" fontId="42" fillId="0" borderId="0" xfId="39" applyFont="1" applyFill="1" applyAlignment="1">
      <alignment horizontal="center" vertical="center"/>
    </xf>
    <xf numFmtId="220" fontId="42" fillId="0" borderId="23" xfId="23562" applyFont="1" applyFill="1" applyBorder="1" applyAlignment="1" applyProtection="1">
      <alignment vertical="center" wrapText="1"/>
    </xf>
    <xf numFmtId="220" fontId="5" fillId="0" borderId="25" xfId="23562" applyFont="1" applyFill="1" applyBorder="1" applyAlignment="1" applyProtection="1">
      <alignment horizontal="left" vertical="center" wrapText="1"/>
    </xf>
    <xf numFmtId="220" fontId="42" fillId="0" borderId="25" xfId="23562" applyFont="1" applyFill="1" applyBorder="1" applyAlignment="1">
      <alignment horizontal="left" vertical="center"/>
    </xf>
    <xf numFmtId="43" fontId="42" fillId="0" borderId="24" xfId="36192" applyFont="1" applyFill="1" applyBorder="1" applyAlignment="1" applyProtection="1">
      <alignment horizontal="right" vertical="center"/>
    </xf>
    <xf numFmtId="220" fontId="42" fillId="0" borderId="23" xfId="23562" applyFont="1" applyFill="1" applyBorder="1" applyAlignment="1">
      <alignment vertical="center"/>
    </xf>
    <xf numFmtId="43" fontId="42" fillId="0" borderId="25" xfId="36192" applyFont="1" applyFill="1" applyBorder="1" applyAlignment="1" applyProtection="1">
      <alignment horizontal="left" vertical="center" wrapText="1"/>
      <protection locked="0"/>
    </xf>
    <xf numFmtId="220" fontId="42" fillId="0" borderId="23" xfId="23562" applyFont="1" applyFill="1" applyBorder="1" applyAlignment="1">
      <alignment vertical="center" wrapText="1"/>
    </xf>
    <xf numFmtId="220" fontId="42" fillId="0" borderId="23" xfId="23562" applyFont="1" applyFill="1" applyBorder="1" applyAlignment="1" applyProtection="1">
      <alignment horizontal="left" vertical="center" wrapText="1"/>
    </xf>
    <xf numFmtId="220" fontId="5" fillId="0" borderId="26" xfId="23562" applyFont="1" applyFill="1" applyBorder="1" applyAlignment="1" applyProtection="1">
      <alignment horizontal="center" vertical="center" wrapText="1"/>
    </xf>
    <xf numFmtId="220" fontId="5" fillId="0" borderId="23" xfId="23562" applyFont="1" applyFill="1" applyBorder="1" applyAlignment="1" applyProtection="1">
      <alignment horizontal="center" vertical="center" wrapText="1"/>
    </xf>
    <xf numFmtId="43" fontId="48" fillId="21" borderId="24" xfId="36192" applyFont="1" applyFill="1" applyBorder="1" applyAlignment="1" applyProtection="1">
      <alignment horizontal="right" vertical="center"/>
    </xf>
    <xf numFmtId="43" fontId="42" fillId="0" borderId="25" xfId="36192" applyFont="1" applyFill="1" applyBorder="1" applyAlignment="1" applyProtection="1">
      <alignment horizontal="left" vertical="center"/>
    </xf>
    <xf numFmtId="220" fontId="5" fillId="0" borderId="23" xfId="23562" applyFont="1" applyFill="1" applyBorder="1" applyAlignment="1" applyProtection="1">
      <alignment horizontal="center" vertical="center"/>
    </xf>
    <xf numFmtId="220" fontId="42" fillId="0" borderId="24" xfId="23562" applyFont="1" applyFill="1" applyBorder="1" applyAlignment="1" applyProtection="1">
      <alignment horizontal="center" vertical="center"/>
    </xf>
    <xf numFmtId="43" fontId="42" fillId="21" borderId="24" xfId="36192" applyFont="1" applyFill="1" applyBorder="1" applyAlignment="1" applyProtection="1">
      <alignment horizontal="right" vertical="center"/>
    </xf>
    <xf numFmtId="220" fontId="42" fillId="0" borderId="23" xfId="23562" applyFont="1" applyFill="1" applyBorder="1" applyAlignment="1" applyProtection="1">
      <alignment horizontal="center" vertical="center"/>
    </xf>
    <xf numFmtId="220" fontId="42" fillId="0" borderId="27" xfId="23562" applyFont="1" applyFill="1" applyBorder="1" applyAlignment="1" applyProtection="1">
      <alignment horizontal="center" vertical="center"/>
      <protection locked="0"/>
    </xf>
    <xf numFmtId="220" fontId="42" fillId="0" borderId="28" xfId="23562" applyFont="1" applyFill="1" applyBorder="1" applyAlignment="1" applyProtection="1">
      <alignment horizontal="center" vertical="center"/>
      <protection locked="0"/>
    </xf>
    <xf numFmtId="43" fontId="42" fillId="0" borderId="28" xfId="36192" applyFont="1" applyFill="1" applyBorder="1" applyAlignment="1" applyProtection="1">
      <alignment horizontal="right" vertical="center"/>
      <protection locked="0"/>
    </xf>
    <xf numFmtId="43" fontId="42" fillId="0" borderId="29" xfId="36192" applyFont="1" applyFill="1" applyBorder="1" applyAlignment="1" applyProtection="1">
      <alignment horizontal="left" vertical="center"/>
      <protection locked="0"/>
    </xf>
    <xf numFmtId="220" fontId="42" fillId="0" borderId="4" xfId="23562" applyFont="1" applyFill="1" applyBorder="1" applyAlignment="1" applyProtection="1">
      <alignment horizontal="center" vertical="center"/>
      <protection locked="0"/>
    </xf>
    <xf numFmtId="43" fontId="42" fillId="0" borderId="4" xfId="36192" applyFont="1" applyFill="1" applyBorder="1" applyAlignment="1" applyProtection="1">
      <alignment horizontal="right" vertical="center"/>
      <protection locked="0"/>
    </xf>
    <xf numFmtId="43" fontId="42" fillId="0" borderId="4" xfId="36192" applyFont="1" applyFill="1" applyBorder="1" applyAlignment="1" applyProtection="1">
      <alignment horizontal="left" vertical="center"/>
      <protection locked="0"/>
    </xf>
    <xf numFmtId="220" fontId="46" fillId="20" borderId="2" xfId="23562" applyFont="1" applyFill="1" applyBorder="1" applyAlignment="1" applyProtection="1">
      <alignment horizontal="center" vertical="center" wrapText="1"/>
    </xf>
    <xf numFmtId="220" fontId="42" fillId="0" borderId="23" xfId="23562" applyFont="1" applyFill="1" applyBorder="1" applyAlignment="1" applyProtection="1">
      <alignment vertical="center" wrapText="1"/>
      <protection locked="0"/>
    </xf>
    <xf numFmtId="43" fontId="42" fillId="0" borderId="25" xfId="36192" applyFont="1" applyFill="1" applyBorder="1" applyAlignment="1" applyProtection="1">
      <alignment horizontal="left" vertical="center"/>
      <protection locked="0"/>
    </xf>
    <xf numFmtId="220" fontId="5" fillId="0" borderId="26" xfId="23562" applyFont="1" applyFill="1" applyBorder="1" applyAlignment="1" applyProtection="1">
      <alignment horizontal="center" vertical="center"/>
    </xf>
    <xf numFmtId="220" fontId="3" fillId="20" borderId="2" xfId="23562" applyFont="1" applyFill="1" applyBorder="1" applyAlignment="1" applyProtection="1">
      <alignment horizontal="center" vertical="center" wrapText="1"/>
    </xf>
    <xf numFmtId="43" fontId="5" fillId="0" borderId="25" xfId="36192" applyFont="1" applyFill="1" applyBorder="1" applyAlignment="1" applyProtection="1">
      <alignment horizontal="left" vertical="center"/>
      <protection locked="0"/>
    </xf>
    <xf numFmtId="220" fontId="5" fillId="0" borderId="23" xfId="23562" applyFont="1" applyFill="1" applyBorder="1" applyAlignment="1" applyProtection="1">
      <alignment vertical="center" wrapText="1"/>
      <protection locked="0"/>
    </xf>
    <xf numFmtId="43" fontId="5" fillId="0" borderId="0" xfId="39" applyFont="1" applyFill="1" applyAlignment="1">
      <alignment horizontal="left" vertical="center"/>
    </xf>
    <xf numFmtId="43" fontId="49" fillId="0" borderId="0" xfId="23562" applyNumberFormat="1" applyFont="1" applyFill="1" applyAlignment="1">
      <alignment vertical="center"/>
    </xf>
    <xf numFmtId="43" fontId="42" fillId="0" borderId="0" xfId="23562" applyNumberFormat="1" applyFont="1" applyFill="1" applyAlignment="1">
      <alignment horizontal="left" vertical="center"/>
    </xf>
    <xf numFmtId="43" fontId="42" fillId="0" borderId="0" xfId="39" applyFont="1" applyFill="1" applyAlignment="1">
      <alignment horizontal="left" vertical="center"/>
    </xf>
    <xf numFmtId="220" fontId="42" fillId="0" borderId="0" xfId="23562" applyFont="1" applyFill="1" applyAlignment="1">
      <alignment horizontal="left" vertical="center"/>
    </xf>
    <xf numFmtId="4" fontId="5" fillId="0" borderId="0" xfId="23562" applyNumberFormat="1" applyFont="1" applyFill="1" applyAlignment="1">
      <alignment horizontal="left" vertical="center"/>
    </xf>
    <xf numFmtId="220" fontId="42" fillId="0" borderId="0" xfId="23562" applyFont="1" applyFill="1" applyBorder="1" applyAlignment="1" applyProtection="1">
      <alignment horizontal="center" vertical="center"/>
      <protection locked="0"/>
    </xf>
    <xf numFmtId="43" fontId="42" fillId="0" borderId="0" xfId="36192" applyFont="1" applyFill="1" applyBorder="1" applyAlignment="1" applyProtection="1">
      <alignment vertical="center"/>
      <protection locked="0"/>
    </xf>
    <xf numFmtId="43" fontId="42" fillId="0" borderId="0" xfId="36192" applyFont="1" applyFill="1" applyBorder="1" applyAlignment="1" applyProtection="1">
      <alignment horizontal="left" vertical="center"/>
      <protection locked="0"/>
    </xf>
    <xf numFmtId="220" fontId="49" fillId="0" borderId="0" xfId="23562" applyFont="1" applyFill="1" applyAlignment="1">
      <alignment horizontal="left" vertical="center"/>
    </xf>
    <xf numFmtId="220" fontId="44" fillId="0" borderId="0" xfId="23562" applyFont="1" applyFill="1" applyAlignment="1" applyProtection="1">
      <alignment horizontal="center" vertical="center"/>
    </xf>
    <xf numFmtId="220" fontId="5" fillId="0" borderId="23" xfId="23562" applyFont="1" applyFill="1" applyBorder="1" applyAlignment="1" applyProtection="1">
      <alignment vertical="center" wrapText="1"/>
    </xf>
    <xf numFmtId="10" fontId="42" fillId="0" borderId="25" xfId="36192" applyNumberFormat="1" applyFont="1" applyFill="1" applyBorder="1" applyAlignment="1" applyProtection="1">
      <alignment horizontal="left" vertical="center"/>
    </xf>
    <xf numFmtId="43" fontId="49" fillId="0" borderId="0" xfId="39" applyFont="1" applyFill="1" applyAlignment="1">
      <alignment vertical="center"/>
    </xf>
    <xf numFmtId="220" fontId="45" fillId="0" borderId="0" xfId="23562" applyFont="1" applyAlignment="1">
      <alignment vertical="center"/>
    </xf>
    <xf numFmtId="4" fontId="49" fillId="0" borderId="0" xfId="23562" applyNumberFormat="1" applyFont="1" applyFill="1" applyAlignment="1">
      <alignment vertical="center"/>
    </xf>
    <xf numFmtId="43" fontId="42" fillId="0" borderId="25" xfId="39" applyFont="1" applyFill="1" applyBorder="1" applyAlignment="1" applyProtection="1">
      <alignment horizontal="left" vertical="center"/>
    </xf>
    <xf numFmtId="43" fontId="5" fillId="0" borderId="25" xfId="39" applyFont="1" applyFill="1" applyBorder="1" applyAlignment="1" applyProtection="1">
      <alignment horizontal="left" vertical="center"/>
    </xf>
    <xf numFmtId="43" fontId="42" fillId="21" borderId="24" xfId="36192" applyFont="1" applyFill="1" applyBorder="1" applyAlignment="1" applyProtection="1">
      <alignment horizontal="right" vertical="center" wrapText="1"/>
    </xf>
    <xf numFmtId="10" fontId="5" fillId="0" borderId="25" xfId="36192" applyNumberFormat="1" applyFont="1" applyFill="1" applyBorder="1" applyAlignment="1" applyProtection="1">
      <alignment horizontal="left" vertical="center"/>
    </xf>
    <xf numFmtId="43" fontId="5" fillId="0" borderId="0" xfId="39" applyFont="1" applyFill="1" applyAlignment="1">
      <alignment vertical="center"/>
    </xf>
    <xf numFmtId="43" fontId="42" fillId="0" borderId="24" xfId="36192" applyFont="1" applyFill="1" applyBorder="1" applyAlignment="1" applyProtection="1">
      <alignment horizontal="right" vertical="center"/>
      <protection locked="0"/>
    </xf>
    <xf numFmtId="4" fontId="42" fillId="0" borderId="0" xfId="23562" applyNumberFormat="1" applyFont="1" applyFill="1" applyAlignment="1">
      <alignment vertical="center"/>
    </xf>
    <xf numFmtId="43" fontId="42" fillId="0" borderId="0" xfId="36192" applyFont="1" applyFill="1" applyBorder="1" applyAlignment="1" applyProtection="1">
      <alignment horizontal="right" vertical="center"/>
      <protection locked="0"/>
    </xf>
    <xf numFmtId="43" fontId="42" fillId="0" borderId="0" xfId="23562" applyNumberFormat="1" applyFont="1" applyFill="1" applyAlignment="1">
      <alignment horizontal="center" vertical="center"/>
    </xf>
    <xf numFmtId="43" fontId="5" fillId="0" borderId="25" xfId="36192" applyFont="1" applyFill="1" applyBorder="1" applyAlignment="1" applyProtection="1">
      <alignment horizontal="left" vertical="center" wrapText="1"/>
    </xf>
    <xf numFmtId="43" fontId="42" fillId="0" borderId="0" xfId="36192" applyFont="1" applyFill="1" applyAlignment="1">
      <alignment vertical="center"/>
    </xf>
    <xf numFmtId="43" fontId="42" fillId="0" borderId="24" xfId="36192" applyFont="1" applyFill="1" applyBorder="1" applyAlignment="1">
      <alignment vertical="center"/>
    </xf>
    <xf numFmtId="220" fontId="42" fillId="0" borderId="25" xfId="23562" applyFont="1" applyFill="1" applyBorder="1" applyAlignment="1" applyProtection="1">
      <alignment horizontal="left" vertical="center" wrapText="1"/>
      <protection locked="0"/>
    </xf>
    <xf numFmtId="220" fontId="5" fillId="0" borderId="25" xfId="23562" applyFont="1" applyFill="1" applyBorder="1" applyAlignment="1" applyProtection="1">
      <alignment horizontal="left" vertical="center" wrapText="1"/>
      <protection locked="0"/>
    </xf>
    <xf numFmtId="43" fontId="42" fillId="21" borderId="24" xfId="36192" applyFont="1" applyFill="1" applyBorder="1" applyAlignment="1" applyProtection="1">
      <alignment vertical="center"/>
    </xf>
    <xf numFmtId="43" fontId="5" fillId="0" borderId="0" xfId="23562" applyNumberFormat="1" applyFont="1" applyFill="1" applyAlignment="1">
      <alignment horizontal="left" vertical="center"/>
    </xf>
    <xf numFmtId="43" fontId="42" fillId="0" borderId="0" xfId="23562" applyNumberFormat="1" applyFont="1" applyFill="1" applyAlignment="1">
      <alignment vertical="center"/>
    </xf>
    <xf numFmtId="43" fontId="42" fillId="0" borderId="28" xfId="36192" applyFont="1" applyFill="1" applyBorder="1" applyAlignment="1" applyProtection="1">
      <alignment vertical="center"/>
      <protection locked="0"/>
    </xf>
    <xf numFmtId="43" fontId="42" fillId="0" borderId="24" xfId="36192" applyFont="1" applyFill="1" applyBorder="1" applyAlignment="1">
      <alignment horizontal="right" vertical="center"/>
    </xf>
    <xf numFmtId="43" fontId="5" fillId="0" borderId="0" xfId="39" applyFont="1" applyFill="1" applyAlignment="1">
      <alignment horizontal="center" vertical="center"/>
    </xf>
    <xf numFmtId="43" fontId="5" fillId="0" borderId="0" xfId="36192" applyFont="1" applyFill="1" applyAlignment="1">
      <alignment vertical="center"/>
    </xf>
    <xf numFmtId="220" fontId="5" fillId="0" borderId="23" xfId="23562" applyFont="1" applyFill="1" applyBorder="1" applyAlignment="1">
      <alignment vertical="center"/>
    </xf>
    <xf numFmtId="220" fontId="5" fillId="0" borderId="0" xfId="23562" applyFont="1" applyFill="1" applyAlignment="1">
      <alignment horizontal="left" vertical="center"/>
    </xf>
    <xf numFmtId="220" fontId="44" fillId="0" borderId="19" xfId="23562" applyFont="1" applyFill="1" applyBorder="1" applyAlignment="1" applyProtection="1">
      <alignment horizontal="center" vertical="center"/>
    </xf>
    <xf numFmtId="220" fontId="44" fillId="0" borderId="30" xfId="23562" applyFont="1" applyFill="1" applyBorder="1" applyAlignment="1" applyProtection="1">
      <alignment horizontal="center" vertical="center"/>
    </xf>
    <xf numFmtId="220" fontId="44" fillId="0" borderId="17" xfId="23562" applyFont="1" applyFill="1" applyBorder="1" applyAlignment="1" applyProtection="1">
      <alignment horizontal="center" vertical="center"/>
    </xf>
    <xf numFmtId="220" fontId="46" fillId="20" borderId="7" xfId="23562" applyFont="1" applyFill="1" applyBorder="1" applyAlignment="1" applyProtection="1">
      <alignment horizontal="center" vertical="center" wrapText="1"/>
    </xf>
    <xf numFmtId="43" fontId="50" fillId="0" borderId="0" xfId="36192" applyFont="1" applyFill="1" applyAlignment="1">
      <alignment vertical="center"/>
    </xf>
    <xf numFmtId="220" fontId="5" fillId="0" borderId="25" xfId="23562" applyFont="1" applyFill="1" applyBorder="1" applyAlignment="1">
      <alignment horizontal="left" vertical="center"/>
    </xf>
    <xf numFmtId="220" fontId="5" fillId="0" borderId="23" xfId="23562" applyFont="1" applyFill="1" applyBorder="1" applyAlignment="1" applyProtection="1">
      <alignment horizontal="right" vertical="center"/>
    </xf>
    <xf numFmtId="43" fontId="42" fillId="21" borderId="24" xfId="36192" applyFont="1" applyFill="1" applyBorder="1" applyAlignment="1">
      <alignment horizontal="right" vertical="center"/>
    </xf>
    <xf numFmtId="43" fontId="5" fillId="0" borderId="0" xfId="36192" applyFont="1" applyFill="1" applyAlignment="1">
      <alignment vertical="center" wrapText="1"/>
    </xf>
    <xf numFmtId="220" fontId="42" fillId="0" borderId="4" xfId="23562" applyFont="1" applyFill="1" applyBorder="1" applyAlignment="1">
      <alignment vertical="center"/>
    </xf>
    <xf numFmtId="43" fontId="42" fillId="0" borderId="4" xfId="36192" applyFont="1" applyFill="1" applyBorder="1" applyAlignment="1">
      <alignment horizontal="right" vertical="center"/>
    </xf>
    <xf numFmtId="220" fontId="42" fillId="0" borderId="4" xfId="23562" applyFont="1" applyFill="1" applyBorder="1" applyAlignment="1">
      <alignment horizontal="left" vertical="center"/>
    </xf>
    <xf numFmtId="220" fontId="5" fillId="0" borderId="26" xfId="23562" applyFont="1" applyFill="1" applyBorder="1" applyAlignment="1" applyProtection="1">
      <alignment horizontal="center" vertical="center" wrapText="1"/>
      <protection locked="0"/>
    </xf>
    <xf numFmtId="220" fontId="5" fillId="0" borderId="23" xfId="23562" applyFont="1" applyFill="1" applyBorder="1" applyAlignment="1" applyProtection="1">
      <alignment horizontal="center" vertical="center" wrapText="1"/>
      <protection locked="0"/>
    </xf>
    <xf numFmtId="220" fontId="5" fillId="12" borderId="23" xfId="23562" applyFont="1" applyFill="1" applyBorder="1" applyAlignment="1" applyProtection="1">
      <alignment horizontal="left" vertical="center" wrapText="1"/>
    </xf>
    <xf numFmtId="43" fontId="42" fillId="21" borderId="24" xfId="36192" applyFont="1" applyFill="1" applyBorder="1" applyAlignment="1">
      <alignment vertical="center"/>
    </xf>
    <xf numFmtId="220" fontId="15" fillId="0" borderId="23" xfId="23562" applyFont="1" applyBorder="1" applyAlignment="1">
      <alignment horizontal="justify" vertical="center" wrapText="1"/>
    </xf>
    <xf numFmtId="220" fontId="51" fillId="0" borderId="23" xfId="23562" applyFont="1" applyBorder="1" applyAlignment="1">
      <alignment horizontal="justify" vertical="center" wrapText="1"/>
    </xf>
    <xf numFmtId="220" fontId="15" fillId="12" borderId="23" xfId="23562" applyFont="1" applyFill="1" applyBorder="1" applyAlignment="1">
      <alignment horizontal="justify" vertical="center" wrapText="1"/>
    </xf>
    <xf numFmtId="220" fontId="5" fillId="0" borderId="23" xfId="23562" applyFont="1" applyFill="1" applyBorder="1" applyAlignment="1" applyProtection="1">
      <alignment horizontal="right" vertical="center" wrapText="1"/>
      <protection locked="0"/>
    </xf>
    <xf numFmtId="43" fontId="42" fillId="0" borderId="28" xfId="36192" applyFont="1" applyFill="1" applyBorder="1" applyAlignment="1">
      <alignment vertical="center"/>
    </xf>
    <xf numFmtId="220" fontId="42" fillId="0" borderId="29" xfId="23562" applyFont="1" applyFill="1" applyBorder="1" applyAlignment="1">
      <alignment horizontal="left" vertical="center"/>
    </xf>
    <xf numFmtId="43" fontId="42" fillId="0" borderId="4" xfId="36192" applyFont="1" applyFill="1" applyBorder="1" applyAlignment="1">
      <alignment vertical="center"/>
    </xf>
    <xf numFmtId="220" fontId="42" fillId="0" borderId="23" xfId="23562" applyFont="1" applyFill="1" applyBorder="1" applyAlignment="1" applyProtection="1">
      <alignment horizontal="center" vertical="center" wrapText="1"/>
    </xf>
    <xf numFmtId="220" fontId="49" fillId="0" borderId="0" xfId="23562" applyFont="1" applyFill="1" applyBorder="1" applyAlignment="1">
      <alignment vertical="center"/>
    </xf>
    <xf numFmtId="220" fontId="49" fillId="0" borderId="0" xfId="23562" applyFont="1" applyFill="1" applyBorder="1" applyAlignment="1">
      <alignment horizontal="left" vertical="center"/>
    </xf>
    <xf numFmtId="220" fontId="52" fillId="0" borderId="0" xfId="23562" applyFont="1" applyFill="1" applyAlignment="1">
      <alignment vertical="center"/>
    </xf>
    <xf numFmtId="220" fontId="44" fillId="0" borderId="0" xfId="23562" applyFont="1" applyFill="1" applyBorder="1" applyAlignment="1" applyProtection="1">
      <alignment horizontal="center" vertical="center"/>
    </xf>
    <xf numFmtId="220" fontId="49" fillId="0" borderId="0" xfId="23562" applyFont="1" applyFill="1" applyAlignment="1">
      <alignment vertical="center"/>
    </xf>
    <xf numFmtId="220" fontId="42" fillId="0" borderId="0" xfId="23562" applyFont="1" applyFill="1" applyBorder="1" applyAlignment="1">
      <alignment horizontal="left" vertical="center"/>
    </xf>
    <xf numFmtId="220" fontId="42" fillId="0" borderId="24" xfId="23562" applyFont="1" applyFill="1" applyBorder="1" applyAlignment="1">
      <alignment vertical="center"/>
    </xf>
    <xf numFmtId="43" fontId="42" fillId="0" borderId="4" xfId="36192" applyFont="1" applyFill="1" applyBorder="1" applyAlignment="1" applyProtection="1">
      <alignment vertical="center"/>
      <protection locked="0"/>
    </xf>
    <xf numFmtId="265" fontId="42" fillId="0" borderId="28" xfId="36192" applyNumberFormat="1" applyFont="1" applyFill="1" applyBorder="1" applyAlignment="1" applyProtection="1">
      <alignment horizontal="right" vertical="center"/>
      <protection locked="0"/>
    </xf>
    <xf numFmtId="220" fontId="5" fillId="0" borderId="23" xfId="23562" applyFont="1" applyFill="1" applyBorder="1" applyAlignment="1" applyProtection="1">
      <alignment horizontal="left" vertical="center" wrapText="1"/>
    </xf>
    <xf numFmtId="220" fontId="42" fillId="0" borderId="24" xfId="23562" applyFont="1" applyFill="1" applyBorder="1" applyAlignment="1" applyProtection="1">
      <alignment horizontal="center" vertical="center" wrapText="1"/>
    </xf>
    <xf numFmtId="220" fontId="5" fillId="0" borderId="25" xfId="23562" applyFont="1" applyFill="1" applyBorder="1" applyAlignment="1">
      <alignment horizontal="left" vertical="center" wrapText="1"/>
    </xf>
    <xf numFmtId="265" fontId="42" fillId="0" borderId="23" xfId="23562" applyNumberFormat="1" applyFont="1" applyFill="1" applyBorder="1" applyAlignment="1" applyProtection="1">
      <alignment horizontal="left" vertical="center" wrapText="1"/>
    </xf>
    <xf numFmtId="265" fontId="42" fillId="0" borderId="24" xfId="23562" applyNumberFormat="1" applyFont="1" applyFill="1" applyBorder="1" applyAlignment="1" applyProtection="1">
      <alignment horizontal="center" vertical="center" wrapText="1"/>
    </xf>
    <xf numFmtId="43" fontId="42" fillId="0" borderId="24" xfId="36192" applyFont="1" applyFill="1" applyBorder="1" applyAlignment="1" applyProtection="1">
      <alignment horizontal="center" vertical="center" wrapText="1"/>
    </xf>
    <xf numFmtId="265" fontId="42" fillId="0" borderId="25" xfId="23562" applyNumberFormat="1" applyFont="1" applyFill="1" applyBorder="1" applyAlignment="1" applyProtection="1">
      <alignment horizontal="left" vertical="center" wrapText="1"/>
    </xf>
    <xf numFmtId="265" fontId="5" fillId="0" borderId="25" xfId="23562" applyNumberFormat="1" applyFont="1" applyFill="1" applyBorder="1" applyAlignment="1" applyProtection="1">
      <alignment horizontal="left" vertical="center" wrapText="1"/>
    </xf>
    <xf numFmtId="265" fontId="42" fillId="0" borderId="23" xfId="23562" applyNumberFormat="1" applyFont="1" applyFill="1" applyBorder="1" applyAlignment="1" applyProtection="1">
      <alignment horizontal="center" vertical="center" wrapText="1"/>
    </xf>
    <xf numFmtId="265" fontId="5" fillId="0" borderId="26" xfId="23562" applyNumberFormat="1" applyFont="1" applyFill="1" applyBorder="1" applyAlignment="1" applyProtection="1">
      <alignment horizontal="center" vertical="center" wrapText="1"/>
      <protection locked="0"/>
    </xf>
    <xf numFmtId="265" fontId="5" fillId="0" borderId="23" xfId="23562" applyNumberFormat="1" applyFont="1" applyFill="1" applyBorder="1" applyAlignment="1" applyProtection="1">
      <alignment horizontal="center" vertical="center" wrapText="1"/>
      <protection locked="0"/>
    </xf>
    <xf numFmtId="265" fontId="42" fillId="0" borderId="25" xfId="23562" applyNumberFormat="1" applyFont="1" applyFill="1" applyBorder="1" applyAlignment="1">
      <alignment horizontal="left" vertical="center"/>
    </xf>
    <xf numFmtId="265" fontId="42" fillId="0" borderId="23" xfId="23562" applyNumberFormat="1" applyFont="1" applyFill="1" applyBorder="1" applyAlignment="1" applyProtection="1">
      <alignment horizontal="center" vertical="center"/>
    </xf>
    <xf numFmtId="265" fontId="42" fillId="0" borderId="24" xfId="23562" applyNumberFormat="1" applyFont="1" applyFill="1" applyBorder="1" applyAlignment="1" applyProtection="1">
      <alignment horizontal="center" vertical="center"/>
    </xf>
    <xf numFmtId="265" fontId="42" fillId="0" borderId="27" xfId="23562" applyNumberFormat="1" applyFont="1" applyFill="1" applyBorder="1" applyAlignment="1" applyProtection="1">
      <alignment horizontal="center" vertical="center"/>
      <protection locked="0"/>
    </xf>
    <xf numFmtId="265" fontId="42" fillId="0" borderId="28" xfId="23562" applyNumberFormat="1" applyFont="1" applyFill="1" applyBorder="1" applyAlignment="1" applyProtection="1">
      <alignment horizontal="center" vertical="center"/>
      <protection locked="0"/>
    </xf>
    <xf numFmtId="265" fontId="42" fillId="0" borderId="29" xfId="23562" applyNumberFormat="1" applyFont="1" applyFill="1" applyBorder="1" applyAlignment="1">
      <alignment horizontal="left" vertical="center"/>
    </xf>
    <xf numFmtId="265" fontId="42" fillId="0" borderId="0" xfId="23562" applyNumberFormat="1" applyFont="1" applyFill="1" applyAlignment="1">
      <alignment vertical="center"/>
    </xf>
    <xf numFmtId="265" fontId="42" fillId="0" borderId="0" xfId="23562" applyNumberFormat="1" applyFont="1" applyFill="1" applyAlignment="1">
      <alignment horizontal="left" vertical="center"/>
    </xf>
    <xf numFmtId="265" fontId="46" fillId="20" borderId="2" xfId="23562" applyNumberFormat="1" applyFont="1" applyFill="1" applyBorder="1" applyAlignment="1" applyProtection="1">
      <alignment horizontal="center" vertical="center" wrapText="1"/>
    </xf>
    <xf numFmtId="265" fontId="42" fillId="20" borderId="21" xfId="23562" applyNumberFormat="1" applyFont="1" applyFill="1" applyBorder="1" applyAlignment="1" applyProtection="1">
      <alignment horizontal="center" vertical="center" wrapText="1"/>
    </xf>
    <xf numFmtId="265" fontId="42" fillId="20" borderId="18" xfId="23562" applyNumberFormat="1" applyFont="1" applyFill="1" applyBorder="1" applyAlignment="1" applyProtection="1">
      <alignment horizontal="center" vertical="center" wrapText="1"/>
    </xf>
    <xf numFmtId="265" fontId="42" fillId="20" borderId="22" xfId="23562" applyNumberFormat="1" applyFont="1" applyFill="1" applyBorder="1" applyAlignment="1" applyProtection="1">
      <alignment horizontal="center" vertical="center" wrapText="1"/>
    </xf>
    <xf numFmtId="265" fontId="42" fillId="0" borderId="23" xfId="23562" applyNumberFormat="1" applyFont="1" applyFill="1" applyBorder="1" applyAlignment="1">
      <alignment vertical="center"/>
    </xf>
    <xf numFmtId="220" fontId="40" fillId="0" borderId="0" xfId="23562" applyFont="1" applyFill="1" applyAlignment="1" applyProtection="1">
      <alignment horizontal="center" vertical="center"/>
    </xf>
    <xf numFmtId="283" fontId="42" fillId="0" borderId="23" xfId="23562" applyNumberFormat="1" applyFont="1" applyFill="1" applyBorder="1" applyAlignment="1" applyProtection="1">
      <alignment horizontal="left" vertical="center" wrapText="1"/>
    </xf>
    <xf numFmtId="283" fontId="42" fillId="0" borderId="24" xfId="23562" applyNumberFormat="1" applyFont="1" applyFill="1" applyBorder="1" applyAlignment="1" applyProtection="1">
      <alignment horizontal="center" vertical="center" wrapText="1"/>
    </xf>
    <xf numFmtId="283" fontId="42" fillId="0" borderId="25" xfId="23562" applyNumberFormat="1" applyFont="1" applyFill="1" applyBorder="1" applyAlignment="1" applyProtection="1">
      <alignment horizontal="left" vertical="center" wrapText="1"/>
    </xf>
    <xf numFmtId="283" fontId="5" fillId="0" borderId="25" xfId="23562" applyNumberFormat="1" applyFont="1" applyFill="1" applyBorder="1" applyAlignment="1" applyProtection="1">
      <alignment horizontal="left" vertical="center" wrapText="1"/>
    </xf>
    <xf numFmtId="283" fontId="5" fillId="0" borderId="23" xfId="23562" applyNumberFormat="1" applyFont="1" applyFill="1" applyBorder="1" applyAlignment="1" applyProtection="1">
      <alignment horizontal="left" vertical="center" wrapText="1"/>
    </xf>
    <xf numFmtId="283" fontId="42" fillId="0" borderId="25" xfId="23562" applyNumberFormat="1" applyFont="1" applyFill="1" applyBorder="1" applyAlignment="1">
      <alignment horizontal="left" vertical="center"/>
    </xf>
    <xf numFmtId="283" fontId="42" fillId="0" borderId="23" xfId="23562" applyNumberFormat="1" applyFont="1" applyFill="1" applyBorder="1" applyAlignment="1" applyProtection="1">
      <alignment horizontal="center" vertical="center"/>
    </xf>
    <xf numFmtId="283" fontId="42" fillId="0" borderId="24" xfId="23562" applyNumberFormat="1" applyFont="1" applyFill="1" applyBorder="1" applyAlignment="1" applyProtection="1">
      <alignment horizontal="center" vertical="center"/>
    </xf>
    <xf numFmtId="283" fontId="42" fillId="0" borderId="27" xfId="23562" applyNumberFormat="1" applyFont="1" applyFill="1" applyBorder="1" applyAlignment="1" applyProtection="1">
      <alignment horizontal="center" vertical="center"/>
      <protection locked="0"/>
    </xf>
    <xf numFmtId="283" fontId="42" fillId="0" borderId="28" xfId="23562" applyNumberFormat="1" applyFont="1" applyFill="1" applyBorder="1" applyAlignment="1" applyProtection="1">
      <alignment horizontal="center" vertical="center"/>
      <protection locked="0"/>
    </xf>
    <xf numFmtId="283" fontId="42" fillId="0" borderId="29" xfId="23562" applyNumberFormat="1" applyFont="1" applyFill="1" applyBorder="1" applyAlignment="1">
      <alignment horizontal="left" vertical="center"/>
    </xf>
    <xf numFmtId="283" fontId="42" fillId="0" borderId="0" xfId="23562" applyNumberFormat="1" applyFont="1" applyFill="1" applyBorder="1" applyAlignment="1" applyProtection="1">
      <alignment horizontal="center" vertical="center"/>
      <protection locked="0"/>
    </xf>
    <xf numFmtId="283" fontId="42" fillId="0" borderId="0" xfId="23562" applyNumberFormat="1" applyFont="1" applyFill="1" applyBorder="1" applyAlignment="1">
      <alignment horizontal="left" vertical="center"/>
    </xf>
    <xf numFmtId="283" fontId="42" fillId="0" borderId="23" xfId="23562" applyNumberFormat="1" applyFont="1" applyFill="1" applyBorder="1" applyAlignment="1" applyProtection="1">
      <alignment horizontal="center" vertical="center" wrapText="1"/>
    </xf>
    <xf numFmtId="283" fontId="5" fillId="0" borderId="26" xfId="23562" applyNumberFormat="1" applyFont="1" applyFill="1" applyBorder="1" applyAlignment="1" applyProtection="1">
      <alignment horizontal="center" vertical="center" wrapText="1"/>
      <protection locked="0"/>
    </xf>
    <xf numFmtId="283" fontId="5" fillId="0" borderId="23" xfId="23562" applyNumberFormat="1" applyFont="1" applyFill="1" applyBorder="1" applyAlignment="1" applyProtection="1">
      <alignment horizontal="center" vertical="center" wrapText="1"/>
      <protection locked="0"/>
    </xf>
    <xf numFmtId="283" fontId="42" fillId="0" borderId="0" xfId="23562" applyNumberFormat="1" applyFont="1" applyFill="1" applyAlignment="1">
      <alignment vertical="center"/>
    </xf>
    <xf numFmtId="283" fontId="42" fillId="0" borderId="0" xfId="23562" applyNumberFormat="1" applyFont="1" applyFill="1" applyAlignment="1">
      <alignment horizontal="left" vertical="center"/>
    </xf>
    <xf numFmtId="283" fontId="42" fillId="0" borderId="0" xfId="36192" applyNumberFormat="1" applyFont="1" applyFill="1" applyBorder="1" applyAlignment="1" applyProtection="1">
      <alignment vertical="center"/>
      <protection locked="0"/>
    </xf>
    <xf numFmtId="283" fontId="49" fillId="0" borderId="0" xfId="23562" applyNumberFormat="1" applyFont="1" applyFill="1" applyBorder="1" applyAlignment="1">
      <alignment horizontal="left" vertical="center"/>
    </xf>
    <xf numFmtId="283" fontId="44" fillId="0" borderId="0" xfId="23562" applyNumberFormat="1" applyFont="1" applyFill="1" applyBorder="1" applyAlignment="1" applyProtection="1">
      <alignment horizontal="center" vertical="center"/>
    </xf>
    <xf numFmtId="43" fontId="42" fillId="0" borderId="24" xfId="36192" applyFont="1" applyFill="1" applyBorder="1" applyAlignment="1" applyProtection="1">
      <alignment vertical="center"/>
    </xf>
    <xf numFmtId="283" fontId="42" fillId="0" borderId="25" xfId="36192" applyNumberFormat="1" applyFont="1" applyFill="1" applyBorder="1" applyAlignment="1" applyProtection="1">
      <alignment horizontal="left" vertical="center"/>
    </xf>
    <xf numFmtId="283" fontId="42" fillId="0" borderId="23" xfId="23562" applyNumberFormat="1" applyFont="1" applyFill="1" applyBorder="1" applyAlignment="1" applyProtection="1">
      <alignment vertical="center" wrapText="1"/>
    </xf>
    <xf numFmtId="283" fontId="5" fillId="0" borderId="26" xfId="23562" applyNumberFormat="1" applyFont="1" applyFill="1" applyBorder="1" applyAlignment="1" applyProtection="1">
      <alignment horizontal="center" vertical="center"/>
    </xf>
    <xf numFmtId="283" fontId="5" fillId="0" borderId="23" xfId="23562" applyNumberFormat="1" applyFont="1" applyFill="1" applyBorder="1" applyAlignment="1" applyProtection="1">
      <alignment horizontal="center" vertical="center"/>
    </xf>
    <xf numFmtId="283" fontId="42" fillId="0" borderId="29" xfId="36192" applyNumberFormat="1" applyFont="1" applyFill="1" applyBorder="1" applyAlignment="1" applyProtection="1">
      <alignment horizontal="left" vertical="center"/>
      <protection locked="0"/>
    </xf>
    <xf numFmtId="283" fontId="42" fillId="0" borderId="4" xfId="23562" applyNumberFormat="1" applyFont="1" applyFill="1" applyBorder="1" applyAlignment="1" applyProtection="1">
      <alignment horizontal="center" vertical="center"/>
      <protection locked="0"/>
    </xf>
    <xf numFmtId="283" fontId="42" fillId="0" borderId="4" xfId="36192" applyNumberFormat="1" applyFont="1" applyFill="1" applyBorder="1" applyAlignment="1" applyProtection="1">
      <alignment horizontal="left" vertical="center"/>
      <protection locked="0"/>
    </xf>
    <xf numFmtId="283" fontId="5" fillId="0" borderId="25" xfId="36192" applyNumberFormat="1" applyFont="1" applyFill="1" applyBorder="1" applyAlignment="1" applyProtection="1">
      <alignment horizontal="left" vertical="center"/>
    </xf>
    <xf numFmtId="283" fontId="5" fillId="0" borderId="23" xfId="23562" applyNumberFormat="1" applyFont="1" applyFill="1" applyBorder="1" applyAlignment="1" applyProtection="1">
      <alignment horizontal="right" vertical="center" wrapText="1"/>
    </xf>
    <xf numFmtId="265" fontId="42" fillId="20" borderId="31" xfId="23562" applyNumberFormat="1" applyFont="1" applyFill="1" applyBorder="1" applyAlignment="1" applyProtection="1">
      <alignment horizontal="center" vertical="center" wrapText="1"/>
    </xf>
    <xf numFmtId="265" fontId="42" fillId="20" borderId="32" xfId="23562" applyNumberFormat="1" applyFont="1" applyFill="1" applyBorder="1" applyAlignment="1" applyProtection="1">
      <alignment horizontal="center" vertical="center" wrapText="1"/>
    </xf>
    <xf numFmtId="265" fontId="42" fillId="20" borderId="33" xfId="23562" applyNumberFormat="1" applyFont="1" applyFill="1" applyBorder="1" applyAlignment="1" applyProtection="1">
      <alignment horizontal="center" vertical="center" wrapText="1"/>
    </xf>
    <xf numFmtId="220" fontId="42" fillId="0" borderId="23" xfId="23562" applyFont="1" applyFill="1" applyBorder="1" applyAlignment="1" applyProtection="1">
      <alignment horizontal="right" vertical="center" wrapText="1"/>
    </xf>
    <xf numFmtId="220" fontId="42" fillId="0" borderId="0" xfId="23562" applyFont="1" applyFill="1" applyBorder="1" applyAlignment="1">
      <alignment horizontal="center" vertical="center"/>
    </xf>
    <xf numFmtId="43" fontId="42" fillId="0" borderId="28" xfId="36192" applyFont="1" applyFill="1" applyBorder="1" applyAlignment="1" applyProtection="1">
      <alignment horizontal="right" vertical="center"/>
    </xf>
    <xf numFmtId="43" fontId="42" fillId="0" borderId="29" xfId="36192" applyFont="1" applyFill="1" applyBorder="1" applyAlignment="1" applyProtection="1">
      <alignment horizontal="left" vertical="center"/>
    </xf>
    <xf numFmtId="220" fontId="53" fillId="0" borderId="0" xfId="23562" applyFont="1" applyFill="1" applyAlignment="1">
      <alignment horizontal="left" vertical="center"/>
    </xf>
    <xf numFmtId="220" fontId="53" fillId="0" borderId="0" xfId="23562" applyFont="1" applyFill="1" applyAlignment="1">
      <alignment vertical="center"/>
    </xf>
    <xf numFmtId="220" fontId="54" fillId="0" borderId="0" xfId="23562" applyFont="1" applyAlignment="1">
      <alignment vertical="center"/>
    </xf>
    <xf numFmtId="220" fontId="32" fillId="0" borderId="0" xfId="18297" applyFont="1" applyAlignment="1" applyProtection="1">
      <alignment vertical="center" wrapText="1"/>
      <protection locked="0"/>
    </xf>
    <xf numFmtId="220" fontId="32" fillId="0" borderId="0" xfId="18297" applyFont="1" applyAlignment="1" applyProtection="1">
      <alignment vertical="center"/>
      <protection locked="0"/>
    </xf>
    <xf numFmtId="220" fontId="27" fillId="0" borderId="0" xfId="18297" applyNumberFormat="1" applyFont="1" applyFill="1" applyAlignment="1" applyProtection="1">
      <alignment horizontal="left" vertical="center" wrapText="1"/>
      <protection locked="0"/>
    </xf>
    <xf numFmtId="220" fontId="34" fillId="0" borderId="0" xfId="18297" applyNumberFormat="1" applyFont="1" applyFill="1" applyAlignment="1" applyProtection="1">
      <alignment horizontal="center" vertical="center"/>
      <protection locked="0"/>
    </xf>
    <xf numFmtId="220" fontId="27" fillId="0" borderId="0" xfId="23534" applyNumberFormat="1" applyFont="1" applyFill="1" applyBorder="1" applyAlignment="1" applyProtection="1">
      <alignment vertical="center" wrapText="1"/>
    </xf>
    <xf numFmtId="220" fontId="55" fillId="0" borderId="15" xfId="23534" applyNumberFormat="1" applyFont="1" applyFill="1" applyBorder="1" applyAlignment="1" applyProtection="1">
      <alignment horizontal="center" vertical="center" wrapText="1"/>
    </xf>
    <xf numFmtId="43" fontId="1" fillId="0" borderId="1" xfId="4491" applyNumberFormat="1" applyFont="1" applyFill="1" applyBorder="1" applyAlignment="1" applyProtection="1">
      <alignment horizontal="center" vertical="center" shrinkToFit="1"/>
    </xf>
    <xf numFmtId="43" fontId="1" fillId="0" borderId="1" xfId="4491" applyNumberFormat="1" applyFont="1" applyFill="1" applyBorder="1" applyAlignment="1" applyProtection="1">
      <alignment horizontal="left" vertical="center" shrinkToFit="1"/>
    </xf>
    <xf numFmtId="43" fontId="2" fillId="0" borderId="1" xfId="4491" applyNumberFormat="1" applyFont="1" applyFill="1" applyBorder="1" applyAlignment="1" applyProtection="1">
      <alignment horizontal="left" vertical="center" shrinkToFit="1"/>
    </xf>
    <xf numFmtId="43" fontId="1" fillId="0" borderId="1" xfId="39" applyFont="1" applyFill="1" applyBorder="1" applyAlignment="1" applyProtection="1">
      <alignment horizontal="right" vertical="center" shrinkToFit="1"/>
    </xf>
    <xf numFmtId="43" fontId="1" fillId="0" borderId="1" xfId="4491" applyNumberFormat="1" applyFont="1" applyFill="1" applyBorder="1" applyAlignment="1" applyProtection="1">
      <alignment horizontal="right" vertical="center" shrinkToFit="1"/>
    </xf>
    <xf numFmtId="220" fontId="1" fillId="0" borderId="0" xfId="26213" applyFont="1" applyFill="1" applyBorder="1" applyAlignment="1" applyProtection="1">
      <alignment vertical="center"/>
    </xf>
    <xf numFmtId="43" fontId="1" fillId="0" borderId="0" xfId="4491" applyNumberFormat="1" applyFont="1" applyFill="1" applyBorder="1" applyAlignment="1" applyProtection="1">
      <alignment horizontal="right" vertical="center" shrinkToFit="1"/>
    </xf>
    <xf numFmtId="220" fontId="27" fillId="0" borderId="0" xfId="26204" applyFont="1" applyFill="1" applyBorder="1" applyAlignment="1" applyProtection="1">
      <alignment vertical="center"/>
      <protection locked="0"/>
    </xf>
    <xf numFmtId="43" fontId="48" fillId="0" borderId="0" xfId="23534" applyNumberFormat="1" applyFont="1" applyFill="1" applyAlignment="1" applyProtection="1">
      <alignment vertical="center"/>
      <protection locked="0"/>
    </xf>
    <xf numFmtId="43" fontId="42" fillId="0" borderId="0" xfId="23534" applyNumberFormat="1" applyFont="1" applyFill="1" applyAlignment="1" applyProtection="1">
      <alignment vertical="center"/>
      <protection locked="0"/>
    </xf>
    <xf numFmtId="220" fontId="33" fillId="0" borderId="0" xfId="18297" applyFont="1" applyAlignment="1" applyProtection="1">
      <alignment vertical="center"/>
      <protection locked="0"/>
    </xf>
    <xf numFmtId="220" fontId="32" fillId="0" borderId="0" xfId="18297" applyFont="1" applyFill="1" applyAlignment="1" applyProtection="1">
      <alignment vertical="center"/>
      <protection locked="0"/>
    </xf>
    <xf numFmtId="43" fontId="36" fillId="0" borderId="1" xfId="13027" applyNumberFormat="1" applyFont="1" applyFill="1" applyBorder="1" applyAlignment="1" applyProtection="1">
      <alignment horizontal="center" vertical="center" shrinkToFit="1"/>
    </xf>
    <xf numFmtId="49" fontId="27" fillId="0" borderId="0" xfId="18297" applyNumberFormat="1" applyFont="1" applyFill="1" applyAlignment="1" applyProtection="1">
      <alignment horizontal="left" vertical="center" wrapText="1"/>
      <protection locked="0"/>
    </xf>
    <xf numFmtId="220" fontId="2" fillId="0" borderId="1" xfId="21245" applyFont="1" applyFill="1" applyBorder="1" applyAlignment="1" applyProtection="1">
      <alignment vertical="center"/>
    </xf>
    <xf numFmtId="220" fontId="2" fillId="0" borderId="1" xfId="21245" applyFont="1" applyFill="1" applyBorder="1" applyAlignment="1" applyProtection="1">
      <alignment horizontal="left" vertical="center"/>
    </xf>
    <xf numFmtId="220" fontId="2" fillId="0" borderId="1" xfId="21245" applyFont="1" applyFill="1" applyBorder="1" applyAlignment="1" applyProtection="1">
      <alignment horizontal="left" vertical="center"/>
      <protection locked="0"/>
    </xf>
    <xf numFmtId="43" fontId="38" fillId="6" borderId="0" xfId="39" applyFont="1" applyFill="1" applyAlignment="1" applyProtection="1">
      <alignment vertical="center"/>
      <protection locked="0"/>
    </xf>
    <xf numFmtId="220" fontId="38" fillId="0" borderId="0" xfId="23534" applyFont="1" applyAlignment="1" applyProtection="1">
      <alignment vertical="center"/>
      <protection locked="0"/>
    </xf>
    <xf numFmtId="220" fontId="5" fillId="0" borderId="0" xfId="21245"/>
    <xf numFmtId="220" fontId="36" fillId="0" borderId="1" xfId="21245" applyFont="1" applyFill="1" applyBorder="1" applyAlignment="1" applyProtection="1"/>
    <xf numFmtId="43" fontId="5" fillId="0" borderId="0" xfId="21245" applyNumberFormat="1"/>
    <xf numFmtId="220" fontId="36" fillId="0" borderId="1" xfId="21245" applyFont="1" applyFill="1" applyBorder="1" applyAlignment="1" applyProtection="1">
      <alignment horizontal="left"/>
    </xf>
    <xf numFmtId="43" fontId="37" fillId="0" borderId="1" xfId="23534" applyNumberFormat="1" applyFont="1" applyBorder="1" applyAlignment="1" applyProtection="1">
      <alignment vertical="center"/>
      <protection locked="0"/>
    </xf>
    <xf numFmtId="43" fontId="36" fillId="0" borderId="0" xfId="34857" applyFont="1" applyFill="1" applyBorder="1" applyAlignment="1" applyProtection="1">
      <alignment horizontal="left" vertical="center"/>
    </xf>
    <xf numFmtId="43" fontId="2" fillId="0" borderId="0" xfId="26207" applyNumberFormat="1" applyFont="1" applyFill="1" applyBorder="1" applyAlignment="1" applyProtection="1">
      <alignment vertical="center"/>
    </xf>
    <xf numFmtId="220" fontId="5" fillId="0" borderId="0" xfId="21245" applyAlignment="1">
      <alignment horizontal="left"/>
    </xf>
    <xf numFmtId="220" fontId="35" fillId="6" borderId="0" xfId="23534" applyFont="1" applyFill="1" applyAlignment="1" applyProtection="1">
      <alignment vertical="center"/>
      <protection locked="0"/>
    </xf>
    <xf numFmtId="43" fontId="35" fillId="0" borderId="0" xfId="23534" applyNumberFormat="1" applyFont="1" applyAlignment="1" applyProtection="1">
      <alignment vertical="center"/>
      <protection locked="0"/>
    </xf>
    <xf numFmtId="220" fontId="56" fillId="2" borderId="0" xfId="26230" applyFont="1" applyFill="1" applyAlignment="1" applyProtection="1">
      <alignment horizontal="left" vertical="center" shrinkToFit="1"/>
      <protection locked="0" hidden="1"/>
    </xf>
    <xf numFmtId="220" fontId="56" fillId="2" borderId="0" xfId="26230" applyFont="1" applyFill="1" applyAlignment="1" applyProtection="1">
      <alignment horizontal="right" vertical="center" shrinkToFit="1"/>
      <protection locked="0" hidden="1"/>
    </xf>
    <xf numFmtId="220" fontId="57" fillId="2" borderId="0" xfId="26230" applyFont="1" applyFill="1" applyAlignment="1" applyProtection="1">
      <alignment horizontal="left" vertical="center" shrinkToFit="1"/>
      <protection locked="0" hidden="1"/>
    </xf>
    <xf numFmtId="220" fontId="1" fillId="2" borderId="0" xfId="26230" applyFont="1" applyFill="1" applyAlignment="1" applyProtection="1">
      <alignment horizontal="right" vertical="center"/>
      <protection locked="0"/>
    </xf>
    <xf numFmtId="277" fontId="1" fillId="0" borderId="1" xfId="39" applyNumberFormat="1" applyFont="1" applyFill="1" applyBorder="1" applyAlignment="1" applyProtection="1">
      <alignment vertical="center" shrinkToFit="1"/>
    </xf>
    <xf numFmtId="220" fontId="2" fillId="15" borderId="0" xfId="49" applyFont="1" applyFill="1" applyAlignment="1" applyProtection="1">
      <alignment horizontal="left" vertical="center"/>
      <protection locked="0"/>
    </xf>
    <xf numFmtId="220" fontId="1" fillId="2" borderId="0" xfId="26202" applyFont="1" applyFill="1" applyAlignment="1" applyProtection="1">
      <alignment vertical="center"/>
      <protection locked="0"/>
    </xf>
    <xf numFmtId="220" fontId="56" fillId="2" borderId="0" xfId="14678" applyFont="1" applyFill="1" applyAlignment="1" applyProtection="1">
      <alignment horizontal="left" vertical="center" shrinkToFit="1"/>
      <protection locked="0" hidden="1"/>
    </xf>
    <xf numFmtId="220" fontId="56" fillId="2" borderId="0" xfId="26202" applyFont="1" applyFill="1" applyAlignment="1" applyProtection="1">
      <alignment vertical="center" shrinkToFit="1"/>
    </xf>
    <xf numFmtId="43" fontId="57" fillId="2" borderId="0" xfId="26202" applyNumberFormat="1" applyFont="1" applyFill="1" applyAlignment="1" applyProtection="1">
      <alignment horizontal="left" vertical="center" shrinkToFit="1"/>
      <protection locked="0" hidden="1"/>
    </xf>
    <xf numFmtId="220" fontId="13" fillId="2" borderId="1" xfId="14678" applyFont="1" applyFill="1" applyBorder="1" applyAlignment="1" applyProtection="1">
      <alignment horizontal="center" vertical="center"/>
      <protection locked="0"/>
    </xf>
    <xf numFmtId="220" fontId="1" fillId="2" borderId="1" xfId="26202" applyNumberFormat="1" applyFont="1" applyFill="1" applyBorder="1" applyAlignment="1" applyProtection="1">
      <alignment horizontal="center" vertical="center" wrapText="1"/>
      <protection locked="0"/>
    </xf>
    <xf numFmtId="220" fontId="1" fillId="2" borderId="1" xfId="14678" applyFont="1" applyFill="1" applyBorder="1" applyAlignment="1" applyProtection="1">
      <alignment horizontal="left" vertical="center"/>
      <protection locked="0"/>
    </xf>
    <xf numFmtId="220" fontId="2" fillId="2" borderId="1" xfId="14678" applyFont="1" applyFill="1" applyBorder="1" applyAlignment="1" applyProtection="1">
      <alignment horizontal="left" vertical="center"/>
      <protection locked="0"/>
    </xf>
    <xf numFmtId="43" fontId="1" fillId="2" borderId="1" xfId="39" applyFont="1" applyFill="1" applyBorder="1" applyAlignment="1" applyProtection="1">
      <alignment vertical="center" shrinkToFit="1"/>
    </xf>
    <xf numFmtId="220" fontId="2" fillId="2" borderId="1" xfId="14678" applyFont="1" applyFill="1" applyBorder="1" applyAlignment="1" applyProtection="1">
      <alignment horizontal="right" vertical="center"/>
      <protection locked="0"/>
    </xf>
    <xf numFmtId="284" fontId="1" fillId="2" borderId="1" xfId="39" applyNumberFormat="1" applyFont="1" applyFill="1" applyBorder="1" applyAlignment="1" applyProtection="1">
      <alignment vertical="center" shrinkToFit="1"/>
    </xf>
    <xf numFmtId="284" fontId="1" fillId="10" borderId="1" xfId="39" applyNumberFormat="1" applyFont="1" applyFill="1" applyBorder="1" applyAlignment="1" applyProtection="1">
      <alignment vertical="center" shrinkToFit="1"/>
      <protection locked="0"/>
    </xf>
    <xf numFmtId="220" fontId="1" fillId="2" borderId="1" xfId="14678" applyFont="1" applyFill="1" applyBorder="1" applyAlignment="1" applyProtection="1">
      <alignment horizontal="right" vertical="center"/>
      <protection locked="0"/>
    </xf>
    <xf numFmtId="284" fontId="1" fillId="0" borderId="1" xfId="39" applyNumberFormat="1" applyFont="1" applyFill="1" applyBorder="1" applyAlignment="1" applyProtection="1">
      <alignment vertical="center" shrinkToFit="1"/>
      <protection locked="0"/>
    </xf>
    <xf numFmtId="220" fontId="15" fillId="2" borderId="1" xfId="14678" applyFont="1" applyFill="1" applyBorder="1" applyAlignment="1" applyProtection="1">
      <alignment horizontal="right" vertical="center"/>
      <protection locked="0"/>
    </xf>
    <xf numFmtId="220" fontId="58" fillId="2" borderId="1" xfId="14678" applyFont="1" applyFill="1" applyBorder="1" applyAlignment="1" applyProtection="1">
      <alignment horizontal="right" vertical="center"/>
      <protection locked="0"/>
    </xf>
    <xf numFmtId="220" fontId="13" fillId="2" borderId="20" xfId="14678" applyFont="1" applyFill="1" applyBorder="1" applyAlignment="1" applyProtection="1">
      <alignment horizontal="center" vertical="center"/>
      <protection locked="0"/>
    </xf>
    <xf numFmtId="220" fontId="1" fillId="2" borderId="0" xfId="20208" applyFont="1" applyFill="1" applyBorder="1" applyAlignment="1" applyProtection="1">
      <alignment horizontal="left" vertical="center" wrapText="1"/>
      <protection locked="0"/>
    </xf>
    <xf numFmtId="43" fontId="1" fillId="2" borderId="0" xfId="39" applyFont="1" applyFill="1" applyBorder="1" applyAlignment="1" applyProtection="1">
      <alignment vertical="center" shrinkToFit="1"/>
      <protection locked="0"/>
    </xf>
    <xf numFmtId="43" fontId="1" fillId="2" borderId="0" xfId="39" applyFont="1" applyFill="1" applyBorder="1" applyAlignment="1" applyProtection="1">
      <alignment vertical="center" shrinkToFit="1"/>
    </xf>
    <xf numFmtId="220" fontId="1" fillId="2" borderId="0" xfId="26204" applyFont="1" applyFill="1" applyBorder="1" applyAlignment="1" applyProtection="1">
      <alignment horizontal="left" vertical="center"/>
      <protection locked="0"/>
    </xf>
    <xf numFmtId="220" fontId="57" fillId="2" borderId="0" xfId="14678" applyFont="1" applyFill="1" applyAlignment="1" applyProtection="1">
      <alignment horizontal="left" vertical="center" shrinkToFit="1"/>
      <protection locked="0" hidden="1"/>
    </xf>
    <xf numFmtId="220" fontId="1" fillId="2" borderId="0" xfId="14678" applyFont="1" applyFill="1" applyBorder="1" applyAlignment="1" applyProtection="1">
      <alignment horizontal="left" vertical="center"/>
      <protection locked="0"/>
    </xf>
    <xf numFmtId="43" fontId="1" fillId="2" borderId="0" xfId="39" applyFont="1" applyFill="1" applyBorder="1" applyAlignment="1" applyProtection="1">
      <alignment horizontal="center" vertical="center" shrinkToFit="1"/>
      <protection locked="0"/>
    </xf>
    <xf numFmtId="43" fontId="1" fillId="2" borderId="0" xfId="39" applyNumberFormat="1" applyFont="1" applyFill="1" applyBorder="1" applyAlignment="1" applyProtection="1">
      <alignment horizontal="right" vertical="center" shrinkToFit="1"/>
      <protection locked="0"/>
    </xf>
    <xf numFmtId="220" fontId="1" fillId="2" borderId="1" xfId="14678" applyFont="1" applyFill="1" applyBorder="1" applyAlignment="1" applyProtection="1">
      <alignment horizontal="center" vertical="center"/>
      <protection locked="0"/>
    </xf>
    <xf numFmtId="220" fontId="2" fillId="2" borderId="1" xfId="14678" applyFont="1" applyFill="1" applyBorder="1" applyAlignment="1" applyProtection="1">
      <alignment horizontal="center" vertical="center"/>
      <protection locked="0"/>
    </xf>
    <xf numFmtId="43" fontId="2" fillId="0" borderId="1" xfId="39" applyFont="1" applyFill="1" applyBorder="1" applyAlignment="1" applyProtection="1">
      <alignment horizontal="center" vertical="center" shrinkToFit="1"/>
      <protection locked="0"/>
    </xf>
    <xf numFmtId="43" fontId="1" fillId="0" borderId="1" xfId="39" applyFont="1" applyFill="1" applyBorder="1" applyAlignment="1" applyProtection="1">
      <alignment horizontal="center" vertical="center" shrinkToFit="1"/>
      <protection locked="0"/>
    </xf>
    <xf numFmtId="43" fontId="2" fillId="0" borderId="16" xfId="39" applyFont="1" applyFill="1" applyBorder="1" applyAlignment="1" applyProtection="1">
      <alignment horizontal="center" vertical="center" shrinkToFit="1"/>
      <protection locked="0"/>
    </xf>
    <xf numFmtId="43" fontId="1" fillId="0" borderId="1" xfId="39" applyNumberFormat="1" applyFont="1" applyFill="1" applyBorder="1" applyAlignment="1" applyProtection="1">
      <alignment horizontal="right" vertical="center" shrinkToFit="1"/>
      <protection locked="0"/>
    </xf>
    <xf numFmtId="220" fontId="1" fillId="2" borderId="14" xfId="26202" applyFont="1" applyFill="1" applyBorder="1" applyAlignment="1" applyProtection="1">
      <alignment horizontal="left" vertical="center"/>
      <protection locked="0"/>
    </xf>
    <xf numFmtId="220" fontId="1" fillId="2" borderId="0" xfId="26202" applyFont="1" applyFill="1" applyBorder="1" applyAlignment="1" applyProtection="1">
      <alignment horizontal="left" vertical="center"/>
      <protection locked="0"/>
    </xf>
    <xf numFmtId="220" fontId="2" fillId="2" borderId="1" xfId="26202" applyFont="1" applyFill="1" applyBorder="1" applyAlignment="1" applyProtection="1">
      <alignment horizontal="center" vertical="center"/>
      <protection locked="0"/>
    </xf>
    <xf numFmtId="220" fontId="1" fillId="2" borderId="1" xfId="26202" applyFont="1" applyFill="1" applyBorder="1" applyAlignment="1" applyProtection="1">
      <alignment horizontal="center" vertical="center"/>
      <protection locked="0"/>
    </xf>
    <xf numFmtId="220" fontId="1" fillId="2" borderId="1" xfId="26202" applyFont="1" applyFill="1" applyBorder="1" applyAlignment="1" applyProtection="1">
      <alignment horizontal="left" vertical="center"/>
      <protection locked="0"/>
    </xf>
    <xf numFmtId="43" fontId="1" fillId="0" borderId="20" xfId="39" applyFont="1" applyFill="1" applyBorder="1" applyAlignment="1" applyProtection="1">
      <alignment horizontal="center" vertical="center" shrinkToFit="1"/>
      <protection locked="0"/>
    </xf>
    <xf numFmtId="43" fontId="1" fillId="0" borderId="20" xfId="39" applyNumberFormat="1" applyFont="1" applyFill="1" applyBorder="1" applyAlignment="1" applyProtection="1">
      <alignment horizontal="right" vertical="center" shrinkToFit="1"/>
      <protection locked="0"/>
    </xf>
    <xf numFmtId="220" fontId="2" fillId="0" borderId="1" xfId="14678" applyFont="1" applyFill="1" applyBorder="1" applyAlignment="1" applyProtection="1">
      <protection locked="0"/>
    </xf>
    <xf numFmtId="220" fontId="1" fillId="0" borderId="1" xfId="14678" applyFont="1" applyFill="1" applyBorder="1" applyAlignment="1" applyProtection="1">
      <alignment horizontal="left" vertical="center"/>
      <protection locked="0"/>
    </xf>
    <xf numFmtId="220" fontId="1" fillId="2" borderId="1" xfId="14678" applyFont="1" applyFill="1" applyBorder="1" applyAlignment="1" applyProtection="1">
      <protection locked="0"/>
    </xf>
    <xf numFmtId="49" fontId="2" fillId="0" borderId="1" xfId="39" applyNumberFormat="1" applyFont="1" applyFill="1" applyBorder="1" applyAlignment="1" applyProtection="1">
      <alignment horizontal="left" vertical="center"/>
      <protection locked="0"/>
    </xf>
    <xf numFmtId="220" fontId="59" fillId="2" borderId="0" xfId="14678" applyFont="1" applyFill="1" applyBorder="1" applyAlignment="1" applyProtection="1">
      <alignment horizontal="left" vertical="center"/>
      <protection locked="0"/>
    </xf>
    <xf numFmtId="43" fontId="1" fillId="0" borderId="0" xfId="39" applyFont="1" applyFill="1" applyBorder="1" applyAlignment="1" applyProtection="1">
      <alignment horizontal="left" vertical="center"/>
      <protection locked="0"/>
    </xf>
    <xf numFmtId="43" fontId="1" fillId="0" borderId="0" xfId="39" applyFont="1" applyFill="1" applyBorder="1" applyAlignment="1" applyProtection="1">
      <alignment horizontal="center" vertical="center" shrinkToFit="1"/>
      <protection locked="0"/>
    </xf>
    <xf numFmtId="43" fontId="1" fillId="0" borderId="0" xfId="39" applyNumberFormat="1" applyFont="1" applyFill="1" applyBorder="1" applyAlignment="1" applyProtection="1">
      <alignment horizontal="right" vertical="center" shrinkToFit="1"/>
      <protection locked="0"/>
    </xf>
    <xf numFmtId="220" fontId="56" fillId="2" borderId="0" xfId="26202" applyNumberFormat="1" applyFont="1" applyFill="1" applyAlignment="1" applyProtection="1">
      <alignment horizontal="left" vertical="center" shrinkToFit="1"/>
      <protection locked="0" hidden="1"/>
    </xf>
    <xf numFmtId="220" fontId="57" fillId="2" borderId="0" xfId="24800" applyFont="1" applyFill="1" applyAlignment="1" applyProtection="1">
      <alignment horizontal="left" vertical="center" shrinkToFit="1"/>
      <protection locked="0" hidden="1"/>
    </xf>
    <xf numFmtId="220" fontId="1" fillId="2" borderId="0" xfId="13141" applyFont="1" applyFill="1" applyAlignment="1" applyProtection="1">
      <alignment vertical="center"/>
      <protection locked="0"/>
    </xf>
    <xf numFmtId="220" fontId="1" fillId="2" borderId="1" xfId="9612" applyFont="1" applyFill="1" applyBorder="1" applyAlignment="1" applyProtection="1">
      <alignment horizontal="center" vertical="center" wrapText="1"/>
      <protection locked="0"/>
    </xf>
    <xf numFmtId="220" fontId="1" fillId="10" borderId="1" xfId="9612" applyFont="1" applyFill="1" applyBorder="1" applyAlignment="1" applyProtection="1">
      <alignment horizontal="center" vertical="center" wrapText="1"/>
      <protection locked="0"/>
    </xf>
    <xf numFmtId="220" fontId="60" fillId="2" borderId="1" xfId="9612" applyFont="1" applyFill="1" applyBorder="1" applyAlignment="1" applyProtection="1">
      <alignment horizontal="justify" vertical="center" wrapText="1"/>
      <protection locked="0"/>
    </xf>
    <xf numFmtId="43" fontId="1" fillId="10" borderId="1" xfId="39" applyFont="1" applyFill="1" applyBorder="1" applyAlignment="1" applyProtection="1">
      <alignment horizontal="right" vertical="center" shrinkToFit="1"/>
    </xf>
    <xf numFmtId="220" fontId="60" fillId="2" borderId="1" xfId="9612" applyFont="1" applyFill="1" applyBorder="1" applyAlignment="1" applyProtection="1">
      <alignment horizontal="justify" vertical="center"/>
      <protection locked="0"/>
    </xf>
    <xf numFmtId="220" fontId="56" fillId="2" borderId="0" xfId="26202" applyFont="1" applyFill="1" applyAlignment="1" applyProtection="1">
      <alignment vertical="center" shrinkToFit="1"/>
      <protection locked="0" hidden="1"/>
    </xf>
    <xf numFmtId="43" fontId="1" fillId="2" borderId="1" xfId="9612" applyNumberFormat="1" applyFont="1" applyFill="1" applyBorder="1" applyAlignment="1" applyProtection="1">
      <alignment horizontal="right" vertical="center" shrinkToFit="1"/>
    </xf>
    <xf numFmtId="43" fontId="1" fillId="2" borderId="0" xfId="9612" applyNumberFormat="1" applyFont="1" applyFill="1" applyBorder="1" applyAlignment="1" applyProtection="1">
      <alignment horizontal="right" vertical="center" shrinkToFit="1"/>
    </xf>
    <xf numFmtId="220" fontId="30" fillId="2" borderId="0" xfId="13141" applyFont="1" applyFill="1" applyAlignment="1" applyProtection="1">
      <alignment vertical="center"/>
      <protection locked="0"/>
    </xf>
    <xf numFmtId="220" fontId="1" fillId="0" borderId="0" xfId="13141" applyFont="1" applyFill="1" applyAlignment="1" applyProtection="1">
      <alignment horizontal="center" vertical="center"/>
      <protection locked="0"/>
    </xf>
    <xf numFmtId="220" fontId="57" fillId="2" borderId="0" xfId="14678" applyFont="1" applyFill="1" applyAlignment="1" applyProtection="1">
      <alignment horizontal="left" shrinkToFit="1"/>
      <protection locked="0" hidden="1"/>
    </xf>
    <xf numFmtId="220" fontId="1" fillId="2" borderId="0" xfId="14678" applyFont="1" applyFill="1" applyProtection="1">
      <protection locked="0"/>
    </xf>
    <xf numFmtId="220" fontId="13" fillId="0" borderId="1" xfId="14678" applyFont="1" applyFill="1" applyBorder="1" applyAlignment="1" applyProtection="1">
      <alignment horizontal="center" vertical="top" wrapText="1"/>
      <protection locked="0"/>
    </xf>
    <xf numFmtId="220" fontId="1" fillId="0" borderId="1" xfId="14678" applyFont="1" applyFill="1" applyBorder="1" applyAlignment="1" applyProtection="1">
      <protection locked="0"/>
    </xf>
    <xf numFmtId="220" fontId="45" fillId="6" borderId="0" xfId="26230" applyFont="1" applyFill="1" applyAlignment="1" applyProtection="1">
      <alignment vertical="center"/>
      <protection locked="0"/>
    </xf>
    <xf numFmtId="220" fontId="1" fillId="6" borderId="0" xfId="26230" applyFont="1" applyFill="1" applyAlignment="1" applyProtection="1">
      <alignment vertical="center"/>
      <protection locked="0"/>
    </xf>
    <xf numFmtId="220" fontId="1" fillId="2" borderId="1" xfId="26202" applyFont="1" applyFill="1" applyBorder="1" applyAlignment="1" applyProtection="1">
      <alignment vertical="center"/>
      <protection locked="0"/>
    </xf>
    <xf numFmtId="220" fontId="1" fillId="6" borderId="0" xfId="26202" applyFont="1" applyFill="1" applyAlignment="1" applyProtection="1">
      <alignment vertical="center"/>
      <protection locked="0"/>
    </xf>
    <xf numFmtId="220" fontId="1" fillId="2" borderId="1" xfId="26202" applyNumberFormat="1" applyFont="1" applyFill="1" applyBorder="1" applyAlignment="1" applyProtection="1">
      <alignment horizontal="centerContinuous" vertical="center" wrapText="1"/>
      <protection locked="0"/>
    </xf>
    <xf numFmtId="220" fontId="1" fillId="2" borderId="1" xfId="26202" applyFont="1" applyFill="1" applyBorder="1" applyAlignment="1" applyProtection="1">
      <alignment horizontal="centerContinuous" vertical="center"/>
      <protection locked="0"/>
    </xf>
    <xf numFmtId="43" fontId="1" fillId="10" borderId="1" xfId="39" applyFont="1" applyFill="1" applyBorder="1" applyAlignment="1" applyProtection="1">
      <alignment vertical="center" shrinkToFit="1"/>
    </xf>
    <xf numFmtId="285" fontId="1" fillId="10" borderId="1" xfId="39" applyNumberFormat="1" applyFont="1" applyFill="1" applyBorder="1" applyAlignment="1" applyProtection="1">
      <alignment vertical="center" shrinkToFit="1"/>
    </xf>
    <xf numFmtId="43" fontId="1" fillId="5" borderId="1" xfId="39" applyFont="1" applyFill="1" applyBorder="1" applyAlignment="1" applyProtection="1">
      <alignment vertical="center"/>
      <protection locked="0"/>
    </xf>
    <xf numFmtId="285" fontId="1" fillId="2" borderId="1" xfId="39" applyNumberFormat="1" applyFont="1" applyFill="1" applyBorder="1" applyAlignment="1" applyProtection="1">
      <alignment vertical="center" shrinkToFit="1"/>
      <protection locked="0"/>
    </xf>
    <xf numFmtId="43" fontId="1" fillId="2" borderId="0" xfId="26202" applyNumberFormat="1" applyFont="1" applyFill="1" applyAlignment="1" applyProtection="1">
      <alignment vertical="center"/>
      <protection locked="0"/>
    </xf>
    <xf numFmtId="220" fontId="1" fillId="2" borderId="0" xfId="26202" applyFont="1" applyFill="1" applyBorder="1" applyAlignment="1" applyProtection="1">
      <alignment vertical="center"/>
      <protection locked="0"/>
    </xf>
    <xf numFmtId="220" fontId="1" fillId="2" borderId="0" xfId="24800" applyFont="1" applyFill="1" applyAlignment="1" applyProtection="1">
      <alignment vertical="center"/>
      <protection locked="0"/>
    </xf>
    <xf numFmtId="43" fontId="1" fillId="2" borderId="0" xfId="13141" applyNumberFormat="1" applyFont="1" applyFill="1" applyAlignment="1" applyProtection="1">
      <alignment vertical="center"/>
      <protection locked="0"/>
    </xf>
    <xf numFmtId="220" fontId="1" fillId="22" borderId="0" xfId="26230" applyFont="1" applyFill="1" applyAlignment="1" applyProtection="1">
      <alignment vertical="center"/>
    </xf>
    <xf numFmtId="220" fontId="1" fillId="22" borderId="0" xfId="26230" applyFont="1" applyFill="1" applyAlignment="1" applyProtection="1">
      <alignment vertical="center"/>
      <protection locked="0"/>
    </xf>
    <xf numFmtId="220" fontId="1" fillId="0" borderId="0" xfId="14678" applyFont="1" applyFill="1" applyAlignment="1" applyProtection="1">
      <protection locked="0"/>
    </xf>
    <xf numFmtId="220" fontId="61" fillId="2" borderId="0" xfId="23679" applyFont="1" applyFill="1" applyAlignment="1" applyProtection="1">
      <alignment horizontal="left" vertical="center" shrinkToFit="1"/>
      <protection locked="0" hidden="1"/>
    </xf>
    <xf numFmtId="220" fontId="57" fillId="2" borderId="0" xfId="23679" applyFont="1" applyFill="1" applyAlignment="1" applyProtection="1">
      <alignment horizontal="left" vertical="center" shrinkToFit="1"/>
      <protection locked="0" hidden="1"/>
    </xf>
    <xf numFmtId="220" fontId="1" fillId="2" borderId="0" xfId="23679" applyFont="1" applyFill="1" applyAlignment="1" applyProtection="1">
      <alignment horizontal="justify" vertical="center"/>
      <protection locked="0"/>
    </xf>
    <xf numFmtId="220" fontId="1" fillId="2" borderId="0" xfId="23679" applyFont="1" applyFill="1" applyAlignment="1" applyProtection="1">
      <alignment vertical="center"/>
      <protection locked="0"/>
    </xf>
    <xf numFmtId="220" fontId="62" fillId="2" borderId="0" xfId="14678" applyFont="1" applyFill="1" applyProtection="1"/>
    <xf numFmtId="220" fontId="1" fillId="2" borderId="1" xfId="23679" applyFont="1" applyFill="1" applyBorder="1" applyAlignment="1" applyProtection="1">
      <alignment horizontal="center" vertical="center" wrapText="1"/>
      <protection locked="0"/>
    </xf>
    <xf numFmtId="220" fontId="1" fillId="2" borderId="1" xfId="14678" applyFont="1" applyFill="1" applyBorder="1" applyAlignment="1" applyProtection="1">
      <alignment horizontal="center"/>
    </xf>
    <xf numFmtId="220" fontId="1" fillId="2" borderId="1" xfId="23679" applyFont="1" applyFill="1" applyBorder="1" applyAlignment="1" applyProtection="1">
      <alignment horizontal="left" vertical="center" wrapText="1"/>
      <protection locked="0"/>
    </xf>
    <xf numFmtId="43" fontId="1" fillId="0" borderId="1" xfId="39" applyFont="1" applyFill="1" applyBorder="1" applyAlignment="1" applyProtection="1"/>
    <xf numFmtId="220" fontId="1" fillId="0" borderId="1" xfId="14678" applyFont="1" applyFill="1" applyBorder="1" applyAlignment="1" applyProtection="1"/>
    <xf numFmtId="43" fontId="1" fillId="2" borderId="1" xfId="37464" applyNumberFormat="1" applyFont="1" applyFill="1" applyBorder="1" applyAlignment="1" applyProtection="1">
      <alignment horizontal="right" vertical="center" shrinkToFit="1"/>
    </xf>
    <xf numFmtId="43" fontId="1" fillId="2" borderId="1" xfId="39" applyFont="1" applyFill="1" applyBorder="1" applyAlignment="1" applyProtection="1"/>
    <xf numFmtId="220" fontId="1" fillId="2" borderId="0" xfId="14678" applyFont="1" applyFill="1" applyAlignment="1" applyProtection="1">
      <alignment vertical="center"/>
      <protection locked="0"/>
    </xf>
    <xf numFmtId="43" fontId="61" fillId="2" borderId="0" xfId="23679" applyNumberFormat="1" applyFont="1" applyFill="1" applyAlignment="1" applyProtection="1">
      <alignment horizontal="left" vertical="center" shrinkToFit="1"/>
      <protection locked="0" hidden="1"/>
    </xf>
    <xf numFmtId="43" fontId="1" fillId="2" borderId="1" xfId="23679" applyNumberFormat="1" applyFont="1" applyFill="1" applyBorder="1" applyAlignment="1" applyProtection="1">
      <alignment horizontal="right" vertical="center" shrinkToFit="1"/>
    </xf>
    <xf numFmtId="220" fontId="1" fillId="2" borderId="1" xfId="23679" applyNumberFormat="1" applyFont="1" applyFill="1" applyBorder="1" applyAlignment="1" applyProtection="1">
      <alignment horizontal="left" vertical="center" wrapText="1"/>
      <protection locked="0"/>
    </xf>
    <xf numFmtId="43" fontId="1" fillId="2" borderId="1" xfId="37464" applyNumberFormat="1" applyFont="1" applyFill="1" applyBorder="1" applyAlignment="1" applyProtection="1">
      <alignment horizontal="right" vertical="center" shrinkToFit="1"/>
      <protection locked="0"/>
    </xf>
    <xf numFmtId="220" fontId="63" fillId="2" borderId="0" xfId="23679" applyFont="1" applyFill="1" applyAlignment="1" applyProtection="1">
      <alignment horizontal="justify" vertical="center"/>
      <protection locked="0"/>
    </xf>
    <xf numFmtId="220" fontId="1" fillId="2" borderId="1" xfId="14678" applyFont="1" applyFill="1" applyBorder="1" applyAlignment="1" applyProtection="1">
      <alignment horizontal="justify" vertical="top" wrapText="1"/>
      <protection locked="0"/>
    </xf>
    <xf numFmtId="43" fontId="1" fillId="2" borderId="1" xfId="39" applyFont="1" applyFill="1" applyBorder="1" applyAlignment="1" applyProtection="1">
      <alignment horizontal="justify" vertical="top" wrapText="1"/>
    </xf>
    <xf numFmtId="220" fontId="1" fillId="2" borderId="1" xfId="14678" applyFont="1" applyFill="1" applyBorder="1" applyProtection="1">
      <protection locked="0"/>
    </xf>
    <xf numFmtId="220" fontId="1" fillId="2" borderId="1" xfId="23679" applyFont="1" applyFill="1" applyBorder="1" applyAlignment="1" applyProtection="1">
      <alignment horizontal="center" vertical="center"/>
      <protection locked="0"/>
    </xf>
    <xf numFmtId="220" fontId="1" fillId="2" borderId="1" xfId="23679" applyFont="1" applyFill="1" applyBorder="1" applyAlignment="1" applyProtection="1">
      <alignment vertical="center"/>
      <protection locked="0"/>
    </xf>
    <xf numFmtId="43" fontId="1" fillId="2" borderId="1" xfId="23679" applyNumberFormat="1" applyFont="1" applyFill="1" applyBorder="1" applyAlignment="1" applyProtection="1">
      <alignment vertical="center"/>
    </xf>
    <xf numFmtId="220" fontId="24" fillId="2" borderId="0" xfId="23679" applyFont="1" applyFill="1" applyAlignment="1" applyProtection="1">
      <alignment horizontal="justify" vertical="center"/>
      <protection locked="0"/>
    </xf>
    <xf numFmtId="220" fontId="62" fillId="2" borderId="0" xfId="14678" applyFont="1" applyFill="1" applyProtection="1">
      <protection locked="0"/>
    </xf>
    <xf numFmtId="220" fontId="1" fillId="0" borderId="0" xfId="23679" applyFont="1" applyFill="1" applyAlignment="1" applyProtection="1">
      <alignment vertical="center"/>
      <protection locked="0"/>
    </xf>
    <xf numFmtId="220" fontId="56" fillId="2" borderId="0" xfId="23679" applyFont="1" applyFill="1" applyAlignment="1" applyProtection="1">
      <alignment horizontal="left" vertical="center" shrinkToFit="1"/>
      <protection locked="0" hidden="1"/>
    </xf>
    <xf numFmtId="220" fontId="1" fillId="2" borderId="0" xfId="26192" applyFont="1" applyFill="1" applyAlignment="1" applyProtection="1">
      <alignment horizontal="justify" vertical="center"/>
      <protection locked="0"/>
    </xf>
    <xf numFmtId="220" fontId="1" fillId="2" borderId="0" xfId="26192" applyFont="1" applyFill="1" applyAlignment="1" applyProtection="1">
      <alignment vertical="center"/>
      <protection locked="0"/>
    </xf>
    <xf numFmtId="220" fontId="1" fillId="2" borderId="1" xfId="26192" applyFont="1" applyFill="1" applyBorder="1" applyAlignment="1" applyProtection="1">
      <alignment horizontal="center" vertical="center"/>
      <protection locked="0"/>
    </xf>
    <xf numFmtId="43" fontId="1" fillId="2" borderId="1" xfId="39" applyFont="1" applyFill="1" applyBorder="1" applyAlignment="1" applyProtection="1">
      <alignment vertical="center"/>
    </xf>
    <xf numFmtId="220" fontId="1" fillId="0" borderId="1" xfId="13141" applyFont="1" applyFill="1" applyBorder="1" applyAlignment="1" applyProtection="1">
      <alignment horizontal="left" vertical="center"/>
      <protection locked="0"/>
    </xf>
    <xf numFmtId="220" fontId="1" fillId="0" borderId="1" xfId="13141" applyFont="1" applyFill="1" applyBorder="1" applyAlignment="1" applyProtection="1">
      <alignment vertical="center"/>
      <protection locked="0"/>
    </xf>
    <xf numFmtId="220" fontId="1" fillId="0" borderId="1" xfId="23679" applyFont="1" applyFill="1" applyBorder="1" applyAlignment="1" applyProtection="1">
      <alignment horizontal="justify" vertical="center"/>
      <protection locked="0"/>
    </xf>
    <xf numFmtId="220" fontId="1" fillId="2" borderId="0" xfId="14678" applyFont="1" applyFill="1" applyAlignment="1" applyProtection="1"/>
    <xf numFmtId="220" fontId="1" fillId="2" borderId="1" xfId="14678" applyFont="1" applyFill="1" applyBorder="1" applyAlignment="1" applyProtection="1"/>
    <xf numFmtId="43" fontId="1" fillId="2" borderId="1" xfId="26192" applyNumberFormat="1" applyFont="1" applyFill="1" applyBorder="1" applyAlignment="1" applyProtection="1">
      <alignment horizontal="center" vertical="center"/>
    </xf>
    <xf numFmtId="43" fontId="1" fillId="0" borderId="1" xfId="39" applyFont="1" applyFill="1" applyBorder="1" applyAlignment="1" applyProtection="1">
      <alignment horizontal="justify" vertical="center"/>
      <protection locked="0"/>
    </xf>
    <xf numFmtId="43" fontId="1" fillId="2" borderId="1" xfId="13141" applyNumberFormat="1" applyFont="1" applyFill="1" applyBorder="1" applyAlignment="1" applyProtection="1">
      <alignment vertical="center"/>
    </xf>
    <xf numFmtId="43" fontId="1" fillId="2" borderId="0" xfId="35142" applyNumberFormat="1" applyFont="1" applyFill="1" applyBorder="1" applyAlignment="1" applyProtection="1">
      <alignment horizontal="right" vertical="center" shrinkToFit="1"/>
    </xf>
    <xf numFmtId="220" fontId="61" fillId="2" borderId="0" xfId="26192" applyFont="1" applyFill="1" applyAlignment="1" applyProtection="1">
      <alignment horizontal="left" vertical="center" shrinkToFit="1"/>
      <protection locked="0" hidden="1"/>
    </xf>
    <xf numFmtId="220" fontId="1" fillId="0" borderId="0" xfId="23679" applyFont="1" applyFill="1" applyAlignment="1" applyProtection="1">
      <alignment horizontal="justify" vertical="center"/>
      <protection locked="0"/>
    </xf>
    <xf numFmtId="277" fontId="56" fillId="2" borderId="0" xfId="26202" applyNumberFormat="1" applyFont="1" applyFill="1" applyAlignment="1" applyProtection="1">
      <alignment vertical="center" shrinkToFit="1"/>
    </xf>
    <xf numFmtId="43" fontId="1" fillId="0" borderId="1" xfId="39" applyFont="1" applyFill="1" applyBorder="1" applyAlignment="1" applyProtection="1">
      <alignment vertical="center"/>
      <protection locked="0"/>
    </xf>
    <xf numFmtId="220" fontId="1" fillId="0" borderId="1" xfId="26192" applyFont="1" applyFill="1" applyBorder="1" applyAlignment="1" applyProtection="1">
      <alignment horizontal="center" vertical="center"/>
      <protection locked="0"/>
    </xf>
    <xf numFmtId="43" fontId="1" fillId="2" borderId="0" xfId="39" applyFont="1" applyFill="1" applyBorder="1" applyAlignment="1" applyProtection="1">
      <alignment horizontal="right" vertical="center" shrinkToFit="1"/>
    </xf>
    <xf numFmtId="43" fontId="1" fillId="2" borderId="0" xfId="39" applyFont="1" applyFill="1" applyAlignment="1" applyProtection="1">
      <alignment horizontal="justify" vertical="center"/>
      <protection locked="0"/>
    </xf>
    <xf numFmtId="43" fontId="61" fillId="2" borderId="0" xfId="26191" applyNumberFormat="1" applyFont="1" applyFill="1" applyAlignment="1" applyProtection="1">
      <alignment horizontal="left" vertical="center" shrinkToFit="1"/>
      <protection locked="0" hidden="1"/>
    </xf>
    <xf numFmtId="220" fontId="1" fillId="0" borderId="1" xfId="26204" applyFont="1" applyFill="1" applyBorder="1" applyAlignment="1" applyProtection="1">
      <alignment horizontal="left" vertical="center"/>
      <protection locked="0"/>
    </xf>
    <xf numFmtId="43" fontId="1" fillId="2" borderId="1" xfId="39" applyFont="1" applyFill="1" applyBorder="1" applyAlignment="1" applyProtection="1">
      <alignment horizontal="center" vertical="center"/>
    </xf>
    <xf numFmtId="220" fontId="1" fillId="2" borderId="1" xfId="13141" applyFont="1" applyFill="1" applyBorder="1" applyAlignment="1" applyProtection="1">
      <alignment vertical="center"/>
      <protection locked="0"/>
    </xf>
    <xf numFmtId="220" fontId="61" fillId="2" borderId="0" xfId="26191" applyFont="1" applyFill="1" applyAlignment="1" applyProtection="1">
      <alignment horizontal="left" vertical="center" shrinkToFit="1"/>
      <protection locked="0" hidden="1"/>
    </xf>
    <xf numFmtId="220" fontId="1" fillId="2" borderId="0" xfId="26191" applyFont="1" applyFill="1" applyBorder="1" applyAlignment="1" applyProtection="1">
      <alignment vertical="center"/>
      <protection locked="0"/>
    </xf>
    <xf numFmtId="220" fontId="1" fillId="0" borderId="0" xfId="26191" applyFont="1" applyFill="1" applyBorder="1" applyAlignment="1" applyProtection="1">
      <alignment vertical="center"/>
      <protection locked="0"/>
    </xf>
    <xf numFmtId="220" fontId="1" fillId="2" borderId="0" xfId="19153" applyFont="1" applyFill="1" applyAlignment="1" applyProtection="1">
      <alignment vertical="center"/>
      <protection locked="0"/>
    </xf>
    <xf numFmtId="220" fontId="61" fillId="2" borderId="0" xfId="4424" applyFont="1" applyFill="1" applyAlignment="1" applyProtection="1">
      <alignment horizontal="left" vertical="center" shrinkToFit="1"/>
      <protection locked="0" hidden="1"/>
    </xf>
    <xf numFmtId="220" fontId="1" fillId="2" borderId="0" xfId="4424" applyFont="1" applyFill="1" applyBorder="1" applyAlignment="1" applyProtection="1">
      <alignment vertical="center"/>
      <protection locked="0"/>
    </xf>
    <xf numFmtId="220" fontId="1" fillId="2" borderId="0" xfId="4424" applyFont="1" applyFill="1" applyAlignment="1" applyProtection="1">
      <alignment vertical="center"/>
      <protection locked="0"/>
    </xf>
    <xf numFmtId="220" fontId="1" fillId="2" borderId="1" xfId="4424" applyFont="1" applyFill="1" applyBorder="1" applyAlignment="1" applyProtection="1">
      <alignment horizontal="center" vertical="center"/>
      <protection locked="0"/>
    </xf>
    <xf numFmtId="220" fontId="2" fillId="2" borderId="1" xfId="4424" applyFont="1" applyFill="1" applyBorder="1" applyAlignment="1" applyProtection="1">
      <alignment horizontal="center" vertical="center"/>
      <protection locked="0"/>
    </xf>
    <xf numFmtId="10" fontId="1" fillId="2" borderId="1" xfId="4424" applyNumberFormat="1" applyFont="1" applyFill="1" applyBorder="1" applyAlignment="1" applyProtection="1">
      <alignment horizontal="center" vertical="center" shrinkToFit="1"/>
    </xf>
    <xf numFmtId="43" fontId="1" fillId="2" borderId="1" xfId="39" applyNumberFormat="1" applyFont="1" applyFill="1" applyBorder="1" applyAlignment="1" applyProtection="1">
      <alignment horizontal="right" vertical="center" shrinkToFit="1"/>
      <protection locked="0"/>
    </xf>
    <xf numFmtId="43" fontId="1" fillId="2" borderId="1" xfId="39" applyNumberFormat="1" applyFont="1" applyFill="1" applyBorder="1" applyAlignment="1" applyProtection="1">
      <alignment horizontal="right" vertical="center" shrinkToFit="1"/>
    </xf>
    <xf numFmtId="43" fontId="1" fillId="2" borderId="0" xfId="39" applyNumberFormat="1" applyFont="1" applyFill="1" applyBorder="1" applyAlignment="1" applyProtection="1">
      <alignment horizontal="right" vertical="center" shrinkToFit="1"/>
    </xf>
    <xf numFmtId="10" fontId="1" fillId="11" borderId="0" xfId="39" applyNumberFormat="1" applyFont="1" applyFill="1" applyBorder="1" applyAlignment="1" applyProtection="1">
      <alignment horizontal="center" vertical="center" shrinkToFit="1"/>
    </xf>
    <xf numFmtId="10" fontId="1" fillId="2" borderId="0" xfId="39" applyNumberFormat="1" applyFont="1" applyFill="1" applyBorder="1" applyAlignment="1" applyProtection="1">
      <alignment horizontal="center" vertical="center" shrinkToFit="1"/>
      <protection locked="0"/>
    </xf>
    <xf numFmtId="43" fontId="1" fillId="2" borderId="0" xfId="39" applyFont="1" applyFill="1" applyAlignment="1" applyProtection="1">
      <alignment vertical="center"/>
      <protection locked="0"/>
    </xf>
    <xf numFmtId="220" fontId="18" fillId="2" borderId="1" xfId="4424" applyFont="1" applyFill="1" applyBorder="1" applyAlignment="1" applyProtection="1">
      <alignment horizontal="left" vertical="center" wrapText="1"/>
      <protection locked="0"/>
    </xf>
    <xf numFmtId="10" fontId="1" fillId="2" borderId="1" xfId="55" applyNumberFormat="1" applyFont="1" applyFill="1" applyBorder="1" applyAlignment="1" applyProtection="1">
      <alignment horizontal="center" vertical="center" shrinkToFit="1"/>
    </xf>
    <xf numFmtId="220" fontId="18" fillId="2" borderId="0" xfId="4424" applyFont="1" applyFill="1" applyBorder="1" applyAlignment="1" applyProtection="1">
      <alignment horizontal="left" vertical="center"/>
      <protection locked="0"/>
    </xf>
    <xf numFmtId="10" fontId="1" fillId="2" borderId="0" xfId="55" applyNumberFormat="1" applyFont="1" applyFill="1" applyBorder="1" applyAlignment="1" applyProtection="1">
      <alignment horizontal="center" vertical="center" shrinkToFit="1"/>
      <protection locked="0"/>
    </xf>
    <xf numFmtId="220" fontId="22" fillId="2" borderId="0" xfId="4424" applyFont="1" applyFill="1" applyBorder="1" applyAlignment="1" applyProtection="1">
      <alignment horizontal="left" vertical="center"/>
      <protection locked="0"/>
    </xf>
    <xf numFmtId="10" fontId="1" fillId="0" borderId="0" xfId="55" applyNumberFormat="1" applyFont="1" applyFill="1" applyBorder="1" applyAlignment="1" applyProtection="1">
      <alignment horizontal="center" vertical="center" shrinkToFit="1"/>
      <protection locked="0"/>
    </xf>
    <xf numFmtId="220" fontId="56" fillId="2" borderId="0" xfId="14678" applyFont="1" applyFill="1" applyAlignment="1" applyProtection="1">
      <alignment horizontal="left" vertical="center" shrinkToFit="1"/>
      <protection locked="0"/>
    </xf>
    <xf numFmtId="220" fontId="61" fillId="2" borderId="0" xfId="4424" applyFont="1" applyFill="1" applyAlignment="1" applyProtection="1">
      <alignment horizontal="left" vertical="center" shrinkToFit="1"/>
      <protection locked="0"/>
    </xf>
    <xf numFmtId="220" fontId="2" fillId="2" borderId="0" xfId="19153" applyFont="1" applyFill="1" applyAlignment="1" applyProtection="1">
      <alignment vertical="center"/>
      <protection locked="0"/>
    </xf>
    <xf numFmtId="220" fontId="56" fillId="2" borderId="0" xfId="26202" applyFont="1" applyFill="1" applyAlignment="1" applyProtection="1">
      <alignment vertical="center" shrinkToFit="1"/>
      <protection locked="0"/>
    </xf>
    <xf numFmtId="43" fontId="57" fillId="2" borderId="0" xfId="4424" applyNumberFormat="1" applyFont="1" applyFill="1" applyAlignment="1" applyProtection="1">
      <alignment horizontal="left" vertical="center" shrinkToFit="1"/>
      <protection locked="0"/>
    </xf>
    <xf numFmtId="43" fontId="2" fillId="2" borderId="0" xfId="39" applyNumberFormat="1" applyFont="1" applyFill="1" applyBorder="1" applyAlignment="1" applyProtection="1">
      <alignment horizontal="right" vertical="center" shrinkToFit="1"/>
      <protection locked="0"/>
    </xf>
    <xf numFmtId="220" fontId="13" fillId="2" borderId="1" xfId="14678" applyFont="1" applyFill="1" applyBorder="1" applyAlignment="1" applyProtection="1">
      <alignment horizontal="center" wrapText="1"/>
      <protection locked="0"/>
    </xf>
    <xf numFmtId="220" fontId="30" fillId="23" borderId="1" xfId="4424" applyFont="1" applyFill="1" applyBorder="1" applyAlignment="1" applyProtection="1">
      <alignment horizontal="left" vertical="center"/>
      <protection locked="0"/>
    </xf>
    <xf numFmtId="220" fontId="1" fillId="23" borderId="1" xfId="19153" applyFont="1" applyFill="1" applyBorder="1" applyAlignment="1" applyProtection="1">
      <alignment vertical="center"/>
      <protection locked="0"/>
    </xf>
    <xf numFmtId="43" fontId="1" fillId="23" borderId="1" xfId="39" applyFont="1" applyFill="1" applyBorder="1" applyAlignment="1" applyProtection="1">
      <alignment horizontal="right" vertical="center" shrinkToFit="1"/>
    </xf>
    <xf numFmtId="220" fontId="1" fillId="0" borderId="1" xfId="4424" applyFont="1" applyFill="1" applyBorder="1" applyAlignment="1" applyProtection="1">
      <alignment horizontal="center" vertical="center"/>
      <protection locked="0"/>
    </xf>
    <xf numFmtId="220" fontId="1" fillId="0" borderId="1" xfId="19153" applyFont="1" applyFill="1" applyBorder="1" applyAlignment="1" applyProtection="1">
      <alignment vertical="center"/>
      <protection locked="0"/>
    </xf>
    <xf numFmtId="10" fontId="1" fillId="0" borderId="1" xfId="39" applyNumberFormat="1" applyFont="1" applyFill="1" applyBorder="1" applyAlignment="1" applyProtection="1">
      <alignment horizontal="center" vertical="center" shrinkToFit="1"/>
      <protection locked="0"/>
    </xf>
    <xf numFmtId="220" fontId="1" fillId="11" borderId="0" xfId="19153" applyFont="1" applyFill="1" applyAlignment="1" applyProtection="1">
      <alignment vertical="center"/>
      <protection locked="0"/>
    </xf>
    <xf numFmtId="220" fontId="1" fillId="11" borderId="0" xfId="4424" applyFont="1" applyFill="1" applyAlignment="1" applyProtection="1">
      <alignment horizontal="center" vertical="center" wrapText="1"/>
      <protection locked="0"/>
    </xf>
    <xf numFmtId="220" fontId="2" fillId="11" borderId="0" xfId="19153" applyFont="1" applyFill="1" applyAlignment="1" applyProtection="1">
      <alignment vertical="center"/>
      <protection locked="0"/>
    </xf>
    <xf numFmtId="220" fontId="1" fillId="11" borderId="0" xfId="4424" applyFont="1" applyFill="1" applyAlignment="1" applyProtection="1">
      <alignment vertical="center"/>
      <protection locked="0"/>
    </xf>
    <xf numFmtId="10" fontId="1" fillId="0" borderId="0" xfId="55" applyNumberFormat="1" applyFont="1" applyFill="1" applyAlignment="1" applyProtection="1">
      <alignment vertical="center"/>
      <protection locked="0"/>
    </xf>
    <xf numFmtId="220" fontId="1" fillId="0" borderId="0" xfId="19153" applyFont="1" applyFill="1" applyAlignment="1" applyProtection="1">
      <alignment vertical="center"/>
      <protection locked="0"/>
    </xf>
    <xf numFmtId="220" fontId="1" fillId="11" borderId="0" xfId="4424" applyFont="1" applyFill="1" applyAlignment="1" applyProtection="1">
      <alignment vertical="center"/>
    </xf>
    <xf numFmtId="43" fontId="1" fillId="2" borderId="0" xfId="4424" applyNumberFormat="1" applyFont="1" applyFill="1" applyAlignment="1" applyProtection="1">
      <alignment vertical="center"/>
      <protection locked="0"/>
    </xf>
    <xf numFmtId="220" fontId="2" fillId="11" borderId="1" xfId="4424" applyFont="1" applyFill="1" applyBorder="1" applyAlignment="1" applyProtection="1">
      <alignment vertical="center"/>
      <protection locked="0"/>
    </xf>
    <xf numFmtId="220" fontId="1" fillId="11" borderId="1" xfId="19153" applyFont="1" applyFill="1" applyBorder="1" applyAlignment="1" applyProtection="1">
      <alignment vertical="center"/>
      <protection locked="0"/>
    </xf>
    <xf numFmtId="220" fontId="1" fillId="11" borderId="1" xfId="4424" applyFont="1" applyFill="1" applyBorder="1" applyAlignment="1" applyProtection="1">
      <alignment horizontal="center" vertical="center"/>
      <protection locked="0"/>
    </xf>
    <xf numFmtId="10" fontId="1" fillId="0" borderId="1" xfId="55" applyNumberFormat="1" applyFont="1" applyFill="1" applyBorder="1" applyAlignment="1" applyProtection="1">
      <alignment vertical="center"/>
      <protection locked="0"/>
    </xf>
    <xf numFmtId="10" fontId="1" fillId="2" borderId="0" xfId="4424" applyNumberFormat="1" applyFont="1" applyFill="1" applyBorder="1" applyAlignment="1" applyProtection="1">
      <alignment horizontal="center" vertical="center" shrinkToFit="1"/>
      <protection locked="0"/>
    </xf>
    <xf numFmtId="10" fontId="1" fillId="0" borderId="0" xfId="4424" applyNumberFormat="1" applyFont="1" applyFill="1" applyBorder="1" applyAlignment="1" applyProtection="1">
      <alignment horizontal="center" vertical="center" shrinkToFit="1"/>
      <protection locked="0"/>
    </xf>
    <xf numFmtId="220" fontId="1" fillId="0" borderId="0" xfId="4424" applyFont="1" applyFill="1" applyAlignment="1" applyProtection="1">
      <alignment vertical="center"/>
      <protection locked="0"/>
    </xf>
    <xf numFmtId="10" fontId="1" fillId="2" borderId="1" xfId="39" applyNumberFormat="1" applyFont="1" applyFill="1" applyBorder="1" applyAlignment="1" applyProtection="1">
      <alignment horizontal="center" vertical="center" shrinkToFit="1"/>
      <protection locked="0"/>
    </xf>
    <xf numFmtId="220" fontId="1" fillId="2" borderId="1" xfId="4424" applyFont="1" applyFill="1" applyBorder="1" applyAlignment="1" applyProtection="1">
      <alignment vertical="center"/>
      <protection locked="0"/>
    </xf>
    <xf numFmtId="220" fontId="1" fillId="2" borderId="1" xfId="19153" applyFont="1" applyFill="1" applyBorder="1" applyAlignment="1" applyProtection="1">
      <alignment vertical="center"/>
      <protection locked="0"/>
    </xf>
    <xf numFmtId="10" fontId="1" fillId="23" borderId="1" xfId="4424" applyNumberFormat="1" applyFont="1" applyFill="1" applyBorder="1" applyAlignment="1" applyProtection="1">
      <alignment horizontal="center" vertical="center" shrinkToFit="1"/>
    </xf>
    <xf numFmtId="10" fontId="1" fillId="23" borderId="1" xfId="39" applyNumberFormat="1" applyFont="1" applyFill="1" applyBorder="1" applyAlignment="1" applyProtection="1">
      <alignment horizontal="center" vertical="center" shrinkToFit="1"/>
      <protection locked="0"/>
    </xf>
    <xf numFmtId="220" fontId="1" fillId="11" borderId="0" xfId="19153" applyFont="1" applyFill="1" applyAlignment="1" applyProtection="1">
      <alignment horizontal="center" vertical="center" wrapText="1"/>
      <protection locked="0"/>
    </xf>
    <xf numFmtId="43" fontId="1" fillId="11" borderId="0" xfId="19153" applyNumberFormat="1" applyFont="1" applyFill="1" applyAlignment="1" applyProtection="1">
      <alignment vertical="center"/>
    </xf>
    <xf numFmtId="286" fontId="1" fillId="11" borderId="0" xfId="19153" applyNumberFormat="1" applyFont="1" applyFill="1" applyAlignment="1" applyProtection="1">
      <alignment vertical="center"/>
    </xf>
    <xf numFmtId="43" fontId="1" fillId="2" borderId="0" xfId="19153" applyNumberFormat="1" applyFont="1" applyFill="1" applyAlignment="1" applyProtection="1">
      <alignment vertical="center"/>
      <protection locked="0"/>
    </xf>
    <xf numFmtId="220" fontId="1" fillId="11" borderId="0" xfId="4424" applyFont="1" applyFill="1" applyAlignment="1" applyProtection="1">
      <alignment horizontal="center" vertical="center"/>
    </xf>
    <xf numFmtId="43" fontId="1" fillId="11" borderId="1" xfId="19153" applyNumberFormat="1" applyFont="1" applyFill="1" applyBorder="1" applyAlignment="1" applyProtection="1">
      <alignment vertical="center"/>
    </xf>
    <xf numFmtId="10" fontId="1" fillId="2" borderId="0" xfId="55" applyNumberFormat="1" applyFont="1" applyFill="1" applyAlignment="1" applyProtection="1">
      <alignment vertical="center"/>
      <protection locked="0"/>
    </xf>
    <xf numFmtId="220" fontId="30" fillId="2" borderId="0" xfId="14678" applyFont="1" applyFill="1" applyAlignment="1" applyProtection="1">
      <protection locked="0"/>
    </xf>
    <xf numFmtId="220" fontId="20" fillId="2" borderId="1" xfId="14678" applyFont="1" applyFill="1" applyBorder="1" applyAlignment="1" applyProtection="1">
      <alignment horizontal="center" wrapText="1"/>
      <protection locked="0"/>
    </xf>
    <xf numFmtId="220" fontId="1" fillId="2" borderId="16" xfId="4424" applyFont="1" applyFill="1" applyBorder="1" applyAlignment="1" applyProtection="1">
      <alignment horizontal="center" vertical="center"/>
      <protection locked="0"/>
    </xf>
    <xf numFmtId="220" fontId="1" fillId="2" borderId="20" xfId="4424" applyFont="1" applyFill="1" applyBorder="1" applyAlignment="1" applyProtection="1">
      <alignment horizontal="center" vertical="center"/>
      <protection locked="0"/>
    </xf>
    <xf numFmtId="220" fontId="57" fillId="2" borderId="0" xfId="4424" applyFont="1" applyFill="1" applyAlignment="1" applyProtection="1">
      <alignment horizontal="left" vertical="center" shrinkToFit="1"/>
      <protection locked="0"/>
    </xf>
    <xf numFmtId="220" fontId="13" fillId="2" borderId="2" xfId="4424" applyFont="1" applyFill="1" applyBorder="1" applyAlignment="1" applyProtection="1">
      <alignment vertical="center"/>
      <protection locked="0"/>
    </xf>
    <xf numFmtId="220" fontId="13" fillId="2" borderId="0" xfId="4424" applyFont="1" applyFill="1" applyAlignment="1" applyProtection="1">
      <alignment vertical="center"/>
      <protection locked="0"/>
    </xf>
    <xf numFmtId="43" fontId="1" fillId="0" borderId="0" xfId="39" applyFont="1" applyFill="1" applyAlignment="1" applyProtection="1">
      <alignment vertical="center"/>
      <protection locked="0"/>
    </xf>
    <xf numFmtId="220" fontId="13" fillId="2" borderId="0" xfId="4424" applyFont="1" applyFill="1" applyBorder="1" applyAlignment="1" applyProtection="1">
      <alignment horizontal="left" vertical="center"/>
      <protection locked="0"/>
    </xf>
    <xf numFmtId="220" fontId="1" fillId="2" borderId="0" xfId="4424" applyFont="1" applyFill="1" applyBorder="1" applyAlignment="1" applyProtection="1">
      <alignment horizontal="center" vertical="center"/>
      <protection locked="0"/>
    </xf>
    <xf numFmtId="43" fontId="1" fillId="11" borderId="0" xfId="39" applyNumberFormat="1" applyFont="1" applyFill="1" applyBorder="1" applyAlignment="1" applyProtection="1">
      <alignment horizontal="right" vertical="center" shrinkToFit="1"/>
      <protection locked="0"/>
    </xf>
    <xf numFmtId="43" fontId="1" fillId="11" borderId="0" xfId="39" applyNumberFormat="1" applyFont="1" applyFill="1" applyBorder="1" applyAlignment="1" applyProtection="1">
      <alignment horizontal="center" vertical="center" shrinkToFit="1"/>
      <protection locked="0"/>
    </xf>
    <xf numFmtId="220" fontId="2" fillId="2" borderId="0" xfId="14678" applyFont="1" applyFill="1" applyAlignment="1" applyProtection="1">
      <protection locked="0"/>
    </xf>
    <xf numFmtId="198" fontId="1" fillId="0" borderId="0" xfId="55" applyNumberFormat="1" applyFont="1" applyFill="1" applyAlignment="1" applyProtection="1">
      <alignment vertical="center"/>
      <protection locked="0"/>
    </xf>
    <xf numFmtId="43" fontId="1" fillId="2" borderId="1" xfId="39" applyNumberFormat="1" applyFont="1" applyFill="1" applyBorder="1" applyAlignment="1" applyProtection="1">
      <alignment horizontal="center" vertical="center" shrinkToFit="1"/>
      <protection locked="0"/>
    </xf>
    <xf numFmtId="10" fontId="59" fillId="2" borderId="0" xfId="39" applyNumberFormat="1" applyFont="1" applyFill="1" applyBorder="1" applyAlignment="1" applyProtection="1">
      <alignment horizontal="center" vertical="center" shrinkToFit="1"/>
      <protection locked="0"/>
    </xf>
    <xf numFmtId="220" fontId="22" fillId="2" borderId="0" xfId="14678" applyFont="1" applyFill="1" applyAlignment="1" applyProtection="1">
      <alignment horizontal="center"/>
      <protection locked="0"/>
    </xf>
    <xf numFmtId="10" fontId="1" fillId="0" borderId="0" xfId="39" applyNumberFormat="1" applyFont="1" applyFill="1" applyBorder="1" applyAlignment="1" applyProtection="1">
      <alignment horizontal="center" vertical="center" shrinkToFit="1"/>
      <protection locked="0"/>
    </xf>
    <xf numFmtId="220" fontId="1" fillId="2" borderId="2" xfId="4424" applyFont="1" applyFill="1" applyBorder="1" applyAlignment="1" applyProtection="1">
      <alignment vertical="center"/>
      <protection locked="0"/>
    </xf>
    <xf numFmtId="220" fontId="60" fillId="2" borderId="1" xfId="4424" applyFont="1" applyFill="1" applyBorder="1" applyAlignment="1" applyProtection="1">
      <alignment horizontal="center" vertical="center" wrapText="1"/>
      <protection locked="0"/>
    </xf>
    <xf numFmtId="220" fontId="18" fillId="2" borderId="1" xfId="4424" applyFont="1" applyFill="1" applyBorder="1" applyAlignment="1" applyProtection="1">
      <alignment horizontal="center" vertical="center" wrapText="1"/>
      <protection locked="0"/>
    </xf>
    <xf numFmtId="220" fontId="1" fillId="2" borderId="1" xfId="4424" applyFont="1" applyFill="1" applyBorder="1" applyAlignment="1" applyProtection="1">
      <alignment horizontal="center" vertical="center" wrapText="1"/>
      <protection locked="0"/>
    </xf>
    <xf numFmtId="43" fontId="1" fillId="2" borderId="1" xfId="39" applyFont="1" applyFill="1" applyBorder="1" applyAlignment="1" applyProtection="1">
      <alignment horizontal="center" vertical="center" wrapText="1"/>
      <protection locked="0"/>
    </xf>
    <xf numFmtId="220" fontId="1" fillId="0" borderId="1" xfId="4424" applyFont="1" applyFill="1" applyBorder="1" applyAlignment="1" applyProtection="1">
      <alignment horizontal="center" vertical="center" wrapText="1"/>
      <protection locked="0"/>
    </xf>
    <xf numFmtId="43" fontId="1" fillId="2" borderId="1" xfId="39" applyFont="1" applyFill="1" applyBorder="1" applyAlignment="1" applyProtection="1">
      <alignment horizontal="center" vertical="center" wrapText="1"/>
    </xf>
    <xf numFmtId="220" fontId="30" fillId="2" borderId="0" xfId="4424" applyFont="1" applyFill="1" applyBorder="1" applyAlignment="1" applyProtection="1">
      <alignment horizontal="left" vertical="center" wrapText="1"/>
      <protection locked="0"/>
    </xf>
    <xf numFmtId="220" fontId="1" fillId="2" borderId="0" xfId="4424" applyFont="1" applyFill="1" applyBorder="1" applyAlignment="1" applyProtection="1">
      <alignment horizontal="center" vertical="center" wrapText="1"/>
      <protection locked="0"/>
    </xf>
    <xf numFmtId="43" fontId="1" fillId="2" borderId="1" xfId="4424" applyNumberFormat="1" applyFont="1" applyFill="1" applyBorder="1" applyAlignment="1" applyProtection="1">
      <alignment horizontal="right" vertical="center" shrinkToFit="1"/>
      <protection locked="0"/>
    </xf>
    <xf numFmtId="220" fontId="1" fillId="2" borderId="0" xfId="4424" applyFont="1" applyFill="1" applyBorder="1" applyAlignment="1" applyProtection="1">
      <alignment horizontal="left" vertical="center" wrapText="1"/>
      <protection locked="0"/>
    </xf>
    <xf numFmtId="220" fontId="57" fillId="2" borderId="0" xfId="4424" applyFont="1" applyFill="1" applyAlignment="1" applyProtection="1">
      <alignment horizontal="left" vertical="center" shrinkToFit="1"/>
      <protection locked="0" hidden="1"/>
    </xf>
    <xf numFmtId="220" fontId="1" fillId="0" borderId="1" xfId="4424" applyFont="1" applyFill="1" applyBorder="1" applyAlignment="1" applyProtection="1">
      <alignment vertical="center"/>
      <protection locked="0"/>
    </xf>
    <xf numFmtId="220" fontId="2" fillId="0" borderId="1" xfId="4424" applyFont="1" applyFill="1" applyBorder="1" applyAlignment="1" applyProtection="1">
      <alignment vertical="center"/>
      <protection locked="0"/>
    </xf>
    <xf numFmtId="220" fontId="2" fillId="2" borderId="0" xfId="4424" applyFont="1" applyFill="1" applyAlignment="1" applyProtection="1">
      <alignment vertical="center"/>
      <protection locked="0"/>
    </xf>
    <xf numFmtId="43" fontId="1" fillId="0" borderId="1" xfId="39" applyFont="1" applyFill="1" applyBorder="1" applyAlignment="1" applyProtection="1">
      <protection locked="0"/>
    </xf>
    <xf numFmtId="220" fontId="24" fillId="2" borderId="0" xfId="4424" applyFont="1" applyFill="1" applyAlignment="1" applyProtection="1">
      <alignment vertical="center"/>
      <protection locked="0"/>
    </xf>
    <xf numFmtId="220" fontId="1" fillId="2" borderId="14" xfId="4424" applyFont="1" applyFill="1" applyBorder="1" applyAlignment="1" applyProtection="1">
      <alignment horizontal="center" vertical="center"/>
      <protection locked="0"/>
    </xf>
    <xf numFmtId="10" fontId="1" fillId="2" borderId="1" xfId="55" applyNumberFormat="1" applyFont="1" applyFill="1" applyBorder="1" applyAlignment="1" applyProtection="1">
      <alignment horizontal="right" vertical="center"/>
    </xf>
    <xf numFmtId="10" fontId="1" fillId="11" borderId="0" xfId="55" applyNumberFormat="1" applyFont="1" applyFill="1" applyBorder="1" applyAlignment="1" applyProtection="1">
      <alignment horizontal="right" vertical="center" shrinkToFit="1"/>
    </xf>
    <xf numFmtId="220" fontId="1" fillId="2" borderId="1" xfId="14678" applyFont="1" applyFill="1" applyBorder="1" applyAlignment="1" applyProtection="1">
      <alignment horizontal="center"/>
      <protection locked="0"/>
    </xf>
    <xf numFmtId="220" fontId="24" fillId="2" borderId="0" xfId="14678" applyFont="1" applyFill="1" applyAlignment="1" applyProtection="1">
      <alignment horizontal="left" indent="2"/>
      <protection locked="0"/>
    </xf>
    <xf numFmtId="220" fontId="13" fillId="0" borderId="1" xfId="14678" applyFont="1" applyFill="1" applyBorder="1" applyAlignment="1" applyProtection="1">
      <protection locked="0"/>
    </xf>
    <xf numFmtId="43" fontId="13" fillId="0" borderId="1" xfId="39" applyFont="1" applyFill="1" applyBorder="1" applyAlignment="1" applyProtection="1">
      <protection locked="0"/>
    </xf>
    <xf numFmtId="10" fontId="1" fillId="2" borderId="1" xfId="55" applyNumberFormat="1" applyFont="1" applyFill="1" applyBorder="1" applyAlignment="1" applyProtection="1">
      <alignment horizontal="center" vertical="center"/>
    </xf>
    <xf numFmtId="220" fontId="1" fillId="2" borderId="0" xfId="14678" applyFont="1" applyFill="1" applyBorder="1" applyAlignment="1" applyProtection="1">
      <alignment horizontal="center"/>
      <protection locked="0"/>
    </xf>
    <xf numFmtId="43" fontId="2" fillId="2" borderId="0" xfId="39" applyFont="1" applyFill="1" applyBorder="1" applyAlignment="1" applyProtection="1">
      <alignment vertical="center"/>
      <protection locked="0"/>
    </xf>
    <xf numFmtId="10" fontId="1" fillId="11" borderId="0" xfId="55" applyNumberFormat="1" applyFont="1" applyFill="1" applyBorder="1" applyAlignment="1" applyProtection="1">
      <alignment horizontal="center" vertical="center" shrinkToFit="1"/>
    </xf>
    <xf numFmtId="220" fontId="1" fillId="2" borderId="8" xfId="4424" applyFont="1" applyFill="1" applyBorder="1" applyAlignment="1" applyProtection="1">
      <alignment horizontal="center" vertical="center"/>
      <protection locked="0"/>
    </xf>
    <xf numFmtId="220" fontId="1" fillId="2" borderId="0" xfId="14678" applyFont="1" applyFill="1" applyBorder="1" applyAlignment="1" applyProtection="1">
      <protection locked="0"/>
    </xf>
    <xf numFmtId="220" fontId="1" fillId="2" borderId="1" xfId="14678" applyFont="1" applyFill="1" applyBorder="1" applyAlignment="1" applyProtection="1">
      <alignment horizontal="justify" wrapText="1"/>
      <protection locked="0"/>
    </xf>
    <xf numFmtId="43" fontId="1" fillId="2" borderId="1" xfId="39" applyFont="1" applyFill="1" applyBorder="1" applyAlignment="1" applyProtection="1">
      <alignment horizontal="center" vertical="top" wrapText="1"/>
      <protection locked="0"/>
    </xf>
    <xf numFmtId="43" fontId="1" fillId="2" borderId="1" xfId="39" applyFont="1" applyFill="1" applyBorder="1" applyAlignment="1" applyProtection="1">
      <alignment vertical="center"/>
      <protection locked="0"/>
    </xf>
    <xf numFmtId="220" fontId="1" fillId="2" borderId="0" xfId="26229" applyFont="1" applyFill="1" applyAlignment="1" applyProtection="1">
      <alignment vertical="center"/>
      <protection locked="0"/>
    </xf>
    <xf numFmtId="220" fontId="57" fillId="2" borderId="0" xfId="26189" applyFont="1" applyFill="1" applyAlignment="1" applyProtection="1">
      <alignment horizontal="left" vertical="center" shrinkToFit="1"/>
      <protection locked="0" hidden="1"/>
    </xf>
    <xf numFmtId="220" fontId="1" fillId="2" borderId="0" xfId="26189" applyFont="1" applyFill="1" applyAlignment="1" applyProtection="1">
      <alignment horizontal="left" vertical="center"/>
      <protection locked="0"/>
    </xf>
    <xf numFmtId="220" fontId="1" fillId="2" borderId="1" xfId="26189" applyFont="1" applyFill="1" applyBorder="1" applyAlignment="1" applyProtection="1">
      <alignment horizontal="center" vertical="center" wrapText="1"/>
      <protection locked="0"/>
    </xf>
    <xf numFmtId="220" fontId="1" fillId="2" borderId="1" xfId="26189" applyFont="1" applyFill="1" applyBorder="1" applyAlignment="1" applyProtection="1">
      <alignment horizontal="left" vertical="center" wrapText="1"/>
      <protection locked="0"/>
    </xf>
    <xf numFmtId="10" fontId="1" fillId="2" borderId="1" xfId="39" applyNumberFormat="1" applyFont="1" applyFill="1" applyBorder="1" applyAlignment="1" applyProtection="1">
      <alignment horizontal="center" vertical="center" shrinkToFit="1"/>
    </xf>
    <xf numFmtId="265" fontId="1" fillId="2" borderId="1" xfId="55" applyNumberFormat="1" applyFont="1" applyFill="1" applyBorder="1" applyAlignment="1" applyProtection="1">
      <alignment horizontal="right" vertical="center" shrinkToFit="1"/>
    </xf>
    <xf numFmtId="43" fontId="1" fillId="2" borderId="1" xfId="26189" applyNumberFormat="1" applyFont="1" applyFill="1" applyBorder="1" applyAlignment="1" applyProtection="1">
      <alignment horizontal="right" vertical="center" shrinkToFit="1"/>
    </xf>
    <xf numFmtId="220" fontId="1" fillId="2" borderId="0" xfId="26189" applyFont="1" applyFill="1" applyBorder="1" applyAlignment="1" applyProtection="1">
      <alignment horizontal="center" vertical="center" wrapText="1"/>
      <protection locked="0"/>
    </xf>
    <xf numFmtId="265" fontId="1" fillId="2" borderId="0" xfId="55" applyNumberFormat="1" applyFont="1" applyFill="1" applyBorder="1" applyAlignment="1" applyProtection="1">
      <alignment horizontal="right" vertical="center" shrinkToFit="1"/>
    </xf>
    <xf numFmtId="43" fontId="1" fillId="2" borderId="0" xfId="26189" applyNumberFormat="1" applyFont="1" applyFill="1" applyBorder="1" applyAlignment="1" applyProtection="1">
      <alignment horizontal="right" vertical="center" shrinkToFit="1"/>
    </xf>
    <xf numFmtId="9" fontId="1" fillId="2" borderId="0" xfId="55" applyFont="1" applyFill="1" applyBorder="1" applyAlignment="1" applyProtection="1">
      <alignment horizontal="center" vertical="center" shrinkToFit="1"/>
      <protection locked="0"/>
    </xf>
    <xf numFmtId="220" fontId="61" fillId="2" borderId="0" xfId="26189" applyFont="1" applyFill="1" applyAlignment="1" applyProtection="1">
      <alignment horizontal="left" vertical="center" shrinkToFit="1"/>
      <protection locked="0" hidden="1"/>
    </xf>
    <xf numFmtId="220" fontId="1" fillId="0" borderId="1" xfId="26189" applyFont="1" applyFill="1" applyBorder="1" applyAlignment="1" applyProtection="1">
      <alignment horizontal="left" vertical="center" wrapText="1"/>
      <protection locked="0"/>
    </xf>
    <xf numFmtId="43" fontId="1" fillId="0" borderId="1" xfId="39" applyFont="1" applyFill="1" applyBorder="1" applyAlignment="1" applyProtection="1">
      <alignment horizontal="left" vertical="center" wrapText="1"/>
      <protection locked="0"/>
    </xf>
    <xf numFmtId="220" fontId="1" fillId="2" borderId="0" xfId="26189" applyFont="1" applyFill="1" applyAlignment="1" applyProtection="1">
      <alignment vertical="center"/>
      <protection locked="0"/>
    </xf>
    <xf numFmtId="220" fontId="2" fillId="11" borderId="3" xfId="26189" applyFont="1" applyFill="1" applyBorder="1" applyAlignment="1" applyProtection="1">
      <alignment horizontal="center" vertical="center"/>
      <protection locked="0"/>
    </xf>
    <xf numFmtId="220" fontId="2" fillId="11" borderId="5" xfId="26189" applyFont="1" applyFill="1" applyBorder="1" applyAlignment="1" applyProtection="1">
      <alignment horizontal="center" vertical="center"/>
      <protection locked="0"/>
    </xf>
    <xf numFmtId="220" fontId="1" fillId="2" borderId="0" xfId="26189" applyFont="1" applyFill="1" applyAlignment="1" applyProtection="1">
      <alignment horizontal="center" vertical="center"/>
      <protection locked="0"/>
    </xf>
    <xf numFmtId="220" fontId="1" fillId="11" borderId="6" xfId="26189" applyFont="1" applyFill="1" applyBorder="1" applyAlignment="1" applyProtection="1">
      <alignment vertical="center"/>
      <protection locked="0"/>
    </xf>
    <xf numFmtId="220" fontId="2" fillId="11" borderId="7" xfId="26189" applyFont="1" applyFill="1" applyBorder="1" applyAlignment="1" applyProtection="1">
      <alignment horizontal="center" vertical="center"/>
      <protection locked="0"/>
    </xf>
    <xf numFmtId="220" fontId="1" fillId="11" borderId="1" xfId="4424" applyFont="1" applyFill="1" applyBorder="1" applyAlignment="1" applyProtection="1">
      <alignment vertical="center"/>
    </xf>
    <xf numFmtId="220" fontId="1" fillId="0" borderId="1" xfId="26189" applyFont="1" applyFill="1" applyBorder="1" applyAlignment="1" applyProtection="1">
      <alignment vertical="center"/>
      <protection locked="0"/>
    </xf>
    <xf numFmtId="220" fontId="2" fillId="23" borderId="1" xfId="26189" applyFont="1" applyFill="1" applyBorder="1" applyAlignment="1" applyProtection="1">
      <alignment horizontal="left" vertical="center" wrapText="1"/>
      <protection locked="0"/>
    </xf>
    <xf numFmtId="220" fontId="1" fillId="23" borderId="1" xfId="26189" applyFont="1" applyFill="1" applyBorder="1" applyAlignment="1" applyProtection="1">
      <alignment horizontal="left" vertical="center" wrapText="1"/>
      <protection locked="0"/>
    </xf>
    <xf numFmtId="43" fontId="1" fillId="23" borderId="1" xfId="39" applyFont="1" applyFill="1" applyBorder="1" applyAlignment="1" applyProtection="1">
      <alignment horizontal="left" vertical="center" wrapText="1"/>
    </xf>
    <xf numFmtId="220" fontId="1" fillId="2" borderId="0" xfId="26189" applyFont="1" applyFill="1" applyBorder="1" applyAlignment="1" applyProtection="1">
      <alignment horizontal="left" vertical="center" wrapText="1"/>
      <protection locked="0"/>
    </xf>
    <xf numFmtId="43" fontId="1" fillId="2" borderId="0" xfId="39" applyFont="1" applyFill="1" applyBorder="1" applyAlignment="1" applyProtection="1">
      <alignment horizontal="left" vertical="center" wrapText="1"/>
      <protection locked="0"/>
    </xf>
    <xf numFmtId="220" fontId="24" fillId="2" borderId="0" xfId="26189" applyFont="1" applyFill="1" applyAlignment="1" applyProtection="1">
      <alignment horizontal="left" vertical="center"/>
      <protection locked="0"/>
    </xf>
    <xf numFmtId="220" fontId="1" fillId="0" borderId="0" xfId="26189" applyFont="1" applyFill="1" applyAlignment="1" applyProtection="1">
      <alignment horizontal="left" vertical="center"/>
      <protection locked="0"/>
    </xf>
    <xf numFmtId="220" fontId="2" fillId="0" borderId="1" xfId="4424" applyFont="1" applyFill="1" applyBorder="1" applyAlignment="1" applyProtection="1">
      <alignment horizontal="center" vertical="center"/>
      <protection locked="0"/>
    </xf>
    <xf numFmtId="220" fontId="2" fillId="2" borderId="0" xfId="26189" applyFont="1" applyFill="1" applyAlignment="1" applyProtection="1">
      <alignment horizontal="left" vertical="center"/>
      <protection locked="0"/>
    </xf>
    <xf numFmtId="265" fontId="1" fillId="2" borderId="0" xfId="55" applyNumberFormat="1" applyFont="1" applyFill="1" applyBorder="1" applyAlignment="1" applyProtection="1">
      <alignment horizontal="right" vertical="center" shrinkToFit="1"/>
      <protection locked="0"/>
    </xf>
    <xf numFmtId="43" fontId="1" fillId="2" borderId="0" xfId="26189" applyNumberFormat="1" applyFont="1" applyFill="1" applyBorder="1" applyAlignment="1" applyProtection="1">
      <alignment horizontal="right" vertical="center" shrinkToFit="1"/>
      <protection locked="0"/>
    </xf>
    <xf numFmtId="220" fontId="1" fillId="2" borderId="0" xfId="26220" applyFont="1" applyFill="1" applyAlignment="1" applyProtection="1">
      <alignment vertical="center"/>
      <protection locked="0"/>
    </xf>
    <xf numFmtId="220" fontId="57" fillId="2" borderId="0" xfId="17623" applyFont="1" applyFill="1" applyAlignment="1" applyProtection="1">
      <alignment horizontal="left" vertical="center" shrinkToFit="1"/>
      <protection locked="0" hidden="1"/>
    </xf>
    <xf numFmtId="220" fontId="1" fillId="2" borderId="0" xfId="17623" applyFont="1" applyFill="1" applyBorder="1" applyAlignment="1" applyProtection="1">
      <alignment vertical="center"/>
      <protection locked="0"/>
    </xf>
    <xf numFmtId="220" fontId="1" fillId="2" borderId="1" xfId="17623" applyNumberFormat="1" applyFont="1" applyFill="1" applyBorder="1" applyAlignment="1" applyProtection="1">
      <alignment horizontal="center" vertical="center" wrapText="1"/>
      <protection locked="0"/>
    </xf>
    <xf numFmtId="220" fontId="1" fillId="2" borderId="1" xfId="4424" applyNumberFormat="1" applyFont="1" applyFill="1" applyBorder="1" applyAlignment="1" applyProtection="1">
      <alignment horizontal="left" vertical="center" wrapText="1"/>
      <protection locked="0"/>
    </xf>
    <xf numFmtId="265" fontId="1" fillId="2" borderId="1" xfId="55" applyNumberFormat="1" applyFont="1" applyFill="1" applyBorder="1" applyAlignment="1" applyProtection="1">
      <alignment horizontal="right" vertical="center" shrinkToFit="1"/>
      <protection locked="0"/>
    </xf>
    <xf numFmtId="43" fontId="1" fillId="2" borderId="1" xfId="39" applyNumberFormat="1" applyFont="1" applyFill="1" applyBorder="1" applyAlignment="1" applyProtection="1">
      <alignment horizontal="center" vertical="center" shrinkToFit="1"/>
    </xf>
    <xf numFmtId="43" fontId="1" fillId="2" borderId="0" xfId="39" applyNumberFormat="1" applyFont="1" applyFill="1" applyBorder="1" applyAlignment="1" applyProtection="1">
      <alignment horizontal="center" vertical="center" shrinkToFit="1"/>
    </xf>
    <xf numFmtId="43" fontId="1" fillId="2" borderId="0" xfId="55" applyNumberFormat="1" applyFont="1" applyFill="1" applyBorder="1" applyAlignment="1" applyProtection="1">
      <alignment horizontal="center" vertical="center" shrinkToFit="1"/>
      <protection locked="0"/>
    </xf>
    <xf numFmtId="220" fontId="61" fillId="2" borderId="0" xfId="17623" applyFont="1" applyFill="1" applyAlignment="1" applyProtection="1">
      <alignment horizontal="left" vertical="center" shrinkToFit="1"/>
      <protection locked="0" hidden="1"/>
    </xf>
    <xf numFmtId="220" fontId="2" fillId="2" borderId="0" xfId="17623" applyNumberFormat="1" applyFont="1" applyFill="1" applyAlignment="1" applyProtection="1">
      <alignment horizontal="left" vertical="center" wrapText="1"/>
      <protection locked="0"/>
    </xf>
    <xf numFmtId="220" fontId="1" fillId="2" borderId="0" xfId="17623" applyFont="1" applyFill="1" applyAlignment="1" applyProtection="1">
      <alignment vertical="center"/>
      <protection locked="0"/>
    </xf>
    <xf numFmtId="43" fontId="1" fillId="2" borderId="0" xfId="17623" applyNumberFormat="1" applyFont="1" applyFill="1" applyAlignment="1" applyProtection="1">
      <alignment vertical="center"/>
      <protection locked="0"/>
    </xf>
    <xf numFmtId="43" fontId="1" fillId="2" borderId="0" xfId="39" applyFont="1" applyFill="1" applyAlignment="1" applyProtection="1">
      <alignment horizontal="center" vertical="center"/>
      <protection locked="0"/>
    </xf>
    <xf numFmtId="9" fontId="2" fillId="0" borderId="1" xfId="55" applyFont="1" applyFill="1" applyBorder="1" applyAlignment="1" applyProtection="1">
      <alignment horizontal="center" vertical="center"/>
      <protection locked="0"/>
    </xf>
    <xf numFmtId="9" fontId="1" fillId="2" borderId="1" xfId="55" applyFont="1" applyFill="1" applyBorder="1" applyAlignment="1" applyProtection="1">
      <alignment horizontal="center" vertical="center"/>
      <protection locked="0"/>
    </xf>
    <xf numFmtId="220" fontId="1" fillId="0" borderId="0" xfId="26189" applyFont="1" applyFill="1" applyAlignment="1" applyProtection="1">
      <alignment vertical="center"/>
      <protection locked="0"/>
    </xf>
    <xf numFmtId="220" fontId="1" fillId="11" borderId="16" xfId="19153" applyFont="1" applyFill="1" applyBorder="1" applyAlignment="1" applyProtection="1">
      <alignment vertical="center"/>
      <protection locked="0"/>
    </xf>
    <xf numFmtId="220" fontId="1" fillId="11" borderId="16" xfId="4424" applyFont="1" applyFill="1" applyBorder="1" applyAlignment="1" applyProtection="1">
      <alignment horizontal="center" vertical="center" wrapText="1"/>
      <protection locked="0"/>
    </xf>
    <xf numFmtId="220" fontId="2" fillId="11" borderId="16" xfId="19153" applyFont="1" applyFill="1" applyBorder="1" applyAlignment="1" applyProtection="1">
      <alignment vertical="center"/>
      <protection locked="0"/>
    </xf>
    <xf numFmtId="220" fontId="1" fillId="11" borderId="20" xfId="19153" applyFont="1" applyFill="1" applyBorder="1" applyAlignment="1" applyProtection="1">
      <alignment vertical="center"/>
      <protection locked="0"/>
    </xf>
    <xf numFmtId="220" fontId="1" fillId="11" borderId="20" xfId="4424" applyFont="1" applyFill="1" applyBorder="1" applyAlignment="1" applyProtection="1">
      <alignment vertical="center"/>
      <protection locked="0"/>
    </xf>
    <xf numFmtId="43" fontId="1" fillId="2" borderId="0" xfId="39" applyNumberFormat="1" applyFont="1" applyFill="1" applyBorder="1" applyAlignment="1" applyProtection="1">
      <alignment horizontal="center" vertical="center" shrinkToFit="1"/>
      <protection locked="0"/>
    </xf>
    <xf numFmtId="287" fontId="1" fillId="11" borderId="0" xfId="39" applyNumberFormat="1" applyFont="1" applyFill="1" applyBorder="1" applyAlignment="1" applyProtection="1">
      <alignment vertical="center" shrinkToFit="1"/>
    </xf>
    <xf numFmtId="220" fontId="2" fillId="2" borderId="1" xfId="17623" applyNumberFormat="1" applyFont="1" applyFill="1" applyBorder="1" applyAlignment="1" applyProtection="1">
      <alignment horizontal="center" vertical="center" wrapText="1"/>
      <protection locked="0"/>
    </xf>
    <xf numFmtId="220" fontId="1" fillId="11" borderId="5" xfId="19153" applyFont="1" applyFill="1" applyBorder="1" applyAlignment="1" applyProtection="1">
      <alignment horizontal="center" vertical="center" wrapText="1"/>
      <protection locked="0"/>
    </xf>
    <xf numFmtId="220" fontId="1" fillId="11" borderId="7" xfId="19153" applyFont="1" applyFill="1" applyBorder="1" applyAlignment="1" applyProtection="1">
      <alignment vertical="center"/>
      <protection locked="0"/>
    </xf>
    <xf numFmtId="43" fontId="1" fillId="11" borderId="0" xfId="39" applyFont="1" applyFill="1" applyAlignment="1" applyProtection="1">
      <alignment vertical="center"/>
    </xf>
    <xf numFmtId="43" fontId="2" fillId="11" borderId="0" xfId="39" applyFont="1" applyFill="1" applyAlignment="1" applyProtection="1">
      <alignment vertical="center"/>
      <protection locked="0"/>
    </xf>
    <xf numFmtId="220" fontId="2" fillId="2" borderId="0" xfId="26220" applyFont="1" applyFill="1" applyAlignment="1" applyProtection="1">
      <alignment vertical="center"/>
      <protection locked="0"/>
    </xf>
    <xf numFmtId="43" fontId="1" fillId="2" borderId="0" xfId="26220" applyNumberFormat="1" applyFont="1" applyFill="1" applyAlignment="1" applyProtection="1">
      <alignment vertical="center"/>
      <protection locked="0"/>
    </xf>
    <xf numFmtId="220" fontId="18" fillId="2" borderId="1" xfId="4424" applyNumberFormat="1" applyFont="1" applyFill="1" applyBorder="1" applyAlignment="1" applyProtection="1">
      <alignment horizontal="left" vertical="center" wrapText="1"/>
      <protection locked="0"/>
    </xf>
    <xf numFmtId="220" fontId="60" fillId="2" borderId="1" xfId="4424" applyNumberFormat="1" applyFont="1" applyFill="1" applyBorder="1" applyAlignment="1" applyProtection="1">
      <alignment horizontal="left" vertical="center" wrapText="1"/>
      <protection locked="0"/>
    </xf>
    <xf numFmtId="220" fontId="30" fillId="2" borderId="0" xfId="14678" applyFont="1" applyFill="1" applyProtection="1">
      <protection locked="0"/>
    </xf>
    <xf numFmtId="220" fontId="23" fillId="2" borderId="0" xfId="14678" applyFont="1" applyFill="1" applyProtection="1">
      <protection locked="0"/>
    </xf>
    <xf numFmtId="43" fontId="1" fillId="0" borderId="0" xfId="39" applyFont="1" applyFill="1" applyBorder="1" applyAlignment="1" applyProtection="1">
      <alignment horizontal="right" vertical="center" shrinkToFit="1"/>
      <protection locked="0"/>
    </xf>
    <xf numFmtId="220" fontId="2" fillId="2" borderId="0" xfId="4424" applyFont="1" applyFill="1" applyBorder="1" applyAlignment="1" applyProtection="1">
      <alignment horizontal="center" vertical="center"/>
      <protection locked="0"/>
    </xf>
    <xf numFmtId="43" fontId="1" fillId="11" borderId="0" xfId="39" applyFont="1" applyFill="1" applyBorder="1" applyAlignment="1" applyProtection="1">
      <alignment horizontal="center" vertical="center" shrinkToFit="1"/>
    </xf>
    <xf numFmtId="277" fontId="1" fillId="11" borderId="0" xfId="39" applyNumberFormat="1" applyFont="1" applyFill="1" applyBorder="1" applyAlignment="1" applyProtection="1">
      <alignment horizontal="center" vertical="center" shrinkToFit="1"/>
    </xf>
    <xf numFmtId="43" fontId="57" fillId="2" borderId="0" xfId="4424" applyNumberFormat="1" applyFont="1" applyFill="1" applyAlignment="1" applyProtection="1">
      <alignment horizontal="left" vertical="center" shrinkToFit="1"/>
      <protection locked="0" hidden="1"/>
    </xf>
    <xf numFmtId="220" fontId="30" fillId="23" borderId="14" xfId="4424" applyFont="1" applyFill="1" applyBorder="1" applyAlignment="1" applyProtection="1">
      <alignment vertical="center"/>
      <protection locked="0"/>
    </xf>
    <xf numFmtId="220" fontId="2" fillId="0" borderId="1" xfId="19153" applyFont="1" applyFill="1" applyBorder="1" applyAlignment="1" applyProtection="1">
      <alignment vertical="center"/>
      <protection locked="0"/>
    </xf>
    <xf numFmtId="10" fontId="1" fillId="2" borderId="1" xfId="17623" applyNumberFormat="1" applyFont="1" applyFill="1" applyBorder="1" applyAlignment="1" applyProtection="1">
      <alignment horizontal="center" vertical="center" shrinkToFit="1"/>
    </xf>
    <xf numFmtId="10" fontId="2" fillId="0" borderId="1" xfId="39" applyNumberFormat="1" applyFont="1" applyFill="1" applyBorder="1" applyAlignment="1" applyProtection="1">
      <alignment horizontal="center" vertical="center" wrapText="1" shrinkToFit="1"/>
      <protection locked="0"/>
    </xf>
    <xf numFmtId="10" fontId="2" fillId="0" borderId="1" xfId="39" applyNumberFormat="1" applyFont="1" applyFill="1" applyBorder="1" applyAlignment="1" applyProtection="1">
      <alignment horizontal="center" vertical="center" shrinkToFit="1"/>
      <protection locked="0"/>
    </xf>
    <xf numFmtId="220" fontId="1" fillId="2" borderId="0" xfId="17623" applyNumberFormat="1" applyFont="1" applyFill="1" applyBorder="1" applyAlignment="1" applyProtection="1">
      <alignment horizontal="left" vertical="center" wrapText="1"/>
      <protection locked="0"/>
    </xf>
    <xf numFmtId="220" fontId="22" fillId="2" borderId="0" xfId="17623" applyNumberFormat="1" applyFont="1" applyFill="1" applyBorder="1" applyAlignment="1" applyProtection="1">
      <alignment horizontal="center" vertical="center" wrapText="1"/>
      <protection locked="0"/>
    </xf>
    <xf numFmtId="43" fontId="1" fillId="0" borderId="0" xfId="39" applyFont="1" applyFill="1" applyBorder="1" applyAlignment="1" applyProtection="1">
      <alignment horizontal="left" vertical="center" wrapText="1"/>
      <protection locked="0"/>
    </xf>
    <xf numFmtId="43" fontId="1" fillId="0" borderId="1" xfId="39" applyNumberFormat="1" applyFont="1" applyFill="1" applyBorder="1" applyAlignment="1" applyProtection="1">
      <alignment horizontal="right" vertical="center" wrapText="1" shrinkToFit="1"/>
      <protection locked="0"/>
    </xf>
    <xf numFmtId="220" fontId="1" fillId="0" borderId="1" xfId="17623" applyFont="1" applyFill="1" applyBorder="1" applyAlignment="1" applyProtection="1">
      <alignment horizontal="left" vertical="center" wrapText="1"/>
      <protection locked="0"/>
    </xf>
    <xf numFmtId="43" fontId="1" fillId="0" borderId="1" xfId="35297" applyFont="1" applyFill="1" applyBorder="1" applyAlignment="1" applyProtection="1">
      <alignment horizontal="right" vertical="center" shrinkToFit="1"/>
      <protection locked="0"/>
    </xf>
    <xf numFmtId="43" fontId="1" fillId="0" borderId="1" xfId="39" applyFont="1" applyFill="1" applyBorder="1" applyAlignment="1" applyProtection="1">
      <alignment horizontal="center" vertical="center" wrapText="1"/>
      <protection locked="0"/>
    </xf>
    <xf numFmtId="220" fontId="1" fillId="2" borderId="1" xfId="17623" applyFont="1" applyFill="1" applyBorder="1" applyAlignment="1" applyProtection="1">
      <alignment horizontal="center" vertical="center" wrapText="1"/>
      <protection locked="0"/>
    </xf>
    <xf numFmtId="43" fontId="1" fillId="2" borderId="1" xfId="35297" applyNumberFormat="1" applyFont="1" applyFill="1" applyBorder="1" applyAlignment="1" applyProtection="1">
      <alignment horizontal="right" vertical="center" shrinkToFit="1"/>
    </xf>
    <xf numFmtId="43" fontId="1" fillId="2" borderId="0" xfId="35297" applyNumberFormat="1" applyFont="1" applyFill="1" applyBorder="1" applyAlignment="1" applyProtection="1">
      <alignment horizontal="right" vertical="center" shrinkToFit="1"/>
      <protection locked="0"/>
    </xf>
    <xf numFmtId="220" fontId="2" fillId="2" borderId="0" xfId="17623" applyFont="1" applyFill="1" applyAlignment="1" applyProtection="1">
      <alignment vertical="center"/>
      <protection locked="0"/>
    </xf>
    <xf numFmtId="220" fontId="1" fillId="2" borderId="0" xfId="17623" applyNumberFormat="1" applyFont="1" applyFill="1" applyAlignment="1" applyProtection="1">
      <alignment vertical="center" wrapText="1"/>
      <protection locked="0"/>
    </xf>
    <xf numFmtId="220" fontId="1" fillId="2" borderId="0" xfId="17623" applyFont="1" applyFill="1" applyAlignment="1" applyProtection="1">
      <alignment horizontal="justify" vertical="center"/>
      <protection locked="0"/>
    </xf>
    <xf numFmtId="220" fontId="1" fillId="0" borderId="1" xfId="17623" applyNumberFormat="1" applyFont="1" applyFill="1" applyBorder="1" applyAlignment="1" applyProtection="1">
      <alignment horizontal="left" vertical="center" wrapText="1"/>
      <protection locked="0"/>
    </xf>
    <xf numFmtId="220" fontId="1" fillId="0" borderId="1" xfId="17623" applyFont="1" applyFill="1" applyBorder="1" applyAlignment="1" applyProtection="1">
      <alignment horizontal="center" vertical="center"/>
      <protection locked="0"/>
    </xf>
    <xf numFmtId="43" fontId="1" fillId="2" borderId="1" xfId="39" applyFont="1" applyFill="1" applyBorder="1" applyAlignment="1" applyProtection="1">
      <alignment horizontal="center" vertical="center"/>
      <protection locked="0"/>
    </xf>
    <xf numFmtId="43" fontId="1" fillId="2" borderId="1" xfId="39" applyFont="1" applyFill="1" applyBorder="1" applyAlignment="1" applyProtection="1">
      <alignment horizontal="center" vertical="center" shrinkToFit="1"/>
      <protection locked="0"/>
    </xf>
    <xf numFmtId="220" fontId="1" fillId="0" borderId="1" xfId="17623" applyFont="1" applyFill="1" applyBorder="1" applyAlignment="1" applyProtection="1">
      <alignment vertical="center" wrapText="1"/>
      <protection locked="0"/>
    </xf>
    <xf numFmtId="220" fontId="1" fillId="2" borderId="1" xfId="17623" applyFont="1" applyFill="1" applyBorder="1" applyAlignment="1" applyProtection="1">
      <alignment vertical="center" wrapText="1"/>
      <protection locked="0"/>
    </xf>
    <xf numFmtId="220" fontId="1" fillId="2" borderId="0" xfId="17623" applyFont="1" applyFill="1" applyBorder="1" applyAlignment="1" applyProtection="1">
      <alignment vertical="center" wrapText="1"/>
      <protection locked="0"/>
    </xf>
    <xf numFmtId="10" fontId="1" fillId="2" borderId="0" xfId="12456" applyNumberFormat="1" applyFont="1" applyFill="1" applyAlignment="1" applyProtection="1">
      <alignment vertical="center"/>
      <protection locked="0"/>
    </xf>
    <xf numFmtId="10" fontId="1" fillId="2" borderId="0" xfId="39" applyNumberFormat="1" applyFont="1" applyFill="1" applyBorder="1" applyAlignment="1" applyProtection="1">
      <alignment horizontal="right" vertical="center" shrinkToFit="1"/>
      <protection locked="0"/>
    </xf>
    <xf numFmtId="220" fontId="1" fillId="2" borderId="0" xfId="14678" applyFont="1" applyFill="1" applyAlignment="1" applyProtection="1">
      <alignment horizontal="left" indent="2"/>
      <protection locked="0"/>
    </xf>
    <xf numFmtId="10" fontId="2" fillId="2" borderId="0" xfId="39" applyNumberFormat="1" applyFont="1" applyFill="1" applyBorder="1" applyAlignment="1" applyProtection="1">
      <alignment horizontal="center" vertical="center" shrinkToFit="1"/>
      <protection locked="0"/>
    </xf>
    <xf numFmtId="43" fontId="61" fillId="2" borderId="0" xfId="4424" applyNumberFormat="1" applyFont="1" applyFill="1" applyAlignment="1" applyProtection="1">
      <alignment horizontal="left" vertical="center" shrinkToFit="1"/>
      <protection locked="0" hidden="1"/>
    </xf>
    <xf numFmtId="220" fontId="59" fillId="2" borderId="0" xfId="14678" applyFont="1" applyFill="1" applyAlignment="1" applyProtection="1">
      <alignment horizontal="left" indent="2"/>
      <protection locked="0"/>
    </xf>
    <xf numFmtId="43" fontId="61" fillId="2" borderId="0" xfId="4424" applyNumberFormat="1" applyFont="1" applyFill="1" applyAlignment="1" applyProtection="1">
      <alignment horizontal="left" vertical="center" shrinkToFit="1"/>
      <protection locked="0"/>
    </xf>
    <xf numFmtId="220" fontId="2" fillId="11" borderId="1" xfId="4424" applyFont="1" applyFill="1" applyBorder="1" applyAlignment="1" applyProtection="1">
      <alignment horizontal="center" vertical="center"/>
      <protection locked="0"/>
    </xf>
    <xf numFmtId="220" fontId="2" fillId="2" borderId="1" xfId="4424" applyFont="1" applyFill="1" applyBorder="1" applyAlignment="1" applyProtection="1">
      <alignment horizontal="center" vertical="center" wrapText="1"/>
      <protection locked="0"/>
    </xf>
    <xf numFmtId="220" fontId="1" fillId="0" borderId="1" xfId="14678" applyFont="1" applyFill="1" applyBorder="1" applyAlignment="1" applyProtection="1">
      <alignment horizontal="left" indent="2"/>
      <protection locked="0"/>
    </xf>
    <xf numFmtId="43" fontId="61" fillId="2" borderId="0" xfId="17623" applyNumberFormat="1" applyFont="1" applyFill="1" applyAlignment="1" applyProtection="1">
      <alignment horizontal="left" vertical="center" shrinkToFit="1"/>
      <protection locked="0" hidden="1"/>
    </xf>
    <xf numFmtId="220" fontId="1" fillId="2" borderId="0" xfId="17623" applyNumberFormat="1" applyFont="1" applyFill="1" applyBorder="1" applyAlignment="1" applyProtection="1">
      <alignment horizontal="center" vertical="center" wrapText="1"/>
      <protection locked="0"/>
    </xf>
    <xf numFmtId="10" fontId="1" fillId="2" borderId="0" xfId="17623" applyNumberFormat="1" applyFont="1" applyFill="1" applyBorder="1" applyAlignment="1" applyProtection="1">
      <alignment horizontal="center" vertical="center" shrinkToFit="1"/>
      <protection locked="0"/>
    </xf>
    <xf numFmtId="220" fontId="1" fillId="2" borderId="0" xfId="26198" applyFont="1" applyFill="1" applyAlignment="1" applyProtection="1">
      <alignment vertical="center"/>
      <protection locked="0"/>
    </xf>
    <xf numFmtId="220" fontId="57" fillId="2" borderId="0" xfId="26197" applyFont="1" applyFill="1" applyAlignment="1" applyProtection="1">
      <alignment horizontal="left" vertical="center" shrinkToFit="1"/>
      <protection locked="0" hidden="1"/>
    </xf>
    <xf numFmtId="220" fontId="1" fillId="2" borderId="0" xfId="26197" applyFont="1" applyFill="1" applyAlignment="1" applyProtection="1">
      <alignment vertical="center"/>
      <protection locked="0"/>
    </xf>
    <xf numFmtId="220" fontId="1" fillId="2" borderId="1" xfId="26197" applyNumberFormat="1" applyFont="1" applyFill="1" applyBorder="1" applyAlignment="1" applyProtection="1">
      <alignment horizontal="center" vertical="center" wrapText="1"/>
      <protection locked="0"/>
    </xf>
    <xf numFmtId="43" fontId="1" fillId="2" borderId="1" xfId="39" applyFont="1" applyFill="1" applyBorder="1" applyAlignment="1" applyProtection="1">
      <alignment horizontal="left" vertical="center" wrapText="1"/>
    </xf>
    <xf numFmtId="43" fontId="1" fillId="2" borderId="1" xfId="39" applyFont="1" applyFill="1" applyBorder="1" applyAlignment="1" applyProtection="1">
      <alignment horizontal="left" vertical="center" shrinkToFit="1"/>
      <protection locked="0"/>
    </xf>
    <xf numFmtId="220" fontId="1" fillId="2" borderId="0" xfId="26204" applyNumberFormat="1" applyFont="1" applyFill="1" applyBorder="1" applyAlignment="1" applyProtection="1">
      <alignment horizontal="left" vertical="center" wrapText="1"/>
      <protection locked="0"/>
    </xf>
    <xf numFmtId="43" fontId="1" fillId="2" borderId="0" xfId="26197" applyNumberFormat="1" applyFont="1" applyFill="1" applyBorder="1" applyAlignment="1" applyProtection="1">
      <alignment horizontal="right" vertical="center" shrinkToFit="1"/>
      <protection locked="0"/>
    </xf>
    <xf numFmtId="43" fontId="1" fillId="2" borderId="0" xfId="39" applyFont="1" applyFill="1" applyBorder="1" applyAlignment="1" applyProtection="1">
      <alignment horizontal="center" vertical="center" shrinkToFit="1"/>
    </xf>
    <xf numFmtId="43" fontId="13" fillId="2" borderId="0" xfId="26197" applyNumberFormat="1" applyFont="1" applyFill="1" applyBorder="1" applyAlignment="1" applyProtection="1">
      <alignment horizontal="right" vertical="center" shrinkToFit="1"/>
      <protection locked="0"/>
    </xf>
    <xf numFmtId="220" fontId="1" fillId="2" borderId="1" xfId="26204" applyNumberFormat="1" applyFont="1" applyFill="1" applyBorder="1" applyAlignment="1" applyProtection="1">
      <alignment horizontal="left" vertical="center" wrapText="1"/>
    </xf>
    <xf numFmtId="43" fontId="1" fillId="2" borderId="1" xfId="26197" applyNumberFormat="1" applyFont="1" applyFill="1" applyBorder="1" applyAlignment="1" applyProtection="1">
      <alignment horizontal="right" vertical="center" shrinkToFit="1"/>
    </xf>
    <xf numFmtId="220" fontId="1" fillId="0" borderId="1" xfId="26197" applyNumberFormat="1" applyFont="1" applyFill="1" applyBorder="1" applyAlignment="1" applyProtection="1">
      <alignment horizontal="center" vertical="center" wrapText="1"/>
      <protection locked="0"/>
    </xf>
    <xf numFmtId="43" fontId="1" fillId="0" borderId="1" xfId="26197" applyNumberFormat="1" applyFont="1" applyFill="1" applyBorder="1" applyAlignment="1" applyProtection="1">
      <alignment horizontal="right" vertical="center" shrinkToFit="1"/>
    </xf>
    <xf numFmtId="220" fontId="1" fillId="2" borderId="0" xfId="26197" applyFont="1" applyFill="1" applyAlignment="1" applyProtection="1">
      <alignment horizontal="justify" vertical="center"/>
      <protection locked="0"/>
    </xf>
    <xf numFmtId="220" fontId="2" fillId="2" borderId="0" xfId="26197" applyNumberFormat="1" applyFont="1" applyFill="1" applyBorder="1" applyAlignment="1" applyProtection="1">
      <alignment horizontal="center" vertical="center" wrapText="1"/>
      <protection locked="0"/>
    </xf>
    <xf numFmtId="43" fontId="57" fillId="2" borderId="0" xfId="26197" applyNumberFormat="1" applyFont="1" applyFill="1" applyAlignment="1" applyProtection="1">
      <alignment horizontal="left" vertical="center" shrinkToFit="1"/>
      <protection locked="0" hidden="1"/>
    </xf>
    <xf numFmtId="220" fontId="1" fillId="2" borderId="1" xfId="14678" applyFont="1" applyFill="1" applyBorder="1" applyAlignment="1" applyProtection="1">
      <alignment horizontal="left" wrapText="1"/>
    </xf>
    <xf numFmtId="220" fontId="13" fillId="0" borderId="1" xfId="14678" applyFont="1" applyFill="1" applyBorder="1" applyAlignment="1" applyProtection="1">
      <alignment horizontal="center" wrapText="1"/>
      <protection locked="0"/>
    </xf>
    <xf numFmtId="220" fontId="13" fillId="0" borderId="1" xfId="14678" applyFont="1" applyFill="1" applyBorder="1" applyAlignment="1" applyProtection="1">
      <alignment wrapText="1"/>
      <protection locked="0"/>
    </xf>
    <xf numFmtId="220" fontId="1" fillId="2" borderId="1" xfId="14678" applyFont="1" applyFill="1" applyBorder="1" applyAlignment="1" applyProtection="1">
      <alignment horizontal="left"/>
    </xf>
    <xf numFmtId="43" fontId="1" fillId="0" borderId="1" xfId="26197" applyNumberFormat="1" applyFont="1" applyFill="1" applyBorder="1" applyAlignment="1" applyProtection="1">
      <alignment horizontal="right" vertical="center" shrinkToFit="1"/>
      <protection locked="0"/>
    </xf>
    <xf numFmtId="220" fontId="1" fillId="0" borderId="1" xfId="26197" applyFont="1" applyFill="1" applyBorder="1" applyAlignment="1" applyProtection="1">
      <alignment vertical="center"/>
      <protection locked="0"/>
    </xf>
    <xf numFmtId="43" fontId="1" fillId="2" borderId="1" xfId="39" applyFont="1" applyFill="1" applyBorder="1" applyAlignment="1" applyProtection="1">
      <alignment horizontal="left"/>
    </xf>
    <xf numFmtId="43" fontId="1" fillId="0" borderId="0" xfId="26197" applyNumberFormat="1" applyFont="1" applyFill="1" applyBorder="1" applyAlignment="1" applyProtection="1">
      <alignment horizontal="right" vertical="center" shrinkToFit="1"/>
      <protection locked="0"/>
    </xf>
    <xf numFmtId="220" fontId="1" fillId="0" borderId="0" xfId="26197" applyFont="1" applyFill="1" applyAlignment="1" applyProtection="1">
      <alignment vertical="center"/>
      <protection locked="0"/>
    </xf>
    <xf numFmtId="220" fontId="1" fillId="2" borderId="0" xfId="26197" applyNumberFormat="1" applyFont="1" applyFill="1" applyBorder="1" applyAlignment="1" applyProtection="1">
      <alignment horizontal="center" vertical="center" wrapText="1"/>
      <protection locked="0"/>
    </xf>
    <xf numFmtId="43" fontId="24" fillId="2" borderId="0" xfId="26197" applyNumberFormat="1" applyFont="1" applyFill="1" applyBorder="1" applyAlignment="1" applyProtection="1">
      <alignment horizontal="right" vertical="center" shrinkToFit="1"/>
      <protection locked="0"/>
    </xf>
    <xf numFmtId="43" fontId="2" fillId="2" borderId="1" xfId="39" applyFont="1" applyFill="1" applyBorder="1" applyAlignment="1" applyProtection="1">
      <alignment horizontal="center" vertical="center" shrinkToFit="1"/>
      <protection locked="0"/>
    </xf>
    <xf numFmtId="43" fontId="1" fillId="2" borderId="0" xfId="26197" applyNumberFormat="1" applyFont="1" applyFill="1" applyAlignment="1" applyProtection="1">
      <alignment vertical="center"/>
      <protection locked="0"/>
    </xf>
    <xf numFmtId="43" fontId="1" fillId="2" borderId="1" xfId="39" applyFont="1" applyFill="1" applyBorder="1" applyAlignment="1" applyProtection="1">
      <alignment horizontal="center" vertical="center" shrinkToFit="1"/>
    </xf>
    <xf numFmtId="220" fontId="1" fillId="2" borderId="0" xfId="26218" applyNumberFormat="1" applyFont="1" applyFill="1" applyBorder="1" applyAlignment="1" applyProtection="1">
      <alignment horizontal="left" vertical="center" wrapText="1"/>
      <protection locked="0"/>
    </xf>
    <xf numFmtId="43" fontId="61" fillId="2" borderId="0" xfId="26197" applyNumberFormat="1" applyFont="1" applyFill="1" applyAlignment="1" applyProtection="1">
      <alignment horizontal="left" vertical="center" shrinkToFit="1"/>
      <protection locked="0" hidden="1"/>
    </xf>
    <xf numFmtId="220" fontId="1" fillId="2" borderId="0" xfId="26216" applyFont="1" applyFill="1" applyAlignment="1" applyProtection="1">
      <alignment vertical="center"/>
      <protection locked="0"/>
    </xf>
    <xf numFmtId="220" fontId="57" fillId="2" borderId="0" xfId="26168" applyFont="1" applyFill="1" applyAlignment="1" applyProtection="1">
      <alignment horizontal="left" vertical="center" shrinkToFit="1"/>
      <protection locked="0" hidden="1"/>
    </xf>
    <xf numFmtId="43" fontId="1" fillId="2" borderId="0" xfId="39" applyFont="1" applyFill="1" applyAlignment="1" applyProtection="1">
      <alignment horizontal="left" vertical="center"/>
      <protection locked="0"/>
    </xf>
    <xf numFmtId="220" fontId="1" fillId="2" borderId="0" xfId="26168" applyFont="1" applyFill="1" applyAlignment="1" applyProtection="1">
      <alignment horizontal="left" vertical="center"/>
      <protection locked="0"/>
    </xf>
    <xf numFmtId="220" fontId="1" fillId="2" borderId="1" xfId="26168" applyNumberFormat="1" applyFont="1" applyFill="1" applyBorder="1" applyAlignment="1" applyProtection="1">
      <alignment horizontal="center" vertical="center" wrapText="1"/>
      <protection locked="0"/>
    </xf>
    <xf numFmtId="220" fontId="2" fillId="2" borderId="1" xfId="26168" applyNumberFormat="1" applyFont="1" applyFill="1" applyBorder="1" applyAlignment="1" applyProtection="1">
      <alignment horizontal="center" vertical="center" wrapText="1"/>
      <protection locked="0"/>
    </xf>
    <xf numFmtId="220" fontId="1" fillId="2" borderId="0" xfId="26168" applyFont="1" applyFill="1" applyAlignment="1" applyProtection="1">
      <alignment horizontal="left" vertical="center" shrinkToFit="1"/>
      <protection locked="0"/>
    </xf>
    <xf numFmtId="220" fontId="1" fillId="2" borderId="1" xfId="26168" applyNumberFormat="1" applyFont="1" applyFill="1" applyBorder="1" applyAlignment="1" applyProtection="1">
      <alignment horizontal="left" vertical="center" wrapText="1"/>
      <protection locked="0"/>
    </xf>
    <xf numFmtId="43" fontId="1" fillId="2" borderId="1" xfId="26168" applyNumberFormat="1" applyFont="1" applyFill="1" applyBorder="1" applyAlignment="1" applyProtection="1">
      <alignment horizontal="right" vertical="center" shrinkToFit="1"/>
    </xf>
    <xf numFmtId="43" fontId="1" fillId="2" borderId="0" xfId="26168" applyNumberFormat="1" applyFont="1" applyFill="1" applyBorder="1" applyAlignment="1" applyProtection="1">
      <alignment horizontal="right" vertical="center" shrinkToFit="1"/>
    </xf>
    <xf numFmtId="43" fontId="1" fillId="2" borderId="0" xfId="26168" applyNumberFormat="1" applyFont="1" applyFill="1" applyBorder="1" applyAlignment="1" applyProtection="1">
      <alignment horizontal="right" vertical="center" shrinkToFit="1"/>
      <protection locked="0"/>
    </xf>
    <xf numFmtId="43" fontId="1" fillId="0" borderId="0" xfId="26168" applyNumberFormat="1" applyFont="1" applyFill="1" applyBorder="1" applyAlignment="1" applyProtection="1">
      <alignment horizontal="right" vertical="center" shrinkToFit="1"/>
      <protection locked="0"/>
    </xf>
    <xf numFmtId="220" fontId="61" fillId="2" borderId="0" xfId="26168" applyFont="1" applyFill="1" applyAlignment="1" applyProtection="1">
      <alignment horizontal="left" vertical="center" shrinkToFit="1"/>
      <protection locked="0" hidden="1"/>
    </xf>
    <xf numFmtId="220" fontId="1" fillId="2" borderId="2" xfId="26168" applyNumberFormat="1" applyFont="1" applyFill="1" applyBorder="1" applyAlignment="1" applyProtection="1">
      <alignment vertical="center" wrapText="1"/>
      <protection locked="0"/>
    </xf>
    <xf numFmtId="220" fontId="1" fillId="2" borderId="0" xfId="26168" applyFont="1" applyFill="1" applyAlignment="1" applyProtection="1">
      <alignment vertical="center"/>
      <protection locked="0"/>
    </xf>
    <xf numFmtId="220" fontId="1" fillId="0" borderId="1" xfId="26168" applyFont="1" applyFill="1" applyBorder="1" applyAlignment="1" applyProtection="1">
      <alignment vertical="center" shrinkToFit="1"/>
      <protection locked="0"/>
    </xf>
    <xf numFmtId="220" fontId="1" fillId="0" borderId="1" xfId="26168" applyNumberFormat="1" applyFont="1" applyFill="1" applyBorder="1" applyAlignment="1" applyProtection="1">
      <alignment horizontal="center" vertical="center" wrapText="1"/>
      <protection locked="0"/>
    </xf>
    <xf numFmtId="43" fontId="1" fillId="0" borderId="1" xfId="26168" applyNumberFormat="1" applyFont="1" applyFill="1" applyBorder="1" applyAlignment="1" applyProtection="1">
      <alignment horizontal="right" vertical="center" shrinkToFit="1"/>
      <protection locked="0"/>
    </xf>
    <xf numFmtId="220" fontId="1" fillId="0" borderId="1" xfId="26168" applyNumberFormat="1" applyFont="1" applyFill="1" applyBorder="1" applyAlignment="1" applyProtection="1">
      <alignment horizontal="left" vertical="center" wrapText="1"/>
      <protection locked="0"/>
    </xf>
    <xf numFmtId="43" fontId="1" fillId="0" borderId="1" xfId="35297" applyNumberFormat="1" applyFont="1" applyFill="1" applyBorder="1" applyAlignment="1" applyProtection="1">
      <alignment horizontal="right" vertical="center" shrinkToFit="1"/>
      <protection locked="0"/>
    </xf>
    <xf numFmtId="288" fontId="1" fillId="0" borderId="1" xfId="26168" applyNumberFormat="1" applyFont="1" applyFill="1" applyBorder="1" applyAlignment="1" applyProtection="1">
      <alignment horizontal="center" vertical="center" shrinkToFit="1"/>
      <protection locked="0"/>
    </xf>
    <xf numFmtId="220" fontId="1" fillId="2" borderId="0" xfId="26168" applyNumberFormat="1" applyFont="1" applyFill="1" applyBorder="1" applyAlignment="1" applyProtection="1">
      <alignment horizontal="center" vertical="center" wrapText="1"/>
      <protection locked="0"/>
    </xf>
    <xf numFmtId="43" fontId="57" fillId="2" borderId="0" xfId="26168" applyNumberFormat="1" applyFont="1" applyFill="1" applyAlignment="1" applyProtection="1">
      <alignment horizontal="left" vertical="center" shrinkToFit="1"/>
      <protection locked="0" hidden="1"/>
    </xf>
    <xf numFmtId="43" fontId="1" fillId="2" borderId="0" xfId="39" applyFont="1" applyFill="1" applyAlignment="1" applyProtection="1">
      <alignment horizontal="left" vertical="center" shrinkToFit="1"/>
      <protection locked="0"/>
    </xf>
    <xf numFmtId="43" fontId="1" fillId="2" borderId="1" xfId="26168" applyNumberFormat="1" applyFont="1" applyFill="1" applyBorder="1" applyAlignment="1" applyProtection="1">
      <alignment horizontal="right" vertical="center" shrinkToFit="1"/>
      <protection locked="0"/>
    </xf>
    <xf numFmtId="220" fontId="24" fillId="2" borderId="0" xfId="14678" applyFont="1" applyFill="1" applyAlignment="1" applyProtection="1">
      <protection locked="0"/>
    </xf>
    <xf numFmtId="220" fontId="1" fillId="2" borderId="0" xfId="8011" applyFont="1" applyFill="1" applyAlignment="1" applyProtection="1">
      <alignment vertical="center"/>
      <protection locked="0"/>
    </xf>
    <xf numFmtId="220" fontId="57" fillId="2" borderId="0" xfId="26170" applyFont="1" applyFill="1" applyBorder="1" applyAlignment="1" applyProtection="1">
      <alignment horizontal="left" vertical="center" shrinkToFit="1"/>
      <protection locked="0" hidden="1"/>
    </xf>
    <xf numFmtId="220" fontId="1" fillId="2" borderId="0" xfId="26170" applyFont="1" applyFill="1" applyAlignment="1" applyProtection="1">
      <alignment vertical="center"/>
      <protection locked="0"/>
    </xf>
    <xf numFmtId="220" fontId="1" fillId="2" borderId="1" xfId="26170" applyFont="1" applyFill="1" applyBorder="1" applyAlignment="1" applyProtection="1">
      <alignment horizontal="center" vertical="center" wrapText="1"/>
      <protection locked="0"/>
    </xf>
    <xf numFmtId="220" fontId="1" fillId="2" borderId="1" xfId="26170" applyNumberFormat="1" applyFont="1" applyFill="1" applyBorder="1" applyAlignment="1" applyProtection="1">
      <alignment horizontal="center" vertical="center" wrapText="1"/>
      <protection locked="0"/>
    </xf>
    <xf numFmtId="220" fontId="1" fillId="2" borderId="1" xfId="26170" applyNumberFormat="1" applyFont="1" applyFill="1" applyBorder="1" applyAlignment="1" applyProtection="1">
      <alignment horizontal="left" vertical="center" wrapText="1"/>
      <protection locked="0"/>
    </xf>
    <xf numFmtId="220" fontId="1" fillId="2" borderId="4" xfId="26218" applyNumberFormat="1" applyFont="1" applyFill="1" applyBorder="1" applyAlignment="1" applyProtection="1">
      <alignment vertical="center" wrapText="1"/>
      <protection locked="0"/>
    </xf>
    <xf numFmtId="43" fontId="1" fillId="2" borderId="0" xfId="26218" applyNumberFormat="1" applyFont="1" applyFill="1" applyBorder="1" applyAlignment="1" applyProtection="1">
      <alignment vertical="center" wrapText="1"/>
    </xf>
    <xf numFmtId="220" fontId="1" fillId="2" borderId="0" xfId="26218" applyNumberFormat="1" applyFont="1" applyFill="1" applyBorder="1" applyAlignment="1" applyProtection="1">
      <alignment vertical="center" wrapText="1"/>
      <protection locked="0"/>
    </xf>
    <xf numFmtId="220" fontId="1" fillId="2" borderId="0" xfId="26170" applyNumberFormat="1" applyFont="1" applyFill="1" applyBorder="1" applyAlignment="1" applyProtection="1">
      <alignment horizontal="center" vertical="center" wrapText="1"/>
      <protection locked="0"/>
    </xf>
    <xf numFmtId="220" fontId="1" fillId="2" borderId="0" xfId="26168" applyFont="1" applyFill="1" applyAlignment="1" applyProtection="1">
      <alignment vertical="center" shrinkToFit="1"/>
      <protection locked="0"/>
    </xf>
    <xf numFmtId="289" fontId="1" fillId="0" borderId="1" xfId="26168" applyNumberFormat="1" applyFont="1" applyFill="1" applyBorder="1" applyAlignment="1" applyProtection="1">
      <alignment horizontal="center" vertical="center" shrinkToFit="1"/>
      <protection locked="0"/>
    </xf>
    <xf numFmtId="43" fontId="1" fillId="2" borderId="0" xfId="26168" applyNumberFormat="1" applyFont="1" applyFill="1" applyAlignment="1" applyProtection="1">
      <alignment horizontal="left" vertical="center" shrinkToFit="1"/>
      <protection locked="0"/>
    </xf>
    <xf numFmtId="220" fontId="13" fillId="2" borderId="1" xfId="14678" applyFont="1" applyFill="1" applyBorder="1" applyAlignment="1" applyProtection="1">
      <alignment horizontal="left" wrapText="1"/>
      <protection locked="0"/>
    </xf>
    <xf numFmtId="220" fontId="13" fillId="2" borderId="1" xfId="14678" applyFont="1" applyFill="1" applyBorder="1" applyAlignment="1" applyProtection="1">
      <alignment wrapText="1"/>
      <protection locked="0"/>
    </xf>
    <xf numFmtId="220" fontId="1" fillId="2" borderId="1" xfId="8011" applyFont="1" applyFill="1" applyBorder="1" applyAlignment="1" applyProtection="1">
      <alignment vertical="center"/>
      <protection locked="0"/>
    </xf>
    <xf numFmtId="220" fontId="24" fillId="0" borderId="0" xfId="14678" applyFont="1" applyFill="1" applyAlignment="1" applyProtection="1">
      <protection locked="0"/>
    </xf>
    <xf numFmtId="220" fontId="1" fillId="0" borderId="0" xfId="8011" applyFont="1" applyFill="1" applyAlignment="1" applyProtection="1">
      <alignment vertical="center"/>
      <protection locked="0"/>
    </xf>
    <xf numFmtId="220" fontId="1" fillId="2" borderId="0" xfId="26171" applyFont="1" applyFill="1" applyBorder="1" applyAlignment="1" applyProtection="1">
      <alignment horizontal="left" vertical="center"/>
      <protection locked="0"/>
    </xf>
    <xf numFmtId="220" fontId="1" fillId="2" borderId="1" xfId="26171" applyFont="1" applyFill="1" applyBorder="1" applyAlignment="1" applyProtection="1">
      <alignment horizontal="center" vertical="center" wrapText="1"/>
      <protection locked="0"/>
    </xf>
    <xf numFmtId="220" fontId="18" fillId="2" borderId="1" xfId="26171" applyFont="1" applyFill="1" applyBorder="1" applyAlignment="1" applyProtection="1">
      <alignment horizontal="center" vertical="center" wrapText="1"/>
      <protection locked="0"/>
    </xf>
    <xf numFmtId="220" fontId="1" fillId="0" borderId="1" xfId="26171" applyFont="1" applyFill="1" applyBorder="1" applyAlignment="1" applyProtection="1">
      <alignment horizontal="justify" vertical="center" wrapText="1"/>
      <protection locked="0"/>
    </xf>
    <xf numFmtId="43" fontId="1" fillId="0" borderId="1" xfId="39" applyFont="1" applyFill="1" applyBorder="1" applyAlignment="1" applyProtection="1">
      <alignment horizontal="right" vertical="center" wrapText="1"/>
      <protection locked="0"/>
    </xf>
    <xf numFmtId="43" fontId="1" fillId="2" borderId="0" xfId="26171" applyNumberFormat="1" applyFont="1" applyFill="1" applyBorder="1" applyAlignment="1" applyProtection="1">
      <alignment horizontal="right" vertical="center" shrinkToFit="1"/>
      <protection locked="0"/>
    </xf>
    <xf numFmtId="43" fontId="1" fillId="2" borderId="0" xfId="26171" applyNumberFormat="1" applyFont="1" applyFill="1" applyBorder="1" applyAlignment="1" applyProtection="1">
      <alignment horizontal="right" vertical="center" shrinkToFit="1"/>
    </xf>
    <xf numFmtId="220" fontId="1" fillId="2" borderId="0" xfId="26171" applyFont="1" applyFill="1" applyBorder="1" applyAlignment="1" applyProtection="1">
      <alignment horizontal="center" vertical="center" wrapText="1"/>
      <protection locked="0"/>
    </xf>
    <xf numFmtId="220" fontId="1" fillId="2" borderId="0" xfId="26171" applyFont="1" applyFill="1" applyAlignment="1" applyProtection="1">
      <alignment horizontal="justify" vertical="center"/>
      <protection locked="0"/>
    </xf>
    <xf numFmtId="220" fontId="1" fillId="2" borderId="0" xfId="26171" applyFont="1" applyFill="1" applyAlignment="1" applyProtection="1">
      <alignment vertical="center"/>
      <protection locked="0"/>
    </xf>
    <xf numFmtId="220" fontId="57" fillId="2" borderId="0" xfId="26171" applyFont="1" applyFill="1" applyAlignment="1" applyProtection="1">
      <alignment horizontal="left" vertical="center" shrinkToFit="1"/>
      <protection locked="0" hidden="1"/>
    </xf>
    <xf numFmtId="220" fontId="1" fillId="2" borderId="0" xfId="26171" applyFont="1" applyFill="1" applyAlignment="1" applyProtection="1">
      <alignment horizontal="left" vertical="center"/>
      <protection locked="0"/>
    </xf>
    <xf numFmtId="265" fontId="1" fillId="0" borderId="1" xfId="26171" applyNumberFormat="1" applyFont="1" applyFill="1" applyBorder="1" applyAlignment="1" applyProtection="1">
      <alignment horizontal="right" vertical="center" wrapText="1"/>
      <protection locked="0"/>
    </xf>
    <xf numFmtId="220" fontId="1" fillId="0" borderId="1" xfId="26171" applyFont="1" applyFill="1" applyBorder="1" applyAlignment="1" applyProtection="1">
      <alignment horizontal="right" vertical="center" wrapText="1"/>
      <protection locked="0"/>
    </xf>
    <xf numFmtId="43" fontId="1" fillId="10" borderId="1" xfId="39" applyFont="1" applyFill="1" applyBorder="1" applyAlignment="1" applyProtection="1">
      <alignment horizontal="right" vertical="center" wrapText="1"/>
    </xf>
    <xf numFmtId="220" fontId="1" fillId="0" borderId="1" xfId="26171" applyFont="1" applyFill="1" applyBorder="1" applyAlignment="1" applyProtection="1">
      <alignment horizontal="center" vertical="center" wrapText="1"/>
      <protection locked="0"/>
    </xf>
    <xf numFmtId="220" fontId="1" fillId="0" borderId="1" xfId="8011" applyFont="1" applyFill="1" applyBorder="1" applyAlignment="1" applyProtection="1">
      <alignment vertical="center"/>
      <protection locked="0"/>
    </xf>
    <xf numFmtId="220" fontId="1" fillId="0" borderId="1" xfId="26171" applyFont="1" applyFill="1" applyBorder="1" applyAlignment="1" applyProtection="1">
      <alignment vertical="center"/>
      <protection locked="0"/>
    </xf>
    <xf numFmtId="265" fontId="1" fillId="0" borderId="1" xfId="26171" applyNumberFormat="1" applyFont="1" applyFill="1" applyBorder="1" applyAlignment="1" applyProtection="1">
      <alignment horizontal="center" vertical="center" wrapText="1"/>
      <protection locked="0"/>
    </xf>
    <xf numFmtId="220" fontId="1" fillId="2" borderId="0" xfId="26221" applyFont="1" applyFill="1" applyAlignment="1" applyProtection="1">
      <alignment vertical="center"/>
      <protection locked="0"/>
    </xf>
    <xf numFmtId="220" fontId="57" fillId="2" borderId="0" xfId="26172" applyFont="1" applyFill="1" applyAlignment="1" applyProtection="1">
      <alignment horizontal="left" vertical="center" shrinkToFit="1"/>
      <protection locked="0" hidden="1"/>
    </xf>
    <xf numFmtId="220" fontId="14" fillId="24" borderId="0" xfId="49" applyFont="1" applyFill="1" applyAlignment="1" applyProtection="1">
      <alignment horizontal="left" vertical="center"/>
      <protection locked="0"/>
    </xf>
    <xf numFmtId="220" fontId="1" fillId="2" borderId="0" xfId="26172" applyFont="1" applyFill="1" applyAlignment="1" applyProtection="1">
      <alignment vertical="center"/>
      <protection locked="0"/>
    </xf>
    <xf numFmtId="220" fontId="13" fillId="2" borderId="0" xfId="26172" applyFont="1" applyFill="1" applyAlignment="1" applyProtection="1">
      <alignment horizontal="justify" vertical="center"/>
      <protection locked="0"/>
    </xf>
    <xf numFmtId="220" fontId="1" fillId="2" borderId="1" xfId="26172" applyNumberFormat="1" applyFont="1" applyFill="1" applyBorder="1" applyAlignment="1" applyProtection="1">
      <alignment horizontal="center" vertical="center" wrapText="1"/>
      <protection locked="0"/>
    </xf>
    <xf numFmtId="220" fontId="1" fillId="2" borderId="1" xfId="26172" applyNumberFormat="1" applyFont="1" applyFill="1" applyBorder="1" applyAlignment="1" applyProtection="1">
      <alignment horizontal="left" vertical="center" wrapText="1"/>
      <protection locked="0"/>
    </xf>
    <xf numFmtId="43" fontId="1" fillId="12" borderId="1" xfId="39" applyFont="1" applyFill="1" applyBorder="1" applyAlignment="1" applyProtection="1">
      <alignment horizontal="right" vertical="center" shrinkToFit="1"/>
    </xf>
    <xf numFmtId="220" fontId="1" fillId="2" borderId="0" xfId="26172" applyNumberFormat="1" applyFont="1" applyFill="1" applyAlignment="1" applyProtection="1">
      <alignment horizontal="left" vertical="center" wrapText="1"/>
      <protection locked="0"/>
    </xf>
    <xf numFmtId="43" fontId="1" fillId="2" borderId="1" xfId="39" applyFont="1" applyFill="1" applyBorder="1" applyAlignment="1" applyProtection="1">
      <alignment horizontal="center" wrapText="1"/>
    </xf>
    <xf numFmtId="43" fontId="1" fillId="10" borderId="1" xfId="26172" applyNumberFormat="1" applyFont="1" applyFill="1" applyBorder="1" applyAlignment="1" applyProtection="1">
      <alignment vertical="center"/>
    </xf>
    <xf numFmtId="43" fontId="1" fillId="0" borderId="1" xfId="26172" applyNumberFormat="1" applyFont="1" applyFill="1" applyBorder="1" applyAlignment="1" applyProtection="1">
      <alignment vertical="center"/>
      <protection locked="0"/>
    </xf>
    <xf numFmtId="43" fontId="1" fillId="10" borderId="1" xfId="39" applyFont="1" applyFill="1" applyBorder="1" applyAlignment="1" applyProtection="1">
      <alignment horizontal="center" wrapText="1"/>
    </xf>
    <xf numFmtId="43" fontId="1" fillId="2" borderId="1" xfId="26172" applyNumberFormat="1" applyFont="1" applyFill="1" applyBorder="1" applyAlignment="1" applyProtection="1">
      <alignment vertical="center"/>
    </xf>
    <xf numFmtId="220" fontId="1" fillId="0" borderId="0" xfId="26221" applyFont="1" applyFill="1" applyAlignment="1" applyProtection="1">
      <alignment vertical="center"/>
      <protection locked="0"/>
    </xf>
    <xf numFmtId="43" fontId="57" fillId="2" borderId="0" xfId="26172" applyNumberFormat="1" applyFont="1" applyFill="1" applyAlignment="1" applyProtection="1">
      <alignment horizontal="left" vertical="center" shrinkToFit="1"/>
      <protection locked="0" hidden="1"/>
    </xf>
    <xf numFmtId="220" fontId="1" fillId="2" borderId="2" xfId="26172" applyFont="1" applyFill="1" applyBorder="1" applyAlignment="1" applyProtection="1">
      <alignment horizontal="center" vertical="center" wrapText="1"/>
      <protection locked="0"/>
    </xf>
    <xf numFmtId="43" fontId="1" fillId="2" borderId="2" xfId="26172" applyNumberFormat="1" applyFont="1" applyFill="1" applyBorder="1" applyAlignment="1" applyProtection="1">
      <alignment horizontal="right" vertical="center" wrapText="1"/>
      <protection locked="0"/>
    </xf>
    <xf numFmtId="43" fontId="56" fillId="2" borderId="0" xfId="26173" applyNumberFormat="1" applyFont="1" applyFill="1" applyAlignment="1" applyProtection="1">
      <alignment horizontal="left" vertical="center" shrinkToFit="1"/>
      <protection locked="0" hidden="1"/>
    </xf>
    <xf numFmtId="220" fontId="57" fillId="2" borderId="0" xfId="26173" applyFont="1" applyFill="1" applyAlignment="1" applyProtection="1">
      <alignment horizontal="left" vertical="center" shrinkToFit="1"/>
      <protection locked="0" hidden="1"/>
    </xf>
    <xf numFmtId="220" fontId="14" fillId="24" borderId="0" xfId="49" applyFont="1" applyFill="1" applyAlignment="1" applyProtection="1">
      <alignment horizontal="center" vertical="center"/>
      <protection locked="0"/>
    </xf>
    <xf numFmtId="220" fontId="14" fillId="2" borderId="0" xfId="49" applyFont="1" applyFill="1" applyAlignment="1" applyProtection="1">
      <alignment horizontal="center" vertical="center"/>
      <protection locked="0"/>
    </xf>
    <xf numFmtId="43" fontId="13" fillId="2" borderId="0" xfId="14678" applyNumberFormat="1" applyFont="1" applyFill="1" applyAlignment="1" applyProtection="1">
      <alignment vertical="center"/>
      <protection locked="0"/>
    </xf>
    <xf numFmtId="220" fontId="1" fillId="2" borderId="1" xfId="26173" applyNumberFormat="1" applyFont="1" applyFill="1" applyBorder="1" applyAlignment="1" applyProtection="1">
      <alignment horizontal="center" vertical="center" wrapText="1"/>
      <protection locked="0"/>
    </xf>
    <xf numFmtId="220" fontId="1" fillId="2" borderId="14" xfId="26173" applyNumberFormat="1" applyFont="1" applyFill="1" applyBorder="1" applyAlignment="1" applyProtection="1">
      <alignment horizontal="center" vertical="center" wrapText="1"/>
      <protection locked="0"/>
    </xf>
    <xf numFmtId="220" fontId="1" fillId="2" borderId="34" xfId="26173" applyNumberFormat="1" applyFont="1" applyFill="1" applyBorder="1" applyAlignment="1" applyProtection="1">
      <alignment horizontal="center" vertical="center" wrapText="1"/>
      <protection locked="0"/>
    </xf>
    <xf numFmtId="220" fontId="1" fillId="2" borderId="1" xfId="26173" applyNumberFormat="1" applyFont="1" applyFill="1" applyBorder="1" applyAlignment="1" applyProtection="1">
      <alignment horizontal="left" vertical="center" wrapText="1"/>
      <protection locked="0"/>
    </xf>
    <xf numFmtId="220" fontId="1" fillId="2" borderId="1" xfId="26173" applyNumberFormat="1" applyFont="1" applyFill="1" applyBorder="1" applyAlignment="1" applyProtection="1">
      <alignment horizontal="left" vertical="center" wrapText="1"/>
    </xf>
    <xf numFmtId="43" fontId="60" fillId="2" borderId="1" xfId="39" applyFont="1" applyFill="1" applyBorder="1" applyAlignment="1" applyProtection="1">
      <alignment horizontal="center" vertical="center" shrinkToFit="1"/>
      <protection locked="0"/>
    </xf>
    <xf numFmtId="43" fontId="60" fillId="10" borderId="1" xfId="39" applyFont="1" applyFill="1" applyBorder="1" applyAlignment="1" applyProtection="1">
      <alignment horizontal="center" vertical="center" shrinkToFit="1"/>
      <protection locked="0"/>
    </xf>
    <xf numFmtId="31" fontId="1" fillId="2" borderId="0" xfId="26172" applyNumberFormat="1" applyFont="1" applyFill="1" applyAlignment="1" applyProtection="1">
      <alignment vertical="center"/>
      <protection locked="0"/>
    </xf>
    <xf numFmtId="220" fontId="2" fillId="2" borderId="0" xfId="26221" applyFont="1" applyFill="1" applyAlignment="1" applyProtection="1">
      <alignment vertical="center"/>
      <protection locked="0"/>
    </xf>
    <xf numFmtId="43" fontId="1" fillId="2" borderId="1" xfId="14678" applyNumberFormat="1" applyFont="1" applyFill="1" applyBorder="1" applyAlignment="1" applyProtection="1">
      <alignment horizontal="center" wrapText="1"/>
    </xf>
    <xf numFmtId="43" fontId="1" fillId="0" borderId="1" xfId="26221" applyNumberFormat="1" applyFont="1" applyFill="1" applyBorder="1" applyAlignment="1" applyProtection="1">
      <alignment vertical="center"/>
      <protection locked="0"/>
    </xf>
    <xf numFmtId="43" fontId="1" fillId="2" borderId="1" xfId="26221" applyNumberFormat="1" applyFont="1" applyFill="1" applyBorder="1" applyAlignment="1" applyProtection="1">
      <alignment vertical="center"/>
    </xf>
    <xf numFmtId="220" fontId="1" fillId="0" borderId="1" xfId="26173" applyNumberFormat="1" applyFont="1" applyFill="1" applyBorder="1" applyAlignment="1" applyProtection="1">
      <alignment horizontal="center" vertical="center" wrapText="1"/>
      <protection locked="0"/>
    </xf>
    <xf numFmtId="220" fontId="59" fillId="2" borderId="0" xfId="14678" applyFont="1" applyFill="1" applyAlignment="1" applyProtection="1">
      <protection locked="0"/>
    </xf>
    <xf numFmtId="220" fontId="1" fillId="2" borderId="2" xfId="26173" applyNumberFormat="1" applyFont="1" applyFill="1" applyBorder="1" applyAlignment="1" applyProtection="1">
      <alignment vertical="center" wrapText="1"/>
      <protection locked="0"/>
    </xf>
    <xf numFmtId="220" fontId="1" fillId="2" borderId="1" xfId="26173" applyNumberFormat="1" applyFont="1" applyFill="1" applyBorder="1" applyAlignment="1" applyProtection="1">
      <alignment horizontal="center" vertical="center" wrapText="1"/>
    </xf>
    <xf numFmtId="220" fontId="1" fillId="2" borderId="0" xfId="26173" applyNumberFormat="1" applyFont="1" applyFill="1" applyBorder="1" applyAlignment="1" applyProtection="1">
      <alignment vertical="center" wrapText="1"/>
      <protection locked="0"/>
    </xf>
    <xf numFmtId="220" fontId="1" fillId="2" borderId="0" xfId="26173" applyFont="1" applyFill="1" applyAlignment="1" applyProtection="1">
      <alignment vertical="center"/>
      <protection locked="0"/>
    </xf>
    <xf numFmtId="220" fontId="1" fillId="2" borderId="0" xfId="26173" applyNumberFormat="1" applyFont="1" applyFill="1" applyBorder="1" applyAlignment="1" applyProtection="1">
      <alignment horizontal="left" vertical="center" wrapText="1"/>
      <protection locked="0"/>
    </xf>
    <xf numFmtId="43" fontId="57" fillId="2" borderId="0" xfId="26173" applyNumberFormat="1" applyFont="1" applyFill="1" applyAlignment="1" applyProtection="1">
      <alignment horizontal="left" vertical="center" shrinkToFit="1"/>
      <protection locked="0" hidden="1"/>
    </xf>
    <xf numFmtId="220" fontId="1" fillId="2" borderId="0" xfId="26173" applyNumberFormat="1" applyFont="1" applyFill="1" applyBorder="1" applyAlignment="1" applyProtection="1">
      <alignment horizontal="center" vertical="center" wrapText="1"/>
      <protection locked="0"/>
    </xf>
    <xf numFmtId="43" fontId="1" fillId="2" borderId="0" xfId="39" applyFont="1" applyFill="1" applyBorder="1" applyAlignment="1" applyProtection="1">
      <alignment horizontal="center" vertical="center" wrapText="1"/>
      <protection locked="0"/>
    </xf>
    <xf numFmtId="43" fontId="1" fillId="0" borderId="1" xfId="39" applyFont="1" applyFill="1" applyBorder="1" applyAlignment="1" applyProtection="1">
      <alignment horizontal="left" vertical="center"/>
      <protection locked="0"/>
    </xf>
    <xf numFmtId="43" fontId="8" fillId="5" borderId="1" xfId="39" applyFont="1" applyFill="1" applyBorder="1" applyAlignment="1" applyProtection="1">
      <alignment vertical="center"/>
      <protection locked="0"/>
    </xf>
    <xf numFmtId="43" fontId="24" fillId="2" borderId="0" xfId="39" applyFont="1" applyFill="1" applyBorder="1" applyAlignment="1" applyProtection="1">
      <alignment horizontal="right" vertical="center" shrinkToFit="1"/>
      <protection locked="0"/>
    </xf>
    <xf numFmtId="43" fontId="1" fillId="5" borderId="1" xfId="39" applyFont="1" applyFill="1" applyBorder="1" applyAlignment="1" applyProtection="1">
      <alignment horizontal="right" vertical="center" shrinkToFit="1"/>
      <protection locked="0"/>
    </xf>
    <xf numFmtId="220" fontId="1" fillId="0" borderId="1" xfId="26173" applyNumberFormat="1" applyFont="1" applyFill="1" applyBorder="1" applyAlignment="1" applyProtection="1">
      <alignment horizontal="left" vertical="center" wrapText="1"/>
      <protection locked="0"/>
    </xf>
    <xf numFmtId="43" fontId="13" fillId="2" borderId="1" xfId="39" applyFont="1" applyFill="1" applyBorder="1" applyAlignment="1" applyProtection="1">
      <alignment horizontal="right" vertical="center" shrinkToFit="1"/>
    </xf>
    <xf numFmtId="220" fontId="57" fillId="2" borderId="0" xfId="14682" applyFont="1" applyFill="1" applyAlignment="1" applyProtection="1">
      <alignment horizontal="left" vertical="center" shrinkToFit="1"/>
      <protection locked="0" hidden="1"/>
    </xf>
    <xf numFmtId="220" fontId="1" fillId="2" borderId="0" xfId="14682" applyNumberFormat="1" applyFont="1" applyFill="1" applyAlignment="1" applyProtection="1">
      <alignment horizontal="left" vertical="center" wrapText="1"/>
      <protection locked="0"/>
    </xf>
    <xf numFmtId="220" fontId="1" fillId="2" borderId="0" xfId="14682" applyFont="1" applyFill="1" applyAlignment="1" applyProtection="1">
      <alignment vertical="center"/>
      <protection locked="0"/>
    </xf>
    <xf numFmtId="220" fontId="1" fillId="2" borderId="1" xfId="14682" applyNumberFormat="1" applyFont="1" applyFill="1" applyBorder="1" applyAlignment="1" applyProtection="1">
      <alignment horizontal="center" vertical="center" wrapText="1"/>
      <protection locked="0"/>
    </xf>
    <xf numFmtId="220" fontId="2" fillId="0" borderId="1" xfId="14682" applyNumberFormat="1" applyFont="1" applyFill="1" applyBorder="1" applyAlignment="1" applyProtection="1">
      <alignment horizontal="center" vertical="center" wrapText="1"/>
      <protection locked="0"/>
    </xf>
    <xf numFmtId="220" fontId="1" fillId="0" borderId="1" xfId="14682" applyNumberFormat="1" applyFont="1" applyFill="1" applyBorder="1" applyAlignment="1" applyProtection="1">
      <alignment horizontal="center" vertical="center" wrapText="1"/>
      <protection locked="0"/>
    </xf>
    <xf numFmtId="220" fontId="1" fillId="0" borderId="1" xfId="14682" applyNumberFormat="1" applyFont="1" applyFill="1" applyBorder="1" applyAlignment="1" applyProtection="1">
      <alignment horizontal="left" vertical="center" wrapText="1"/>
      <protection locked="0"/>
    </xf>
    <xf numFmtId="43" fontId="1" fillId="2" borderId="1" xfId="35297" applyNumberFormat="1" applyFont="1" applyFill="1" applyBorder="1" applyAlignment="1" applyProtection="1">
      <alignment horizontal="right" vertical="center" shrinkToFit="1"/>
      <protection locked="0"/>
    </xf>
    <xf numFmtId="220" fontId="1" fillId="0" borderId="1" xfId="26201" applyFont="1" applyFill="1" applyBorder="1" applyAlignment="1" applyProtection="1">
      <alignment vertical="center"/>
      <protection locked="0"/>
    </xf>
    <xf numFmtId="220" fontId="1" fillId="2" borderId="1" xfId="26201" applyFont="1" applyFill="1" applyBorder="1" applyAlignment="1" applyProtection="1">
      <alignment vertical="center"/>
      <protection locked="0"/>
    </xf>
    <xf numFmtId="43" fontId="1" fillId="2" borderId="0" xfId="26201" applyNumberFormat="1" applyFont="1" applyFill="1" applyAlignment="1" applyProtection="1">
      <alignment vertical="center"/>
      <protection locked="0"/>
    </xf>
    <xf numFmtId="43" fontId="1" fillId="2" borderId="1" xfId="26201" applyNumberFormat="1" applyFont="1" applyFill="1" applyBorder="1" applyAlignment="1" applyProtection="1">
      <alignment vertical="center"/>
    </xf>
    <xf numFmtId="220" fontId="56" fillId="2" borderId="0" xfId="26173" applyNumberFormat="1" applyFont="1" applyFill="1" applyBorder="1" applyAlignment="1" applyProtection="1">
      <alignment horizontal="left" vertical="center" shrinkToFit="1"/>
      <protection locked="0" hidden="1"/>
    </xf>
    <xf numFmtId="220" fontId="13" fillId="2" borderId="0" xfId="14678" applyFont="1" applyFill="1" applyProtection="1">
      <protection locked="0"/>
    </xf>
    <xf numFmtId="43" fontId="1" fillId="2" borderId="1" xfId="39" applyFont="1" applyFill="1" applyBorder="1" applyAlignment="1" applyProtection="1">
      <alignment horizontal="center"/>
      <protection locked="0"/>
    </xf>
    <xf numFmtId="43" fontId="61" fillId="2" borderId="0" xfId="26173" applyNumberFormat="1" applyFont="1" applyFill="1" applyAlignment="1" applyProtection="1">
      <alignment horizontal="left" vertical="center" shrinkToFit="1"/>
      <protection locked="0" hidden="1"/>
    </xf>
    <xf numFmtId="220" fontId="1" fillId="2" borderId="1" xfId="14682" applyNumberFormat="1" applyFont="1" applyFill="1" applyBorder="1" applyAlignment="1" applyProtection="1">
      <alignment horizontal="left" vertical="center" wrapText="1"/>
      <protection locked="0"/>
    </xf>
    <xf numFmtId="43" fontId="1" fillId="10" borderId="1" xfId="39" applyFont="1" applyFill="1" applyBorder="1" applyAlignment="1" applyProtection="1">
      <alignment horizontal="center" vertical="center" wrapText="1"/>
    </xf>
    <xf numFmtId="43" fontId="1" fillId="2" borderId="0" xfId="39" applyFont="1" applyFill="1" applyBorder="1" applyAlignment="1" applyProtection="1">
      <alignment horizontal="center" vertical="center" wrapText="1"/>
    </xf>
    <xf numFmtId="43" fontId="1" fillId="2" borderId="1" xfId="39" applyFont="1" applyFill="1" applyBorder="1" applyAlignment="1" applyProtection="1">
      <alignment horizontal="left" vertical="center" wrapText="1"/>
      <protection locked="0"/>
    </xf>
    <xf numFmtId="220" fontId="56" fillId="2" borderId="0" xfId="14678" applyFont="1" applyFill="1" applyAlignment="1" applyProtection="1">
      <alignment horizontal="left" shrinkToFit="1"/>
      <protection locked="0" hidden="1"/>
    </xf>
    <xf numFmtId="220" fontId="57" fillId="2" borderId="0" xfId="11902" applyFont="1" applyFill="1" applyAlignment="1" applyProtection="1">
      <alignment horizontal="left" vertical="center" shrinkToFit="1"/>
      <protection locked="0" hidden="1"/>
    </xf>
    <xf numFmtId="220" fontId="13" fillId="2" borderId="0" xfId="11902" applyNumberFormat="1" applyFont="1" applyFill="1" applyAlignment="1" applyProtection="1">
      <alignment horizontal="left" vertical="center" wrapText="1"/>
      <protection locked="0"/>
    </xf>
    <xf numFmtId="220" fontId="1" fillId="2" borderId="0" xfId="11902" applyFont="1" applyFill="1" applyAlignment="1" applyProtection="1">
      <alignment vertical="center"/>
      <protection locked="0"/>
    </xf>
    <xf numFmtId="220" fontId="1" fillId="2" borderId="1" xfId="11902" applyNumberFormat="1" applyFont="1" applyFill="1" applyBorder="1" applyAlignment="1" applyProtection="1">
      <alignment horizontal="center" vertical="center" wrapText="1"/>
      <protection locked="0"/>
    </xf>
    <xf numFmtId="43" fontId="1" fillId="2" borderId="1" xfId="35297" applyFont="1" applyFill="1" applyBorder="1" applyAlignment="1" applyProtection="1">
      <alignment horizontal="left" vertical="center" shrinkToFit="1"/>
      <protection locked="0"/>
    </xf>
    <xf numFmtId="43" fontId="1" fillId="2" borderId="1" xfId="35297" applyFont="1" applyFill="1" applyBorder="1" applyAlignment="1" applyProtection="1">
      <alignment horizontal="right" vertical="center" shrinkToFit="1"/>
    </xf>
    <xf numFmtId="43" fontId="1" fillId="10" borderId="1" xfId="35297" applyFont="1" applyFill="1" applyBorder="1" applyAlignment="1" applyProtection="1">
      <alignment horizontal="left" vertical="center" shrinkToFit="1"/>
    </xf>
    <xf numFmtId="43" fontId="1" fillId="12" borderId="1" xfId="35297" applyFont="1" applyFill="1" applyBorder="1" applyAlignment="1" applyProtection="1">
      <alignment horizontal="right" vertical="center" shrinkToFit="1"/>
    </xf>
    <xf numFmtId="43" fontId="59" fillId="0" borderId="1" xfId="35297" applyFont="1" applyFill="1" applyBorder="1" applyAlignment="1" applyProtection="1">
      <alignment horizontal="left" vertical="center" shrinkToFit="1"/>
      <protection locked="0"/>
    </xf>
    <xf numFmtId="43" fontId="1" fillId="10" borderId="1" xfId="35297" applyFont="1" applyFill="1" applyBorder="1" applyAlignment="1" applyProtection="1">
      <alignment horizontal="right" vertical="center" shrinkToFit="1"/>
    </xf>
    <xf numFmtId="43" fontId="1" fillId="0" borderId="1" xfId="35297" applyFont="1" applyFill="1" applyBorder="1" applyAlignment="1" applyProtection="1">
      <alignment horizontal="left" vertical="center" shrinkToFit="1"/>
      <protection locked="0"/>
    </xf>
    <xf numFmtId="220" fontId="1" fillId="2" borderId="1" xfId="11902" applyNumberFormat="1" applyFont="1" applyFill="1" applyBorder="1" applyAlignment="1" applyProtection="1">
      <alignment horizontal="left" vertical="center" wrapText="1"/>
      <protection locked="0"/>
    </xf>
    <xf numFmtId="43" fontId="1" fillId="2" borderId="1" xfId="11902" applyNumberFormat="1" applyFont="1" applyFill="1" applyBorder="1" applyAlignment="1" applyProtection="1">
      <alignment horizontal="left" vertical="center" wrapText="1"/>
    </xf>
    <xf numFmtId="43" fontId="1" fillId="2" borderId="1" xfId="37614" applyNumberFormat="1" applyFont="1" applyFill="1" applyBorder="1" applyAlignment="1" applyProtection="1">
      <alignment horizontal="right" vertical="center" shrinkToFit="1"/>
    </xf>
    <xf numFmtId="43" fontId="1" fillId="2" borderId="1" xfId="37614" applyNumberFormat="1" applyFont="1" applyFill="1" applyBorder="1" applyAlignment="1" applyProtection="1">
      <alignment horizontal="right" vertical="center" shrinkToFit="1"/>
      <protection locked="0"/>
    </xf>
    <xf numFmtId="43" fontId="1" fillId="2" borderId="1" xfId="35297" applyFont="1" applyFill="1" applyBorder="1" applyAlignment="1" applyProtection="1">
      <alignment horizontal="right" vertical="center" shrinkToFit="1"/>
      <protection locked="0"/>
    </xf>
    <xf numFmtId="220" fontId="1" fillId="2" borderId="0" xfId="14678" applyFont="1" applyFill="1" applyAlignment="1" applyProtection="1">
      <alignment horizontal="center"/>
      <protection locked="0"/>
    </xf>
    <xf numFmtId="220" fontId="13" fillId="2" borderId="0" xfId="14678" applyFont="1" applyFill="1" applyAlignment="1" applyProtection="1">
      <protection locked="0"/>
    </xf>
    <xf numFmtId="220" fontId="13" fillId="2" borderId="1" xfId="14678" applyFont="1" applyFill="1" applyBorder="1" applyAlignment="1" applyProtection="1">
      <alignment horizontal="center"/>
      <protection locked="0"/>
    </xf>
    <xf numFmtId="220" fontId="2" fillId="2" borderId="1" xfId="14678" applyFont="1" applyFill="1" applyBorder="1" applyAlignment="1" applyProtection="1">
      <alignment horizontal="justify" vertical="top" wrapText="1"/>
      <protection locked="0"/>
    </xf>
    <xf numFmtId="43" fontId="1" fillId="10" borderId="1" xfId="39" applyFont="1" applyFill="1" applyBorder="1" applyAlignment="1" applyProtection="1">
      <alignment horizontal="justify" vertical="top" wrapText="1"/>
    </xf>
    <xf numFmtId="43" fontId="1" fillId="0" borderId="1" xfId="39" applyFont="1" applyFill="1" applyBorder="1" applyAlignment="1" applyProtection="1">
      <alignment horizontal="justify" vertical="top" wrapText="1"/>
      <protection locked="0"/>
    </xf>
    <xf numFmtId="43" fontId="1" fillId="10" borderId="1" xfId="39" applyFont="1" applyFill="1" applyBorder="1" applyAlignment="1" applyProtection="1">
      <alignment horizontal="center" vertical="top" wrapText="1"/>
    </xf>
    <xf numFmtId="220" fontId="64" fillId="2" borderId="1" xfId="14678" applyFont="1" applyFill="1" applyBorder="1" applyAlignment="1" applyProtection="1">
      <alignment horizontal="center" vertical="top" wrapText="1"/>
      <protection locked="0"/>
    </xf>
    <xf numFmtId="43" fontId="1" fillId="2" borderId="1" xfId="39" applyFont="1" applyFill="1" applyBorder="1" applyAlignment="1" applyProtection="1">
      <alignment horizontal="center" vertical="top" wrapText="1"/>
    </xf>
    <xf numFmtId="220" fontId="2" fillId="2" borderId="0" xfId="14678" applyFont="1" applyFill="1" applyBorder="1" applyAlignment="1" applyProtection="1">
      <alignment horizontal="center" vertical="top" wrapText="1"/>
      <protection locked="0"/>
    </xf>
    <xf numFmtId="220" fontId="2" fillId="0" borderId="1" xfId="14678" applyFont="1" applyFill="1" applyBorder="1" applyAlignment="1" applyProtection="1">
      <alignment horizontal="justify" vertical="top" wrapText="1"/>
      <protection locked="0"/>
    </xf>
    <xf numFmtId="43" fontId="13" fillId="0" borderId="1" xfId="39" applyFont="1" applyFill="1" applyBorder="1" applyAlignment="1" applyProtection="1">
      <alignment horizontal="right" vertical="top" wrapText="1"/>
      <protection locked="0"/>
    </xf>
    <xf numFmtId="220" fontId="1" fillId="0" borderId="1" xfId="14678" applyFont="1" applyFill="1" applyBorder="1" applyAlignment="1" applyProtection="1">
      <alignment horizontal="justify" vertical="top" wrapText="1"/>
      <protection locked="0"/>
    </xf>
    <xf numFmtId="220" fontId="13" fillId="0" borderId="1" xfId="14678" applyFont="1" applyFill="1" applyBorder="1" applyAlignment="1" applyProtection="1">
      <alignment horizontal="right" vertical="top" wrapText="1"/>
      <protection locked="0"/>
    </xf>
    <xf numFmtId="43" fontId="1" fillId="2" borderId="0" xfId="39" applyFont="1" applyFill="1" applyBorder="1" applyAlignment="1" applyProtection="1">
      <alignment horizontal="center" vertical="top" wrapText="1"/>
      <protection locked="0"/>
    </xf>
    <xf numFmtId="43" fontId="13" fillId="2" borderId="1" xfId="39" applyFont="1" applyFill="1" applyBorder="1" applyAlignment="1" applyProtection="1">
      <alignment horizontal="right" vertical="top" wrapText="1"/>
    </xf>
    <xf numFmtId="220" fontId="61" fillId="2" borderId="0" xfId="16464" applyFont="1" applyFill="1" applyBorder="1" applyAlignment="1" applyProtection="1">
      <alignment horizontal="left" vertical="center" shrinkToFit="1"/>
      <protection locked="0" hidden="1"/>
    </xf>
    <xf numFmtId="220" fontId="1" fillId="2" borderId="0" xfId="16464" applyNumberFormat="1" applyFont="1" applyFill="1" applyAlignment="1" applyProtection="1">
      <alignment horizontal="left" vertical="center" wrapText="1"/>
      <protection locked="0"/>
    </xf>
    <xf numFmtId="220" fontId="1" fillId="2" borderId="0" xfId="16464" applyFont="1" applyFill="1" applyAlignment="1" applyProtection="1">
      <alignment vertical="center"/>
      <protection locked="0"/>
    </xf>
    <xf numFmtId="220" fontId="1" fillId="2" borderId="1" xfId="16464" applyNumberFormat="1" applyFont="1" applyFill="1" applyBorder="1" applyAlignment="1" applyProtection="1">
      <alignment horizontal="center" vertical="center" wrapText="1"/>
      <protection locked="0"/>
    </xf>
    <xf numFmtId="220" fontId="1" fillId="0" borderId="1" xfId="16464" applyFont="1" applyFill="1" applyBorder="1" applyAlignment="1" applyProtection="1">
      <alignment horizontal="justify" vertical="center" wrapText="1"/>
      <protection locked="0"/>
    </xf>
    <xf numFmtId="43" fontId="1" fillId="0" borderId="1" xfId="16464" applyNumberFormat="1" applyFont="1" applyFill="1" applyBorder="1" applyAlignment="1" applyProtection="1">
      <alignment horizontal="right" vertical="center" shrinkToFit="1"/>
      <protection locked="0"/>
    </xf>
    <xf numFmtId="220" fontId="1" fillId="2" borderId="1" xfId="16464" applyFont="1" applyFill="1" applyBorder="1" applyAlignment="1" applyProtection="1">
      <alignment horizontal="justify" vertical="center" wrapText="1"/>
      <protection locked="0"/>
    </xf>
    <xf numFmtId="220" fontId="1" fillId="2" borderId="1" xfId="16464" applyFont="1" applyFill="1" applyBorder="1" applyAlignment="1" applyProtection="1">
      <alignment horizontal="center" vertical="center" wrapText="1"/>
      <protection locked="0"/>
    </xf>
    <xf numFmtId="43" fontId="1" fillId="2" borderId="1" xfId="16464" applyNumberFormat="1" applyFont="1" applyFill="1" applyBorder="1" applyAlignment="1" applyProtection="1">
      <alignment horizontal="right" vertical="center" shrinkToFit="1"/>
    </xf>
    <xf numFmtId="220" fontId="1" fillId="2" borderId="0" xfId="16464" applyFont="1" applyFill="1" applyAlignment="1" applyProtection="1">
      <alignment horizontal="justify" vertical="center"/>
      <protection locked="0"/>
    </xf>
    <xf numFmtId="220" fontId="57" fillId="2" borderId="0" xfId="16464" applyNumberFormat="1" applyFont="1" applyFill="1" applyAlignment="1" applyProtection="1">
      <alignment horizontal="left" vertical="center" shrinkToFit="1"/>
      <protection locked="0" hidden="1"/>
    </xf>
    <xf numFmtId="220" fontId="1" fillId="0" borderId="1" xfId="16464" applyNumberFormat="1" applyFont="1" applyFill="1" applyBorder="1" applyAlignment="1" applyProtection="1">
      <alignment horizontal="center" vertical="center" wrapText="1"/>
      <protection locked="0"/>
    </xf>
    <xf numFmtId="220" fontId="1" fillId="0" borderId="1" xfId="16464" applyFont="1" applyFill="1" applyBorder="1" applyAlignment="1" applyProtection="1">
      <alignment horizontal="center" vertical="center" wrapText="1"/>
      <protection locked="0"/>
    </xf>
    <xf numFmtId="220" fontId="57" fillId="2" borderId="0" xfId="16464" applyFont="1" applyFill="1" applyAlignment="1" applyProtection="1">
      <alignment horizontal="left" vertical="center" shrinkToFit="1"/>
      <protection locked="0" hidden="1"/>
    </xf>
    <xf numFmtId="43" fontId="1" fillId="2" borderId="1" xfId="14678" applyNumberFormat="1" applyFont="1" applyFill="1" applyBorder="1" applyAlignment="1" applyProtection="1">
      <alignment horizontal="center" vertical="center" shrinkToFit="1"/>
      <protection locked="0"/>
    </xf>
    <xf numFmtId="43" fontId="2" fillId="0" borderId="1" xfId="14678" applyNumberFormat="1" applyFont="1" applyFill="1" applyBorder="1" applyAlignment="1" applyProtection="1">
      <alignment horizontal="right" vertical="center" shrinkToFit="1"/>
      <protection locked="0"/>
    </xf>
    <xf numFmtId="43" fontId="1" fillId="0" borderId="1" xfId="14678" applyNumberFormat="1" applyFont="1" applyFill="1" applyBorder="1" applyAlignment="1" applyProtection="1">
      <alignment horizontal="right" vertical="center" shrinkToFit="1"/>
      <protection locked="0"/>
    </xf>
    <xf numFmtId="43" fontId="1" fillId="2" borderId="1" xfId="14678" applyNumberFormat="1" applyFont="1" applyFill="1" applyBorder="1" applyAlignment="1" applyProtection="1">
      <alignment horizontal="right" vertical="center" shrinkToFit="1"/>
      <protection locked="0"/>
    </xf>
    <xf numFmtId="43" fontId="1" fillId="2" borderId="1" xfId="14678" applyNumberFormat="1" applyFont="1" applyFill="1" applyBorder="1" applyAlignment="1" applyProtection="1">
      <alignment horizontal="right" vertical="center" shrinkToFit="1"/>
    </xf>
    <xf numFmtId="220" fontId="61" fillId="2" borderId="0" xfId="14678" applyFont="1" applyFill="1" applyAlignment="1" applyProtection="1">
      <alignment horizontal="left" vertical="center" shrinkToFit="1"/>
      <protection locked="0" hidden="1"/>
    </xf>
    <xf numFmtId="220" fontId="1" fillId="2" borderId="2" xfId="14678" applyNumberFormat="1" applyFont="1" applyFill="1" applyBorder="1" applyAlignment="1" applyProtection="1">
      <alignment horizontal="left" vertical="center" wrapText="1"/>
      <protection locked="0"/>
    </xf>
    <xf numFmtId="220" fontId="20" fillId="6" borderId="2" xfId="14678" applyFont="1" applyFill="1" applyBorder="1" applyAlignment="1" applyProtection="1">
      <alignment horizontal="center" vertical="center"/>
      <protection locked="0"/>
    </xf>
    <xf numFmtId="10" fontId="1" fillId="0" borderId="0" xfId="14678" applyNumberFormat="1" applyFont="1" applyFill="1" applyAlignment="1" applyProtection="1">
      <alignment vertical="center"/>
      <protection locked="0"/>
    </xf>
    <xf numFmtId="43" fontId="65" fillId="2" borderId="0" xfId="26201" applyNumberFormat="1" applyFont="1" applyFill="1" applyAlignment="1" applyProtection="1">
      <alignment vertical="center"/>
      <protection locked="0"/>
    </xf>
    <xf numFmtId="9" fontId="1" fillId="0" borderId="0" xfId="55" applyFont="1" applyFill="1" applyAlignment="1" applyProtection="1">
      <alignment vertical="center"/>
      <protection locked="0"/>
    </xf>
    <xf numFmtId="220" fontId="1" fillId="2" borderId="1" xfId="14678" applyNumberFormat="1" applyFont="1" applyFill="1" applyBorder="1" applyAlignment="1" applyProtection="1">
      <alignment horizontal="center" vertical="center" wrapText="1"/>
      <protection locked="0"/>
    </xf>
    <xf numFmtId="220" fontId="2" fillId="2" borderId="1" xfId="14678" applyNumberFormat="1" applyFont="1" applyFill="1" applyBorder="1" applyAlignment="1" applyProtection="1">
      <alignment horizontal="center" vertical="center" wrapText="1"/>
      <protection locked="0"/>
    </xf>
    <xf numFmtId="220" fontId="13" fillId="2" borderId="1" xfId="14678" applyNumberFormat="1" applyFont="1" applyFill="1" applyBorder="1" applyAlignment="1" applyProtection="1">
      <alignment horizontal="left" vertical="center" wrapText="1"/>
      <protection locked="0"/>
    </xf>
    <xf numFmtId="43" fontId="1" fillId="2" borderId="1" xfId="14678" applyNumberFormat="1" applyFont="1" applyFill="1" applyBorder="1" applyAlignment="1" applyProtection="1">
      <alignment horizontal="left" vertical="center" shrinkToFit="1"/>
      <protection locked="0"/>
    </xf>
    <xf numFmtId="43" fontId="1" fillId="10" borderId="1" xfId="14678" applyNumberFormat="1" applyFont="1" applyFill="1" applyBorder="1" applyAlignment="1" applyProtection="1">
      <alignment horizontal="right" vertical="center" shrinkToFit="1"/>
    </xf>
    <xf numFmtId="43" fontId="1" fillId="0" borderId="1" xfId="35142" applyNumberFormat="1" applyFont="1" applyFill="1" applyBorder="1" applyAlignment="1" applyProtection="1">
      <alignment horizontal="right" vertical="center" shrinkToFit="1"/>
      <protection locked="0"/>
    </xf>
    <xf numFmtId="43" fontId="1" fillId="10" borderId="1" xfId="35142" applyNumberFormat="1" applyFont="1" applyFill="1" applyBorder="1" applyAlignment="1" applyProtection="1">
      <alignment horizontal="right" vertical="center" shrinkToFit="1"/>
    </xf>
    <xf numFmtId="220" fontId="1" fillId="2" borderId="1" xfId="14678" applyNumberFormat="1" applyFont="1" applyFill="1" applyBorder="1" applyAlignment="1" applyProtection="1">
      <alignment horizontal="left" vertical="center" wrapText="1"/>
      <protection locked="0"/>
    </xf>
    <xf numFmtId="43" fontId="1" fillId="2" borderId="1" xfId="35142" applyNumberFormat="1" applyFont="1" applyFill="1" applyBorder="1" applyAlignment="1" applyProtection="1">
      <alignment horizontal="right" vertical="center" shrinkToFit="1"/>
    </xf>
    <xf numFmtId="220" fontId="1" fillId="0" borderId="1" xfId="14678" applyNumberFormat="1" applyFont="1" applyFill="1" applyBorder="1" applyAlignment="1" applyProtection="1">
      <alignment horizontal="left" vertical="center" wrapText="1"/>
      <protection locked="0"/>
    </xf>
    <xf numFmtId="43" fontId="1" fillId="2" borderId="0" xfId="26218" applyNumberFormat="1" applyFont="1" applyFill="1" applyBorder="1" applyAlignment="1" applyProtection="1">
      <alignment vertical="center" wrapText="1"/>
      <protection locked="0"/>
    </xf>
    <xf numFmtId="43" fontId="1" fillId="2" borderId="1" xfId="39" applyFont="1" applyFill="1" applyBorder="1" applyAlignment="1" applyProtection="1">
      <alignment vertical="center" wrapText="1"/>
      <protection locked="0"/>
    </xf>
    <xf numFmtId="43" fontId="13" fillId="10" borderId="1" xfId="39" applyFont="1" applyFill="1" applyBorder="1" applyAlignment="1" applyProtection="1">
      <alignment horizontal="center" wrapText="1"/>
      <protection locked="0"/>
    </xf>
    <xf numFmtId="43" fontId="1" fillId="2" borderId="1" xfId="39" applyFont="1" applyFill="1" applyBorder="1" applyAlignment="1" applyProtection="1">
      <alignment vertical="center" wrapText="1"/>
    </xf>
    <xf numFmtId="43" fontId="13" fillId="0" borderId="1" xfId="39" applyFont="1" applyFill="1" applyBorder="1" applyAlignment="1" applyProtection="1">
      <alignment horizontal="center" wrapText="1"/>
      <protection locked="0"/>
    </xf>
    <xf numFmtId="43" fontId="1" fillId="0" borderId="1" xfId="39" applyFont="1" applyFill="1" applyBorder="1" applyAlignment="1" applyProtection="1">
      <alignment vertical="center" wrapText="1"/>
      <protection locked="0"/>
    </xf>
    <xf numFmtId="43" fontId="1" fillId="10" borderId="1" xfId="39" applyFont="1" applyFill="1" applyBorder="1" applyAlignment="1" applyProtection="1">
      <alignment vertical="center" wrapText="1"/>
      <protection locked="0"/>
    </xf>
    <xf numFmtId="220" fontId="1" fillId="2" borderId="1" xfId="26218" applyNumberFormat="1" applyFont="1" applyFill="1" applyBorder="1" applyAlignment="1" applyProtection="1">
      <alignment horizontal="center" vertical="center" wrapText="1"/>
      <protection locked="0"/>
    </xf>
    <xf numFmtId="220" fontId="1" fillId="2" borderId="0" xfId="26218" applyNumberFormat="1" applyFont="1" applyFill="1" applyBorder="1" applyAlignment="1" applyProtection="1">
      <alignment horizontal="center" vertical="center" wrapText="1"/>
      <protection locked="0"/>
    </xf>
    <xf numFmtId="43" fontId="1" fillId="2" borderId="0" xfId="39" applyFont="1" applyFill="1" applyBorder="1" applyAlignment="1" applyProtection="1">
      <alignment vertical="center" wrapText="1"/>
      <protection locked="0"/>
    </xf>
    <xf numFmtId="220" fontId="1" fillId="2" borderId="1" xfId="14678" applyFont="1" applyFill="1" applyBorder="1" applyAlignment="1" applyProtection="1">
      <alignment horizontal="center" vertical="top" wrapText="1"/>
    </xf>
    <xf numFmtId="43" fontId="1" fillId="0" borderId="1" xfId="39" applyFont="1" applyFill="1" applyBorder="1" applyAlignment="1" applyProtection="1">
      <alignment horizontal="center" wrapText="1"/>
      <protection locked="0"/>
    </xf>
    <xf numFmtId="43" fontId="1" fillId="10" borderId="1" xfId="39" applyFont="1" applyFill="1" applyBorder="1" applyAlignment="1" applyProtection="1">
      <alignment horizontal="center" wrapText="1"/>
      <protection locked="0"/>
    </xf>
    <xf numFmtId="220" fontId="1" fillId="0" borderId="1" xfId="14678" applyFont="1" applyFill="1" applyBorder="1" applyAlignment="1" applyProtection="1">
      <alignment horizontal="center" wrapText="1"/>
      <protection locked="0"/>
    </xf>
    <xf numFmtId="43" fontId="13" fillId="2" borderId="1" xfId="39" applyFont="1" applyFill="1" applyBorder="1" applyAlignment="1" applyProtection="1">
      <alignment horizontal="center" wrapText="1"/>
      <protection locked="0"/>
    </xf>
    <xf numFmtId="220" fontId="60" fillId="2" borderId="1" xfId="14678" applyFont="1" applyFill="1" applyBorder="1" applyAlignment="1" applyProtection="1">
      <alignment horizontal="center" vertical="top" wrapText="1"/>
      <protection locked="0"/>
    </xf>
    <xf numFmtId="220" fontId="2" fillId="11" borderId="0" xfId="26201" applyFont="1" applyFill="1" applyAlignment="1" applyProtection="1">
      <alignment horizontal="center" vertical="center"/>
      <protection locked="0"/>
    </xf>
    <xf numFmtId="43" fontId="1" fillId="11" borderId="0" xfId="26201" applyNumberFormat="1" applyFont="1" applyFill="1" applyAlignment="1" applyProtection="1">
      <alignment vertical="center"/>
    </xf>
    <xf numFmtId="220" fontId="1" fillId="0" borderId="0" xfId="26201" applyFont="1" applyFill="1" applyAlignment="1" applyProtection="1">
      <alignment vertical="center"/>
      <protection locked="0"/>
    </xf>
    <xf numFmtId="220" fontId="13" fillId="2" borderId="0" xfId="26201" applyFont="1" applyFill="1" applyAlignment="1" applyProtection="1">
      <alignment vertical="center"/>
      <protection locked="0"/>
    </xf>
    <xf numFmtId="43" fontId="13" fillId="2" borderId="0" xfId="39" applyFont="1" applyFill="1" applyBorder="1" applyAlignment="1" applyProtection="1">
      <alignment vertical="center" wrapText="1"/>
      <protection locked="0"/>
    </xf>
    <xf numFmtId="220" fontId="13" fillId="2" borderId="0" xfId="26218" applyNumberFormat="1" applyFont="1" applyFill="1" applyBorder="1" applyAlignment="1" applyProtection="1">
      <alignment vertical="center" wrapText="1"/>
      <protection locked="0"/>
    </xf>
    <xf numFmtId="220" fontId="30" fillId="2" borderId="1" xfId="14678" applyFont="1" applyFill="1" applyBorder="1" applyAlignment="1" applyProtection="1">
      <alignment horizontal="center" wrapText="1"/>
      <protection locked="0"/>
    </xf>
    <xf numFmtId="220" fontId="13" fillId="2" borderId="1" xfId="26218" applyNumberFormat="1" applyFont="1" applyFill="1" applyBorder="1" applyAlignment="1" applyProtection="1">
      <alignment horizontal="left" vertical="center" wrapText="1"/>
    </xf>
    <xf numFmtId="220" fontId="1" fillId="2" borderId="1" xfId="26218" applyNumberFormat="1" applyFont="1" applyFill="1" applyBorder="1" applyAlignment="1" applyProtection="1">
      <alignment horizontal="left" vertical="center" wrapText="1"/>
    </xf>
    <xf numFmtId="43" fontId="1" fillId="10" borderId="1" xfId="39" applyFont="1" applyFill="1" applyBorder="1" applyAlignment="1" applyProtection="1">
      <alignment vertical="center" wrapText="1"/>
    </xf>
    <xf numFmtId="220" fontId="1" fillId="0" borderId="1" xfId="26218" applyNumberFormat="1" applyFont="1" applyFill="1" applyBorder="1" applyAlignment="1" applyProtection="1">
      <alignment horizontal="center" vertical="center" wrapText="1"/>
      <protection locked="0"/>
    </xf>
    <xf numFmtId="43" fontId="1" fillId="0" borderId="0" xfId="39" applyFont="1" applyFill="1" applyBorder="1" applyAlignment="1" applyProtection="1">
      <alignment vertical="center" wrapText="1"/>
      <protection locked="0"/>
    </xf>
    <xf numFmtId="220" fontId="1" fillId="2" borderId="0" xfId="26201" applyNumberFormat="1" applyFont="1" applyFill="1" applyAlignment="1" applyProtection="1">
      <alignment vertical="center"/>
      <protection locked="0"/>
    </xf>
    <xf numFmtId="220" fontId="2" fillId="2" borderId="1" xfId="26173" applyNumberFormat="1" applyFont="1" applyFill="1" applyBorder="1" applyAlignment="1" applyProtection="1">
      <alignment horizontal="center" vertical="center" wrapText="1"/>
      <protection locked="0"/>
    </xf>
    <xf numFmtId="220" fontId="2" fillId="11" borderId="3" xfId="26201" applyFont="1" applyFill="1" applyBorder="1" applyAlignment="1" applyProtection="1">
      <alignment horizontal="center" vertical="center" wrapText="1"/>
      <protection locked="0"/>
    </xf>
    <xf numFmtId="220" fontId="2" fillId="11" borderId="16" xfId="26201" applyFont="1" applyFill="1" applyBorder="1" applyAlignment="1" applyProtection="1">
      <alignment horizontal="center" vertical="center" wrapText="1"/>
      <protection locked="0"/>
    </xf>
    <xf numFmtId="43" fontId="2" fillId="2" borderId="1" xfId="39" applyFont="1" applyFill="1" applyBorder="1" applyAlignment="1" applyProtection="1">
      <alignment horizontal="left" vertical="center" shrinkToFit="1"/>
      <protection locked="0"/>
    </xf>
    <xf numFmtId="220" fontId="1" fillId="2" borderId="0" xfId="26204" applyNumberFormat="1" applyFont="1" applyFill="1" applyAlignment="1" applyProtection="1">
      <alignment horizontal="left" vertical="center" wrapText="1"/>
      <protection locked="0"/>
    </xf>
    <xf numFmtId="220" fontId="13" fillId="2" borderId="0" xfId="26204" applyNumberFormat="1" applyFont="1" applyFill="1" applyAlignment="1" applyProtection="1">
      <alignment horizontal="left" vertical="center" wrapText="1"/>
      <protection locked="0"/>
    </xf>
    <xf numFmtId="220" fontId="13" fillId="2" borderId="1" xfId="14678" applyFont="1" applyFill="1" applyBorder="1" applyAlignment="1" applyProtection="1">
      <alignment horizontal="center" vertical="top"/>
      <protection locked="0"/>
    </xf>
    <xf numFmtId="220" fontId="1" fillId="2" borderId="1" xfId="14678" applyFont="1" applyFill="1" applyBorder="1" applyAlignment="1" applyProtection="1">
      <alignment horizontal="justify"/>
      <protection locked="0"/>
    </xf>
    <xf numFmtId="43" fontId="1" fillId="2" borderId="1" xfId="39" applyFont="1" applyFill="1" applyBorder="1" applyAlignment="1" applyProtection="1">
      <alignment horizontal="center"/>
    </xf>
    <xf numFmtId="43" fontId="1" fillId="0" borderId="1" xfId="39" applyFont="1" applyFill="1" applyBorder="1" applyAlignment="1" applyProtection="1">
      <alignment horizontal="center"/>
      <protection locked="0"/>
    </xf>
    <xf numFmtId="220" fontId="1" fillId="0" borderId="1" xfId="14678" applyFont="1" applyFill="1" applyBorder="1" applyAlignment="1" applyProtection="1">
      <alignment horizontal="justify"/>
      <protection locked="0"/>
    </xf>
    <xf numFmtId="220" fontId="1" fillId="0" borderId="1" xfId="14678" applyFont="1" applyFill="1" applyBorder="1" applyAlignment="1" applyProtection="1">
      <alignment horizontal="left"/>
      <protection locked="0"/>
    </xf>
    <xf numFmtId="43" fontId="1" fillId="0" borderId="1" xfId="39" applyFont="1" applyFill="1" applyBorder="1" applyAlignment="1" applyProtection="1">
      <alignment horizontal="left"/>
      <protection locked="0"/>
    </xf>
    <xf numFmtId="220" fontId="1" fillId="2" borderId="1" xfId="14678" applyFont="1" applyFill="1" applyBorder="1" applyAlignment="1" applyProtection="1">
      <alignment horizontal="left"/>
      <protection locked="0"/>
    </xf>
    <xf numFmtId="220" fontId="64" fillId="2" borderId="1" xfId="14678" applyFont="1" applyFill="1" applyBorder="1" applyAlignment="1" applyProtection="1">
      <alignment horizontal="center" vertical="top"/>
      <protection locked="0"/>
    </xf>
    <xf numFmtId="220" fontId="1" fillId="0" borderId="0" xfId="26218" applyNumberFormat="1" applyFont="1" applyFill="1" applyBorder="1" applyAlignment="1" applyProtection="1">
      <alignment vertical="center" wrapText="1"/>
      <protection locked="0"/>
    </xf>
    <xf numFmtId="220" fontId="1" fillId="2" borderId="0" xfId="205" applyFont="1" applyFill="1" applyAlignment="1" applyProtection="1">
      <alignment vertical="center"/>
      <protection locked="0"/>
    </xf>
    <xf numFmtId="220" fontId="57" fillId="2" borderId="0" xfId="26174" applyFont="1" applyFill="1" applyBorder="1" applyAlignment="1" applyProtection="1">
      <alignment horizontal="left" vertical="center" shrinkToFit="1"/>
      <protection locked="0" hidden="1"/>
    </xf>
    <xf numFmtId="220" fontId="1" fillId="2" borderId="0" xfId="26174" applyFont="1" applyFill="1" applyAlignment="1" applyProtection="1">
      <alignment vertical="center"/>
      <protection locked="0"/>
    </xf>
    <xf numFmtId="220" fontId="1" fillId="2" borderId="0" xfId="26174" applyFont="1" applyFill="1" applyBorder="1" applyAlignment="1" applyProtection="1">
      <alignment vertical="center"/>
      <protection locked="0"/>
    </xf>
    <xf numFmtId="220" fontId="1" fillId="2" borderId="1" xfId="26174" applyFont="1" applyFill="1" applyBorder="1" applyAlignment="1" applyProtection="1">
      <alignment horizontal="center" vertical="center" wrapText="1"/>
      <protection locked="0"/>
    </xf>
    <xf numFmtId="220" fontId="1" fillId="2" borderId="1" xfId="26174" applyNumberFormat="1" applyFont="1" applyFill="1" applyBorder="1" applyAlignment="1" applyProtection="1">
      <alignment horizontal="left" vertical="center" wrapText="1"/>
      <protection locked="0"/>
    </xf>
    <xf numFmtId="220" fontId="1" fillId="2" borderId="0" xfId="26174" applyFont="1" applyFill="1" applyBorder="1" applyAlignment="1" applyProtection="1">
      <alignment horizontal="left" vertical="center" wrapText="1"/>
      <protection locked="0"/>
    </xf>
    <xf numFmtId="220" fontId="1" fillId="2" borderId="0" xfId="26174" applyFont="1" applyFill="1" applyBorder="1" applyAlignment="1" applyProtection="1">
      <alignment vertical="center" wrapText="1"/>
      <protection locked="0"/>
    </xf>
    <xf numFmtId="220" fontId="1" fillId="2" borderId="0" xfId="26174" applyNumberFormat="1" applyFont="1" applyFill="1" applyAlignment="1" applyProtection="1">
      <alignment horizontal="left" vertical="center" wrapText="1"/>
      <protection locked="0"/>
    </xf>
    <xf numFmtId="220" fontId="1" fillId="0" borderId="1" xfId="26174" applyNumberFormat="1" applyFont="1" applyFill="1" applyBorder="1" applyAlignment="1" applyProtection="1">
      <alignment horizontal="left" vertical="center" wrapText="1"/>
      <protection locked="0"/>
    </xf>
    <xf numFmtId="43" fontId="1" fillId="0" borderId="1" xfId="26174" applyNumberFormat="1" applyFont="1" applyFill="1" applyBorder="1" applyAlignment="1" applyProtection="1">
      <alignment horizontal="right" vertical="center" shrinkToFit="1"/>
      <protection locked="0"/>
    </xf>
    <xf numFmtId="288" fontId="1" fillId="0" borderId="1" xfId="26174" applyNumberFormat="1" applyFont="1" applyFill="1" applyBorder="1" applyAlignment="1" applyProtection="1">
      <alignment horizontal="center" vertical="center" shrinkToFit="1"/>
      <protection locked="0"/>
    </xf>
    <xf numFmtId="220" fontId="1" fillId="2" borderId="1" xfId="26174" applyNumberFormat="1" applyFont="1" applyFill="1" applyBorder="1" applyAlignment="1" applyProtection="1">
      <alignment horizontal="center" vertical="center" wrapText="1"/>
      <protection locked="0"/>
    </xf>
    <xf numFmtId="43" fontId="1" fillId="2" borderId="1" xfId="26174" applyNumberFormat="1" applyFont="1" applyFill="1" applyBorder="1" applyAlignment="1" applyProtection="1">
      <alignment horizontal="right" vertical="center" shrinkToFit="1"/>
    </xf>
    <xf numFmtId="288" fontId="1" fillId="2" borderId="1" xfId="26174" applyNumberFormat="1" applyFont="1" applyFill="1" applyBorder="1" applyAlignment="1" applyProtection="1">
      <alignment horizontal="center" vertical="center" shrinkToFit="1"/>
      <protection locked="0"/>
    </xf>
    <xf numFmtId="220" fontId="1" fillId="2" borderId="0" xfId="26174" applyNumberFormat="1" applyFont="1" applyFill="1" applyBorder="1" applyAlignment="1" applyProtection="1">
      <alignment horizontal="left" vertical="center" wrapText="1"/>
      <protection locked="0"/>
    </xf>
    <xf numFmtId="43" fontId="1" fillId="2" borderId="0" xfId="26174" applyNumberFormat="1" applyFont="1" applyFill="1" applyBorder="1" applyAlignment="1" applyProtection="1">
      <alignment horizontal="right" vertical="center" shrinkToFit="1"/>
      <protection locked="0"/>
    </xf>
    <xf numFmtId="288" fontId="1" fillId="2" borderId="0" xfId="26174" applyNumberFormat="1" applyFont="1" applyFill="1" applyBorder="1" applyAlignment="1" applyProtection="1">
      <alignment horizontal="center" vertical="center" shrinkToFit="1"/>
      <protection locked="0"/>
    </xf>
    <xf numFmtId="43" fontId="1" fillId="0" borderId="0" xfId="26174" applyNumberFormat="1" applyFont="1" applyFill="1" applyBorder="1" applyAlignment="1" applyProtection="1">
      <alignment horizontal="right" vertical="center" shrinkToFit="1"/>
      <protection locked="0"/>
    </xf>
    <xf numFmtId="288" fontId="1" fillId="0" borderId="0" xfId="26174" applyNumberFormat="1" applyFont="1" applyFill="1" applyBorder="1" applyAlignment="1" applyProtection="1">
      <alignment horizontal="center" vertical="center" shrinkToFit="1"/>
      <protection locked="0"/>
    </xf>
    <xf numFmtId="220" fontId="1" fillId="0" borderId="0" xfId="26174" applyNumberFormat="1" applyFont="1" applyFill="1" applyBorder="1" applyAlignment="1" applyProtection="1">
      <alignment horizontal="left" vertical="center" wrapText="1"/>
      <protection locked="0"/>
    </xf>
    <xf numFmtId="289" fontId="1" fillId="0" borderId="1" xfId="26174" applyNumberFormat="1" applyFont="1" applyFill="1" applyBorder="1" applyAlignment="1" applyProtection="1">
      <alignment horizontal="center" vertical="center" shrinkToFit="1"/>
      <protection locked="0"/>
    </xf>
    <xf numFmtId="289" fontId="1" fillId="2" borderId="1" xfId="26174" applyNumberFormat="1" applyFont="1" applyFill="1" applyBorder="1" applyAlignment="1" applyProtection="1">
      <alignment horizontal="center" vertical="center" shrinkToFit="1"/>
      <protection locked="0"/>
    </xf>
    <xf numFmtId="289" fontId="1" fillId="2" borderId="0" xfId="26174" applyNumberFormat="1" applyFont="1" applyFill="1" applyBorder="1" applyAlignment="1" applyProtection="1">
      <alignment horizontal="center" vertical="center" shrinkToFit="1"/>
      <protection locked="0"/>
    </xf>
    <xf numFmtId="220" fontId="2" fillId="11" borderId="6" xfId="26201" applyFont="1" applyFill="1" applyBorder="1" applyAlignment="1" applyProtection="1">
      <alignment horizontal="center" vertical="center" wrapText="1"/>
      <protection locked="0"/>
    </xf>
    <xf numFmtId="220" fontId="2" fillId="11" borderId="20" xfId="26201" applyFont="1" applyFill="1" applyBorder="1" applyAlignment="1" applyProtection="1">
      <alignment horizontal="center" vertical="center" wrapText="1"/>
      <protection locked="0"/>
    </xf>
    <xf numFmtId="220" fontId="1" fillId="11" borderId="1" xfId="26201" applyFont="1" applyFill="1" applyBorder="1" applyAlignment="1" applyProtection="1">
      <alignment vertical="center"/>
    </xf>
    <xf numFmtId="220" fontId="1" fillId="0" borderId="0" xfId="26174" applyFont="1" applyFill="1" applyAlignment="1" applyProtection="1">
      <alignment vertical="center"/>
      <protection locked="0"/>
    </xf>
    <xf numFmtId="220" fontId="1" fillId="2" borderId="0" xfId="26214" applyFont="1" applyFill="1" applyAlignment="1" applyProtection="1">
      <alignment vertical="center"/>
      <protection locked="0"/>
    </xf>
    <xf numFmtId="220" fontId="57" fillId="2" borderId="0" xfId="26175" applyFont="1" applyFill="1" applyAlignment="1" applyProtection="1">
      <alignment horizontal="left" vertical="center" shrinkToFit="1"/>
      <protection locked="0" hidden="1"/>
    </xf>
    <xf numFmtId="220" fontId="1" fillId="2" borderId="0" xfId="26175" applyFont="1" applyFill="1" applyAlignment="1" applyProtection="1">
      <alignment vertical="center"/>
      <protection locked="0"/>
    </xf>
    <xf numFmtId="220" fontId="1" fillId="2" borderId="1" xfId="26175" applyFont="1" applyFill="1" applyBorder="1" applyAlignment="1" applyProtection="1">
      <alignment horizontal="center" vertical="center" wrapText="1"/>
      <protection locked="0"/>
    </xf>
    <xf numFmtId="220" fontId="1" fillId="2" borderId="1" xfId="26175" applyFont="1" applyFill="1" applyBorder="1" applyAlignment="1" applyProtection="1">
      <alignment horizontal="justify" vertical="center" wrapText="1"/>
      <protection locked="0"/>
    </xf>
    <xf numFmtId="220" fontId="1" fillId="2" borderId="0" xfId="23535" applyFont="1" applyFill="1" applyAlignment="1" applyProtection="1">
      <alignment vertical="center"/>
      <protection locked="0"/>
    </xf>
    <xf numFmtId="220" fontId="1" fillId="2" borderId="0" xfId="26175" applyFont="1" applyFill="1" applyBorder="1" applyAlignment="1" applyProtection="1">
      <alignment horizontal="center" vertical="center" wrapText="1"/>
      <protection locked="0"/>
    </xf>
    <xf numFmtId="43" fontId="24" fillId="0" borderId="0" xfId="26176" applyNumberFormat="1" applyFont="1" applyFill="1" applyBorder="1" applyAlignment="1" applyProtection="1">
      <alignment vertical="center" shrinkToFit="1"/>
      <protection locked="0"/>
    </xf>
    <xf numFmtId="220" fontId="1" fillId="2" borderId="0" xfId="24883" applyFont="1" applyFill="1" applyAlignment="1" applyProtection="1">
      <alignment vertical="center"/>
      <protection locked="0"/>
    </xf>
    <xf numFmtId="220" fontId="57" fillId="2" borderId="0" xfId="26176" applyFont="1" applyFill="1" applyAlignment="1" applyProtection="1">
      <alignment horizontal="left" vertical="center" shrinkToFit="1"/>
      <protection locked="0" hidden="1"/>
    </xf>
    <xf numFmtId="220" fontId="1" fillId="2" borderId="2" xfId="26176" applyFont="1" applyFill="1" applyBorder="1" applyAlignment="1" applyProtection="1">
      <alignment vertical="center" wrapText="1"/>
      <protection locked="0"/>
    </xf>
    <xf numFmtId="220" fontId="1" fillId="2" borderId="1" xfId="26176" applyNumberFormat="1" applyFont="1" applyFill="1" applyBorder="1" applyAlignment="1" applyProtection="1">
      <alignment horizontal="center" vertical="center" wrapText="1"/>
      <protection locked="0"/>
    </xf>
    <xf numFmtId="220" fontId="1" fillId="2" borderId="1" xfId="26176" applyNumberFormat="1" applyFont="1" applyFill="1" applyBorder="1" applyAlignment="1" applyProtection="1">
      <alignment horizontal="left" vertical="center" wrapText="1"/>
      <protection locked="0"/>
    </xf>
    <xf numFmtId="43" fontId="1" fillId="2" borderId="1" xfId="26176" applyNumberFormat="1" applyFont="1" applyFill="1" applyBorder="1" applyAlignment="1" applyProtection="1">
      <alignment horizontal="right" vertical="center" shrinkToFit="1"/>
    </xf>
    <xf numFmtId="43" fontId="1" fillId="2" borderId="0" xfId="26176" applyNumberFormat="1" applyFont="1" applyFill="1" applyBorder="1" applyAlignment="1" applyProtection="1">
      <alignment horizontal="right" vertical="center" shrinkToFit="1"/>
    </xf>
    <xf numFmtId="220" fontId="24" fillId="2" borderId="0" xfId="24883" applyFont="1" applyFill="1" applyAlignment="1" applyProtection="1">
      <alignment vertical="center"/>
      <protection locked="0"/>
    </xf>
    <xf numFmtId="43" fontId="24" fillId="2" borderId="0" xfId="26176" applyNumberFormat="1" applyFont="1" applyFill="1" applyBorder="1" applyAlignment="1" applyProtection="1">
      <alignment vertical="center" shrinkToFit="1"/>
      <protection locked="0"/>
    </xf>
    <xf numFmtId="220" fontId="66" fillId="2" borderId="0" xfId="26176" applyFont="1" applyFill="1" applyAlignment="1" applyProtection="1">
      <alignment horizontal="left" vertical="center" shrinkToFit="1"/>
      <protection locked="0" hidden="1"/>
    </xf>
    <xf numFmtId="220" fontId="1" fillId="2" borderId="0" xfId="26176" applyNumberFormat="1" applyFont="1" applyFill="1" applyBorder="1" applyAlignment="1" applyProtection="1">
      <alignment horizontal="left" vertical="center" wrapText="1"/>
      <protection locked="0"/>
    </xf>
    <xf numFmtId="43" fontId="1" fillId="2" borderId="0" xfId="26176" applyNumberFormat="1" applyFont="1" applyFill="1" applyBorder="1" applyAlignment="1" applyProtection="1">
      <alignment horizontal="right" vertical="center" shrinkToFit="1"/>
      <protection locked="0"/>
    </xf>
    <xf numFmtId="220" fontId="56" fillId="2" borderId="0" xfId="19153" applyFont="1" applyFill="1" applyAlignment="1" applyProtection="1">
      <alignment horizontal="left" vertical="center" shrinkToFit="1"/>
      <protection locked="0" hidden="1"/>
    </xf>
    <xf numFmtId="220" fontId="57" fillId="2" borderId="0" xfId="19153" applyFont="1" applyFill="1" applyAlignment="1" applyProtection="1">
      <alignment horizontal="left" vertical="center" shrinkToFit="1"/>
      <protection locked="0" hidden="1"/>
    </xf>
    <xf numFmtId="220" fontId="2" fillId="11" borderId="1" xfId="26230" applyFont="1" applyFill="1" applyBorder="1" applyAlignment="1" applyProtection="1">
      <alignment vertical="center"/>
      <protection locked="0"/>
    </xf>
    <xf numFmtId="220" fontId="57" fillId="2" borderId="0" xfId="4424" applyFont="1" applyFill="1" applyBorder="1" applyAlignment="1" applyProtection="1">
      <alignment horizontal="left" vertical="center" shrinkToFit="1"/>
      <protection locked="0" hidden="1"/>
    </xf>
    <xf numFmtId="220" fontId="1" fillId="11" borderId="1" xfId="26230" applyFont="1" applyFill="1" applyBorder="1" applyAlignment="1" applyProtection="1">
      <alignment vertical="center"/>
      <protection locked="0"/>
    </xf>
    <xf numFmtId="220" fontId="56" fillId="2" borderId="0" xfId="4424" applyFont="1" applyFill="1" applyBorder="1" applyAlignment="1" applyProtection="1">
      <alignment horizontal="left" vertical="center" shrinkToFit="1"/>
      <protection locked="0" hidden="1"/>
    </xf>
    <xf numFmtId="220" fontId="57" fillId="2" borderId="0" xfId="26177" applyFont="1" applyFill="1" applyAlignment="1" applyProtection="1">
      <alignment horizontal="left" vertical="center" shrinkToFit="1"/>
      <protection locked="0" hidden="1"/>
    </xf>
    <xf numFmtId="220" fontId="1" fillId="2" borderId="0" xfId="35142" applyNumberFormat="1" applyFont="1" applyFill="1" applyBorder="1" applyAlignment="1" applyProtection="1">
      <alignment vertical="center" wrapText="1"/>
      <protection locked="0"/>
    </xf>
    <xf numFmtId="10" fontId="1" fillId="2" borderId="1" xfId="55" applyNumberFormat="1" applyFont="1" applyFill="1" applyBorder="1" applyAlignment="1" applyProtection="1">
      <alignment horizontal="right" vertical="center" shrinkToFit="1"/>
    </xf>
    <xf numFmtId="220" fontId="1" fillId="2" borderId="0" xfId="26230" applyFont="1" applyFill="1" applyAlignment="1" applyProtection="1">
      <alignment horizontal="center" vertical="center"/>
      <protection locked="0"/>
    </xf>
    <xf numFmtId="220" fontId="2" fillId="2" borderId="0" xfId="26230" applyFont="1" applyFill="1" applyAlignment="1" applyProtection="1">
      <alignment vertical="center"/>
      <protection locked="0"/>
    </xf>
    <xf numFmtId="43" fontId="1" fillId="2" borderId="0" xfId="26230" applyNumberFormat="1" applyFont="1" applyFill="1" applyAlignment="1" applyProtection="1">
      <alignment vertical="center"/>
      <protection locked="0"/>
    </xf>
    <xf numFmtId="43" fontId="1" fillId="2" borderId="1" xfId="39" applyFont="1" applyFill="1" applyBorder="1" applyAlignment="1" applyProtection="1">
      <alignment horizontal="center" vertical="center" wrapText="1" shrinkToFit="1"/>
      <protection locked="0"/>
    </xf>
    <xf numFmtId="43" fontId="1" fillId="6" borderId="1" xfId="39" applyFont="1" applyFill="1" applyBorder="1" applyAlignment="1" applyProtection="1">
      <alignment horizontal="right" vertical="center" shrinkToFit="1"/>
      <protection locked="0"/>
    </xf>
    <xf numFmtId="43" fontId="1" fillId="2" borderId="0" xfId="35142" applyFont="1" applyFill="1" applyBorder="1" applyAlignment="1" applyProtection="1">
      <alignment horizontal="left" vertical="center" shrinkToFit="1"/>
      <protection locked="0"/>
    </xf>
    <xf numFmtId="43" fontId="1" fillId="2" borderId="0" xfId="35142" applyFont="1" applyFill="1" applyBorder="1" applyAlignment="1" applyProtection="1">
      <alignment vertical="center" shrinkToFit="1"/>
      <protection locked="0"/>
    </xf>
    <xf numFmtId="43" fontId="1" fillId="0" borderId="1" xfId="39" applyFont="1" applyFill="1" applyBorder="1" applyAlignment="1" applyProtection="1">
      <alignment horizontal="right" wrapText="1"/>
      <protection locked="0"/>
    </xf>
    <xf numFmtId="43" fontId="1" fillId="2" borderId="1" xfId="39" applyFont="1" applyFill="1" applyBorder="1" applyAlignment="1" applyProtection="1">
      <protection locked="0"/>
    </xf>
    <xf numFmtId="220" fontId="57" fillId="2" borderId="0" xfId="26229" applyFont="1" applyFill="1" applyAlignment="1" applyProtection="1">
      <alignment horizontal="left" vertical="center" shrinkToFit="1"/>
      <protection locked="0" hidden="1"/>
    </xf>
    <xf numFmtId="220" fontId="2" fillId="11" borderId="0" xfId="26230" applyFont="1" applyFill="1" applyAlignment="1" applyProtection="1">
      <alignment vertical="center"/>
      <protection locked="0"/>
    </xf>
    <xf numFmtId="220" fontId="1" fillId="11" borderId="0" xfId="26230" applyFont="1" applyFill="1" applyAlignment="1" applyProtection="1">
      <alignment vertical="center"/>
      <protection locked="0"/>
    </xf>
    <xf numFmtId="220" fontId="57" fillId="2" borderId="0" xfId="26176" applyFont="1" applyFill="1" applyAlignment="1" applyProtection="1">
      <alignment horizontal="left" vertical="center" shrinkToFit="1"/>
      <protection locked="0"/>
    </xf>
    <xf numFmtId="220" fontId="57" fillId="2" borderId="0" xfId="26178" applyFont="1" applyFill="1" applyBorder="1" applyAlignment="1" applyProtection="1">
      <alignment horizontal="left" vertical="center" shrinkToFit="1"/>
      <protection locked="0"/>
    </xf>
    <xf numFmtId="220" fontId="1" fillId="2" borderId="0" xfId="26178" applyFont="1" applyFill="1" applyBorder="1" applyAlignment="1" applyProtection="1">
      <alignment vertical="center"/>
      <protection locked="0"/>
    </xf>
    <xf numFmtId="220" fontId="1" fillId="2" borderId="0" xfId="26178" applyFont="1" applyFill="1" applyAlignment="1" applyProtection="1">
      <alignment horizontal="left" vertical="center"/>
      <protection locked="0"/>
    </xf>
    <xf numFmtId="220" fontId="57" fillId="2" borderId="0" xfId="26177" applyFont="1" applyFill="1" applyAlignment="1" applyProtection="1">
      <alignment horizontal="left" vertical="center" shrinkToFit="1"/>
      <protection locked="0"/>
    </xf>
    <xf numFmtId="43" fontId="1" fillId="0" borderId="0" xfId="26176" applyNumberFormat="1" applyFont="1" applyFill="1" applyBorder="1" applyAlignment="1" applyProtection="1">
      <alignment horizontal="right" vertical="center" shrinkToFit="1"/>
      <protection locked="0"/>
    </xf>
    <xf numFmtId="220" fontId="1" fillId="0" borderId="0" xfId="24883" applyFont="1" applyFill="1" applyAlignment="1" applyProtection="1">
      <alignment vertical="center"/>
      <protection locked="0"/>
    </xf>
    <xf numFmtId="220" fontId="57" fillId="2" borderId="0" xfId="19153" applyFont="1" applyFill="1" applyAlignment="1" applyProtection="1">
      <alignment horizontal="left" vertical="center" shrinkToFit="1"/>
      <protection locked="0"/>
    </xf>
    <xf numFmtId="220" fontId="1" fillId="2" borderId="0" xfId="21538" applyFont="1" applyFill="1" applyAlignment="1" applyProtection="1">
      <alignment vertical="center"/>
      <protection locked="0"/>
    </xf>
    <xf numFmtId="220" fontId="57" fillId="2" borderId="0" xfId="16940" applyFont="1" applyFill="1" applyAlignment="1" applyProtection="1">
      <alignment horizontal="left" vertical="center" shrinkToFit="1"/>
      <protection locked="0" hidden="1"/>
    </xf>
    <xf numFmtId="220" fontId="13" fillId="2" borderId="0" xfId="16940" applyFont="1" applyFill="1" applyBorder="1" applyAlignment="1" applyProtection="1">
      <alignment vertical="center"/>
      <protection locked="0"/>
    </xf>
    <xf numFmtId="220" fontId="1" fillId="2" borderId="1" xfId="39" applyNumberFormat="1" applyFont="1" applyFill="1" applyBorder="1" applyAlignment="1" applyProtection="1">
      <alignment horizontal="center" vertical="center" wrapText="1"/>
      <protection locked="0"/>
    </xf>
    <xf numFmtId="220" fontId="20" fillId="2" borderId="1" xfId="16940" applyNumberFormat="1" applyFont="1" applyFill="1" applyBorder="1" applyAlignment="1" applyProtection="1">
      <alignment horizontal="left" vertical="center" wrapText="1"/>
      <protection locked="0"/>
    </xf>
    <xf numFmtId="43" fontId="1" fillId="10" borderId="1" xfId="39" applyNumberFormat="1" applyFont="1" applyFill="1" applyBorder="1" applyAlignment="1" applyProtection="1">
      <alignment horizontal="right" vertical="center" shrinkToFit="1"/>
    </xf>
    <xf numFmtId="220" fontId="51" fillId="2" borderId="1" xfId="16940" applyNumberFormat="1" applyFont="1" applyFill="1" applyBorder="1" applyAlignment="1" applyProtection="1">
      <alignment horizontal="left" vertical="center" wrapText="1"/>
      <protection locked="0"/>
    </xf>
    <xf numFmtId="220" fontId="1" fillId="2" borderId="1" xfId="16940" applyNumberFormat="1" applyFont="1" applyFill="1" applyBorder="1" applyAlignment="1" applyProtection="1">
      <alignment horizontal="left" vertical="center" wrapText="1"/>
      <protection locked="0"/>
    </xf>
    <xf numFmtId="220" fontId="2" fillId="2" borderId="1" xfId="16940" applyNumberFormat="1" applyFont="1" applyFill="1" applyBorder="1" applyAlignment="1" applyProtection="1">
      <alignment horizontal="left" vertical="center" wrapText="1"/>
      <protection locked="0"/>
    </xf>
    <xf numFmtId="220" fontId="13" fillId="2" borderId="1" xfId="16940" applyNumberFormat="1" applyFont="1" applyFill="1" applyBorder="1" applyAlignment="1" applyProtection="1">
      <alignment horizontal="left" vertical="center" wrapText="1"/>
      <protection locked="0"/>
    </xf>
    <xf numFmtId="220" fontId="67" fillId="2" borderId="1" xfId="16940" applyNumberFormat="1" applyFont="1" applyFill="1" applyBorder="1" applyAlignment="1" applyProtection="1">
      <alignment horizontal="left" vertical="center" wrapText="1"/>
      <protection locked="0"/>
    </xf>
    <xf numFmtId="43" fontId="1" fillId="2" borderId="1" xfId="16940" applyNumberFormat="1" applyFont="1" applyFill="1" applyBorder="1" applyAlignment="1" applyProtection="1">
      <alignment horizontal="right" vertical="center" shrinkToFit="1"/>
    </xf>
    <xf numFmtId="43" fontId="1" fillId="2" borderId="0" xfId="16940" applyNumberFormat="1" applyFont="1" applyFill="1" applyBorder="1" applyAlignment="1" applyProtection="1">
      <alignment horizontal="right" vertical="center" shrinkToFit="1"/>
    </xf>
    <xf numFmtId="43" fontId="1" fillId="2" borderId="0" xfId="16940" applyNumberFormat="1" applyFont="1" applyFill="1" applyBorder="1" applyAlignment="1" applyProtection="1">
      <alignment horizontal="right" vertical="center" shrinkToFit="1"/>
      <protection locked="0"/>
    </xf>
    <xf numFmtId="220" fontId="59" fillId="2" borderId="0" xfId="14678" applyFont="1" applyFill="1" applyAlignment="1" applyProtection="1">
      <alignment horizontal="left" vertical="center" shrinkToFit="1"/>
      <protection locked="0" hidden="1"/>
    </xf>
    <xf numFmtId="220" fontId="59" fillId="2" borderId="0" xfId="26202" applyFont="1" applyFill="1" applyAlignment="1" applyProtection="1">
      <alignment vertical="center" shrinkToFit="1"/>
    </xf>
    <xf numFmtId="220" fontId="1" fillId="2" borderId="0" xfId="16940" applyNumberFormat="1" applyFont="1" applyFill="1" applyBorder="1" applyAlignment="1" applyProtection="1">
      <alignment horizontal="left" vertical="center" wrapText="1"/>
      <protection locked="0"/>
    </xf>
    <xf numFmtId="220" fontId="59" fillId="2" borderId="0" xfId="21538" applyFont="1" applyFill="1" applyAlignment="1" applyProtection="1">
      <alignment vertical="center"/>
      <protection locked="0"/>
    </xf>
    <xf numFmtId="43" fontId="59" fillId="2" borderId="0" xfId="39" applyFont="1" applyFill="1" applyAlignment="1" applyProtection="1">
      <alignment vertical="center"/>
      <protection locked="0"/>
    </xf>
    <xf numFmtId="43" fontId="59" fillId="2" borderId="0" xfId="21538" applyNumberFormat="1" applyFont="1" applyFill="1" applyAlignment="1" applyProtection="1">
      <alignment vertical="center"/>
      <protection locked="0"/>
    </xf>
    <xf numFmtId="220" fontId="2" fillId="2" borderId="0" xfId="21538" applyFont="1" applyFill="1" applyAlignment="1" applyProtection="1">
      <alignment vertical="center"/>
      <protection locked="0"/>
    </xf>
    <xf numFmtId="43" fontId="1" fillId="0" borderId="0" xfId="16940" applyNumberFormat="1" applyFont="1" applyFill="1" applyBorder="1" applyAlignment="1" applyProtection="1">
      <alignment horizontal="right" vertical="center" shrinkToFit="1"/>
      <protection locked="0"/>
    </xf>
    <xf numFmtId="220" fontId="1" fillId="2" borderId="0" xfId="26226" applyFont="1" applyFill="1" applyAlignment="1" applyProtection="1">
      <alignment vertical="center"/>
      <protection locked="0"/>
    </xf>
    <xf numFmtId="220" fontId="57" fillId="2" borderId="0" xfId="22360" applyFont="1" applyFill="1" applyAlignment="1" applyProtection="1">
      <alignment horizontal="left" vertical="center" shrinkToFit="1"/>
      <protection locked="0" hidden="1"/>
    </xf>
    <xf numFmtId="220" fontId="14" fillId="24" borderId="0" xfId="49" applyFont="1" applyFill="1" applyAlignment="1" applyProtection="1">
      <alignment vertical="center"/>
      <protection locked="0"/>
    </xf>
    <xf numFmtId="220" fontId="1" fillId="2" borderId="0" xfId="22360" applyFont="1" applyFill="1" applyAlignment="1" applyProtection="1">
      <alignment vertical="center"/>
      <protection locked="0"/>
    </xf>
    <xf numFmtId="220" fontId="1" fillId="2" borderId="1" xfId="22360" applyNumberFormat="1" applyFont="1" applyFill="1" applyBorder="1" applyAlignment="1" applyProtection="1">
      <alignment horizontal="center" vertical="center" wrapText="1"/>
      <protection locked="0"/>
    </xf>
    <xf numFmtId="220" fontId="1" fillId="2" borderId="1" xfId="22360" applyNumberFormat="1" applyFont="1" applyFill="1" applyBorder="1" applyAlignment="1" applyProtection="1">
      <alignment horizontal="left" vertical="center" wrapText="1"/>
      <protection locked="0"/>
    </xf>
    <xf numFmtId="220" fontId="1" fillId="0" borderId="1" xfId="22360" applyNumberFormat="1" applyFont="1" applyFill="1" applyBorder="1" applyAlignment="1" applyProtection="1">
      <alignment horizontal="left" vertical="center" wrapText="1"/>
      <protection locked="0"/>
    </xf>
    <xf numFmtId="220" fontId="1" fillId="2" borderId="1" xfId="22360" applyFont="1" applyFill="1" applyBorder="1" applyAlignment="1" applyProtection="1">
      <alignment horizontal="center" vertical="center" wrapText="1"/>
      <protection locked="0"/>
    </xf>
    <xf numFmtId="43" fontId="1" fillId="2" borderId="1" xfId="22360" applyNumberFormat="1" applyFont="1" applyFill="1" applyBorder="1" applyAlignment="1" applyProtection="1">
      <alignment horizontal="right" vertical="center" shrinkToFit="1"/>
    </xf>
    <xf numFmtId="43" fontId="1" fillId="2" borderId="0" xfId="22360" applyNumberFormat="1" applyFont="1" applyFill="1" applyBorder="1" applyAlignment="1" applyProtection="1">
      <alignment horizontal="right" vertical="center" shrinkToFit="1"/>
    </xf>
    <xf numFmtId="43" fontId="1" fillId="2" borderId="0" xfId="26226" applyNumberFormat="1" applyFont="1" applyFill="1" applyAlignment="1" applyProtection="1">
      <alignment vertical="center"/>
      <protection locked="0"/>
    </xf>
    <xf numFmtId="220" fontId="1" fillId="2" borderId="0" xfId="22360" applyFont="1" applyFill="1" applyBorder="1" applyAlignment="1" applyProtection="1">
      <alignment horizontal="center" vertical="center" wrapText="1"/>
      <protection locked="0"/>
    </xf>
    <xf numFmtId="43" fontId="1" fillId="2" borderId="0" xfId="22360" applyNumberFormat="1" applyFont="1" applyFill="1" applyBorder="1" applyAlignment="1" applyProtection="1">
      <alignment horizontal="right" vertical="center" shrinkToFit="1"/>
      <protection locked="0"/>
    </xf>
    <xf numFmtId="220" fontId="1" fillId="2" borderId="0" xfId="22360" applyFont="1" applyFill="1" applyBorder="1" applyAlignment="1" applyProtection="1">
      <alignment horizontal="left" vertical="center" wrapText="1"/>
      <protection locked="0"/>
    </xf>
    <xf numFmtId="43" fontId="1" fillId="0" borderId="0" xfId="22360" applyNumberFormat="1" applyFont="1" applyFill="1" applyBorder="1" applyAlignment="1" applyProtection="1">
      <alignment horizontal="right" vertical="center" shrinkToFit="1"/>
      <protection locked="0"/>
    </xf>
    <xf numFmtId="220" fontId="1" fillId="0" borderId="0" xfId="26226" applyFont="1" applyFill="1" applyAlignment="1" applyProtection="1">
      <alignment vertical="center"/>
      <protection locked="0"/>
    </xf>
    <xf numFmtId="220" fontId="61" fillId="2" borderId="0" xfId="22360" applyFont="1" applyFill="1" applyAlignment="1" applyProtection="1">
      <alignment horizontal="left" vertical="center" shrinkToFit="1"/>
      <protection locked="0" hidden="1"/>
    </xf>
    <xf numFmtId="220" fontId="1" fillId="2" borderId="1" xfId="14678" applyFont="1" applyFill="1" applyBorder="1" applyAlignment="1" applyProtection="1">
      <alignment horizontal="left" vertical="top" wrapText="1"/>
      <protection locked="0"/>
    </xf>
    <xf numFmtId="43" fontId="1" fillId="0" borderId="1" xfId="14678" applyNumberFormat="1" applyFont="1" applyFill="1" applyBorder="1" applyAlignment="1" applyProtection="1">
      <alignment horizontal="center" vertical="top" wrapText="1"/>
      <protection locked="0"/>
    </xf>
    <xf numFmtId="220" fontId="1" fillId="0" borderId="1" xfId="14678" applyFont="1" applyFill="1" applyBorder="1" applyAlignment="1" applyProtection="1">
      <alignment horizontal="center" vertical="top" wrapText="1"/>
      <protection locked="0"/>
    </xf>
    <xf numFmtId="220" fontId="64" fillId="2" borderId="1" xfId="14678" applyFont="1" applyFill="1" applyBorder="1" applyAlignment="1" applyProtection="1">
      <alignment horizontal="center" wrapText="1"/>
      <protection locked="0"/>
    </xf>
    <xf numFmtId="43" fontId="1" fillId="2" borderId="0" xfId="39" applyFont="1" applyFill="1" applyBorder="1" applyAlignment="1" applyProtection="1">
      <alignment horizontal="center" vertical="top" wrapText="1"/>
    </xf>
    <xf numFmtId="43" fontId="24" fillId="2" borderId="0" xfId="22360" applyNumberFormat="1" applyFont="1" applyFill="1" applyBorder="1" applyAlignment="1" applyProtection="1">
      <alignment horizontal="right" vertical="center" shrinkToFit="1"/>
      <protection locked="0"/>
    </xf>
    <xf numFmtId="220" fontId="57" fillId="2" borderId="0" xfId="22697" applyFont="1" applyFill="1" applyAlignment="1" applyProtection="1">
      <alignment horizontal="left" vertical="center" shrinkToFit="1"/>
      <protection locked="0" hidden="1"/>
    </xf>
    <xf numFmtId="220" fontId="1" fillId="2" borderId="0" xfId="22697" applyNumberFormat="1" applyFont="1" applyFill="1" applyAlignment="1" applyProtection="1">
      <alignment horizontal="left" vertical="center" wrapText="1"/>
      <protection locked="0"/>
    </xf>
    <xf numFmtId="220" fontId="1" fillId="2" borderId="0" xfId="22697" applyFont="1" applyFill="1" applyAlignment="1" applyProtection="1">
      <alignment vertical="center"/>
      <protection locked="0"/>
    </xf>
    <xf numFmtId="220" fontId="1" fillId="2" borderId="1" xfId="22697" applyNumberFormat="1" applyFont="1" applyFill="1" applyBorder="1" applyAlignment="1" applyProtection="1">
      <alignment horizontal="center" vertical="center" wrapText="1"/>
      <protection locked="0"/>
    </xf>
    <xf numFmtId="220" fontId="1" fillId="0" borderId="1" xfId="22697" applyNumberFormat="1" applyFont="1" applyFill="1" applyBorder="1" applyAlignment="1" applyProtection="1">
      <alignment horizontal="center" vertical="center" wrapText="1"/>
      <protection locked="0"/>
    </xf>
    <xf numFmtId="220" fontId="2" fillId="0" borderId="1" xfId="22697" applyNumberFormat="1" applyFont="1" applyFill="1" applyBorder="1" applyAlignment="1" applyProtection="1">
      <alignment horizontal="center" vertical="center" wrapText="1"/>
      <protection locked="0"/>
    </xf>
    <xf numFmtId="220" fontId="1" fillId="0" borderId="1" xfId="22697" applyNumberFormat="1" applyFont="1" applyFill="1" applyBorder="1" applyAlignment="1" applyProtection="1">
      <alignment horizontal="left" vertical="center" wrapText="1"/>
      <protection locked="0"/>
    </xf>
    <xf numFmtId="43" fontId="1" fillId="0" borderId="1" xfId="22697" applyNumberFormat="1" applyFont="1" applyFill="1" applyBorder="1" applyAlignment="1" applyProtection="1">
      <alignment horizontal="right" vertical="center" shrinkToFit="1"/>
      <protection locked="0"/>
    </xf>
    <xf numFmtId="43" fontId="1" fillId="2" borderId="1" xfId="22697" applyNumberFormat="1" applyFont="1" applyFill="1" applyBorder="1" applyAlignment="1" applyProtection="1">
      <alignment horizontal="right" vertical="center" shrinkToFit="1"/>
    </xf>
    <xf numFmtId="220" fontId="1" fillId="2" borderId="1" xfId="22697" applyNumberFormat="1" applyFont="1" applyFill="1" applyBorder="1" applyAlignment="1" applyProtection="1">
      <alignment horizontal="left" vertical="center" wrapText="1"/>
      <protection locked="0"/>
    </xf>
    <xf numFmtId="220" fontId="23" fillId="2" borderId="0" xfId="14678" applyFont="1" applyFill="1" applyAlignment="1" applyProtection="1">
      <protection locked="0"/>
    </xf>
    <xf numFmtId="220" fontId="1" fillId="2" borderId="0" xfId="14678" applyNumberFormat="1" applyFont="1" applyFill="1" applyBorder="1" applyAlignment="1" applyProtection="1">
      <alignment horizontal="left" vertical="center" wrapText="1"/>
      <protection locked="0"/>
    </xf>
    <xf numFmtId="220" fontId="22" fillId="2" borderId="0" xfId="14678" applyFont="1" applyFill="1" applyAlignment="1" applyProtection="1">
      <alignment horizontal="center" vertical="center"/>
      <protection locked="0"/>
    </xf>
    <xf numFmtId="220" fontId="1" fillId="0" borderId="1" xfId="14678" applyNumberFormat="1" applyFont="1" applyFill="1" applyBorder="1" applyAlignment="1" applyProtection="1">
      <alignment vertical="center" wrapText="1"/>
      <protection locked="0"/>
    </xf>
    <xf numFmtId="220" fontId="1" fillId="0" borderId="1" xfId="14678" applyFont="1" applyFill="1" applyBorder="1" applyAlignment="1" applyProtection="1">
      <alignment vertical="center"/>
      <protection locked="0"/>
    </xf>
    <xf numFmtId="43" fontId="1" fillId="2" borderId="0" xfId="39" applyFont="1" applyFill="1" applyBorder="1" applyAlignment="1" applyProtection="1">
      <alignment horizontal="center" vertical="center"/>
    </xf>
    <xf numFmtId="220" fontId="1" fillId="2" borderId="0" xfId="4424" applyFont="1" applyFill="1" applyBorder="1" applyAlignment="1" applyProtection="1">
      <alignment horizontal="left" vertical="center"/>
      <protection locked="0"/>
    </xf>
    <xf numFmtId="43" fontId="1" fillId="0" borderId="1" xfId="14678" applyNumberFormat="1" applyFont="1" applyFill="1" applyBorder="1" applyAlignment="1" applyProtection="1">
      <alignment horizontal="right" vertical="top" wrapText="1"/>
      <protection locked="0"/>
    </xf>
    <xf numFmtId="43" fontId="1" fillId="10" borderId="1" xfId="39" applyFont="1" applyFill="1" applyBorder="1" applyAlignment="1" applyProtection="1">
      <alignment horizontal="right" wrapText="1"/>
    </xf>
    <xf numFmtId="43" fontId="1" fillId="2" borderId="0" xfId="14678" applyNumberFormat="1" applyFont="1" applyFill="1" applyProtection="1">
      <protection locked="0"/>
    </xf>
    <xf numFmtId="220" fontId="1" fillId="2" borderId="1" xfId="14678" applyFont="1" applyFill="1" applyBorder="1" applyAlignment="1" applyProtection="1">
      <alignment horizontal="center" vertical="top" wrapText="1"/>
      <protection locked="0"/>
    </xf>
    <xf numFmtId="43" fontId="1" fillId="2" borderId="1" xfId="39" applyFont="1" applyFill="1" applyBorder="1" applyAlignment="1" applyProtection="1">
      <alignment horizontal="right" vertical="top" wrapText="1"/>
    </xf>
    <xf numFmtId="43" fontId="1" fillId="2" borderId="0" xfId="39" applyFont="1" applyFill="1" applyBorder="1" applyAlignment="1" applyProtection="1">
      <alignment horizontal="right" vertical="top" wrapText="1"/>
    </xf>
    <xf numFmtId="220" fontId="57" fillId="2" borderId="0" xfId="205" applyFont="1" applyFill="1" applyAlignment="1" applyProtection="1">
      <alignment horizontal="left" vertical="center" shrinkToFit="1"/>
      <protection locked="0" hidden="1"/>
    </xf>
    <xf numFmtId="43" fontId="1" fillId="2" borderId="1" xfId="13027" applyNumberFormat="1" applyFont="1" applyFill="1" applyBorder="1" applyAlignment="1" applyProtection="1">
      <alignment horizontal="right" vertical="center" shrinkToFit="1"/>
      <protection locked="0"/>
    </xf>
    <xf numFmtId="43" fontId="1" fillId="2" borderId="1" xfId="13027" applyNumberFormat="1" applyFont="1" applyFill="1" applyBorder="1" applyAlignment="1" applyProtection="1">
      <alignment horizontal="left" vertical="center" shrinkToFit="1"/>
      <protection locked="0"/>
    </xf>
    <xf numFmtId="43" fontId="2" fillId="2" borderId="0" xfId="13027" applyNumberFormat="1" applyFont="1" applyFill="1" applyBorder="1" applyAlignment="1" applyProtection="1">
      <alignment horizontal="center" vertical="center" shrinkToFit="1"/>
      <protection locked="0"/>
    </xf>
    <xf numFmtId="220" fontId="1" fillId="0" borderId="0" xfId="14678" applyFont="1" applyFill="1" applyProtection="1">
      <protection locked="0"/>
    </xf>
    <xf numFmtId="220" fontId="1" fillId="0" borderId="1" xfId="14678" applyFont="1" applyFill="1" applyBorder="1" applyProtection="1">
      <protection locked="0"/>
    </xf>
    <xf numFmtId="220" fontId="1" fillId="2" borderId="1" xfId="14678" applyFont="1" applyFill="1" applyBorder="1" applyAlignment="1" applyProtection="1">
      <alignment horizontal="left" indent="2"/>
      <protection locked="0"/>
    </xf>
    <xf numFmtId="220" fontId="2" fillId="2" borderId="0" xfId="14678" applyFont="1" applyFill="1" applyAlignment="1" applyProtection="1">
      <alignment horizontal="left" indent="2"/>
      <protection locked="0"/>
    </xf>
    <xf numFmtId="220" fontId="13" fillId="0" borderId="1" xfId="14678" applyFont="1" applyFill="1" applyBorder="1" applyAlignment="1" applyProtection="1">
      <alignment horizontal="center" vertical="center" wrapText="1"/>
      <protection locked="0"/>
    </xf>
    <xf numFmtId="220" fontId="1" fillId="0" borderId="1" xfId="14678" applyFont="1" applyFill="1" applyBorder="1" applyAlignment="1" applyProtection="1">
      <alignment horizontal="center" vertical="center" wrapText="1"/>
      <protection locked="0"/>
    </xf>
    <xf numFmtId="220" fontId="1" fillId="2" borderId="1" xfId="14678" applyFont="1" applyFill="1" applyBorder="1" applyAlignment="1" applyProtection="1">
      <alignment horizontal="center" vertical="center" wrapText="1"/>
      <protection locked="0"/>
    </xf>
    <xf numFmtId="220" fontId="2" fillId="2" borderId="0" xfId="14678" applyFont="1" applyFill="1" applyAlignment="1" applyProtection="1">
      <alignment horizontal="center"/>
      <protection locked="0"/>
    </xf>
    <xf numFmtId="220" fontId="13" fillId="0" borderId="1" xfId="14678" applyFont="1" applyFill="1" applyBorder="1" applyAlignment="1" applyProtection="1">
      <alignment horizontal="justify" wrapText="1"/>
      <protection locked="0"/>
    </xf>
    <xf numFmtId="43" fontId="1" fillId="0" borderId="1" xfId="39" applyFont="1" applyFill="1" applyBorder="1" applyProtection="1">
      <protection locked="0"/>
    </xf>
    <xf numFmtId="220" fontId="24" fillId="0" borderId="1" xfId="4424" applyFont="1" applyFill="1" applyBorder="1" applyAlignment="1" applyProtection="1">
      <alignment vertical="center"/>
      <protection locked="0"/>
    </xf>
    <xf numFmtId="43" fontId="1" fillId="2" borderId="1" xfId="39" applyFont="1" applyFill="1" applyBorder="1" applyProtection="1"/>
    <xf numFmtId="220" fontId="24" fillId="2" borderId="1" xfId="4424" applyFont="1" applyFill="1" applyBorder="1" applyAlignment="1" applyProtection="1">
      <alignment vertical="center"/>
      <protection locked="0"/>
    </xf>
    <xf numFmtId="220" fontId="24" fillId="0" borderId="0" xfId="4424" applyFont="1" applyFill="1" applyAlignment="1" applyProtection="1">
      <alignment vertical="center"/>
      <protection locked="0"/>
    </xf>
    <xf numFmtId="220" fontId="2" fillId="0" borderId="1" xfId="14678" applyFont="1" applyFill="1" applyBorder="1" applyAlignment="1" applyProtection="1">
      <alignment horizontal="center" vertical="center" wrapText="1"/>
      <protection locked="0"/>
    </xf>
    <xf numFmtId="43" fontId="13" fillId="0" borderId="1" xfId="39" applyFont="1" applyFill="1" applyBorder="1" applyAlignment="1" applyProtection="1">
      <alignment horizontal="center" vertical="center" wrapText="1"/>
      <protection locked="0"/>
    </xf>
    <xf numFmtId="220" fontId="1" fillId="2" borderId="0" xfId="26231" applyFont="1" applyFill="1" applyAlignment="1" applyProtection="1">
      <alignment vertical="center"/>
      <protection locked="0"/>
    </xf>
    <xf numFmtId="220" fontId="57" fillId="2" borderId="0" xfId="16440" applyFont="1" applyFill="1" applyAlignment="1" applyProtection="1">
      <alignment horizontal="left" vertical="center" shrinkToFit="1"/>
      <protection locked="0" hidden="1"/>
    </xf>
    <xf numFmtId="220" fontId="1" fillId="2" borderId="0" xfId="16440" applyFont="1" applyFill="1" applyAlignment="1" applyProtection="1">
      <alignment vertical="center"/>
      <protection locked="0"/>
    </xf>
    <xf numFmtId="220" fontId="1" fillId="2" borderId="1" xfId="16440" applyFont="1" applyFill="1" applyBorder="1" applyAlignment="1" applyProtection="1">
      <alignment horizontal="center" vertical="center" wrapText="1"/>
      <protection locked="0"/>
    </xf>
    <xf numFmtId="220" fontId="1" fillId="2" borderId="1" xfId="16440" applyFont="1" applyFill="1" applyBorder="1" applyAlignment="1" applyProtection="1">
      <alignment horizontal="justify" vertical="center" wrapText="1"/>
      <protection locked="0"/>
    </xf>
    <xf numFmtId="220" fontId="1" fillId="2" borderId="1" xfId="16440" applyFont="1" applyFill="1" applyBorder="1" applyAlignment="1" applyProtection="1">
      <alignment horizontal="left" vertical="center" wrapText="1"/>
      <protection locked="0"/>
    </xf>
    <xf numFmtId="220" fontId="24" fillId="2" borderId="0" xfId="23535" applyFont="1" applyFill="1" applyAlignment="1" applyProtection="1">
      <alignment vertical="center"/>
      <protection locked="0"/>
    </xf>
    <xf numFmtId="220" fontId="1" fillId="2" borderId="0" xfId="16440" applyFont="1" applyFill="1" applyBorder="1" applyAlignment="1" applyProtection="1">
      <alignment horizontal="right" vertical="center" wrapText="1"/>
      <protection locked="0"/>
    </xf>
    <xf numFmtId="220" fontId="20" fillId="0" borderId="1" xfId="14678" applyFont="1" applyFill="1" applyBorder="1" applyAlignment="1" applyProtection="1">
      <alignment horizontal="center" wrapText="1"/>
      <protection locked="0"/>
    </xf>
    <xf numFmtId="220" fontId="13" fillId="2" borderId="14" xfId="14678" applyFont="1" applyFill="1" applyBorder="1" applyAlignment="1" applyProtection="1">
      <alignment wrapText="1"/>
      <protection locked="0"/>
    </xf>
    <xf numFmtId="220" fontId="13" fillId="2" borderId="15" xfId="14678" applyFont="1" applyFill="1" applyBorder="1" applyAlignment="1" applyProtection="1">
      <alignment wrapText="1"/>
      <protection locked="0"/>
    </xf>
    <xf numFmtId="220" fontId="13" fillId="2" borderId="34" xfId="14678" applyFont="1" applyFill="1" applyBorder="1" applyAlignment="1" applyProtection="1">
      <alignment wrapText="1"/>
      <protection locked="0"/>
    </xf>
    <xf numFmtId="10" fontId="13" fillId="0" borderId="1" xfId="55" applyNumberFormat="1" applyFont="1" applyFill="1" applyBorder="1" applyAlignment="1" applyProtection="1">
      <alignment horizontal="center" wrapText="1"/>
      <protection locked="0"/>
    </xf>
    <xf numFmtId="220" fontId="1" fillId="0" borderId="1" xfId="16440" applyFont="1" applyFill="1" applyBorder="1" applyAlignment="1" applyProtection="1">
      <alignment horizontal="right" vertical="center" wrapText="1"/>
      <protection locked="0"/>
    </xf>
    <xf numFmtId="220" fontId="1" fillId="0" borderId="0" xfId="16440" applyFont="1" applyFill="1" applyBorder="1" applyAlignment="1" applyProtection="1">
      <alignment horizontal="right" vertical="center" wrapText="1"/>
      <protection locked="0"/>
    </xf>
    <xf numFmtId="220" fontId="1" fillId="2" borderId="0" xfId="16440" applyFont="1" applyFill="1" applyBorder="1" applyAlignment="1" applyProtection="1">
      <alignment horizontal="center" vertical="center" wrapText="1"/>
      <protection locked="0"/>
    </xf>
    <xf numFmtId="220" fontId="57" fillId="2" borderId="0" xfId="26179" applyFont="1" applyFill="1" applyAlignment="1" applyProtection="1">
      <alignment horizontal="left" vertical="center" shrinkToFit="1"/>
      <protection locked="0" hidden="1"/>
    </xf>
    <xf numFmtId="220" fontId="1" fillId="2" borderId="4" xfId="26179" applyNumberFormat="1" applyFont="1" applyFill="1" applyBorder="1" applyAlignment="1" applyProtection="1">
      <alignment vertical="center" wrapText="1"/>
      <protection locked="0"/>
    </xf>
    <xf numFmtId="220" fontId="1" fillId="0" borderId="1" xfId="26179" applyNumberFormat="1" applyFont="1" applyFill="1" applyBorder="1" applyAlignment="1" applyProtection="1">
      <alignment horizontal="center" vertical="center" wrapText="1"/>
      <protection locked="0"/>
    </xf>
    <xf numFmtId="220" fontId="1" fillId="0" borderId="1" xfId="26179" applyNumberFormat="1" applyFont="1" applyFill="1" applyBorder="1" applyAlignment="1" applyProtection="1">
      <alignment horizontal="left" vertical="center" wrapText="1"/>
      <protection locked="0"/>
    </xf>
    <xf numFmtId="220" fontId="1" fillId="0" borderId="1" xfId="26179" applyFont="1" applyFill="1" applyBorder="1" applyAlignment="1" applyProtection="1">
      <alignment horizontal="center" vertical="center" wrapText="1"/>
      <protection locked="0"/>
    </xf>
    <xf numFmtId="289" fontId="1" fillId="0" borderId="1" xfId="26179" applyNumberFormat="1" applyFont="1" applyFill="1" applyBorder="1" applyAlignment="1" applyProtection="1">
      <alignment horizontal="center" vertical="center" shrinkToFit="1"/>
      <protection locked="0"/>
    </xf>
    <xf numFmtId="43" fontId="1" fillId="0" borderId="1" xfId="26179" applyNumberFormat="1" applyFont="1" applyFill="1" applyBorder="1" applyAlignment="1" applyProtection="1">
      <alignment horizontal="right" vertical="center" shrinkToFit="1"/>
      <protection locked="0"/>
    </xf>
    <xf numFmtId="220" fontId="1" fillId="2" borderId="1" xfId="26179" applyFont="1" applyFill="1" applyBorder="1" applyAlignment="1" applyProtection="1">
      <alignment horizontal="center" vertical="center" wrapText="1"/>
      <protection locked="0"/>
    </xf>
    <xf numFmtId="43" fontId="1" fillId="2" borderId="1" xfId="26179" applyNumberFormat="1" applyFont="1" applyFill="1" applyBorder="1" applyAlignment="1" applyProtection="1">
      <alignment horizontal="right" vertical="center" shrinkToFit="1"/>
    </xf>
    <xf numFmtId="289" fontId="1" fillId="2" borderId="1" xfId="26179" applyNumberFormat="1" applyFont="1" applyFill="1" applyBorder="1" applyAlignment="1" applyProtection="1">
      <alignment horizontal="center" vertical="center" shrinkToFit="1"/>
      <protection locked="0"/>
    </xf>
    <xf numFmtId="43" fontId="1" fillId="2" borderId="1" xfId="26179" applyNumberFormat="1" applyFont="1" applyFill="1" applyBorder="1" applyAlignment="1" applyProtection="1">
      <alignment horizontal="right" vertical="center" shrinkToFit="1"/>
      <protection locked="0"/>
    </xf>
    <xf numFmtId="220" fontId="57" fillId="2" borderId="0" xfId="26181" applyFont="1" applyFill="1" applyAlignment="1" applyProtection="1">
      <alignment horizontal="left" vertical="center" shrinkToFit="1"/>
      <protection locked="0" hidden="1"/>
    </xf>
    <xf numFmtId="220" fontId="1" fillId="2" borderId="2" xfId="26181" applyNumberFormat="1" applyFont="1" applyFill="1" applyBorder="1" applyAlignment="1" applyProtection="1">
      <alignment vertical="center" wrapText="1"/>
      <protection locked="0"/>
    </xf>
    <xf numFmtId="220" fontId="1" fillId="2" borderId="1" xfId="26181" applyNumberFormat="1" applyFont="1" applyFill="1" applyBorder="1" applyAlignment="1" applyProtection="1">
      <alignment horizontal="center" vertical="center" wrapText="1"/>
      <protection locked="0"/>
    </xf>
    <xf numFmtId="220" fontId="2" fillId="0" borderId="1" xfId="26181" applyNumberFormat="1" applyFont="1" applyFill="1" applyBorder="1" applyAlignment="1" applyProtection="1">
      <alignment horizontal="center" vertical="center" wrapText="1"/>
      <protection locked="0"/>
    </xf>
    <xf numFmtId="220" fontId="1" fillId="0" borderId="1" xfId="26181" applyNumberFormat="1" applyFont="1" applyFill="1" applyBorder="1" applyAlignment="1" applyProtection="1">
      <alignment horizontal="center" vertical="center" wrapText="1"/>
      <protection locked="0"/>
    </xf>
    <xf numFmtId="43" fontId="1" fillId="0" borderId="1" xfId="26181" applyNumberFormat="1" applyFont="1" applyFill="1" applyBorder="1" applyAlignment="1" applyProtection="1">
      <alignment horizontal="center" vertical="center" wrapText="1"/>
      <protection locked="0"/>
    </xf>
    <xf numFmtId="286" fontId="1" fillId="0" borderId="1" xfId="26181" applyNumberFormat="1" applyFont="1" applyFill="1" applyBorder="1" applyAlignment="1" applyProtection="1">
      <alignment horizontal="center" vertical="center" wrapText="1"/>
      <protection locked="0"/>
    </xf>
    <xf numFmtId="286" fontId="1" fillId="2" borderId="1" xfId="26181" applyNumberFormat="1" applyFont="1" applyFill="1" applyBorder="1" applyAlignment="1" applyProtection="1">
      <alignment horizontal="center" vertical="center" wrapText="1"/>
      <protection locked="0"/>
    </xf>
    <xf numFmtId="43" fontId="1" fillId="2" borderId="1" xfId="26181" applyNumberFormat="1" applyFont="1" applyFill="1" applyBorder="1" applyAlignment="1" applyProtection="1">
      <alignment horizontal="right" vertical="center" shrinkToFit="1"/>
    </xf>
    <xf numFmtId="220" fontId="1" fillId="2" borderId="1" xfId="16440" applyFont="1" applyFill="1" applyBorder="1" applyAlignment="1" applyProtection="1">
      <alignment horizontal="right" vertical="center" wrapText="1"/>
      <protection locked="0"/>
    </xf>
    <xf numFmtId="220" fontId="1" fillId="2" borderId="0" xfId="16440" applyFont="1" applyFill="1" applyBorder="1" applyAlignment="1" applyProtection="1">
      <alignment horizontal="left" vertical="center" wrapText="1"/>
      <protection locked="0"/>
    </xf>
    <xf numFmtId="220" fontId="1" fillId="2" borderId="1" xfId="26231" applyFont="1" applyFill="1" applyBorder="1" applyAlignment="1" applyProtection="1">
      <alignment vertical="center"/>
      <protection locked="0"/>
    </xf>
    <xf numFmtId="43" fontId="1" fillId="2" borderId="0" xfId="26231" applyNumberFormat="1" applyFont="1" applyFill="1" applyAlignment="1" applyProtection="1">
      <alignment vertical="center"/>
    </xf>
    <xf numFmtId="220" fontId="1" fillId="2" borderId="0" xfId="26231" applyFont="1" applyFill="1" applyBorder="1" applyAlignment="1" applyProtection="1">
      <alignment vertical="center"/>
      <protection locked="0"/>
    </xf>
    <xf numFmtId="220" fontId="1" fillId="0" borderId="0" xfId="26231" applyFont="1" applyFill="1" applyBorder="1" applyAlignment="1" applyProtection="1">
      <alignment vertical="center"/>
      <protection locked="0"/>
    </xf>
    <xf numFmtId="220" fontId="1" fillId="0" borderId="0" xfId="26231" applyFont="1" applyFill="1" applyAlignment="1" applyProtection="1">
      <alignment vertical="center"/>
      <protection locked="0"/>
    </xf>
    <xf numFmtId="220" fontId="57" fillId="2" borderId="0" xfId="16978" applyFont="1" applyFill="1" applyAlignment="1" applyProtection="1">
      <alignment horizontal="left" vertical="center" shrinkToFit="1"/>
      <protection locked="0" hidden="1"/>
    </xf>
    <xf numFmtId="220" fontId="1" fillId="2" borderId="0" xfId="16978" applyFont="1" applyFill="1" applyAlignment="1" applyProtection="1">
      <alignment horizontal="left" vertical="center"/>
      <protection locked="0"/>
    </xf>
    <xf numFmtId="220" fontId="1" fillId="2" borderId="1" xfId="16978" applyNumberFormat="1" applyFont="1" applyFill="1" applyBorder="1" applyAlignment="1" applyProtection="1">
      <alignment horizontal="center" vertical="center" wrapText="1"/>
      <protection locked="0"/>
    </xf>
    <xf numFmtId="220" fontId="1" fillId="0" borderId="1" xfId="16978" applyNumberFormat="1" applyFont="1" applyFill="1" applyBorder="1" applyAlignment="1" applyProtection="1">
      <alignment horizontal="center" vertical="center" wrapText="1"/>
      <protection locked="0"/>
    </xf>
    <xf numFmtId="220" fontId="1" fillId="0" borderId="1" xfId="16978" applyNumberFormat="1" applyFont="1" applyFill="1" applyBorder="1" applyAlignment="1" applyProtection="1">
      <alignment horizontal="left" vertical="center" wrapText="1"/>
      <protection locked="0"/>
    </xf>
    <xf numFmtId="43" fontId="1" fillId="2" borderId="0" xfId="35142" applyNumberFormat="1" applyFont="1" applyFill="1" applyAlignment="1" applyProtection="1">
      <alignment horizontal="right" vertical="center" shrinkToFit="1"/>
    </xf>
    <xf numFmtId="220" fontId="56" fillId="2" borderId="0" xfId="16440" applyFont="1" applyFill="1" applyBorder="1" applyAlignment="1" applyProtection="1">
      <alignment horizontal="left" vertical="center" shrinkToFit="1"/>
      <protection locked="0" hidden="1"/>
    </xf>
    <xf numFmtId="220" fontId="13" fillId="2" borderId="0" xfId="16440" applyFont="1" applyFill="1" applyBorder="1" applyAlignment="1" applyProtection="1">
      <alignment horizontal="left" vertical="center" wrapText="1"/>
      <protection locked="0"/>
    </xf>
    <xf numFmtId="220" fontId="1" fillId="2" borderId="0" xfId="26181" applyNumberFormat="1" applyFont="1" applyFill="1" applyBorder="1" applyAlignment="1" applyProtection="1">
      <alignment vertical="center" wrapText="1"/>
      <protection locked="0"/>
    </xf>
    <xf numFmtId="220" fontId="1" fillId="2" borderId="17" xfId="26231" applyFont="1" applyFill="1" applyBorder="1" applyAlignment="1" applyProtection="1">
      <alignment vertical="center"/>
      <protection locked="0"/>
    </xf>
    <xf numFmtId="43" fontId="13" fillId="2" borderId="1" xfId="39" applyFont="1" applyFill="1" applyBorder="1" applyAlignment="1" applyProtection="1">
      <alignment horizontal="justify" vertical="top" wrapText="1"/>
      <protection locked="0"/>
    </xf>
    <xf numFmtId="43" fontId="13" fillId="2" borderId="1" xfId="39" applyFont="1" applyFill="1" applyBorder="1" applyAlignment="1" applyProtection="1">
      <alignment horizontal="center" vertical="top" wrapText="1"/>
    </xf>
    <xf numFmtId="43" fontId="1" fillId="2" borderId="1" xfId="39" applyFont="1" applyFill="1" applyBorder="1" applyAlignment="1" applyProtection="1">
      <alignment horizontal="justify" vertical="top" wrapText="1"/>
      <protection locked="0"/>
    </xf>
    <xf numFmtId="43" fontId="68" fillId="2" borderId="1" xfId="39" applyFont="1" applyFill="1" applyBorder="1" applyAlignment="1" applyProtection="1">
      <alignment horizontal="center" vertical="top" wrapText="1"/>
      <protection locked="0"/>
    </xf>
    <xf numFmtId="43" fontId="1" fillId="2" borderId="0" xfId="16440" applyNumberFormat="1" applyFont="1" applyFill="1" applyBorder="1" applyAlignment="1" applyProtection="1">
      <alignment horizontal="right" vertical="center" wrapText="1"/>
    </xf>
    <xf numFmtId="43" fontId="1" fillId="2" borderId="0" xfId="16440" applyNumberFormat="1" applyFont="1" applyFill="1" applyBorder="1" applyAlignment="1" applyProtection="1">
      <alignment horizontal="right" vertical="center" wrapText="1"/>
      <protection locked="0"/>
    </xf>
    <xf numFmtId="43" fontId="1" fillId="2" borderId="1" xfId="35142" applyNumberFormat="1" applyFont="1" applyFill="1" applyBorder="1" applyAlignment="1" applyProtection="1">
      <alignment horizontal="right" vertical="center" shrinkToFit="1"/>
      <protection locked="0"/>
    </xf>
    <xf numFmtId="43" fontId="1" fillId="2" borderId="0" xfId="26231" applyNumberFormat="1" applyFont="1" applyFill="1" applyAlignment="1" applyProtection="1">
      <alignment vertical="center"/>
      <protection locked="0"/>
    </xf>
    <xf numFmtId="220" fontId="2" fillId="2" borderId="0" xfId="23535" applyFont="1" applyFill="1" applyAlignment="1" applyProtection="1">
      <alignment vertical="center"/>
      <protection locked="0"/>
    </xf>
    <xf numFmtId="220" fontId="1" fillId="0" borderId="1" xfId="16440" applyFont="1" applyFill="1" applyBorder="1" applyAlignment="1" applyProtection="1">
      <alignment horizontal="left" vertical="center" wrapText="1"/>
      <protection locked="0"/>
    </xf>
    <xf numFmtId="43" fontId="1" fillId="2" borderId="1" xfId="39" applyFont="1" applyFill="1" applyBorder="1" applyAlignment="1" applyProtection="1">
      <alignment horizontal="right" vertical="center" wrapText="1"/>
    </xf>
    <xf numFmtId="43" fontId="1" fillId="11" borderId="0" xfId="39" applyFont="1" applyFill="1" applyBorder="1" applyAlignment="1" applyProtection="1">
      <alignment horizontal="center" vertical="center" shrinkToFit="1"/>
      <protection locked="0"/>
    </xf>
    <xf numFmtId="220" fontId="2" fillId="24" borderId="0" xfId="49" applyFont="1" applyFill="1" applyAlignment="1" applyProtection="1">
      <alignment vertical="center"/>
      <protection locked="0"/>
    </xf>
    <xf numFmtId="220" fontId="1" fillId="2" borderId="0" xfId="26232" applyFont="1" applyFill="1" applyAlignment="1" applyProtection="1">
      <alignment vertical="center"/>
      <protection locked="0"/>
    </xf>
    <xf numFmtId="220" fontId="57" fillId="2" borderId="0" xfId="7558" applyFont="1" applyFill="1" applyAlignment="1" applyProtection="1">
      <alignment horizontal="left" vertical="center" shrinkToFit="1"/>
      <protection locked="0" hidden="1"/>
    </xf>
    <xf numFmtId="220" fontId="1" fillId="2" borderId="1" xfId="10364" applyNumberFormat="1" applyFont="1" applyFill="1" applyBorder="1" applyAlignment="1" applyProtection="1">
      <alignment horizontal="center" vertical="center" wrapText="1"/>
      <protection locked="0"/>
    </xf>
    <xf numFmtId="220" fontId="1" fillId="2" borderId="1" xfId="10364" applyNumberFormat="1" applyFont="1" applyFill="1" applyBorder="1" applyAlignment="1" applyProtection="1">
      <alignment horizontal="left" vertical="center" wrapText="1"/>
      <protection locked="0"/>
    </xf>
    <xf numFmtId="220" fontId="1" fillId="2" borderId="0" xfId="10364" applyNumberFormat="1" applyFont="1" applyFill="1" applyBorder="1" applyAlignment="1" applyProtection="1">
      <alignment horizontal="left" vertical="center" wrapText="1"/>
      <protection locked="0"/>
    </xf>
    <xf numFmtId="220" fontId="1" fillId="2" borderId="0" xfId="10364" applyNumberFormat="1" applyFont="1" applyFill="1" applyBorder="1" applyAlignment="1" applyProtection="1">
      <alignment horizontal="center" vertical="center" wrapText="1"/>
      <protection locked="0"/>
    </xf>
    <xf numFmtId="220" fontId="1" fillId="2" borderId="0" xfId="26222" applyFont="1" applyFill="1" applyAlignment="1" applyProtection="1">
      <alignment vertical="center"/>
      <protection locked="0"/>
    </xf>
    <xf numFmtId="220" fontId="57" fillId="2" borderId="0" xfId="14198" applyFont="1" applyFill="1" applyAlignment="1" applyProtection="1">
      <alignment horizontal="left" vertical="center" shrinkToFit="1"/>
      <protection locked="0" hidden="1"/>
    </xf>
    <xf numFmtId="220" fontId="1" fillId="2" borderId="1" xfId="37464" applyNumberFormat="1" applyFont="1" applyFill="1" applyBorder="1" applyAlignment="1" applyProtection="1">
      <alignment horizontal="center" vertical="center" wrapText="1"/>
      <protection locked="0"/>
    </xf>
    <xf numFmtId="220" fontId="1" fillId="2" borderId="1" xfId="37464" applyNumberFormat="1" applyFont="1" applyFill="1" applyBorder="1" applyAlignment="1" applyProtection="1">
      <alignment horizontal="left" vertical="center" wrapText="1"/>
      <protection locked="0"/>
    </xf>
    <xf numFmtId="43" fontId="1" fillId="2" borderId="0" xfId="37464" applyNumberFormat="1" applyFont="1" applyFill="1" applyBorder="1" applyAlignment="1" applyProtection="1">
      <alignment horizontal="right" vertical="center" shrinkToFit="1"/>
    </xf>
    <xf numFmtId="43" fontId="1" fillId="2" borderId="0" xfId="37464" applyNumberFormat="1" applyFont="1" applyFill="1" applyBorder="1" applyAlignment="1" applyProtection="1">
      <alignment horizontal="right" vertical="center" shrinkToFit="1"/>
      <protection locked="0"/>
    </xf>
    <xf numFmtId="220" fontId="56" fillId="2" borderId="0" xfId="14198" applyFont="1" applyFill="1" applyAlignment="1" applyProtection="1">
      <alignment horizontal="left" vertical="center" shrinkToFit="1"/>
      <protection locked="0" hidden="1"/>
    </xf>
    <xf numFmtId="220" fontId="57" fillId="2" borderId="0" xfId="23763" applyFont="1" applyFill="1" applyAlignment="1" applyProtection="1">
      <alignment horizontal="left" vertical="center" shrinkToFit="1"/>
      <protection locked="0" hidden="1"/>
    </xf>
    <xf numFmtId="220" fontId="1" fillId="2" borderId="1" xfId="26182" applyFont="1" applyFill="1" applyBorder="1" applyAlignment="1" applyProtection="1">
      <alignment horizontal="center" vertical="center" wrapText="1"/>
      <protection locked="0"/>
    </xf>
    <xf numFmtId="220" fontId="1" fillId="2" borderId="1" xfId="26182" applyNumberFormat="1" applyFont="1" applyFill="1" applyBorder="1" applyAlignment="1" applyProtection="1">
      <alignment horizontal="center" vertical="center" wrapText="1"/>
      <protection locked="0"/>
    </xf>
    <xf numFmtId="220" fontId="1" fillId="2" borderId="1" xfId="26182" applyNumberFormat="1" applyFont="1" applyFill="1" applyBorder="1" applyAlignment="1" applyProtection="1">
      <alignment horizontal="left" vertical="center" wrapText="1"/>
      <protection locked="0"/>
    </xf>
    <xf numFmtId="43" fontId="1" fillId="0" borderId="1" xfId="37464" applyNumberFormat="1" applyFont="1" applyFill="1" applyBorder="1" applyAlignment="1" applyProtection="1">
      <alignment horizontal="right" vertical="center" shrinkToFit="1"/>
      <protection locked="0"/>
    </xf>
    <xf numFmtId="220" fontId="1" fillId="0" borderId="1" xfId="10364" applyFont="1" applyFill="1" applyBorder="1" applyAlignment="1" applyProtection="1">
      <alignment horizontal="left" vertical="center" wrapText="1"/>
      <protection locked="0"/>
    </xf>
    <xf numFmtId="220" fontId="1" fillId="2" borderId="1" xfId="10364" applyFont="1" applyFill="1" applyBorder="1" applyAlignment="1" applyProtection="1">
      <alignment horizontal="left" vertical="center" wrapText="1"/>
      <protection locked="0"/>
    </xf>
    <xf numFmtId="220" fontId="1" fillId="2" borderId="0" xfId="10364" applyFont="1" applyFill="1" applyBorder="1" applyAlignment="1" applyProtection="1">
      <alignment horizontal="left" vertical="center" wrapText="1"/>
      <protection locked="0"/>
    </xf>
    <xf numFmtId="220" fontId="1" fillId="0" borderId="0" xfId="10364" applyFont="1" applyFill="1" applyBorder="1" applyAlignment="1" applyProtection="1">
      <alignment horizontal="left" vertical="center" wrapText="1"/>
      <protection locked="0"/>
    </xf>
    <xf numFmtId="43" fontId="1" fillId="2" borderId="0" xfId="10364" applyNumberFormat="1" applyFont="1" applyFill="1" applyBorder="1" applyAlignment="1" applyProtection="1">
      <alignment horizontal="right" vertical="center" shrinkToFit="1"/>
      <protection locked="0"/>
    </xf>
    <xf numFmtId="290" fontId="1" fillId="0" borderId="1" xfId="37464" applyNumberFormat="1" applyFont="1" applyFill="1" applyBorder="1" applyAlignment="1" applyProtection="1">
      <alignment horizontal="center" vertical="center" wrapText="1"/>
      <protection locked="0"/>
    </xf>
    <xf numFmtId="290" fontId="1" fillId="2" borderId="1" xfId="37464" applyNumberFormat="1" applyFont="1" applyFill="1" applyBorder="1" applyAlignment="1" applyProtection="1">
      <alignment horizontal="center" vertical="center" wrapText="1"/>
      <protection locked="0"/>
    </xf>
    <xf numFmtId="290" fontId="1" fillId="2" borderId="0" xfId="37464" applyNumberFormat="1" applyFont="1" applyFill="1" applyBorder="1" applyAlignment="1" applyProtection="1">
      <alignment horizontal="center" vertical="center" wrapText="1"/>
      <protection locked="0"/>
    </xf>
    <xf numFmtId="220" fontId="2" fillId="2" borderId="1" xfId="26182" applyNumberFormat="1" applyFont="1" applyFill="1" applyBorder="1" applyAlignment="1" applyProtection="1">
      <alignment horizontal="left" vertical="center" wrapText="1"/>
      <protection locked="0"/>
    </xf>
    <xf numFmtId="220" fontId="1" fillId="2" borderId="0" xfId="20208" applyFont="1" applyFill="1" applyAlignment="1" applyProtection="1">
      <alignment horizontal="left" vertical="center"/>
      <protection locked="0"/>
    </xf>
    <xf numFmtId="43" fontId="1" fillId="0" borderId="0" xfId="37464" applyNumberFormat="1" applyFont="1" applyFill="1" applyBorder="1" applyAlignment="1" applyProtection="1">
      <alignment horizontal="right" vertical="center" shrinkToFit="1"/>
      <protection locked="0"/>
    </xf>
    <xf numFmtId="220" fontId="1" fillId="2" borderId="0" xfId="37464" applyNumberFormat="1" applyFont="1" applyFill="1" applyBorder="1" applyAlignment="1" applyProtection="1">
      <alignment horizontal="center" vertical="center" wrapText="1"/>
      <protection locked="0"/>
    </xf>
    <xf numFmtId="220" fontId="1" fillId="2" borderId="0" xfId="26224" applyFont="1" applyFill="1" applyAlignment="1" applyProtection="1">
      <alignment vertical="center"/>
      <protection locked="0"/>
    </xf>
    <xf numFmtId="220" fontId="57" fillId="2" borderId="0" xfId="20208" applyFont="1" applyFill="1" applyBorder="1" applyAlignment="1" applyProtection="1">
      <alignment horizontal="left" vertical="center" shrinkToFit="1"/>
      <protection locked="0" hidden="1"/>
    </xf>
    <xf numFmtId="220" fontId="1" fillId="2" borderId="2" xfId="20208" applyFont="1" applyFill="1" applyBorder="1" applyAlignment="1" applyProtection="1">
      <alignment vertical="center"/>
      <protection locked="0"/>
    </xf>
    <xf numFmtId="43" fontId="1" fillId="2" borderId="2" xfId="39" applyFont="1" applyFill="1" applyBorder="1" applyAlignment="1" applyProtection="1">
      <alignment vertical="center" shrinkToFit="1"/>
      <protection locked="0"/>
    </xf>
    <xf numFmtId="220" fontId="1" fillId="2" borderId="1" xfId="20208" applyFont="1" applyFill="1" applyBorder="1" applyAlignment="1" applyProtection="1">
      <alignment horizontal="center" vertical="center" wrapText="1"/>
      <protection locked="0"/>
    </xf>
    <xf numFmtId="220" fontId="1" fillId="2" borderId="1" xfId="20208" applyFont="1" applyFill="1" applyBorder="1" applyAlignment="1" applyProtection="1">
      <alignment horizontal="justify" vertical="center" wrapText="1"/>
      <protection locked="0"/>
    </xf>
    <xf numFmtId="43" fontId="1" fillId="2" borderId="1" xfId="20208" applyNumberFormat="1" applyFont="1" applyFill="1" applyBorder="1" applyAlignment="1" applyProtection="1">
      <alignment horizontal="right" vertical="center" shrinkToFit="1"/>
    </xf>
    <xf numFmtId="43" fontId="1" fillId="2" borderId="0" xfId="20208" applyNumberFormat="1" applyFont="1" applyFill="1" applyBorder="1" applyAlignment="1" applyProtection="1">
      <alignment horizontal="right" vertical="center" shrinkToFit="1"/>
    </xf>
    <xf numFmtId="220" fontId="1" fillId="2" borderId="0" xfId="20208" applyFont="1" applyFill="1" applyBorder="1" applyAlignment="1" applyProtection="1">
      <alignment horizontal="center" vertical="center" wrapText="1"/>
      <protection locked="0"/>
    </xf>
    <xf numFmtId="43" fontId="1" fillId="2" borderId="0" xfId="20208" applyNumberFormat="1" applyFont="1" applyFill="1" applyBorder="1" applyAlignment="1" applyProtection="1">
      <alignment horizontal="right" vertical="center" shrinkToFit="1"/>
      <protection locked="0"/>
    </xf>
    <xf numFmtId="43" fontId="1" fillId="2" borderId="0" xfId="39" applyFont="1" applyFill="1" applyBorder="1" applyAlignment="1" applyProtection="1">
      <alignment horizontal="justify" vertical="center" shrinkToFit="1"/>
      <protection locked="0"/>
    </xf>
    <xf numFmtId="220" fontId="1" fillId="2" borderId="0" xfId="20208" applyFont="1" applyFill="1" applyAlignment="1" applyProtection="1">
      <alignment vertical="center"/>
      <protection locked="0"/>
    </xf>
    <xf numFmtId="220" fontId="1" fillId="2" borderId="1" xfId="20208" applyFont="1" applyFill="1" applyBorder="1" applyAlignment="1" applyProtection="1">
      <alignment vertical="center"/>
      <protection locked="0"/>
    </xf>
    <xf numFmtId="220" fontId="1" fillId="2" borderId="1" xfId="4563" applyFont="1" applyFill="1" applyBorder="1" applyAlignment="1" applyProtection="1">
      <alignment horizontal="left" vertical="center" wrapText="1"/>
      <protection locked="0"/>
    </xf>
    <xf numFmtId="220" fontId="1" fillId="0" borderId="1" xfId="20208" applyFont="1" applyFill="1" applyBorder="1" applyAlignment="1" applyProtection="1">
      <alignment vertical="center"/>
      <protection locked="0"/>
    </xf>
    <xf numFmtId="43" fontId="1" fillId="10" borderId="1" xfId="39" applyFont="1" applyFill="1" applyBorder="1" applyAlignment="1" applyProtection="1">
      <alignment horizontal="center" vertical="center" shrinkToFit="1"/>
    </xf>
    <xf numFmtId="220" fontId="2" fillId="2" borderId="0" xfId="20208" applyFont="1" applyFill="1" applyBorder="1" applyAlignment="1" applyProtection="1">
      <alignment horizontal="center" vertical="center" wrapText="1"/>
      <protection locked="0"/>
    </xf>
    <xf numFmtId="220" fontId="1" fillId="2" borderId="1" xfId="4563" applyFont="1" applyFill="1" applyBorder="1" applyAlignment="1" applyProtection="1">
      <alignment horizontal="center" vertical="center" wrapText="1"/>
      <protection locked="0"/>
    </xf>
    <xf numFmtId="43" fontId="1" fillId="0" borderId="1" xfId="4563" applyNumberFormat="1" applyFont="1" applyFill="1" applyBorder="1" applyAlignment="1" applyProtection="1">
      <alignment horizontal="center" vertical="center" wrapText="1"/>
      <protection locked="0"/>
    </xf>
    <xf numFmtId="43" fontId="1" fillId="10" borderId="1" xfId="4563" applyNumberFormat="1" applyFont="1" applyFill="1" applyBorder="1" applyAlignment="1" applyProtection="1">
      <alignment horizontal="center" vertical="center" wrapText="1"/>
    </xf>
    <xf numFmtId="220" fontId="1" fillId="2" borderId="0" xfId="20208" applyFont="1" applyFill="1" applyBorder="1" applyAlignment="1" applyProtection="1">
      <alignment vertical="center"/>
      <protection locked="0"/>
    </xf>
    <xf numFmtId="220" fontId="2" fillId="2" borderId="0" xfId="26224" applyFont="1" applyFill="1" applyAlignment="1" applyProtection="1">
      <alignment vertical="center"/>
      <protection locked="0"/>
    </xf>
    <xf numFmtId="220" fontId="1" fillId="0" borderId="1" xfId="4563" applyFont="1" applyFill="1" applyBorder="1" applyAlignment="1" applyProtection="1">
      <alignment horizontal="left" vertical="center" wrapText="1"/>
      <protection locked="0"/>
    </xf>
    <xf numFmtId="220" fontId="1" fillId="0" borderId="1" xfId="4563" applyFont="1" applyFill="1" applyBorder="1" applyAlignment="1" applyProtection="1">
      <alignment horizontal="center" vertical="center" wrapText="1"/>
      <protection locked="0"/>
    </xf>
    <xf numFmtId="10" fontId="1" fillId="2" borderId="1" xfId="55" applyNumberFormat="1" applyFont="1" applyFill="1" applyBorder="1" applyAlignment="1" applyProtection="1">
      <alignment horizontal="center" vertical="center" wrapText="1"/>
    </xf>
    <xf numFmtId="220" fontId="1" fillId="2" borderId="0" xfId="4563" applyFont="1" applyFill="1" applyBorder="1" applyAlignment="1" applyProtection="1">
      <alignment horizontal="center" vertical="center" wrapText="1"/>
      <protection locked="0"/>
    </xf>
    <xf numFmtId="43" fontId="1" fillId="0" borderId="0" xfId="20208" applyNumberFormat="1" applyFont="1" applyFill="1" applyBorder="1" applyAlignment="1" applyProtection="1">
      <alignment horizontal="right" vertical="center" shrinkToFit="1"/>
      <protection locked="0"/>
    </xf>
    <xf numFmtId="43" fontId="1" fillId="0" borderId="0" xfId="39" applyFont="1" applyFill="1" applyBorder="1" applyAlignment="1" applyProtection="1">
      <alignment horizontal="justify" vertical="center" shrinkToFit="1"/>
      <protection locked="0"/>
    </xf>
    <xf numFmtId="220" fontId="1" fillId="2" borderId="0" xfId="26225" applyFont="1" applyFill="1" applyAlignment="1" applyProtection="1">
      <alignment vertical="center"/>
      <protection locked="0"/>
    </xf>
    <xf numFmtId="220" fontId="57" fillId="2" borderId="0" xfId="9147" applyFont="1" applyFill="1" applyAlignment="1" applyProtection="1">
      <alignment horizontal="left" vertical="center" shrinkToFit="1"/>
      <protection locked="0" hidden="1"/>
    </xf>
    <xf numFmtId="220" fontId="1" fillId="2" borderId="0" xfId="9147" applyFont="1" applyFill="1" applyAlignment="1" applyProtection="1">
      <alignment vertical="center"/>
      <protection locked="0"/>
    </xf>
    <xf numFmtId="220" fontId="1" fillId="2" borderId="1" xfId="9147" applyFont="1" applyFill="1" applyBorder="1" applyAlignment="1" applyProtection="1">
      <alignment horizontal="center" vertical="center" wrapText="1"/>
      <protection locked="0"/>
    </xf>
    <xf numFmtId="220" fontId="1" fillId="2" borderId="1" xfId="26225" applyFont="1" applyFill="1" applyBorder="1" applyAlignment="1" applyProtection="1">
      <alignment horizontal="justify" vertical="center" wrapText="1"/>
      <protection locked="0"/>
    </xf>
    <xf numFmtId="220" fontId="1" fillId="0" borderId="0" xfId="20208" applyFont="1" applyFill="1" applyBorder="1" applyAlignment="1" applyProtection="1">
      <alignment vertical="center"/>
      <protection locked="0"/>
    </xf>
    <xf numFmtId="220" fontId="2" fillId="2" borderId="0" xfId="9147" applyFont="1" applyFill="1" applyAlignment="1" applyProtection="1">
      <alignment vertical="center"/>
      <protection locked="0"/>
    </xf>
    <xf numFmtId="43" fontId="1" fillId="2" borderId="1" xfId="9147" applyNumberFormat="1" applyFont="1" applyFill="1" applyBorder="1" applyAlignment="1" applyProtection="1">
      <alignment horizontal="right" vertical="center" shrinkToFit="1"/>
    </xf>
    <xf numFmtId="43" fontId="1" fillId="2" borderId="0" xfId="9147" applyNumberFormat="1" applyFont="1" applyFill="1" applyBorder="1" applyAlignment="1" applyProtection="1">
      <alignment horizontal="right" vertical="center" shrinkToFit="1"/>
    </xf>
    <xf numFmtId="220" fontId="1" fillId="2" borderId="0" xfId="9147" applyFont="1" applyFill="1" applyBorder="1" applyAlignment="1" applyProtection="1">
      <alignment horizontal="center" vertical="center" wrapText="1"/>
      <protection locked="0"/>
    </xf>
    <xf numFmtId="43" fontId="1" fillId="2" borderId="0" xfId="9147" applyNumberFormat="1" applyFont="1" applyFill="1" applyBorder="1" applyAlignment="1" applyProtection="1">
      <alignment horizontal="right" vertical="center" shrinkToFit="1"/>
      <protection locked="0"/>
    </xf>
    <xf numFmtId="43" fontId="24" fillId="2" borderId="0" xfId="9147" applyNumberFormat="1" applyFont="1" applyFill="1" applyBorder="1" applyAlignment="1" applyProtection="1">
      <alignment horizontal="right" vertical="center" shrinkToFit="1"/>
      <protection locked="0"/>
    </xf>
    <xf numFmtId="220" fontId="57" fillId="2" borderId="0" xfId="4563" applyFont="1" applyFill="1" applyAlignment="1" applyProtection="1">
      <alignment horizontal="left" vertical="center" shrinkToFit="1"/>
      <protection locked="0" hidden="1"/>
    </xf>
    <xf numFmtId="220" fontId="1" fillId="2" borderId="0" xfId="4563" applyFont="1" applyFill="1" applyAlignment="1" applyProtection="1">
      <alignment horizontal="left" vertical="center"/>
      <protection locked="0"/>
    </xf>
    <xf numFmtId="220" fontId="1" fillId="2" borderId="0" xfId="4563" applyFont="1" applyFill="1" applyAlignment="1" applyProtection="1">
      <alignment vertical="center"/>
      <protection locked="0"/>
    </xf>
    <xf numFmtId="220" fontId="1" fillId="0" borderId="1" xfId="4563" applyNumberFormat="1" applyFont="1" applyFill="1" applyBorder="1" applyAlignment="1" applyProtection="1">
      <alignment horizontal="left" vertical="center" wrapText="1"/>
      <protection locked="0"/>
    </xf>
    <xf numFmtId="220" fontId="1" fillId="2" borderId="0" xfId="26204" applyFont="1" applyFill="1" applyBorder="1" applyAlignment="1" applyProtection="1">
      <alignment vertical="center"/>
      <protection locked="0"/>
    </xf>
    <xf numFmtId="43" fontId="1" fillId="2" borderId="0" xfId="35297" applyNumberFormat="1" applyFont="1" applyFill="1" applyBorder="1" applyAlignment="1" applyProtection="1">
      <alignment horizontal="right" vertical="center" shrinkToFit="1"/>
    </xf>
    <xf numFmtId="43" fontId="1" fillId="0" borderId="0" xfId="9147" applyNumberFormat="1" applyFont="1" applyFill="1" applyBorder="1" applyAlignment="1" applyProtection="1">
      <alignment horizontal="right" vertical="center" shrinkToFit="1"/>
      <protection locked="0"/>
    </xf>
    <xf numFmtId="220" fontId="57" fillId="2" borderId="0" xfId="26185" applyFont="1" applyFill="1" applyAlignment="1" applyProtection="1">
      <alignment horizontal="left" vertical="center" shrinkToFit="1"/>
      <protection locked="0" hidden="1"/>
    </xf>
    <xf numFmtId="220" fontId="1" fillId="2" borderId="0" xfId="26185" applyNumberFormat="1" applyFont="1" applyFill="1" applyAlignment="1" applyProtection="1">
      <alignment horizontal="left" vertical="center" wrapText="1"/>
      <protection locked="0"/>
    </xf>
    <xf numFmtId="220" fontId="1" fillId="2" borderId="0" xfId="26185" applyFont="1" applyFill="1" applyAlignment="1" applyProtection="1">
      <alignment vertical="center"/>
      <protection locked="0"/>
    </xf>
    <xf numFmtId="220" fontId="1" fillId="2" borderId="1" xfId="26185" applyNumberFormat="1" applyFont="1" applyFill="1" applyBorder="1" applyAlignment="1" applyProtection="1">
      <alignment horizontal="center" vertical="center" wrapText="1"/>
      <protection locked="0"/>
    </xf>
    <xf numFmtId="43" fontId="1" fillId="2" borderId="1" xfId="35297" applyFont="1" applyFill="1" applyBorder="1" applyAlignment="1" applyProtection="1">
      <alignment horizontal="left" vertical="center" wrapText="1"/>
      <protection locked="0"/>
    </xf>
    <xf numFmtId="43" fontId="1" fillId="10" borderId="1" xfId="39" applyFont="1" applyFill="1" applyBorder="1" applyAlignment="1" applyProtection="1">
      <alignment horizontal="left" vertical="center" wrapText="1"/>
    </xf>
    <xf numFmtId="43" fontId="1" fillId="0" borderId="1" xfId="35297" applyFont="1" applyFill="1" applyBorder="1" applyAlignment="1" applyProtection="1">
      <alignment horizontal="left" vertical="center" wrapText="1"/>
      <protection locked="0"/>
    </xf>
    <xf numFmtId="220" fontId="1" fillId="2" borderId="1" xfId="26185" applyFont="1" applyFill="1" applyBorder="1" applyAlignment="1" applyProtection="1">
      <alignment horizontal="center" vertical="center" wrapText="1"/>
      <protection locked="0"/>
    </xf>
    <xf numFmtId="43" fontId="1" fillId="2" borderId="1" xfId="35297" applyFont="1" applyFill="1" applyBorder="1" applyAlignment="1" applyProtection="1">
      <alignment horizontal="right" vertical="center" wrapText="1"/>
      <protection locked="0"/>
    </xf>
    <xf numFmtId="220" fontId="1" fillId="0" borderId="1" xfId="14678" applyFont="1" applyFill="1" applyBorder="1" applyAlignment="1" applyProtection="1">
      <alignment horizontal="justify" wrapText="1"/>
      <protection locked="0"/>
    </xf>
    <xf numFmtId="220" fontId="1" fillId="2" borderId="14" xfId="26185" applyNumberFormat="1" applyFont="1" applyFill="1" applyBorder="1" applyAlignment="1" applyProtection="1">
      <alignment horizontal="center" vertical="center" wrapText="1"/>
      <protection locked="0"/>
    </xf>
    <xf numFmtId="220" fontId="1" fillId="2" borderId="34" xfId="26185" applyNumberFormat="1" applyFont="1" applyFill="1" applyBorder="1" applyAlignment="1" applyProtection="1">
      <alignment horizontal="center" vertical="center" wrapText="1"/>
      <protection locked="0"/>
    </xf>
    <xf numFmtId="43" fontId="1" fillId="2" borderId="1" xfId="35297" applyFont="1" applyFill="1" applyBorder="1" applyAlignment="1" applyProtection="1">
      <alignment horizontal="center" vertical="center" wrapText="1"/>
      <protection locked="0"/>
    </xf>
    <xf numFmtId="43" fontId="1" fillId="2" borderId="1" xfId="35297" applyFont="1" applyFill="1" applyBorder="1" applyAlignment="1" applyProtection="1">
      <alignment horizontal="right" vertical="center" wrapText="1"/>
    </xf>
    <xf numFmtId="220" fontId="1" fillId="2" borderId="0" xfId="25216" applyFont="1" applyFill="1" applyAlignment="1" applyProtection="1">
      <alignment vertical="center"/>
      <protection locked="0"/>
    </xf>
    <xf numFmtId="220" fontId="57" fillId="2" borderId="0" xfId="1444" applyFont="1" applyFill="1" applyAlignment="1" applyProtection="1">
      <alignment horizontal="left" vertical="center" shrinkToFit="1"/>
      <protection locked="0" hidden="1"/>
    </xf>
    <xf numFmtId="43" fontId="1" fillId="2" borderId="0" xfId="39" applyFont="1" applyFill="1" applyAlignment="1" applyProtection="1">
      <alignment horizontal="left" vertical="center" wrapText="1"/>
      <protection locked="0"/>
    </xf>
    <xf numFmtId="220" fontId="1" fillId="2" borderId="1" xfId="1444" applyNumberFormat="1" applyFont="1" applyFill="1" applyBorder="1" applyAlignment="1" applyProtection="1">
      <alignment horizontal="center" vertical="center" wrapText="1"/>
      <protection locked="0"/>
    </xf>
    <xf numFmtId="220" fontId="1" fillId="11" borderId="0" xfId="1444" applyFont="1" applyFill="1" applyAlignment="1" applyProtection="1">
      <alignment horizontal="left" vertical="center"/>
      <protection locked="0"/>
    </xf>
    <xf numFmtId="220" fontId="1" fillId="2" borderId="1" xfId="1444" applyNumberFormat="1" applyFont="1" applyFill="1" applyBorder="1" applyAlignment="1" applyProtection="1">
      <alignment horizontal="left" vertical="center" wrapText="1"/>
      <protection locked="0"/>
    </xf>
    <xf numFmtId="220" fontId="1" fillId="2" borderId="0" xfId="1444" applyFont="1" applyFill="1" applyAlignment="1" applyProtection="1">
      <alignment horizontal="left" vertical="center"/>
      <protection locked="0"/>
    </xf>
    <xf numFmtId="220" fontId="1" fillId="11" borderId="0" xfId="1444" applyFont="1" applyFill="1" applyAlignment="1" applyProtection="1">
      <alignment horizontal="left" vertical="center"/>
    </xf>
    <xf numFmtId="220" fontId="1" fillId="2" borderId="0" xfId="1444" applyNumberFormat="1" applyFont="1" applyFill="1" applyBorder="1" applyAlignment="1" applyProtection="1">
      <alignment horizontal="center" vertical="center" wrapText="1"/>
      <protection locked="0"/>
    </xf>
    <xf numFmtId="43" fontId="1" fillId="2" borderId="1" xfId="13027" applyNumberFormat="1" applyFont="1" applyFill="1" applyBorder="1" applyAlignment="1" applyProtection="1">
      <alignment horizontal="center" vertical="center" shrinkToFit="1"/>
      <protection locked="0"/>
    </xf>
    <xf numFmtId="43" fontId="2" fillId="0" borderId="1" xfId="13027" applyNumberFormat="1" applyFont="1" applyFill="1" applyBorder="1" applyAlignment="1" applyProtection="1">
      <alignment horizontal="left" vertical="center" shrinkToFit="1"/>
      <protection locked="0"/>
    </xf>
    <xf numFmtId="43" fontId="1" fillId="2" borderId="1" xfId="13027" applyNumberFormat="1" applyFont="1" applyFill="1" applyBorder="1" applyAlignment="1" applyProtection="1">
      <alignment horizontal="right" vertical="center" shrinkToFit="1"/>
    </xf>
    <xf numFmtId="43" fontId="1" fillId="2" borderId="0" xfId="13027" applyNumberFormat="1" applyFont="1" applyFill="1" applyBorder="1" applyAlignment="1" applyProtection="1">
      <alignment horizontal="right" vertical="center" shrinkToFit="1"/>
    </xf>
    <xf numFmtId="43" fontId="1" fillId="2" borderId="0" xfId="13027" applyNumberFormat="1" applyFont="1" applyFill="1" applyBorder="1" applyAlignment="1" applyProtection="1">
      <alignment horizontal="left" vertical="center" shrinkToFit="1"/>
      <protection locked="0"/>
    </xf>
    <xf numFmtId="43" fontId="1" fillId="2" borderId="0" xfId="13027" applyNumberFormat="1" applyFont="1" applyFill="1" applyBorder="1" applyAlignment="1" applyProtection="1">
      <alignment horizontal="right" vertical="center" shrinkToFit="1"/>
      <protection locked="0"/>
    </xf>
    <xf numFmtId="43" fontId="2" fillId="2" borderId="0" xfId="1444" applyNumberFormat="1" applyFont="1" applyFill="1" applyAlignment="1" applyProtection="1">
      <alignment horizontal="left" vertical="center"/>
      <protection locked="0"/>
    </xf>
    <xf numFmtId="220" fontId="69" fillId="2" borderId="0" xfId="26230" applyFont="1" applyFill="1" applyAlignment="1" applyProtection="1">
      <alignment horizontal="left" vertical="center" shrinkToFit="1"/>
      <protection locked="0" hidden="1"/>
    </xf>
    <xf numFmtId="220" fontId="70" fillId="6" borderId="0" xfId="49" applyFill="1" applyAlignment="1" applyProtection="1">
      <protection locked="0"/>
    </xf>
    <xf numFmtId="43" fontId="1" fillId="2" borderId="0" xfId="9147" applyNumberFormat="1" applyFont="1" applyFill="1" applyAlignment="1" applyProtection="1">
      <alignment vertical="center"/>
      <protection locked="0"/>
    </xf>
    <xf numFmtId="43" fontId="1" fillId="2" borderId="0" xfId="1444" applyNumberFormat="1" applyFont="1" applyFill="1" applyAlignment="1" applyProtection="1">
      <alignment horizontal="left" vertical="center"/>
      <protection locked="0"/>
    </xf>
    <xf numFmtId="43" fontId="1" fillId="2" borderId="0" xfId="39" applyFont="1" applyFill="1" applyBorder="1" applyAlignment="1" applyProtection="1">
      <alignment horizontal="left" vertical="center"/>
      <protection locked="0"/>
    </xf>
    <xf numFmtId="43" fontId="1" fillId="6" borderId="0" xfId="39" applyFont="1" applyFill="1" applyBorder="1" applyAlignment="1" applyProtection="1">
      <alignment horizontal="left" vertical="center"/>
      <protection locked="0"/>
    </xf>
    <xf numFmtId="43" fontId="2" fillId="2" borderId="1" xfId="13027" applyNumberFormat="1" applyFont="1" applyFill="1" applyBorder="1" applyAlignment="1" applyProtection="1">
      <alignment horizontal="center" vertical="center" shrinkToFit="1"/>
      <protection locked="0"/>
    </xf>
    <xf numFmtId="43" fontId="1" fillId="5" borderId="1" xfId="13027" applyNumberFormat="1" applyFont="1" applyFill="1" applyBorder="1" applyAlignment="1" applyProtection="1">
      <alignment horizontal="center" vertical="center" shrinkToFit="1"/>
      <protection locked="0"/>
    </xf>
    <xf numFmtId="220" fontId="2" fillId="2" borderId="1" xfId="14678" applyFont="1" applyFill="1" applyBorder="1" applyAlignment="1" applyProtection="1">
      <protection locked="0"/>
    </xf>
    <xf numFmtId="43" fontId="1" fillId="12" borderId="1" xfId="39" applyNumberFormat="1" applyFont="1" applyFill="1" applyBorder="1" applyAlignment="1" applyProtection="1">
      <alignment horizontal="right" vertical="center" shrinkToFit="1"/>
    </xf>
    <xf numFmtId="43" fontId="1" fillId="2" borderId="1" xfId="39" applyFont="1" applyFill="1" applyBorder="1" applyAlignment="1" applyProtection="1">
      <alignment horizontal="left" vertical="center"/>
    </xf>
    <xf numFmtId="43" fontId="1" fillId="0" borderId="1" xfId="39" applyNumberFormat="1" applyFont="1" applyFill="1" applyBorder="1" applyAlignment="1" applyProtection="1">
      <alignment horizontal="left" vertical="center" shrinkToFit="1"/>
      <protection locked="0"/>
    </xf>
    <xf numFmtId="220" fontId="23" fillId="23" borderId="1" xfId="14678" applyFont="1" applyFill="1" applyBorder="1" applyAlignment="1" applyProtection="1">
      <alignment horizontal="left"/>
      <protection locked="0"/>
    </xf>
    <xf numFmtId="43" fontId="60" fillId="2" borderId="1" xfId="39" applyFont="1" applyFill="1" applyBorder="1" applyAlignment="1" applyProtection="1">
      <alignment horizontal="left" vertical="center"/>
    </xf>
    <xf numFmtId="43" fontId="1" fillId="12" borderId="1" xfId="39" applyFont="1" applyFill="1" applyBorder="1" applyAlignment="1" applyProtection="1">
      <alignment horizontal="left" vertical="center"/>
    </xf>
    <xf numFmtId="220" fontId="1" fillId="0" borderId="1" xfId="1444" applyFont="1" applyFill="1" applyBorder="1" applyAlignment="1" applyProtection="1">
      <alignment horizontal="left" vertical="center"/>
      <protection locked="0"/>
    </xf>
    <xf numFmtId="220" fontId="1" fillId="2" borderId="0" xfId="1444" applyFont="1" applyFill="1" applyAlignment="1" applyProtection="1">
      <alignment horizontal="left" vertical="center"/>
    </xf>
    <xf numFmtId="43" fontId="13" fillId="2" borderId="1" xfId="39" applyFont="1" applyFill="1" applyBorder="1" applyAlignment="1" applyProtection="1">
      <alignment horizontal="center" vertical="center"/>
      <protection locked="0"/>
    </xf>
    <xf numFmtId="43" fontId="1" fillId="2" borderId="0" xfId="39" applyFont="1" applyFill="1" applyBorder="1" applyAlignment="1" applyProtection="1">
      <alignment horizontal="left" vertical="center"/>
    </xf>
    <xf numFmtId="220" fontId="61" fillId="2" borderId="0" xfId="1444" applyFont="1" applyFill="1" applyAlignment="1" applyProtection="1">
      <alignment horizontal="left" vertical="center" shrinkToFit="1"/>
      <protection locked="0" hidden="1"/>
    </xf>
    <xf numFmtId="220" fontId="14" fillId="6" borderId="0" xfId="49" applyFont="1" applyFill="1" applyAlignment="1" applyProtection="1">
      <protection locked="0"/>
    </xf>
    <xf numFmtId="220" fontId="2" fillId="2" borderId="1" xfId="14678" applyFont="1" applyFill="1" applyBorder="1" applyAlignment="1" applyProtection="1">
      <alignment horizontal="left"/>
      <protection locked="0"/>
    </xf>
    <xf numFmtId="220" fontId="20" fillId="23" borderId="1" xfId="14678" applyFont="1" applyFill="1" applyBorder="1" applyAlignment="1" applyProtection="1">
      <alignment horizontal="left"/>
      <protection locked="0"/>
    </xf>
    <xf numFmtId="43" fontId="1" fillId="23" borderId="1" xfId="39" applyNumberFormat="1" applyFont="1" applyFill="1" applyBorder="1" applyAlignment="1" applyProtection="1">
      <alignment horizontal="right" vertical="center" shrinkToFit="1"/>
    </xf>
    <xf numFmtId="220" fontId="2" fillId="0" borderId="1" xfId="14678" applyFont="1" applyFill="1" applyBorder="1" applyAlignment="1" applyProtection="1">
      <alignment horizontal="left"/>
      <protection locked="0"/>
    </xf>
    <xf numFmtId="220" fontId="20" fillId="0" borderId="1" xfId="14678" applyFont="1" applyFill="1" applyBorder="1" applyAlignment="1" applyProtection="1">
      <alignment horizontal="center"/>
      <protection locked="0"/>
    </xf>
    <xf numFmtId="220" fontId="1" fillId="2" borderId="1" xfId="1444" applyFont="1" applyFill="1" applyBorder="1" applyAlignment="1" applyProtection="1">
      <alignment horizontal="left" vertical="center"/>
      <protection locked="0"/>
    </xf>
    <xf numFmtId="10" fontId="1" fillId="2" borderId="0" xfId="55" applyNumberFormat="1" applyFont="1" applyFill="1" applyBorder="1" applyAlignment="1" applyProtection="1">
      <alignment horizontal="center" vertical="center"/>
      <protection locked="0"/>
    </xf>
    <xf numFmtId="220" fontId="1" fillId="2" borderId="0" xfId="1444" applyFont="1" applyFill="1" applyBorder="1" applyAlignment="1" applyProtection="1">
      <alignment horizontal="left" vertical="center"/>
      <protection locked="0"/>
    </xf>
    <xf numFmtId="220" fontId="22" fillId="2" borderId="1" xfId="14678" applyFont="1" applyFill="1" applyBorder="1" applyAlignment="1" applyProtection="1">
      <protection locked="0"/>
    </xf>
    <xf numFmtId="43" fontId="2" fillId="2" borderId="0" xfId="39" applyFont="1" applyFill="1" applyBorder="1" applyAlignment="1" applyProtection="1">
      <alignment horizontal="left" vertical="center"/>
      <protection locked="0"/>
    </xf>
    <xf numFmtId="43" fontId="1" fillId="0" borderId="1" xfId="39" applyNumberFormat="1" applyFont="1" applyFill="1" applyBorder="1" applyAlignment="1" applyProtection="1">
      <alignment horizontal="center" vertical="center" shrinkToFit="1"/>
      <protection locked="0"/>
    </xf>
    <xf numFmtId="43" fontId="20" fillId="2" borderId="0" xfId="39" applyFont="1" applyFill="1" applyBorder="1" applyAlignment="1" applyProtection="1">
      <alignment horizontal="left" vertical="center"/>
      <protection locked="0"/>
    </xf>
    <xf numFmtId="220" fontId="1" fillId="2" borderId="0" xfId="8027" applyFont="1" applyFill="1" applyAlignment="1" applyProtection="1">
      <alignment vertical="center"/>
      <protection locked="0"/>
    </xf>
    <xf numFmtId="220" fontId="57" fillId="2" borderId="0" xfId="24037" applyFont="1" applyFill="1" applyAlignment="1" applyProtection="1">
      <alignment horizontal="left" vertical="center" shrinkToFit="1"/>
      <protection locked="0" hidden="1"/>
    </xf>
    <xf numFmtId="220" fontId="1" fillId="2" borderId="0" xfId="26187" applyFont="1" applyFill="1" applyAlignment="1" applyProtection="1">
      <alignment vertical="center"/>
      <protection locked="0"/>
    </xf>
    <xf numFmtId="220" fontId="1" fillId="2" borderId="1" xfId="26187" applyNumberFormat="1" applyFont="1" applyFill="1" applyBorder="1" applyAlignment="1" applyProtection="1">
      <alignment horizontal="center" vertical="center" wrapText="1"/>
      <protection locked="0"/>
    </xf>
    <xf numFmtId="220" fontId="22" fillId="2" borderId="0" xfId="8027" applyFont="1" applyFill="1" applyAlignment="1" applyProtection="1">
      <alignment horizontal="left" vertical="center" shrinkToFit="1"/>
      <protection locked="0"/>
    </xf>
    <xf numFmtId="220" fontId="1" fillId="2" borderId="1" xfId="26187" applyNumberFormat="1" applyFont="1" applyFill="1" applyBorder="1" applyAlignment="1" applyProtection="1">
      <alignment horizontal="left" vertical="center" wrapText="1"/>
      <protection locked="0"/>
    </xf>
    <xf numFmtId="220" fontId="1" fillId="2" borderId="0" xfId="26187" applyNumberFormat="1" applyFont="1" applyFill="1" applyBorder="1" applyAlignment="1" applyProtection="1">
      <alignment horizontal="center" vertical="center" wrapText="1"/>
      <protection locked="0"/>
    </xf>
    <xf numFmtId="220" fontId="1" fillId="2" borderId="0" xfId="5120" applyFont="1" applyFill="1" applyAlignment="1" applyProtection="1">
      <alignment vertical="center"/>
      <protection locked="0"/>
    </xf>
    <xf numFmtId="220" fontId="57" fillId="2" borderId="0" xfId="13027" applyFont="1" applyFill="1" applyAlignment="1" applyProtection="1">
      <alignment horizontal="left" vertical="center" shrinkToFit="1"/>
      <protection locked="0" hidden="1"/>
    </xf>
    <xf numFmtId="220" fontId="20" fillId="2" borderId="0" xfId="14678" applyFont="1" applyFill="1" applyAlignment="1" applyProtection="1">
      <alignment vertical="center"/>
      <protection locked="0"/>
    </xf>
    <xf numFmtId="220" fontId="1" fillId="0" borderId="1" xfId="14678" applyFont="1" applyFill="1" applyBorder="1" applyAlignment="1" applyProtection="1">
      <alignment horizontal="left" vertical="center" wrapText="1"/>
      <protection locked="0"/>
    </xf>
    <xf numFmtId="43" fontId="1" fillId="5" borderId="1" xfId="39" applyFont="1" applyFill="1" applyBorder="1" applyAlignment="1" applyProtection="1">
      <alignment horizontal="left" vertical="center" wrapText="1"/>
      <protection locked="0"/>
    </xf>
    <xf numFmtId="220" fontId="1" fillId="2" borderId="0" xfId="13027" applyFont="1" applyFill="1" applyAlignment="1" applyProtection="1">
      <alignment vertical="center"/>
      <protection locked="0"/>
    </xf>
    <xf numFmtId="43" fontId="1" fillId="2" borderId="0" xfId="14678" applyNumberFormat="1" applyFont="1" applyFill="1" applyBorder="1" applyAlignment="1" applyProtection="1">
      <alignment horizontal="center" vertical="center" wrapText="1"/>
    </xf>
    <xf numFmtId="220" fontId="1" fillId="2" borderId="0" xfId="14678" applyFont="1" applyFill="1" applyBorder="1" applyAlignment="1" applyProtection="1">
      <alignment horizontal="center" vertical="center" wrapText="1"/>
      <protection locked="0"/>
    </xf>
    <xf numFmtId="220" fontId="1" fillId="2" borderId="0" xfId="14678" applyFont="1" applyFill="1" applyAlignment="1" applyProtection="1">
      <alignment horizontal="center" vertical="top" wrapText="1"/>
      <protection locked="0"/>
    </xf>
    <xf numFmtId="220" fontId="22" fillId="2" borderId="0" xfId="14678" applyFont="1" applyFill="1" applyAlignment="1" applyProtection="1">
      <protection locked="0"/>
    </xf>
    <xf numFmtId="220" fontId="1" fillId="0" borderId="0" xfId="13027" applyFont="1" applyFill="1" applyAlignment="1" applyProtection="1">
      <alignment vertical="center"/>
      <protection locked="0"/>
    </xf>
    <xf numFmtId="220" fontId="1" fillId="0" borderId="0" xfId="8027" applyFont="1" applyFill="1" applyAlignment="1" applyProtection="1">
      <alignment vertical="center"/>
      <protection locked="0"/>
    </xf>
    <xf numFmtId="220" fontId="1" fillId="2" borderId="0" xfId="24803" applyFont="1" applyFill="1" applyAlignment="1" applyProtection="1">
      <alignment vertical="center"/>
      <protection locked="0"/>
    </xf>
    <xf numFmtId="220" fontId="57" fillId="2" borderId="0" xfId="3511" applyFont="1" applyFill="1" applyAlignment="1" applyProtection="1">
      <alignment horizontal="left" vertical="center" shrinkToFit="1"/>
      <protection locked="0" hidden="1"/>
    </xf>
    <xf numFmtId="220" fontId="1" fillId="2" borderId="0" xfId="11079" applyFont="1" applyFill="1" applyAlignment="1" applyProtection="1">
      <alignment vertical="center"/>
      <protection locked="0"/>
    </xf>
    <xf numFmtId="220" fontId="1" fillId="2" borderId="1" xfId="11079" applyFont="1" applyFill="1" applyBorder="1" applyAlignment="1" applyProtection="1">
      <alignment horizontal="center" vertical="center" wrapText="1"/>
      <protection locked="0"/>
    </xf>
    <xf numFmtId="220" fontId="1" fillId="2" borderId="1" xfId="11079" applyFont="1" applyFill="1" applyBorder="1" applyAlignment="1" applyProtection="1">
      <alignment horizontal="left" vertical="center" wrapText="1"/>
      <protection locked="0"/>
    </xf>
    <xf numFmtId="43" fontId="1" fillId="2" borderId="0" xfId="24803" applyNumberFormat="1" applyFont="1" applyFill="1" applyAlignment="1" applyProtection="1">
      <alignment vertical="center"/>
      <protection locked="0"/>
    </xf>
    <xf numFmtId="220" fontId="1" fillId="2" borderId="1" xfId="13027" applyFont="1" applyFill="1" applyBorder="1" applyAlignment="1" applyProtection="1">
      <alignment horizontal="center" vertical="center" wrapText="1"/>
      <protection locked="0"/>
    </xf>
    <xf numFmtId="43" fontId="1" fillId="2" borderId="0" xfId="13027" applyNumberFormat="1" applyFont="1" applyFill="1" applyAlignment="1" applyProtection="1">
      <alignment vertical="center"/>
      <protection locked="0"/>
    </xf>
    <xf numFmtId="220" fontId="1" fillId="2" borderId="1" xfId="13027" applyNumberFormat="1" applyFont="1" applyFill="1" applyBorder="1" applyAlignment="1" applyProtection="1">
      <alignment horizontal="left" vertical="center" wrapText="1"/>
      <protection locked="0"/>
    </xf>
    <xf numFmtId="220" fontId="1" fillId="2" borderId="0" xfId="13027" applyNumberFormat="1" applyFont="1" applyFill="1" applyBorder="1" applyAlignment="1" applyProtection="1">
      <alignment horizontal="left" vertical="center" wrapText="1"/>
      <protection locked="0"/>
    </xf>
    <xf numFmtId="43" fontId="13" fillId="2" borderId="1" xfId="39" applyFont="1" applyFill="1" applyBorder="1" applyAlignment="1" applyProtection="1">
      <alignment horizontal="center" vertical="center" shrinkToFit="1"/>
      <protection locked="0"/>
    </xf>
    <xf numFmtId="220" fontId="71" fillId="2" borderId="1" xfId="14678" applyFont="1" applyFill="1" applyBorder="1" applyAlignment="1" applyProtection="1">
      <alignment horizontal="justify"/>
      <protection locked="0"/>
    </xf>
    <xf numFmtId="220" fontId="72" fillId="2" borderId="1" xfId="14678" applyFont="1" applyFill="1" applyBorder="1" applyAlignment="1" applyProtection="1">
      <alignment horizontal="justify"/>
      <protection locked="0"/>
    </xf>
    <xf numFmtId="220" fontId="2" fillId="2" borderId="0" xfId="13027" applyFont="1" applyFill="1" applyAlignment="1" applyProtection="1">
      <alignment vertical="center"/>
      <protection locked="0"/>
    </xf>
    <xf numFmtId="220" fontId="72" fillId="0" borderId="1" xfId="14678" applyFont="1" applyFill="1" applyBorder="1" applyAlignment="1" applyProtection="1">
      <alignment horizontal="justify"/>
      <protection locked="0"/>
    </xf>
    <xf numFmtId="220" fontId="1" fillId="2" borderId="0" xfId="13027" applyFont="1" applyFill="1" applyAlignment="1" applyProtection="1">
      <alignment horizontal="center" vertical="center"/>
      <protection locked="0"/>
    </xf>
    <xf numFmtId="220" fontId="2" fillId="2" borderId="0" xfId="5120" applyFont="1" applyFill="1" applyAlignment="1" applyProtection="1">
      <alignment vertical="center"/>
      <protection locked="0"/>
    </xf>
    <xf numFmtId="43" fontId="59" fillId="6" borderId="1" xfId="39" applyFont="1" applyFill="1" applyBorder="1" applyAlignment="1" applyProtection="1">
      <alignment horizontal="right" vertical="center" shrinkToFit="1"/>
      <protection locked="0"/>
    </xf>
    <xf numFmtId="43" fontId="59" fillId="0" borderId="1" xfId="39" applyFont="1" applyFill="1" applyBorder="1" applyAlignment="1" applyProtection="1">
      <alignment horizontal="right" vertical="center" shrinkToFit="1"/>
      <protection locked="0"/>
    </xf>
    <xf numFmtId="43" fontId="1" fillId="0" borderId="0" xfId="39" applyFont="1" applyFill="1" applyAlignment="1" applyProtection="1">
      <alignment vertical="center"/>
    </xf>
    <xf numFmtId="220" fontId="57" fillId="2" borderId="0" xfId="26202" applyFont="1" applyFill="1" applyAlignment="1" applyProtection="1">
      <alignment vertical="center" shrinkToFit="1"/>
    </xf>
    <xf numFmtId="220" fontId="71" fillId="2" borderId="1" xfId="14678" applyFont="1" applyFill="1" applyBorder="1" applyAlignment="1" applyProtection="1">
      <alignment horizontal="left"/>
      <protection locked="0"/>
    </xf>
    <xf numFmtId="9" fontId="1" fillId="0" borderId="1" xfId="55" applyFont="1" applyFill="1" applyBorder="1" applyAlignment="1" applyProtection="1">
      <alignment horizontal="right" vertical="center" shrinkToFit="1"/>
      <protection locked="0"/>
    </xf>
    <xf numFmtId="220" fontId="13" fillId="2" borderId="1" xfId="5120" applyFont="1" applyFill="1" applyBorder="1" applyAlignment="1" applyProtection="1">
      <alignment vertical="center"/>
      <protection locked="0"/>
    </xf>
    <xf numFmtId="43" fontId="20" fillId="2" borderId="1" xfId="39" applyFont="1" applyFill="1" applyBorder="1" applyAlignment="1" applyProtection="1">
      <alignment horizontal="left" vertical="center" shrinkToFit="1"/>
      <protection locked="0"/>
    </xf>
    <xf numFmtId="9" fontId="1" fillId="0" borderId="1" xfId="39" applyNumberFormat="1" applyFont="1" applyFill="1" applyBorder="1" applyAlignment="1" applyProtection="1">
      <alignment horizontal="right" vertical="center" shrinkToFit="1"/>
      <protection locked="0"/>
    </xf>
    <xf numFmtId="220" fontId="73" fillId="2" borderId="1" xfId="14678" applyFont="1" applyFill="1" applyBorder="1" applyAlignment="1" applyProtection="1">
      <alignment horizontal="justify"/>
      <protection locked="0"/>
    </xf>
    <xf numFmtId="220" fontId="2" fillId="2" borderId="1" xfId="5120" applyFont="1" applyFill="1" applyBorder="1" applyAlignment="1" applyProtection="1">
      <alignment vertical="center"/>
      <protection locked="0"/>
    </xf>
    <xf numFmtId="220" fontId="71" fillId="2" borderId="0" xfId="14678" applyFont="1" applyFill="1" applyBorder="1" applyAlignment="1" applyProtection="1">
      <alignment horizontal="justify"/>
      <protection locked="0"/>
    </xf>
    <xf numFmtId="220" fontId="72" fillId="2" borderId="0" xfId="14678" applyFont="1" applyFill="1" applyBorder="1" applyAlignment="1" applyProtection="1">
      <alignment horizontal="justify"/>
      <protection locked="0"/>
    </xf>
    <xf numFmtId="43" fontId="72" fillId="2" borderId="0" xfId="39" applyFont="1" applyFill="1" applyBorder="1" applyAlignment="1" applyProtection="1">
      <alignment horizontal="justify"/>
      <protection locked="0"/>
    </xf>
    <xf numFmtId="43" fontId="72" fillId="2" borderId="0" xfId="39" applyFont="1" applyFill="1" applyBorder="1" applyAlignment="1" applyProtection="1">
      <protection locked="0"/>
    </xf>
    <xf numFmtId="220" fontId="72" fillId="2" borderId="1" xfId="14678" applyFont="1" applyFill="1" applyBorder="1" applyAlignment="1" applyProtection="1">
      <alignment horizontal="justify" vertical="center"/>
      <protection locked="0"/>
    </xf>
    <xf numFmtId="43" fontId="73" fillId="2" borderId="0" xfId="39" applyFont="1" applyFill="1" applyBorder="1" applyAlignment="1" applyProtection="1">
      <alignment horizontal="justify"/>
      <protection locked="0"/>
    </xf>
    <xf numFmtId="220" fontId="2" fillId="2" borderId="0" xfId="13027" applyFont="1" applyFill="1" applyAlignment="1" applyProtection="1">
      <alignment horizontal="center" vertical="center"/>
      <protection locked="0"/>
    </xf>
    <xf numFmtId="220" fontId="2" fillId="2" borderId="0" xfId="13027" applyFont="1" applyFill="1" applyAlignment="1" applyProtection="1">
      <alignment vertical="center"/>
    </xf>
    <xf numFmtId="43" fontId="1" fillId="2" borderId="0" xfId="5120" applyNumberFormat="1" applyFont="1" applyFill="1" applyAlignment="1" applyProtection="1">
      <alignment vertical="center"/>
      <protection locked="0"/>
    </xf>
    <xf numFmtId="43" fontId="72" fillId="2" borderId="0" xfId="14678" applyNumberFormat="1" applyFont="1" applyFill="1" applyBorder="1" applyAlignment="1" applyProtection="1">
      <alignment horizontal="justify"/>
      <protection locked="0"/>
    </xf>
    <xf numFmtId="220" fontId="32" fillId="2" borderId="35" xfId="26199" applyFont="1" applyFill="1" applyBorder="1" applyAlignment="1" applyProtection="1">
      <alignment horizontal="center" vertical="center" wrapText="1"/>
      <protection locked="0"/>
    </xf>
    <xf numFmtId="220" fontId="32" fillId="2" borderId="36" xfId="26199" applyFont="1" applyFill="1" applyBorder="1" applyAlignment="1" applyProtection="1">
      <alignment horizontal="center" vertical="center" wrapText="1"/>
      <protection locked="0"/>
    </xf>
    <xf numFmtId="220" fontId="32" fillId="2" borderId="37" xfId="26199" applyFont="1" applyFill="1" applyBorder="1" applyAlignment="1" applyProtection="1">
      <alignment horizontal="center" vertical="center" wrapText="1"/>
      <protection locked="0"/>
    </xf>
    <xf numFmtId="220" fontId="32" fillId="2" borderId="38" xfId="26199" applyFont="1" applyFill="1" applyBorder="1" applyAlignment="1" applyProtection="1">
      <alignment horizontal="center" vertical="center" wrapText="1"/>
      <protection locked="0"/>
    </xf>
    <xf numFmtId="220" fontId="32" fillId="2" borderId="30" xfId="26199" applyFont="1" applyFill="1" applyBorder="1" applyAlignment="1" applyProtection="1">
      <alignment horizontal="center" vertical="center" wrapText="1"/>
      <protection locked="0"/>
    </xf>
    <xf numFmtId="220" fontId="32" fillId="2" borderId="1" xfId="26199" applyFont="1" applyFill="1" applyBorder="1" applyAlignment="1" applyProtection="1">
      <alignment horizontal="center" vertical="center" wrapText="1"/>
      <protection locked="0"/>
    </xf>
    <xf numFmtId="220" fontId="32" fillId="2" borderId="39" xfId="26199" applyFont="1" applyFill="1" applyBorder="1" applyAlignment="1" applyProtection="1">
      <alignment horizontal="center" vertical="center" wrapText="1"/>
      <protection locked="0"/>
    </xf>
    <xf numFmtId="220" fontId="32" fillId="2" borderId="20" xfId="26199" applyFont="1" applyFill="1" applyBorder="1" applyAlignment="1" applyProtection="1">
      <alignment horizontal="center" vertical="center" wrapText="1"/>
      <protection locked="0"/>
    </xf>
    <xf numFmtId="220" fontId="32" fillId="2" borderId="40" xfId="26199" applyFont="1" applyFill="1" applyBorder="1" applyAlignment="1" applyProtection="1">
      <alignment horizontal="center" vertical="center" wrapText="1"/>
      <protection locked="0"/>
    </xf>
    <xf numFmtId="220" fontId="32" fillId="2" borderId="1" xfId="26199" applyFont="1" applyFill="1" applyBorder="1" applyAlignment="1" applyProtection="1">
      <alignment horizontal="center" vertical="center"/>
      <protection locked="0"/>
    </xf>
    <xf numFmtId="4" fontId="32" fillId="14" borderId="1" xfId="26199" applyNumberFormat="1" applyFont="1" applyFill="1" applyBorder="1" applyAlignment="1" applyProtection="1">
      <alignment horizontal="right" vertical="center"/>
      <protection locked="0"/>
    </xf>
    <xf numFmtId="220" fontId="32" fillId="2" borderId="41" xfId="26199" applyFont="1" applyFill="1" applyBorder="1" applyAlignment="1" applyProtection="1">
      <alignment horizontal="left" vertical="center" wrapText="1"/>
      <protection locked="0"/>
    </xf>
    <xf numFmtId="220" fontId="32" fillId="2" borderId="42" xfId="26199" applyFont="1" applyFill="1" applyBorder="1" applyAlignment="1" applyProtection="1">
      <alignment horizontal="left" vertical="center" wrapText="1"/>
      <protection locked="0"/>
    </xf>
    <xf numFmtId="220" fontId="1" fillId="2" borderId="1" xfId="14678" applyFont="1" applyFill="1" applyBorder="1" applyAlignment="1" applyProtection="1">
      <alignment horizontal="left" vertical="center" wrapText="1"/>
      <protection locked="0"/>
    </xf>
    <xf numFmtId="220" fontId="74" fillId="2" borderId="1" xfId="14678" applyFont="1" applyFill="1" applyBorder="1" applyAlignment="1" applyProtection="1">
      <alignment horizontal="center" vertical="top" wrapText="1"/>
      <protection locked="0"/>
    </xf>
    <xf numFmtId="220" fontId="20" fillId="2" borderId="0" xfId="14678" applyFont="1" applyFill="1" applyAlignment="1" applyProtection="1">
      <protection locked="0"/>
    </xf>
    <xf numFmtId="220" fontId="24" fillId="2" borderId="0" xfId="14678" applyFont="1" applyFill="1" applyProtection="1">
      <protection locked="0"/>
    </xf>
    <xf numFmtId="220" fontId="67" fillId="2" borderId="14" xfId="13027" applyFont="1" applyFill="1" applyBorder="1" applyAlignment="1" applyProtection="1">
      <alignment horizontal="center" vertical="center"/>
      <protection locked="0"/>
    </xf>
    <xf numFmtId="220" fontId="13" fillId="2" borderId="1" xfId="13027" applyFont="1" applyFill="1" applyBorder="1" applyAlignment="1" applyProtection="1">
      <alignment horizontal="center" vertical="center"/>
      <protection locked="0"/>
    </xf>
    <xf numFmtId="220" fontId="2" fillId="0" borderId="1" xfId="13027" applyFont="1" applyFill="1" applyBorder="1" applyAlignment="1" applyProtection="1">
      <alignment vertical="center"/>
      <protection locked="0"/>
    </xf>
    <xf numFmtId="220" fontId="1" fillId="0" borderId="1" xfId="13027" applyFont="1" applyFill="1" applyBorder="1" applyAlignment="1" applyProtection="1">
      <alignment vertical="center"/>
      <protection locked="0"/>
    </xf>
    <xf numFmtId="220" fontId="2" fillId="2" borderId="1" xfId="14678" applyFont="1" applyFill="1" applyBorder="1" applyAlignment="1" applyProtection="1">
      <alignment horizontal="center" vertical="center" wrapText="1"/>
      <protection locked="0"/>
    </xf>
    <xf numFmtId="220" fontId="32" fillId="2" borderId="43" xfId="26199" applyFont="1" applyFill="1" applyBorder="1" applyAlignment="1" applyProtection="1">
      <alignment horizontal="center" vertical="center" wrapText="1"/>
      <protection locked="0"/>
    </xf>
    <xf numFmtId="220" fontId="32" fillId="2" borderId="44" xfId="26199" applyFont="1" applyFill="1" applyBorder="1" applyAlignment="1" applyProtection="1">
      <alignment horizontal="center" vertical="center" wrapText="1"/>
      <protection locked="0"/>
    </xf>
    <xf numFmtId="220" fontId="32" fillId="2" borderId="14" xfId="26199" applyFont="1" applyFill="1" applyBorder="1" applyAlignment="1" applyProtection="1">
      <alignment horizontal="center" vertical="center" wrapText="1"/>
      <protection locked="0"/>
    </xf>
    <xf numFmtId="220" fontId="32" fillId="2" borderId="45" xfId="26199" applyFont="1" applyFill="1" applyBorder="1" applyAlignment="1" applyProtection="1">
      <alignment horizontal="center" vertical="center" wrapText="1"/>
      <protection locked="0"/>
    </xf>
    <xf numFmtId="220" fontId="1" fillId="2" borderId="45" xfId="5120" applyFont="1" applyFill="1" applyBorder="1" applyAlignment="1" applyProtection="1">
      <alignment vertical="center"/>
      <protection locked="0"/>
    </xf>
    <xf numFmtId="43" fontId="75" fillId="9" borderId="1" xfId="19586" applyFont="1" applyFill="1" applyBorder="1" applyAlignment="1" applyProtection="1">
      <alignment horizontal="center" vertical="center"/>
    </xf>
    <xf numFmtId="43" fontId="75" fillId="9" borderId="1" xfId="19586" applyFont="1" applyFill="1" applyBorder="1" applyAlignment="1" applyProtection="1">
      <alignment horizontal="right" vertical="center"/>
    </xf>
    <xf numFmtId="220" fontId="48" fillId="2" borderId="1" xfId="26199" applyFont="1" applyFill="1" applyBorder="1" applyAlignment="1" applyProtection="1">
      <alignment horizontal="center" vertical="center"/>
      <protection locked="0"/>
    </xf>
    <xf numFmtId="220" fontId="1" fillId="0" borderId="45" xfId="5120" applyFont="1" applyFill="1" applyBorder="1" applyAlignment="1" applyProtection="1">
      <alignment vertical="center"/>
      <protection locked="0"/>
    </xf>
    <xf numFmtId="4" fontId="32" fillId="2" borderId="1" xfId="26199" applyNumberFormat="1" applyFont="1" applyFill="1" applyBorder="1" applyAlignment="1" applyProtection="1">
      <alignment horizontal="right" vertical="center"/>
      <protection locked="0"/>
    </xf>
    <xf numFmtId="220" fontId="32" fillId="2" borderId="1" xfId="26199" applyFont="1" applyFill="1" applyBorder="1" applyAlignment="1" applyProtection="1">
      <alignment horizontal="left" vertical="center"/>
      <protection locked="0"/>
    </xf>
    <xf numFmtId="4" fontId="32" fillId="2" borderId="46" xfId="26199" applyNumberFormat="1" applyFont="1" applyFill="1" applyBorder="1" applyAlignment="1" applyProtection="1">
      <alignment horizontal="right" vertical="center"/>
    </xf>
    <xf numFmtId="220" fontId="1" fillId="0" borderId="47" xfId="5120" applyFont="1" applyFill="1" applyBorder="1" applyAlignment="1" applyProtection="1">
      <alignment vertical="center"/>
      <protection locked="0"/>
    </xf>
    <xf numFmtId="220" fontId="67" fillId="2" borderId="34" xfId="13027" applyFont="1" applyFill="1" applyBorder="1" applyAlignment="1" applyProtection="1">
      <alignment horizontal="center" vertical="center"/>
      <protection locked="0"/>
    </xf>
    <xf numFmtId="220" fontId="67" fillId="2" borderId="14" xfId="13027" applyFont="1" applyFill="1" applyBorder="1" applyAlignment="1" applyProtection="1">
      <alignment horizontal="centerContinuous" vertical="center"/>
      <protection locked="0"/>
    </xf>
    <xf numFmtId="220" fontId="23" fillId="2" borderId="34" xfId="13027" applyFont="1" applyFill="1" applyBorder="1" applyAlignment="1" applyProtection="1">
      <alignment horizontal="centerContinuous" vertical="center"/>
      <protection locked="0"/>
    </xf>
    <xf numFmtId="43" fontId="1" fillId="0" borderId="1" xfId="39" applyFont="1" applyFill="1" applyBorder="1" applyAlignment="1" applyProtection="1">
      <alignment horizontal="left" vertical="top" wrapText="1"/>
      <protection locked="0"/>
    </xf>
    <xf numFmtId="43" fontId="1" fillId="0" borderId="1" xfId="39" applyFont="1" applyFill="1" applyBorder="1" applyAlignment="1" applyProtection="1">
      <alignment horizontal="left" vertical="top" wrapText="1" indent="3"/>
      <protection locked="0"/>
    </xf>
    <xf numFmtId="220" fontId="67" fillId="2" borderId="1" xfId="13027" applyFont="1" applyFill="1" applyBorder="1" applyAlignment="1" applyProtection="1">
      <alignment horizontal="center" vertical="center"/>
      <protection locked="0"/>
    </xf>
    <xf numFmtId="220" fontId="20" fillId="2" borderId="1" xfId="13027" applyFont="1" applyFill="1" applyBorder="1" applyAlignment="1" applyProtection="1">
      <alignment horizontal="center" vertical="center"/>
      <protection locked="0"/>
    </xf>
    <xf numFmtId="220" fontId="1" fillId="2" borderId="0" xfId="14678" applyFont="1" applyFill="1" applyBorder="1" applyAlignment="1" applyProtection="1">
      <alignment horizontal="center" vertical="center"/>
      <protection locked="0"/>
    </xf>
    <xf numFmtId="220" fontId="1" fillId="2" borderId="0" xfId="13027" applyFont="1" applyFill="1" applyAlignment="1" applyProtection="1">
      <alignment horizontal="right" vertical="center"/>
      <protection locked="0"/>
    </xf>
    <xf numFmtId="43" fontId="1" fillId="2" borderId="0" xfId="39" applyFont="1" applyFill="1" applyBorder="1" applyAlignment="1" applyProtection="1">
      <alignment horizontal="center" vertical="center"/>
      <protection locked="0"/>
    </xf>
    <xf numFmtId="220" fontId="13" fillId="0" borderId="1" xfId="14678" applyFont="1" applyFill="1" applyBorder="1" applyAlignment="1" applyProtection="1">
      <alignment horizontal="center" vertical="center"/>
      <protection locked="0"/>
    </xf>
    <xf numFmtId="43" fontId="1" fillId="0" borderId="1" xfId="39" applyFont="1" applyFill="1" applyBorder="1" applyAlignment="1" applyProtection="1">
      <alignment horizontal="center" vertical="center"/>
      <protection locked="0"/>
    </xf>
    <xf numFmtId="220" fontId="1" fillId="0" borderId="0" xfId="14678" applyFont="1" applyFill="1" applyBorder="1" applyAlignment="1" applyProtection="1">
      <alignment horizontal="center" vertical="center"/>
      <protection locked="0"/>
    </xf>
    <xf numFmtId="220" fontId="1" fillId="2" borderId="0" xfId="5120" applyFont="1" applyFill="1" applyAlignment="1" applyProtection="1">
      <alignment horizontal="center" vertical="center"/>
      <protection locked="0"/>
    </xf>
    <xf numFmtId="220" fontId="2" fillId="0" borderId="0" xfId="13027" applyFont="1" applyFill="1" applyAlignment="1" applyProtection="1">
      <alignment vertical="center"/>
      <protection locked="0"/>
    </xf>
    <xf numFmtId="43" fontId="1" fillId="2" borderId="0" xfId="39" applyFont="1" applyFill="1" applyBorder="1" applyAlignment="1" applyProtection="1">
      <alignment vertical="center"/>
    </xf>
    <xf numFmtId="220" fontId="1" fillId="0" borderId="1" xfId="14678" applyFont="1" applyFill="1" applyBorder="1" applyAlignment="1" applyProtection="1">
      <alignment horizontal="center"/>
      <protection locked="0"/>
    </xf>
    <xf numFmtId="220" fontId="13" fillId="2" borderId="0" xfId="14678" applyFont="1" applyFill="1" applyAlignment="1" applyProtection="1">
      <alignment horizontal="justify"/>
      <protection locked="0"/>
    </xf>
    <xf numFmtId="220" fontId="1" fillId="2" borderId="0" xfId="14678" applyFont="1" applyFill="1" applyBorder="1" applyAlignment="1" applyProtection="1">
      <alignment horizontal="left" indent="2"/>
      <protection locked="0"/>
    </xf>
    <xf numFmtId="220" fontId="1" fillId="2" borderId="0" xfId="14678" applyFont="1" applyFill="1" applyBorder="1" applyProtection="1">
      <protection locked="0"/>
    </xf>
    <xf numFmtId="43" fontId="57" fillId="2" borderId="0" xfId="26230" applyNumberFormat="1" applyFont="1" applyFill="1" applyAlignment="1" applyProtection="1">
      <alignment horizontal="left" vertical="center" shrinkToFit="1"/>
      <protection locked="0" hidden="1"/>
    </xf>
    <xf numFmtId="43" fontId="13" fillId="2" borderId="1" xfId="39" applyFont="1" applyFill="1" applyBorder="1" applyAlignment="1" applyProtection="1">
      <alignment wrapText="1"/>
      <protection locked="0"/>
    </xf>
    <xf numFmtId="43" fontId="1" fillId="2" borderId="1" xfId="39" applyFont="1" applyFill="1" applyBorder="1" applyAlignment="1" applyProtection="1">
      <alignment horizontal="justify" wrapText="1"/>
      <protection locked="0"/>
    </xf>
    <xf numFmtId="43" fontId="1" fillId="0" borderId="1" xfId="39" applyFont="1" applyFill="1" applyBorder="1" applyAlignment="1" applyProtection="1">
      <alignment horizontal="justify" wrapText="1"/>
      <protection locked="0"/>
    </xf>
    <xf numFmtId="43" fontId="1" fillId="0" borderId="1" xfId="39" applyFont="1" applyFill="1" applyBorder="1" applyAlignment="1" applyProtection="1">
      <alignment horizontal="left" indent="2"/>
      <protection locked="0"/>
    </xf>
    <xf numFmtId="220" fontId="71" fillId="2" borderId="1" xfId="14678" applyFont="1" applyFill="1" applyBorder="1" applyAlignment="1" applyProtection="1">
      <alignment horizontal="center" wrapText="1"/>
      <protection locked="0"/>
    </xf>
    <xf numFmtId="220" fontId="72" fillId="0" borderId="1" xfId="14678" applyFont="1" applyFill="1" applyBorder="1" applyAlignment="1" applyProtection="1">
      <alignment horizontal="center" wrapText="1"/>
      <protection locked="0"/>
    </xf>
    <xf numFmtId="220" fontId="13" fillId="2" borderId="0" xfId="14678" applyFont="1" applyFill="1" applyAlignment="1" applyProtection="1">
      <alignment horizontal="left" indent="2"/>
      <protection locked="0"/>
    </xf>
    <xf numFmtId="220" fontId="1" fillId="2" borderId="0" xfId="14678" applyFont="1" applyFill="1" applyAlignment="1" applyProtection="1">
      <alignment horizontal="right" indent="15"/>
      <protection locked="0"/>
    </xf>
    <xf numFmtId="220" fontId="63" fillId="2" borderId="1" xfId="14678" applyFont="1" applyFill="1" applyBorder="1" applyAlignment="1" applyProtection="1">
      <alignment horizontal="center" wrapText="1"/>
      <protection locked="0"/>
    </xf>
    <xf numFmtId="220" fontId="60" fillId="2" borderId="1" xfId="14678" applyFont="1" applyFill="1" applyBorder="1" applyAlignment="1" applyProtection="1">
      <alignment horizontal="left" indent="2"/>
      <protection locked="0"/>
    </xf>
    <xf numFmtId="220" fontId="1" fillId="2" borderId="0" xfId="14678" applyFont="1" applyFill="1" applyAlignment="1" applyProtection="1">
      <alignment horizontal="center" wrapText="1"/>
      <protection locked="0"/>
    </xf>
    <xf numFmtId="220" fontId="18" fillId="2" borderId="1" xfId="14678" applyFont="1" applyFill="1" applyBorder="1" applyAlignment="1" applyProtection="1">
      <alignment horizontal="left" indent="2"/>
      <protection locked="0"/>
    </xf>
    <xf numFmtId="220" fontId="1" fillId="2" borderId="0" xfId="14678" applyFont="1" applyFill="1" applyAlignment="1" applyProtection="1">
      <alignment horizontal="justify"/>
      <protection locked="0"/>
    </xf>
    <xf numFmtId="220" fontId="63" fillId="2" borderId="0" xfId="14678" applyFont="1" applyFill="1" applyAlignment="1" applyProtection="1">
      <alignment horizontal="left" indent="2"/>
      <protection locked="0"/>
    </xf>
    <xf numFmtId="220" fontId="1" fillId="0" borderId="0" xfId="14678" applyFont="1" applyFill="1" applyAlignment="1" applyProtection="1">
      <alignment horizontal="left" indent="2"/>
      <protection locked="0"/>
    </xf>
    <xf numFmtId="220" fontId="1" fillId="0" borderId="0" xfId="14678" applyFont="1" applyFill="1" applyBorder="1" applyAlignment="1" applyProtection="1">
      <alignment horizontal="justify" wrapText="1"/>
      <protection locked="0"/>
    </xf>
    <xf numFmtId="220" fontId="1" fillId="0" borderId="0" xfId="14678" applyFont="1" applyFill="1" applyBorder="1" applyAlignment="1" applyProtection="1">
      <alignment horizontal="center" wrapText="1"/>
      <protection locked="0"/>
    </xf>
    <xf numFmtId="220" fontId="1" fillId="0" borderId="1" xfId="14678" applyFont="1" applyFill="1" applyBorder="1" applyAlignment="1" applyProtection="1">
      <alignment horizontal="right" vertical="top" wrapText="1"/>
      <protection locked="0"/>
    </xf>
    <xf numFmtId="220" fontId="1" fillId="0" borderId="0" xfId="14678" applyFont="1" applyFill="1" applyBorder="1" applyAlignment="1" applyProtection="1">
      <alignment horizontal="center" vertical="top" wrapText="1"/>
      <protection locked="0"/>
    </xf>
    <xf numFmtId="220" fontId="30" fillId="2" borderId="0" xfId="14678" applyFont="1" applyFill="1" applyAlignment="1" applyProtection="1">
      <alignment horizontal="left" indent="2"/>
      <protection locked="0"/>
    </xf>
    <xf numFmtId="220" fontId="13" fillId="2" borderId="0" xfId="14678" applyFont="1" applyFill="1" applyAlignment="1" applyProtection="1">
      <alignment horizontal="center"/>
      <protection locked="0"/>
    </xf>
    <xf numFmtId="220" fontId="1" fillId="2" borderId="1" xfId="14678" applyFont="1" applyFill="1" applyBorder="1" applyAlignment="1" applyProtection="1">
      <alignment horizontal="left" wrapText="1"/>
      <protection locked="0"/>
    </xf>
    <xf numFmtId="220" fontId="64" fillId="2" borderId="1" xfId="14678" applyFont="1" applyFill="1" applyBorder="1" applyAlignment="1" applyProtection="1">
      <alignment horizontal="center"/>
      <protection locked="0"/>
    </xf>
    <xf numFmtId="220" fontId="1" fillId="5" borderId="1" xfId="14678" applyFont="1" applyFill="1" applyBorder="1" applyAlignment="1" applyProtection="1">
      <alignment horizontal="center" wrapText="1"/>
      <protection locked="0"/>
    </xf>
    <xf numFmtId="220" fontId="1" fillId="5" borderId="1" xfId="14678" applyFont="1" applyFill="1" applyBorder="1" applyAlignment="1" applyProtection="1">
      <alignment horizontal="center" vertical="top" wrapText="1"/>
      <protection locked="0"/>
    </xf>
    <xf numFmtId="220" fontId="1" fillId="5" borderId="1" xfId="14678" applyFont="1" applyFill="1" applyBorder="1" applyAlignment="1" applyProtection="1">
      <alignment horizontal="justify" vertical="top" wrapText="1"/>
      <protection locked="0"/>
    </xf>
    <xf numFmtId="220" fontId="62" fillId="5" borderId="1" xfId="14678" applyFont="1" applyFill="1" applyBorder="1" applyAlignment="1" applyProtection="1">
      <alignment horizontal="center" vertical="top" wrapText="1"/>
      <protection locked="0"/>
    </xf>
    <xf numFmtId="220" fontId="62" fillId="5" borderId="1" xfId="14678" applyFont="1" applyFill="1" applyBorder="1" applyAlignment="1" applyProtection="1">
      <alignment horizontal="justify" vertical="top" wrapText="1"/>
      <protection locked="0"/>
    </xf>
    <xf numFmtId="220" fontId="62" fillId="2" borderId="1" xfId="14678" applyFont="1" applyFill="1" applyBorder="1" applyAlignment="1" applyProtection="1">
      <alignment horizontal="center" vertical="top" wrapText="1"/>
      <protection locked="0"/>
    </xf>
    <xf numFmtId="43" fontId="62" fillId="2" borderId="1" xfId="39" applyFont="1" applyFill="1" applyBorder="1" applyAlignment="1" applyProtection="1">
      <alignment horizontal="center" vertical="top" wrapText="1"/>
    </xf>
    <xf numFmtId="220" fontId="13" fillId="2" borderId="0" xfId="14678" applyFont="1" applyFill="1" applyBorder="1" applyAlignment="1" applyProtection="1">
      <alignment horizontal="center" vertical="top" wrapText="1"/>
      <protection locked="0"/>
    </xf>
    <xf numFmtId="220" fontId="13" fillId="2" borderId="48" xfId="14678" applyFont="1" applyFill="1" applyBorder="1" applyAlignment="1" applyProtection="1">
      <alignment horizontal="center" vertical="top" wrapText="1"/>
      <protection locked="0"/>
    </xf>
    <xf numFmtId="220" fontId="1" fillId="2" borderId="0" xfId="14678" applyFont="1" applyFill="1" applyAlignment="1" applyProtection="1">
      <alignment horizontal="justify" vertical="top" wrapText="1"/>
      <protection locked="0"/>
    </xf>
    <xf numFmtId="220" fontId="1" fillId="0" borderId="0" xfId="14678" applyFont="1" applyFill="1" applyAlignment="1" applyProtection="1">
      <alignment horizontal="center" vertical="top" wrapText="1"/>
      <protection locked="0"/>
    </xf>
    <xf numFmtId="220" fontId="13" fillId="2" borderId="0" xfId="14678" applyFont="1" applyFill="1" applyAlignment="1" applyProtection="1">
      <alignment horizontal="center" wrapText="1"/>
      <protection locked="0"/>
    </xf>
    <xf numFmtId="220" fontId="13" fillId="2" borderId="48" xfId="14678" applyFont="1" applyFill="1" applyBorder="1" applyAlignment="1" applyProtection="1">
      <alignment horizontal="center" wrapText="1"/>
      <protection locked="0"/>
    </xf>
    <xf numFmtId="220" fontId="1" fillId="0" borderId="0" xfId="14678" applyFont="1" applyFill="1" applyAlignment="1" applyProtection="1">
      <alignment horizontal="justify" vertical="top" wrapText="1"/>
      <protection locked="0"/>
    </xf>
    <xf numFmtId="220" fontId="56" fillId="22" borderId="0" xfId="26230" applyFont="1" applyFill="1" applyAlignment="1" applyProtection="1">
      <alignment horizontal="left" vertical="center" shrinkToFit="1"/>
      <protection locked="0" hidden="1"/>
    </xf>
    <xf numFmtId="220" fontId="76" fillId="22" borderId="0" xfId="26230" applyFont="1" applyFill="1" applyAlignment="1" applyProtection="1">
      <alignment vertical="center" shrinkToFit="1"/>
      <protection locked="0" hidden="1"/>
    </xf>
    <xf numFmtId="220" fontId="57" fillId="22" borderId="0" xfId="26230" applyFont="1" applyFill="1" applyAlignment="1" applyProtection="1">
      <alignment horizontal="left" vertical="center" shrinkToFit="1"/>
      <protection locked="0" hidden="1"/>
    </xf>
    <xf numFmtId="220" fontId="57" fillId="2" borderId="0" xfId="26230" applyFont="1" applyFill="1" applyAlignment="1" applyProtection="1">
      <alignment vertical="center"/>
      <protection locked="0"/>
    </xf>
    <xf numFmtId="4" fontId="16" fillId="25" borderId="1" xfId="0" applyNumberFormat="1" applyFont="1" applyFill="1" applyBorder="1" applyAlignment="1" applyProtection="1">
      <alignment horizontal="right" vertical="center" wrapText="1"/>
      <protection locked="0"/>
    </xf>
    <xf numFmtId="220" fontId="16" fillId="25" borderId="1" xfId="0" applyFont="1" applyFill="1" applyBorder="1" applyAlignment="1" applyProtection="1">
      <alignment horizontal="right" vertical="center" wrapText="1"/>
      <protection locked="0"/>
    </xf>
    <xf numFmtId="43" fontId="16" fillId="2" borderId="1" xfId="39" applyFont="1" applyFill="1" applyBorder="1" applyAlignment="1" applyProtection="1">
      <alignment horizontal="right" vertical="center" wrapText="1"/>
    </xf>
    <xf numFmtId="220" fontId="16" fillId="0" borderId="1" xfId="0" applyFont="1" applyFill="1" applyBorder="1" applyAlignment="1" applyProtection="1">
      <alignment horizontal="right" vertical="center" wrapText="1"/>
      <protection locked="0"/>
    </xf>
    <xf numFmtId="43" fontId="16" fillId="0" borderId="1" xfId="39" applyFont="1" applyFill="1" applyBorder="1" applyAlignment="1" applyProtection="1">
      <alignment horizontal="right" vertical="center" wrapText="1"/>
      <protection locked="0"/>
    </xf>
    <xf numFmtId="220" fontId="2" fillId="2" borderId="0" xfId="26230" applyFont="1" applyFill="1" applyAlignment="1" applyProtection="1">
      <alignment horizontal="center" vertical="center"/>
      <protection locked="0"/>
    </xf>
    <xf numFmtId="220" fontId="2" fillId="2" borderId="0" xfId="26218" applyNumberFormat="1" applyFont="1" applyFill="1" applyBorder="1" applyAlignment="1" applyProtection="1">
      <alignment vertical="center" wrapText="1"/>
      <protection locked="0"/>
    </xf>
    <xf numFmtId="43" fontId="8" fillId="0" borderId="1" xfId="0" applyNumberFormat="1" applyFont="1" applyFill="1" applyBorder="1" applyAlignment="1" applyProtection="1">
      <alignment vertical="center"/>
      <protection locked="0"/>
    </xf>
    <xf numFmtId="43" fontId="8" fillId="0" borderId="1" xfId="0" applyNumberFormat="1" applyFont="1" applyBorder="1" applyAlignment="1" applyProtection="1">
      <alignment vertical="center"/>
      <protection locked="0"/>
    </xf>
    <xf numFmtId="220" fontId="8" fillId="0" borderId="1" xfId="0" applyFont="1" applyBorder="1" applyAlignment="1" applyProtection="1">
      <alignment vertical="center"/>
      <protection locked="0"/>
    </xf>
    <xf numFmtId="43" fontId="8" fillId="0" borderId="1" xfId="39" applyFont="1" applyFill="1" applyBorder="1" applyAlignment="1" applyProtection="1">
      <alignment vertical="center"/>
      <protection locked="0"/>
    </xf>
    <xf numFmtId="43" fontId="8" fillId="0" borderId="1" xfId="39" applyFont="1" applyBorder="1" applyAlignment="1" applyProtection="1">
      <alignment vertical="center"/>
      <protection locked="0"/>
    </xf>
    <xf numFmtId="43" fontId="8" fillId="10" borderId="1" xfId="39" applyFont="1" applyFill="1" applyBorder="1" applyAlignment="1" applyProtection="1">
      <alignment vertical="center"/>
    </xf>
    <xf numFmtId="43" fontId="17" fillId="2" borderId="1" xfId="39" applyFont="1" applyFill="1" applyBorder="1" applyAlignment="1" applyProtection="1">
      <alignment horizontal="right" vertical="center" wrapText="1"/>
    </xf>
    <xf numFmtId="281" fontId="16" fillId="25" borderId="1" xfId="0" applyNumberFormat="1" applyFont="1" applyFill="1" applyBorder="1" applyAlignment="1" applyProtection="1">
      <alignment horizontal="right" vertical="center" wrapText="1"/>
      <protection locked="0"/>
    </xf>
    <xf numFmtId="281" fontId="16" fillId="0" borderId="1" xfId="0" applyNumberFormat="1" applyFont="1" applyFill="1" applyBorder="1" applyAlignment="1" applyProtection="1">
      <alignment horizontal="right" vertical="center" wrapText="1"/>
      <protection locked="0"/>
    </xf>
    <xf numFmtId="220" fontId="13" fillId="2" borderId="0" xfId="26230" applyFont="1" applyFill="1" applyAlignment="1" applyProtection="1">
      <alignment vertical="center"/>
      <protection locked="0"/>
    </xf>
    <xf numFmtId="220" fontId="1" fillId="0" borderId="0" xfId="26230" applyFont="1" applyFill="1" applyAlignment="1" applyProtection="1">
      <alignment horizontal="left" vertical="center"/>
      <protection locked="0"/>
    </xf>
    <xf numFmtId="220" fontId="1" fillId="0" borderId="0" xfId="26230" applyFont="1" applyFill="1" applyAlignment="1" applyProtection="1">
      <alignment horizontal="centerContinuous" vertical="center"/>
      <protection locked="0"/>
    </xf>
    <xf numFmtId="220" fontId="77" fillId="2" borderId="0" xfId="26202" applyFont="1" applyFill="1" applyAlignment="1" applyProtection="1">
      <alignment vertical="center" shrinkToFit="1"/>
    </xf>
    <xf numFmtId="43" fontId="1" fillId="2" borderId="16" xfId="39" applyFont="1" applyFill="1" applyBorder="1" applyAlignment="1" applyProtection="1">
      <alignment horizontal="center" vertical="center"/>
      <protection locked="0"/>
    </xf>
    <xf numFmtId="43" fontId="1" fillId="2" borderId="20" xfId="39" applyFont="1" applyFill="1" applyBorder="1" applyAlignment="1" applyProtection="1">
      <alignment horizontal="center" vertical="center"/>
      <protection locked="0"/>
    </xf>
    <xf numFmtId="43" fontId="2" fillId="2" borderId="1" xfId="39" applyFont="1" applyFill="1" applyBorder="1" applyAlignment="1" applyProtection="1">
      <alignment vertical="center"/>
      <protection locked="0"/>
    </xf>
    <xf numFmtId="220" fontId="15" fillId="0" borderId="1" xfId="0" applyFont="1" applyBorder="1" applyAlignment="1">
      <alignment horizontal="justify" vertical="center" wrapText="1"/>
    </xf>
    <xf numFmtId="220" fontId="15" fillId="0" borderId="1" xfId="0" applyFont="1" applyBorder="1" applyAlignment="1">
      <alignment horizontal="left" vertical="center" wrapText="1"/>
    </xf>
    <xf numFmtId="220" fontId="15" fillId="0" borderId="1" xfId="0" applyFont="1" applyBorder="1" applyAlignment="1">
      <alignment vertical="center" wrapText="1"/>
    </xf>
    <xf numFmtId="220" fontId="15" fillId="0" borderId="1" xfId="0" applyFont="1" applyBorder="1" applyAlignment="1">
      <alignment horizontal="center" vertical="center" wrapText="1"/>
    </xf>
    <xf numFmtId="220" fontId="15" fillId="0" borderId="1" xfId="0" applyFont="1" applyFill="1" applyBorder="1" applyAlignment="1">
      <alignment horizontal="justify" vertical="center" wrapText="1"/>
    </xf>
    <xf numFmtId="220" fontId="15" fillId="0" borderId="1" xfId="0" applyFont="1" applyFill="1" applyBorder="1" applyAlignment="1">
      <alignment horizontal="left" vertical="center" wrapText="1"/>
    </xf>
    <xf numFmtId="220" fontId="15" fillId="0" borderId="1" xfId="0" applyFont="1" applyFill="1" applyBorder="1" applyAlignment="1">
      <alignment horizontal="center" vertical="center" wrapText="1"/>
    </xf>
    <xf numFmtId="220" fontId="1" fillId="2" borderId="34" xfId="26230" applyFont="1" applyFill="1" applyBorder="1" applyAlignment="1" applyProtection="1">
      <alignment horizontal="centerContinuous" vertical="center"/>
      <protection locked="0"/>
    </xf>
    <xf numFmtId="220" fontId="1" fillId="2" borderId="1" xfId="26230" applyFont="1" applyFill="1" applyBorder="1" applyAlignment="1" applyProtection="1">
      <alignment horizontal="centerContinuous" vertical="center"/>
      <protection locked="0"/>
    </xf>
    <xf numFmtId="220" fontId="20" fillId="2" borderId="1" xfId="26230" applyFont="1" applyFill="1" applyBorder="1" applyAlignment="1" applyProtection="1">
      <alignment horizontal="left" vertical="center"/>
      <protection locked="0"/>
    </xf>
    <xf numFmtId="220" fontId="1" fillId="2" borderId="34" xfId="39" applyNumberFormat="1" applyFont="1" applyFill="1" applyBorder="1" applyAlignment="1" applyProtection="1">
      <alignment horizontal="center" vertical="center"/>
      <protection locked="0"/>
    </xf>
    <xf numFmtId="220" fontId="1" fillId="2" borderId="1" xfId="39" applyNumberFormat="1" applyFont="1" applyFill="1" applyBorder="1" applyAlignment="1" applyProtection="1">
      <alignment horizontal="center" vertical="center"/>
      <protection locked="0"/>
    </xf>
    <xf numFmtId="220" fontId="1" fillId="2" borderId="1" xfId="26230" applyFont="1" applyFill="1" applyBorder="1" applyAlignment="1" applyProtection="1">
      <alignment horizontal="left" vertical="center"/>
      <protection locked="0"/>
    </xf>
    <xf numFmtId="9" fontId="1" fillId="5" borderId="1" xfId="55" applyFont="1" applyFill="1" applyBorder="1" applyAlignment="1" applyProtection="1">
      <alignment vertical="center"/>
      <protection locked="0"/>
    </xf>
    <xf numFmtId="220" fontId="60" fillId="2" borderId="1" xfId="26230" applyFont="1" applyFill="1" applyBorder="1" applyAlignment="1" applyProtection="1">
      <alignment horizontal="left" vertical="center"/>
      <protection locked="0"/>
    </xf>
    <xf numFmtId="43" fontId="60" fillId="2" borderId="1" xfId="39" applyFont="1" applyFill="1" applyBorder="1" applyAlignment="1" applyProtection="1">
      <alignment vertical="center"/>
      <protection locked="0"/>
    </xf>
    <xf numFmtId="43" fontId="1" fillId="2" borderId="0" xfId="26230" applyNumberFormat="1" applyFont="1" applyFill="1" applyAlignment="1" applyProtection="1">
      <alignment vertical="center"/>
    </xf>
    <xf numFmtId="43" fontId="1" fillId="2" borderId="14" xfId="39" applyFont="1" applyFill="1" applyBorder="1" applyAlignment="1" applyProtection="1">
      <alignment horizontal="center" vertical="center"/>
      <protection locked="0"/>
    </xf>
    <xf numFmtId="43" fontId="1" fillId="2" borderId="34" xfId="39" applyFont="1" applyFill="1" applyBorder="1" applyAlignment="1" applyProtection="1">
      <alignment horizontal="center" vertical="center"/>
      <protection locked="0"/>
    </xf>
    <xf numFmtId="43" fontId="1" fillId="2" borderId="16" xfId="39" applyFont="1" applyFill="1" applyBorder="1" applyAlignment="1" applyProtection="1">
      <alignment horizontal="center" vertical="center" wrapText="1"/>
      <protection locked="0"/>
    </xf>
    <xf numFmtId="43" fontId="1" fillId="2" borderId="20" xfId="39" applyFont="1" applyFill="1" applyBorder="1" applyAlignment="1" applyProtection="1">
      <alignment horizontal="center" vertical="center" wrapText="1"/>
      <protection locked="0"/>
    </xf>
    <xf numFmtId="220" fontId="15" fillId="0" borderId="1" xfId="0" applyFont="1" applyFill="1" applyBorder="1" applyAlignment="1">
      <alignment horizontal="right" vertical="center" wrapText="1"/>
    </xf>
    <xf numFmtId="220" fontId="2" fillId="2" borderId="1" xfId="26230" applyFont="1" applyFill="1" applyBorder="1" applyAlignment="1" applyProtection="1">
      <alignment horizontal="center" vertical="center"/>
      <protection locked="0"/>
    </xf>
    <xf numFmtId="43" fontId="59" fillId="2" borderId="1" xfId="39" applyFont="1" applyFill="1" applyBorder="1" applyAlignment="1" applyProtection="1">
      <alignment vertical="center"/>
      <protection locked="0"/>
    </xf>
    <xf numFmtId="220" fontId="59" fillId="5" borderId="1" xfId="26230" applyFont="1" applyFill="1" applyBorder="1" applyAlignment="1" applyProtection="1">
      <alignment vertical="center"/>
      <protection locked="0"/>
    </xf>
    <xf numFmtId="220" fontId="1" fillId="2" borderId="16" xfId="26230" applyFont="1" applyFill="1" applyBorder="1" applyAlignment="1" applyProtection="1">
      <alignment horizontal="center" vertical="center"/>
      <protection locked="0"/>
    </xf>
    <xf numFmtId="220" fontId="1" fillId="5" borderId="1" xfId="26230" applyFont="1" applyFill="1" applyBorder="1" applyAlignment="1" applyProtection="1">
      <alignment vertical="center"/>
      <protection locked="0"/>
    </xf>
    <xf numFmtId="220" fontId="2" fillId="5" borderId="1" xfId="26230" applyFont="1" applyFill="1" applyBorder="1" applyAlignment="1" applyProtection="1">
      <alignment vertical="center"/>
      <protection locked="0"/>
    </xf>
    <xf numFmtId="220" fontId="1" fillId="5" borderId="14" xfId="26230" applyFont="1" applyFill="1" applyBorder="1" applyAlignment="1" applyProtection="1">
      <alignment horizontal="center" vertical="center" wrapText="1"/>
      <protection locked="0"/>
    </xf>
    <xf numFmtId="220" fontId="1" fillId="5" borderId="15" xfId="26230" applyFont="1" applyFill="1" applyBorder="1" applyAlignment="1" applyProtection="1">
      <alignment horizontal="center" vertical="center" wrapText="1"/>
      <protection locked="0"/>
    </xf>
    <xf numFmtId="220" fontId="1" fillId="2" borderId="14" xfId="26230" applyFont="1" applyFill="1" applyBorder="1" applyAlignment="1" applyProtection="1">
      <alignment horizontal="center" vertical="center"/>
      <protection locked="0"/>
    </xf>
    <xf numFmtId="220" fontId="1" fillId="2" borderId="15" xfId="26230" applyFont="1" applyFill="1" applyBorder="1" applyAlignment="1" applyProtection="1">
      <alignment horizontal="center" vertical="center"/>
      <protection locked="0"/>
    </xf>
    <xf numFmtId="220" fontId="78" fillId="0" borderId="1" xfId="0" applyFont="1" applyFill="1" applyBorder="1" applyAlignment="1">
      <alignment horizontal="right" vertical="center" wrapText="1"/>
    </xf>
    <xf numFmtId="43" fontId="78" fillId="0" borderId="1" xfId="39" applyFont="1" applyFill="1" applyBorder="1" applyAlignment="1">
      <alignment horizontal="right" vertical="center" wrapText="1"/>
    </xf>
    <xf numFmtId="220" fontId="2" fillId="0" borderId="14" xfId="26230" applyFont="1" applyFill="1" applyBorder="1" applyAlignment="1" applyProtection="1">
      <alignment horizontal="left" vertical="center"/>
      <protection locked="0"/>
    </xf>
    <xf numFmtId="220" fontId="2" fillId="0" borderId="15" xfId="26230" applyFont="1" applyFill="1" applyBorder="1" applyAlignment="1" applyProtection="1">
      <alignment horizontal="left" vertical="center"/>
      <protection locked="0"/>
    </xf>
    <xf numFmtId="43" fontId="20" fillId="2" borderId="1" xfId="39" applyFont="1" applyFill="1" applyBorder="1" applyAlignment="1" applyProtection="1">
      <alignment horizontal="center" vertical="center" shrinkToFit="1"/>
      <protection locked="0"/>
    </xf>
    <xf numFmtId="220" fontId="1" fillId="5" borderId="34" xfId="26230" applyFont="1" applyFill="1" applyBorder="1" applyAlignment="1" applyProtection="1">
      <alignment horizontal="center" vertical="center" wrapText="1"/>
      <protection locked="0"/>
    </xf>
    <xf numFmtId="220" fontId="1" fillId="2" borderId="49" xfId="26230" applyFont="1" applyFill="1" applyBorder="1" applyAlignment="1" applyProtection="1">
      <alignment horizontal="center" vertical="center"/>
      <protection locked="0"/>
    </xf>
    <xf numFmtId="220" fontId="1" fillId="2" borderId="5" xfId="26230" applyFont="1" applyFill="1" applyBorder="1" applyAlignment="1" applyProtection="1">
      <alignment horizontal="center" vertical="center"/>
      <protection locked="0"/>
    </xf>
    <xf numFmtId="220" fontId="1" fillId="2" borderId="7" xfId="26230" applyFont="1" applyFill="1" applyBorder="1" applyAlignment="1" applyProtection="1">
      <alignment horizontal="center" vertical="center"/>
      <protection locked="0"/>
    </xf>
    <xf numFmtId="43" fontId="1" fillId="2" borderId="34" xfId="39" applyFont="1" applyFill="1" applyBorder="1" applyAlignment="1" applyProtection="1">
      <alignment vertical="center"/>
      <protection locked="0"/>
    </xf>
    <xf numFmtId="220" fontId="2" fillId="0" borderId="34" xfId="26230" applyFont="1" applyFill="1" applyBorder="1" applyAlignment="1" applyProtection="1">
      <alignment horizontal="left" vertical="center"/>
      <protection locked="0"/>
    </xf>
    <xf numFmtId="220" fontId="13" fillId="2" borderId="1" xfId="10364" applyNumberFormat="1" applyFont="1" applyFill="1" applyBorder="1" applyAlignment="1" applyProtection="1">
      <alignment horizontal="center" vertical="center" wrapText="1"/>
      <protection locked="0"/>
    </xf>
    <xf numFmtId="265" fontId="49" fillId="26" borderId="0" xfId="23261" applyNumberFormat="1" applyFont="1" applyFill="1" applyAlignment="1" applyProtection="1">
      <alignment vertical="center"/>
      <protection locked="0"/>
    </xf>
    <xf numFmtId="220" fontId="79" fillId="26" borderId="0" xfId="23261" applyFont="1" applyFill="1" applyAlignment="1" applyProtection="1">
      <alignment horizontal="center" vertical="center"/>
      <protection locked="0"/>
    </xf>
    <xf numFmtId="220" fontId="80" fillId="26" borderId="0" xfId="23261" applyFont="1" applyFill="1" applyBorder="1" applyAlignment="1" applyProtection="1">
      <alignment horizontal="left" vertical="center" shrinkToFit="1"/>
      <protection locked="0"/>
    </xf>
    <xf numFmtId="220" fontId="80" fillId="26" borderId="0" xfId="23261" applyFont="1" applyFill="1" applyBorder="1" applyAlignment="1" applyProtection="1">
      <alignment horizontal="left" vertical="center"/>
      <protection locked="0"/>
    </xf>
    <xf numFmtId="220" fontId="42" fillId="26" borderId="0" xfId="23261" applyFont="1" applyFill="1" applyAlignment="1" applyProtection="1">
      <alignment vertical="center"/>
      <protection locked="0"/>
    </xf>
    <xf numFmtId="220" fontId="80" fillId="26" borderId="2" xfId="23261" applyFont="1" applyFill="1" applyBorder="1" applyAlignment="1" applyProtection="1">
      <alignment horizontal="left" vertical="center"/>
      <protection locked="0"/>
    </xf>
    <xf numFmtId="220" fontId="80" fillId="26" borderId="2" xfId="23261" applyFont="1" applyFill="1" applyBorder="1" applyAlignment="1" applyProtection="1">
      <alignment horizontal="left" vertical="center" shrinkToFit="1"/>
      <protection locked="0"/>
    </xf>
    <xf numFmtId="220" fontId="46" fillId="26" borderId="50" xfId="35566" applyNumberFormat="1" applyFont="1" applyFill="1" applyBorder="1" applyAlignment="1" applyProtection="1">
      <alignment horizontal="center" vertical="center" shrinkToFit="1"/>
      <protection locked="0"/>
    </xf>
    <xf numFmtId="220" fontId="46" fillId="26" borderId="51" xfId="23261" applyNumberFormat="1" applyFont="1" applyFill="1" applyBorder="1" applyAlignment="1" applyProtection="1">
      <alignment horizontal="center" vertical="center"/>
      <protection locked="0"/>
    </xf>
    <xf numFmtId="220" fontId="46" fillId="26" borderId="52" xfId="23261" applyNumberFormat="1" applyFont="1" applyFill="1" applyBorder="1" applyAlignment="1" applyProtection="1">
      <alignment horizontal="center" vertical="center" wrapText="1"/>
      <protection locked="0"/>
    </xf>
    <xf numFmtId="220" fontId="46" fillId="26" borderId="4" xfId="23261" applyNumberFormat="1" applyFont="1" applyFill="1" applyBorder="1" applyAlignment="1" applyProtection="1">
      <alignment horizontal="center" vertical="center"/>
      <protection locked="0"/>
    </xf>
    <xf numFmtId="220" fontId="46" fillId="26" borderId="5" xfId="23261" applyNumberFormat="1" applyFont="1" applyFill="1" applyBorder="1" applyAlignment="1" applyProtection="1">
      <alignment horizontal="center" vertical="center"/>
      <protection locked="0"/>
    </xf>
    <xf numFmtId="220" fontId="42" fillId="0" borderId="0" xfId="23261" applyFont="1" applyFill="1" applyAlignment="1" applyProtection="1">
      <alignment horizontal="center" vertical="center"/>
      <protection locked="0"/>
    </xf>
    <xf numFmtId="220" fontId="46" fillId="26" borderId="53" xfId="35566" applyNumberFormat="1" applyFont="1" applyFill="1" applyBorder="1" applyAlignment="1" applyProtection="1">
      <alignment horizontal="center" vertical="center" shrinkToFit="1"/>
      <protection locked="0"/>
    </xf>
    <xf numFmtId="220" fontId="46" fillId="26" borderId="33" xfId="23261" applyNumberFormat="1" applyFont="1" applyFill="1" applyBorder="1" applyAlignment="1" applyProtection="1">
      <alignment horizontal="center" vertical="center"/>
      <protection locked="0"/>
    </xf>
    <xf numFmtId="220" fontId="46" fillId="26" borderId="32" xfId="23261" applyNumberFormat="1" applyFont="1" applyFill="1" applyBorder="1" applyAlignment="1" applyProtection="1">
      <alignment horizontal="center" vertical="center" wrapText="1"/>
      <protection locked="0"/>
    </xf>
    <xf numFmtId="220" fontId="46" fillId="26" borderId="24" xfId="23261" applyNumberFormat="1" applyFont="1" applyFill="1" applyBorder="1" applyAlignment="1" applyProtection="1">
      <alignment vertical="center"/>
      <protection locked="0"/>
    </xf>
    <xf numFmtId="220" fontId="46" fillId="26" borderId="24" xfId="23261" applyNumberFormat="1" applyFont="1" applyFill="1" applyBorder="1" applyAlignment="1" applyProtection="1">
      <alignment horizontal="center" vertical="center" wrapText="1"/>
      <protection locked="0"/>
    </xf>
    <xf numFmtId="220" fontId="46" fillId="26" borderId="11" xfId="23261" applyNumberFormat="1" applyFont="1" applyFill="1" applyBorder="1" applyAlignment="1" applyProtection="1">
      <alignment horizontal="center" vertical="center" wrapText="1"/>
      <protection locked="0"/>
    </xf>
    <xf numFmtId="220" fontId="46" fillId="26" borderId="54" xfId="35566" applyNumberFormat="1" applyFont="1" applyFill="1" applyBorder="1" applyAlignment="1" applyProtection="1">
      <alignment horizontal="center" vertical="center" shrinkToFit="1"/>
      <protection locked="0"/>
    </xf>
    <xf numFmtId="220" fontId="42" fillId="26" borderId="29" xfId="35566" applyNumberFormat="1" applyFont="1" applyFill="1" applyBorder="1" applyAlignment="1" applyProtection="1">
      <alignment horizontal="center" vertical="center"/>
      <protection locked="0"/>
    </xf>
    <xf numFmtId="220" fontId="42" fillId="26" borderId="13" xfId="35566" applyNumberFormat="1" applyFont="1" applyFill="1" applyBorder="1" applyAlignment="1" applyProtection="1">
      <alignment horizontal="center" vertical="center"/>
      <protection locked="0"/>
    </xf>
    <xf numFmtId="220" fontId="81" fillId="26" borderId="17" xfId="35566" applyNumberFormat="1" applyFont="1" applyFill="1" applyBorder="1" applyAlignment="1" applyProtection="1">
      <alignment horizontal="left" vertical="center" shrinkToFit="1"/>
      <protection locked="0"/>
    </xf>
    <xf numFmtId="43" fontId="42" fillId="26" borderId="55" xfId="35566" applyFont="1" applyFill="1" applyBorder="1" applyAlignment="1" applyProtection="1">
      <alignment horizontal="right" vertical="center"/>
      <protection locked="0"/>
    </xf>
    <xf numFmtId="43" fontId="42" fillId="26" borderId="56" xfId="35566" applyFont="1" applyFill="1" applyBorder="1" applyAlignment="1" applyProtection="1">
      <alignment horizontal="right" vertical="center"/>
      <protection locked="0"/>
    </xf>
    <xf numFmtId="220" fontId="45" fillId="0" borderId="0" xfId="23261" applyFont="1" applyFill="1" applyAlignment="1" applyProtection="1">
      <alignment horizontal="center" vertical="center"/>
      <protection locked="0"/>
    </xf>
    <xf numFmtId="220" fontId="42" fillId="26" borderId="57" xfId="35566" applyNumberFormat="1" applyFont="1" applyFill="1" applyBorder="1" applyAlignment="1" applyProtection="1">
      <alignment horizontal="left" vertical="center" shrinkToFit="1"/>
      <protection locked="0"/>
    </xf>
    <xf numFmtId="43" fontId="42" fillId="26" borderId="58" xfId="35566" applyFont="1" applyFill="1" applyBorder="1" applyAlignment="1" applyProtection="1">
      <alignment horizontal="right" vertical="center" shrinkToFit="1"/>
      <protection locked="0"/>
    </xf>
    <xf numFmtId="10" fontId="42" fillId="26" borderId="58" xfId="55" applyNumberFormat="1" applyFont="1" applyFill="1" applyBorder="1" applyAlignment="1" applyProtection="1">
      <alignment horizontal="right" vertical="center" shrinkToFit="1"/>
      <protection locked="0"/>
    </xf>
    <xf numFmtId="43" fontId="42" fillId="26" borderId="58" xfId="35566" applyFont="1" applyFill="1" applyBorder="1" applyAlignment="1" applyProtection="1">
      <alignment horizontal="right" vertical="center" shrinkToFit="1"/>
    </xf>
    <xf numFmtId="10" fontId="42" fillId="26" borderId="58" xfId="55" applyNumberFormat="1" applyFont="1" applyFill="1" applyBorder="1" applyAlignment="1" applyProtection="1">
      <alignment horizontal="right" vertical="center"/>
      <protection hidden="1"/>
    </xf>
    <xf numFmtId="220" fontId="46" fillId="6" borderId="59" xfId="35566" applyNumberFormat="1" applyFont="1" applyFill="1" applyBorder="1" applyAlignment="1" applyProtection="1">
      <alignment horizontal="left" vertical="center" wrapText="1"/>
      <protection locked="0"/>
    </xf>
    <xf numFmtId="220" fontId="45" fillId="0" borderId="0" xfId="23261" applyFont="1" applyFill="1" applyAlignment="1" applyProtection="1">
      <alignment vertical="center"/>
      <protection locked="0"/>
    </xf>
    <xf numFmtId="220" fontId="42" fillId="5" borderId="59" xfId="35566" applyNumberFormat="1" applyFont="1" applyFill="1" applyBorder="1" applyAlignment="1" applyProtection="1">
      <alignment horizontal="left" vertical="center" wrapText="1"/>
      <protection locked="0"/>
    </xf>
    <xf numFmtId="220" fontId="46" fillId="26" borderId="57" xfId="35566" applyNumberFormat="1" applyFont="1" applyFill="1" applyBorder="1" applyAlignment="1" applyProtection="1">
      <alignment horizontal="left" vertical="center" shrinkToFit="1"/>
      <protection locked="0"/>
    </xf>
    <xf numFmtId="220" fontId="81" fillId="26" borderId="57" xfId="35566" applyNumberFormat="1" applyFont="1" applyFill="1" applyBorder="1" applyAlignment="1" applyProtection="1">
      <alignment horizontal="left" vertical="center" shrinkToFit="1"/>
      <protection locked="0"/>
    </xf>
    <xf numFmtId="220" fontId="5" fillId="5" borderId="59" xfId="35566" applyNumberFormat="1" applyFont="1" applyFill="1" applyBorder="1" applyAlignment="1" applyProtection="1">
      <alignment horizontal="left" vertical="center" wrapText="1"/>
      <protection locked="0"/>
    </xf>
    <xf numFmtId="220" fontId="46" fillId="26" borderId="57" xfId="35566" applyNumberFormat="1" applyFont="1" applyFill="1" applyBorder="1" applyAlignment="1" applyProtection="1">
      <alignment horizontal="center" vertical="center" shrinkToFit="1"/>
      <protection locked="0"/>
    </xf>
    <xf numFmtId="220" fontId="42" fillId="6" borderId="59" xfId="35566" applyNumberFormat="1" applyFont="1" applyFill="1" applyBorder="1" applyAlignment="1" applyProtection="1">
      <alignment horizontal="left" vertical="center" wrapText="1"/>
      <protection locked="0"/>
    </xf>
    <xf numFmtId="220" fontId="80" fillId="0" borderId="0" xfId="39" applyNumberFormat="1" applyFont="1" applyAlignment="1">
      <alignment wrapText="1"/>
    </xf>
    <xf numFmtId="43" fontId="42" fillId="0" borderId="0" xfId="39" applyFont="1" applyFill="1" applyAlignment="1" applyProtection="1">
      <alignment vertical="center"/>
      <protection locked="0"/>
    </xf>
    <xf numFmtId="220" fontId="5" fillId="6" borderId="59" xfId="35566" applyNumberFormat="1" applyFont="1" applyFill="1" applyBorder="1" applyAlignment="1" applyProtection="1">
      <alignment horizontal="left" vertical="center" wrapText="1"/>
      <protection locked="0"/>
    </xf>
    <xf numFmtId="43" fontId="46" fillId="26" borderId="57" xfId="35566" applyFont="1" applyFill="1" applyBorder="1" applyAlignment="1" applyProtection="1">
      <alignment horizontal="left" vertical="center" shrinkToFit="1"/>
      <protection locked="0"/>
    </xf>
    <xf numFmtId="43" fontId="42" fillId="5" borderId="56" xfId="35566" applyFont="1" applyFill="1" applyBorder="1" applyAlignment="1" applyProtection="1">
      <alignment horizontal="left" vertical="center" wrapText="1"/>
      <protection locked="0"/>
    </xf>
    <xf numFmtId="43" fontId="42" fillId="26" borderId="60" xfId="35566" applyFont="1" applyFill="1" applyBorder="1" applyAlignment="1" applyProtection="1">
      <alignment horizontal="left" vertical="center" shrinkToFit="1"/>
      <protection locked="0"/>
    </xf>
    <xf numFmtId="43" fontId="42" fillId="26" borderId="29" xfId="35566" applyFont="1" applyFill="1" applyBorder="1" applyAlignment="1" applyProtection="1">
      <alignment horizontal="right" vertical="center" shrinkToFit="1"/>
      <protection locked="0"/>
    </xf>
    <xf numFmtId="10" fontId="42" fillId="26" borderId="29" xfId="55" applyNumberFormat="1" applyFont="1" applyFill="1" applyBorder="1" applyAlignment="1" applyProtection="1">
      <alignment horizontal="right" vertical="center" shrinkToFit="1"/>
      <protection locked="0"/>
    </xf>
    <xf numFmtId="10" fontId="42" fillId="26" borderId="29" xfId="55" applyNumberFormat="1" applyFont="1" applyFill="1" applyBorder="1" applyAlignment="1" applyProtection="1">
      <alignment horizontal="right" vertical="center"/>
      <protection locked="0"/>
    </xf>
    <xf numFmtId="43" fontId="42" fillId="5" borderId="13" xfId="35566" applyFont="1" applyFill="1" applyBorder="1" applyAlignment="1" applyProtection="1">
      <alignment horizontal="right" vertical="center"/>
      <protection locked="0"/>
    </xf>
    <xf numFmtId="43" fontId="46" fillId="26" borderId="14" xfId="35566" applyFont="1" applyFill="1" applyBorder="1" applyAlignment="1" applyProtection="1">
      <alignment horizontal="center" vertical="center"/>
      <protection locked="0"/>
    </xf>
    <xf numFmtId="43" fontId="46" fillId="26" borderId="61" xfId="35566" applyFont="1" applyFill="1" applyBorder="1" applyAlignment="1" applyProtection="1">
      <alignment horizontal="center" vertical="center"/>
      <protection locked="0"/>
    </xf>
    <xf numFmtId="43" fontId="46" fillId="26" borderId="62" xfId="35566" applyFont="1" applyFill="1" applyBorder="1" applyAlignment="1" applyProtection="1">
      <alignment horizontal="center" vertical="center"/>
      <protection locked="0"/>
    </xf>
    <xf numFmtId="43" fontId="46" fillId="26" borderId="17" xfId="35566" applyFont="1" applyFill="1" applyBorder="1" applyAlignment="1" applyProtection="1">
      <alignment horizontal="left" vertical="center"/>
      <protection locked="0"/>
    </xf>
    <xf numFmtId="43" fontId="46" fillId="26" borderId="57" xfId="35566" applyFont="1" applyFill="1" applyBorder="1" applyAlignment="1" applyProtection="1">
      <alignment horizontal="left" vertical="center"/>
      <protection locked="0"/>
    </xf>
    <xf numFmtId="43" fontId="42" fillId="26" borderId="58" xfId="35566" applyFont="1" applyFill="1" applyBorder="1" applyAlignment="1" applyProtection="1">
      <alignment horizontal="left" vertical="center" shrinkToFit="1"/>
      <protection locked="0"/>
    </xf>
    <xf numFmtId="43" fontId="42" fillId="26" borderId="59" xfId="35566" applyFont="1" applyFill="1" applyBorder="1" applyAlignment="1" applyProtection="1">
      <alignment horizontal="right" vertical="center"/>
      <protection locked="0"/>
    </xf>
    <xf numFmtId="43" fontId="82" fillId="26" borderId="58" xfId="35566" applyFont="1" applyFill="1" applyBorder="1" applyAlignment="1" applyProtection="1">
      <alignment horizontal="left" vertical="center" wrapText="1"/>
      <protection locked="0"/>
    </xf>
    <xf numFmtId="43" fontId="42" fillId="26" borderId="58" xfId="39" applyFont="1" applyFill="1" applyBorder="1" applyAlignment="1" applyProtection="1">
      <alignment horizontal="right" vertical="center" shrinkToFit="1"/>
      <protection locked="0"/>
    </xf>
    <xf numFmtId="43" fontId="46" fillId="26" borderId="60" xfId="35566" applyFont="1" applyFill="1" applyBorder="1" applyAlignment="1" applyProtection="1">
      <alignment horizontal="left" vertical="center"/>
      <protection locked="0"/>
    </xf>
    <xf numFmtId="43" fontId="42" fillId="26" borderId="29" xfId="35566" applyFont="1" applyFill="1" applyBorder="1" applyAlignment="1" applyProtection="1">
      <alignment horizontal="left" vertical="center" shrinkToFit="1"/>
      <protection locked="0"/>
    </xf>
    <xf numFmtId="43" fontId="42" fillId="26" borderId="13" xfId="35566" applyFont="1" applyFill="1" applyBorder="1" applyAlignment="1" applyProtection="1">
      <alignment horizontal="right" vertical="center"/>
      <protection locked="0"/>
    </xf>
    <xf numFmtId="220" fontId="42" fillId="26" borderId="4" xfId="0" applyFont="1" applyFill="1" applyBorder="1" applyAlignment="1" applyProtection="1">
      <alignment vertical="center" wrapText="1"/>
      <protection locked="0"/>
    </xf>
    <xf numFmtId="220" fontId="42" fillId="26" borderId="4" xfId="0" applyFont="1" applyFill="1" applyBorder="1" applyAlignment="1" applyProtection="1">
      <alignment vertical="center"/>
      <protection locked="0"/>
    </xf>
    <xf numFmtId="220" fontId="23" fillId="23" borderId="0" xfId="0" applyFont="1" applyFill="1" applyAlignment="1">
      <alignment wrapText="1"/>
    </xf>
    <xf numFmtId="220" fontId="20" fillId="23" borderId="0" xfId="0" applyFont="1" applyFill="1" applyAlignment="1">
      <alignment horizontal="center"/>
    </xf>
    <xf numFmtId="220" fontId="13" fillId="23" borderId="0" xfId="0" applyFont="1" applyFill="1" applyAlignment="1">
      <alignment wrapText="1"/>
    </xf>
    <xf numFmtId="220" fontId="2" fillId="23" borderId="0" xfId="0" applyFont="1" applyFill="1" applyAlignment="1">
      <alignment wrapText="1"/>
    </xf>
    <xf numFmtId="220" fontId="1" fillId="23" borderId="0" xfId="0" applyFont="1" applyFill="1" applyAlignment="1">
      <alignment horizontal="center" wrapText="1"/>
    </xf>
    <xf numFmtId="220" fontId="1" fillId="23" borderId="0" xfId="0" applyFont="1" applyFill="1"/>
    <xf numFmtId="220" fontId="1" fillId="0" borderId="0" xfId="0" applyFont="1" applyFill="1" applyProtection="1">
      <protection locked="0"/>
    </xf>
    <xf numFmtId="220" fontId="1" fillId="23" borderId="0" xfId="0" applyFont="1" applyFill="1" applyAlignment="1">
      <alignment wrapText="1"/>
    </xf>
    <xf numFmtId="220" fontId="2" fillId="23" borderId="0" xfId="0" applyFont="1" applyFill="1" applyAlignment="1">
      <alignment horizontal="center" wrapText="1"/>
    </xf>
    <xf numFmtId="220" fontId="1" fillId="23" borderId="0" xfId="0" applyFont="1" applyFill="1" applyAlignment="1">
      <alignment horizontal="left" wrapText="1"/>
    </xf>
    <xf numFmtId="10" fontId="1" fillId="23" borderId="0" xfId="0" applyNumberFormat="1" applyFont="1" applyFill="1"/>
    <xf numFmtId="220" fontId="20" fillId="23" borderId="0" xfId="0" applyFont="1" applyFill="1" applyAlignment="1">
      <alignment wrapText="1"/>
    </xf>
    <xf numFmtId="220" fontId="2" fillId="0" borderId="0" xfId="0" applyFont="1" applyFill="1" applyProtection="1">
      <protection locked="0"/>
    </xf>
    <xf numFmtId="43" fontId="1" fillId="23" borderId="0" xfId="0" applyNumberFormat="1" applyFont="1" applyFill="1"/>
    <xf numFmtId="43" fontId="1" fillId="23" borderId="0" xfId="0" applyNumberFormat="1" applyFont="1" applyFill="1" applyAlignment="1">
      <alignment wrapText="1"/>
    </xf>
    <xf numFmtId="43" fontId="1" fillId="23" borderId="0" xfId="39" applyFont="1" applyFill="1"/>
    <xf numFmtId="220" fontId="2" fillId="0" borderId="0" xfId="0" applyFont="1" applyFill="1" applyAlignment="1" applyProtection="1">
      <alignment vertical="center"/>
      <protection locked="0"/>
    </xf>
    <xf numFmtId="220" fontId="1" fillId="11" borderId="0" xfId="0" applyFont="1" applyFill="1" applyAlignment="1">
      <alignment wrapText="1"/>
    </xf>
    <xf numFmtId="220" fontId="2" fillId="0" borderId="17" xfId="49" applyFont="1" applyFill="1" applyBorder="1" applyAlignment="1" applyProtection="1">
      <alignment horizontal="center" vertical="center"/>
      <protection locked="0"/>
    </xf>
    <xf numFmtId="220" fontId="5" fillId="0" borderId="0" xfId="14678" applyFont="1" applyProtection="1">
      <protection locked="0"/>
    </xf>
    <xf numFmtId="220" fontId="2" fillId="27" borderId="0" xfId="49" applyFont="1" applyFill="1" applyAlignment="1" applyProtection="1">
      <alignment horizontal="center" vertical="center"/>
      <protection locked="0"/>
    </xf>
    <xf numFmtId="220" fontId="2" fillId="0" borderId="0" xfId="49" applyFont="1" applyFill="1" applyAlignment="1" applyProtection="1">
      <alignment horizontal="center" vertical="center"/>
      <protection locked="0"/>
    </xf>
    <xf numFmtId="220" fontId="83" fillId="28" borderId="0" xfId="0" applyFont="1" applyFill="1" applyProtection="1">
      <protection locked="0"/>
    </xf>
    <xf numFmtId="220" fontId="83" fillId="28" borderId="0" xfId="0" applyFont="1" applyFill="1" applyAlignment="1" applyProtection="1">
      <alignment shrinkToFit="1"/>
      <protection locked="0"/>
    </xf>
    <xf numFmtId="220" fontId="4" fillId="3" borderId="0" xfId="14678" applyFont="1" applyFill="1" applyAlignment="1">
      <alignment horizontal="center"/>
    </xf>
    <xf numFmtId="43" fontId="3" fillId="0" borderId="0" xfId="39" applyFont="1" applyAlignment="1" applyProtection="1">
      <alignment horizontal="center"/>
      <protection locked="0"/>
    </xf>
    <xf numFmtId="220" fontId="3" fillId="4" borderId="0" xfId="0" applyFont="1" applyFill="1" applyAlignment="1" applyProtection="1">
      <alignment horizontal="center"/>
      <protection locked="0"/>
    </xf>
    <xf numFmtId="220" fontId="5" fillId="0" borderId="0" xfId="0" applyFont="1" applyProtection="1">
      <protection locked="0"/>
    </xf>
    <xf numFmtId="43" fontId="3" fillId="23" borderId="0" xfId="0" applyNumberFormat="1" applyFont="1" applyFill="1" applyBorder="1" applyAlignment="1" applyProtection="1">
      <alignment vertical="center" shrinkToFit="1"/>
      <protection locked="0"/>
    </xf>
    <xf numFmtId="43" fontId="5" fillId="23" borderId="0" xfId="0" applyNumberFormat="1" applyFont="1" applyFill="1" applyBorder="1" applyAlignment="1" applyProtection="1">
      <alignment vertical="center" shrinkToFit="1"/>
      <protection locked="0"/>
    </xf>
    <xf numFmtId="43" fontId="5" fillId="3" borderId="0" xfId="39" applyFont="1" applyFill="1" applyProtection="1"/>
    <xf numFmtId="220" fontId="3" fillId="23" borderId="0" xfId="0" applyFont="1" applyFill="1" applyBorder="1" applyAlignment="1" applyProtection="1">
      <alignment shrinkToFit="1"/>
      <protection locked="0"/>
    </xf>
    <xf numFmtId="220" fontId="5" fillId="23" borderId="0" xfId="0" applyFont="1" applyFill="1" applyBorder="1" applyAlignment="1" applyProtection="1">
      <alignment vertical="center" shrinkToFit="1"/>
      <protection locked="0"/>
    </xf>
    <xf numFmtId="43" fontId="4" fillId="23" borderId="0" xfId="39" applyFont="1" applyFill="1" applyBorder="1" applyAlignment="1" applyProtection="1">
      <alignment shrinkToFit="1"/>
      <protection locked="0"/>
    </xf>
    <xf numFmtId="220" fontId="5" fillId="0" borderId="0" xfId="0" applyFont="1" applyAlignment="1" applyProtection="1">
      <alignment horizontal="left"/>
      <protection locked="0"/>
    </xf>
    <xf numFmtId="43" fontId="6" fillId="0" borderId="0" xfId="39" applyFont="1" applyProtection="1"/>
    <xf numFmtId="220" fontId="5" fillId="4" borderId="0" xfId="0" applyFont="1" applyFill="1" applyProtection="1">
      <protection locked="0"/>
    </xf>
    <xf numFmtId="43" fontId="5" fillId="18" borderId="0" xfId="39" applyFont="1" applyFill="1" applyProtection="1">
      <protection locked="0"/>
    </xf>
    <xf numFmtId="43" fontId="5" fillId="18" borderId="0" xfId="39" applyFont="1" applyFill="1" applyBorder="1" applyAlignment="1" applyProtection="1">
      <alignment wrapText="1"/>
      <protection locked="0"/>
    </xf>
    <xf numFmtId="43" fontId="5" fillId="18" borderId="0" xfId="39" applyFont="1" applyFill="1" applyBorder="1" applyAlignment="1" applyProtection="1">
      <alignment shrinkToFit="1"/>
      <protection locked="0"/>
    </xf>
    <xf numFmtId="43" fontId="5" fillId="0" borderId="0" xfId="39" applyFont="1" applyProtection="1">
      <protection locked="0"/>
    </xf>
    <xf numFmtId="220" fontId="5" fillId="23" borderId="0" xfId="0" applyFont="1" applyFill="1" applyBorder="1" applyAlignment="1" applyProtection="1">
      <alignment horizontal="center" vertical="center" shrinkToFit="1"/>
      <protection locked="0"/>
    </xf>
    <xf numFmtId="43" fontId="5" fillId="0" borderId="0" xfId="39" applyFont="1" applyBorder="1" applyAlignment="1" applyProtection="1">
      <alignment shrinkToFit="1"/>
      <protection locked="0"/>
    </xf>
    <xf numFmtId="220" fontId="5" fillId="18" borderId="0" xfId="14678" applyFont="1" applyFill="1" applyProtection="1">
      <protection locked="0"/>
    </xf>
    <xf numFmtId="43" fontId="6" fillId="0" borderId="0" xfId="39" applyFont="1" applyProtection="1">
      <protection locked="0"/>
    </xf>
    <xf numFmtId="43" fontId="5" fillId="23" borderId="0" xfId="39" applyFont="1" applyFill="1" applyBorder="1" applyAlignment="1" applyProtection="1">
      <alignment vertical="center" shrinkToFit="1"/>
      <protection locked="0"/>
    </xf>
    <xf numFmtId="43" fontId="3" fillId="23" borderId="0" xfId="39" applyFont="1" applyFill="1" applyBorder="1" applyAlignment="1" applyProtection="1">
      <alignment shrinkToFit="1"/>
      <protection locked="0"/>
    </xf>
    <xf numFmtId="220" fontId="4" fillId="3" borderId="0" xfId="0" applyFont="1" applyFill="1" applyAlignment="1" applyProtection="1">
      <alignment horizontal="center"/>
      <protection locked="0"/>
    </xf>
    <xf numFmtId="43" fontId="5" fillId="23" borderId="0" xfId="39" applyFont="1" applyFill="1" applyBorder="1" applyAlignment="1" applyProtection="1">
      <alignment shrinkToFit="1"/>
      <protection locked="0"/>
    </xf>
    <xf numFmtId="43" fontId="5" fillId="6" borderId="0" xfId="39" applyFont="1" applyFill="1" applyProtection="1">
      <protection locked="0"/>
    </xf>
    <xf numFmtId="43" fontId="5" fillId="0" borderId="0" xfId="39" applyFont="1" applyProtection="1"/>
    <xf numFmtId="43" fontId="5" fillId="0" borderId="0" xfId="0" applyNumberFormat="1" applyFont="1" applyProtection="1">
      <protection locked="0"/>
    </xf>
    <xf numFmtId="43" fontId="5" fillId="23" borderId="0" xfId="39" applyFont="1" applyFill="1" applyBorder="1" applyAlignment="1" applyProtection="1">
      <alignment horizontal="center" vertical="center" shrinkToFit="1"/>
      <protection locked="0"/>
    </xf>
    <xf numFmtId="43" fontId="5" fillId="4" borderId="0" xfId="39" applyFont="1" applyFill="1" applyProtection="1">
      <protection locked="0"/>
    </xf>
    <xf numFmtId="10" fontId="46" fillId="26" borderId="16" xfId="55" applyNumberFormat="1" applyFont="1" applyFill="1" applyBorder="1" applyAlignment="1">
      <alignment horizontal="center" vertical="center" shrinkToFit="1"/>
    </xf>
    <xf numFmtId="10" fontId="46" fillId="26" borderId="16" xfId="55" applyNumberFormat="1" applyFont="1" applyFill="1" applyBorder="1" applyAlignment="1">
      <alignment horizontal="center" vertical="center" wrapText="1" shrinkToFit="1"/>
    </xf>
    <xf numFmtId="10" fontId="46" fillId="26" borderId="1" xfId="55" applyNumberFormat="1" applyFont="1" applyFill="1" applyBorder="1" applyAlignment="1">
      <alignment horizontal="right" vertical="center" shrinkToFit="1"/>
    </xf>
    <xf numFmtId="10" fontId="46" fillId="26" borderId="3" xfId="55" applyNumberFormat="1" applyFont="1" applyFill="1" applyBorder="1" applyAlignment="1">
      <alignment horizontal="center" vertical="center" shrinkToFit="1"/>
    </xf>
    <xf numFmtId="10" fontId="46" fillId="26" borderId="20" xfId="55" applyNumberFormat="1" applyFont="1" applyFill="1" applyBorder="1" applyAlignment="1">
      <alignment horizontal="center" vertical="center" shrinkToFit="1"/>
    </xf>
    <xf numFmtId="10" fontId="46" fillId="26" borderId="20" xfId="55" applyNumberFormat="1" applyFont="1" applyFill="1" applyBorder="1" applyAlignment="1">
      <alignment horizontal="center" vertical="center" wrapText="1" shrinkToFit="1"/>
    </xf>
    <xf numFmtId="10" fontId="46" fillId="26" borderId="6" xfId="55" applyNumberFormat="1" applyFont="1" applyFill="1" applyBorder="1" applyAlignment="1">
      <alignment horizontal="center" vertical="center" shrinkToFit="1"/>
    </xf>
    <xf numFmtId="220" fontId="2" fillId="15" borderId="14" xfId="49" applyFont="1" applyFill="1" applyBorder="1" applyAlignment="1" applyProtection="1">
      <alignment horizontal="center" vertical="center"/>
      <protection locked="0"/>
    </xf>
    <xf numFmtId="220" fontId="42" fillId="26" borderId="1" xfId="39" applyNumberFormat="1" applyFont="1" applyFill="1" applyBorder="1" applyAlignment="1">
      <alignment horizontal="center" vertical="center" shrinkToFit="1"/>
    </xf>
    <xf numFmtId="220" fontId="42" fillId="26" borderId="1" xfId="55" applyNumberFormat="1" applyFont="1" applyFill="1" applyBorder="1" applyAlignment="1">
      <alignment horizontal="center" vertical="center" shrinkToFit="1"/>
    </xf>
    <xf numFmtId="43" fontId="81" fillId="26" borderId="1" xfId="35566" applyFont="1" applyFill="1" applyBorder="1" applyAlignment="1">
      <alignment horizontal="left" vertical="center" shrinkToFit="1"/>
    </xf>
    <xf numFmtId="10" fontId="46" fillId="0" borderId="1" xfId="55" applyNumberFormat="1" applyFont="1" applyFill="1" applyBorder="1" applyAlignment="1">
      <alignment horizontal="right" vertical="center" shrinkToFit="1"/>
    </xf>
    <xf numFmtId="43" fontId="42" fillId="0" borderId="1" xfId="35566" applyFont="1" applyFill="1" applyBorder="1" applyAlignment="1">
      <alignment horizontal="right" vertical="center"/>
    </xf>
    <xf numFmtId="220" fontId="2" fillId="0" borderId="1" xfId="23261" applyFont="1" applyFill="1" applyBorder="1" applyAlignment="1">
      <alignment horizontal="center" vertical="center"/>
    </xf>
    <xf numFmtId="43" fontId="42" fillId="26" borderId="1" xfId="35566" applyFont="1" applyFill="1" applyBorder="1" applyAlignment="1">
      <alignment horizontal="left" vertical="center" shrinkToFit="1"/>
    </xf>
    <xf numFmtId="43" fontId="42" fillId="26" borderId="1" xfId="35566" applyFont="1" applyFill="1" applyBorder="1" applyAlignment="1" applyProtection="1">
      <alignment horizontal="right" vertical="center" shrinkToFit="1"/>
      <protection locked="0"/>
    </xf>
    <xf numFmtId="10" fontId="42" fillId="26" borderId="1" xfId="55" applyNumberFormat="1" applyFont="1" applyFill="1" applyBorder="1" applyAlignment="1">
      <alignment horizontal="right" vertical="center" shrinkToFit="1"/>
    </xf>
    <xf numFmtId="43" fontId="42" fillId="26" borderId="1" xfId="35566" applyFont="1" applyFill="1" applyBorder="1" applyAlignment="1">
      <alignment horizontal="right" vertical="center" shrinkToFit="1"/>
    </xf>
    <xf numFmtId="10" fontId="42" fillId="26" borderId="1" xfId="55" applyNumberFormat="1" applyFont="1" applyFill="1" applyBorder="1" applyAlignment="1">
      <alignment horizontal="right" vertical="center"/>
    </xf>
    <xf numFmtId="43" fontId="42" fillId="5" borderId="1" xfId="35566" applyFont="1" applyFill="1" applyBorder="1" applyAlignment="1">
      <alignment horizontal="left" vertical="center" wrapText="1"/>
    </xf>
    <xf numFmtId="220" fontId="5" fillId="4" borderId="1" xfId="0" applyFont="1" applyFill="1" applyBorder="1" applyAlignment="1" applyProtection="1">
      <alignment vertical="center"/>
    </xf>
    <xf numFmtId="43" fontId="46" fillId="26" borderId="1" xfId="35566" applyFont="1" applyFill="1" applyBorder="1" applyAlignment="1">
      <alignment horizontal="left" vertical="center" shrinkToFit="1"/>
    </xf>
    <xf numFmtId="220" fontId="5" fillId="23" borderId="1" xfId="0" applyFont="1" applyFill="1" applyBorder="1" applyAlignment="1" applyProtection="1">
      <alignment vertical="center"/>
    </xf>
    <xf numFmtId="220" fontId="5" fillId="4" borderId="1" xfId="0" applyFont="1" applyFill="1" applyBorder="1" applyAlignment="1" applyProtection="1">
      <alignment horizontal="left" vertical="center"/>
    </xf>
    <xf numFmtId="43" fontId="46" fillId="26" borderId="1" xfId="35566" applyFont="1" applyFill="1" applyBorder="1" applyAlignment="1">
      <alignment horizontal="center" vertical="center" shrinkToFit="1"/>
    </xf>
    <xf numFmtId="10" fontId="46" fillId="26" borderId="5" xfId="55" applyNumberFormat="1" applyFont="1" applyFill="1" applyBorder="1" applyAlignment="1">
      <alignment horizontal="center" vertical="center" shrinkToFit="1"/>
    </xf>
    <xf numFmtId="10" fontId="13" fillId="26" borderId="16" xfId="55" applyNumberFormat="1" applyFont="1" applyFill="1" applyBorder="1" applyAlignment="1">
      <alignment horizontal="center" vertical="center" shrinkToFit="1"/>
    </xf>
    <xf numFmtId="220" fontId="43" fillId="0" borderId="0" xfId="23261" applyFont="1" applyFill="1" applyAlignment="1">
      <alignment horizontal="center" vertical="center"/>
    </xf>
    <xf numFmtId="10" fontId="46" fillId="26" borderId="7" xfId="55" applyNumberFormat="1" applyFont="1" applyFill="1" applyBorder="1" applyAlignment="1">
      <alignment horizontal="center" vertical="center" shrinkToFit="1"/>
    </xf>
    <xf numFmtId="10" fontId="13" fillId="26" borderId="20" xfId="55" applyNumberFormat="1" applyFont="1" applyFill="1" applyBorder="1" applyAlignment="1">
      <alignment horizontal="center" vertical="center" shrinkToFit="1"/>
    </xf>
    <xf numFmtId="220" fontId="1" fillId="26" borderId="1" xfId="55" applyNumberFormat="1" applyFont="1" applyFill="1" applyBorder="1" applyAlignment="1">
      <alignment horizontal="center" vertical="center" shrinkToFit="1"/>
    </xf>
    <xf numFmtId="220" fontId="2" fillId="0" borderId="14" xfId="23261" applyFont="1" applyFill="1" applyBorder="1" applyAlignment="1">
      <alignment horizontal="center" vertical="center"/>
    </xf>
    <xf numFmtId="220" fontId="47" fillId="0" borderId="0" xfId="23261" applyFont="1" applyFill="1" applyAlignment="1">
      <alignment horizontal="center" vertical="center"/>
    </xf>
    <xf numFmtId="220" fontId="14" fillId="0" borderId="63" xfId="49" applyFont="1" applyFill="1" applyBorder="1" applyAlignment="1" applyProtection="1">
      <alignment horizontal="center" vertical="center" shrinkToFit="1"/>
      <protection hidden="1"/>
    </xf>
    <xf numFmtId="220" fontId="47" fillId="0" borderId="0" xfId="23261" applyFont="1" applyFill="1" applyAlignment="1">
      <alignment vertical="center"/>
    </xf>
    <xf numFmtId="220" fontId="84" fillId="0" borderId="63" xfId="49" applyFont="1" applyFill="1" applyBorder="1" applyAlignment="1" applyProtection="1">
      <alignment horizontal="center" vertical="center" shrinkToFit="1"/>
      <protection hidden="1"/>
    </xf>
    <xf numFmtId="220" fontId="84" fillId="29" borderId="63" xfId="49" applyFont="1" applyFill="1" applyBorder="1" applyAlignment="1" applyProtection="1">
      <alignment horizontal="center" vertical="center" shrinkToFit="1"/>
      <protection hidden="1"/>
    </xf>
    <xf numFmtId="220" fontId="78" fillId="0" borderId="63" xfId="0" applyFont="1" applyFill="1" applyBorder="1" applyAlignment="1" applyProtection="1">
      <alignment horizontal="center" vertical="center" shrinkToFit="1"/>
      <protection hidden="1"/>
    </xf>
    <xf numFmtId="220" fontId="78" fillId="0" borderId="63" xfId="0" applyFont="1" applyFill="1" applyBorder="1" applyAlignment="1" applyProtection="1">
      <alignment vertical="center" shrinkToFit="1"/>
      <protection hidden="1"/>
    </xf>
    <xf numFmtId="220" fontId="14" fillId="0" borderId="64" xfId="49" applyFont="1" applyFill="1" applyBorder="1" applyAlignment="1" applyProtection="1">
      <alignment horizontal="center" vertical="center" shrinkToFit="1"/>
      <protection hidden="1"/>
    </xf>
    <xf numFmtId="220" fontId="47" fillId="0" borderId="0" xfId="23261" applyFont="1" applyFill="1" applyBorder="1" applyAlignment="1">
      <alignment vertical="center"/>
    </xf>
    <xf numFmtId="220" fontId="84" fillId="0" borderId="0" xfId="49" applyFont="1" applyFill="1" applyBorder="1" applyAlignment="1" applyProtection="1">
      <alignment horizontal="center" vertical="center" shrinkToFit="1"/>
      <protection hidden="1"/>
    </xf>
    <xf numFmtId="220" fontId="84" fillId="0" borderId="64" xfId="49" applyFont="1" applyFill="1" applyBorder="1" applyAlignment="1" applyProtection="1">
      <alignment horizontal="center" vertical="center" shrinkToFit="1"/>
      <protection hidden="1"/>
    </xf>
    <xf numFmtId="43" fontId="2" fillId="0" borderId="0" xfId="23261" applyNumberFormat="1" applyFont="1" applyFill="1" applyBorder="1" applyAlignment="1">
      <alignment vertical="center"/>
    </xf>
    <xf numFmtId="220" fontId="2" fillId="0" borderId="0" xfId="23261" applyFont="1" applyFill="1" applyBorder="1" applyAlignment="1">
      <alignment vertical="center"/>
    </xf>
    <xf numFmtId="43" fontId="47" fillId="0" borderId="0" xfId="23261" applyNumberFormat="1" applyFont="1" applyFill="1" applyAlignment="1">
      <alignment vertical="center"/>
    </xf>
    <xf numFmtId="220" fontId="14" fillId="0" borderId="0" xfId="49" applyFont="1" applyFill="1" applyBorder="1" applyAlignment="1" applyProtection="1">
      <alignment horizontal="center" vertical="center" shrinkToFit="1"/>
      <protection hidden="1"/>
    </xf>
    <xf numFmtId="220" fontId="2" fillId="0" borderId="1" xfId="23261" applyFont="1" applyFill="1" applyBorder="1" applyAlignment="1">
      <alignment vertical="center"/>
    </xf>
    <xf numFmtId="220" fontId="5" fillId="4" borderId="14" xfId="0" applyFont="1" applyFill="1" applyBorder="1" applyAlignment="1" applyProtection="1">
      <alignment vertical="center"/>
    </xf>
    <xf numFmtId="220" fontId="14" fillId="29" borderId="63" xfId="49" applyFont="1" applyFill="1" applyBorder="1" applyAlignment="1" applyProtection="1">
      <alignment horizontal="center" vertical="center" shrinkToFit="1"/>
      <protection hidden="1"/>
    </xf>
    <xf numFmtId="265" fontId="78" fillId="0" borderId="63" xfId="0" applyNumberFormat="1" applyFont="1" applyFill="1" applyBorder="1" applyAlignment="1" applyProtection="1">
      <alignment horizontal="left" vertical="center" shrinkToFit="1"/>
      <protection hidden="1"/>
    </xf>
    <xf numFmtId="43" fontId="42" fillId="30" borderId="1" xfId="35566" applyFont="1" applyFill="1" applyBorder="1" applyAlignment="1">
      <alignment horizontal="left" vertical="center" shrinkToFit="1"/>
    </xf>
    <xf numFmtId="43" fontId="46" fillId="30" borderId="1" xfId="35566" applyFont="1" applyFill="1" applyBorder="1" applyAlignment="1">
      <alignment horizontal="left" vertical="center" shrinkToFit="1"/>
    </xf>
    <xf numFmtId="220" fontId="5" fillId="4" borderId="1" xfId="14678" applyFont="1" applyFill="1" applyBorder="1" applyAlignment="1" applyProtection="1">
      <alignment vertical="center"/>
    </xf>
    <xf numFmtId="220" fontId="5" fillId="26" borderId="4" xfId="0" applyFont="1" applyFill="1" applyBorder="1" applyAlignment="1">
      <alignment vertical="center" wrapText="1"/>
    </xf>
    <xf numFmtId="220" fontId="5" fillId="26" borderId="4" xfId="0" applyFont="1" applyFill="1" applyBorder="1" applyAlignment="1">
      <alignment vertical="center"/>
    </xf>
    <xf numFmtId="43" fontId="42" fillId="26" borderId="1" xfId="35566" applyFont="1" applyFill="1" applyBorder="1" applyAlignment="1">
      <alignment horizontal="center" vertical="center" shrinkToFit="1"/>
    </xf>
    <xf numFmtId="43" fontId="5" fillId="26" borderId="1" xfId="35566" applyFont="1" applyFill="1" applyBorder="1" applyAlignment="1" applyProtection="1">
      <alignment horizontal="center" vertical="center" shrinkToFit="1"/>
      <protection locked="0"/>
    </xf>
    <xf numFmtId="220" fontId="2" fillId="4" borderId="1" xfId="49" applyFont="1" applyFill="1" applyBorder="1" applyAlignment="1" applyProtection="1">
      <alignment vertical="center"/>
    </xf>
    <xf numFmtId="220" fontId="84" fillId="0" borderId="1" xfId="49" applyFont="1" applyFill="1" applyBorder="1" applyAlignment="1" applyProtection="1">
      <alignment horizontal="center" vertical="center" shrinkToFit="1"/>
      <protection hidden="1"/>
    </xf>
    <xf numFmtId="220" fontId="14" fillId="0" borderId="1" xfId="49" applyFont="1" applyFill="1" applyBorder="1" applyAlignment="1" applyProtection="1">
      <alignment horizontal="center" vertical="center" shrinkToFit="1"/>
      <protection hidden="1"/>
    </xf>
    <xf numFmtId="220" fontId="85" fillId="0" borderId="1" xfId="49" applyFont="1" applyFill="1" applyBorder="1" applyAlignment="1" applyProtection="1">
      <alignment vertical="center"/>
    </xf>
    <xf numFmtId="220" fontId="14" fillId="0" borderId="1" xfId="49" applyFont="1" applyFill="1" applyBorder="1" applyAlignment="1" applyProtection="1">
      <alignment horizontal="center" vertical="center" shrinkToFit="1"/>
      <protection locked="0"/>
    </xf>
    <xf numFmtId="265" fontId="0" fillId="0" borderId="0" xfId="23261" applyNumberFormat="1" applyFont="1" applyFill="1" applyAlignment="1" applyProtection="1">
      <alignment vertical="center"/>
      <protection locked="0"/>
    </xf>
    <xf numFmtId="220" fontId="78" fillId="0" borderId="1" xfId="0" applyFont="1" applyFill="1" applyBorder="1" applyAlignment="1" applyProtection="1">
      <alignment vertical="center" shrinkToFit="1"/>
      <protection hidden="1"/>
    </xf>
    <xf numFmtId="220" fontId="78" fillId="0" borderId="1" xfId="0" applyFont="1" applyFill="1" applyBorder="1" applyAlignment="1" applyProtection="1">
      <alignment horizontal="center" vertical="center" shrinkToFit="1"/>
      <protection locked="0"/>
    </xf>
    <xf numFmtId="220" fontId="86" fillId="29" borderId="0" xfId="0" applyFont="1" applyFill="1" applyAlignment="1" applyProtection="1">
      <alignment horizontal="center" vertical="center"/>
      <protection hidden="1"/>
    </xf>
    <xf numFmtId="220" fontId="87" fillId="29" borderId="0" xfId="0" applyFont="1" applyFill="1" applyAlignment="1" applyProtection="1">
      <alignment vertical="center" shrinkToFit="1"/>
      <protection hidden="1"/>
    </xf>
    <xf numFmtId="265" fontId="87" fillId="29" borderId="0" xfId="0" applyNumberFormat="1" applyFont="1" applyFill="1" applyAlignment="1" applyProtection="1">
      <alignment vertical="center" shrinkToFit="1"/>
      <protection hidden="1"/>
    </xf>
    <xf numFmtId="220" fontId="5" fillId="29" borderId="0" xfId="0" applyFont="1" applyFill="1" applyAlignment="1" applyProtection="1">
      <alignment horizontal="right" vertical="center"/>
      <protection hidden="1"/>
    </xf>
    <xf numFmtId="220" fontId="5" fillId="29" borderId="0" xfId="0" applyFont="1" applyFill="1" applyAlignment="1" applyProtection="1">
      <alignment vertical="center" shrinkToFit="1"/>
      <protection hidden="1"/>
    </xf>
    <xf numFmtId="220" fontId="75" fillId="29" borderId="0" xfId="0" applyFont="1" applyFill="1" applyAlignment="1" applyProtection="1">
      <alignment vertical="center"/>
      <protection hidden="1"/>
    </xf>
    <xf numFmtId="220" fontId="5" fillId="29" borderId="65" xfId="0" applyFont="1" applyFill="1" applyBorder="1" applyAlignment="1" applyProtection="1">
      <alignment horizontal="center" vertical="center" wrapText="1"/>
      <protection hidden="1"/>
    </xf>
    <xf numFmtId="220" fontId="5" fillId="29" borderId="66" xfId="0" applyFont="1" applyFill="1" applyBorder="1" applyAlignment="1" applyProtection="1">
      <alignment horizontal="center" vertical="center" wrapText="1"/>
      <protection locked="0" hidden="1"/>
    </xf>
    <xf numFmtId="220" fontId="5" fillId="29" borderId="67" xfId="0" applyFont="1" applyFill="1" applyBorder="1" applyAlignment="1" applyProtection="1">
      <alignment horizontal="center" vertical="center" wrapText="1"/>
      <protection locked="0" hidden="1"/>
    </xf>
    <xf numFmtId="220" fontId="5" fillId="29" borderId="68" xfId="0" applyFont="1" applyFill="1" applyBorder="1" applyAlignment="1" applyProtection="1">
      <alignment horizontal="center" vertical="center" wrapText="1"/>
      <protection locked="0" hidden="1"/>
    </xf>
    <xf numFmtId="220" fontId="75" fillId="29" borderId="69" xfId="0" applyFont="1" applyFill="1" applyBorder="1" applyAlignment="1" applyProtection="1">
      <alignment horizontal="center" vertical="center" wrapText="1"/>
      <protection hidden="1"/>
    </xf>
    <xf numFmtId="220" fontId="5" fillId="29" borderId="6" xfId="0" applyFont="1" applyFill="1" applyBorder="1" applyAlignment="1" applyProtection="1">
      <alignment horizontal="center" vertical="center" wrapText="1"/>
      <protection locked="0" hidden="1"/>
    </xf>
    <xf numFmtId="220" fontId="5" fillId="29" borderId="2" xfId="0" applyFont="1" applyFill="1" applyBorder="1" applyAlignment="1" applyProtection="1">
      <alignment horizontal="center" vertical="center" wrapText="1"/>
      <protection locked="0" hidden="1"/>
    </xf>
    <xf numFmtId="220" fontId="5" fillId="29" borderId="70" xfId="0" applyFont="1" applyFill="1" applyBorder="1" applyAlignment="1" applyProtection="1">
      <alignment horizontal="center" vertical="center" wrapText="1"/>
      <protection locked="0" hidden="1"/>
    </xf>
    <xf numFmtId="220" fontId="5" fillId="29" borderId="1" xfId="0" applyFont="1" applyFill="1" applyBorder="1" applyAlignment="1" applyProtection="1">
      <alignment horizontal="center" vertical="center" wrapText="1"/>
      <protection hidden="1"/>
    </xf>
    <xf numFmtId="220" fontId="5" fillId="29" borderId="71" xfId="0" applyFont="1" applyFill="1" applyBorder="1" applyAlignment="1" applyProtection="1">
      <alignment horizontal="center" vertical="center" wrapText="1"/>
      <protection hidden="1"/>
    </xf>
    <xf numFmtId="220" fontId="3" fillId="29" borderId="69" xfId="0" applyFont="1" applyFill="1" applyBorder="1" applyAlignment="1" applyProtection="1">
      <alignment vertical="center" shrinkToFit="1"/>
      <protection hidden="1"/>
    </xf>
    <xf numFmtId="265" fontId="75" fillId="0" borderId="1" xfId="0" applyNumberFormat="1" applyFont="1" applyBorder="1" applyAlignment="1" applyProtection="1">
      <alignment horizontal="right" vertical="center" shrinkToFit="1"/>
      <protection locked="0"/>
    </xf>
    <xf numFmtId="43" fontId="88" fillId="29" borderId="72" xfId="0" applyNumberFormat="1" applyFont="1" applyFill="1" applyBorder="1" applyAlignment="1" applyProtection="1">
      <alignment horizontal="right" vertical="center" shrinkToFit="1"/>
      <protection hidden="1"/>
    </xf>
    <xf numFmtId="220" fontId="5" fillId="29" borderId="69" xfId="0" applyFont="1" applyFill="1" applyBorder="1" applyAlignment="1" applyProtection="1">
      <alignment vertical="center" shrinkToFit="1"/>
      <protection hidden="1"/>
    </xf>
    <xf numFmtId="265" fontId="75" fillId="29" borderId="1" xfId="0" applyNumberFormat="1" applyFont="1" applyFill="1" applyBorder="1" applyAlignment="1" applyProtection="1">
      <alignment horizontal="right" vertical="center" shrinkToFit="1"/>
      <protection hidden="1"/>
    </xf>
    <xf numFmtId="220" fontId="75" fillId="29" borderId="69" xfId="0" applyFont="1" applyFill="1" applyBorder="1" applyAlignment="1" applyProtection="1">
      <alignment vertical="center" shrinkToFit="1"/>
      <protection hidden="1"/>
    </xf>
    <xf numFmtId="220" fontId="3" fillId="29" borderId="73" xfId="0" applyFont="1" applyFill="1" applyBorder="1" applyAlignment="1" applyProtection="1">
      <alignment vertical="center" shrinkToFit="1"/>
      <protection hidden="1"/>
    </xf>
    <xf numFmtId="265" fontId="75" fillId="29" borderId="74" xfId="0" applyNumberFormat="1" applyFont="1" applyFill="1" applyBorder="1" applyAlignment="1" applyProtection="1">
      <alignment horizontal="right" vertical="center" shrinkToFit="1"/>
      <protection hidden="1"/>
    </xf>
    <xf numFmtId="43" fontId="88" fillId="29" borderId="75" xfId="0" applyNumberFormat="1" applyFont="1" applyFill="1" applyBorder="1" applyAlignment="1" applyProtection="1">
      <alignment horizontal="right" vertical="center" shrinkToFit="1"/>
      <protection hidden="1"/>
    </xf>
    <xf numFmtId="220" fontId="5" fillId="29" borderId="66" xfId="0" applyFont="1" applyFill="1" applyBorder="1" applyAlignment="1" applyProtection="1">
      <alignment horizontal="center" vertical="center" wrapText="1"/>
      <protection hidden="1"/>
    </xf>
    <xf numFmtId="220" fontId="5" fillId="29" borderId="67" xfId="0" applyFont="1" applyFill="1" applyBorder="1" applyAlignment="1" applyProtection="1">
      <alignment horizontal="center" vertical="center" wrapText="1"/>
      <protection hidden="1"/>
    </xf>
    <xf numFmtId="220" fontId="5" fillId="29" borderId="68" xfId="0" applyFont="1" applyFill="1" applyBorder="1" applyAlignment="1" applyProtection="1">
      <alignment horizontal="center" vertical="center" wrapText="1"/>
      <protection hidden="1"/>
    </xf>
    <xf numFmtId="220" fontId="5" fillId="29" borderId="6" xfId="0" applyFont="1" applyFill="1" applyBorder="1" applyAlignment="1" applyProtection="1">
      <alignment horizontal="center" vertical="center" wrapText="1"/>
      <protection hidden="1"/>
    </xf>
    <xf numFmtId="220" fontId="5" fillId="29" borderId="2" xfId="0" applyFont="1" applyFill="1" applyBorder="1" applyAlignment="1" applyProtection="1">
      <alignment horizontal="center" vertical="center" wrapText="1"/>
      <protection hidden="1"/>
    </xf>
    <xf numFmtId="220" fontId="5" fillId="29" borderId="70" xfId="0" applyFont="1" applyFill="1" applyBorder="1" applyAlignment="1" applyProtection="1">
      <alignment horizontal="center" vertical="center" wrapText="1"/>
      <protection hidden="1"/>
    </xf>
    <xf numFmtId="220" fontId="86" fillId="29" borderId="0" xfId="0" applyFont="1" applyFill="1" applyAlignment="1" applyProtection="1">
      <alignment horizontal="center" vertical="center" shrinkToFit="1"/>
      <protection hidden="1"/>
    </xf>
    <xf numFmtId="220" fontId="89" fillId="29" borderId="0" xfId="0" applyFont="1" applyFill="1" applyAlignment="1" applyProtection="1">
      <alignment horizontal="center" vertical="center" shrinkToFit="1"/>
      <protection hidden="1"/>
    </xf>
    <xf numFmtId="220" fontId="75" fillId="29" borderId="0" xfId="0" applyFont="1" applyFill="1" applyAlignment="1" applyProtection="1">
      <alignment vertical="center" shrinkToFit="1"/>
      <protection hidden="1"/>
    </xf>
    <xf numFmtId="265" fontId="75" fillId="29" borderId="0" xfId="0" applyNumberFormat="1" applyFont="1" applyFill="1" applyAlignment="1" applyProtection="1">
      <alignment horizontal="right" vertical="center" shrinkToFit="1"/>
      <protection hidden="1"/>
    </xf>
    <xf numFmtId="220" fontId="75" fillId="29" borderId="0" xfId="0" applyFont="1" applyFill="1" applyAlignment="1" applyProtection="1">
      <alignment horizontal="left" vertical="center"/>
      <protection hidden="1"/>
    </xf>
    <xf numFmtId="265" fontId="75" fillId="29" borderId="0" xfId="0" applyNumberFormat="1" applyFont="1" applyFill="1" applyAlignment="1" applyProtection="1">
      <alignment horizontal="centerContinuous" vertical="center" shrinkToFit="1"/>
      <protection hidden="1"/>
    </xf>
    <xf numFmtId="265" fontId="75" fillId="29" borderId="0" xfId="0" applyNumberFormat="1" applyFont="1" applyFill="1" applyAlignment="1" applyProtection="1">
      <alignment horizontal="right" vertical="center"/>
      <protection hidden="1"/>
    </xf>
    <xf numFmtId="220" fontId="5" fillId="29" borderId="65" xfId="0" applyFont="1" applyFill="1" applyBorder="1" applyAlignment="1" applyProtection="1">
      <alignment horizontal="center" vertical="center" shrinkToFit="1"/>
      <protection hidden="1"/>
    </xf>
    <xf numFmtId="220" fontId="5" fillId="29" borderId="76" xfId="0" applyFont="1" applyFill="1" applyBorder="1" applyAlignment="1" applyProtection="1">
      <alignment horizontal="center" vertical="center" shrinkToFit="1"/>
      <protection hidden="1"/>
    </xf>
    <xf numFmtId="265" fontId="5" fillId="29" borderId="76" xfId="0" applyNumberFormat="1" applyFont="1" applyFill="1" applyBorder="1" applyAlignment="1" applyProtection="1">
      <alignment horizontal="center" vertical="center" shrinkToFit="1"/>
      <protection hidden="1"/>
    </xf>
    <xf numFmtId="265" fontId="5" fillId="29" borderId="77" xfId="0" applyNumberFormat="1" applyFont="1" applyFill="1" applyBorder="1" applyAlignment="1" applyProtection="1">
      <alignment horizontal="center" vertical="center" shrinkToFit="1"/>
      <protection hidden="1"/>
    </xf>
    <xf numFmtId="220" fontId="5" fillId="29" borderId="69" xfId="0" applyFont="1" applyFill="1" applyBorder="1" applyAlignment="1" applyProtection="1">
      <alignment horizontal="center" vertical="center" shrinkToFit="1"/>
      <protection hidden="1"/>
    </xf>
    <xf numFmtId="220" fontId="5" fillId="29" borderId="1" xfId="0" applyFont="1" applyFill="1" applyBorder="1" applyAlignment="1" applyProtection="1">
      <alignment horizontal="center" vertical="center" shrinkToFit="1"/>
      <protection hidden="1"/>
    </xf>
    <xf numFmtId="265" fontId="5" fillId="29" borderId="1" xfId="0" applyNumberFormat="1" applyFont="1" applyFill="1" applyBorder="1" applyAlignment="1" applyProtection="1">
      <alignment horizontal="center" vertical="center" shrinkToFit="1"/>
      <protection hidden="1"/>
    </xf>
    <xf numFmtId="265" fontId="5" fillId="29" borderId="72" xfId="0" applyNumberFormat="1" applyFont="1" applyFill="1" applyBorder="1" applyAlignment="1" applyProtection="1">
      <alignment horizontal="center" vertical="center" shrinkToFit="1"/>
      <protection hidden="1"/>
    </xf>
    <xf numFmtId="43" fontId="3" fillId="29" borderId="69" xfId="0" applyNumberFormat="1" applyFont="1" applyFill="1" applyBorder="1" applyAlignment="1" applyProtection="1">
      <alignment vertical="center" shrinkToFit="1"/>
      <protection hidden="1"/>
    </xf>
    <xf numFmtId="220" fontId="75" fillId="29" borderId="1" xfId="0" applyFont="1" applyFill="1" applyBorder="1" applyAlignment="1" applyProtection="1">
      <alignment vertical="center" shrinkToFit="1"/>
      <protection hidden="1"/>
    </xf>
    <xf numFmtId="265" fontId="75" fillId="29" borderId="1" xfId="0" applyNumberFormat="1" applyFont="1" applyFill="1" applyBorder="1" applyAlignment="1" applyProtection="1">
      <alignment vertical="center" shrinkToFit="1"/>
      <protection hidden="1"/>
    </xf>
    <xf numFmtId="265" fontId="75" fillId="29" borderId="72" xfId="0" applyNumberFormat="1" applyFont="1" applyFill="1" applyBorder="1" applyAlignment="1" applyProtection="1">
      <alignment vertical="center" shrinkToFit="1"/>
      <protection hidden="1"/>
    </xf>
    <xf numFmtId="43" fontId="5" fillId="29" borderId="69" xfId="0" applyNumberFormat="1" applyFont="1" applyFill="1" applyBorder="1" applyAlignment="1" applyProtection="1">
      <alignment vertical="center" shrinkToFit="1"/>
      <protection hidden="1"/>
    </xf>
    <xf numFmtId="220" fontId="75" fillId="0" borderId="1" xfId="0" applyFont="1" applyFill="1" applyBorder="1" applyAlignment="1" applyProtection="1">
      <alignment horizontal="center" vertical="center" shrinkToFit="1"/>
      <protection locked="0"/>
    </xf>
    <xf numFmtId="43" fontId="3" fillId="29" borderId="69" xfId="0" applyNumberFormat="1" applyFont="1" applyFill="1" applyBorder="1" applyAlignment="1" applyProtection="1">
      <alignment horizontal="left" vertical="center" shrinkToFit="1"/>
      <protection hidden="1"/>
    </xf>
    <xf numFmtId="265" fontId="88" fillId="29" borderId="1" xfId="0" applyNumberFormat="1" applyFont="1" applyFill="1" applyBorder="1" applyAlignment="1" applyProtection="1">
      <alignment vertical="center" shrinkToFit="1"/>
      <protection hidden="1"/>
    </xf>
    <xf numFmtId="265" fontId="88" fillId="29" borderId="72" xfId="0" applyNumberFormat="1" applyFont="1" applyFill="1" applyBorder="1" applyAlignment="1" applyProtection="1">
      <alignment vertical="center" shrinkToFit="1"/>
      <protection hidden="1"/>
    </xf>
    <xf numFmtId="43" fontId="87" fillId="29" borderId="69" xfId="0" applyNumberFormat="1" applyFont="1" applyFill="1" applyBorder="1" applyAlignment="1" applyProtection="1">
      <alignment horizontal="center" vertical="center" shrinkToFit="1"/>
      <protection hidden="1"/>
    </xf>
    <xf numFmtId="220" fontId="70" fillId="0" borderId="1" xfId="49" applyFill="1" applyBorder="1" applyAlignment="1" applyProtection="1">
      <alignment horizontal="center" vertical="center" shrinkToFit="1"/>
      <protection locked="0"/>
    </xf>
    <xf numFmtId="43" fontId="87" fillId="29" borderId="69" xfId="0" applyNumberFormat="1" applyFont="1" applyFill="1" applyBorder="1" applyAlignment="1" applyProtection="1">
      <alignment horizontal="left" vertical="center" shrinkToFit="1"/>
      <protection hidden="1"/>
    </xf>
    <xf numFmtId="265" fontId="75" fillId="0" borderId="72" xfId="0" applyNumberFormat="1" applyFont="1" applyFill="1" applyBorder="1" applyAlignment="1" applyProtection="1">
      <alignment vertical="center" shrinkToFit="1"/>
      <protection locked="0"/>
    </xf>
    <xf numFmtId="43" fontId="3" fillId="29" borderId="73" xfId="0" applyNumberFormat="1" applyFont="1" applyFill="1" applyBorder="1" applyAlignment="1" applyProtection="1">
      <alignment vertical="center" shrinkToFit="1"/>
      <protection hidden="1"/>
    </xf>
    <xf numFmtId="220" fontId="75" fillId="29" borderId="74" xfId="0" applyFont="1" applyFill="1" applyBorder="1" applyAlignment="1" applyProtection="1">
      <alignment vertical="center" shrinkToFit="1"/>
      <protection hidden="1"/>
    </xf>
    <xf numFmtId="265" fontId="88" fillId="29" borderId="74" xfId="0" applyNumberFormat="1" applyFont="1" applyFill="1" applyBorder="1" applyAlignment="1" applyProtection="1">
      <alignment vertical="center" shrinkToFit="1"/>
      <protection hidden="1"/>
    </xf>
    <xf numFmtId="265" fontId="88" fillId="29" borderId="75" xfId="0" applyNumberFormat="1" applyFont="1" applyFill="1" applyBorder="1" applyAlignment="1" applyProtection="1">
      <alignment vertical="center" shrinkToFit="1"/>
      <protection hidden="1"/>
    </xf>
    <xf numFmtId="220" fontId="75" fillId="5" borderId="0" xfId="0" applyFont="1" applyFill="1" applyAlignment="1" applyProtection="1">
      <alignment vertical="center" shrinkToFit="1"/>
      <protection hidden="1"/>
    </xf>
    <xf numFmtId="265" fontId="75" fillId="5" borderId="0" xfId="0" applyNumberFormat="1" applyFont="1" applyFill="1" applyAlignment="1" applyProtection="1">
      <alignment vertical="center" shrinkToFit="1"/>
      <protection hidden="1"/>
    </xf>
    <xf numFmtId="220" fontId="87" fillId="5" borderId="0" xfId="0" applyFont="1" applyFill="1" applyAlignment="1" applyProtection="1">
      <alignment vertical="center" shrinkToFit="1"/>
      <protection hidden="1"/>
    </xf>
    <xf numFmtId="265" fontId="87" fillId="5" borderId="0" xfId="0" applyNumberFormat="1" applyFont="1" applyFill="1" applyAlignment="1" applyProtection="1">
      <alignment vertical="center" shrinkToFit="1"/>
      <protection hidden="1"/>
    </xf>
    <xf numFmtId="220" fontId="0" fillId="29" borderId="0" xfId="0" applyFont="1" applyFill="1" applyAlignment="1" applyProtection="1">
      <alignment vertical="center" shrinkToFit="1"/>
      <protection hidden="1"/>
    </xf>
    <xf numFmtId="220" fontId="90" fillId="29" borderId="0" xfId="0" applyFont="1" applyFill="1" applyAlignment="1" applyProtection="1">
      <alignment vertical="center" shrinkToFit="1"/>
      <protection hidden="1"/>
    </xf>
    <xf numFmtId="220" fontId="0" fillId="29" borderId="0" xfId="0" applyFill="1" applyAlignment="1" applyProtection="1">
      <alignment horizontal="right" vertical="center" shrinkToFit="1"/>
      <protection hidden="1"/>
    </xf>
    <xf numFmtId="220" fontId="90" fillId="29" borderId="0" xfId="0" applyFont="1" applyFill="1" applyAlignment="1" applyProtection="1">
      <alignment vertical="center"/>
      <protection hidden="1"/>
    </xf>
    <xf numFmtId="220" fontId="90" fillId="29" borderId="0" xfId="0" applyFont="1" applyFill="1" applyAlignment="1" applyProtection="1">
      <alignment horizontal="right" vertical="center"/>
      <protection hidden="1"/>
    </xf>
    <xf numFmtId="220" fontId="0" fillId="29" borderId="65" xfId="0" applyFont="1" applyFill="1" applyBorder="1" applyAlignment="1" applyProtection="1">
      <alignment horizontal="center" vertical="center" shrinkToFit="1"/>
      <protection hidden="1"/>
    </xf>
    <xf numFmtId="220" fontId="0" fillId="29" borderId="76" xfId="0" applyFont="1" applyFill="1" applyBorder="1" applyAlignment="1" applyProtection="1">
      <alignment horizontal="center" vertical="center" shrinkToFit="1"/>
      <protection hidden="1"/>
    </xf>
    <xf numFmtId="220" fontId="0" fillId="29" borderId="77" xfId="0" applyFont="1" applyFill="1" applyBorder="1" applyAlignment="1" applyProtection="1">
      <alignment horizontal="center" vertical="center" shrinkToFit="1"/>
      <protection hidden="1"/>
    </xf>
    <xf numFmtId="220" fontId="0" fillId="29" borderId="69" xfId="0" applyFont="1" applyFill="1" applyBorder="1" applyAlignment="1" applyProtection="1">
      <alignment horizontal="center" vertical="center" shrinkToFit="1"/>
      <protection hidden="1"/>
    </xf>
    <xf numFmtId="220" fontId="0" fillId="29" borderId="1" xfId="0" applyFont="1" applyFill="1" applyBorder="1" applyAlignment="1" applyProtection="1">
      <alignment horizontal="center" vertical="center" shrinkToFit="1"/>
      <protection hidden="1"/>
    </xf>
    <xf numFmtId="220" fontId="0" fillId="29" borderId="72" xfId="0" applyFont="1" applyFill="1" applyBorder="1" applyAlignment="1" applyProtection="1">
      <alignment horizontal="center" vertical="center" shrinkToFit="1"/>
      <protection hidden="1"/>
    </xf>
    <xf numFmtId="220" fontId="91" fillId="29" borderId="69" xfId="0" applyNumberFormat="1" applyFont="1" applyFill="1" applyBorder="1" applyAlignment="1" applyProtection="1">
      <alignment vertical="center" shrinkToFit="1"/>
      <protection hidden="1"/>
    </xf>
    <xf numFmtId="220" fontId="92" fillId="29" borderId="1" xfId="0" applyFont="1" applyFill="1" applyBorder="1" applyAlignment="1" applyProtection="1">
      <alignment horizontal="center" vertical="center" shrinkToFit="1"/>
      <protection hidden="1"/>
    </xf>
    <xf numFmtId="265" fontId="90" fillId="29" borderId="1" xfId="0" applyNumberFormat="1" applyFont="1" applyFill="1" applyBorder="1" applyAlignment="1" applyProtection="1">
      <alignment horizontal="right" vertical="center" shrinkToFit="1"/>
      <protection hidden="1"/>
    </xf>
    <xf numFmtId="265" fontId="90" fillId="29" borderId="72" xfId="0" applyNumberFormat="1" applyFont="1" applyFill="1" applyBorder="1" applyAlignment="1" applyProtection="1">
      <alignment horizontal="right" vertical="center" shrinkToFit="1"/>
      <protection hidden="1"/>
    </xf>
    <xf numFmtId="220" fontId="0" fillId="29" borderId="69" xfId="0" applyNumberFormat="1" applyFont="1" applyFill="1" applyBorder="1" applyAlignment="1" applyProtection="1">
      <alignment vertical="center" shrinkToFit="1"/>
      <protection hidden="1"/>
    </xf>
    <xf numFmtId="265" fontId="90" fillId="0" borderId="1" xfId="0" applyNumberFormat="1" applyFont="1" applyFill="1" applyBorder="1" applyAlignment="1" applyProtection="1">
      <alignment horizontal="right" vertical="center" shrinkToFit="1"/>
      <protection locked="0"/>
    </xf>
    <xf numFmtId="265" fontId="90" fillId="0" borderId="72" xfId="0" applyNumberFormat="1" applyFont="1" applyFill="1" applyBorder="1" applyAlignment="1" applyProtection="1">
      <alignment horizontal="right" vertical="center" shrinkToFit="1"/>
      <protection locked="0"/>
    </xf>
    <xf numFmtId="220" fontId="5" fillId="29" borderId="78" xfId="0" applyNumberFormat="1" applyFont="1" applyFill="1" applyBorder="1" applyAlignment="1" applyProtection="1">
      <alignment vertical="center" shrinkToFit="1"/>
      <protection hidden="1"/>
    </xf>
    <xf numFmtId="220" fontId="90" fillId="29" borderId="1" xfId="0" applyFont="1" applyFill="1" applyBorder="1" applyAlignment="1" applyProtection="1">
      <alignment vertical="center" shrinkToFit="1"/>
      <protection hidden="1"/>
    </xf>
    <xf numFmtId="265" fontId="93" fillId="29" borderId="1" xfId="0" applyNumberFormat="1" applyFont="1" applyFill="1" applyBorder="1" applyAlignment="1" applyProtection="1">
      <alignment vertical="center" shrinkToFit="1"/>
      <protection hidden="1"/>
    </xf>
    <xf numFmtId="265" fontId="93" fillId="29" borderId="72" xfId="0" applyNumberFormat="1" applyFont="1" applyFill="1" applyBorder="1" applyAlignment="1" applyProtection="1">
      <alignment vertical="center" shrinkToFit="1"/>
      <protection hidden="1"/>
    </xf>
    <xf numFmtId="265" fontId="90" fillId="0" borderId="1" xfId="0" applyNumberFormat="1" applyFont="1" applyFill="1" applyBorder="1" applyAlignment="1" applyProtection="1">
      <alignment vertical="center" shrinkToFit="1"/>
      <protection locked="0"/>
    </xf>
    <xf numFmtId="265" fontId="90" fillId="0" borderId="72" xfId="0" applyNumberFormat="1" applyFont="1" applyFill="1" applyBorder="1" applyAlignment="1" applyProtection="1">
      <alignment vertical="center" shrinkToFit="1"/>
      <protection locked="0"/>
    </xf>
    <xf numFmtId="220" fontId="90" fillId="0" borderId="1" xfId="0" applyFont="1" applyFill="1" applyBorder="1" applyAlignment="1" applyProtection="1">
      <alignment vertical="center" shrinkToFit="1"/>
      <protection hidden="1"/>
    </xf>
    <xf numFmtId="265" fontId="90" fillId="0" borderId="1" xfId="0" applyNumberFormat="1" applyFont="1" applyFill="1" applyBorder="1" applyAlignment="1" applyProtection="1">
      <alignment vertical="center" shrinkToFit="1"/>
      <protection hidden="1"/>
    </xf>
    <xf numFmtId="265" fontId="90" fillId="0" borderId="72" xfId="0" applyNumberFormat="1" applyFont="1" applyFill="1" applyBorder="1" applyAlignment="1" applyProtection="1">
      <alignment vertical="center" shrinkToFit="1"/>
      <protection hidden="1"/>
    </xf>
    <xf numFmtId="265" fontId="90" fillId="29" borderId="1" xfId="0" applyNumberFormat="1" applyFont="1" applyFill="1" applyBorder="1" applyAlignment="1" applyProtection="1">
      <alignment vertical="center" shrinkToFit="1"/>
      <protection hidden="1"/>
    </xf>
    <xf numFmtId="265" fontId="90" fillId="29" borderId="72" xfId="0" applyNumberFormat="1" applyFont="1" applyFill="1" applyBorder="1" applyAlignment="1" applyProtection="1">
      <alignment vertical="center" shrinkToFit="1"/>
      <protection hidden="1"/>
    </xf>
    <xf numFmtId="220" fontId="90" fillId="0" borderId="1" xfId="0" applyFont="1" applyFill="1" applyBorder="1" applyAlignment="1" applyProtection="1">
      <alignment horizontal="center" vertical="center" shrinkToFit="1"/>
      <protection locked="0"/>
    </xf>
    <xf numFmtId="220" fontId="0" fillId="29" borderId="73" xfId="0" applyNumberFormat="1" applyFont="1" applyFill="1" applyBorder="1" applyAlignment="1" applyProtection="1">
      <alignment vertical="center" shrinkToFit="1"/>
      <protection hidden="1"/>
    </xf>
    <xf numFmtId="220" fontId="90" fillId="0" borderId="74" xfId="0" applyFont="1" applyFill="1" applyBorder="1" applyAlignment="1" applyProtection="1">
      <alignment horizontal="center" vertical="center" shrinkToFit="1"/>
      <protection locked="0"/>
    </xf>
    <xf numFmtId="265" fontId="90" fillId="0" borderId="74" xfId="0" applyNumberFormat="1" applyFont="1" applyFill="1" applyBorder="1" applyAlignment="1" applyProtection="1">
      <alignment vertical="center" shrinkToFit="1"/>
      <protection locked="0"/>
    </xf>
    <xf numFmtId="265" fontId="90" fillId="0" borderId="75" xfId="0" applyNumberFormat="1" applyFont="1" applyFill="1" applyBorder="1" applyAlignment="1" applyProtection="1">
      <alignment vertical="center" shrinkToFit="1"/>
      <protection locked="0"/>
    </xf>
    <xf numFmtId="220" fontId="89" fillId="29" borderId="0" xfId="0" applyFont="1" applyFill="1" applyAlignment="1" applyProtection="1">
      <alignment horizontal="center" vertical="center"/>
      <protection hidden="1"/>
    </xf>
    <xf numFmtId="220" fontId="87" fillId="29" borderId="0" xfId="0" applyFont="1" applyFill="1" applyAlignment="1" applyProtection="1">
      <alignment horizontal="center" vertical="center" shrinkToFit="1"/>
      <protection hidden="1"/>
    </xf>
    <xf numFmtId="265" fontId="75" fillId="29" borderId="0" xfId="0" applyNumberFormat="1" applyFont="1" applyFill="1" applyAlignment="1" applyProtection="1">
      <alignment vertical="center" shrinkToFit="1"/>
      <protection hidden="1"/>
    </xf>
    <xf numFmtId="265" fontId="5" fillId="29" borderId="0" xfId="0" applyNumberFormat="1" applyFont="1" applyFill="1" applyAlignment="1" applyProtection="1">
      <alignment horizontal="right" vertical="center" shrinkToFit="1"/>
      <protection hidden="1"/>
    </xf>
    <xf numFmtId="220" fontId="5" fillId="29" borderId="79" xfId="0" applyFont="1" applyFill="1" applyBorder="1" applyAlignment="1" applyProtection="1">
      <alignment horizontal="left" vertical="center" shrinkToFit="1"/>
      <protection hidden="1"/>
    </xf>
    <xf numFmtId="31" fontId="75" fillId="29" borderId="0" xfId="0" applyNumberFormat="1" applyFont="1" applyFill="1" applyAlignment="1" applyProtection="1">
      <alignment horizontal="left" vertical="center"/>
      <protection hidden="1"/>
    </xf>
    <xf numFmtId="265" fontId="5" fillId="29" borderId="0" xfId="0" applyNumberFormat="1" applyFont="1" applyFill="1" applyAlignment="1" applyProtection="1">
      <alignment horizontal="right" vertical="center"/>
      <protection hidden="1"/>
    </xf>
    <xf numFmtId="220" fontId="5" fillId="29" borderId="80" xfId="0" applyFont="1" applyFill="1" applyBorder="1" applyAlignment="1" applyProtection="1">
      <alignment horizontal="center" vertical="center" shrinkToFit="1"/>
      <protection hidden="1"/>
    </xf>
    <xf numFmtId="220" fontId="5" fillId="29" borderId="81" xfId="0" applyFont="1" applyFill="1" applyBorder="1" applyAlignment="1" applyProtection="1">
      <alignment horizontal="center" vertical="center" shrinkToFit="1"/>
      <protection hidden="1"/>
    </xf>
    <xf numFmtId="265" fontId="5" fillId="29" borderId="81" xfId="0" applyNumberFormat="1" applyFont="1" applyFill="1" applyBorder="1" applyAlignment="1" applyProtection="1">
      <alignment horizontal="center" vertical="center" shrinkToFit="1"/>
      <protection hidden="1"/>
    </xf>
    <xf numFmtId="265" fontId="5" fillId="29" borderId="82" xfId="0" applyNumberFormat="1" applyFont="1" applyFill="1" applyBorder="1" applyAlignment="1" applyProtection="1">
      <alignment horizontal="center" vertical="center" shrinkToFit="1"/>
      <protection hidden="1"/>
    </xf>
    <xf numFmtId="220" fontId="5" fillId="29" borderId="78" xfId="0" applyFont="1" applyFill="1" applyBorder="1" applyAlignment="1" applyProtection="1">
      <alignment horizontal="center" vertical="center" shrinkToFit="1"/>
      <protection hidden="1"/>
    </xf>
    <xf numFmtId="220" fontId="5" fillId="29" borderId="63" xfId="0" applyFont="1" applyFill="1" applyBorder="1" applyAlignment="1" applyProtection="1">
      <alignment horizontal="center" vertical="center" shrinkToFit="1"/>
      <protection hidden="1"/>
    </xf>
    <xf numFmtId="265" fontId="5" fillId="29" borderId="63" xfId="0" applyNumberFormat="1" applyFont="1" applyFill="1" applyBorder="1" applyAlignment="1" applyProtection="1">
      <alignment horizontal="center" vertical="center" shrinkToFit="1"/>
      <protection hidden="1"/>
    </xf>
    <xf numFmtId="265" fontId="5" fillId="29" borderId="83" xfId="0" applyNumberFormat="1" applyFont="1" applyFill="1" applyBorder="1" applyAlignment="1" applyProtection="1">
      <alignment horizontal="center" vertical="center" shrinkToFit="1"/>
      <protection hidden="1"/>
    </xf>
    <xf numFmtId="220" fontId="94" fillId="29" borderId="78" xfId="0" applyFont="1" applyFill="1" applyBorder="1" applyAlignment="1" applyProtection="1">
      <alignment vertical="center" shrinkToFit="1"/>
      <protection hidden="1"/>
    </xf>
    <xf numFmtId="220" fontId="95" fillId="29" borderId="63" xfId="0" applyFont="1" applyFill="1" applyBorder="1" applyAlignment="1" applyProtection="1">
      <alignment vertical="center" shrinkToFit="1"/>
      <protection hidden="1"/>
    </xf>
    <xf numFmtId="265" fontId="75" fillId="29" borderId="63" xfId="0" applyNumberFormat="1" applyFont="1" applyFill="1" applyBorder="1" applyAlignment="1" applyProtection="1">
      <alignment horizontal="justify" vertical="center" shrinkToFit="1"/>
      <protection hidden="1"/>
    </xf>
    <xf numFmtId="265" fontId="75" fillId="29" borderId="63" xfId="0" applyNumberFormat="1" applyFont="1" applyFill="1" applyBorder="1" applyAlignment="1" applyProtection="1">
      <alignment horizontal="right" vertical="center" shrinkToFit="1"/>
      <protection hidden="1"/>
    </xf>
    <xf numFmtId="265" fontId="95" fillId="29" borderId="63" xfId="0" applyNumberFormat="1" applyFont="1" applyFill="1" applyBorder="1" applyAlignment="1" applyProtection="1">
      <alignment horizontal="left" vertical="center" shrinkToFit="1"/>
      <protection hidden="1"/>
    </xf>
    <xf numFmtId="291" fontId="95" fillId="29" borderId="63" xfId="0" applyNumberFormat="1" applyFont="1" applyFill="1" applyBorder="1" applyAlignment="1" applyProtection="1">
      <alignment vertical="center" shrinkToFit="1"/>
      <protection hidden="1"/>
    </xf>
    <xf numFmtId="291" fontId="75" fillId="29" borderId="83" xfId="0" applyNumberFormat="1" applyFont="1" applyFill="1" applyBorder="1" applyAlignment="1" applyProtection="1">
      <alignment horizontal="justify" vertical="center" shrinkToFit="1"/>
      <protection hidden="1"/>
    </xf>
    <xf numFmtId="43" fontId="5" fillId="29" borderId="78" xfId="0" applyNumberFormat="1" applyFont="1" applyFill="1" applyBorder="1" applyAlignment="1" applyProtection="1">
      <alignment vertical="center" shrinkToFit="1"/>
      <protection hidden="1"/>
    </xf>
    <xf numFmtId="220" fontId="92" fillId="29" borderId="63" xfId="0" applyFont="1" applyFill="1" applyBorder="1" applyAlignment="1" applyProtection="1">
      <alignment horizontal="center" vertical="center" shrinkToFit="1"/>
      <protection hidden="1"/>
    </xf>
    <xf numFmtId="43" fontId="5" fillId="29" borderId="63" xfId="0" applyNumberFormat="1" applyFont="1" applyFill="1" applyBorder="1" applyAlignment="1" applyProtection="1">
      <alignment vertical="center" shrinkToFit="1"/>
      <protection hidden="1"/>
    </xf>
    <xf numFmtId="265" fontId="75" fillId="29" borderId="83" xfId="0" applyNumberFormat="1" applyFont="1" applyFill="1" applyBorder="1" applyAlignment="1" applyProtection="1">
      <alignment horizontal="right" vertical="center" shrinkToFit="1"/>
      <protection hidden="1"/>
    </xf>
    <xf numFmtId="265" fontId="75" fillId="29" borderId="63" xfId="39" applyNumberFormat="1" applyFont="1" applyFill="1" applyBorder="1" applyAlignment="1" applyProtection="1">
      <alignment horizontal="right" vertical="center" shrinkToFit="1"/>
      <protection hidden="1"/>
    </xf>
    <xf numFmtId="220" fontId="3" fillId="29" borderId="78" xfId="0" applyFont="1" applyFill="1" applyBorder="1" applyAlignment="1" applyProtection="1">
      <alignment horizontal="center" vertical="center" shrinkToFit="1"/>
      <protection hidden="1"/>
    </xf>
    <xf numFmtId="220" fontId="87" fillId="29" borderId="63" xfId="0" applyFont="1" applyFill="1" applyBorder="1" applyAlignment="1" applyProtection="1">
      <alignment horizontal="center" vertical="center" shrinkToFit="1"/>
      <protection hidden="1"/>
    </xf>
    <xf numFmtId="220" fontId="75" fillId="29" borderId="78" xfId="0" applyFont="1" applyFill="1" applyBorder="1" applyAlignment="1" applyProtection="1">
      <alignment vertical="center" shrinkToFit="1"/>
      <protection hidden="1"/>
    </xf>
    <xf numFmtId="220" fontId="75" fillId="29" borderId="63" xfId="0" applyFont="1" applyFill="1" applyBorder="1" applyAlignment="1" applyProtection="1">
      <alignment vertical="center" shrinkToFit="1"/>
      <protection hidden="1"/>
    </xf>
    <xf numFmtId="220" fontId="3" fillId="29" borderId="63" xfId="0" applyFont="1" applyFill="1" applyBorder="1" applyAlignment="1" applyProtection="1">
      <alignment horizontal="center" vertical="center" shrinkToFit="1"/>
      <protection hidden="1"/>
    </xf>
    <xf numFmtId="265" fontId="88" fillId="29" borderId="63" xfId="0" applyNumberFormat="1" applyFont="1" applyFill="1" applyBorder="1" applyAlignment="1" applyProtection="1">
      <alignment horizontal="right" vertical="center" shrinkToFit="1"/>
      <protection hidden="1"/>
    </xf>
    <xf numFmtId="265" fontId="88" fillId="29" borderId="83" xfId="0" applyNumberFormat="1" applyFont="1" applyFill="1" applyBorder="1" applyAlignment="1" applyProtection="1">
      <alignment horizontal="right" vertical="center" shrinkToFit="1"/>
      <protection hidden="1"/>
    </xf>
    <xf numFmtId="265" fontId="75" fillId="29" borderId="63" xfId="0" applyNumberFormat="1" applyFont="1" applyFill="1" applyBorder="1" applyAlignment="1" applyProtection="1">
      <alignment horizontal="left" vertical="center" shrinkToFit="1"/>
      <protection hidden="1"/>
    </xf>
    <xf numFmtId="265" fontId="87" fillId="29" borderId="63" xfId="0" applyNumberFormat="1" applyFont="1" applyFill="1" applyBorder="1" applyAlignment="1" applyProtection="1">
      <alignment horizontal="right" vertical="center" shrinkToFit="1"/>
      <protection hidden="1"/>
    </xf>
    <xf numFmtId="265" fontId="95" fillId="29" borderId="63" xfId="0" applyNumberFormat="1" applyFont="1" applyFill="1" applyBorder="1" applyAlignment="1" applyProtection="1">
      <alignment horizontal="right" vertical="center" shrinkToFit="1"/>
      <protection hidden="1"/>
    </xf>
    <xf numFmtId="265" fontId="87" fillId="29" borderId="63" xfId="0" applyNumberFormat="1" applyFont="1" applyFill="1" applyBorder="1" applyAlignment="1" applyProtection="1">
      <alignment horizontal="center" vertical="center" shrinkToFit="1"/>
      <protection hidden="1"/>
    </xf>
    <xf numFmtId="265" fontId="94" fillId="29" borderId="63" xfId="0" applyNumberFormat="1" applyFont="1" applyFill="1" applyBorder="1" applyAlignment="1" applyProtection="1">
      <alignment horizontal="left" vertical="center" shrinkToFit="1"/>
      <protection hidden="1"/>
    </xf>
    <xf numFmtId="220" fontId="5" fillId="29" borderId="78" xfId="0" applyFont="1" applyFill="1" applyBorder="1" applyAlignment="1" applyProtection="1">
      <alignment vertical="center" shrinkToFit="1"/>
      <protection hidden="1"/>
    </xf>
    <xf numFmtId="265" fontId="75" fillId="0" borderId="63" xfId="0" applyNumberFormat="1" applyFont="1" applyFill="1" applyBorder="1" applyAlignment="1" applyProtection="1">
      <alignment horizontal="left" vertical="center" shrinkToFit="1"/>
      <protection hidden="1"/>
    </xf>
    <xf numFmtId="265" fontId="75" fillId="0" borderId="63" xfId="0" applyNumberFormat="1" applyFont="1" applyFill="1" applyBorder="1" applyAlignment="1" applyProtection="1">
      <alignment horizontal="right" vertical="center" shrinkToFit="1"/>
      <protection hidden="1"/>
    </xf>
    <xf numFmtId="265" fontId="75" fillId="0" borderId="83" xfId="0" applyNumberFormat="1" applyFont="1" applyFill="1" applyBorder="1" applyAlignment="1" applyProtection="1">
      <alignment horizontal="right" vertical="center" shrinkToFit="1"/>
      <protection hidden="1"/>
    </xf>
    <xf numFmtId="220" fontId="3" fillId="29" borderId="84" xfId="0" applyFont="1" applyFill="1" applyBorder="1" applyAlignment="1" applyProtection="1">
      <alignment horizontal="center" vertical="center" shrinkToFit="1"/>
      <protection hidden="1"/>
    </xf>
    <xf numFmtId="220" fontId="87" fillId="29" borderId="85" xfId="0" applyFont="1" applyFill="1" applyBorder="1" applyAlignment="1" applyProtection="1">
      <alignment horizontal="center" vertical="center" shrinkToFit="1"/>
      <protection hidden="1"/>
    </xf>
    <xf numFmtId="265" fontId="88" fillId="29" borderId="85" xfId="0" applyNumberFormat="1" applyFont="1" applyFill="1" applyBorder="1" applyAlignment="1" applyProtection="1">
      <alignment horizontal="right" vertical="center" shrinkToFit="1"/>
      <protection hidden="1"/>
    </xf>
    <xf numFmtId="265" fontId="87" fillId="29" borderId="85" xfId="0" applyNumberFormat="1" applyFont="1" applyFill="1" applyBorder="1" applyAlignment="1" applyProtection="1">
      <alignment horizontal="center" vertical="center" shrinkToFit="1"/>
      <protection hidden="1"/>
    </xf>
    <xf numFmtId="265" fontId="88" fillId="29" borderId="86" xfId="0" applyNumberFormat="1" applyFont="1" applyFill="1" applyBorder="1" applyAlignment="1" applyProtection="1">
      <alignment horizontal="right" vertical="center" shrinkToFit="1"/>
      <protection hidden="1"/>
    </xf>
    <xf numFmtId="220" fontId="2" fillId="0" borderId="0" xfId="0" applyFont="1" applyProtection="1">
      <protection locked="0"/>
    </xf>
    <xf numFmtId="220" fontId="2" fillId="0" borderId="0" xfId="0" applyFont="1" applyAlignment="1" applyProtection="1">
      <alignment wrapText="1"/>
      <protection locked="0"/>
    </xf>
    <xf numFmtId="43" fontId="2" fillId="0" borderId="0" xfId="39" applyFont="1" applyAlignment="1" applyProtection="1">
      <alignment horizontal="center"/>
    </xf>
    <xf numFmtId="220" fontId="22" fillId="4" borderId="0" xfId="0" applyFont="1" applyFill="1" applyProtection="1">
      <protection locked="0"/>
    </xf>
    <xf numFmtId="220" fontId="2" fillId="4" borderId="0" xfId="0" applyFont="1" applyFill="1" applyProtection="1">
      <protection locked="0"/>
    </xf>
    <xf numFmtId="220" fontId="20" fillId="0" borderId="0" xfId="0" applyFont="1" applyAlignment="1" applyProtection="1">
      <alignment wrapText="1"/>
      <protection locked="0"/>
    </xf>
    <xf numFmtId="43" fontId="20" fillId="0" borderId="0" xfId="39" applyFont="1" applyAlignment="1" applyProtection="1">
      <protection locked="0"/>
    </xf>
    <xf numFmtId="220" fontId="2" fillId="0" borderId="0" xfId="0" applyFont="1" applyAlignment="1" applyProtection="1">
      <alignment horizontal="left" wrapText="1"/>
      <protection locked="0"/>
    </xf>
    <xf numFmtId="43" fontId="2" fillId="4" borderId="0" xfId="39" applyFont="1" applyFill="1" applyProtection="1"/>
    <xf numFmtId="220" fontId="2" fillId="6" borderId="0" xfId="0" applyFont="1" applyFill="1" applyProtection="1">
      <protection locked="0"/>
    </xf>
    <xf numFmtId="220" fontId="2" fillId="4" borderId="0" xfId="0" applyFont="1" applyFill="1" applyAlignment="1" applyProtection="1">
      <alignment horizontal="left" wrapText="1"/>
      <protection locked="0"/>
    </xf>
    <xf numFmtId="220" fontId="2" fillId="4" borderId="0" xfId="0" applyFont="1" applyFill="1" applyAlignment="1" applyProtection="1">
      <alignment wrapText="1"/>
      <protection locked="0"/>
    </xf>
    <xf numFmtId="220" fontId="20" fillId="0" borderId="0" xfId="0" applyFont="1" applyFill="1" applyAlignment="1" applyProtection="1">
      <alignment vertical="center" wrapText="1"/>
      <protection locked="0"/>
    </xf>
    <xf numFmtId="265" fontId="29" fillId="0" borderId="0" xfId="26" applyNumberFormat="1" applyFont="1" applyFill="1" applyBorder="1" applyAlignment="1" applyProtection="1">
      <alignment horizontal="center" wrapText="1"/>
      <protection locked="0"/>
    </xf>
    <xf numFmtId="220" fontId="2" fillId="17" borderId="0" xfId="0" applyFont="1" applyFill="1" applyProtection="1">
      <protection locked="0"/>
    </xf>
    <xf numFmtId="220" fontId="2" fillId="17" borderId="0" xfId="0" applyFont="1" applyFill="1" applyAlignment="1" applyProtection="1">
      <alignment wrapText="1"/>
      <protection locked="0"/>
    </xf>
    <xf numFmtId="43" fontId="2" fillId="17" borderId="0" xfId="39" applyFont="1" applyFill="1" applyProtection="1"/>
    <xf numFmtId="43" fontId="2" fillId="17" borderId="0" xfId="39" applyFont="1" applyFill="1" applyProtection="1">
      <protection locked="0"/>
    </xf>
    <xf numFmtId="220" fontId="20" fillId="0" borderId="0" xfId="0" applyFont="1" applyFill="1" applyAlignment="1" applyProtection="1">
      <alignment vertical="center"/>
      <protection locked="0"/>
    </xf>
    <xf numFmtId="220" fontId="20" fillId="0" borderId="0" xfId="0" applyFont="1" applyAlignment="1" applyProtection="1">
      <alignment horizontal="center"/>
      <protection locked="0"/>
    </xf>
    <xf numFmtId="220" fontId="23" fillId="0" borderId="0" xfId="0" applyFont="1" applyFill="1" applyAlignment="1" applyProtection="1">
      <alignment vertical="center"/>
      <protection locked="0"/>
    </xf>
    <xf numFmtId="220" fontId="20" fillId="0" borderId="0" xfId="0" applyFont="1" applyAlignment="1" applyProtection="1">
      <alignment horizontal="center" wrapText="1"/>
      <protection locked="0"/>
    </xf>
    <xf numFmtId="43" fontId="2" fillId="0" borderId="0" xfId="0" applyNumberFormat="1" applyFont="1" applyAlignment="1" applyProtection="1">
      <alignment wrapText="1"/>
      <protection locked="0"/>
    </xf>
    <xf numFmtId="220" fontId="30" fillId="2" borderId="0" xfId="0" applyFont="1" applyFill="1" applyAlignment="1" applyProtection="1">
      <protection locked="0"/>
    </xf>
    <xf numFmtId="220" fontId="20" fillId="17" borderId="0" xfId="0" applyFont="1" applyFill="1" applyAlignment="1" applyProtection="1">
      <alignment horizontal="center"/>
      <protection locked="0"/>
    </xf>
    <xf numFmtId="43" fontId="2" fillId="17" borderId="0" xfId="0" applyNumberFormat="1" applyFont="1" applyFill="1" applyAlignment="1" applyProtection="1">
      <alignment wrapText="1"/>
      <protection locked="0"/>
    </xf>
    <xf numFmtId="43" fontId="2" fillId="4" borderId="0" xfId="0" applyNumberFormat="1" applyFont="1" applyFill="1" applyAlignment="1" applyProtection="1">
      <alignment wrapText="1"/>
      <protection locked="0"/>
    </xf>
    <xf numFmtId="220" fontId="20" fillId="17" borderId="0" xfId="0" applyFont="1" applyFill="1" applyAlignment="1" applyProtection="1">
      <alignment horizontal="center" wrapText="1"/>
      <protection locked="0"/>
    </xf>
    <xf numFmtId="220" fontId="2" fillId="0" borderId="10" xfId="26184" applyNumberFormat="1" applyFont="1" applyFill="1" applyBorder="1" applyAlignment="1" applyProtection="1">
      <alignment horizontal="left" vertical="center" wrapText="1"/>
      <protection locked="0"/>
    </xf>
    <xf numFmtId="220" fontId="2" fillId="4" borderId="12" xfId="26193" applyNumberFormat="1" applyFont="1" applyFill="1" applyBorder="1" applyAlignment="1" applyProtection="1">
      <alignment horizontal="center" vertical="center" wrapText="1"/>
      <protection locked="0"/>
    </xf>
    <xf numFmtId="220" fontId="20" fillId="0" borderId="0" xfId="0" applyFont="1" applyFill="1" applyAlignment="1" applyProtection="1">
      <alignment horizontal="center" wrapText="1"/>
      <protection locked="0"/>
    </xf>
    <xf numFmtId="43" fontId="2" fillId="0" borderId="0" xfId="39" applyFont="1" applyFill="1" applyProtection="1">
      <protection locked="0"/>
    </xf>
    <xf numFmtId="43" fontId="2" fillId="0" borderId="0" xfId="0" applyNumberFormat="1" applyFont="1" applyFill="1" applyAlignment="1" applyProtection="1">
      <alignment wrapText="1"/>
      <protection locked="0"/>
    </xf>
    <xf numFmtId="43" fontId="2" fillId="0" borderId="0" xfId="0" applyNumberFormat="1" applyFont="1" applyAlignment="1" applyProtection="1">
      <alignment horizontal="left" wrapText="1"/>
      <protection locked="0"/>
    </xf>
    <xf numFmtId="220" fontId="13" fillId="0" borderId="0" xfId="26195" applyFont="1" applyFill="1" applyAlignment="1" applyProtection="1">
      <alignment horizontal="center" vertical="center"/>
      <protection locked="0"/>
    </xf>
    <xf numFmtId="220" fontId="20" fillId="0" borderId="0" xfId="0" applyFont="1" applyAlignment="1" applyProtection="1">
      <alignment horizontal="left" wrapText="1"/>
      <protection locked="0"/>
    </xf>
    <xf numFmtId="220" fontId="30" fillId="0" borderId="0" xfId="0" applyFont="1" applyAlignment="1" applyProtection="1">
      <alignment wrapText="1"/>
      <protection locked="0"/>
    </xf>
    <xf numFmtId="43" fontId="2" fillId="4" borderId="0" xfId="39" applyFont="1" applyFill="1" applyProtection="1">
      <protection locked="0"/>
    </xf>
    <xf numFmtId="220" fontId="2" fillId="3" borderId="0" xfId="0" applyFont="1" applyFill="1" applyAlignment="1" applyProtection="1">
      <alignment wrapText="1"/>
      <protection locked="0"/>
    </xf>
    <xf numFmtId="43" fontId="2" fillId="3" borderId="0" xfId="0" applyNumberFormat="1" applyFont="1" applyFill="1" applyAlignment="1" applyProtection="1">
      <alignment wrapText="1"/>
      <protection locked="0"/>
    </xf>
    <xf numFmtId="220" fontId="23" fillId="0" borderId="0" xfId="0" applyFont="1" applyAlignment="1" applyProtection="1">
      <alignment horizontal="left" wrapText="1"/>
      <protection locked="0"/>
    </xf>
    <xf numFmtId="220" fontId="3" fillId="0" borderId="0" xfId="0" applyFont="1" applyAlignment="1" applyProtection="1">
      <protection locked="0"/>
    </xf>
    <xf numFmtId="43" fontId="2" fillId="4" borderId="0" xfId="0" applyNumberFormat="1" applyFont="1" applyFill="1" applyAlignment="1" applyProtection="1">
      <alignment horizontal="left" wrapText="1"/>
      <protection locked="0"/>
    </xf>
    <xf numFmtId="220" fontId="4" fillId="0" borderId="0" xfId="0" applyFont="1" applyProtection="1">
      <protection locked="0"/>
    </xf>
    <xf numFmtId="220" fontId="20" fillId="3" borderId="0" xfId="0" applyFont="1" applyFill="1" applyAlignment="1" applyProtection="1">
      <alignment horizontal="center" wrapText="1"/>
      <protection locked="0"/>
    </xf>
    <xf numFmtId="220" fontId="23" fillId="0" borderId="0" xfId="0" applyFont="1" applyFill="1" applyAlignment="1" applyProtection="1">
      <protection locked="0"/>
    </xf>
    <xf numFmtId="220" fontId="31" fillId="0" borderId="0" xfId="0" applyFont="1" applyAlignment="1" applyProtection="1">
      <protection locked="0"/>
    </xf>
    <xf numFmtId="220" fontId="2" fillId="0" borderId="0" xfId="0" applyFont="1" applyAlignment="1" applyProtection="1">
      <alignment horizontal="center" wrapText="1"/>
      <protection locked="0"/>
    </xf>
    <xf numFmtId="220" fontId="2" fillId="4" borderId="0" xfId="0" applyFont="1" applyFill="1" applyAlignment="1" applyProtection="1">
      <alignment horizontal="center" wrapText="1"/>
      <protection locked="0"/>
    </xf>
    <xf numFmtId="220" fontId="3" fillId="17" borderId="0" xfId="0" applyFont="1" applyFill="1" applyAlignment="1" applyProtection="1">
      <alignment horizontal="center" wrapText="1"/>
      <protection locked="0"/>
    </xf>
    <xf numFmtId="220" fontId="20" fillId="0" borderId="0" xfId="0" applyFont="1" applyProtection="1">
      <protection locked="0"/>
    </xf>
    <xf numFmtId="220" fontId="3" fillId="0" borderId="0" xfId="0" applyFont="1" applyAlignment="1" applyProtection="1">
      <alignment horizontal="center"/>
      <protection locked="0"/>
    </xf>
    <xf numFmtId="220" fontId="5" fillId="0" borderId="0" xfId="0" applyFont="1" applyAlignment="1" applyProtection="1">
      <protection locked="0"/>
    </xf>
    <xf numFmtId="220" fontId="5" fillId="4" borderId="0" xfId="0" applyFont="1" applyFill="1" applyAlignment="1" applyProtection="1">
      <protection locked="0"/>
    </xf>
    <xf numFmtId="220" fontId="23" fillId="0" borderId="0" xfId="23895" applyFont="1" applyFill="1" applyBorder="1" applyAlignment="1" applyProtection="1">
      <alignment horizontal="left" vertical="center" wrapText="1"/>
      <protection locked="0"/>
    </xf>
    <xf numFmtId="220" fontId="4" fillId="0" borderId="0" xfId="0" applyFont="1" applyAlignment="1" applyProtection="1">
      <protection locked="0"/>
    </xf>
    <xf numFmtId="220" fontId="2" fillId="0" borderId="0" xfId="0" applyFont="1" applyFill="1" applyAlignment="1" applyProtection="1">
      <alignment wrapText="1"/>
      <protection locked="0"/>
    </xf>
    <xf numFmtId="220" fontId="20" fillId="0" borderId="18" xfId="0" applyFont="1" applyFill="1" applyBorder="1" applyAlignment="1" applyProtection="1">
      <alignment horizontal="center" vertical="center" wrapText="1"/>
      <protection locked="0"/>
    </xf>
    <xf numFmtId="220" fontId="23" fillId="0" borderId="0" xfId="0" applyFont="1" applyAlignment="1" applyProtection="1">
      <alignment wrapText="1"/>
      <protection locked="0"/>
    </xf>
    <xf numFmtId="43" fontId="20" fillId="4" borderId="0" xfId="39" applyFont="1" applyFill="1" applyProtection="1"/>
    <xf numFmtId="43" fontId="2" fillId="0" borderId="0" xfId="39" applyFont="1" applyProtection="1">
      <protection locked="0"/>
    </xf>
    <xf numFmtId="43" fontId="20" fillId="0" borderId="0" xfId="39" applyFont="1" applyAlignment="1" applyProtection="1">
      <alignment wrapText="1"/>
      <protection locked="0"/>
    </xf>
    <xf numFmtId="43" fontId="2" fillId="0" borderId="0" xfId="39" applyFont="1" applyAlignment="1" applyProtection="1">
      <alignment wrapText="1"/>
      <protection locked="0"/>
    </xf>
    <xf numFmtId="43" fontId="2" fillId="4" borderId="0" xfId="39" applyFont="1" applyFill="1" applyAlignment="1" applyProtection="1">
      <alignment wrapText="1"/>
      <protection locked="0"/>
    </xf>
    <xf numFmtId="43" fontId="2" fillId="0" borderId="0" xfId="39" applyFont="1" applyProtection="1"/>
    <xf numFmtId="43" fontId="2" fillId="4" borderId="0" xfId="39" applyFont="1" applyFill="1" applyAlignment="1" applyProtection="1">
      <alignment wrapText="1"/>
    </xf>
    <xf numFmtId="43" fontId="20" fillId="0" borderId="0" xfId="0" applyNumberFormat="1" applyFont="1" applyAlignment="1" applyProtection="1">
      <alignment wrapText="1"/>
      <protection locked="0"/>
    </xf>
    <xf numFmtId="43" fontId="2" fillId="4" borderId="0" xfId="39" applyFont="1" applyFill="1" applyAlignment="1" applyProtection="1">
      <alignment horizontal="center"/>
    </xf>
    <xf numFmtId="220" fontId="20" fillId="0" borderId="0" xfId="0" applyFont="1" applyAlignment="1" applyProtection="1">
      <protection locked="0"/>
    </xf>
    <xf numFmtId="43" fontId="2" fillId="0" borderId="0" xfId="39" applyFont="1" applyFill="1" applyProtection="1"/>
    <xf numFmtId="43" fontId="2" fillId="0" borderId="0" xfId="39" applyFont="1" applyFill="1" applyAlignment="1" applyProtection="1">
      <alignment wrapText="1"/>
      <protection locked="0"/>
    </xf>
    <xf numFmtId="43" fontId="2" fillId="0" borderId="0" xfId="39" applyFont="1" applyFill="1" applyAlignment="1" applyProtection="1">
      <alignment horizontal="center"/>
    </xf>
    <xf numFmtId="220" fontId="20" fillId="0" borderId="0" xfId="0" applyFont="1" applyFill="1" applyAlignment="1" applyProtection="1">
      <alignment wrapText="1"/>
      <protection locked="0"/>
    </xf>
    <xf numFmtId="43" fontId="2" fillId="0" borderId="0" xfId="39" applyFont="1" applyAlignment="1" applyProtection="1">
      <alignment horizontal="right"/>
    </xf>
    <xf numFmtId="43" fontId="2" fillId="4" borderId="0" xfId="39" applyFont="1" applyFill="1" applyAlignment="1" applyProtection="1">
      <alignment horizontal="right"/>
    </xf>
    <xf numFmtId="220" fontId="2" fillId="0" borderId="0" xfId="0" applyFont="1" applyAlignment="1" applyProtection="1">
      <alignment horizontal="center"/>
      <protection locked="0"/>
    </xf>
    <xf numFmtId="43" fontId="2" fillId="4" borderId="0" xfId="39" applyFont="1" applyFill="1" applyAlignment="1" applyProtection="1">
      <alignment horizontal="left"/>
    </xf>
    <xf numFmtId="43" fontId="20" fillId="4" borderId="0" xfId="0" applyNumberFormat="1" applyFont="1" applyFill="1" applyAlignment="1" applyProtection="1">
      <alignment wrapText="1"/>
      <protection locked="0"/>
    </xf>
    <xf numFmtId="43" fontId="20" fillId="0" borderId="0" xfId="0" applyNumberFormat="1" applyFont="1" applyFill="1" applyAlignment="1" applyProtection="1">
      <alignment wrapText="1"/>
      <protection locked="0"/>
    </xf>
    <xf numFmtId="43" fontId="20" fillId="4" borderId="0" xfId="39" applyFont="1" applyFill="1" applyAlignment="1" applyProtection="1">
      <alignment wrapText="1"/>
      <protection locked="0"/>
    </xf>
    <xf numFmtId="220" fontId="20" fillId="6" borderId="0" xfId="0" applyFont="1" applyFill="1" applyAlignment="1" applyProtection="1">
      <alignment wrapText="1"/>
      <protection locked="0"/>
    </xf>
    <xf numFmtId="43" fontId="2" fillId="6" borderId="0" xfId="39" applyFont="1" applyFill="1" applyProtection="1">
      <protection locked="0"/>
    </xf>
    <xf numFmtId="43" fontId="2" fillId="6" borderId="0" xfId="39" applyFont="1" applyFill="1" applyAlignment="1" applyProtection="1">
      <alignment wrapText="1"/>
      <protection locked="0"/>
    </xf>
    <xf numFmtId="220" fontId="3" fillId="29" borderId="0" xfId="0" applyFont="1" applyFill="1" applyAlignment="1" applyProtection="1">
      <alignment horizontal="center" vertical="center" shrinkToFit="1"/>
      <protection hidden="1"/>
    </xf>
    <xf numFmtId="265" fontId="75" fillId="29" borderId="0" xfId="0" applyNumberFormat="1" applyFont="1" applyFill="1" applyAlignment="1" applyProtection="1">
      <alignment horizontal="center" vertical="center" shrinkToFit="1"/>
      <protection hidden="1"/>
    </xf>
    <xf numFmtId="220" fontId="5" fillId="29" borderId="0" xfId="0" applyFont="1" applyFill="1" applyAlignment="1" applyProtection="1">
      <alignment vertical="center"/>
      <protection hidden="1"/>
    </xf>
    <xf numFmtId="220" fontId="75" fillId="29" borderId="0" xfId="0" applyFont="1" applyFill="1" applyAlignment="1" applyProtection="1">
      <alignment horizontal="left" vertical="center" shrinkToFit="1"/>
      <protection hidden="1"/>
    </xf>
    <xf numFmtId="265" fontId="5" fillId="29" borderId="87" xfId="0" applyNumberFormat="1" applyFont="1" applyFill="1" applyBorder="1" applyAlignment="1" applyProtection="1">
      <alignment horizontal="center" vertical="center" wrapText="1" shrinkToFit="1"/>
      <protection hidden="1"/>
    </xf>
    <xf numFmtId="265" fontId="5" fillId="29" borderId="88" xfId="0" applyNumberFormat="1" applyFont="1" applyFill="1" applyBorder="1" applyAlignment="1" applyProtection="1">
      <alignment horizontal="center" vertical="center" shrinkToFit="1"/>
      <protection hidden="1"/>
    </xf>
    <xf numFmtId="265" fontId="5" fillId="29" borderId="89" xfId="0" applyNumberFormat="1" applyFont="1" applyFill="1" applyBorder="1" applyAlignment="1" applyProtection="1">
      <alignment horizontal="center" vertical="center" shrinkToFit="1"/>
      <protection hidden="1"/>
    </xf>
    <xf numFmtId="265" fontId="5" fillId="29" borderId="90" xfId="0" applyNumberFormat="1" applyFont="1" applyFill="1" applyBorder="1" applyAlignment="1" applyProtection="1">
      <alignment horizontal="center" vertical="center" wrapText="1" shrinkToFit="1"/>
      <protection hidden="1"/>
    </xf>
    <xf numFmtId="265" fontId="95" fillId="29" borderId="63" xfId="0" applyNumberFormat="1" applyFont="1" applyFill="1" applyBorder="1" applyAlignment="1" applyProtection="1">
      <alignment vertical="center" shrinkToFit="1"/>
      <protection hidden="1"/>
    </xf>
    <xf numFmtId="43" fontId="88" fillId="29" borderId="63" xfId="0" applyNumberFormat="1" applyFont="1" applyFill="1" applyBorder="1" applyAlignment="1" applyProtection="1">
      <alignment horizontal="right" vertical="center" shrinkToFit="1"/>
      <protection hidden="1"/>
    </xf>
    <xf numFmtId="43" fontId="88" fillId="29" borderId="85" xfId="0" applyNumberFormat="1" applyFont="1" applyFill="1" applyBorder="1" applyAlignment="1" applyProtection="1">
      <alignment horizontal="right" vertical="center" shrinkToFit="1"/>
      <protection hidden="1"/>
    </xf>
    <xf numFmtId="265" fontId="75" fillId="29" borderId="85" xfId="0" applyNumberFormat="1" applyFont="1" applyFill="1" applyBorder="1" applyAlignment="1" applyProtection="1">
      <alignment horizontal="right" vertical="center" shrinkToFit="1"/>
      <protection hidden="1"/>
    </xf>
    <xf numFmtId="265" fontId="95" fillId="29" borderId="78" xfId="0" applyNumberFormat="1" applyFont="1" applyFill="1" applyBorder="1" applyAlignment="1" applyProtection="1">
      <alignment horizontal="left" vertical="center" shrinkToFit="1"/>
      <protection hidden="1"/>
    </xf>
    <xf numFmtId="265" fontId="95" fillId="29" borderId="64" xfId="0" applyNumberFormat="1" applyFont="1" applyFill="1" applyBorder="1" applyAlignment="1" applyProtection="1">
      <alignment vertical="center" shrinkToFit="1"/>
      <protection hidden="1"/>
    </xf>
    <xf numFmtId="265" fontId="75" fillId="29" borderId="64" xfId="0" applyNumberFormat="1" applyFont="1" applyFill="1" applyBorder="1" applyAlignment="1" applyProtection="1">
      <alignment horizontal="justify" vertical="center" shrinkToFit="1"/>
      <protection hidden="1"/>
    </xf>
    <xf numFmtId="265" fontId="75" fillId="29" borderId="64" xfId="0" applyNumberFormat="1" applyFont="1" applyFill="1" applyBorder="1" applyAlignment="1" applyProtection="1">
      <alignment horizontal="right" vertical="center" shrinkToFit="1"/>
      <protection hidden="1"/>
    </xf>
    <xf numFmtId="220" fontId="5" fillId="0" borderId="0" xfId="0" applyFont="1" applyAlignment="1" applyProtection="1">
      <alignment vertical="center"/>
      <protection hidden="1"/>
    </xf>
    <xf numFmtId="265" fontId="5" fillId="29" borderId="91" xfId="0" applyNumberFormat="1" applyFont="1" applyFill="1" applyBorder="1" applyAlignment="1" applyProtection="1">
      <alignment horizontal="center" vertical="center" wrapText="1" shrinkToFit="1"/>
      <protection hidden="1"/>
    </xf>
    <xf numFmtId="265" fontId="5" fillId="29" borderId="92" xfId="0" applyNumberFormat="1" applyFont="1" applyFill="1" applyBorder="1" applyAlignment="1" applyProtection="1">
      <alignment horizontal="center" vertical="center" wrapText="1" shrinkToFit="1"/>
      <protection hidden="1"/>
    </xf>
    <xf numFmtId="265" fontId="75" fillId="29" borderId="83" xfId="0" applyNumberFormat="1" applyFont="1" applyFill="1" applyBorder="1" applyAlignment="1" applyProtection="1">
      <alignment horizontal="justify" vertical="center" shrinkToFit="1"/>
      <protection hidden="1"/>
    </xf>
    <xf numFmtId="220" fontId="5" fillId="0" borderId="0" xfId="0" applyFont="1" applyAlignment="1" applyProtection="1">
      <alignment vertical="center" shrinkToFit="1"/>
      <protection hidden="1"/>
    </xf>
    <xf numFmtId="10" fontId="75" fillId="29" borderId="83" xfId="0" applyNumberFormat="1" applyFont="1" applyFill="1" applyBorder="1" applyAlignment="1" applyProtection="1">
      <alignment horizontal="center" vertical="center" shrinkToFit="1"/>
      <protection hidden="1"/>
    </xf>
    <xf numFmtId="43" fontId="88" fillId="29" borderId="83" xfId="0" applyNumberFormat="1" applyFont="1" applyFill="1" applyBorder="1" applyAlignment="1" applyProtection="1">
      <alignment horizontal="right" vertical="center" shrinkToFit="1"/>
      <protection hidden="1"/>
    </xf>
    <xf numFmtId="10" fontId="75" fillId="29" borderId="86" xfId="0" applyNumberFormat="1" applyFont="1" applyFill="1" applyBorder="1" applyAlignment="1" applyProtection="1">
      <alignment horizontal="center" vertical="center" shrinkToFit="1"/>
      <protection hidden="1"/>
    </xf>
    <xf numFmtId="265" fontId="75" fillId="29" borderId="78" xfId="0" applyNumberFormat="1" applyFont="1" applyFill="1" applyBorder="1" applyAlignment="1" applyProtection="1">
      <alignment horizontal="left" vertical="center" shrinkToFit="1"/>
      <protection hidden="1"/>
    </xf>
    <xf numFmtId="265" fontId="87" fillId="29" borderId="64" xfId="0" applyNumberFormat="1" applyFont="1" applyFill="1" applyBorder="1" applyAlignment="1" applyProtection="1">
      <alignment horizontal="right" vertical="center" shrinkToFit="1"/>
      <protection hidden="1"/>
    </xf>
    <xf numFmtId="265" fontId="95" fillId="29" borderId="64" xfId="0" applyNumberFormat="1" applyFont="1" applyFill="1" applyBorder="1" applyAlignment="1" applyProtection="1">
      <alignment horizontal="right" vertical="center" shrinkToFit="1"/>
      <protection hidden="1"/>
    </xf>
    <xf numFmtId="265" fontId="87" fillId="29" borderId="78" xfId="0" applyNumberFormat="1" applyFont="1" applyFill="1" applyBorder="1" applyAlignment="1" applyProtection="1">
      <alignment horizontal="center" vertical="center" shrinkToFit="1"/>
      <protection hidden="1"/>
    </xf>
    <xf numFmtId="265" fontId="94" fillId="29" borderId="78" xfId="0" applyNumberFormat="1" applyFont="1" applyFill="1" applyBorder="1" applyAlignment="1" applyProtection="1">
      <alignment horizontal="left" vertical="center" shrinkToFit="1"/>
      <protection hidden="1"/>
    </xf>
    <xf numFmtId="43" fontId="88" fillId="29" borderId="64" xfId="0" applyNumberFormat="1" applyFont="1" applyFill="1" applyBorder="1" applyAlignment="1" applyProtection="1">
      <alignment horizontal="right" vertical="center" shrinkToFit="1"/>
      <protection hidden="1"/>
    </xf>
    <xf numFmtId="265" fontId="87" fillId="29" borderId="84" xfId="0" applyNumberFormat="1" applyFont="1" applyFill="1" applyBorder="1" applyAlignment="1" applyProtection="1">
      <alignment horizontal="center" vertical="center" shrinkToFit="1"/>
      <protection hidden="1"/>
    </xf>
    <xf numFmtId="265" fontId="5" fillId="29" borderId="93" xfId="0" applyNumberFormat="1" applyFont="1" applyFill="1" applyBorder="1" applyAlignment="1" applyProtection="1">
      <alignment horizontal="center" vertical="center" shrinkToFit="1"/>
      <protection hidden="1"/>
    </xf>
    <xf numFmtId="265" fontId="5" fillId="29" borderId="94" xfId="0" applyNumberFormat="1" applyFont="1" applyFill="1" applyBorder="1" applyAlignment="1" applyProtection="1">
      <alignment horizontal="center" vertical="center" shrinkToFit="1"/>
      <protection hidden="1"/>
    </xf>
    <xf numFmtId="265" fontId="5" fillId="29" borderId="95" xfId="0" applyNumberFormat="1" applyFont="1" applyFill="1" applyBorder="1" applyAlignment="1" applyProtection="1">
      <alignment horizontal="center" vertical="center" wrapText="1" shrinkToFit="1"/>
      <protection hidden="1"/>
    </xf>
    <xf numFmtId="43" fontId="88" fillId="29" borderId="1" xfId="0" applyNumberFormat="1" applyFont="1" applyFill="1" applyBorder="1" applyAlignment="1" applyProtection="1">
      <alignment vertical="center" shrinkToFit="1"/>
      <protection hidden="1"/>
    </xf>
    <xf numFmtId="43" fontId="75" fillId="29" borderId="1" xfId="39" applyFont="1" applyFill="1" applyBorder="1" applyAlignment="1" applyProtection="1">
      <alignment vertical="center" shrinkToFit="1"/>
      <protection hidden="1"/>
    </xf>
    <xf numFmtId="43" fontId="75" fillId="29" borderId="64" xfId="39" applyFont="1" applyFill="1" applyBorder="1" applyAlignment="1" applyProtection="1">
      <alignment horizontal="right" vertical="center" shrinkToFit="1"/>
      <protection hidden="1"/>
    </xf>
    <xf numFmtId="43" fontId="75" fillId="29" borderId="63" xfId="39" applyFont="1" applyFill="1" applyBorder="1" applyAlignment="1" applyProtection="1">
      <alignment horizontal="right" vertical="center" shrinkToFit="1"/>
      <protection hidden="1"/>
    </xf>
    <xf numFmtId="43" fontId="88" fillId="29" borderId="74" xfId="0" applyNumberFormat="1" applyFont="1" applyFill="1" applyBorder="1" applyAlignment="1" applyProtection="1">
      <alignment vertical="center" shrinkToFit="1"/>
      <protection hidden="1"/>
    </xf>
    <xf numFmtId="265" fontId="75" fillId="29" borderId="96" xfId="0" applyNumberFormat="1" applyFont="1" applyFill="1" applyBorder="1" applyAlignment="1" applyProtection="1">
      <alignment horizontal="right" vertical="center" shrinkToFit="1"/>
      <protection hidden="1"/>
    </xf>
    <xf numFmtId="265" fontId="5" fillId="29" borderId="97" xfId="0" applyNumberFormat="1" applyFont="1" applyFill="1" applyBorder="1" applyAlignment="1" applyProtection="1">
      <alignment horizontal="center" vertical="center" wrapText="1" shrinkToFit="1"/>
      <protection hidden="1"/>
    </xf>
    <xf numFmtId="43" fontId="75" fillId="29" borderId="83" xfId="39" applyFont="1" applyFill="1" applyBorder="1" applyAlignment="1" applyProtection="1">
      <alignment horizontal="center" vertical="center" shrinkToFit="1"/>
      <protection hidden="1"/>
    </xf>
    <xf numFmtId="10" fontId="75" fillId="29" borderId="98" xfId="0" applyNumberFormat="1" applyFont="1" applyFill="1" applyBorder="1" applyAlignment="1" applyProtection="1">
      <alignment horizontal="center" vertical="center" shrinkToFit="1"/>
      <protection hidden="1"/>
    </xf>
    <xf numFmtId="265" fontId="75" fillId="29" borderId="0" xfId="0" applyNumberFormat="1" applyFont="1" applyFill="1" applyAlignment="1" applyProtection="1">
      <alignment horizontal="left" vertical="center" shrinkToFit="1"/>
      <protection hidden="1"/>
    </xf>
    <xf numFmtId="292" fontId="75" fillId="29" borderId="0" xfId="0" applyNumberFormat="1" applyFont="1" applyFill="1" applyAlignment="1" applyProtection="1">
      <alignment horizontal="left" vertical="center" shrinkToFit="1"/>
      <protection hidden="1"/>
    </xf>
    <xf numFmtId="220" fontId="95" fillId="29" borderId="63" xfId="0" applyFont="1" applyFill="1" applyBorder="1" applyAlignment="1" applyProtection="1">
      <alignment horizontal="center" vertical="center" shrinkToFit="1"/>
      <protection hidden="1"/>
    </xf>
    <xf numFmtId="220" fontId="75" fillId="29" borderId="63" xfId="0" applyFont="1" applyFill="1" applyBorder="1" applyAlignment="1" applyProtection="1">
      <alignment horizontal="center" vertical="center" shrinkToFit="1"/>
      <protection hidden="1"/>
    </xf>
    <xf numFmtId="43" fontId="88" fillId="29" borderId="86" xfId="0" applyNumberFormat="1" applyFont="1" applyFill="1" applyBorder="1" applyAlignment="1" applyProtection="1">
      <alignment horizontal="right" vertical="center" shrinkToFit="1"/>
      <protection hidden="1"/>
    </xf>
    <xf numFmtId="220" fontId="86" fillId="29" borderId="99" xfId="0" applyFont="1" applyFill="1" applyBorder="1" applyAlignment="1" applyProtection="1">
      <alignment horizontal="center" vertical="center"/>
      <protection hidden="1"/>
    </xf>
    <xf numFmtId="265" fontId="95" fillId="29" borderId="63" xfId="0" applyNumberFormat="1" applyFont="1" applyFill="1" applyBorder="1" applyAlignment="1" applyProtection="1">
      <alignment horizontal="center" vertical="center" shrinkToFit="1"/>
      <protection hidden="1"/>
    </xf>
    <xf numFmtId="265" fontId="75" fillId="29" borderId="63" xfId="0" applyNumberFormat="1" applyFont="1" applyFill="1" applyBorder="1" applyAlignment="1" applyProtection="1">
      <alignment horizontal="center" vertical="center" shrinkToFit="1"/>
      <protection hidden="1"/>
    </xf>
    <xf numFmtId="220" fontId="5" fillId="29" borderId="0" xfId="0" applyFont="1" applyFill="1" applyAlignment="1" applyProtection="1">
      <alignment horizontal="right" vertical="center" shrinkToFit="1"/>
      <protection hidden="1"/>
    </xf>
    <xf numFmtId="220" fontId="75" fillId="29" borderId="0" xfId="0" applyFont="1" applyFill="1" applyAlignment="1" applyProtection="1">
      <alignment horizontal="right" vertical="center" shrinkToFit="1"/>
      <protection hidden="1"/>
    </xf>
    <xf numFmtId="220" fontId="5" fillId="29" borderId="77" xfId="0" applyFont="1" applyFill="1" applyBorder="1" applyAlignment="1" applyProtection="1">
      <alignment horizontal="center" vertical="center" shrinkToFit="1"/>
      <protection hidden="1"/>
    </xf>
    <xf numFmtId="220" fontId="75" fillId="29" borderId="1" xfId="0" applyFont="1" applyFill="1" applyBorder="1" applyAlignment="1" applyProtection="1">
      <alignment horizontal="center" vertical="center" shrinkToFit="1"/>
      <protection hidden="1"/>
    </xf>
    <xf numFmtId="43" fontId="88" fillId="29" borderId="72" xfId="0" applyNumberFormat="1" applyFont="1" applyFill="1" applyBorder="1" applyAlignment="1" applyProtection="1">
      <alignment vertical="center" shrinkToFit="1"/>
      <protection hidden="1"/>
    </xf>
    <xf numFmtId="220" fontId="5" fillId="29" borderId="73" xfId="0" applyFont="1" applyFill="1" applyBorder="1" applyAlignment="1" applyProtection="1">
      <alignment vertical="center" shrinkToFit="1"/>
      <protection hidden="1"/>
    </xf>
    <xf numFmtId="220" fontId="75" fillId="29" borderId="74" xfId="0" applyFont="1" applyFill="1" applyBorder="1" applyAlignment="1" applyProtection="1">
      <alignment horizontal="center" vertical="center" shrinkToFit="1"/>
      <protection hidden="1"/>
    </xf>
    <xf numFmtId="265" fontId="75" fillId="29" borderId="74" xfId="0" applyNumberFormat="1" applyFont="1" applyFill="1" applyBorder="1" applyAlignment="1" applyProtection="1">
      <alignment vertical="center" shrinkToFit="1"/>
      <protection hidden="1"/>
    </xf>
    <xf numFmtId="265" fontId="75" fillId="29" borderId="75" xfId="0" applyNumberFormat="1" applyFont="1" applyFill="1" applyBorder="1" applyAlignment="1" applyProtection="1">
      <alignment vertical="center" shrinkToFit="1"/>
      <protection hidden="1"/>
    </xf>
    <xf numFmtId="43" fontId="86" fillId="29" borderId="0" xfId="0" applyNumberFormat="1" applyFont="1" applyFill="1" applyAlignment="1" applyProtection="1">
      <alignment horizontal="left" vertical="center" shrinkToFit="1"/>
      <protection hidden="1"/>
    </xf>
    <xf numFmtId="43" fontId="92" fillId="0" borderId="0" xfId="0" applyNumberFormat="1" applyFont="1" applyAlignment="1" applyProtection="1">
      <alignment horizontal="left" vertical="center" shrinkToFit="1"/>
      <protection hidden="1"/>
    </xf>
    <xf numFmtId="43" fontId="96" fillId="29" borderId="0" xfId="0" applyNumberFormat="1" applyFont="1" applyFill="1" applyAlignment="1" applyProtection="1">
      <alignment vertical="center" shrinkToFit="1"/>
      <protection hidden="1"/>
    </xf>
    <xf numFmtId="43" fontId="75" fillId="29" borderId="0" xfId="0" applyNumberFormat="1" applyFont="1" applyFill="1" applyAlignment="1" applyProtection="1">
      <alignment vertical="center" shrinkToFit="1"/>
      <protection hidden="1"/>
    </xf>
    <xf numFmtId="43" fontId="37" fillId="29" borderId="0" xfId="0" applyNumberFormat="1" applyFont="1" applyFill="1" applyAlignment="1" applyProtection="1">
      <alignment vertical="center" shrinkToFit="1"/>
      <protection hidden="1"/>
    </xf>
    <xf numFmtId="43" fontId="35" fillId="29" borderId="1" xfId="0" applyNumberFormat="1" applyFont="1" applyFill="1" applyBorder="1" applyAlignment="1" applyProtection="1">
      <alignment horizontal="center" vertical="center" shrinkToFit="1"/>
      <protection hidden="1"/>
    </xf>
    <xf numFmtId="43" fontId="97" fillId="29" borderId="1" xfId="0" applyNumberFormat="1" applyFont="1" applyFill="1" applyBorder="1" applyAlignment="1" applyProtection="1">
      <alignment horizontal="center" vertical="center" shrinkToFit="1"/>
      <protection hidden="1"/>
    </xf>
    <xf numFmtId="43" fontId="35" fillId="29" borderId="1" xfId="0" applyNumberFormat="1" applyFont="1" applyFill="1" applyBorder="1" applyAlignment="1" applyProtection="1">
      <alignment vertical="center" shrinkToFit="1"/>
      <protection hidden="1"/>
    </xf>
    <xf numFmtId="43" fontId="97" fillId="0" borderId="1" xfId="0" applyNumberFormat="1" applyFont="1" applyFill="1" applyBorder="1" applyAlignment="1" applyProtection="1">
      <alignment vertical="center" shrinkToFit="1"/>
      <protection locked="0"/>
    </xf>
    <xf numFmtId="43" fontId="98" fillId="0" borderId="0" xfId="0" applyNumberFormat="1" applyFont="1" applyAlignment="1" applyProtection="1">
      <alignment vertical="center" shrinkToFit="1"/>
      <protection hidden="1"/>
    </xf>
    <xf numFmtId="43" fontId="97" fillId="29" borderId="1" xfId="0" applyNumberFormat="1" applyFont="1" applyFill="1" applyBorder="1" applyAlignment="1" applyProtection="1">
      <alignment vertical="center" shrinkToFit="1"/>
      <protection hidden="1"/>
    </xf>
    <xf numFmtId="43" fontId="3" fillId="29" borderId="0" xfId="0" applyNumberFormat="1" applyFont="1" applyFill="1" applyAlignment="1" applyProtection="1">
      <alignment vertical="center" shrinkToFit="1"/>
      <protection hidden="1"/>
    </xf>
    <xf numFmtId="43" fontId="35" fillId="29" borderId="16" xfId="0" applyNumberFormat="1" applyFont="1" applyFill="1" applyBorder="1" applyAlignment="1" applyProtection="1">
      <alignment horizontal="center" vertical="center" shrinkToFit="1"/>
      <protection hidden="1"/>
    </xf>
    <xf numFmtId="43" fontId="35" fillId="29" borderId="20" xfId="0" applyNumberFormat="1" applyFont="1" applyFill="1" applyBorder="1" applyAlignment="1" applyProtection="1">
      <alignment horizontal="center" vertical="center" shrinkToFit="1"/>
      <protection hidden="1"/>
    </xf>
    <xf numFmtId="43" fontId="35" fillId="29" borderId="20" xfId="0" applyNumberFormat="1" applyFont="1" applyFill="1" applyBorder="1" applyAlignment="1" applyProtection="1">
      <alignment horizontal="left" vertical="center" shrinkToFit="1"/>
      <protection hidden="1"/>
    </xf>
    <xf numFmtId="43" fontId="35" fillId="0" borderId="1" xfId="0" applyNumberFormat="1" applyFont="1" applyFill="1" applyBorder="1" applyAlignment="1" applyProtection="1">
      <alignment vertical="center" shrinkToFit="1"/>
      <protection locked="0"/>
    </xf>
    <xf numFmtId="10" fontId="88" fillId="29" borderId="1" xfId="0" applyNumberFormat="1" applyFont="1" applyFill="1" applyBorder="1" applyAlignment="1" applyProtection="1">
      <alignment horizontal="center" vertical="center" shrinkToFit="1"/>
      <protection hidden="1"/>
    </xf>
    <xf numFmtId="43" fontId="97" fillId="29" borderId="0" xfId="0" applyNumberFormat="1" applyFont="1" applyFill="1" applyBorder="1" applyAlignment="1" applyProtection="1">
      <alignment horizontal="center" vertical="center" shrinkToFit="1"/>
      <protection hidden="1"/>
    </xf>
    <xf numFmtId="43" fontId="75" fillId="29" borderId="0" xfId="0" applyNumberFormat="1" applyFont="1" applyFill="1" applyBorder="1" applyAlignment="1" applyProtection="1">
      <alignment vertical="center" shrinkToFit="1"/>
      <protection hidden="1"/>
    </xf>
    <xf numFmtId="43" fontId="37" fillId="29" borderId="0" xfId="0" applyNumberFormat="1" applyFont="1" applyFill="1" applyAlignment="1" applyProtection="1">
      <alignment vertical="center"/>
      <protection hidden="1"/>
    </xf>
    <xf numFmtId="43" fontId="87" fillId="29" borderId="0" xfId="0" applyNumberFormat="1" applyFont="1" applyFill="1" applyAlignment="1" applyProtection="1">
      <alignment vertical="center" shrinkToFit="1"/>
      <protection hidden="1"/>
    </xf>
    <xf numFmtId="43" fontId="75" fillId="29" borderId="1" xfId="0" applyNumberFormat="1" applyFont="1" applyFill="1" applyBorder="1" applyAlignment="1" applyProtection="1">
      <alignment vertical="center" shrinkToFit="1"/>
      <protection hidden="1"/>
    </xf>
    <xf numFmtId="43" fontId="35" fillId="29" borderId="0" xfId="0" applyNumberFormat="1" applyFont="1" applyFill="1" applyBorder="1" applyAlignment="1" applyProtection="1">
      <alignment horizontal="center" vertical="center" shrinkToFit="1"/>
      <protection hidden="1"/>
    </xf>
    <xf numFmtId="43" fontId="88" fillId="29" borderId="0" xfId="0" applyNumberFormat="1" applyFont="1" applyFill="1" applyBorder="1" applyAlignment="1" applyProtection="1">
      <alignment vertical="center" shrinkToFit="1"/>
      <protection hidden="1"/>
    </xf>
    <xf numFmtId="43" fontId="75" fillId="29" borderId="0" xfId="0" applyNumberFormat="1" applyFont="1" applyFill="1" applyAlignment="1" applyProtection="1">
      <alignment horizontal="left" vertical="center" shrinkToFit="1"/>
      <protection hidden="1"/>
    </xf>
    <xf numFmtId="43" fontId="75" fillId="29" borderId="0" xfId="0" applyNumberFormat="1" applyFont="1" applyFill="1" applyBorder="1" applyAlignment="1" applyProtection="1">
      <alignment horizontal="center" vertical="center" shrinkToFit="1"/>
      <protection hidden="1"/>
    </xf>
    <xf numFmtId="43" fontId="97" fillId="29" borderId="0" xfId="0" applyNumberFormat="1" applyFont="1" applyFill="1" applyAlignment="1" applyProtection="1">
      <alignment vertical="center" shrinkToFit="1"/>
      <protection hidden="1"/>
    </xf>
    <xf numFmtId="43" fontId="3" fillId="29" borderId="0" xfId="0" applyNumberFormat="1" applyFont="1" applyFill="1" applyAlignment="1" applyProtection="1">
      <alignment horizontal="left" vertical="center" shrinkToFit="1"/>
      <protection hidden="1"/>
    </xf>
    <xf numFmtId="43" fontId="35" fillId="29" borderId="0" xfId="0" applyNumberFormat="1" applyFont="1" applyFill="1" applyBorder="1" applyAlignment="1" applyProtection="1">
      <alignment vertical="center" shrinkToFit="1"/>
      <protection hidden="1"/>
    </xf>
    <xf numFmtId="43" fontId="5" fillId="29" borderId="1" xfId="0" applyNumberFormat="1" applyFont="1" applyFill="1" applyBorder="1" applyAlignment="1" applyProtection="1">
      <alignment vertical="center" shrinkToFit="1"/>
      <protection hidden="1"/>
    </xf>
    <xf numFmtId="43" fontId="96" fillId="29" borderId="0" xfId="0" applyNumberFormat="1" applyFont="1" applyFill="1" applyAlignment="1" applyProtection="1">
      <alignment vertical="center"/>
      <protection hidden="1"/>
    </xf>
    <xf numFmtId="43" fontId="5" fillId="29" borderId="1" xfId="0" applyNumberFormat="1" applyFont="1" applyFill="1" applyBorder="1" applyAlignment="1" applyProtection="1">
      <alignment horizontal="center" vertical="center" shrinkToFit="1"/>
      <protection hidden="1"/>
    </xf>
    <xf numFmtId="43" fontId="5" fillId="29" borderId="1" xfId="0" applyNumberFormat="1" applyFont="1" applyFill="1" applyBorder="1" applyAlignment="1" applyProtection="1">
      <alignment horizontal="left" vertical="center" shrinkToFit="1"/>
      <protection hidden="1"/>
    </xf>
    <xf numFmtId="43" fontId="5" fillId="29" borderId="0" xfId="0" applyNumberFormat="1" applyFont="1" applyFill="1" applyAlignment="1" applyProtection="1">
      <alignment vertical="center" shrinkToFit="1"/>
      <protection hidden="1"/>
    </xf>
    <xf numFmtId="10" fontId="97" fillId="0" borderId="1" xfId="0" applyNumberFormat="1" applyFont="1" applyFill="1" applyBorder="1" applyAlignment="1" applyProtection="1">
      <alignment horizontal="center" vertical="center" shrinkToFit="1"/>
      <protection locked="0"/>
    </xf>
    <xf numFmtId="43" fontId="3" fillId="29" borderId="0" xfId="0" applyNumberFormat="1" applyFont="1" applyFill="1" applyAlignment="1" applyProtection="1">
      <alignment vertical="center"/>
      <protection hidden="1"/>
    </xf>
    <xf numFmtId="292" fontId="97" fillId="0" borderId="1" xfId="0" applyNumberFormat="1" applyFont="1" applyFill="1" applyBorder="1" applyAlignment="1" applyProtection="1">
      <alignment horizontal="center" vertical="center" shrinkToFit="1"/>
      <protection locked="0"/>
    </xf>
    <xf numFmtId="43" fontId="35" fillId="29" borderId="14" xfId="0" applyNumberFormat="1" applyFont="1" applyFill="1" applyBorder="1" applyAlignment="1" applyProtection="1">
      <alignment horizontal="center" vertical="center" shrinkToFit="1"/>
      <protection hidden="1"/>
    </xf>
    <xf numFmtId="43" fontId="97" fillId="29" borderId="34" xfId="0" applyNumberFormat="1" applyFont="1" applyFill="1" applyBorder="1" applyAlignment="1" applyProtection="1">
      <alignment horizontal="center" vertical="center" shrinkToFit="1"/>
      <protection hidden="1"/>
    </xf>
    <xf numFmtId="43" fontId="97" fillId="29" borderId="20" xfId="0" applyNumberFormat="1" applyFont="1" applyFill="1" applyBorder="1" applyAlignment="1" applyProtection="1">
      <alignment horizontal="center" vertical="center" shrinkToFit="1"/>
      <protection hidden="1"/>
    </xf>
    <xf numFmtId="10" fontId="75" fillId="29" borderId="1" xfId="0" applyNumberFormat="1" applyFont="1" applyFill="1" applyBorder="1" applyAlignment="1" applyProtection="1">
      <alignment horizontal="center" vertical="center" shrinkToFit="1"/>
      <protection hidden="1"/>
    </xf>
    <xf numFmtId="220" fontId="98" fillId="0" borderId="0" xfId="0" applyNumberFormat="1" applyFont="1" applyAlignment="1" applyProtection="1">
      <alignment horizontal="left" vertical="center" shrinkToFit="1"/>
      <protection hidden="1"/>
    </xf>
    <xf numFmtId="43" fontId="97" fillId="29" borderId="0" xfId="0" applyNumberFormat="1" applyFont="1" applyFill="1" applyBorder="1" applyAlignment="1" applyProtection="1">
      <alignment vertical="center" shrinkToFit="1"/>
      <protection hidden="1"/>
    </xf>
    <xf numFmtId="265" fontId="97" fillId="29" borderId="1" xfId="0" applyNumberFormat="1" applyFont="1" applyFill="1" applyBorder="1" applyAlignment="1" applyProtection="1">
      <alignment vertical="center" shrinkToFit="1"/>
      <protection hidden="1"/>
    </xf>
    <xf numFmtId="10" fontId="97" fillId="29" borderId="1" xfId="0" applyNumberFormat="1" applyFont="1" applyFill="1" applyBorder="1" applyAlignment="1" applyProtection="1">
      <alignment horizontal="center" vertical="center" shrinkToFit="1"/>
      <protection hidden="1"/>
    </xf>
    <xf numFmtId="10" fontId="88" fillId="29" borderId="0" xfId="0" applyNumberFormat="1" applyFont="1" applyFill="1" applyBorder="1" applyAlignment="1" applyProtection="1">
      <alignment horizontal="center" vertical="center" shrinkToFit="1"/>
      <protection hidden="1"/>
    </xf>
    <xf numFmtId="43" fontId="87" fillId="29" borderId="0" xfId="0" applyNumberFormat="1" applyFont="1" applyFill="1" applyAlignment="1" applyProtection="1">
      <alignment vertical="center"/>
      <protection hidden="1"/>
    </xf>
    <xf numFmtId="43" fontId="75" fillId="29" borderId="1" xfId="0" applyNumberFormat="1" applyFont="1" applyFill="1" applyBorder="1" applyAlignment="1" applyProtection="1">
      <alignment horizontal="center" vertical="center" shrinkToFit="1"/>
      <protection hidden="1"/>
    </xf>
    <xf numFmtId="43" fontId="96" fillId="29" borderId="0" xfId="0" applyNumberFormat="1" applyFont="1" applyFill="1" applyAlignment="1" applyProtection="1">
      <alignment horizontal="left" vertical="center"/>
      <protection hidden="1"/>
    </xf>
    <xf numFmtId="43" fontId="75" fillId="29" borderId="0" xfId="0" applyNumberFormat="1" applyFont="1" applyFill="1" applyAlignment="1" applyProtection="1">
      <alignment horizontal="center" vertical="center" shrinkToFit="1"/>
      <protection hidden="1"/>
    </xf>
    <xf numFmtId="43" fontId="37" fillId="29" borderId="0" xfId="0" applyNumberFormat="1" applyFont="1" applyFill="1" applyAlignment="1" applyProtection="1">
      <alignment horizontal="left" vertical="center"/>
      <protection hidden="1"/>
    </xf>
    <xf numFmtId="43" fontId="5" fillId="29" borderId="0" xfId="0" applyNumberFormat="1" applyFont="1" applyFill="1" applyBorder="1" applyAlignment="1" applyProtection="1">
      <alignment horizontal="center" vertical="center" shrinkToFit="1"/>
      <protection hidden="1"/>
    </xf>
    <xf numFmtId="43" fontId="35" fillId="29" borderId="1" xfId="0" applyNumberFormat="1" applyFont="1" applyFill="1" applyBorder="1" applyAlignment="1" applyProtection="1">
      <alignment horizontal="left" vertical="center" shrinkToFit="1"/>
      <protection hidden="1"/>
    </xf>
    <xf numFmtId="10" fontId="75" fillId="29" borderId="0" xfId="0" applyNumberFormat="1" applyFont="1" applyFill="1" applyBorder="1" applyAlignment="1" applyProtection="1">
      <alignment horizontal="center" vertical="center" shrinkToFit="1"/>
      <protection hidden="1"/>
    </xf>
    <xf numFmtId="43" fontId="88" fillId="29" borderId="1" xfId="0" applyNumberFormat="1" applyFont="1" applyFill="1" applyBorder="1" applyAlignment="1" applyProtection="1">
      <alignment horizontal="center" vertical="center" shrinkToFit="1"/>
      <protection hidden="1"/>
    </xf>
    <xf numFmtId="43" fontId="97" fillId="29" borderId="0" xfId="0" applyNumberFormat="1" applyFont="1" applyFill="1" applyBorder="1" applyAlignment="1" applyProtection="1">
      <alignment horizontal="left" vertical="center" shrinkToFit="1"/>
      <protection hidden="1"/>
    </xf>
    <xf numFmtId="43" fontId="37" fillId="29" borderId="0" xfId="0" applyNumberFormat="1" applyFont="1" applyFill="1" applyAlignment="1" applyProtection="1">
      <alignment horizontal="left" vertical="center" shrinkToFit="1"/>
      <protection hidden="1"/>
    </xf>
    <xf numFmtId="43" fontId="96" fillId="29" borderId="0" xfId="0" applyNumberFormat="1" applyFont="1" applyFill="1" applyAlignment="1" applyProtection="1">
      <alignment horizontal="left" vertical="center" shrinkToFit="1"/>
      <protection hidden="1"/>
    </xf>
    <xf numFmtId="43" fontId="98" fillId="0" borderId="0" xfId="0" applyNumberFormat="1" applyFont="1" applyAlignment="1" applyProtection="1">
      <alignment horizontal="left" vertical="center" shrinkToFit="1"/>
      <protection hidden="1"/>
    </xf>
    <xf numFmtId="43" fontId="97" fillId="29" borderId="0" xfId="0" applyNumberFormat="1" applyFont="1" applyFill="1" applyAlignment="1" applyProtection="1">
      <alignment horizontal="center" vertical="center" shrinkToFit="1"/>
      <protection hidden="1"/>
    </xf>
    <xf numFmtId="43" fontId="97" fillId="29" borderId="1" xfId="0" applyNumberFormat="1" applyFont="1" applyFill="1" applyBorder="1" applyAlignment="1" applyProtection="1">
      <alignment horizontal="left" vertical="center" shrinkToFit="1"/>
      <protection hidden="1"/>
    </xf>
    <xf numFmtId="43" fontId="97" fillId="29" borderId="0" xfId="0" applyNumberFormat="1" applyFont="1" applyFill="1" applyAlignment="1" applyProtection="1">
      <alignment vertical="center"/>
      <protection hidden="1"/>
    </xf>
    <xf numFmtId="265" fontId="97" fillId="29" borderId="1" xfId="0" applyNumberFormat="1" applyFont="1" applyFill="1" applyBorder="1" applyAlignment="1" applyProtection="1">
      <alignment horizontal="right" vertical="center" shrinkToFit="1"/>
      <protection hidden="1"/>
    </xf>
    <xf numFmtId="43" fontId="97" fillId="29" borderId="0" xfId="0" applyNumberFormat="1" applyFont="1" applyFill="1" applyAlignment="1" applyProtection="1">
      <alignment horizontal="left" vertical="center"/>
      <protection hidden="1"/>
    </xf>
    <xf numFmtId="43" fontId="75" fillId="0" borderId="0" xfId="0" applyNumberFormat="1" applyFont="1" applyAlignment="1" applyProtection="1">
      <alignment horizontal="center" vertical="center" shrinkToFit="1"/>
      <protection hidden="1"/>
    </xf>
    <xf numFmtId="220" fontId="92" fillId="0" borderId="0" xfId="0" applyNumberFormat="1" applyFont="1" applyAlignment="1" applyProtection="1">
      <alignment horizontal="left" vertical="center" shrinkToFit="1"/>
      <protection hidden="1"/>
    </xf>
    <xf numFmtId="293" fontId="97" fillId="0" borderId="1" xfId="0" applyNumberFormat="1" applyFont="1" applyFill="1" applyBorder="1" applyAlignment="1" applyProtection="1">
      <alignment horizontal="center" vertical="center" shrinkToFit="1"/>
      <protection locked="0"/>
    </xf>
    <xf numFmtId="43" fontId="35" fillId="29" borderId="0" xfId="0" applyNumberFormat="1" applyFont="1" applyFill="1" applyAlignment="1" applyProtection="1">
      <alignment horizontal="left" vertical="center"/>
      <protection hidden="1"/>
    </xf>
    <xf numFmtId="293" fontId="35" fillId="0" borderId="1" xfId="0" applyNumberFormat="1" applyFont="1" applyFill="1" applyBorder="1" applyAlignment="1" applyProtection="1">
      <alignment vertical="center" shrinkToFit="1"/>
      <protection locked="0"/>
    </xf>
    <xf numFmtId="43" fontId="35" fillId="29" borderId="0" xfId="0" applyNumberFormat="1" applyFont="1" applyFill="1" applyBorder="1" applyAlignment="1" applyProtection="1">
      <alignment horizontal="left" vertical="center" shrinkToFit="1"/>
      <protection hidden="1"/>
    </xf>
    <xf numFmtId="43" fontId="99" fillId="29" borderId="0" xfId="0" applyNumberFormat="1" applyFont="1" applyFill="1" applyAlignment="1" applyProtection="1">
      <alignment horizontal="left" vertical="center" shrinkToFit="1"/>
      <protection hidden="1"/>
    </xf>
    <xf numFmtId="43" fontId="5" fillId="29" borderId="16" xfId="0" applyNumberFormat="1" applyFont="1" applyFill="1" applyBorder="1" applyAlignment="1" applyProtection="1">
      <alignment horizontal="center" vertical="center" shrinkToFit="1"/>
      <protection hidden="1"/>
    </xf>
    <xf numFmtId="43" fontId="5" fillId="29" borderId="20" xfId="0" applyNumberFormat="1" applyFont="1" applyFill="1" applyBorder="1" applyAlignment="1" applyProtection="1">
      <alignment horizontal="center" vertical="center" shrinkToFit="1"/>
      <protection hidden="1"/>
    </xf>
    <xf numFmtId="294" fontId="75" fillId="29" borderId="1" xfId="0" applyNumberFormat="1" applyFont="1" applyFill="1" applyBorder="1" applyAlignment="1" applyProtection="1">
      <alignment horizontal="center" vertical="center" shrinkToFit="1"/>
      <protection hidden="1"/>
    </xf>
    <xf numFmtId="43" fontId="75" fillId="0" borderId="1" xfId="0" applyNumberFormat="1" applyFont="1" applyBorder="1" applyAlignment="1" applyProtection="1">
      <alignment vertical="center" shrinkToFit="1"/>
      <protection locked="0"/>
    </xf>
    <xf numFmtId="43" fontId="75" fillId="29" borderId="1" xfId="0" applyNumberFormat="1" applyFont="1" applyFill="1" applyBorder="1" applyAlignment="1" applyProtection="1">
      <alignment horizontal="left" vertical="center" shrinkToFit="1"/>
      <protection hidden="1"/>
    </xf>
    <xf numFmtId="294" fontId="75" fillId="0" borderId="1" xfId="0" applyNumberFormat="1" applyFont="1" applyBorder="1" applyAlignment="1" applyProtection="1">
      <alignment horizontal="center" vertical="center" shrinkToFit="1"/>
      <protection locked="0"/>
    </xf>
    <xf numFmtId="41" fontId="35" fillId="0" borderId="1" xfId="0" applyNumberFormat="1" applyFont="1" applyFill="1" applyBorder="1" applyAlignment="1" applyProtection="1">
      <alignment vertical="center" shrinkToFit="1"/>
      <protection locked="0"/>
    </xf>
    <xf numFmtId="43" fontId="35" fillId="29" borderId="15" xfId="0" applyNumberFormat="1" applyFont="1" applyFill="1" applyBorder="1" applyAlignment="1" applyProtection="1">
      <alignment horizontal="center" vertical="center" shrinkToFit="1"/>
      <protection hidden="1"/>
    </xf>
    <xf numFmtId="43" fontId="35" fillId="29" borderId="34" xfId="0" applyNumberFormat="1" applyFont="1" applyFill="1" applyBorder="1" applyAlignment="1" applyProtection="1">
      <alignment horizontal="center" vertical="center" shrinkToFit="1"/>
      <protection hidden="1"/>
    </xf>
    <xf numFmtId="43" fontId="92" fillId="0" borderId="0" xfId="0" applyNumberFormat="1" applyFont="1" applyAlignment="1" applyProtection="1">
      <alignment vertical="center" shrinkToFit="1"/>
      <protection hidden="1"/>
    </xf>
    <xf numFmtId="220" fontId="97" fillId="0" borderId="1" xfId="0" applyNumberFormat="1" applyFont="1" applyFill="1" applyBorder="1" applyAlignment="1" applyProtection="1">
      <alignment horizontal="center" vertical="center" shrinkToFit="1"/>
      <protection locked="0"/>
    </xf>
    <xf numFmtId="43" fontId="75" fillId="0" borderId="0" xfId="0" applyNumberFormat="1" applyFont="1" applyAlignment="1" applyProtection="1">
      <alignment vertical="center" shrinkToFit="1"/>
      <protection hidden="1"/>
    </xf>
    <xf numFmtId="43" fontId="88" fillId="29" borderId="75" xfId="0" applyNumberFormat="1" applyFont="1" applyFill="1" applyBorder="1" applyAlignment="1" applyProtection="1">
      <alignment vertical="center" shrinkToFit="1"/>
      <protection hidden="1"/>
    </xf>
    <xf numFmtId="220" fontId="100" fillId="29" borderId="0" xfId="0" applyFont="1" applyFill="1" applyAlignment="1" applyProtection="1">
      <alignment vertical="center"/>
      <protection hidden="1"/>
    </xf>
    <xf numFmtId="220" fontId="100" fillId="29" borderId="0" xfId="0" applyFont="1" applyFill="1" applyAlignment="1" applyProtection="1">
      <alignment vertical="center" shrinkToFit="1"/>
      <protection hidden="1"/>
    </xf>
    <xf numFmtId="220" fontId="75" fillId="29" borderId="65" xfId="0" applyFont="1" applyFill="1" applyBorder="1" applyAlignment="1" applyProtection="1">
      <alignment horizontal="center" vertical="center" shrinkToFit="1"/>
      <protection hidden="1"/>
    </xf>
    <xf numFmtId="265" fontId="75" fillId="29" borderId="76" xfId="0" applyNumberFormat="1" applyFont="1" applyFill="1" applyBorder="1" applyAlignment="1" applyProtection="1">
      <alignment horizontal="center" vertical="center" shrinkToFit="1"/>
      <protection hidden="1"/>
    </xf>
    <xf numFmtId="265" fontId="75" fillId="29" borderId="77" xfId="0" applyNumberFormat="1" applyFont="1" applyFill="1" applyBorder="1" applyAlignment="1" applyProtection="1">
      <alignment horizontal="center" vertical="center" shrinkToFit="1"/>
      <protection hidden="1"/>
    </xf>
    <xf numFmtId="220" fontId="87" fillId="29" borderId="69" xfId="0" applyFont="1" applyFill="1" applyBorder="1" applyAlignment="1" applyProtection="1">
      <alignment vertical="center" shrinkToFit="1"/>
      <protection hidden="1"/>
    </xf>
    <xf numFmtId="43" fontId="75" fillId="29" borderId="69" xfId="0" applyNumberFormat="1" applyFont="1" applyFill="1" applyBorder="1" applyAlignment="1" applyProtection="1">
      <alignment vertical="center" shrinkToFit="1"/>
      <protection hidden="1"/>
    </xf>
    <xf numFmtId="43" fontId="87" fillId="29" borderId="69" xfId="0" applyNumberFormat="1" applyFont="1" applyFill="1" applyBorder="1" applyAlignment="1" applyProtection="1">
      <alignment vertical="center" shrinkToFit="1"/>
      <protection hidden="1"/>
    </xf>
    <xf numFmtId="43" fontId="75" fillId="29" borderId="72" xfId="0" applyNumberFormat="1" applyFont="1" applyFill="1" applyBorder="1" applyAlignment="1" applyProtection="1">
      <alignment vertical="center" shrinkToFit="1"/>
      <protection hidden="1"/>
    </xf>
    <xf numFmtId="265" fontId="75" fillId="0" borderId="1" xfId="0" applyNumberFormat="1" applyFont="1" applyFill="1" applyBorder="1" applyAlignment="1" applyProtection="1">
      <alignment horizontal="right" vertical="center" shrinkToFit="1"/>
      <protection locked="0"/>
    </xf>
    <xf numFmtId="265" fontId="75" fillId="0" borderId="72" xfId="0" applyNumberFormat="1" applyFont="1" applyFill="1" applyBorder="1" applyAlignment="1" applyProtection="1">
      <alignment horizontal="right" vertical="center" shrinkToFit="1"/>
      <protection locked="0"/>
    </xf>
    <xf numFmtId="43" fontId="75" fillId="29" borderId="73" xfId="0" applyNumberFormat="1" applyFont="1" applyFill="1" applyBorder="1" applyAlignment="1" applyProtection="1">
      <alignment vertical="center" shrinkToFit="1"/>
      <protection hidden="1"/>
    </xf>
    <xf numFmtId="43" fontId="75" fillId="29" borderId="74" xfId="0" applyNumberFormat="1" applyFont="1" applyFill="1" applyBorder="1" applyAlignment="1" applyProtection="1">
      <alignment vertical="center" shrinkToFit="1"/>
      <protection hidden="1"/>
    </xf>
    <xf numFmtId="220" fontId="75" fillId="29" borderId="0" xfId="0" applyFont="1" applyFill="1" applyAlignment="1" applyProtection="1">
      <alignment horizontal="right" vertical="center"/>
      <protection hidden="1"/>
    </xf>
    <xf numFmtId="220" fontId="5" fillId="29" borderId="72" xfId="0" applyFont="1" applyFill="1" applyBorder="1" applyAlignment="1" applyProtection="1">
      <alignment horizontal="center" vertical="center" shrinkToFit="1"/>
      <protection hidden="1"/>
    </xf>
    <xf numFmtId="265" fontId="87" fillId="29" borderId="1" xfId="0" applyNumberFormat="1" applyFont="1" applyFill="1" applyBorder="1" applyAlignment="1" applyProtection="1">
      <alignment horizontal="right" vertical="center" shrinkToFit="1"/>
      <protection hidden="1"/>
    </xf>
    <xf numFmtId="265" fontId="75" fillId="29" borderId="72" xfId="0" applyNumberFormat="1" applyFont="1" applyFill="1" applyBorder="1" applyAlignment="1" applyProtection="1">
      <alignment horizontal="right" vertical="center" shrinkToFit="1"/>
      <protection hidden="1"/>
    </xf>
    <xf numFmtId="220" fontId="101" fillId="29" borderId="63" xfId="49" applyFont="1" applyFill="1" applyBorder="1" applyAlignment="1" applyProtection="1">
      <alignment horizontal="center" vertical="center" shrinkToFit="1"/>
      <protection hidden="1"/>
    </xf>
    <xf numFmtId="43" fontId="75" fillId="29" borderId="72" xfId="39" applyFont="1" applyFill="1" applyBorder="1" applyAlignment="1" applyProtection="1">
      <alignment horizontal="right" vertical="center" shrinkToFit="1"/>
      <protection hidden="1"/>
    </xf>
    <xf numFmtId="43" fontId="88" fillId="29" borderId="1" xfId="39" applyFont="1" applyFill="1" applyBorder="1" applyAlignment="1" applyProtection="1">
      <alignment vertical="center" shrinkToFit="1"/>
      <protection hidden="1"/>
    </xf>
    <xf numFmtId="43" fontId="88" fillId="29" borderId="72" xfId="39" applyFont="1" applyFill="1" applyBorder="1" applyAlignment="1" applyProtection="1">
      <alignment vertical="center" shrinkToFit="1"/>
      <protection hidden="1"/>
    </xf>
    <xf numFmtId="220" fontId="75" fillId="0" borderId="1" xfId="0" applyFont="1" applyFill="1" applyBorder="1" applyAlignment="1" applyProtection="1">
      <alignment vertical="center" shrinkToFit="1"/>
      <protection hidden="1"/>
    </xf>
    <xf numFmtId="265" fontId="75" fillId="0" borderId="1" xfId="0" applyNumberFormat="1" applyFont="1" applyFill="1" applyBorder="1" applyAlignment="1" applyProtection="1">
      <alignment vertical="center" shrinkToFit="1"/>
      <protection hidden="1"/>
    </xf>
    <xf numFmtId="265" fontId="75" fillId="0" borderId="72" xfId="0" applyNumberFormat="1" applyFont="1" applyFill="1" applyBorder="1" applyAlignment="1" applyProtection="1">
      <alignment vertical="center" shrinkToFit="1"/>
      <protection hidden="1"/>
    </xf>
    <xf numFmtId="220" fontId="70" fillId="29" borderId="63" xfId="49" applyFill="1" applyBorder="1" applyAlignment="1" applyProtection="1">
      <alignment horizontal="center" vertical="center" shrinkToFit="1"/>
      <protection hidden="1"/>
    </xf>
    <xf numFmtId="43" fontId="75" fillId="29" borderId="72" xfId="39" applyFont="1" applyFill="1" applyBorder="1" applyAlignment="1" applyProtection="1">
      <alignment vertical="center" shrinkToFit="1"/>
      <protection hidden="1"/>
    </xf>
    <xf numFmtId="265" fontId="75" fillId="0" borderId="1" xfId="0" applyNumberFormat="1" applyFont="1" applyFill="1" applyBorder="1" applyAlignment="1" applyProtection="1">
      <alignment vertical="center" shrinkToFit="1"/>
      <protection locked="0"/>
    </xf>
    <xf numFmtId="220" fontId="75" fillId="0" borderId="74" xfId="0" applyFont="1" applyFill="1" applyBorder="1" applyAlignment="1" applyProtection="1">
      <alignment horizontal="center" vertical="center" shrinkToFit="1"/>
      <protection locked="0"/>
    </xf>
    <xf numFmtId="265" fontId="75" fillId="0" borderId="74" xfId="0" applyNumberFormat="1" applyFont="1" applyFill="1" applyBorder="1" applyAlignment="1" applyProtection="1">
      <alignment vertical="center" shrinkToFit="1"/>
      <protection locked="0"/>
    </xf>
    <xf numFmtId="265" fontId="75" fillId="0" borderId="75" xfId="0" applyNumberFormat="1" applyFont="1" applyFill="1" applyBorder="1" applyAlignment="1" applyProtection="1">
      <alignment vertical="center" shrinkToFit="1"/>
      <protection locked="0"/>
    </xf>
    <xf numFmtId="220" fontId="102" fillId="29" borderId="0" xfId="0" applyFont="1" applyFill="1" applyAlignment="1" applyProtection="1">
      <alignment vertical="center"/>
      <protection hidden="1"/>
    </xf>
    <xf numFmtId="220" fontId="0" fillId="29" borderId="65" xfId="0" applyFont="1" applyFill="1" applyBorder="1" applyAlignment="1" applyProtection="1">
      <alignment vertical="center"/>
      <protection hidden="1"/>
    </xf>
    <xf numFmtId="220" fontId="90" fillId="29" borderId="76" xfId="0" applyFont="1" applyFill="1" applyBorder="1" applyAlignment="1" applyProtection="1">
      <alignment vertical="center" shrinkToFit="1"/>
      <protection hidden="1"/>
    </xf>
    <xf numFmtId="43" fontId="93" fillId="29" borderId="76" xfId="0" applyNumberFormat="1" applyFont="1" applyFill="1" applyBorder="1" applyAlignment="1" applyProtection="1">
      <alignment vertical="center" shrinkToFit="1"/>
      <protection hidden="1"/>
    </xf>
    <xf numFmtId="43" fontId="93" fillId="29" borderId="77" xfId="0" applyNumberFormat="1" applyFont="1" applyFill="1" applyBorder="1" applyAlignment="1" applyProtection="1">
      <alignment vertical="center" shrinkToFit="1"/>
      <protection hidden="1"/>
    </xf>
    <xf numFmtId="220" fontId="0" fillId="29" borderId="69" xfId="0" applyFont="1" applyFill="1" applyBorder="1" applyAlignment="1" applyProtection="1">
      <alignment vertical="center" shrinkToFit="1"/>
      <protection hidden="1"/>
    </xf>
    <xf numFmtId="265" fontId="93" fillId="29" borderId="72" xfId="0" applyNumberFormat="1" applyFont="1" applyFill="1" applyBorder="1" applyAlignment="1" applyProtection="1">
      <alignment horizontal="right" vertical="center" shrinkToFit="1"/>
      <protection hidden="1"/>
    </xf>
    <xf numFmtId="265" fontId="93" fillId="29" borderId="1" xfId="0" applyNumberFormat="1" applyFont="1" applyFill="1" applyBorder="1" applyAlignment="1" applyProtection="1">
      <alignment horizontal="right" vertical="center" shrinkToFit="1"/>
      <protection hidden="1"/>
    </xf>
    <xf numFmtId="220" fontId="0" fillId="29" borderId="73" xfId="0" applyFont="1" applyFill="1" applyBorder="1" applyAlignment="1" applyProtection="1">
      <alignment vertical="center" shrinkToFit="1"/>
      <protection hidden="1"/>
    </xf>
    <xf numFmtId="220" fontId="90" fillId="29" borderId="74" xfId="0" applyFont="1" applyFill="1" applyBorder="1" applyAlignment="1" applyProtection="1">
      <alignment vertical="center" shrinkToFit="1"/>
      <protection hidden="1"/>
    </xf>
    <xf numFmtId="265" fontId="93" fillId="29" borderId="74" xfId="0" applyNumberFormat="1" applyFont="1" applyFill="1" applyBorder="1" applyAlignment="1" applyProtection="1">
      <alignment vertical="center" shrinkToFit="1"/>
      <protection hidden="1"/>
    </xf>
    <xf numFmtId="265" fontId="93" fillId="29" borderId="75" xfId="0" applyNumberFormat="1" applyFont="1" applyFill="1" applyBorder="1" applyAlignment="1" applyProtection="1">
      <alignment vertical="center" shrinkToFit="1"/>
      <protection hidden="1"/>
    </xf>
    <xf numFmtId="220" fontId="103" fillId="29" borderId="63" xfId="49" applyFont="1" applyFill="1" applyBorder="1" applyAlignment="1" applyProtection="1">
      <alignment horizontal="center" vertical="center" shrinkToFit="1"/>
      <protection hidden="1"/>
    </xf>
    <xf numFmtId="220" fontId="5" fillId="0" borderId="0" xfId="0" applyFont="1" applyAlignment="1" applyProtection="1">
      <alignment horizontal="left" vertical="center"/>
      <protection hidden="1"/>
    </xf>
    <xf numFmtId="220" fontId="5" fillId="0" borderId="0" xfId="0" applyFont="1" applyAlignment="1" applyProtection="1">
      <alignment horizontal="left" vertical="center" shrinkToFit="1"/>
      <protection hidden="1"/>
    </xf>
    <xf numFmtId="220" fontId="75" fillId="0" borderId="0" xfId="0" applyFont="1" applyAlignment="1" applyProtection="1">
      <alignment vertical="center"/>
      <protection hidden="1"/>
    </xf>
    <xf numFmtId="265" fontId="75" fillId="0" borderId="0" xfId="0" applyNumberFormat="1" applyFont="1" applyAlignment="1" applyProtection="1">
      <alignment vertical="center"/>
      <protection hidden="1"/>
    </xf>
    <xf numFmtId="220" fontId="5" fillId="0" borderId="0" xfId="0" applyFont="1" applyAlignment="1" applyProtection="1">
      <alignment horizontal="center" vertical="center" shrinkToFit="1"/>
      <protection hidden="1"/>
    </xf>
    <xf numFmtId="265" fontId="75" fillId="0" borderId="0" xfId="0" applyNumberFormat="1" applyFont="1" applyAlignment="1" applyProtection="1">
      <alignment vertical="center" shrinkToFit="1"/>
      <protection hidden="1"/>
    </xf>
    <xf numFmtId="265" fontId="5" fillId="0" borderId="0" xfId="0" applyNumberFormat="1" applyFont="1" applyAlignment="1" applyProtection="1">
      <alignment vertical="center"/>
      <protection hidden="1"/>
    </xf>
    <xf numFmtId="265" fontId="42" fillId="0" borderId="0" xfId="0" applyNumberFormat="1" applyFont="1" applyAlignment="1" applyProtection="1">
      <alignment vertical="center"/>
      <protection hidden="1"/>
    </xf>
    <xf numFmtId="265" fontId="90" fillId="0" borderId="0" xfId="0" applyNumberFormat="1" applyFont="1" applyAlignment="1" applyProtection="1">
      <alignment vertical="center" shrinkToFit="1"/>
      <protection hidden="1"/>
    </xf>
    <xf numFmtId="220" fontId="2" fillId="0" borderId="0" xfId="0" applyFont="1" applyAlignment="1" applyProtection="1">
      <alignment vertical="center"/>
      <protection hidden="1"/>
    </xf>
    <xf numFmtId="43" fontId="90" fillId="0" borderId="0" xfId="39" applyFont="1" applyAlignment="1" applyProtection="1">
      <alignment vertical="center" shrinkToFit="1"/>
      <protection hidden="1"/>
    </xf>
    <xf numFmtId="43" fontId="90" fillId="0" borderId="0" xfId="0" applyNumberFormat="1" applyFont="1" applyAlignment="1" applyProtection="1">
      <alignment vertical="center" shrinkToFit="1"/>
      <protection hidden="1"/>
    </xf>
    <xf numFmtId="43" fontId="42" fillId="0" borderId="0" xfId="39" applyFont="1" applyAlignment="1">
      <alignment horizontal="center" vertical="center"/>
    </xf>
    <xf numFmtId="43" fontId="42" fillId="0" borderId="0" xfId="39" applyFont="1"/>
    <xf numFmtId="43" fontId="42" fillId="0" borderId="0" xfId="39" applyFont="1" applyAlignment="1">
      <alignment horizontal="center" vertical="center" wrapText="1"/>
    </xf>
    <xf numFmtId="43" fontId="42" fillId="0" borderId="0" xfId="39" applyFont="1" applyAlignment="1">
      <alignment vertical="center" wrapText="1"/>
    </xf>
    <xf numFmtId="43" fontId="42" fillId="0" borderId="0" xfId="39" applyFont="1" applyAlignment="1">
      <alignment vertical="center"/>
    </xf>
    <xf numFmtId="43" fontId="42" fillId="0" borderId="0" xfId="39" applyFont="1" applyAlignment="1">
      <alignment horizontal="center"/>
    </xf>
    <xf numFmtId="220" fontId="5" fillId="0" borderId="0" xfId="0" applyFont="1" applyAlignment="1" applyProtection="1">
      <alignment vertical="center"/>
      <protection locked="0"/>
    </xf>
    <xf numFmtId="220" fontId="75" fillId="0" borderId="0" xfId="0" applyFont="1" applyAlignment="1" applyProtection="1">
      <alignment vertical="center"/>
      <protection locked="0"/>
    </xf>
    <xf numFmtId="186" fontId="5" fillId="31" borderId="17" xfId="0" applyNumberFormat="1" applyFont="1" applyFill="1" applyBorder="1" applyAlignment="1" applyProtection="1">
      <alignment horizontal="center" vertical="center" shrinkToFit="1"/>
      <protection hidden="1"/>
    </xf>
    <xf numFmtId="186" fontId="75" fillId="31" borderId="0" xfId="0" applyNumberFormat="1" applyFont="1" applyFill="1" applyBorder="1" applyAlignment="1" applyProtection="1">
      <alignment horizontal="center" vertical="center" shrinkToFit="1"/>
      <protection hidden="1"/>
    </xf>
    <xf numFmtId="186" fontId="75" fillId="31" borderId="2" xfId="0" applyNumberFormat="1" applyFont="1" applyFill="1" applyBorder="1" applyAlignment="1" applyProtection="1">
      <alignment horizontal="center" vertical="center" shrinkToFit="1"/>
      <protection hidden="1"/>
    </xf>
    <xf numFmtId="43" fontId="95" fillId="31" borderId="0" xfId="0" applyNumberFormat="1" applyFont="1" applyFill="1" applyBorder="1" applyAlignment="1" applyProtection="1">
      <alignment horizontal="center" vertical="center" shrinkToFit="1"/>
      <protection hidden="1"/>
    </xf>
    <xf numFmtId="265" fontId="5" fillId="31" borderId="0" xfId="0" applyNumberFormat="1" applyFont="1" applyFill="1" applyBorder="1" applyAlignment="1" applyProtection="1">
      <alignment horizontal="center" vertical="center" shrinkToFit="1"/>
      <protection hidden="1"/>
    </xf>
    <xf numFmtId="43" fontId="104" fillId="31" borderId="15" xfId="0" applyNumberFormat="1" applyFont="1" applyFill="1" applyBorder="1" applyAlignment="1" applyProtection="1">
      <alignment horizontal="center" vertical="center" shrinkToFit="1"/>
      <protection hidden="1"/>
    </xf>
    <xf numFmtId="43" fontId="105" fillId="31" borderId="15" xfId="0" applyNumberFormat="1" applyFont="1" applyFill="1" applyBorder="1" applyAlignment="1" applyProtection="1">
      <alignment horizontal="center" vertical="center" shrinkToFit="1"/>
      <protection hidden="1"/>
    </xf>
    <xf numFmtId="43" fontId="5" fillId="31" borderId="0" xfId="0" applyNumberFormat="1" applyFont="1" applyFill="1" applyBorder="1" applyAlignment="1" applyProtection="1">
      <alignment horizontal="right" vertical="center" shrinkToFit="1"/>
      <protection hidden="1"/>
    </xf>
    <xf numFmtId="265" fontId="75" fillId="31" borderId="0" xfId="0" applyNumberFormat="1" applyFont="1" applyFill="1" applyBorder="1" applyAlignment="1" applyProtection="1">
      <alignment horizontal="center" vertical="center" shrinkToFit="1"/>
      <protection hidden="1"/>
    </xf>
    <xf numFmtId="265" fontId="75" fillId="0" borderId="0" xfId="0" applyNumberFormat="1" applyFont="1" applyFill="1" applyBorder="1" applyAlignment="1" applyProtection="1">
      <alignment horizontal="center" vertical="center" shrinkToFit="1"/>
      <protection locked="0"/>
    </xf>
    <xf numFmtId="43" fontId="75" fillId="31" borderId="15" xfId="0" applyNumberFormat="1" applyFont="1" applyFill="1" applyBorder="1" applyAlignment="1" applyProtection="1">
      <alignment horizontal="center" vertical="center" shrinkToFit="1"/>
      <protection hidden="1"/>
    </xf>
    <xf numFmtId="43" fontId="106" fillId="31" borderId="0" xfId="0" applyNumberFormat="1" applyFont="1" applyFill="1" applyAlignment="1" applyProtection="1">
      <alignment horizontal="center" vertical="center"/>
      <protection hidden="1"/>
    </xf>
    <xf numFmtId="220" fontId="107" fillId="31" borderId="0" xfId="0" applyNumberFormat="1" applyFont="1" applyFill="1" applyAlignment="1" applyProtection="1">
      <alignment horizontal="left" vertical="center"/>
      <protection hidden="1"/>
    </xf>
    <xf numFmtId="43" fontId="75" fillId="31" borderId="0" xfId="0" applyNumberFormat="1" applyFont="1" applyFill="1" applyAlignment="1" applyProtection="1">
      <alignment horizontal="center" vertical="center" shrinkToFit="1"/>
      <protection hidden="1"/>
    </xf>
    <xf numFmtId="43" fontId="88" fillId="31" borderId="0" xfId="0" applyNumberFormat="1" applyFont="1" applyFill="1" applyAlignment="1" applyProtection="1">
      <alignment horizontal="center" vertical="center" shrinkToFit="1"/>
      <protection hidden="1"/>
    </xf>
    <xf numFmtId="43" fontId="75" fillId="31" borderId="0" xfId="0" applyNumberFormat="1" applyFont="1" applyFill="1" applyBorder="1" applyAlignment="1" applyProtection="1">
      <alignment horizontal="center" vertical="center" shrinkToFit="1"/>
      <protection hidden="1"/>
    </xf>
    <xf numFmtId="220" fontId="106" fillId="31" borderId="0" xfId="0" applyNumberFormat="1" applyFont="1" applyFill="1" applyAlignment="1" applyProtection="1">
      <alignment horizontal="left" vertical="center"/>
      <protection hidden="1"/>
    </xf>
    <xf numFmtId="265" fontId="75" fillId="31" borderId="2" xfId="0" applyNumberFormat="1" applyFont="1" applyFill="1" applyBorder="1" applyAlignment="1" applyProtection="1">
      <alignment horizontal="center" vertical="center" shrinkToFit="1"/>
      <protection hidden="1"/>
    </xf>
    <xf numFmtId="186" fontId="5" fillId="31" borderId="1" xfId="0" applyNumberFormat="1" applyFont="1" applyFill="1" applyBorder="1" applyAlignment="1" applyProtection="1">
      <alignment horizontal="center" vertical="center" wrapText="1" shrinkToFit="1"/>
      <protection hidden="1"/>
    </xf>
    <xf numFmtId="43" fontId="5" fillId="31" borderId="1" xfId="0" applyNumberFormat="1" applyFont="1" applyFill="1" applyBorder="1" applyAlignment="1" applyProtection="1">
      <alignment horizontal="center" vertical="center" shrinkToFit="1"/>
      <protection hidden="1"/>
    </xf>
    <xf numFmtId="43" fontId="75" fillId="31" borderId="1" xfId="0" applyNumberFormat="1" applyFont="1" applyFill="1" applyBorder="1" applyAlignment="1" applyProtection="1">
      <alignment horizontal="center" vertical="center" shrinkToFit="1"/>
      <protection hidden="1"/>
    </xf>
    <xf numFmtId="265" fontId="5" fillId="31" borderId="1" xfId="0" applyNumberFormat="1" applyFont="1" applyFill="1" applyBorder="1" applyAlignment="1" applyProtection="1">
      <alignment horizontal="center" vertical="center" shrinkToFit="1"/>
      <protection hidden="1"/>
    </xf>
    <xf numFmtId="265" fontId="75" fillId="31" borderId="1" xfId="0" applyNumberFormat="1" applyFont="1" applyFill="1" applyBorder="1" applyAlignment="1" applyProtection="1">
      <alignment horizontal="center" vertical="center" shrinkToFit="1"/>
      <protection hidden="1"/>
    </xf>
    <xf numFmtId="186" fontId="75" fillId="31" borderId="1" xfId="0" applyNumberFormat="1" applyFont="1" applyFill="1" applyBorder="1" applyAlignment="1" applyProtection="1">
      <alignment horizontal="center" vertical="center" wrapText="1" shrinkToFit="1"/>
      <protection hidden="1"/>
    </xf>
    <xf numFmtId="43" fontId="5" fillId="31" borderId="1" xfId="0" applyNumberFormat="1" applyFont="1" applyFill="1" applyBorder="1" applyAlignment="1" applyProtection="1">
      <alignment horizontal="center" vertical="center"/>
      <protection hidden="1"/>
    </xf>
    <xf numFmtId="49" fontId="88" fillId="31" borderId="1" xfId="0" applyNumberFormat="1" applyFont="1" applyFill="1" applyBorder="1" applyAlignment="1" applyProtection="1">
      <alignment horizontal="center" vertical="center" shrinkToFit="1"/>
      <protection hidden="1"/>
    </xf>
    <xf numFmtId="265" fontId="5" fillId="31" borderId="1" xfId="0" applyNumberFormat="1" applyFont="1" applyFill="1" applyBorder="1" applyAlignment="1" applyProtection="1">
      <alignment horizontal="center" vertical="center" wrapText="1" shrinkToFit="1"/>
      <protection hidden="1"/>
    </xf>
    <xf numFmtId="43" fontId="5" fillId="31" borderId="14" xfId="0" applyNumberFormat="1" applyFont="1" applyFill="1" applyBorder="1" applyAlignment="1" applyProtection="1">
      <alignment horizontal="center" vertical="center"/>
      <protection hidden="1"/>
    </xf>
    <xf numFmtId="43" fontId="75" fillId="31" borderId="15" xfId="0" applyNumberFormat="1" applyFont="1" applyFill="1" applyBorder="1" applyAlignment="1" applyProtection="1">
      <alignment horizontal="center" vertical="center"/>
      <protection hidden="1"/>
    </xf>
    <xf numFmtId="43" fontId="75" fillId="31" borderId="34" xfId="0" applyNumberFormat="1" applyFont="1" applyFill="1" applyBorder="1" applyAlignment="1" applyProtection="1">
      <alignment horizontal="center" vertical="center"/>
      <protection hidden="1"/>
    </xf>
    <xf numFmtId="43" fontId="107" fillId="31" borderId="1" xfId="0" applyNumberFormat="1" applyFont="1" applyFill="1" applyBorder="1" applyAlignment="1" applyProtection="1">
      <alignment horizontal="center" vertical="center" shrinkToFit="1"/>
      <protection hidden="1"/>
    </xf>
    <xf numFmtId="265" fontId="75" fillId="31" borderId="1" xfId="39" applyNumberFormat="1" applyFont="1" applyFill="1" applyBorder="1" applyAlignment="1" applyProtection="1">
      <alignment vertical="center" shrinkToFit="1"/>
      <protection hidden="1"/>
    </xf>
    <xf numFmtId="220" fontId="75" fillId="0" borderId="1" xfId="0" applyFont="1" applyBorder="1" applyAlignment="1" applyProtection="1">
      <alignment horizontal="center" vertical="center" shrinkToFit="1"/>
      <protection locked="0"/>
    </xf>
    <xf numFmtId="220" fontId="75" fillId="0" borderId="1" xfId="0" applyFont="1" applyBorder="1" applyAlignment="1" applyProtection="1">
      <alignment horizontal="left" vertical="center" shrinkToFit="1"/>
      <protection locked="0"/>
    </xf>
    <xf numFmtId="220" fontId="3" fillId="0" borderId="1" xfId="0" applyFont="1" applyBorder="1" applyAlignment="1" applyProtection="1">
      <alignment vertical="center" shrinkToFit="1"/>
      <protection locked="0"/>
    </xf>
    <xf numFmtId="220" fontId="87" fillId="0" borderId="1" xfId="0" applyFont="1" applyBorder="1" applyAlignment="1" applyProtection="1">
      <alignment vertical="center" shrinkToFit="1"/>
      <protection locked="0"/>
    </xf>
    <xf numFmtId="265" fontId="95" fillId="31" borderId="0" xfId="0" applyNumberFormat="1" applyFont="1" applyFill="1" applyBorder="1" applyAlignment="1" applyProtection="1">
      <alignment horizontal="center" vertical="center" shrinkToFit="1"/>
      <protection hidden="1"/>
    </xf>
    <xf numFmtId="265" fontId="95" fillId="31" borderId="0" xfId="0" applyNumberFormat="1" applyFont="1" applyFill="1" applyBorder="1" applyAlignment="1" applyProtection="1">
      <alignment horizontal="left" vertical="center" shrinkToFit="1"/>
      <protection hidden="1"/>
    </xf>
    <xf numFmtId="265" fontId="5" fillId="31" borderId="16" xfId="0" applyNumberFormat="1" applyFont="1" applyFill="1" applyBorder="1" applyAlignment="1" applyProtection="1">
      <alignment horizontal="center" vertical="center" wrapText="1" shrinkToFit="1"/>
      <protection hidden="1"/>
    </xf>
    <xf numFmtId="265" fontId="75" fillId="31" borderId="20" xfId="0" applyNumberFormat="1" applyFont="1" applyFill="1" applyBorder="1" applyAlignment="1" applyProtection="1">
      <alignment horizontal="center" vertical="center" wrapText="1" shrinkToFit="1"/>
      <protection hidden="1"/>
    </xf>
    <xf numFmtId="265" fontId="87" fillId="31" borderId="1" xfId="0" applyNumberFormat="1" applyFont="1" applyFill="1" applyBorder="1" applyAlignment="1" applyProtection="1">
      <alignment horizontal="center" vertical="center" shrinkToFit="1"/>
      <protection hidden="1"/>
    </xf>
    <xf numFmtId="220" fontId="108" fillId="0" borderId="1" xfId="0" applyFont="1" applyBorder="1" applyAlignment="1" applyProtection="1">
      <alignment horizontal="center" vertical="center" shrinkToFit="1"/>
      <protection locked="0"/>
    </xf>
    <xf numFmtId="220" fontId="109" fillId="32" borderId="0" xfId="0" applyFont="1" applyFill="1" applyAlignment="1" applyProtection="1">
      <alignment horizontal="left" vertical="center"/>
      <protection hidden="1"/>
    </xf>
    <xf numFmtId="220" fontId="75" fillId="32" borderId="0" xfId="0" applyFont="1" applyFill="1" applyAlignment="1" applyProtection="1">
      <alignment vertical="center"/>
      <protection hidden="1"/>
    </xf>
    <xf numFmtId="220" fontId="110" fillId="32" borderId="0" xfId="0" applyFont="1" applyFill="1" applyAlignment="1" applyProtection="1">
      <alignment vertical="center"/>
      <protection hidden="1"/>
    </xf>
    <xf numFmtId="220" fontId="75" fillId="33" borderId="0" xfId="0" applyFont="1" applyFill="1" applyAlignment="1" applyProtection="1">
      <alignment horizontal="center" vertical="center"/>
      <protection hidden="1"/>
    </xf>
    <xf numFmtId="220" fontId="75" fillId="33" borderId="0" xfId="0" applyFont="1" applyFill="1" applyAlignment="1" applyProtection="1">
      <alignment vertical="center"/>
      <protection hidden="1"/>
    </xf>
    <xf numFmtId="220" fontId="111" fillId="32" borderId="0" xfId="0" applyFont="1" applyFill="1" applyAlignment="1" applyProtection="1">
      <alignment vertical="center"/>
      <protection hidden="1"/>
    </xf>
    <xf numFmtId="220" fontId="42" fillId="0" borderId="0" xfId="0" applyFont="1" applyFill="1" applyAlignment="1" applyProtection="1">
      <alignment horizontal="center" vertical="center"/>
      <protection locked="0"/>
    </xf>
    <xf numFmtId="220" fontId="42" fillId="0" borderId="0" xfId="0" applyFont="1" applyFill="1" applyAlignment="1" applyProtection="1">
      <alignment vertical="center"/>
      <protection locked="0"/>
    </xf>
    <xf numFmtId="49" fontId="42" fillId="0" borderId="17" xfId="0" applyNumberFormat="1" applyFont="1" applyFill="1" applyBorder="1" applyAlignment="1" applyProtection="1">
      <alignment horizontal="center" vertical="center" shrinkToFit="1"/>
      <protection locked="0"/>
    </xf>
    <xf numFmtId="220" fontId="42" fillId="0" borderId="0" xfId="0" applyFont="1" applyFill="1" applyBorder="1" applyAlignment="1" applyProtection="1">
      <alignment vertical="center"/>
      <protection locked="0"/>
    </xf>
    <xf numFmtId="220" fontId="42" fillId="0" borderId="0" xfId="0" applyFont="1" applyFill="1" applyBorder="1" applyAlignment="1" applyProtection="1">
      <alignment vertical="center" shrinkToFit="1"/>
      <protection locked="0"/>
    </xf>
    <xf numFmtId="220" fontId="53" fillId="0" borderId="0" xfId="0" applyFont="1" applyFill="1" applyBorder="1" applyAlignment="1" applyProtection="1">
      <alignment horizontal="center" vertical="center" shrinkToFit="1"/>
      <protection locked="0"/>
    </xf>
    <xf numFmtId="220" fontId="42" fillId="0" borderId="0" xfId="0" applyFont="1" applyFill="1" applyBorder="1" applyAlignment="1" applyProtection="1">
      <alignment horizontal="left" vertical="center" shrinkToFit="1"/>
      <protection locked="0"/>
    </xf>
    <xf numFmtId="220" fontId="42" fillId="0" borderId="0" xfId="0" applyFont="1" applyFill="1" applyBorder="1" applyAlignment="1" applyProtection="1">
      <alignment horizontal="center" vertical="center" shrinkToFit="1"/>
      <protection locked="0"/>
    </xf>
    <xf numFmtId="265" fontId="42" fillId="0" borderId="0" xfId="0" applyNumberFormat="1" applyFont="1" applyFill="1" applyBorder="1" applyAlignment="1" applyProtection="1">
      <alignment vertical="center" shrinkToFit="1"/>
      <protection locked="0"/>
    </xf>
    <xf numFmtId="220" fontId="42" fillId="0" borderId="0" xfId="0" applyFont="1" applyFill="1" applyAlignment="1" applyProtection="1">
      <alignment horizontal="left" vertical="center"/>
      <protection locked="0"/>
    </xf>
    <xf numFmtId="49" fontId="42" fillId="0" borderId="0" xfId="0" applyNumberFormat="1" applyFont="1" applyFill="1" applyBorder="1" applyAlignment="1" applyProtection="1">
      <alignment horizontal="center" vertical="center" shrinkToFit="1"/>
      <protection locked="0"/>
    </xf>
    <xf numFmtId="220" fontId="42" fillId="0" borderId="0" xfId="0" applyNumberFormat="1" applyFont="1" applyFill="1" applyBorder="1" applyAlignment="1" applyProtection="1">
      <alignment vertical="center" shrinkToFit="1"/>
      <protection locked="0"/>
    </xf>
    <xf numFmtId="265" fontId="112" fillId="0" borderId="0" xfId="0" applyNumberFormat="1" applyFont="1" applyFill="1" applyBorder="1" applyAlignment="1" applyProtection="1">
      <alignment horizontal="center" vertical="center" shrinkToFit="1"/>
      <protection locked="0"/>
    </xf>
    <xf numFmtId="43" fontId="42" fillId="0" borderId="0" xfId="0" applyNumberFormat="1" applyFont="1" applyFill="1" applyAlignment="1" applyProtection="1">
      <alignment vertical="center"/>
      <protection locked="0"/>
    </xf>
    <xf numFmtId="186" fontId="42" fillId="31" borderId="0" xfId="0" applyNumberFormat="1" applyFont="1" applyFill="1" applyBorder="1" applyAlignment="1" applyProtection="1">
      <alignment horizontal="center" vertical="center" shrinkToFit="1"/>
      <protection hidden="1"/>
    </xf>
    <xf numFmtId="186" fontId="42" fillId="31" borderId="2" xfId="0" applyNumberFormat="1" applyFont="1" applyFill="1" applyBorder="1" applyAlignment="1" applyProtection="1">
      <alignment horizontal="center" vertical="center" shrinkToFit="1"/>
      <protection hidden="1"/>
    </xf>
    <xf numFmtId="43" fontId="113" fillId="31" borderId="0" xfId="0" applyNumberFormat="1" applyFont="1" applyFill="1" applyBorder="1" applyAlignment="1" applyProtection="1">
      <alignment horizontal="center" vertical="center" shrinkToFit="1"/>
      <protection hidden="1"/>
    </xf>
    <xf numFmtId="265" fontId="42" fillId="31" borderId="0" xfId="0" applyNumberFormat="1" applyFont="1" applyFill="1" applyBorder="1" applyAlignment="1" applyProtection="1">
      <alignment horizontal="center" vertical="center" shrinkToFit="1"/>
      <protection hidden="1"/>
    </xf>
    <xf numFmtId="43" fontId="114" fillId="31" borderId="15" xfId="0" applyNumberFormat="1" applyFont="1" applyFill="1" applyBorder="1" applyAlignment="1" applyProtection="1">
      <alignment horizontal="center" vertical="center" shrinkToFit="1"/>
      <protection hidden="1"/>
    </xf>
    <xf numFmtId="43" fontId="42" fillId="31" borderId="0" xfId="0" applyNumberFormat="1" applyFont="1" applyFill="1" applyBorder="1" applyAlignment="1" applyProtection="1">
      <alignment horizontal="right" vertical="center" shrinkToFit="1"/>
      <protection hidden="1"/>
    </xf>
    <xf numFmtId="14" fontId="42" fillId="0" borderId="0" xfId="0" applyNumberFormat="1" applyFont="1" applyFill="1" applyBorder="1" applyAlignment="1" applyProtection="1">
      <alignment horizontal="center" vertical="center" shrinkToFit="1"/>
      <protection locked="0"/>
    </xf>
    <xf numFmtId="43" fontId="42" fillId="31" borderId="15" xfId="0" applyNumberFormat="1" applyFont="1" applyFill="1" applyBorder="1" applyAlignment="1" applyProtection="1">
      <alignment horizontal="center" vertical="center" shrinkToFit="1"/>
      <protection hidden="1"/>
    </xf>
    <xf numFmtId="43" fontId="115" fillId="31" borderId="0" xfId="0" applyNumberFormat="1" applyFont="1" applyFill="1" applyAlignment="1" applyProtection="1">
      <alignment horizontal="center" vertical="center"/>
      <protection hidden="1"/>
    </xf>
    <xf numFmtId="220" fontId="112" fillId="31" borderId="0" xfId="0" applyNumberFormat="1" applyFont="1" applyFill="1" applyAlignment="1" applyProtection="1">
      <alignment horizontal="left" vertical="center"/>
      <protection hidden="1"/>
    </xf>
    <xf numFmtId="43" fontId="42" fillId="31" borderId="0" xfId="0" applyNumberFormat="1" applyFont="1" applyFill="1" applyAlignment="1" applyProtection="1">
      <alignment horizontal="center" vertical="center" shrinkToFit="1"/>
      <protection hidden="1"/>
    </xf>
    <xf numFmtId="43" fontId="53" fillId="31" borderId="0" xfId="0" applyNumberFormat="1" applyFont="1" applyFill="1" applyAlignment="1" applyProtection="1">
      <alignment horizontal="center" vertical="center" shrinkToFit="1"/>
      <protection hidden="1"/>
    </xf>
    <xf numFmtId="43" fontId="42" fillId="31" borderId="0" xfId="0" applyNumberFormat="1" applyFont="1" applyFill="1" applyBorder="1" applyAlignment="1" applyProtection="1">
      <alignment horizontal="center" vertical="center" shrinkToFit="1"/>
      <protection hidden="1"/>
    </xf>
    <xf numFmtId="220" fontId="115" fillId="31" borderId="0" xfId="0" applyNumberFormat="1" applyFont="1" applyFill="1" applyAlignment="1" applyProtection="1">
      <alignment horizontal="left" vertical="center"/>
      <protection hidden="1"/>
    </xf>
    <xf numFmtId="265" fontId="42" fillId="31" borderId="2" xfId="0" applyNumberFormat="1" applyFont="1" applyFill="1" applyBorder="1" applyAlignment="1" applyProtection="1">
      <alignment horizontal="center" vertical="center" shrinkToFit="1"/>
      <protection hidden="1"/>
    </xf>
    <xf numFmtId="186" fontId="42" fillId="31" borderId="1" xfId="0" applyNumberFormat="1" applyFont="1" applyFill="1" applyBorder="1" applyAlignment="1" applyProtection="1">
      <alignment horizontal="center" vertical="center" wrapText="1" shrinkToFit="1"/>
      <protection hidden="1"/>
    </xf>
    <xf numFmtId="43" fontId="42" fillId="31" borderId="1" xfId="0" applyNumberFormat="1" applyFont="1" applyFill="1" applyBorder="1" applyAlignment="1" applyProtection="1">
      <alignment horizontal="center" vertical="center" shrinkToFit="1"/>
      <protection hidden="1"/>
    </xf>
    <xf numFmtId="265" fontId="42" fillId="31" borderId="14" xfId="0" applyNumberFormat="1" applyFont="1" applyFill="1" applyBorder="1" applyAlignment="1" applyProtection="1">
      <alignment horizontal="center" vertical="center" shrinkToFit="1"/>
      <protection hidden="1"/>
    </xf>
    <xf numFmtId="265" fontId="42" fillId="31" borderId="34" xfId="0" applyNumberFormat="1" applyFont="1" applyFill="1" applyBorder="1" applyAlignment="1" applyProtection="1">
      <alignment horizontal="center" vertical="center" shrinkToFit="1"/>
      <protection hidden="1"/>
    </xf>
    <xf numFmtId="43" fontId="42" fillId="31" borderId="1" xfId="0" applyNumberFormat="1" applyFont="1" applyFill="1" applyBorder="1" applyAlignment="1" applyProtection="1">
      <alignment horizontal="center" vertical="center"/>
      <protection hidden="1"/>
    </xf>
    <xf numFmtId="49" fontId="53" fillId="31" borderId="1" xfId="0" applyNumberFormat="1" applyFont="1" applyFill="1" applyBorder="1" applyAlignment="1" applyProtection="1">
      <alignment horizontal="center" vertical="center" shrinkToFit="1"/>
      <protection hidden="1"/>
    </xf>
    <xf numFmtId="265" fontId="42" fillId="31" borderId="1" xfId="0" applyNumberFormat="1" applyFont="1" applyFill="1" applyBorder="1" applyAlignment="1" applyProtection="1">
      <alignment horizontal="center" vertical="center" shrinkToFit="1"/>
      <protection hidden="1"/>
    </xf>
    <xf numFmtId="43" fontId="42" fillId="31" borderId="14" xfId="0" applyNumberFormat="1" applyFont="1" applyFill="1" applyBorder="1" applyAlignment="1" applyProtection="1">
      <alignment horizontal="center" vertical="center"/>
      <protection hidden="1"/>
    </xf>
    <xf numFmtId="43" fontId="42" fillId="31" borderId="15" xfId="0" applyNumberFormat="1" applyFont="1" applyFill="1" applyBorder="1" applyAlignment="1" applyProtection="1">
      <alignment horizontal="center" vertical="center"/>
      <protection hidden="1"/>
    </xf>
    <xf numFmtId="43" fontId="42" fillId="31" borderId="34" xfId="0" applyNumberFormat="1" applyFont="1" applyFill="1" applyBorder="1" applyAlignment="1" applyProtection="1">
      <alignment horizontal="center" vertical="center"/>
      <protection hidden="1"/>
    </xf>
    <xf numFmtId="43" fontId="112" fillId="31" borderId="1" xfId="0" applyNumberFormat="1" applyFont="1" applyFill="1" applyBorder="1" applyAlignment="1" applyProtection="1">
      <alignment horizontal="center" vertical="center" shrinkToFit="1"/>
      <protection hidden="1"/>
    </xf>
    <xf numFmtId="265" fontId="42" fillId="31" borderId="1" xfId="39" applyNumberFormat="1" applyFont="1" applyFill="1" applyBorder="1" applyAlignment="1" applyProtection="1">
      <alignment vertical="center" shrinkToFit="1"/>
      <protection hidden="1"/>
    </xf>
    <xf numFmtId="220" fontId="46" fillId="0" borderId="34" xfId="0" applyFont="1" applyFill="1" applyBorder="1" applyAlignment="1" applyProtection="1">
      <alignment vertical="center"/>
      <protection locked="0"/>
    </xf>
    <xf numFmtId="220" fontId="42" fillId="0" borderId="1" xfId="0" applyFont="1" applyFill="1" applyBorder="1" applyAlignment="1" applyProtection="1">
      <alignment vertical="center"/>
      <protection locked="0"/>
    </xf>
    <xf numFmtId="220" fontId="46" fillId="0" borderId="1" xfId="0" applyFont="1" applyFill="1" applyBorder="1" applyAlignment="1" applyProtection="1">
      <alignment horizontal="left" vertical="center" shrinkToFit="1"/>
      <protection locked="0"/>
    </xf>
    <xf numFmtId="265" fontId="42" fillId="0" borderId="1" xfId="0" applyNumberFormat="1" applyFont="1" applyFill="1" applyBorder="1" applyAlignment="1" applyProtection="1">
      <alignment horizontal="right" vertical="center" shrinkToFit="1"/>
      <protection locked="0"/>
    </xf>
    <xf numFmtId="0" fontId="42" fillId="0" borderId="1" xfId="0" applyNumberFormat="1" applyFont="1" applyFill="1" applyBorder="1" applyAlignment="1" applyProtection="1">
      <alignment horizontal="left" vertical="center"/>
      <protection locked="0"/>
    </xf>
    <xf numFmtId="220" fontId="5" fillId="0" borderId="1" xfId="0" applyFont="1" applyFill="1" applyBorder="1" applyAlignment="1" applyProtection="1">
      <alignment horizontal="left" vertical="center"/>
      <protection locked="0"/>
    </xf>
    <xf numFmtId="220" fontId="5" fillId="0" borderId="1" xfId="0" applyFont="1" applyFill="1" applyBorder="1" applyAlignment="1" applyProtection="1">
      <alignment horizontal="left" vertical="center" shrinkToFit="1"/>
      <protection locked="0"/>
    </xf>
    <xf numFmtId="220" fontId="75" fillId="0" borderId="1" xfId="0" applyFont="1" applyFill="1" applyBorder="1" applyAlignment="1" applyProtection="1">
      <alignment vertical="center" shrinkToFit="1"/>
      <protection locked="0"/>
    </xf>
    <xf numFmtId="220" fontId="5" fillId="0" borderId="1" xfId="0" applyFont="1" applyFill="1" applyBorder="1" applyAlignment="1" applyProtection="1">
      <alignment vertical="center" shrinkToFit="1"/>
      <protection locked="0"/>
    </xf>
    <xf numFmtId="43" fontId="42" fillId="0" borderId="1" xfId="39" applyFont="1" applyFill="1" applyBorder="1" applyAlignment="1" applyProtection="1">
      <alignment horizontal="right" vertical="center" shrinkToFit="1"/>
      <protection locked="0"/>
    </xf>
    <xf numFmtId="43" fontId="80" fillId="0" borderId="1" xfId="39" applyFont="1" applyFill="1" applyBorder="1" applyAlignment="1" applyProtection="1">
      <alignment horizontal="right" vertical="center" shrinkToFit="1"/>
      <protection locked="0"/>
    </xf>
    <xf numFmtId="0" fontId="42" fillId="0" borderId="1" xfId="0" applyNumberFormat="1" applyFont="1" applyFill="1" applyBorder="1" applyAlignment="1" applyProtection="1">
      <alignment horizontal="center" vertical="center"/>
      <protection locked="0"/>
    </xf>
    <xf numFmtId="43" fontId="116" fillId="0" borderId="1" xfId="39" applyFont="1" applyFill="1" applyBorder="1" applyAlignment="1" applyProtection="1">
      <alignment horizontal="left" vertical="center"/>
      <protection locked="0"/>
    </xf>
    <xf numFmtId="0" fontId="42" fillId="34" borderId="1" xfId="0" applyNumberFormat="1" applyFont="1" applyFill="1" applyBorder="1" applyAlignment="1" applyProtection="1">
      <alignment horizontal="left" vertical="center"/>
      <protection locked="0"/>
    </xf>
    <xf numFmtId="220" fontId="5" fillId="34" borderId="1" xfId="0" applyFont="1" applyFill="1" applyBorder="1" applyAlignment="1" applyProtection="1">
      <alignment horizontal="left" vertical="center"/>
      <protection locked="0"/>
    </xf>
    <xf numFmtId="220" fontId="42" fillId="34" borderId="1" xfId="0" applyFont="1" applyFill="1" applyBorder="1" applyAlignment="1" applyProtection="1">
      <alignment vertical="center" shrinkToFit="1"/>
      <protection locked="0"/>
    </xf>
    <xf numFmtId="43" fontId="42" fillId="34" borderId="1" xfId="39" applyFont="1" applyFill="1" applyBorder="1" applyAlignment="1" applyProtection="1">
      <alignment horizontal="right" vertical="center" shrinkToFit="1"/>
      <protection locked="0"/>
    </xf>
    <xf numFmtId="0" fontId="42" fillId="34" borderId="1" xfId="0" applyNumberFormat="1" applyFont="1" applyFill="1" applyBorder="1" applyAlignment="1" applyProtection="1">
      <alignment horizontal="center" vertical="center"/>
      <protection locked="0"/>
    </xf>
    <xf numFmtId="0" fontId="3" fillId="34" borderId="1" xfId="0" applyNumberFormat="1" applyFont="1" applyFill="1" applyBorder="1" applyAlignment="1" applyProtection="1">
      <alignment horizontal="left" vertical="center"/>
      <protection locked="0"/>
    </xf>
    <xf numFmtId="220" fontId="46" fillId="34" borderId="34" xfId="0" applyFont="1" applyFill="1" applyBorder="1" applyAlignment="1" applyProtection="1">
      <alignment vertical="center"/>
      <protection locked="0"/>
    </xf>
    <xf numFmtId="220" fontId="5" fillId="34" borderId="1" xfId="0" applyFont="1" applyFill="1" applyBorder="1" applyAlignment="1" applyProtection="1">
      <alignment vertical="center"/>
      <protection locked="0"/>
    </xf>
    <xf numFmtId="220" fontId="42" fillId="34" borderId="1" xfId="0" applyFont="1" applyFill="1" applyBorder="1" applyAlignment="1" applyProtection="1">
      <alignment horizontal="left" vertical="center" shrinkToFit="1"/>
      <protection locked="0"/>
    </xf>
    <xf numFmtId="220" fontId="42" fillId="34" borderId="1" xfId="0" applyFont="1" applyFill="1" applyBorder="1" applyAlignment="1" applyProtection="1">
      <alignment vertical="center"/>
      <protection locked="0"/>
    </xf>
    <xf numFmtId="220" fontId="5" fillId="34" borderId="1" xfId="0" applyFont="1" applyFill="1" applyBorder="1" applyAlignment="1" applyProtection="1">
      <alignment horizontal="left" vertical="center" shrinkToFit="1"/>
      <protection locked="0"/>
    </xf>
    <xf numFmtId="220" fontId="5" fillId="0" borderId="0" xfId="0" applyFont="1" applyFill="1" applyAlignment="1" applyProtection="1">
      <alignment horizontal="center" vertical="center"/>
      <protection locked="0"/>
    </xf>
    <xf numFmtId="265" fontId="113" fillId="31" borderId="0" xfId="0" applyNumberFormat="1" applyFont="1" applyFill="1" applyBorder="1" applyAlignment="1" applyProtection="1">
      <alignment horizontal="center" vertical="center" shrinkToFit="1"/>
      <protection hidden="1"/>
    </xf>
    <xf numFmtId="265" fontId="113" fillId="31" borderId="0" xfId="0" applyNumberFormat="1" applyFont="1" applyFill="1" applyBorder="1" applyAlignment="1" applyProtection="1">
      <alignment horizontal="left" vertical="center" shrinkToFit="1"/>
      <protection hidden="1"/>
    </xf>
    <xf numFmtId="43" fontId="42" fillId="0" borderId="0" xfId="0" applyNumberFormat="1" applyFont="1" applyFill="1" applyAlignment="1" applyProtection="1">
      <alignment vertical="center" shrinkToFit="1"/>
      <protection locked="0"/>
    </xf>
    <xf numFmtId="265" fontId="42" fillId="31" borderId="16" xfId="0" applyNumberFormat="1" applyFont="1" applyFill="1" applyBorder="1" applyAlignment="1" applyProtection="1">
      <alignment horizontal="center" vertical="center" wrapText="1" shrinkToFit="1"/>
      <protection hidden="1"/>
    </xf>
    <xf numFmtId="265" fontId="42" fillId="31" borderId="20" xfId="0" applyNumberFormat="1" applyFont="1" applyFill="1" applyBorder="1" applyAlignment="1" applyProtection="1">
      <alignment horizontal="center" vertical="center" wrapText="1" shrinkToFit="1"/>
      <protection hidden="1"/>
    </xf>
    <xf numFmtId="220" fontId="112" fillId="0" borderId="1" xfId="0" applyFont="1" applyFill="1" applyBorder="1" applyAlignment="1" applyProtection="1">
      <alignment horizontal="center" vertical="center"/>
      <protection locked="0"/>
    </xf>
    <xf numFmtId="220" fontId="117" fillId="0" borderId="1" xfId="0" applyFont="1" applyFill="1" applyBorder="1" applyAlignment="1" applyProtection="1">
      <alignment horizontal="center" vertical="center" shrinkToFit="1"/>
      <protection locked="0"/>
    </xf>
    <xf numFmtId="220" fontId="108" fillId="0" borderId="1" xfId="0" applyFont="1" applyFill="1" applyBorder="1" applyAlignment="1" applyProtection="1">
      <alignment horizontal="center" vertical="center" shrinkToFit="1"/>
      <protection locked="0"/>
    </xf>
    <xf numFmtId="220" fontId="108" fillId="34" borderId="1" xfId="0" applyFont="1" applyFill="1" applyBorder="1" applyAlignment="1" applyProtection="1">
      <alignment horizontal="center" vertical="center" shrinkToFit="1"/>
      <protection locked="0"/>
    </xf>
    <xf numFmtId="220" fontId="112" fillId="34" borderId="1" xfId="0" applyFont="1" applyFill="1" applyBorder="1" applyAlignment="1" applyProtection="1">
      <alignment horizontal="center" vertical="center"/>
      <protection locked="0"/>
    </xf>
    <xf numFmtId="220" fontId="5" fillId="0" borderId="0" xfId="0" applyFont="1" applyFill="1" applyAlignment="1" applyProtection="1">
      <alignment vertical="center"/>
      <protection locked="0"/>
    </xf>
    <xf numFmtId="0" fontId="46" fillId="34" borderId="1" xfId="0" applyNumberFormat="1" applyFont="1" applyFill="1" applyBorder="1" applyAlignment="1" applyProtection="1">
      <alignment horizontal="left" vertical="center"/>
      <protection locked="0"/>
    </xf>
    <xf numFmtId="220" fontId="42" fillId="34" borderId="1" xfId="0" applyFont="1" applyFill="1" applyBorder="1" applyAlignment="1" applyProtection="1">
      <alignment horizontal="left" vertical="center"/>
      <protection locked="0"/>
    </xf>
    <xf numFmtId="220" fontId="75" fillId="34" borderId="1" xfId="0" applyFont="1" applyFill="1" applyBorder="1" applyAlignment="1" applyProtection="1">
      <alignment vertical="center" shrinkToFit="1"/>
      <protection locked="0"/>
    </xf>
    <xf numFmtId="43" fontId="118" fillId="34" borderId="1" xfId="39" applyFont="1" applyFill="1" applyBorder="1" applyAlignment="1" applyProtection="1">
      <alignment horizontal="right" vertical="center" shrinkToFit="1"/>
      <protection locked="0"/>
    </xf>
    <xf numFmtId="0" fontId="46" fillId="0" borderId="1" xfId="0" applyNumberFormat="1" applyFont="1" applyFill="1" applyBorder="1" applyAlignment="1" applyProtection="1">
      <alignment horizontal="left" vertical="center"/>
      <protection locked="0"/>
    </xf>
    <xf numFmtId="220" fontId="5" fillId="34" borderId="1" xfId="0" applyFont="1" applyFill="1" applyBorder="1" applyAlignment="1" applyProtection="1">
      <alignment vertical="center" shrinkToFit="1"/>
      <protection locked="0"/>
    </xf>
    <xf numFmtId="220" fontId="75" fillId="34" borderId="1" xfId="0" applyFont="1" applyFill="1" applyBorder="1" applyAlignment="1" applyProtection="1">
      <alignment horizontal="left" vertical="center"/>
      <protection locked="0"/>
    </xf>
    <xf numFmtId="220" fontId="3" fillId="34" borderId="1" xfId="0" applyFont="1" applyFill="1" applyBorder="1" applyAlignment="1" applyProtection="1">
      <alignment horizontal="left" vertical="center" shrinkToFit="1"/>
      <protection locked="0"/>
    </xf>
    <xf numFmtId="220" fontId="42" fillId="0" borderId="1" xfId="0" applyFont="1" applyFill="1" applyBorder="1" applyAlignment="1" applyProtection="1">
      <alignment horizontal="left" vertical="center"/>
      <protection locked="0"/>
    </xf>
    <xf numFmtId="220" fontId="42" fillId="0" borderId="1" xfId="0" applyFont="1" applyFill="1" applyBorder="1" applyAlignment="1" applyProtection="1">
      <alignment horizontal="left" vertical="center" shrinkToFit="1"/>
      <protection locked="0"/>
    </xf>
    <xf numFmtId="220" fontId="42" fillId="0" borderId="1" xfId="0" applyFont="1" applyFill="1" applyBorder="1" applyAlignment="1" applyProtection="1">
      <alignment vertical="center" shrinkToFit="1"/>
      <protection locked="0"/>
    </xf>
    <xf numFmtId="220" fontId="46" fillId="34" borderId="1" xfId="0" applyFont="1" applyFill="1" applyBorder="1" applyAlignment="1" applyProtection="1">
      <alignment horizontal="left" vertical="center" shrinkToFit="1"/>
      <protection locked="0"/>
    </xf>
    <xf numFmtId="220" fontId="119" fillId="34" borderId="1" xfId="0" applyFont="1" applyFill="1" applyBorder="1" applyAlignment="1" applyProtection="1">
      <alignment horizontal="left" vertical="center" shrinkToFit="1"/>
      <protection locked="0"/>
    </xf>
    <xf numFmtId="220" fontId="80" fillId="34" borderId="1" xfId="0" applyFont="1" applyFill="1" applyBorder="1" applyAlignment="1" applyProtection="1">
      <alignment vertical="center" shrinkToFit="1"/>
      <protection locked="0"/>
    </xf>
    <xf numFmtId="220" fontId="116" fillId="34" borderId="1" xfId="0" applyFont="1" applyFill="1" applyBorder="1" applyAlignment="1" applyProtection="1">
      <alignment vertical="center" shrinkToFit="1"/>
      <protection locked="0"/>
    </xf>
    <xf numFmtId="43" fontId="80" fillId="34" borderId="1" xfId="39" applyFont="1" applyFill="1" applyBorder="1" applyAlignment="1" applyProtection="1">
      <alignment horizontal="right" vertical="center" shrinkToFit="1"/>
      <protection locked="0"/>
    </xf>
    <xf numFmtId="220" fontId="75" fillId="0" borderId="1" xfId="0" applyFont="1" applyFill="1" applyBorder="1" applyAlignment="1" applyProtection="1">
      <alignment horizontal="left" vertical="center"/>
      <protection locked="0"/>
    </xf>
    <xf numFmtId="220" fontId="118" fillId="34" borderId="1" xfId="0" applyFont="1" applyFill="1" applyBorder="1" applyAlignment="1" applyProtection="1">
      <alignment vertical="center" shrinkToFit="1"/>
      <protection locked="0"/>
    </xf>
    <xf numFmtId="220" fontId="46" fillId="6" borderId="0" xfId="0" applyFont="1" applyFill="1" applyAlignment="1" applyProtection="1">
      <alignment vertical="center"/>
      <protection locked="0"/>
    </xf>
    <xf numFmtId="220" fontId="42" fillId="6" borderId="1" xfId="0" applyFont="1" applyFill="1" applyBorder="1" applyAlignment="1" applyProtection="1">
      <alignment vertical="center" shrinkToFit="1"/>
      <protection locked="0"/>
    </xf>
    <xf numFmtId="220" fontId="3" fillId="34" borderId="1" xfId="0" applyFont="1" applyFill="1" applyBorder="1" applyAlignment="1" applyProtection="1">
      <alignment horizontal="left" vertical="center"/>
      <protection locked="0"/>
    </xf>
    <xf numFmtId="0" fontId="42" fillId="11" borderId="1" xfId="0" applyNumberFormat="1" applyFont="1" applyFill="1" applyBorder="1" applyAlignment="1" applyProtection="1">
      <alignment horizontal="center" vertical="center"/>
      <protection locked="0"/>
    </xf>
    <xf numFmtId="220" fontId="42" fillId="11" borderId="1" xfId="0" applyFont="1" applyFill="1" applyBorder="1" applyAlignment="1" applyProtection="1">
      <alignment horizontal="left" vertical="center"/>
      <protection locked="0"/>
    </xf>
    <xf numFmtId="220" fontId="3" fillId="11" borderId="1" xfId="0" applyFont="1" applyFill="1" applyBorder="1" applyAlignment="1" applyProtection="1">
      <alignment horizontal="left" vertical="center"/>
      <protection locked="0"/>
    </xf>
    <xf numFmtId="220" fontId="5" fillId="11" borderId="1" xfId="0" applyFont="1" applyFill="1" applyBorder="1" applyAlignment="1" applyProtection="1">
      <alignment horizontal="left" vertical="center"/>
      <protection locked="0"/>
    </xf>
    <xf numFmtId="43" fontId="42" fillId="11" borderId="1" xfId="39" applyFont="1" applyFill="1" applyBorder="1" applyAlignment="1" applyProtection="1">
      <alignment horizontal="right" vertical="center" shrinkToFit="1"/>
      <protection locked="0"/>
    </xf>
    <xf numFmtId="43" fontId="42" fillId="6" borderId="1" xfId="39" applyFont="1" applyFill="1" applyBorder="1" applyAlignment="1" applyProtection="1">
      <alignment horizontal="right" vertical="center" shrinkToFit="1"/>
      <protection locked="0"/>
    </xf>
    <xf numFmtId="49" fontId="42" fillId="34" borderId="1" xfId="0" applyNumberFormat="1" applyFont="1" applyFill="1" applyBorder="1" applyAlignment="1" applyProtection="1">
      <alignment horizontal="center" vertical="center"/>
      <protection locked="0"/>
    </xf>
    <xf numFmtId="43" fontId="5" fillId="0" borderId="0" xfId="39" applyFont="1" applyFill="1" applyAlignment="1" applyProtection="1">
      <alignment vertical="center"/>
      <protection locked="0"/>
    </xf>
    <xf numFmtId="43" fontId="45" fillId="34" borderId="1" xfId="39" applyFont="1" applyFill="1" applyBorder="1" applyAlignment="1" applyProtection="1">
      <alignment horizontal="right" vertical="center" shrinkToFit="1"/>
      <protection locked="0"/>
    </xf>
    <xf numFmtId="10" fontId="42" fillId="0" borderId="0" xfId="55" applyNumberFormat="1" applyFont="1" applyFill="1" applyAlignment="1" applyProtection="1">
      <alignment vertical="center"/>
      <protection locked="0"/>
    </xf>
    <xf numFmtId="0" fontId="80" fillId="0" borderId="0" xfId="21612" applyFont="1">
      <alignment vertical="center"/>
    </xf>
    <xf numFmtId="4" fontId="80" fillId="0" borderId="0" xfId="21612" applyNumberFormat="1" applyFont="1">
      <alignment vertical="center"/>
    </xf>
    <xf numFmtId="220" fontId="5" fillId="6" borderId="1" xfId="0" applyFont="1" applyFill="1" applyBorder="1" applyAlignment="1" applyProtection="1">
      <alignment vertical="center" shrinkToFit="1"/>
      <protection locked="0"/>
    </xf>
    <xf numFmtId="220" fontId="5" fillId="6" borderId="1" xfId="0" applyFont="1" applyFill="1" applyBorder="1" applyAlignment="1" applyProtection="1">
      <alignment horizontal="left" vertical="center"/>
      <protection locked="0"/>
    </xf>
    <xf numFmtId="220" fontId="120" fillId="0" borderId="1" xfId="0" applyFont="1" applyFill="1" applyBorder="1" applyAlignment="1" applyProtection="1">
      <alignment horizontal="center" vertical="center" shrinkToFit="1"/>
      <protection locked="0"/>
    </xf>
    <xf numFmtId="43" fontId="118" fillId="0" borderId="1" xfId="39" applyFont="1" applyFill="1" applyBorder="1" applyAlignment="1" applyProtection="1">
      <alignment horizontal="right" vertical="center" shrinkToFit="1"/>
      <protection locked="0"/>
    </xf>
    <xf numFmtId="0" fontId="42" fillId="0" borderId="1" xfId="39" applyNumberFormat="1" applyFont="1" applyFill="1" applyBorder="1" applyAlignment="1" applyProtection="1">
      <alignment horizontal="center" vertical="center"/>
      <protection locked="0"/>
    </xf>
    <xf numFmtId="220" fontId="121" fillId="0" borderId="0" xfId="0" applyFont="1" applyFill="1" applyAlignment="1" applyProtection="1">
      <alignment horizontal="left" vertical="center"/>
      <protection hidden="1"/>
    </xf>
    <xf numFmtId="220" fontId="42" fillId="0" borderId="0" xfId="0" applyFont="1" applyFill="1" applyAlignment="1" applyProtection="1">
      <alignment vertical="center"/>
      <protection hidden="1"/>
    </xf>
    <xf numFmtId="220" fontId="122" fillId="0" borderId="0" xfId="0" applyFont="1" applyFill="1" applyAlignment="1" applyProtection="1">
      <alignment vertical="center"/>
      <protection hidden="1"/>
    </xf>
    <xf numFmtId="220" fontId="42" fillId="0" borderId="0" xfId="0" applyFont="1" applyFill="1" applyAlignment="1" applyProtection="1">
      <alignment horizontal="center" vertical="center"/>
      <protection hidden="1"/>
    </xf>
    <xf numFmtId="220" fontId="86" fillId="29" borderId="0" xfId="0" applyFont="1" applyFill="1" applyAlignment="1" applyProtection="1">
      <alignment horizontal="center" vertical="center" shrinkToFit="1"/>
      <protection locked="0"/>
    </xf>
    <xf numFmtId="220" fontId="89" fillId="29" borderId="0" xfId="0" applyFont="1" applyFill="1" applyAlignment="1" applyProtection="1">
      <alignment horizontal="center" vertical="center" shrinkToFit="1"/>
      <protection locked="0"/>
    </xf>
    <xf numFmtId="265" fontId="87" fillId="29" borderId="0" xfId="0" applyNumberFormat="1" applyFont="1" applyFill="1" applyAlignment="1" applyProtection="1">
      <alignment horizontal="right" vertical="center" shrinkToFit="1"/>
      <protection locked="0"/>
    </xf>
    <xf numFmtId="220" fontId="87" fillId="29" borderId="0" xfId="0" applyFont="1" applyFill="1" applyAlignment="1" applyProtection="1">
      <alignment vertical="center" shrinkToFit="1"/>
      <protection locked="0"/>
    </xf>
    <xf numFmtId="220" fontId="75" fillId="29" borderId="0" xfId="0" applyFont="1" applyFill="1" applyAlignment="1" applyProtection="1">
      <alignment vertical="center" shrinkToFit="1"/>
      <protection locked="0"/>
    </xf>
    <xf numFmtId="43" fontId="87" fillId="29" borderId="0" xfId="39" applyFont="1" applyFill="1" applyAlignment="1" applyProtection="1">
      <alignment horizontal="right" vertical="center" shrinkToFit="1"/>
      <protection locked="0"/>
    </xf>
    <xf numFmtId="220" fontId="5" fillId="29" borderId="0" xfId="0" applyFont="1" applyFill="1" applyAlignment="1" applyProtection="1">
      <alignment vertical="center" shrinkToFit="1"/>
    </xf>
    <xf numFmtId="220" fontId="75" fillId="29" borderId="0" xfId="0" applyFont="1" applyFill="1" applyAlignment="1" applyProtection="1">
      <alignment vertical="center"/>
      <protection locked="0"/>
    </xf>
    <xf numFmtId="265" fontId="75" fillId="29" borderId="0" xfId="0" applyNumberFormat="1" applyFont="1" applyFill="1" applyAlignment="1" applyProtection="1">
      <alignment vertical="center" shrinkToFit="1"/>
      <protection locked="0"/>
    </xf>
    <xf numFmtId="43" fontId="75" fillId="29" borderId="0" xfId="39" applyFont="1" applyFill="1" applyAlignment="1" applyProtection="1">
      <alignment vertical="center" shrinkToFit="1"/>
      <protection locked="0"/>
    </xf>
    <xf numFmtId="220" fontId="5" fillId="29" borderId="100" xfId="0" applyFont="1" applyFill="1" applyBorder="1" applyAlignment="1" applyProtection="1">
      <alignment horizontal="center" vertical="center" shrinkToFit="1"/>
    </xf>
    <xf numFmtId="220" fontId="5" fillId="29" borderId="101" xfId="0" applyFont="1" applyFill="1" applyBorder="1" applyAlignment="1" applyProtection="1">
      <alignment vertical="center" shrinkToFit="1"/>
      <protection locked="0"/>
    </xf>
    <xf numFmtId="265" fontId="5" fillId="29" borderId="76" xfId="0" applyNumberFormat="1" applyFont="1" applyFill="1" applyBorder="1" applyAlignment="1" applyProtection="1">
      <alignment horizontal="center" vertical="center" shrinkToFit="1"/>
      <protection locked="0"/>
    </xf>
    <xf numFmtId="265" fontId="5" fillId="29" borderId="77" xfId="0" applyNumberFormat="1" applyFont="1" applyFill="1" applyBorder="1" applyAlignment="1" applyProtection="1">
      <alignment horizontal="center" vertical="center" shrinkToFit="1"/>
      <protection locked="0"/>
    </xf>
    <xf numFmtId="43" fontId="5" fillId="29" borderId="76" xfId="39" applyFont="1" applyFill="1" applyBorder="1" applyAlignment="1" applyProtection="1">
      <alignment horizontal="center" vertical="center" shrinkToFit="1"/>
    </xf>
    <xf numFmtId="265" fontId="5" fillId="29" borderId="76" xfId="0" applyNumberFormat="1" applyFont="1" applyFill="1" applyBorder="1" applyAlignment="1" applyProtection="1">
      <alignment horizontal="center" vertical="center" shrinkToFit="1"/>
    </xf>
    <xf numFmtId="220" fontId="5" fillId="29" borderId="102" xfId="0" applyFont="1" applyFill="1" applyBorder="1" applyAlignment="1" applyProtection="1">
      <alignment vertical="center" shrinkToFit="1"/>
    </xf>
    <xf numFmtId="220" fontId="5" fillId="29" borderId="20" xfId="0" applyFont="1" applyFill="1" applyBorder="1" applyAlignment="1" applyProtection="1">
      <alignment vertical="center" shrinkToFit="1"/>
      <protection locked="0"/>
    </xf>
    <xf numFmtId="265" fontId="5" fillId="29" borderId="1" xfId="0" applyNumberFormat="1" applyFont="1" applyFill="1" applyBorder="1" applyAlignment="1" applyProtection="1">
      <alignment horizontal="center" vertical="center" shrinkToFit="1"/>
      <protection locked="0"/>
    </xf>
    <xf numFmtId="265" fontId="123" fillId="29" borderId="72" xfId="0" applyNumberFormat="1" applyFont="1" applyFill="1" applyBorder="1" applyAlignment="1" applyProtection="1">
      <alignment horizontal="center" vertical="center" shrinkToFit="1"/>
      <protection locked="0"/>
    </xf>
    <xf numFmtId="43" fontId="5" fillId="29" borderId="1" xfId="39" applyFont="1" applyFill="1" applyBorder="1" applyAlignment="1" applyProtection="1">
      <alignment horizontal="center" vertical="center" shrinkToFit="1"/>
      <protection locked="0"/>
    </xf>
    <xf numFmtId="265" fontId="5" fillId="29" borderId="1" xfId="0" applyNumberFormat="1" applyFont="1" applyFill="1" applyBorder="1" applyAlignment="1" applyProtection="1">
      <alignment horizontal="center" vertical="center" shrinkToFit="1"/>
    </xf>
    <xf numFmtId="43" fontId="3" fillId="29" borderId="69" xfId="0" applyNumberFormat="1" applyFont="1" applyFill="1" applyBorder="1" applyAlignment="1" applyProtection="1">
      <alignment vertical="center" shrinkToFit="1"/>
    </xf>
    <xf numFmtId="220" fontId="75" fillId="29" borderId="1" xfId="0" applyFont="1" applyFill="1" applyBorder="1" applyAlignment="1" applyProtection="1">
      <alignment horizontal="center" vertical="center" shrinkToFit="1"/>
      <protection locked="0"/>
    </xf>
    <xf numFmtId="265" fontId="75" fillId="29" borderId="1" xfId="0" applyNumberFormat="1" applyFont="1" applyFill="1" applyBorder="1" applyAlignment="1" applyProtection="1">
      <alignment vertical="center" shrinkToFit="1"/>
      <protection locked="0"/>
    </xf>
    <xf numFmtId="265" fontId="75" fillId="29" borderId="72" xfId="0" applyNumberFormat="1" applyFont="1" applyFill="1" applyBorder="1" applyAlignment="1" applyProtection="1">
      <alignment vertical="center" shrinkToFit="1"/>
      <protection locked="0"/>
    </xf>
    <xf numFmtId="43" fontId="75" fillId="29" borderId="1" xfId="39" applyFont="1" applyFill="1" applyBorder="1" applyAlignment="1" applyProtection="1">
      <alignment vertical="center" shrinkToFit="1"/>
      <protection locked="0"/>
    </xf>
    <xf numFmtId="43" fontId="5" fillId="29" borderId="69" xfId="0" applyNumberFormat="1" applyFont="1" applyFill="1" applyBorder="1" applyAlignment="1" applyProtection="1">
      <alignment vertical="center" shrinkToFit="1"/>
    </xf>
    <xf numFmtId="43" fontId="75" fillId="29" borderId="1" xfId="39" applyFont="1" applyFill="1" applyBorder="1" applyAlignment="1" applyProtection="1">
      <alignment vertical="center" shrinkToFit="1"/>
    </xf>
    <xf numFmtId="43" fontId="75" fillId="5" borderId="1" xfId="35142" applyFont="1" applyFill="1" applyBorder="1" applyAlignment="1" applyProtection="1">
      <alignment horizontal="right" vertical="center" shrinkToFit="1"/>
      <protection locked="0"/>
    </xf>
    <xf numFmtId="43" fontId="75" fillId="0" borderId="72" xfId="39" applyFont="1" applyFill="1" applyBorder="1" applyAlignment="1" applyProtection="1">
      <alignment vertical="center" shrinkToFit="1"/>
    </xf>
    <xf numFmtId="43" fontId="75" fillId="29" borderId="1" xfId="35142" applyFont="1" applyFill="1" applyBorder="1" applyAlignment="1" applyProtection="1">
      <alignment horizontal="right" vertical="center" shrinkToFit="1"/>
    </xf>
    <xf numFmtId="43" fontId="3" fillId="29" borderId="69" xfId="0" applyNumberFormat="1" applyFont="1" applyFill="1" applyBorder="1" applyAlignment="1" applyProtection="1">
      <alignment horizontal="left" vertical="center" shrinkToFit="1"/>
    </xf>
    <xf numFmtId="220" fontId="75" fillId="29" borderId="1" xfId="0" applyFont="1" applyFill="1" applyBorder="1" applyAlignment="1" applyProtection="1">
      <alignment vertical="center" shrinkToFit="1"/>
      <protection locked="0" hidden="1"/>
    </xf>
    <xf numFmtId="43" fontId="88" fillId="29" borderId="1" xfId="39" applyFont="1" applyFill="1" applyBorder="1" applyAlignment="1" applyProtection="1">
      <alignment vertical="center" shrinkToFit="1"/>
      <protection locked="0"/>
    </xf>
    <xf numFmtId="43" fontId="88" fillId="29" borderId="1" xfId="0" applyNumberFormat="1" applyFont="1" applyFill="1" applyBorder="1" applyAlignment="1" applyProtection="1">
      <alignment vertical="center" shrinkToFit="1"/>
      <protection locked="0"/>
    </xf>
    <xf numFmtId="43" fontId="88" fillId="29" borderId="1" xfId="0" applyNumberFormat="1" applyFont="1" applyFill="1" applyBorder="1" applyAlignment="1" applyProtection="1">
      <alignment vertical="center" shrinkToFit="1"/>
    </xf>
    <xf numFmtId="43" fontId="88" fillId="29" borderId="72" xfId="0" applyNumberFormat="1" applyFont="1" applyFill="1" applyBorder="1" applyAlignment="1" applyProtection="1">
      <alignment vertical="center" shrinkToFit="1"/>
    </xf>
    <xf numFmtId="43" fontId="88" fillId="29" borderId="1" xfId="39" applyFont="1" applyFill="1" applyBorder="1" applyAlignment="1" applyProtection="1">
      <alignment vertical="center" shrinkToFit="1"/>
    </xf>
    <xf numFmtId="43" fontId="87" fillId="29" borderId="69" xfId="0" applyNumberFormat="1" applyFont="1" applyFill="1" applyBorder="1" applyAlignment="1" applyProtection="1">
      <alignment horizontal="center" vertical="center" shrinkToFit="1"/>
    </xf>
    <xf numFmtId="43" fontId="87" fillId="29" borderId="69" xfId="0" applyNumberFormat="1" applyFont="1" applyFill="1" applyBorder="1" applyAlignment="1" applyProtection="1">
      <alignment horizontal="left" vertical="center" shrinkToFit="1"/>
    </xf>
    <xf numFmtId="220" fontId="75" fillId="29" borderId="1" xfId="0" applyFont="1" applyFill="1" applyBorder="1" applyAlignment="1" applyProtection="1">
      <alignment vertical="center" shrinkToFit="1"/>
      <protection locked="0"/>
    </xf>
    <xf numFmtId="43" fontId="75" fillId="0" borderId="72" xfId="39" applyFont="1" applyFill="1" applyBorder="1" applyAlignment="1" applyProtection="1">
      <alignment vertical="center" shrinkToFit="1"/>
      <protection locked="0"/>
    </xf>
    <xf numFmtId="43" fontId="3" fillId="29" borderId="73" xfId="0" applyNumberFormat="1" applyFont="1" applyFill="1" applyBorder="1" applyAlignment="1" applyProtection="1">
      <alignment vertical="center" shrinkToFit="1"/>
    </xf>
    <xf numFmtId="220" fontId="75" fillId="29" borderId="74" xfId="0" applyFont="1" applyFill="1" applyBorder="1" applyAlignment="1" applyProtection="1">
      <alignment vertical="center" shrinkToFit="1"/>
      <protection locked="0"/>
    </xf>
    <xf numFmtId="43" fontId="88" fillId="29" borderId="74" xfId="39" applyFont="1" applyFill="1" applyBorder="1" applyAlignment="1" applyProtection="1">
      <alignment vertical="center" shrinkToFit="1"/>
    </xf>
    <xf numFmtId="43" fontId="88" fillId="29" borderId="74" xfId="0" applyNumberFormat="1" applyFont="1" applyFill="1" applyBorder="1" applyAlignment="1" applyProtection="1">
      <alignment vertical="center" shrinkToFit="1"/>
      <protection locked="0"/>
    </xf>
    <xf numFmtId="43" fontId="88" fillId="29" borderId="74" xfId="0" applyNumberFormat="1" applyFont="1" applyFill="1" applyBorder="1" applyAlignment="1" applyProtection="1">
      <alignment vertical="center" shrinkToFit="1"/>
    </xf>
    <xf numFmtId="43" fontId="88" fillId="29" borderId="75" xfId="0" applyNumberFormat="1" applyFont="1" applyFill="1" applyBorder="1" applyAlignment="1" applyProtection="1">
      <alignment vertical="center" shrinkToFit="1"/>
    </xf>
    <xf numFmtId="220" fontId="75" fillId="29" borderId="0" xfId="0" applyFont="1" applyFill="1" applyAlignment="1" applyProtection="1">
      <alignment vertical="center" shrinkToFit="1"/>
    </xf>
    <xf numFmtId="220" fontId="87" fillId="29" borderId="0" xfId="0" applyFont="1" applyFill="1" applyAlignment="1" applyProtection="1">
      <alignment vertical="center" shrinkToFit="1"/>
    </xf>
    <xf numFmtId="43" fontId="87" fillId="29" borderId="0" xfId="39" applyFont="1" applyFill="1" applyAlignment="1" applyProtection="1">
      <alignment vertical="center" shrinkToFit="1"/>
    </xf>
    <xf numFmtId="265" fontId="87" fillId="29" borderId="0" xfId="0" applyNumberFormat="1" applyFont="1" applyFill="1" applyAlignment="1" applyProtection="1">
      <alignment vertical="center" shrinkToFit="1"/>
      <protection locked="0"/>
    </xf>
    <xf numFmtId="220" fontId="100" fillId="29" borderId="0" xfId="0" applyFont="1" applyFill="1" applyAlignment="1" applyProtection="1">
      <alignment vertical="center" shrinkToFit="1"/>
    </xf>
    <xf numFmtId="220" fontId="75" fillId="29" borderId="100" xfId="0" applyFont="1" applyFill="1" applyBorder="1" applyAlignment="1" applyProtection="1">
      <alignment horizontal="center" vertical="center" shrinkToFit="1"/>
    </xf>
    <xf numFmtId="220" fontId="5" fillId="29" borderId="101" xfId="0" applyFont="1" applyFill="1" applyBorder="1" applyAlignment="1" applyProtection="1">
      <alignment horizontal="center" vertical="center" shrinkToFit="1"/>
      <protection locked="0"/>
    </xf>
    <xf numFmtId="265" fontId="5" fillId="29" borderId="77" xfId="0" applyNumberFormat="1" applyFont="1" applyFill="1" applyBorder="1" applyAlignment="1" applyProtection="1">
      <alignment horizontal="center" vertical="center" shrinkToFit="1"/>
    </xf>
    <xf numFmtId="220" fontId="75" fillId="29" borderId="102" xfId="0" applyFont="1" applyFill="1" applyBorder="1" applyAlignment="1" applyProtection="1">
      <alignment horizontal="center" vertical="center" shrinkToFit="1"/>
    </xf>
    <xf numFmtId="220" fontId="5" fillId="29" borderId="20" xfId="0" applyFont="1" applyFill="1" applyBorder="1" applyAlignment="1" applyProtection="1">
      <alignment horizontal="center" vertical="center" shrinkToFit="1"/>
      <protection locked="0"/>
    </xf>
    <xf numFmtId="265" fontId="124" fillId="29" borderId="1" xfId="0" applyNumberFormat="1" applyFont="1" applyFill="1" applyBorder="1" applyAlignment="1" applyProtection="1">
      <alignment horizontal="center" vertical="center" shrinkToFit="1"/>
      <protection locked="0"/>
    </xf>
    <xf numFmtId="265" fontId="5" fillId="29" borderId="72" xfId="0" applyNumberFormat="1" applyFont="1" applyFill="1" applyBorder="1" applyAlignment="1" applyProtection="1">
      <alignment horizontal="center" vertical="center" shrinkToFit="1"/>
      <protection locked="0"/>
    </xf>
    <xf numFmtId="265" fontId="124" fillId="29" borderId="1" xfId="0" applyNumberFormat="1" applyFont="1" applyFill="1" applyBorder="1" applyAlignment="1" applyProtection="1">
      <alignment horizontal="center" vertical="center" shrinkToFit="1"/>
    </xf>
    <xf numFmtId="220" fontId="87" fillId="29" borderId="69" xfId="0" applyFont="1" applyFill="1" applyBorder="1" applyAlignment="1" applyProtection="1">
      <alignment vertical="center" shrinkToFit="1"/>
    </xf>
    <xf numFmtId="43" fontId="75" fillId="29" borderId="69" xfId="0" applyNumberFormat="1" applyFont="1" applyFill="1" applyBorder="1" applyAlignment="1" applyProtection="1">
      <alignment vertical="center" shrinkToFit="1"/>
    </xf>
    <xf numFmtId="43" fontId="75" fillId="29" borderId="1" xfId="0" applyNumberFormat="1" applyFont="1" applyFill="1" applyBorder="1" applyAlignment="1" applyProtection="1">
      <alignment vertical="center" shrinkToFit="1"/>
      <protection locked="0"/>
    </xf>
    <xf numFmtId="43" fontId="75" fillId="29" borderId="72" xfId="39" applyFont="1" applyFill="1" applyBorder="1" applyAlignment="1" applyProtection="1">
      <alignment vertical="center" shrinkToFit="1"/>
    </xf>
    <xf numFmtId="265" fontId="123" fillId="29" borderId="72" xfId="0" applyNumberFormat="1" applyFont="1" applyFill="1" applyBorder="1" applyAlignment="1" applyProtection="1">
      <alignment horizontal="center" vertical="center" shrinkToFit="1"/>
    </xf>
    <xf numFmtId="265" fontId="5" fillId="29" borderId="72" xfId="0" applyNumberFormat="1" applyFont="1" applyFill="1" applyBorder="1" applyAlignment="1" applyProtection="1">
      <alignment horizontal="center" vertical="center" shrinkToFit="1"/>
    </xf>
    <xf numFmtId="43" fontId="87" fillId="29" borderId="69" xfId="0" applyNumberFormat="1" applyFont="1" applyFill="1" applyBorder="1" applyAlignment="1" applyProtection="1">
      <alignment vertical="center" shrinkToFit="1"/>
    </xf>
    <xf numFmtId="43" fontId="75" fillId="29" borderId="72" xfId="0" applyNumberFormat="1" applyFont="1" applyFill="1" applyBorder="1" applyAlignment="1" applyProtection="1">
      <alignment vertical="center" shrinkToFit="1"/>
      <protection locked="0"/>
    </xf>
    <xf numFmtId="43" fontId="75" fillId="29" borderId="72" xfId="39" applyFont="1" applyFill="1" applyBorder="1" applyAlignment="1" applyProtection="1">
      <alignment vertical="center" shrinkToFit="1"/>
      <protection locked="0"/>
    </xf>
    <xf numFmtId="43" fontId="75" fillId="5" borderId="1" xfId="39" applyFont="1" applyFill="1" applyBorder="1" applyAlignment="1" applyProtection="1">
      <alignment vertical="center" shrinkToFit="1"/>
      <protection locked="0"/>
    </xf>
    <xf numFmtId="43" fontId="75" fillId="29" borderId="73" xfId="0" applyNumberFormat="1" applyFont="1" applyFill="1" applyBorder="1" applyAlignment="1" applyProtection="1">
      <alignment vertical="center" shrinkToFit="1"/>
    </xf>
    <xf numFmtId="43" fontId="75" fillId="29" borderId="74" xfId="0" applyNumberFormat="1" applyFont="1" applyFill="1" applyBorder="1" applyAlignment="1" applyProtection="1">
      <alignment vertical="center" shrinkToFit="1"/>
      <protection locked="0"/>
    </xf>
    <xf numFmtId="43" fontId="75" fillId="5" borderId="0" xfId="0" applyNumberFormat="1" applyFont="1" applyFill="1" applyBorder="1" applyAlignment="1" applyProtection="1">
      <alignment vertical="center" shrinkToFit="1"/>
    </xf>
    <xf numFmtId="43" fontId="75" fillId="5" borderId="0" xfId="0" applyNumberFormat="1" applyFont="1" applyFill="1" applyBorder="1" applyAlignment="1" applyProtection="1">
      <alignment vertical="center" shrinkToFit="1"/>
      <protection locked="0"/>
    </xf>
    <xf numFmtId="43" fontId="88" fillId="5" borderId="0" xfId="0" applyNumberFormat="1" applyFont="1" applyFill="1" applyBorder="1" applyAlignment="1" applyProtection="1">
      <alignment vertical="center" shrinkToFit="1"/>
      <protection locked="0"/>
    </xf>
    <xf numFmtId="220" fontId="0" fillId="5" borderId="0" xfId="0" applyFill="1" applyProtection="1">
      <protection locked="0"/>
    </xf>
    <xf numFmtId="43" fontId="75" fillId="5" borderId="72" xfId="39" applyFont="1" applyFill="1" applyBorder="1" applyAlignment="1" applyProtection="1">
      <alignment vertical="center" shrinkToFit="1"/>
      <protection locked="0"/>
    </xf>
    <xf numFmtId="220" fontId="125" fillId="29" borderId="0" xfId="0" applyFont="1" applyFill="1" applyAlignment="1" applyProtection="1">
      <alignment vertical="center" shrinkToFit="1"/>
      <protection locked="0"/>
    </xf>
    <xf numFmtId="220" fontId="86" fillId="29" borderId="0" xfId="0" applyFont="1" applyFill="1" applyAlignment="1" applyProtection="1">
      <alignment vertical="center" shrinkToFit="1"/>
      <protection locked="0"/>
    </xf>
    <xf numFmtId="220" fontId="78" fillId="29" borderId="0" xfId="0" applyFont="1" applyFill="1" applyAlignment="1" applyProtection="1">
      <alignment vertical="center" shrinkToFit="1"/>
      <protection locked="0"/>
    </xf>
    <xf numFmtId="220" fontId="0" fillId="29" borderId="0" xfId="0" applyFont="1" applyFill="1" applyAlignment="1" applyProtection="1">
      <alignment vertical="center" shrinkToFit="1"/>
      <protection locked="0"/>
    </xf>
    <xf numFmtId="220" fontId="90" fillId="29" borderId="0" xfId="0" applyFont="1" applyFill="1" applyAlignment="1" applyProtection="1">
      <alignment vertical="center" shrinkToFit="1"/>
      <protection locked="0"/>
    </xf>
    <xf numFmtId="220" fontId="0" fillId="29" borderId="0" xfId="0" applyFill="1" applyAlignment="1" applyProtection="1">
      <alignment horizontal="right" vertical="center" shrinkToFit="1"/>
      <protection locked="0"/>
    </xf>
    <xf numFmtId="220" fontId="5" fillId="29" borderId="0" xfId="0" applyFont="1" applyFill="1" applyAlignment="1" applyProtection="1">
      <alignment vertical="center" shrinkToFit="1"/>
      <protection locked="0"/>
    </xf>
    <xf numFmtId="220" fontId="75" fillId="29" borderId="0" xfId="0" applyFont="1" applyFill="1" applyAlignment="1" applyProtection="1">
      <alignment horizontal="center" vertical="center"/>
      <protection locked="0"/>
    </xf>
    <xf numFmtId="220" fontId="75" fillId="29" borderId="0" xfId="0" applyFont="1" applyFill="1" applyAlignment="1" applyProtection="1">
      <alignment horizontal="right" vertical="center"/>
      <protection locked="0"/>
    </xf>
    <xf numFmtId="220" fontId="5" fillId="29" borderId="65" xfId="0" applyFont="1" applyFill="1" applyBorder="1" applyAlignment="1" applyProtection="1">
      <alignment horizontal="center" vertical="center" shrinkToFit="1"/>
    </xf>
    <xf numFmtId="220" fontId="5" fillId="29" borderId="76" xfId="0" applyFont="1" applyFill="1" applyBorder="1" applyAlignment="1" applyProtection="1">
      <alignment horizontal="center" vertical="center" shrinkToFit="1"/>
      <protection locked="0"/>
    </xf>
    <xf numFmtId="220" fontId="116" fillId="29" borderId="76" xfId="0" applyFont="1" applyFill="1" applyBorder="1" applyAlignment="1" applyProtection="1">
      <alignment horizontal="center" vertical="center" shrinkToFit="1"/>
      <protection locked="0"/>
    </xf>
    <xf numFmtId="220" fontId="116" fillId="29" borderId="77" xfId="0" applyFont="1" applyFill="1" applyBorder="1" applyAlignment="1" applyProtection="1">
      <alignment horizontal="center" vertical="center" shrinkToFit="1"/>
      <protection locked="0"/>
    </xf>
    <xf numFmtId="220" fontId="2" fillId="29" borderId="76" xfId="0" applyFont="1" applyFill="1" applyBorder="1" applyAlignment="1" applyProtection="1">
      <alignment horizontal="center" vertical="center" shrinkToFit="1"/>
    </xf>
    <xf numFmtId="220" fontId="5" fillId="29" borderId="69" xfId="0" applyFont="1" applyFill="1" applyBorder="1" applyAlignment="1" applyProtection="1">
      <alignment vertical="center" shrinkToFit="1"/>
    </xf>
    <xf numFmtId="220" fontId="5" fillId="29" borderId="1" xfId="0" applyFont="1" applyFill="1" applyBorder="1" applyAlignment="1" applyProtection="1">
      <alignment vertical="center" shrinkToFit="1"/>
      <protection locked="0"/>
    </xf>
    <xf numFmtId="220" fontId="116" fillId="29" borderId="1" xfId="0" applyFont="1" applyFill="1" applyBorder="1" applyAlignment="1" applyProtection="1">
      <alignment horizontal="center" vertical="center" shrinkToFit="1"/>
      <protection locked="0"/>
    </xf>
    <xf numFmtId="220" fontId="123" fillId="29" borderId="72" xfId="0" applyFont="1" applyFill="1" applyBorder="1" applyAlignment="1" applyProtection="1">
      <alignment horizontal="center" vertical="center" shrinkToFit="1"/>
      <protection locked="0"/>
    </xf>
    <xf numFmtId="220" fontId="2" fillId="29" borderId="1" xfId="0" applyFont="1" applyFill="1" applyBorder="1" applyAlignment="1" applyProtection="1">
      <alignment horizontal="center" vertical="center" shrinkToFit="1"/>
      <protection locked="0"/>
    </xf>
    <xf numFmtId="220" fontId="3" fillId="29" borderId="69" xfId="0" applyFont="1" applyFill="1" applyBorder="1" applyAlignment="1" applyProtection="1">
      <alignment vertical="center" shrinkToFit="1"/>
    </xf>
    <xf numFmtId="220" fontId="92" fillId="29" borderId="1" xfId="0" applyFont="1" applyFill="1" applyBorder="1" applyAlignment="1" applyProtection="1">
      <alignment horizontal="center" vertical="center" shrinkToFit="1"/>
      <protection locked="0" hidden="1"/>
    </xf>
    <xf numFmtId="43" fontId="75" fillId="29" borderId="1" xfId="35142" applyFont="1" applyFill="1" applyBorder="1" applyAlignment="1" applyProtection="1">
      <alignment horizontal="right" vertical="center" shrinkToFit="1"/>
      <protection locked="0"/>
    </xf>
    <xf numFmtId="43" fontId="75" fillId="5" borderId="72" xfId="35142" applyFont="1" applyFill="1" applyBorder="1" applyAlignment="1" applyProtection="1">
      <alignment horizontal="right" vertical="center" shrinkToFit="1"/>
    </xf>
    <xf numFmtId="43" fontId="75" fillId="29" borderId="72" xfId="35142" applyFont="1" applyFill="1" applyBorder="1" applyAlignment="1" applyProtection="1">
      <alignment horizontal="right" vertical="center" shrinkToFit="1"/>
      <protection locked="0"/>
    </xf>
    <xf numFmtId="43" fontId="88" fillId="29" borderId="1" xfId="35142" applyFont="1" applyFill="1" applyBorder="1" applyAlignment="1" applyProtection="1">
      <alignment vertical="center" shrinkToFit="1"/>
    </xf>
    <xf numFmtId="43" fontId="88" fillId="29" borderId="1" xfId="35142" applyFont="1" applyFill="1" applyBorder="1" applyAlignment="1" applyProtection="1">
      <alignment vertical="center" shrinkToFit="1"/>
      <protection locked="0"/>
    </xf>
    <xf numFmtId="43" fontId="88" fillId="29" borderId="72" xfId="35142" applyFont="1" applyFill="1" applyBorder="1" applyAlignment="1" applyProtection="1">
      <alignment vertical="center" shrinkToFit="1"/>
    </xf>
    <xf numFmtId="43" fontId="75" fillId="0" borderId="1" xfId="35142" applyFont="1" applyFill="1" applyBorder="1" applyAlignment="1" applyProtection="1">
      <alignment vertical="center" shrinkToFit="1"/>
      <protection locked="0"/>
    </xf>
    <xf numFmtId="43" fontId="75" fillId="5" borderId="1" xfId="35142" applyFont="1" applyFill="1" applyBorder="1" applyAlignment="1" applyProtection="1">
      <alignment vertical="center" shrinkToFit="1"/>
      <protection locked="0"/>
    </xf>
    <xf numFmtId="43" fontId="75" fillId="29" borderId="1" xfId="35142" applyFont="1" applyFill="1" applyBorder="1" applyAlignment="1" applyProtection="1">
      <alignment vertical="center" shrinkToFit="1"/>
      <protection locked="0"/>
    </xf>
    <xf numFmtId="43" fontId="75" fillId="29" borderId="72" xfId="35142" applyFont="1" applyFill="1" applyBorder="1" applyAlignment="1" applyProtection="1">
      <alignment vertical="center" shrinkToFit="1"/>
      <protection locked="0"/>
    </xf>
    <xf numFmtId="43" fontId="75" fillId="0" borderId="72" xfId="35142" applyFont="1" applyFill="1" applyBorder="1" applyAlignment="1" applyProtection="1">
      <alignment vertical="center" shrinkToFit="1"/>
      <protection locked="0"/>
    </xf>
    <xf numFmtId="220" fontId="5" fillId="29" borderId="73" xfId="0" applyFont="1" applyFill="1" applyBorder="1" applyAlignment="1" applyProtection="1">
      <alignment vertical="center" shrinkToFit="1"/>
    </xf>
    <xf numFmtId="43" fontId="88" fillId="29" borderId="74" xfId="35142" applyFont="1" applyFill="1" applyBorder="1" applyAlignment="1" applyProtection="1">
      <alignment vertical="center" shrinkToFit="1"/>
      <protection locked="0"/>
    </xf>
    <xf numFmtId="43" fontId="75" fillId="0" borderId="74" xfId="35142" applyFont="1" applyFill="1" applyBorder="1" applyAlignment="1" applyProtection="1">
      <alignment vertical="center" shrinkToFit="1"/>
      <protection locked="0"/>
    </xf>
    <xf numFmtId="43" fontId="75" fillId="0" borderId="75" xfId="35142" applyFont="1" applyFill="1" applyBorder="1" applyAlignment="1" applyProtection="1">
      <alignment vertical="center" shrinkToFit="1"/>
      <protection locked="0"/>
    </xf>
    <xf numFmtId="220" fontId="75" fillId="29" borderId="0" xfId="0" applyFont="1" applyFill="1" applyBorder="1" applyAlignment="1" applyProtection="1">
      <alignment vertical="center" shrinkToFit="1"/>
    </xf>
    <xf numFmtId="220" fontId="75" fillId="29" borderId="0" xfId="0" applyFont="1" applyFill="1" applyBorder="1" applyAlignment="1" applyProtection="1">
      <alignment vertical="center" shrinkToFit="1"/>
      <protection locked="0"/>
    </xf>
    <xf numFmtId="43" fontId="75" fillId="29" borderId="0" xfId="35142" applyFont="1" applyFill="1" applyBorder="1" applyAlignment="1" applyProtection="1">
      <alignment vertical="center" shrinkToFit="1"/>
      <protection locked="0"/>
    </xf>
    <xf numFmtId="220" fontId="78" fillId="29" borderId="0" xfId="0" applyFont="1" applyFill="1" applyBorder="1" applyAlignment="1" applyProtection="1">
      <alignment vertical="center" shrinkToFit="1"/>
      <protection locked="0"/>
    </xf>
    <xf numFmtId="43" fontId="78" fillId="29" borderId="0" xfId="0" applyNumberFormat="1" applyFont="1" applyFill="1" applyBorder="1" applyAlignment="1" applyProtection="1">
      <alignment vertical="center" shrinkToFit="1"/>
      <protection locked="0"/>
    </xf>
    <xf numFmtId="220" fontId="100" fillId="29" borderId="0" xfId="0" applyFont="1" applyFill="1" applyBorder="1" applyAlignment="1" applyProtection="1">
      <alignment vertical="center"/>
    </xf>
    <xf numFmtId="220" fontId="2" fillId="29" borderId="0" xfId="0" applyFont="1" applyFill="1" applyBorder="1" applyAlignment="1" applyProtection="1">
      <alignment vertical="center" shrinkToFit="1"/>
      <protection locked="0"/>
    </xf>
    <xf numFmtId="220" fontId="5" fillId="29" borderId="65" xfId="0" applyFont="1" applyFill="1" applyBorder="1" applyAlignment="1" applyProtection="1">
      <alignment vertical="center"/>
    </xf>
    <xf numFmtId="220" fontId="75" fillId="29" borderId="76" xfId="0" applyFont="1" applyFill="1" applyBorder="1" applyAlignment="1" applyProtection="1">
      <alignment vertical="center" shrinkToFit="1"/>
      <protection locked="0"/>
    </xf>
    <xf numFmtId="43" fontId="88" fillId="29" borderId="76" xfId="35142" applyFont="1" applyFill="1" applyBorder="1" applyAlignment="1" applyProtection="1">
      <alignment vertical="center" shrinkToFit="1"/>
    </xf>
    <xf numFmtId="43" fontId="88" fillId="29" borderId="76" xfId="35142" applyFont="1" applyFill="1" applyBorder="1" applyAlignment="1" applyProtection="1">
      <alignment vertical="center" shrinkToFit="1"/>
      <protection locked="0"/>
    </xf>
    <xf numFmtId="43" fontId="88" fillId="29" borderId="77" xfId="35142" applyFont="1" applyFill="1" applyBorder="1" applyAlignment="1" applyProtection="1">
      <alignment vertical="center" shrinkToFit="1"/>
    </xf>
    <xf numFmtId="43" fontId="75" fillId="29" borderId="72" xfId="35142" applyFont="1" applyFill="1" applyBorder="1" applyAlignment="1" applyProtection="1">
      <alignment horizontal="right" vertical="center" shrinkToFit="1"/>
    </xf>
    <xf numFmtId="43" fontId="88" fillId="29" borderId="74" xfId="35142" applyFont="1" applyFill="1" applyBorder="1" applyAlignment="1" applyProtection="1">
      <alignment vertical="center" shrinkToFit="1"/>
    </xf>
    <xf numFmtId="43" fontId="88" fillId="29" borderId="75" xfId="35142" applyFont="1" applyFill="1" applyBorder="1" applyAlignment="1" applyProtection="1">
      <alignment vertical="center" shrinkToFit="1"/>
    </xf>
    <xf numFmtId="220" fontId="2" fillId="29" borderId="77" xfId="0" applyFont="1" applyFill="1" applyBorder="1" applyAlignment="1" applyProtection="1">
      <alignment horizontal="center" vertical="center" shrinkToFit="1"/>
    </xf>
    <xf numFmtId="43" fontId="75" fillId="5" borderId="72" xfId="35142" applyFont="1" applyFill="1" applyBorder="1" applyAlignment="1" applyProtection="1">
      <alignment horizontal="right" vertical="center" shrinkToFit="1"/>
      <protection locked="0"/>
    </xf>
    <xf numFmtId="43" fontId="75" fillId="5" borderId="72" xfId="35142" applyFont="1" applyFill="1" applyBorder="1" applyAlignment="1" applyProtection="1">
      <alignment vertical="center" shrinkToFit="1"/>
      <protection locked="0"/>
    </xf>
    <xf numFmtId="43" fontId="88" fillId="29" borderId="77" xfId="35142" applyFont="1" applyFill="1" applyBorder="1" applyAlignment="1" applyProtection="1">
      <alignment vertical="center" shrinkToFit="1"/>
      <protection locked="0"/>
    </xf>
    <xf numFmtId="43" fontId="75" fillId="0" borderId="1" xfId="0" applyNumberFormat="1" applyFont="1" applyFill="1" applyBorder="1" applyAlignment="1" applyProtection="1">
      <alignment vertical="center" shrinkToFit="1"/>
      <protection locked="0"/>
    </xf>
    <xf numFmtId="43" fontId="75" fillId="0" borderId="72" xfId="0" applyNumberFormat="1" applyFont="1" applyFill="1" applyBorder="1" applyAlignment="1" applyProtection="1">
      <alignment vertical="center" shrinkToFit="1"/>
      <protection locked="0"/>
    </xf>
    <xf numFmtId="265" fontId="90" fillId="29" borderId="0" xfId="0" applyNumberFormat="1" applyFont="1" applyFill="1" applyAlignment="1" applyProtection="1">
      <alignment vertical="center" shrinkToFit="1"/>
      <protection hidden="1"/>
    </xf>
    <xf numFmtId="265" fontId="90" fillId="29" borderId="0" xfId="0" applyNumberFormat="1" applyFont="1" applyFill="1" applyAlignment="1" applyProtection="1">
      <alignment horizontal="right" vertical="center" shrinkToFit="1"/>
      <protection hidden="1"/>
    </xf>
    <xf numFmtId="220" fontId="91" fillId="29" borderId="69" xfId="0" applyFont="1" applyFill="1" applyBorder="1" applyAlignment="1" applyProtection="1">
      <alignment vertical="center" shrinkToFit="1"/>
      <protection hidden="1"/>
    </xf>
    <xf numFmtId="220" fontId="0" fillId="0" borderId="1" xfId="0" applyFont="1" applyFill="1" applyBorder="1" applyAlignment="1" applyProtection="1">
      <alignment horizontal="center" vertical="center" shrinkToFit="1"/>
      <protection locked="0"/>
    </xf>
    <xf numFmtId="220" fontId="90" fillId="29" borderId="1" xfId="0" applyFont="1" applyFill="1" applyBorder="1" applyAlignment="1" applyProtection="1">
      <alignment horizontal="center" vertical="center" shrinkToFit="1"/>
      <protection hidden="1"/>
    </xf>
    <xf numFmtId="43" fontId="93" fillId="29" borderId="1" xfId="0" applyNumberFormat="1" applyFont="1" applyFill="1" applyBorder="1" applyAlignment="1" applyProtection="1">
      <alignment vertical="center" shrinkToFit="1"/>
      <protection hidden="1"/>
    </xf>
    <xf numFmtId="43" fontId="93" fillId="29" borderId="72" xfId="0" applyNumberFormat="1" applyFont="1" applyFill="1" applyBorder="1" applyAlignment="1" applyProtection="1">
      <alignment vertical="center" shrinkToFit="1"/>
      <protection hidden="1"/>
    </xf>
    <xf numFmtId="220" fontId="0" fillId="29" borderId="69" xfId="0" applyFont="1" applyFill="1" applyBorder="1" applyAlignment="1" applyProtection="1">
      <alignment vertical="center" shrinkToFit="1"/>
      <protection locked="0"/>
    </xf>
    <xf numFmtId="43" fontId="90" fillId="0" borderId="1" xfId="39" applyFont="1" applyFill="1" applyBorder="1" applyAlignment="1" applyProtection="1">
      <alignment vertical="center" shrinkToFit="1"/>
      <protection locked="0"/>
    </xf>
    <xf numFmtId="43" fontId="90" fillId="0" borderId="72" xfId="39" applyFont="1" applyFill="1" applyBorder="1" applyAlignment="1" applyProtection="1">
      <alignment vertical="center" shrinkToFit="1"/>
      <protection locked="0"/>
    </xf>
    <xf numFmtId="43" fontId="90" fillId="29" borderId="1" xfId="39" applyFont="1" applyFill="1" applyBorder="1" applyAlignment="1" applyProtection="1">
      <alignment vertical="center" shrinkToFit="1"/>
      <protection hidden="1"/>
    </xf>
    <xf numFmtId="31" fontId="75" fillId="29" borderId="0" xfId="0" applyNumberFormat="1" applyFont="1" applyFill="1" applyAlignment="1" applyProtection="1">
      <alignment horizontal="left" vertical="center" shrinkToFit="1"/>
      <protection hidden="1"/>
    </xf>
    <xf numFmtId="220" fontId="5" fillId="0" borderId="63" xfId="0" applyFont="1" applyFill="1" applyBorder="1" applyAlignment="1" applyProtection="1">
      <alignment horizontal="center" vertical="center" shrinkToFit="1"/>
      <protection locked="0"/>
    </xf>
    <xf numFmtId="265" fontId="75" fillId="0" borderId="63" xfId="0" applyNumberFormat="1" applyFont="1" applyFill="1" applyBorder="1" applyAlignment="1" applyProtection="1">
      <alignment horizontal="right" vertical="center" shrinkToFit="1"/>
      <protection locked="0"/>
    </xf>
    <xf numFmtId="265" fontId="75" fillId="0" borderId="83" xfId="0" applyNumberFormat="1" applyFont="1" applyFill="1" applyBorder="1" applyAlignment="1" applyProtection="1">
      <alignment horizontal="right" vertical="center" shrinkToFit="1"/>
      <protection locked="0"/>
    </xf>
    <xf numFmtId="220" fontId="75" fillId="0" borderId="63" xfId="0" applyFont="1" applyFill="1" applyBorder="1" applyAlignment="1" applyProtection="1">
      <alignment horizontal="center" vertical="center" shrinkToFit="1"/>
      <protection locked="0"/>
    </xf>
    <xf numFmtId="265" fontId="75" fillId="0" borderId="63" xfId="0" applyNumberFormat="1" applyFont="1" applyFill="1" applyBorder="1" applyAlignment="1" applyProtection="1">
      <alignment horizontal="center" vertical="center" shrinkToFit="1"/>
      <protection locked="0"/>
    </xf>
    <xf numFmtId="265" fontId="5" fillId="0" borderId="63" xfId="0" applyNumberFormat="1" applyFont="1" applyFill="1" applyBorder="1" applyAlignment="1" applyProtection="1">
      <alignment horizontal="center" vertical="center" shrinkToFit="1"/>
      <protection locked="0"/>
    </xf>
    <xf numFmtId="43" fontId="5" fillId="0" borderId="63" xfId="0" applyNumberFormat="1" applyFont="1" applyFill="1" applyBorder="1" applyAlignment="1" applyProtection="1">
      <alignment vertical="center" shrinkToFit="1"/>
      <protection locked="0"/>
    </xf>
    <xf numFmtId="43" fontId="5" fillId="0" borderId="78" xfId="0" applyNumberFormat="1" applyFont="1" applyFill="1" applyBorder="1" applyAlignment="1" applyProtection="1">
      <alignment vertical="center" shrinkToFit="1"/>
      <protection locked="0"/>
    </xf>
    <xf numFmtId="265" fontId="75" fillId="0" borderId="63" xfId="0" applyNumberFormat="1" applyFont="1" applyFill="1" applyBorder="1" applyAlignment="1" applyProtection="1">
      <alignment horizontal="center" vertical="center" shrinkToFit="1"/>
      <protection hidden="1"/>
    </xf>
    <xf numFmtId="265" fontId="126" fillId="29" borderId="1" xfId="0" applyNumberFormat="1" applyFont="1" applyFill="1" applyBorder="1" applyAlignment="1" applyProtection="1">
      <alignment horizontal="center" vertical="center" shrinkToFit="1"/>
      <protection locked="0"/>
    </xf>
    <xf numFmtId="43" fontId="88" fillId="29" borderId="74" xfId="39" applyFont="1" applyFill="1" applyBorder="1" applyAlignment="1" applyProtection="1">
      <alignment vertical="center" shrinkToFit="1"/>
      <protection locked="0"/>
    </xf>
    <xf numFmtId="43" fontId="87" fillId="29" borderId="0" xfId="39" applyFont="1" applyFill="1" applyAlignment="1" applyProtection="1">
      <alignment vertical="center" shrinkToFit="1"/>
      <protection locked="0"/>
    </xf>
    <xf numFmtId="43" fontId="5" fillId="29" borderId="76" xfId="39" applyFont="1" applyFill="1" applyBorder="1" applyAlignment="1" applyProtection="1">
      <alignment horizontal="center" vertical="center" shrinkToFit="1"/>
      <protection locked="0"/>
    </xf>
    <xf numFmtId="43" fontId="88" fillId="29" borderId="72" xfId="0" applyNumberFormat="1" applyFont="1" applyFill="1" applyBorder="1" applyAlignment="1" applyProtection="1">
      <alignment vertical="center" shrinkToFit="1"/>
      <protection locked="0"/>
    </xf>
    <xf numFmtId="43" fontId="88" fillId="29" borderId="75" xfId="0" applyNumberFormat="1" applyFont="1" applyFill="1" applyBorder="1" applyAlignment="1" applyProtection="1">
      <alignment vertical="center" shrinkToFit="1"/>
      <protection locked="0"/>
    </xf>
    <xf numFmtId="43" fontId="75" fillId="29" borderId="0" xfId="0" applyNumberFormat="1" applyFont="1" applyFill="1" applyBorder="1" applyAlignment="1" applyProtection="1">
      <alignment vertical="center" shrinkToFit="1"/>
    </xf>
    <xf numFmtId="43" fontId="75" fillId="29" borderId="0" xfId="0" applyNumberFormat="1" applyFont="1" applyFill="1" applyBorder="1" applyAlignment="1" applyProtection="1">
      <alignment vertical="center" shrinkToFit="1"/>
      <protection locked="0"/>
    </xf>
    <xf numFmtId="43" fontId="88" fillId="29" borderId="0" xfId="0" applyNumberFormat="1" applyFont="1" applyFill="1" applyBorder="1" applyAlignment="1" applyProtection="1">
      <alignment vertical="center" shrinkToFit="1"/>
      <protection locked="0"/>
    </xf>
    <xf numFmtId="220" fontId="86" fillId="29" borderId="0" xfId="0" applyFont="1" applyFill="1" applyAlignment="1" applyProtection="1">
      <alignment horizontal="center" vertical="center" shrinkToFit="1"/>
    </xf>
    <xf numFmtId="220" fontId="5" fillId="29" borderId="69" xfId="0" applyFont="1" applyFill="1" applyBorder="1" applyAlignment="1" applyProtection="1">
      <alignment horizontal="center" vertical="center" shrinkToFit="1"/>
    </xf>
    <xf numFmtId="220" fontId="5" fillId="29" borderId="1" xfId="0" applyFont="1" applyFill="1" applyBorder="1" applyAlignment="1" applyProtection="1">
      <alignment horizontal="center" vertical="center" shrinkToFit="1"/>
      <protection locked="0"/>
    </xf>
    <xf numFmtId="220" fontId="75" fillId="29" borderId="74" xfId="0" applyFont="1" applyFill="1" applyBorder="1" applyAlignment="1" applyProtection="1">
      <alignment horizontal="center" vertical="center" shrinkToFit="1"/>
      <protection locked="0"/>
    </xf>
    <xf numFmtId="220" fontId="100" fillId="29" borderId="0" xfId="0" applyFont="1" applyFill="1" applyAlignment="1" applyProtection="1">
      <alignment vertical="center"/>
    </xf>
    <xf numFmtId="220" fontId="75" fillId="29" borderId="65" xfId="0" applyFont="1" applyFill="1" applyBorder="1" applyAlignment="1" applyProtection="1">
      <alignment horizontal="center" vertical="center" shrinkToFit="1"/>
    </xf>
    <xf numFmtId="220" fontId="75" fillId="29" borderId="69" xfId="0" applyFont="1" applyFill="1" applyBorder="1" applyAlignment="1" applyProtection="1">
      <alignment horizontal="center" vertical="center" shrinkToFit="1"/>
    </xf>
    <xf numFmtId="220" fontId="123" fillId="29" borderId="1" xfId="0" applyFont="1" applyFill="1" applyBorder="1" applyAlignment="1" applyProtection="1">
      <alignment horizontal="center" vertical="center" shrinkToFit="1"/>
      <protection locked="0"/>
    </xf>
    <xf numFmtId="220" fontId="125" fillId="29" borderId="0" xfId="0" applyFont="1" applyFill="1" applyAlignment="1" applyProtection="1">
      <alignment horizontal="center" vertical="center" shrinkToFit="1"/>
      <protection locked="0"/>
    </xf>
    <xf numFmtId="43" fontId="125" fillId="29" borderId="0" xfId="0" applyNumberFormat="1" applyFont="1" applyFill="1" applyAlignment="1" applyProtection="1">
      <alignment horizontal="center" vertical="center" shrinkToFit="1"/>
      <protection locked="0"/>
    </xf>
    <xf numFmtId="220" fontId="2" fillId="29" borderId="0" xfId="0" applyFont="1" applyFill="1" applyAlignment="1" applyProtection="1">
      <alignment vertical="center" shrinkToFit="1"/>
    </xf>
    <xf numFmtId="220" fontId="2" fillId="29" borderId="65" xfId="0" applyFont="1" applyFill="1" applyBorder="1" applyAlignment="1" applyProtection="1">
      <alignment horizontal="center" vertical="center" shrinkToFit="1"/>
    </xf>
    <xf numFmtId="220" fontId="2" fillId="29" borderId="76" xfId="0" applyFont="1" applyFill="1" applyBorder="1" applyAlignment="1" applyProtection="1">
      <alignment horizontal="center" vertical="center" shrinkToFit="1"/>
      <protection locked="0"/>
    </xf>
    <xf numFmtId="220" fontId="2" fillId="29" borderId="69" xfId="0" applyFont="1" applyFill="1" applyBorder="1" applyAlignment="1" applyProtection="1">
      <alignment horizontal="center" vertical="center" shrinkToFit="1"/>
    </xf>
    <xf numFmtId="220" fontId="20" fillId="29" borderId="69" xfId="0" applyFont="1" applyFill="1" applyBorder="1" applyAlignment="1" applyProtection="1">
      <alignment vertical="center" shrinkToFit="1"/>
    </xf>
    <xf numFmtId="43" fontId="75" fillId="29" borderId="1" xfId="35142" applyFont="1" applyFill="1" applyBorder="1" applyAlignment="1" applyProtection="1">
      <alignment horizontal="right" vertical="center" shrinkToFit="1"/>
      <protection hidden="1"/>
    </xf>
    <xf numFmtId="220" fontId="2" fillId="29" borderId="69" xfId="0" applyFont="1" applyFill="1" applyBorder="1" applyAlignment="1" applyProtection="1">
      <alignment vertical="center" shrinkToFit="1"/>
    </xf>
    <xf numFmtId="220" fontId="2" fillId="29" borderId="69" xfId="0" applyFont="1" applyFill="1" applyBorder="1" applyAlignment="1" applyProtection="1">
      <alignment horizontal="left" vertical="center" shrinkToFit="1"/>
    </xf>
    <xf numFmtId="43" fontId="88" fillId="29" borderId="72" xfId="35142" applyFont="1" applyFill="1" applyBorder="1" applyAlignment="1" applyProtection="1">
      <alignment vertical="center" shrinkToFit="1"/>
      <protection locked="0"/>
    </xf>
    <xf numFmtId="43" fontId="88" fillId="29" borderId="75" xfId="35142" applyFont="1" applyFill="1" applyBorder="1" applyAlignment="1" applyProtection="1">
      <alignment vertical="center" shrinkToFit="1"/>
      <protection locked="0"/>
    </xf>
    <xf numFmtId="220" fontId="2" fillId="29" borderId="77" xfId="0" applyFont="1" applyFill="1" applyBorder="1" applyAlignment="1" applyProtection="1">
      <alignment horizontal="center" vertical="center" shrinkToFit="1"/>
      <protection locked="0"/>
    </xf>
    <xf numFmtId="220" fontId="2" fillId="29" borderId="73" xfId="0" applyFont="1" applyFill="1" applyBorder="1" applyAlignment="1" applyProtection="1">
      <alignment vertical="center" shrinkToFit="1"/>
    </xf>
    <xf numFmtId="220" fontId="2" fillId="29" borderId="0" xfId="0" applyFont="1" applyFill="1" applyBorder="1" applyAlignment="1" applyProtection="1">
      <alignment vertical="center" shrinkToFit="1"/>
    </xf>
    <xf numFmtId="220" fontId="2" fillId="29" borderId="65" xfId="0" applyFont="1" applyFill="1" applyBorder="1" applyAlignment="1" applyProtection="1">
      <alignment horizontal="left" vertical="center" shrinkToFit="1"/>
    </xf>
    <xf numFmtId="220" fontId="75" fillId="29" borderId="76" xfId="0" applyFont="1" applyFill="1" applyBorder="1" applyAlignment="1" applyProtection="1">
      <alignment horizontal="center" vertical="center" shrinkToFit="1"/>
      <protection locked="0"/>
    </xf>
    <xf numFmtId="43" fontId="88" fillId="5" borderId="1" xfId="35142" applyFont="1" applyFill="1" applyBorder="1" applyAlignment="1" applyProtection="1">
      <alignment vertical="center" shrinkToFit="1"/>
      <protection locked="0"/>
    </xf>
    <xf numFmtId="43" fontId="88" fillId="5" borderId="1" xfId="35142" applyFont="1" applyFill="1" applyBorder="1" applyAlignment="1" applyProtection="1">
      <alignment horizontal="right" vertical="center" shrinkToFit="1"/>
      <protection locked="0"/>
    </xf>
    <xf numFmtId="220" fontId="2" fillId="29" borderId="73" xfId="0" applyFont="1" applyFill="1" applyBorder="1" applyAlignment="1" applyProtection="1">
      <alignment horizontal="left" vertical="center" shrinkToFit="1"/>
    </xf>
    <xf numFmtId="43" fontId="88" fillId="5" borderId="72" xfId="35142" applyFont="1" applyFill="1" applyBorder="1" applyAlignment="1" applyProtection="1">
      <alignment vertical="center" shrinkToFit="1"/>
      <protection locked="0"/>
    </xf>
    <xf numFmtId="43" fontId="88" fillId="5" borderId="72" xfId="35142" applyFont="1" applyFill="1" applyBorder="1" applyAlignment="1" applyProtection="1">
      <alignment horizontal="right" vertical="center" shrinkToFit="1"/>
      <protection locked="0"/>
    </xf>
    <xf numFmtId="220" fontId="127" fillId="32" borderId="0" xfId="0" applyFont="1" applyFill="1" applyAlignment="1" applyProtection="1">
      <alignment horizontal="center" vertical="center"/>
      <protection hidden="1"/>
    </xf>
    <xf numFmtId="220" fontId="128" fillId="32" borderId="0" xfId="0" applyFont="1" applyFill="1" applyAlignment="1" applyProtection="1">
      <alignment horizontal="center" vertical="center"/>
      <protection hidden="1"/>
    </xf>
    <xf numFmtId="220" fontId="5" fillId="32" borderId="65" xfId="0" applyFont="1" applyFill="1" applyBorder="1" applyAlignment="1" applyProtection="1">
      <alignment vertical="center"/>
      <protection hidden="1"/>
    </xf>
    <xf numFmtId="220" fontId="5" fillId="0" borderId="76" xfId="0" applyFont="1" applyFill="1" applyBorder="1" applyAlignment="1" applyProtection="1">
      <alignment horizontal="left" vertical="center" shrinkToFit="1"/>
      <protection locked="0"/>
    </xf>
    <xf numFmtId="220" fontId="75" fillId="0" borderId="76" xfId="0" applyFont="1" applyFill="1" applyBorder="1" applyAlignment="1" applyProtection="1">
      <alignment horizontal="left" vertical="center" shrinkToFit="1"/>
      <protection locked="0"/>
    </xf>
    <xf numFmtId="220" fontId="75" fillId="0" borderId="77" xfId="0" applyFont="1" applyFill="1" applyBorder="1" applyAlignment="1" applyProtection="1">
      <alignment horizontal="left" vertical="center" shrinkToFit="1"/>
      <protection locked="0"/>
    </xf>
    <xf numFmtId="220" fontId="5" fillId="32" borderId="69" xfId="0" applyFont="1" applyFill="1" applyBorder="1" applyAlignment="1" applyProtection="1">
      <alignment vertical="center"/>
      <protection hidden="1"/>
    </xf>
    <xf numFmtId="220" fontId="75" fillId="0" borderId="1" xfId="0" applyFont="1" applyFill="1" applyBorder="1" applyAlignment="1" applyProtection="1">
      <alignment horizontal="left" vertical="center" shrinkToFit="1"/>
      <protection locked="0"/>
    </xf>
    <xf numFmtId="220" fontId="5" fillId="32" borderId="1" xfId="0" applyFont="1" applyFill="1" applyBorder="1" applyAlignment="1" applyProtection="1">
      <alignment vertical="center"/>
      <protection hidden="1"/>
    </xf>
    <xf numFmtId="220" fontId="5" fillId="32" borderId="14" xfId="0" applyFont="1" applyFill="1" applyBorder="1" applyAlignment="1" applyProtection="1">
      <alignment horizontal="center" vertical="center" shrinkToFit="1"/>
      <protection hidden="1"/>
    </xf>
    <xf numFmtId="220" fontId="75" fillId="32" borderId="103" xfId="0" applyFont="1" applyFill="1" applyBorder="1" applyAlignment="1" applyProtection="1">
      <alignment horizontal="center" vertical="center" shrinkToFit="1"/>
      <protection hidden="1"/>
    </xf>
    <xf numFmtId="220" fontId="75" fillId="0" borderId="72" xfId="0" applyFont="1" applyFill="1" applyBorder="1" applyAlignment="1" applyProtection="1">
      <alignment horizontal="left" vertical="center" shrinkToFit="1"/>
      <protection locked="0"/>
    </xf>
    <xf numFmtId="220" fontId="5" fillId="32" borderId="69" xfId="0" applyFont="1" applyFill="1" applyBorder="1" applyAlignment="1" applyProtection="1">
      <alignment horizontal="left" vertical="center"/>
      <protection hidden="1"/>
    </xf>
    <xf numFmtId="220" fontId="5" fillId="32" borderId="1" xfId="0" applyFont="1" applyFill="1" applyBorder="1" applyAlignment="1" applyProtection="1">
      <alignment horizontal="center" vertical="center"/>
      <protection hidden="1"/>
    </xf>
    <xf numFmtId="220" fontId="5" fillId="0" borderId="74" xfId="0" applyFont="1" applyFill="1" applyBorder="1" applyAlignment="1" applyProtection="1">
      <alignment horizontal="left" vertical="center" shrinkToFit="1"/>
      <protection locked="0"/>
    </xf>
    <xf numFmtId="220" fontId="5" fillId="32" borderId="1" xfId="0" applyFont="1" applyFill="1" applyBorder="1" applyAlignment="1" applyProtection="1">
      <alignment horizontal="left" vertical="center"/>
      <protection hidden="1"/>
    </xf>
    <xf numFmtId="31" fontId="5" fillId="0" borderId="75" xfId="0" applyNumberFormat="1" applyFont="1" applyFill="1" applyBorder="1" applyAlignment="1" applyProtection="1">
      <alignment horizontal="left" vertical="center" shrinkToFit="1"/>
      <protection locked="0"/>
    </xf>
    <xf numFmtId="220" fontId="75" fillId="32" borderId="73" xfId="0" applyFont="1" applyFill="1" applyBorder="1" applyAlignment="1" applyProtection="1">
      <alignment horizontal="left" vertical="center"/>
      <protection hidden="1"/>
    </xf>
    <xf numFmtId="220" fontId="5" fillId="32" borderId="74" xfId="0" applyFont="1" applyFill="1" applyBorder="1" applyAlignment="1" applyProtection="1">
      <alignment horizontal="center" vertical="center"/>
      <protection hidden="1"/>
    </xf>
    <xf numFmtId="220" fontId="75" fillId="32" borderId="74" xfId="0" applyFont="1" applyFill="1" applyBorder="1" applyAlignment="1" applyProtection="1">
      <alignment horizontal="left" vertical="center"/>
      <protection hidden="1"/>
    </xf>
    <xf numFmtId="220" fontId="75" fillId="32" borderId="0" xfId="0" applyFont="1" applyFill="1" applyBorder="1" applyAlignment="1" applyProtection="1">
      <alignment vertical="center"/>
      <protection hidden="1"/>
    </xf>
    <xf numFmtId="220" fontId="5" fillId="32" borderId="104" xfId="0" applyFont="1" applyFill="1" applyBorder="1" applyAlignment="1" applyProtection="1">
      <alignment vertical="center"/>
      <protection hidden="1"/>
    </xf>
    <xf numFmtId="220" fontId="5" fillId="0" borderId="16" xfId="0" applyFont="1" applyFill="1" applyBorder="1" applyAlignment="1" applyProtection="1">
      <alignment horizontal="left" vertical="center" shrinkToFit="1"/>
      <protection locked="0"/>
    </xf>
    <xf numFmtId="220" fontId="75" fillId="0" borderId="16" xfId="0" applyFont="1" applyFill="1" applyBorder="1" applyAlignment="1" applyProtection="1">
      <alignment horizontal="left" vertical="center" shrinkToFit="1"/>
      <protection locked="0"/>
    </xf>
    <xf numFmtId="220" fontId="5" fillId="32" borderId="16" xfId="0" applyFont="1" applyFill="1" applyBorder="1" applyAlignment="1" applyProtection="1">
      <alignment horizontal="left" vertical="center"/>
      <protection hidden="1"/>
    </xf>
    <xf numFmtId="220" fontId="5" fillId="0" borderId="3" xfId="0" applyFont="1" applyFill="1" applyBorder="1" applyAlignment="1" applyProtection="1">
      <alignment horizontal="left" vertical="center"/>
      <protection locked="0"/>
    </xf>
    <xf numFmtId="220" fontId="75" fillId="0" borderId="105" xfId="0" applyFont="1" applyFill="1" applyBorder="1" applyAlignment="1" applyProtection="1">
      <alignment horizontal="left" vertical="center"/>
      <protection locked="0"/>
    </xf>
    <xf numFmtId="220" fontId="5" fillId="32" borderId="73" xfId="0" applyFont="1" applyFill="1" applyBorder="1" applyAlignment="1" applyProtection="1">
      <alignment vertical="center"/>
      <protection hidden="1"/>
    </xf>
    <xf numFmtId="220" fontId="5" fillId="0" borderId="106" xfId="0" applyFont="1" applyFill="1" applyBorder="1" applyAlignment="1" applyProtection="1">
      <alignment horizontal="left" vertical="center"/>
      <protection locked="0"/>
    </xf>
    <xf numFmtId="220" fontId="75" fillId="0" borderId="107" xfId="0" applyFont="1" applyFill="1" applyBorder="1" applyAlignment="1" applyProtection="1">
      <alignment horizontal="left" vertical="center"/>
      <protection locked="0"/>
    </xf>
    <xf numFmtId="220" fontId="75" fillId="32" borderId="74" xfId="0" applyFont="1" applyFill="1" applyBorder="1" applyAlignment="1" applyProtection="1">
      <alignment horizontal="center" vertical="center"/>
      <protection hidden="1"/>
    </xf>
    <xf numFmtId="220" fontId="75" fillId="32" borderId="75" xfId="0" applyFont="1" applyFill="1" applyBorder="1" applyAlignment="1" applyProtection="1">
      <alignment horizontal="center" vertical="center"/>
      <protection hidden="1"/>
    </xf>
    <xf numFmtId="220" fontId="129" fillId="32" borderId="0" xfId="0" applyFont="1" applyFill="1" applyAlignment="1" applyProtection="1">
      <alignment vertical="center"/>
      <protection hidden="1"/>
    </xf>
    <xf numFmtId="220" fontId="130" fillId="32" borderId="0" xfId="0" applyFont="1" applyFill="1" applyAlignment="1" applyProtection="1">
      <alignment vertical="center"/>
      <protection hidden="1"/>
    </xf>
    <xf numFmtId="220" fontId="131" fillId="32" borderId="0" xfId="0" applyFont="1" applyFill="1" applyAlignment="1" applyProtection="1">
      <alignment vertical="center"/>
      <protection hidden="1"/>
    </xf>
    <xf numFmtId="220" fontId="132" fillId="32" borderId="0" xfId="0" applyFont="1" applyFill="1" applyAlignment="1" applyProtection="1">
      <alignment vertical="center"/>
      <protection hidden="1"/>
    </xf>
    <xf numFmtId="220" fontId="133" fillId="32" borderId="0" xfId="0" applyFont="1" applyFill="1" applyAlignment="1" applyProtection="1">
      <alignment vertical="center"/>
      <protection hidden="1"/>
    </xf>
    <xf numFmtId="220" fontId="88" fillId="32" borderId="0" xfId="0" applyFont="1" applyFill="1" applyAlignment="1" applyProtection="1">
      <alignment vertical="center"/>
      <protection hidden="1"/>
    </xf>
    <xf numFmtId="220" fontId="107" fillId="32" borderId="0" xfId="0" applyFont="1" applyFill="1" applyAlignment="1" applyProtection="1">
      <alignment vertical="center"/>
      <protection hidden="1"/>
    </xf>
    <xf numFmtId="220" fontId="106" fillId="32" borderId="0" xfId="0" applyFont="1" applyFill="1" applyAlignment="1" applyProtection="1">
      <alignment vertical="center"/>
      <protection hidden="1"/>
    </xf>
    <xf numFmtId="220" fontId="134" fillId="32" borderId="0" xfId="0" applyFont="1" applyFill="1" applyAlignment="1" applyProtection="1">
      <alignment vertical="center"/>
      <protection hidden="1"/>
    </xf>
    <xf numFmtId="220" fontId="135" fillId="32" borderId="0" xfId="0" applyFont="1" applyFill="1" applyAlignment="1" applyProtection="1">
      <alignment vertical="center"/>
      <protection hidden="1"/>
    </xf>
    <xf numFmtId="220" fontId="136" fillId="32" borderId="0" xfId="0" applyFont="1" applyFill="1" applyAlignment="1" applyProtection="1">
      <alignment vertical="center"/>
      <protection hidden="1"/>
    </xf>
    <xf numFmtId="220" fontId="5" fillId="32" borderId="65" xfId="0" applyFont="1" applyFill="1" applyBorder="1" applyAlignment="1" applyProtection="1">
      <alignment horizontal="center" vertical="center"/>
      <protection hidden="1"/>
    </xf>
    <xf numFmtId="220" fontId="5" fillId="32" borderId="77" xfId="0" applyFont="1" applyFill="1" applyBorder="1" applyAlignment="1" applyProtection="1">
      <alignment horizontal="center" vertical="center"/>
      <protection hidden="1"/>
    </xf>
    <xf numFmtId="220" fontId="137" fillId="35" borderId="72" xfId="49" applyFont="1" applyFill="1" applyBorder="1" applyAlignment="1" applyProtection="1">
      <alignment horizontal="center" vertical="center"/>
      <protection hidden="1"/>
    </xf>
    <xf numFmtId="220" fontId="138" fillId="35" borderId="75" xfId="49" applyFont="1" applyFill="1" applyBorder="1" applyAlignment="1" applyProtection="1">
      <alignment vertical="center"/>
      <protection hidden="1"/>
    </xf>
    <xf numFmtId="43" fontId="1" fillId="0" borderId="1" xfId="39" applyFont="1" applyFill="1" applyBorder="1" applyAlignment="1" applyProtection="1" quotePrefix="1">
      <alignment horizontal="center" vertical="center" shrinkToFit="1"/>
      <protection locked="0"/>
    </xf>
    <xf numFmtId="220" fontId="1" fillId="0" borderId="0" xfId="26230" applyFont="1" applyFill="1" applyAlignment="1" applyProtection="1" quotePrefix="1">
      <alignment horizontal="left" vertical="center"/>
      <protection locked="0"/>
    </xf>
    <xf numFmtId="220" fontId="42" fillId="0" borderId="24" xfId="23562" applyFont="1" applyFill="1" applyBorder="1" applyAlignment="1" applyProtection="1" quotePrefix="1">
      <alignment horizontal="center" vertical="center" wrapText="1"/>
    </xf>
  </cellXfs>
  <cellStyles count="38455">
    <cellStyle name="常规" xfId="0" builtinId="0"/>
    <cellStyle name="货币[0]" xfId="1" builtinId="7"/>
    <cellStyle name="20% - 强调文字颜色 3" xfId="2" builtinId="38"/>
    <cellStyle name="差_资产负债标准底稿 8 2 4" xfId="3"/>
    <cellStyle name="60% - 輔色2 4" xfId="4"/>
    <cellStyle name="差__dxn_temp空白表页 2 3" xfId="5"/>
    <cellStyle name="@_text_31.03.03&amp;04.Xinao SJZ.GA3-other operating profit_H1-3 Addition list " xfId="6"/>
    <cellStyle name="常规 4 24 6" xfId="7"/>
    <cellStyle name="_公司填表2005-修改后_3-2-Z17A-固定资产" xfId="8"/>
    <cellStyle name="常规 2 2 2 5 3 2" xfId="9"/>
    <cellStyle name="20% - 强调文字颜色 6 2 12" xfId="10"/>
    <cellStyle name="_2006.HC.Zhongning.R.Capital" xfId="11"/>
    <cellStyle name="输入" xfId="12" builtinId="20"/>
    <cellStyle name="货币" xfId="13" builtinId="4"/>
    <cellStyle name="常规 5 9 2" xfId="14"/>
    <cellStyle name="{Date} 2" xfId="15"/>
    <cellStyle name="超链接 2 6 4" xfId="16"/>
    <cellStyle name="_RPT for account disclosure (05A share balance company level )_Sheet1 2" xfId="17"/>
    <cellStyle name="好_54-财务费用（空白模板） 6" xfId="18"/>
    <cellStyle name="@_text_061231.Pingyin.G1-Sales-v2_H1-3 Addition list " xfId="19"/>
    <cellStyle name="@_text_061231.liaocheng.G8.Non-operating profit_H1-3 Addition list " xfId="20"/>
    <cellStyle name="Normal - Style1 17" xfId="21"/>
    <cellStyle name="Normal - Style1 22" xfId="22"/>
    <cellStyle name="好_1应收利息 2 3" xfId="23"/>
    <cellStyle name="0% 2 3 2" xfId="24"/>
    <cellStyle name="好_ZA0货币资金审定表  5 2" xfId="25"/>
    <cellStyle name="千位分隔[0]" xfId="26" builtinId="6"/>
    <cellStyle name="好_短期借款 6_明细表" xfId="27"/>
    <cellStyle name="40% - 强调文字颜色 3" xfId="28" builtinId="39"/>
    <cellStyle name="20% - 輔色4" xfId="29"/>
    <cellStyle name="Comma 3 6" xfId="30"/>
    <cellStyle name="_long term loan - others 300504_pbc 080630 current liability" xfId="31"/>
    <cellStyle name="_CCB.HO.New TB template.CCB PRC IAS Sorting.040223 trial run_051130.Pana-SIMS.O section.VX_H1-3 Addition list  2" xfId="32"/>
    <cellStyle name="常规 31 2" xfId="33"/>
    <cellStyle name="常规 11 3 2 5 2" xfId="34"/>
    <cellStyle name="_2005年工作底稿_3-2-A1B-银行存款 4" xfId="35"/>
    <cellStyle name="@_text_20061231.pingyin.H2.CIP_固定资产增加2" xfId="36"/>
    <cellStyle name="差" xfId="37" builtinId="27"/>
    <cellStyle name="_Liabilities and equity v2" xfId="38"/>
    <cellStyle name="千位分隔" xfId="39" builtinId="3"/>
    <cellStyle name="好_报表层次重要性水平 2 2" xfId="40"/>
    <cellStyle name="60% - 强调文字颜色 3" xfId="41" builtinId="40"/>
    <cellStyle name="差_5-预付款项（空白模板） 2" xfId="42"/>
    <cellStyle name="_Part III.200406.Loan and Liabilities details.(Site Name)_to do list_200506.sales com.GI.intercompany_Sheet1" xfId="43"/>
    <cellStyle name="60% - 强调文字颜色 6 2 3 8" xfId="44"/>
    <cellStyle name="_FA JA过入明细工厂11_081031.B06.日照分公司.H1.固定资产" xfId="45"/>
    <cellStyle name="_Part III.200406.Loan and Liabilities details.(Site Name)_to do list_期末存货_05成本到扎表1(1).9-结算部" xfId="46"/>
    <cellStyle name="@_text_31.03.03&amp;04 Xinao SHJ GL2.Xinao SHJ.GL2.Surplus reserve and capital surplus" xfId="47"/>
    <cellStyle name="差_应付账款 3" xfId="48"/>
    <cellStyle name="超链接" xfId="49" builtinId="8"/>
    <cellStyle name="_双凤 jnl list_pbc 080630 current liability 2" xfId="50"/>
    <cellStyle name="好_27-短期借款(空白模板)_明细表 2 4" xfId="51"/>
    <cellStyle name="_FA JA过入明细工厂" xfId="52"/>
    <cellStyle name="好_短期借款 7_附注表一（财务报表）" xfId="53"/>
    <cellStyle name="好_4-应收账款（空白模板） 6 3" xfId="54"/>
    <cellStyle name="百分比" xfId="55" builtinId="5"/>
    <cellStyle name="差_FO预计负债 4" xfId="56"/>
    <cellStyle name="_Part III.200406.Loan and Liabilities details.(Site Name)_to do list_期末存货_Sheet1 2" xfId="57"/>
    <cellStyle name="20% - 强调文字颜色 2 2 3 8" xfId="58"/>
    <cellStyle name="好_价值评估 4" xfId="59"/>
    <cellStyle name="常规 2 3 2 2 11" xfId="60"/>
    <cellStyle name="_050114.HY Bro.Film.GG1.Accounts Receivable" xfId="61"/>
    <cellStyle name="常规 2 2 9 3 3" xfId="62"/>
    <cellStyle name="@_text_PBC final-Shijiazhuang-Enric_Sheet1" xfId="63"/>
    <cellStyle name="差_大信底稿目录 3" xfId="64"/>
    <cellStyle name="40% - 强调文字颜色 6 4 2" xfId="65"/>
    <cellStyle name="好_1资产减值损失 4 4" xfId="66"/>
    <cellStyle name="好_营业收入 5 2 2" xfId="67"/>
    <cellStyle name="差_专项应付款 8 4" xfId="68"/>
    <cellStyle name="@_text_061231.Liaocheng.Q.Tax payables_H1-3 Addition list " xfId="69"/>
    <cellStyle name="好__dxn_temp空白表页 10_附注表一（财务报表）" xfId="70"/>
    <cellStyle name="已访问的超链接" xfId="71" builtinId="9"/>
    <cellStyle name="好_资产负债标准底稿_大信底稿目录 10 3" xfId="72"/>
    <cellStyle name="好_1应收利息 5 3" xfId="73"/>
    <cellStyle name="0% 2 6 2" xfId="74"/>
    <cellStyle name="20% - 强调文字颜色 4 5" xfId="75"/>
    <cellStyle name="@_text_050630.Enric(SJZ).GJ4-Advancefromcustomer_固定资产增加2" xfId="76"/>
    <cellStyle name="注释" xfId="77" builtinId="10"/>
    <cellStyle name="20% - 强调文字颜色 4 2 3 8" xfId="78"/>
    <cellStyle name="60% - 强调文字颜色 2" xfId="79" builtinId="36"/>
    <cellStyle name="好_1公允价值变动损益 3 2" xfId="80"/>
    <cellStyle name="60% - 强调文字颜色 6 2 3 7" xfId="81"/>
    <cellStyle name="_Part III.200406.Loan and Liabilities details.(Site Name)_Part IV - Supp Sch FA &amp; Other Assets (Holding).0714.V7(OK)_Sheet1 2" xfId="82"/>
    <cellStyle name="好_长期借款 2 2" xfId="83"/>
    <cellStyle name="_FA JA过入明细工厂11_Sheet1" xfId="84"/>
    <cellStyle name="标题 4" xfId="85" builtinId="19"/>
    <cellStyle name="_long term loan - others 300504_期末存货_05成本到扎表1(1).9-结算部_Sheet1" xfId="86"/>
    <cellStyle name="@_text_300604.Xinao.Anhui.GJ-Other creditors_固定资产增加2" xfId="87"/>
    <cellStyle name="好_应付票据 2 3" xfId="88"/>
    <cellStyle name="警告文本" xfId="89" builtinId="11"/>
    <cellStyle name="常规 6 5" xfId="90"/>
    <cellStyle name="_应收账款账龄--04、05 4" xfId="91"/>
    <cellStyle name="标题" xfId="92" builtinId="15"/>
    <cellStyle name="@_text_平阴pbc表2_固定资产增加2" xfId="93"/>
    <cellStyle name="超链接 2 3 2 4" xfId="94"/>
    <cellStyle name="差__dxn_temp空白表页 26" xfId="95"/>
    <cellStyle name="差__dxn_temp空白表页 31" xfId="96"/>
    <cellStyle name="@_text_040806 XinAo SJZ TB (Final v5)" xfId="97"/>
    <cellStyle name="解释性文本" xfId="98" builtinId="53"/>
    <cellStyle name="标题 1" xfId="99" builtinId="16"/>
    <cellStyle name="_050114.HY Bro.Film.GG1.Accounts Receivable_170407.聊城.Appendix4 TBJA.冲回质量索赔_pbc 080630 current liability" xfId="100"/>
    <cellStyle name="@_text_2004年4月_H1-3 Addition list " xfId="101"/>
    <cellStyle name="@_text_0910.FLX.L.Receivables from SL" xfId="102"/>
    <cellStyle name="标题 2" xfId="103" builtinId="17"/>
    <cellStyle name="常规 8 2 3 4" xfId="104"/>
    <cellStyle name="@_text_平阴pbc表2_固定资产增加2 2" xfId="105"/>
    <cellStyle name="好_54-财务费用（空白模板） 13_明细表" xfId="106"/>
    <cellStyle name="@_text_041117.Xinao SJZ.AR.combined" xfId="107"/>
    <cellStyle name="@_text_050630.Xinao Enric.GJ1-AP(v1)_Sheet1" xfId="108"/>
    <cellStyle name="AA INPUT 4" xfId="109"/>
    <cellStyle name="60% - 强调文字颜色 1" xfId="110" builtinId="32"/>
    <cellStyle name="差_55-资产减值损失（空白模板） 17" xfId="111"/>
    <cellStyle name="差_55-资产减值损失（空白模板） 22" xfId="112"/>
    <cellStyle name="_资产负债表(单位序号).20051222 2" xfId="113"/>
    <cellStyle name="00 9 3 2" xfId="114"/>
    <cellStyle name="好__dxn_temp空白表页 8_附注表一（财务报表）" xfId="115"/>
    <cellStyle name="?_Inter comp. detai-English" xfId="116"/>
    <cellStyle name="标题 3" xfId="117" builtinId="18"/>
    <cellStyle name="好_1专项应付款 14 2 3" xfId="118"/>
    <cellStyle name="_20040930.SEDL.GJ4.OP 2" xfId="119"/>
    <cellStyle name="@_text_050630.Xinao Enric.GJ1-AP(v1)" xfId="120"/>
    <cellStyle name="好_报表层次重要性水平 2 3" xfId="121"/>
    <cellStyle name="60% - 强调文字颜色 4" xfId="122" builtinId="44"/>
    <cellStyle name="差_5-预付款项（空白模板） 3" xfId="123"/>
    <cellStyle name="好_资产负债标准底稿_大信底稿目录 12 3" xfId="124"/>
    <cellStyle name="差_复件 固定资产 2 2 2" xfId="125"/>
    <cellStyle name="0% 2 8 2" xfId="126"/>
    <cellStyle name="_Q1.track period.05~07 2" xfId="127"/>
    <cellStyle name="好_应收账款期末审定表 2" xfId="128"/>
    <cellStyle name="标题 1 2 3 8" xfId="129"/>
    <cellStyle name="@_text_PBC control list_固定资产增加2 2" xfId="130"/>
    <cellStyle name="常规 5 17" xfId="131"/>
    <cellStyle name="常规 5 22" xfId="132"/>
    <cellStyle name="_公司填表-2005蔡 2" xfId="133"/>
    <cellStyle name="好_1财务费用 13_明细表 5" xfId="134"/>
    <cellStyle name="Normal - Style1 2 2 10" xfId="135"/>
    <cellStyle name="@_text_L.Receivables.091231.v5" xfId="136"/>
    <cellStyle name="好_19-无形资产（空白模板） 27" xfId="137"/>
    <cellStyle name="好_19-无形资产（空白模板） 32" xfId="138"/>
    <cellStyle name="SAPBEXHLevel2X 2 2" xfId="139"/>
    <cellStyle name="输出" xfId="140" builtinId="21"/>
    <cellStyle name="千位分隔 4 9 3 3" xfId="141"/>
    <cellStyle name="20% - 强调文字颜色 2 4 2" xfId="142"/>
    <cellStyle name="差_资产负债标准底稿_明细表 4" xfId="143"/>
    <cellStyle name="常规 85" xfId="144"/>
    <cellStyle name="常规 90" xfId="145"/>
    <cellStyle name="_071231.阿尔若维根斯.应付工资.v1 2" xfId="146"/>
    <cellStyle name="好_应付账款 4" xfId="147"/>
    <cellStyle name="常规 2 3 18 2" xfId="148"/>
    <cellStyle name="常规 2 3 23 2" xfId="149"/>
    <cellStyle name="差_货币资金 天职 3 2" xfId="150"/>
    <cellStyle name="差_大信底稿目录 4 4" xfId="151"/>
    <cellStyle name="计算" xfId="152" builtinId="22"/>
    <cellStyle name="标题 1 2 2 4" xfId="153"/>
    <cellStyle name="?? 2" xfId="154"/>
    <cellStyle name="差 2 2 7" xfId="155"/>
    <cellStyle name="检查单元格" xfId="156" builtinId="23"/>
    <cellStyle name="差_固定资产 12 2 2" xfId="157"/>
    <cellStyle name="@_text_061231.Liaocheng.Q.Tax payables" xfId="158"/>
    <cellStyle name="20% - 强调文字颜色 6" xfId="159" builtinId="50"/>
    <cellStyle name="好_短期借款 3 3" xfId="160"/>
    <cellStyle name="超链接 2 6 2 5" xfId="161"/>
    <cellStyle name="@_text_Movement_Sheet1" xfId="162"/>
    <cellStyle name="Comma 2 5 3" xfId="163"/>
    <cellStyle name="强调文字颜色 2" xfId="164" builtinId="33"/>
    <cellStyle name="差_30-应付账款（空白模板） 9 2 3" xfId="165"/>
    <cellStyle name="好_底稿设置宏_大信底稿目录 12 2 5" xfId="166"/>
    <cellStyle name="40% - 强调文字颜色 4 2 3 3" xfId="167"/>
    <cellStyle name="差_无形资产 2_明细表 4" xfId="168"/>
    <cellStyle name="_long term loan - others 300504_损益表(加密)_审计调查表.20051231" xfId="169"/>
    <cellStyle name="常规 3 3 8 2 3" xfId="170"/>
    <cellStyle name="链接单元格" xfId="171" builtinId="24"/>
    <cellStyle name="_GK1--Technology- income tax 2" xfId="172"/>
    <cellStyle name="常规 2 2 18 2" xfId="173"/>
    <cellStyle name="常规 2 2 23 2" xfId="174"/>
    <cellStyle name="_change.Cons.20070419.logistic.Appendix4TBJA" xfId="175"/>
    <cellStyle name="_23-平房" xfId="176"/>
    <cellStyle name="好_1财务费用 10 2 2" xfId="177"/>
    <cellStyle name="常规 4 14 2 3" xfId="178"/>
    <cellStyle name="@_text_Copy of Xinao SJZ PBC 2004 (5-3-05)_固定资产增加2" xfId="179"/>
    <cellStyle name="_江苏福润鲜销、冻销分类_Sheet1 2" xfId="180"/>
    <cellStyle name="差__dxn_temp检查情况表模版 3" xfId="181"/>
    <cellStyle name="汇总" xfId="182" builtinId="25"/>
    <cellStyle name="Normal 2 3 2 2" xfId="183"/>
    <cellStyle name="好" xfId="184" builtinId="26"/>
    <cellStyle name="强调文字颜色 2 2 4 2" xfId="185"/>
    <cellStyle name="好_ZA0货币资金审定表  3 5" xfId="186"/>
    <cellStyle name="20% - Accent3 2" xfId="187"/>
    <cellStyle name="20% - 强调文字颜色 3 3" xfId="188"/>
    <cellStyle name="_ZJYE9802_050114.HY Bro.Film.GG1.Accounts Receivable_170407.聊城.Appendix4 TBJA.冲回质量索赔_Sheet1" xfId="189"/>
    <cellStyle name="好_56-公允价值损益变动（空白模板） 2 2 2" xfId="190"/>
    <cellStyle name="常规 3 2 6" xfId="191"/>
    <cellStyle name="@_text_PBC final-Shijiazhuang-Enric0514 往来 _H1-3 Addition list  2" xfId="192"/>
    <cellStyle name="好_底稿设置宏_明细表 5" xfId="193"/>
    <cellStyle name="常规 3 13 4" xfId="194"/>
    <cellStyle name="差_短期借款 10_明细表 5" xfId="195"/>
    <cellStyle name="适中" xfId="196" builtinId="28"/>
    <cellStyle name="Normal 5 5" xfId="197"/>
    <cellStyle name="好_无形资产 15 2 2" xfId="198"/>
    <cellStyle name="常规 2 3 2 2 7 3" xfId="199"/>
    <cellStyle name="_Weisheng_GG2-2 Staff Advance.June.04.v1..ah 2" xfId="200"/>
    <cellStyle name="_Part III.200406.Loan and Liabilities details.(Site Name)_05年6.14结算部成本到扎表 2" xfId="201"/>
    <cellStyle name="20% - 强调文字颜色 5" xfId="202" builtinId="46"/>
    <cellStyle name="好_G-应收账款" xfId="203"/>
    <cellStyle name="_固定资产" xfId="204"/>
    <cellStyle name="常规_短期借款 2" xfId="205"/>
    <cellStyle name="强调文字颜色 1" xfId="206" builtinId="29"/>
    <cellStyle name="差_30-应付账款（空白模板） 9 2 2" xfId="207"/>
    <cellStyle name="好_底稿设置宏_大信底稿目录 12 2 4" xfId="208"/>
    <cellStyle name="40% - 强调文字颜色 4 2 3 2" xfId="209"/>
    <cellStyle name="40% - 强调文字颜色 6 2 2 9" xfId="210"/>
    <cellStyle name="@_text_新奥集团往来帐0401-10_固定资产增加2" xfId="211"/>
    <cellStyle name=" 3]_x000d__x000a_Zoomed=1_x000d__x000a_Row=128_x000d__x000a_Column=101_x000d__x000a_Height=300_x000d__x000a_Width=301_x000d__x000a_FontName=System_x000d__x000a_FontStyle=1_x000d__x000a_FontSize=12_x000d__x000a_PrtFontNa" xfId="212"/>
    <cellStyle name="@_text_2005年4月_H1-3 Addition list " xfId="213"/>
    <cellStyle name="链接单元格 3" xfId="214"/>
    <cellStyle name="@_text_Top-LG huizhou 2009-PIM information" xfId="215"/>
    <cellStyle name="_20070417.Weifang.Shanshui.consol.TB 2" xfId="216"/>
    <cellStyle name="20% - 强调文字颜色 4 2 3_附注表一（财务报表）" xfId="217"/>
    <cellStyle name="20% - 强调文字颜色 1" xfId="218" builtinId="30"/>
    <cellStyle name="??&amp;O龡&amp;H?_x0008_??_x0007__x0001__x0001_" xfId="219"/>
    <cellStyle name="60% - 强调文字颜色 2 2 3_附注表一（财务报表）" xfId="220"/>
    <cellStyle name="常规 47 2 3" xfId="221"/>
    <cellStyle name="40% - 强调文字颜色 1" xfId="222" builtinId="31"/>
    <cellStyle name="好_财务费用_明细表 5" xfId="223"/>
    <cellStyle name="20% - 輔色2" xfId="224"/>
    <cellStyle name="Comma 3 4" xfId="225"/>
    <cellStyle name="常规 2 6 8" xfId="226"/>
    <cellStyle name="_long term loan - others 300504_IFRS recon June 05 v4   2" xfId="227"/>
    <cellStyle name="百分比 8 4" xfId="228"/>
    <cellStyle name="_2005年工作底稿_3-2-A1B-银行存款 2" xfId="229"/>
    <cellStyle name="@_text_061231.Liaocheng.G1-Sales" xfId="230"/>
    <cellStyle name="20% - 强调文字颜色 2" xfId="231" builtinId="34"/>
    <cellStyle name="常规 47 2 4" xfId="232"/>
    <cellStyle name="40% - 强调文字颜色 2" xfId="233" builtinId="35"/>
    <cellStyle name="好_财务费用_明细表 6" xfId="234"/>
    <cellStyle name="差_报表层次重要性水平" xfId="235"/>
    <cellStyle name="20% - 輔色3" xfId="236"/>
    <cellStyle name="Comma 3 5" xfId="237"/>
    <cellStyle name="差_1递延所得税负债 3 2" xfId="238"/>
    <cellStyle name="_2005年工作底稿_3-2-A1B-银行存款 3" xfId="239"/>
    <cellStyle name="好_公允价值变动损益 5 2" xfId="240"/>
    <cellStyle name="好 3_附注表一（财务报表）" xfId="241"/>
    <cellStyle name="强调文字颜色 3" xfId="242" builtinId="37"/>
    <cellStyle name="常规 2 3 2 2 2 10" xfId="243"/>
    <cellStyle name="40% - 强调文字颜色 4 2 3 4" xfId="244"/>
    <cellStyle name="常规 7 8 4 2" xfId="245"/>
    <cellStyle name="差_ZA0货币资金审定表  7 2" xfId="246"/>
    <cellStyle name="强调文字颜色 4" xfId="247" builtinId="41"/>
    <cellStyle name="常规 2 3 2 2 2 11" xfId="248"/>
    <cellStyle name="40% - 强调文字颜色 4 2 3 5" xfId="249"/>
    <cellStyle name="@_text_Date sitename Appendix4 TBJA" xfId="250"/>
    <cellStyle name="0% 2 13 2" xfId="251"/>
    <cellStyle name="好_固定资产 5_明细表 2" xfId="252"/>
    <cellStyle name="千位分隔 27 3 3" xfId="253"/>
    <cellStyle name="_Fubiao 6_固定资产增加2" xfId="254"/>
    <cellStyle name="常规 2 3 2 2 8" xfId="255"/>
    <cellStyle name="?¨®????????" xfId="256"/>
    <cellStyle name="20% - 强调文字颜色 4" xfId="257" builtinId="42"/>
    <cellStyle name="百分比 3 5 5" xfId="258"/>
    <cellStyle name="_RPT for account disclosure (05A share balance company level ) (2)_pbc 080630 current liability 2" xfId="259"/>
    <cellStyle name="_Worksheet in D: My Documents China Shenhua Overall - 2005 final Correspondence With Bobo Debriefing notes liabilities debriefing note 2005 12 31_Sheet1" xfId="260"/>
    <cellStyle name="40% - 强调文字颜色 4" xfId="261" builtinId="43"/>
    <cellStyle name="20% - 輔色5" xfId="262"/>
    <cellStyle name="0% 8 2" xfId="263"/>
    <cellStyle name="常规 31 3" xfId="264"/>
    <cellStyle name="常规 11 3 2 5 3" xfId="265"/>
    <cellStyle name="_中企华与毕马威评估增减值调整分析-国际贸易_B12.Shenshuo.剥离核对表2000-2003_D01 铁路货车 2001-20040630 2" xfId="266"/>
    <cellStyle name="_061231.Pingyin.income tax.Q2" xfId="267"/>
    <cellStyle name="@_text_FuShe Equipement Company PBC_固定资产增加2 2" xfId="268"/>
    <cellStyle name="好_递延所得税负债 - 复制 2 2" xfId="269"/>
    <cellStyle name="差_ZA0货币资金审定表  7 3" xfId="270"/>
    <cellStyle name="强调文字颜色 5" xfId="271" builtinId="45"/>
    <cellStyle name="40% - 强调文字颜色 4 2 3 6" xfId="272"/>
    <cellStyle name="好_复件 固定资产 8_附注表一（财务报表）" xfId="273"/>
    <cellStyle name="百分比 3 2 3 2" xfId="274"/>
    <cellStyle name="常规 2 3 2 2 2 12" xfId="275"/>
    <cellStyle name="差_专项应付款 2 2 3" xfId="276"/>
    <cellStyle name="好_30-应付账款（空白模板） 15_附注表一（财务报表）" xfId="277"/>
    <cellStyle name="_long term loan - others 300504_TB CTE FJ 02-1 2" xfId="278"/>
    <cellStyle name="@_text_041231.Xinao SHJ.GG0 GJ0-- amount due to due from RPT2_固定资产增加2" xfId="279"/>
    <cellStyle name="_long term loan - others 300504_in-ter-com_intercompany transaction_Sheet1" xfId="280"/>
    <cellStyle name="好_4-应收账款（空白模板） 4 3 2" xfId="281"/>
    <cellStyle name="40% - 强调文字颜色 5" xfId="282" builtinId="47"/>
    <cellStyle name="好_1预收款项 10_明细表 2" xfId="283"/>
    <cellStyle name="20% - 輔色6" xfId="284"/>
    <cellStyle name="0% 8 3" xfId="285"/>
    <cellStyle name="好_报表层次重要性水平 2 4" xfId="286"/>
    <cellStyle name="60% - 强调文字颜色 5" xfId="287" builtinId="48"/>
    <cellStyle name="simpletitle 2" xfId="288"/>
    <cellStyle name="差_5-预付款项（空白模板） 4" xfId="289"/>
    <cellStyle name="好_应收账款期末审定表 3" xfId="290"/>
    <cellStyle name="@_text_PBC final-Shijiazhuang-Enric0514 往来 _Sheet1" xfId="291"/>
    <cellStyle name="差_黄金项目组审计人员通讯录" xfId="292"/>
    <cellStyle name="Accent2 - 40% 5" xfId="293"/>
    <cellStyle name="@_text_041231.Xinao SHJ.GG0 GJ0-- amount due to due from RPT2_Sheet1" xfId="294"/>
    <cellStyle name="强调文字颜色 5 5 4" xfId="295"/>
    <cellStyle name="差_Qingdao销售费用" xfId="296"/>
    <cellStyle name="好_资产负债标准底稿_大信底稿目录 7_明细表 2" xfId="297"/>
    <cellStyle name="@_text_20061231.pingyin.O6.Other payable" xfId="298"/>
    <cellStyle name="好_递延所得税负债 - 复制 2 3" xfId="299"/>
    <cellStyle name="差_ZA0货币资金审定表  7 4" xfId="300"/>
    <cellStyle name="差_无形资产 12 2" xfId="301"/>
    <cellStyle name="强调文字颜色 6" xfId="302" builtinId="49"/>
    <cellStyle name="_Yuande.GH.20040331 2" xfId="303"/>
    <cellStyle name="百分比 3 2 3 3" xfId="304"/>
    <cellStyle name="常规 2 3 2 2 2 13" xfId="305"/>
    <cellStyle name="差_短期借款 16 2" xfId="306"/>
    <cellStyle name="40% - 强调文字颜色 4 2 3 7" xfId="307"/>
    <cellStyle name="好_底稿设置宏 4 2" xfId="308"/>
    <cellStyle name="常规 6 9 4 2" xfId="309"/>
    <cellStyle name="40% - 强调文字颜色 6" xfId="310" builtinId="51"/>
    <cellStyle name="0% 8 4" xfId="311"/>
    <cellStyle name="_YL0612雷特底稿" xfId="312"/>
    <cellStyle name="@_text_061231.Pingyin.income tax.Q2" xfId="313"/>
    <cellStyle name="好_报表层次重要性水平 2 5" xfId="314"/>
    <cellStyle name="常规 2 4 12 2" xfId="315"/>
    <cellStyle name="60% - 强调文字颜色 6" xfId="316" builtinId="52"/>
    <cellStyle name="_x0007_ 2" xfId="317"/>
    <cellStyle name="差_复件 固定资产 2 2 4" xfId="318"/>
    <cellStyle name="@_text_平阴pbc表2_Sheet1 2" xfId="319"/>
    <cellStyle name="_x0007_ 3" xfId="320"/>
    <cellStyle name="差_复件 固定资产 2 2 5" xfId="321"/>
    <cellStyle name="@_text_G1.20051231.MCIQ.Sales and AR_Sheet1" xfId="322"/>
    <cellStyle name="超链接 3 16 2 4" xfId="323"/>
    <cellStyle name="超链接 3 21 2 4" xfId="324"/>
    <cellStyle name="_(001) G3 主营业务成本.20071231" xfId="325"/>
    <cellStyle name="@_text_061231.Liaocheng.H1.FA  _H1-3 Addition list " xfId="326"/>
    <cellStyle name="_x000a_mouse.drv=lm" xfId="327"/>
    <cellStyle name="_JA list" xfId="328"/>
    <cellStyle name="@_text_G1.20051231.MCIQ.Sales and AR_Sheet1 2" xfId="329"/>
    <cellStyle name="好_短期借款 6_明细表 4" xfId="330"/>
    <cellStyle name="PrePop Units (0)" xfId="331"/>
    <cellStyle name="40% - 强调文字颜色 3 4" xfId="332"/>
    <cellStyle name="好_1预收款项_附注表一（财务报表）" xfId="333"/>
    <cellStyle name="20% - 輔色4 4" xfId="334"/>
    <cellStyle name="@_text_050114 Xinao RPT v1" xfId="335"/>
    <cellStyle name="好_1营业收入 11_明细表 2" xfId="336"/>
    <cellStyle name="_DZ L Receivables 20091031" xfId="337"/>
    <cellStyle name="_x000a_mouse.drv=lm 2" xfId="338"/>
    <cellStyle name="@_text_book1_H1-3 Addition list " xfId="339"/>
    <cellStyle name="_应收账款账龄--04、05" xfId="340"/>
    <cellStyle name="好_1财务费用 4 2 4" xfId="341"/>
    <cellStyle name="好_ZD 应收账款 4 3" xfId="342"/>
    <cellStyle name=" 3]_x000d__x000a_Zoomed=1_x000d__x000a_Row=0_x000d__x000a_Column=0_x000d__x000a_Height=300_x000d__x000a_Width=300_x000d__x000a_FontName=細明體_x000d__x000a_FontStyle=0_x000d__x000a_FontSize=9_x000d__x000a_PrtFontName=Co" xfId="343"/>
    <cellStyle name="20% - 强调文字颜色 5 6 2" xfId="344"/>
    <cellStyle name="强调文字颜色 6 2 3 3 3" xfId="345"/>
    <cellStyle name="@_text_061231.Liaocheng.H1.FA  _固定资产增加2" xfId="346"/>
    <cellStyle name="AutoFormat-Optionen_明细表" xfId="347"/>
    <cellStyle name="_x0007_ 5" xfId="348"/>
    <cellStyle name="好_1财务费用 17" xfId="349"/>
    <cellStyle name="好_1财务费用 22" xfId="350"/>
    <cellStyle name="@_text_20061231.pingyin.H2.CIP_Sheet1" xfId="351"/>
    <cellStyle name="差_固定资产 9_明细表 5" xfId="352"/>
    <cellStyle name="_Short Bank detail-06" xfId="353"/>
    <cellStyle name="好_1固定资产 4 2 3" xfId="354"/>
    <cellStyle name="差_存货 2 3" xfId="355"/>
    <cellStyle name="_x0007_" xfId="356"/>
    <cellStyle name=" 1" xfId="357"/>
    <cellStyle name="_Part V - Supp Schedule Liabilities  taxation(Holding) 0714 V8(OK)_Sheet1" xfId="358"/>
    <cellStyle name="_x0007_ 2 2" xfId="359"/>
    <cellStyle name="好_公允价值变动损益 2 4" xfId="360"/>
    <cellStyle name="差_ZA0货币资金审定表  4 3" xfId="361"/>
    <cellStyle name="_Part V - Supp Schedule Liabilities  taxation(Holding) 0714 V8(OK)_Sheet1 2" xfId="362"/>
    <cellStyle name="常规 3 3 2 2 11 3" xfId="363"/>
    <cellStyle name="_x0007_ 2 2 2" xfId="364"/>
    <cellStyle name="好_ZI存货 2 2" xfId="365"/>
    <cellStyle name="@_text_051231.Enric-SJZ.L1.AR" xfId="366"/>
    <cellStyle name="_FLX - K - Inventory 2008.v2 2" xfId="367"/>
    <cellStyle name="_x0007_ 2 3" xfId="368"/>
    <cellStyle name="_海工 报表0612（所得税例表）" xfId="369"/>
    <cellStyle name="好_30-应付账款（空白模板） 8 2 4" xfId="370"/>
    <cellStyle name="_A类封面" xfId="371"/>
    <cellStyle name="_x0007_ 3 2" xfId="372"/>
    <cellStyle name="@_text_LJA-by client" xfId="373"/>
    <cellStyle name="@_text_其他应收、应付账龄_Sheet1" xfId="374"/>
    <cellStyle name="_x0007_ 4" xfId="375"/>
    <cellStyle name="标题 3 2 3_附注表一（财务报表）" xfId="376"/>
    <cellStyle name="_2007 interim supp schedules_(Power stream).consol.v2_pbc 080630 current liability_Sheet1" xfId="377"/>
    <cellStyle name="_x0007_ 6" xfId="378"/>
    <cellStyle name="_损益表(加密)_无形资产表1.13.1 2" xfId="379"/>
    <cellStyle name="@_text_Pingyin销售费用AZ_H1-3 Addition list " xfId="380"/>
    <cellStyle name="_x000a_mouse.drv=lm 3" xfId="381"/>
    <cellStyle name="_x000a_mouse.drv=lm 4" xfId="382"/>
    <cellStyle name="@_text_PBC final-Shijiazhuang-Enric0110 2" xfId="383"/>
    <cellStyle name="好_49-营业收入（空白模板） 15" xfId="384"/>
    <cellStyle name="好_49-营业收入（空白模板） 20" xfId="385"/>
    <cellStyle name="标题 4 2 5" xfId="386"/>
    <cellStyle name="_CCB.HO.New TB template.CCB PRC IAS Sorting.040223 trial run_051130.Pana-SIMS.O section.VX_081031.B06.日照分公司.H1.固定资产" xfId="387"/>
    <cellStyle name="_x000d__x000a_JournalTemplate=C:\COMFO\CTALK\JOURSTD.TPL_x000d__x000a_LbStateAddress=3 3 0 251 1 89 2 311_x000d__x000a_LbStateJou" xfId="388"/>
    <cellStyle name="@_text_PBC final-Shijiazhuang-Enric_H1-3 Addition list " xfId="389"/>
    <cellStyle name="好_G-应收账款 13_附注表一（财务报表）" xfId="390"/>
    <cellStyle name="@_text_H1-3 Addition list  2" xfId="391"/>
    <cellStyle name="好_48-未分配利润（空白模板） 3 2" xfId="392"/>
    <cellStyle name="??" xfId="393"/>
    <cellStyle name="常规 3 3 13 3 5" xfId="394"/>
    <cellStyle name="_GK1--Technology- income tax" xfId="395"/>
    <cellStyle name="?? [0.00]_Analysis of Loans" xfId="396"/>
    <cellStyle name="@_text_050630.Xinao Enric.GJ1-AP_Sheet1" xfId="397"/>
    <cellStyle name="Normal 12 2" xfId="398"/>
    <cellStyle name="Accent4 - 60%" xfId="399"/>
    <cellStyle name="_061231.东营.补贴收入_Sheet1" xfId="400"/>
    <cellStyle name="@_text_041107.GJ1-AP.combined_Sheet1" xfId="401"/>
    <cellStyle name="?? [0]" xfId="402"/>
    <cellStyle name="好_FO预计负债 3 2" xfId="403"/>
    <cellStyle name="SingleLineAcctgn 2" xfId="404"/>
    <cellStyle name="_WSI consolidated sheet.081231 090203 MCMW_Consol wp.nick 2" xfId="405"/>
    <cellStyle name="_Part IV - Supp Sch FA &amp; Other Assets (Holding).0714.V7(OK)" xfId="406"/>
    <cellStyle name="好_1应收账款_明细表_1 2" xfId="407"/>
    <cellStyle name="?鹎%U龡" xfId="408"/>
    <cellStyle name="好_27-短期借款(空白模板) 9" xfId="409"/>
    <cellStyle name="_A6应收账款_3-2-Z17A-固定资产 3" xfId="410"/>
    <cellStyle name="?? [0] 2" xfId="411"/>
    <cellStyle name="_固定资产及在建工程" xfId="412"/>
    <cellStyle name="差_大信底稿目录 13 2" xfId="413"/>
    <cellStyle name="@_text_PBC hardclose-Enric Gas_固定资产增加2 2" xfId="414"/>
    <cellStyle name="@_text_sheet_H1-3 Addition list  2" xfId="415"/>
    <cellStyle name="@_text_041117.Xinao SJZ.AR.Enric_Sheet1" xfId="416"/>
    <cellStyle name="_公司填表2005-修改后_3-2-A1B-银行存款" xfId="417"/>
    <cellStyle name="@_text_其他应收、应付账龄_H1-3 Addition list  2" xfId="418"/>
    <cellStyle name="_Account disclosure of entrusted loan" xfId="419"/>
    <cellStyle name="40% - 强调文字颜色 6 2 3 8" xfId="420"/>
    <cellStyle name="差_短期借款 13" xfId="421"/>
    <cellStyle name="?? [0]_BOILER-CO1" xfId="422"/>
    <cellStyle name="标题 1 2 2 5" xfId="423"/>
    <cellStyle name="?? 3" xfId="424"/>
    <cellStyle name="_Assets_Liabilities and equity" xfId="425"/>
    <cellStyle name="??&amp;" xfId="426"/>
    <cellStyle name="好_27-短期借款(空白模板) 12 2" xfId="427"/>
    <cellStyle name="好_19-无形资产（空白模板） 2 3 3" xfId="428"/>
    <cellStyle name="SAPBEXHLevel0X 3 2" xfId="429"/>
    <cellStyle name="常规 9 5 4 2" xfId="430"/>
    <cellStyle name="常规 3 26 2 3" xfId="431"/>
    <cellStyle name="??&amp;O龡&amp;H?_x0008_??" xfId="432"/>
    <cellStyle name="@_text_JA#14_H1-3 Addition list " xfId="433"/>
    <cellStyle name="好_30-应付账款（空白模板） 10 2 3" xfId="434"/>
    <cellStyle name="??&amp;O龡&amp;H?_x0008_??_x0007_" xfId="435"/>
    <cellStyle name="??&amp;O龡&amp;H?_x0008_??_Sheet1" xfId="436"/>
    <cellStyle name="常规 179 2" xfId="437"/>
    <cellStyle name="@_text_061231.Pingyin.income tax.Q2_H1-3 Addition list " xfId="438"/>
    <cellStyle name="好_底稿设置宏 17" xfId="439"/>
    <cellStyle name="好_底稿设置宏 22" xfId="440"/>
    <cellStyle name="差_预收款项 8 2 3" xfId="441"/>
    <cellStyle name="??&amp;O龡&amp;H?_x0008_??_x0007__Sheet1" xfId="442"/>
    <cellStyle name="??&amp;O龡&amp;H?_x0008_??_x0007__x0001__x0001__Sheet1" xfId="443"/>
    <cellStyle name="_Part II - Consol Journal supplementary Schedule (Holding)(1.28)v7" xfId="444"/>
    <cellStyle name="@_text_Shinho烟台欣和味达美食品有限公司2006年审计报告新新 2" xfId="445"/>
    <cellStyle name="@_text_061115.Enric Integration.Sles.0512.G1_固定资产增加2" xfId="446"/>
    <cellStyle name="好_1固定资产 6_明细表 2" xfId="447"/>
    <cellStyle name="???? [0.00]_Analysis of Loans" xfId="448"/>
    <cellStyle name="@_text_OR账龄分析_固定资产增加2" xfId="449"/>
    <cellStyle name="_29-香坊" xfId="450"/>
    <cellStyle name="差_ZG应收保费 4" xfId="451"/>
    <cellStyle name="@_text_制造费用_固定资产增加2 2" xfId="452"/>
    <cellStyle name="好_应收账款 - 复制 5 3" xfId="453"/>
    <cellStyle name="好_应收利息 17 2 2" xfId="454"/>
    <cellStyle name="_Part II - Consol Journal supplementary Schedule (Holding)(1.28)v7_pbc 080630 current liability 2" xfId="455"/>
    <cellStyle name="差_复件 固定资产 9_明细表 3" xfId="456"/>
    <cellStyle name="差_53-管理费用（空白模板） 4" xfId="457"/>
    <cellStyle name="Comma  - Style3" xfId="458"/>
    <cellStyle name="??????" xfId="459"/>
    <cellStyle name="@_text_O2 advance from customer_Sheet1" xfId="460"/>
    <cellStyle name="好_55-资产减值损失（空白模板） 9 3" xfId="461"/>
    <cellStyle name="好_底稿设置宏_大信底稿目录_明细表_1 5" xfId="462"/>
    <cellStyle name="????_Analysis of Loans" xfId="463"/>
    <cellStyle name="差_底稿设置宏 5 2 2" xfId="464"/>
    <cellStyle name="_Part VIII - 20071231.Project Stone.Reporting package.off-balance.(sub name)_Sheet1" xfId="465"/>
    <cellStyle name="40% - Accent1" xfId="466"/>
    <cellStyle name="好_1预收款项 6 3 2" xfId="467"/>
    <cellStyle name="_to do list_期末存货_20051231.sales com.GI1.intercompany" xfId="468"/>
    <cellStyle name="???[0]" xfId="469"/>
    <cellStyle name="差_固定资产 8_明细表 5" xfId="470"/>
    <cellStyle name="???_APAR" xfId="471"/>
    <cellStyle name="40% - 强调文字颜色 5 6 2" xfId="472"/>
    <cellStyle name="差_1可供出售金融资产 3" xfId="473"/>
    <cellStyle name="差_49-营业收入（空白模板） 13_明细表" xfId="474"/>
    <cellStyle name="_WP-铝材" xfId="475"/>
    <cellStyle name="好_应付债券 2" xfId="476"/>
    <cellStyle name="常规 9 4 2 5" xfId="477"/>
    <cellStyle name="好_30-应付账款（空白模板） 12_明细表 2" xfId="478"/>
    <cellStyle name="好 2 7 2" xfId="479"/>
    <cellStyle name="_Book2_071231.Weidamei plant.H102.Fixed assets_Sheet1 2" xfId="480"/>
    <cellStyle name="好_27-短期借款(空白模板) 16 2 4" xfId="481"/>
    <cellStyle name="好_1营业外收入 3" xfId="482"/>
    <cellStyle name="_3-2-A22-无形资产 3" xfId="483"/>
    <cellStyle name="Normal 14 6" xfId="484"/>
    <cellStyle name="@_text_list_Sheet1" xfId="485"/>
    <cellStyle name="??[0]_laroux" xfId="486"/>
    <cellStyle name="_Sheet1_1 5" xfId="487"/>
    <cellStyle name="好_55-资产减值损失（空白模板） 15_明细表 4" xfId="488"/>
    <cellStyle name="??_(001) G3 主营业务成本.20071231" xfId="489"/>
    <cellStyle name="??伍[0]_PLDT" xfId="490"/>
    <cellStyle name="好_无形资产 4 2 3" xfId="491"/>
    <cellStyle name="20% - 强调文字颜色 4 2 7" xfId="492"/>
    <cellStyle name="差_专项应付款 25" xfId="493"/>
    <cellStyle name="差_专项应付款 30" xfId="494"/>
    <cellStyle name="00 3 3" xfId="495"/>
    <cellStyle name="好_1营业收入 16" xfId="496"/>
    <cellStyle name="好_1营业收入 21" xfId="497"/>
    <cellStyle name="??伍_PLDT" xfId="498"/>
    <cellStyle name="?鹎%U龡&amp;H?_x0008__x001c_" xfId="499"/>
    <cellStyle name="0.00%" xfId="500"/>
    <cellStyle name="好_4-应收账款（空白模板） 7 2 3" xfId="501"/>
    <cellStyle name="差_50-营业成本（空白模板） 11 3" xfId="502"/>
    <cellStyle name="@_text_G1.20051231.MCIQ.Sales and AR" xfId="503"/>
    <cellStyle name="@_text_fg00-6实验室 2" xfId="504"/>
    <cellStyle name="?鹎%U龡&amp;H?_x0008__x001c__x001c_?_x0007_" xfId="505"/>
    <cellStyle name="_ZJYE9802_科技审计所需资料明细表 2" xfId="506"/>
    <cellStyle name="?鹎%U龡&amp;H?_x0008__x001c__x001c_?_x0007__x0001__x0001_" xfId="507"/>
    <cellStyle name="_Nochange.Cons.20070418.TransportationCompany.Appendix4TBJA_pbc 080630 current liability 2" xfId="508"/>
    <cellStyle name="好_专项应付款 8_明细表 4" xfId="509"/>
    <cellStyle name="_071231.PenglaiShinho.O402.Accrued payroll &amp; Welfare.SY" xfId="510"/>
    <cellStyle name="好_1预收款项 7 4" xfId="511"/>
    <cellStyle name="好_1专项应付款 33" xfId="512"/>
    <cellStyle name="好_1专项应付款 28" xfId="513"/>
    <cellStyle name="@_text_PBC final-Shijiazhuang-Enric0110_Sheet1" xfId="514"/>
    <cellStyle name="_long term loan - others 300504_IFRS recon June 05 v4  _pbc 080630 current liability" xfId="515"/>
    <cellStyle name="Accent4 - 40% 2 3" xfId="516"/>
    <cellStyle name="好_49-营业收入（空白模板） 4 2 3" xfId="517"/>
    <cellStyle name="?鹎%U龡&amp;H?_x0008__x001c__x001c_?_x0007__081031.B06.日照分公司.H1.固定资产" xfId="518"/>
    <cellStyle name="@_text_20061231.pingyin.O6.Other payable_固定资产增加2" xfId="519"/>
    <cellStyle name="好_营业收入 8_明细表 5" xfId="520"/>
    <cellStyle name="好_G-应收账款 17" xfId="521"/>
    <cellStyle name="好_G-应收账款 22" xfId="522"/>
    <cellStyle name="?鹎%U龡&amp;H?_x0008__x001c__x001c_?_x0007__x0001__x0001__Sheet1" xfId="523"/>
    <cellStyle name="_GD2, GD3 (28 May).cp.(include re-class)_31.12 GD3 and GD9 11.8(ss)_CW.GD7 R&amp;D expense.0405 2" xfId="524"/>
    <cellStyle name="?鹎%U龡&amp;H?_x0008__x001c__060110.pana-sims.wpf final" xfId="525"/>
    <cellStyle name="好_1应付职工薪酬 2 2" xfId="526"/>
    <cellStyle name="@_text_20061231.pingyin.H2.CIP_H1-3 Addition list " xfId="527"/>
    <cellStyle name="差_固定资产 3_明细表 5" xfId="528"/>
    <cellStyle name="?鹎%U龡_060110.pana-sims.wpf final" xfId="529"/>
    <cellStyle name="好__dxn_temp空白表页 13_明细表 5" xfId="530"/>
    <cellStyle name="百分比 2 2 2 4" xfId="531"/>
    <cellStyle name="40% - 强调文字颜色 3 2 2 8" xfId="532"/>
    <cellStyle name="@_text_TB-2006_固定资产增加2 2" xfId="533"/>
    <cellStyle name="_第四季度资料 2" xfId="534"/>
    <cellStyle name="?徣_!" xfId="535"/>
    <cellStyle name="_long term loan - others 300504_期末存货_05成本到扎表1(1).9-结算部 2" xfId="536"/>
    <cellStyle name="常规 7 10 2 2" xfId="537"/>
    <cellStyle name="@_text_051231.Enric.Langfang.contract log_H1-3 Addition list " xfId="538"/>
    <cellStyle name="?痃%S&amp;F?_x0008_?o_x0006__x0007__x0001__x0001_" xfId="539"/>
    <cellStyle name="@_text" xfId="540"/>
    <cellStyle name="_07.FJCTE.ReportingPackage.050930 revised.161006.v1" xfId="541"/>
    <cellStyle name="好_1资产减值损失_财务费用" xfId="542"/>
    <cellStyle name="@_text_31.03.03&amp;04.Xinao SJZ.GA3-other operating profit_固定资产增加2" xfId="543"/>
    <cellStyle name="@_text_040331" xfId="544"/>
    <cellStyle name="好_30-应付账款（空白模板） 6_明细表 5" xfId="545"/>
    <cellStyle name="好_1预收款项 2 6" xfId="546"/>
    <cellStyle name="0,0_x000d__x000a_NA_x000d__x000a__05国有资产变动" xfId="547"/>
    <cellStyle name="_31.12 GD3 and GD9 11.8(ss)_CW.G5.Selling expenses.0606 2" xfId="548"/>
    <cellStyle name="好_30-应付账款（空白模板） 6 2 2" xfId="549"/>
    <cellStyle name="@_text_040331_H1-3 Addition list " xfId="550"/>
    <cellStyle name="常规 2 2 2 4 5" xfId="551"/>
    <cellStyle name="好_预收款项 3_明细表" xfId="552"/>
    <cellStyle name="好_ZE买入返售金融证券 4 2" xfId="553"/>
    <cellStyle name="@_text_list_H1-3 Addition list " xfId="554"/>
    <cellStyle name="@_text_040331_Sheet1" xfId="555"/>
    <cellStyle name="好_复件 固定资产 6_附注表一（财务报表）" xfId="556"/>
    <cellStyle name="差_19-无形资产（空白模板） 2 2 3" xfId="557"/>
    <cellStyle name="_2007年成本分析 2" xfId="558"/>
    <cellStyle name="@_text_040331_固定资产增加2" xfId="559"/>
    <cellStyle name="好_55-资产减值损失（空白模板） 13_明细表 4" xfId="560"/>
    <cellStyle name="AA NORMAL" xfId="561"/>
    <cellStyle name="@_text_TB-2005 2" xfId="562"/>
    <cellStyle name="好_55-资产减值损失（空白模板） 6_附注表一（财务报表）" xfId="563"/>
    <cellStyle name="差_dxn底稿目录 9 4" xfId="564"/>
    <cellStyle name="@_text_040806 XinAo SJZ TB (Final v5)_H1-3 Addition list " xfId="565"/>
    <cellStyle name="Comma  - Style8 2 3" xfId="566"/>
    <cellStyle name="@_text_31.03.03&amp;04 Xinao SHJ GL2.Xinao SHJ.GL2.Surplus reserve and capital surplus_H1-3 Addition list " xfId="567"/>
    <cellStyle name="好_51-营业税金及附加（空白模板） 12 2" xfId="568"/>
    <cellStyle name="_Sales-final 2" xfId="569"/>
    <cellStyle name="好_1固定资产 5 3" xfId="570"/>
    <cellStyle name="@_text_040806 XinAo SJZ TB (Final v5)_Sheet1" xfId="571"/>
    <cellStyle name="百分比 2 2 3 2" xfId="572"/>
    <cellStyle name="40% - 强调文字颜色 3 2 3 6" xfId="573"/>
    <cellStyle name="@_text_040806 XinAo SJZ TB (Final v5)_固定资产增加2" xfId="574"/>
    <cellStyle name="60% - 强调文字颜色 1 4 3" xfId="575"/>
    <cellStyle name="_合并单位及附注" xfId="576"/>
    <cellStyle name="差_1短期借款 8 2" xfId="577"/>
    <cellStyle name="好_19-无形资产（空白模板） 9_附注表一（财务报表）" xfId="578"/>
    <cellStyle name="@_text_050630.Xinao Enric.GJ1-AP" xfId="579"/>
    <cellStyle name="40% - 强调文字颜色 1 2 3_附注表一（财务报表）" xfId="580"/>
    <cellStyle name="_061231.东营.补贴收入" xfId="581"/>
    <cellStyle name="好_营业收入 8 2 5" xfId="582"/>
    <cellStyle name="好_底稿设置宏_大信底稿目录 3 2 3" xfId="583"/>
    <cellStyle name="常规 5 2 4 2 4" xfId="584"/>
    <cellStyle name="好__dxn_temp空白表页 4_明细表 4" xfId="585"/>
    <cellStyle name="@_text_041107.GJ1-AP.combined" xfId="586"/>
    <cellStyle name="@_text_050630.Xinao Enric.GJ1-AP_H1-3 Addition list " xfId="587"/>
    <cellStyle name="好_1营业收入 2 2 2" xfId="588"/>
    <cellStyle name="@_text_PBC资料表格06 2" xfId="589"/>
    <cellStyle name="常规 29 3 3" xfId="590"/>
    <cellStyle name="常规 34 3 3" xfId="591"/>
    <cellStyle name="@_text_041107.GJ1-AP.combined_H1-3 Addition list " xfId="592"/>
    <cellStyle name="@_text_2008年12月31日总公司利润表" xfId="593"/>
    <cellStyle name="好_31-预收账款（空白模板） 4_明细表 5" xfId="594"/>
    <cellStyle name="差_大信底稿目录 2 5" xfId="595"/>
    <cellStyle name="@_text_050630.Xinao Enric.GJ1-AP_固定资产增加2" xfId="596"/>
    <cellStyle name="好_1资产减值损失 8 4" xfId="597"/>
    <cellStyle name="_Part III.200406.Loan and Liabilities details.(Site Name)_Part III for print- Journal List and Profit Recon (Justin) (date).consol_Sheet1 2" xfId="598"/>
    <cellStyle name="@_text_050630.Xinao Enric(SJZ).GA1-Sales_H1-3 Addition list " xfId="599"/>
    <cellStyle name="好_大信底稿目录 15 2 4" xfId="600"/>
    <cellStyle name="0% 20" xfId="601"/>
    <cellStyle name="0% 15" xfId="602"/>
    <cellStyle name="好_FJ其他应付款 2 3" xfId="603"/>
    <cellStyle name="@_text_041107.GJ1-AP.combined_固定资产增加2" xfId="604"/>
    <cellStyle name="好_49-营业收入（空白模板） 5_明细表 4" xfId="605"/>
    <cellStyle name="_邯郸福润鲜销、冻销分类" xfId="606"/>
    <cellStyle name="常规 3 2 3_附注表一（财务报表）" xfId="607"/>
    <cellStyle name="常规 2 2 2 2 2 2 17" xfId="608"/>
    <cellStyle name="差_19-无形资产（空白模板） 12" xfId="609"/>
    <cellStyle name="@_text_300604.Xinao Anhui.GJ-Accrued expenses" xfId="610"/>
    <cellStyle name="差_Sheet1 2 12" xfId="611"/>
    <cellStyle name="0% 2 2 3" xfId="612"/>
    <cellStyle name="好_无形资产 9 2 4" xfId="613"/>
    <cellStyle name="@_text_061231.Pingyin.H1.FA._固定资产增加2" xfId="614"/>
    <cellStyle name="百分比 2 2 3 3 2" xfId="615"/>
    <cellStyle name="@_text_041117.GJ4-Advancefromcustomer.combined" xfId="616"/>
    <cellStyle name="好_1资产减值损失 6 2 5" xfId="617"/>
    <cellStyle name="差_复件 固定资产 10" xfId="618"/>
    <cellStyle name="@_text_300604.Xinao Anhui.GJ-Accrued expenses_H1-3 Addition list " xfId="619"/>
    <cellStyle name="@_text_041117.GJ4-Advancefromcustomer.combined_H1-3 Addition list " xfId="620"/>
    <cellStyle name="常规 3 2 2 5 2 3" xfId="621"/>
    <cellStyle name="差_长期应付款" xfId="622"/>
    <cellStyle name="差_G-应收账款 19" xfId="623"/>
    <cellStyle name="差_G-应收账款 24" xfId="624"/>
    <cellStyle name="@_text_G1.20051231.MCIQ.Sales and AR_H1-3 Addition list  2" xfId="625"/>
    <cellStyle name="_附表3－利润表科目明细表" xfId="626"/>
    <cellStyle name="_邯郸福润鲜销、冻销分类_Sheet1" xfId="627"/>
    <cellStyle name="好_资产负债标准底稿 10_明细表 4" xfId="628"/>
    <cellStyle name="_051122.Key summary to auditor_Sheet1 2" xfId="629"/>
    <cellStyle name="@_text_300604.Xinao Anhui.GJ-Accrued expenses_Sheet1" xfId="630"/>
    <cellStyle name="60% - 强调文字颜色 3 2 2 9" xfId="631"/>
    <cellStyle name="_081231.公司编号.公司名称.J1.无形资产_Sheet1" xfId="632"/>
    <cellStyle name="好_应收票据 5" xfId="633"/>
    <cellStyle name="_041031.Pana-SIMS.GJ6_固定资产增加2_Sheet1 2" xfId="634"/>
    <cellStyle name="好_固定资产 12_明细表 4" xfId="635"/>
    <cellStyle name="@_text_20061231.pingyin.J1.Intangible assets" xfId="636"/>
    <cellStyle name="差_复件 固定资产 6_明细表 5" xfId="637"/>
    <cellStyle name="@_text_平阴pbc_H1-3 Addition list  2" xfId="638"/>
    <cellStyle name="好_资产负债类底稿模版_大信底稿目录 5 2" xfId="639"/>
    <cellStyle name="好_51-营业税金及附加（空白模板） 8_明细表 3" xfId="640"/>
    <cellStyle name="差_应付职工薪酬 10" xfId="641"/>
    <cellStyle name="@_text_041117.GJ4-Advancefromcustomer.combined_Sheet1" xfId="642"/>
    <cellStyle name="@_text_300604.Xinao Anhui.GJ-Accrued expenses_固定资产增加2" xfId="643"/>
    <cellStyle name="好_1营业成本 15" xfId="644"/>
    <cellStyle name="好_1固定资产 13_明细表 3" xfId="645"/>
    <cellStyle name="千位分隔 3 3 6" xfId="646"/>
    <cellStyle name="00 2" xfId="647"/>
    <cellStyle name="@_text_041231.Xinao SHJ.GG0 GJ0-- amount due to due from RPT2_H1-3 Addition list " xfId="648"/>
    <cellStyle name="好_应收利息 8_明细表 5" xfId="649"/>
    <cellStyle name="@_text_041117.GJ4-Advancefromcustomer.combined_固定资产增加2" xfId="650"/>
    <cellStyle name="好_复件 固定资产 8" xfId="651"/>
    <cellStyle name="常规 2 3 2 7_附注表一（财务报表）" xfId="652"/>
    <cellStyle name="00 33" xfId="653"/>
    <cellStyle name="00 28" xfId="654"/>
    <cellStyle name="超链接 3 2 8" xfId="655"/>
    <cellStyle name="@_text_061231.Pingyin.G1-Sales-v2_Sheet1" xfId="656"/>
    <cellStyle name="_审计附表（阜阳福润）_Sheet1 2" xfId="657"/>
    <cellStyle name="@_text_061231.liaocheng.G8.Non-operating profit_Sheet1" xfId="658"/>
    <cellStyle name="常规 2 3 19 2" xfId="659"/>
    <cellStyle name="常规 2 3 24 2" xfId="660"/>
    <cellStyle name="差_大信底稿目录 5 4" xfId="661"/>
    <cellStyle name="差_55-资产减值损失（空白模板） 3" xfId="662"/>
    <cellStyle name="_loan" xfId="663"/>
    <cellStyle name="@_text_041117.Xinao SJZ.AR.combined_H1-3 Addition list " xfId="664"/>
    <cellStyle name="好_1固定资产 12 2 4" xfId="665"/>
    <cellStyle name="好_短期借款 11_明细表" xfId="666"/>
    <cellStyle name="好_50-营业成本（空白模板） 7 2" xfId="667"/>
    <cellStyle name="_jnl list_pbc 080630 current liability" xfId="668"/>
    <cellStyle name="_2005年决算（收入） 2" xfId="669"/>
    <cellStyle name="@_text_061231.Pingyin.G1-Sales-v2_固定资产增加2" xfId="670"/>
    <cellStyle name="好_1固定资产 11 2 2" xfId="671"/>
    <cellStyle name="@_text_041117.Xinao SJZ.AR.combined_Sheet1" xfId="672"/>
    <cellStyle name="@_text_061231.liaocheng.G8.Non-operating profit_固定资产增加2" xfId="673"/>
    <cellStyle name="好_50-营业成本（空白模板） 15_明细表 5" xfId="674"/>
    <cellStyle name="40% - 强调文字颜色 1 7" xfId="675"/>
    <cellStyle name="好_50-营业成本（空白模板） 9_明细表 2" xfId="676"/>
    <cellStyle name="@_text_041117.Xinao SJZ.AR.combined_固定资产增加2" xfId="677"/>
    <cellStyle name="Euro 2 11" xfId="678"/>
    <cellStyle name="@_text_051231.Enric.Langfang.contract log_Sheet1" xfId="679"/>
    <cellStyle name="差_1短期借款 3 3" xfId="680"/>
    <cellStyle name="常规 2 2 2 2 18" xfId="681"/>
    <cellStyle name="常规 2 2 2 2 23" xfId="682"/>
    <cellStyle name="_26-哈龙" xfId="683"/>
    <cellStyle name="_Weisheng_GG2.Other Receivables.June.04 2" xfId="684"/>
    <cellStyle name="@_text_041117.Xinao SJZ.AR.Enric" xfId="685"/>
    <cellStyle name="_2004.12备用金个人余额调成帐上余额_GG4.OR.Dec 04" xfId="686"/>
    <cellStyle name="@_text_OR账龄分析_Sheet1" xfId="687"/>
    <cellStyle name="0% 11 2" xfId="688"/>
    <cellStyle name="_Part III for print- Journal List and Profit Recon (Justin) (date).consol_Sheet1" xfId="689"/>
    <cellStyle name="好_1资产减值损失 3 2 5" xfId="690"/>
    <cellStyle name="差_专项应付款 7 2 5" xfId="691"/>
    <cellStyle name="@_text_041117.Xinao SJZ.AR.Enric_H1-3 Addition list " xfId="692"/>
    <cellStyle name="常规 5 2 9 3" xfId="693"/>
    <cellStyle name="@_text_041117.Xinao SJZ.AR.Enric_固定资产增加2" xfId="694"/>
    <cellStyle name="@_text_Pingyin管理费用AZ_H1-3 Addition list  2" xfId="695"/>
    <cellStyle name="差_预付款项 2" xfId="696"/>
    <cellStyle name="@_text_041231.Xinao SHJ.GG0 GJ0-- amount due to due from RPT2" xfId="697"/>
    <cellStyle name="_SUAD Mar-CIP-Pre_pbc 080630 current liability 2" xfId="698"/>
    <cellStyle name="差_Sheet1 8 3" xfId="699"/>
    <cellStyle name="@_text_050114 Xinao RPT v1_H1-3 Addition list " xfId="700"/>
    <cellStyle name="好_固定资产 11_明细表 3" xfId="701"/>
    <cellStyle name="差_复件 固定资产 5_明细表 4" xfId="702"/>
    <cellStyle name="差_复件 固定资产 10_明细表" xfId="703"/>
    <cellStyle name="_2002-2004软件跨年度人月" xfId="704"/>
    <cellStyle name="好_1销售费用 2 2 3" xfId="705"/>
    <cellStyle name="@_text_Copy of F(1-9)_20050119_CECL per CC_固定资产增加2" xfId="706"/>
    <cellStyle name="_Sheet1_H1-3 Addition list  2" xfId="707"/>
    <cellStyle name="常规 5 2 8" xfId="708"/>
    <cellStyle name="好_专项应付款 5_附注表一（财务报表）" xfId="709"/>
    <cellStyle name="差_资产负债标准底稿 2 3" xfId="710"/>
    <cellStyle name="@_text_050114 Xinao RPT v1_Sheet1" xfId="711"/>
    <cellStyle name="20% - Accent2 2 2" xfId="712"/>
    <cellStyle name="20% - 强调文字颜色 2 3 2" xfId="713"/>
    <cellStyle name="_Part III.200406.Loan and Liabilities details.(Site Name)_期末存货_20051231.sales com.GI1.intercompany" xfId="714"/>
    <cellStyle name="差_函证结果汇总表 6 2" xfId="715"/>
    <cellStyle name="差_49-营业收入（空白模板）_明细表_1" xfId="716"/>
    <cellStyle name="@_text_050114 Xinao RPT v1_固定资产增加2" xfId="717"/>
    <cellStyle name="常规 4 2 6 2" xfId="718"/>
    <cellStyle name="40% - 强调文字颜色 2 5" xfId="719"/>
    <cellStyle name="常规 3 3 2 2 2 5 2 3" xfId="720"/>
    <cellStyle name="差_报表层次重要性水平 5" xfId="721"/>
    <cellStyle name="20% - 輔色3 5" xfId="722"/>
    <cellStyle name="好_应收利息 13_明细表 5" xfId="723"/>
    <cellStyle name="@_text_050124.QD TAK.Lead schedule.NC" xfId="724"/>
    <cellStyle name="@_text_050124.QD TAK.Lead schedule.NC_H1-3 Addition list " xfId="725"/>
    <cellStyle name="_D3主营业务税金及附加" xfId="726"/>
    <cellStyle name="_2005年盈利预测工作表(Raymond)" xfId="727"/>
    <cellStyle name="_12-黑河" xfId="728"/>
    <cellStyle name="_公司填表-2005李志刚 2" xfId="729"/>
    <cellStyle name="表标题" xfId="730"/>
    <cellStyle name="百分比 2 16 6" xfId="731"/>
    <cellStyle name="Percent [0] 2" xfId="732"/>
    <cellStyle name="@_text_JA list_170407.聊城.Appendix4 TBJA.冲回质量索赔 2" xfId="733"/>
    <cellStyle name="@_text_平阴pbc_固定资产增加2 2" xfId="734"/>
    <cellStyle name="常规 2 2 3 8" xfId="735"/>
    <cellStyle name="公司标准表 2" xfId="736"/>
    <cellStyle name="@_text_050124.QD TAK.Lead schedule.NC_Sheet1" xfId="737"/>
    <cellStyle name="好_专项应付款 2 4" xfId="738"/>
    <cellStyle name="常规 173 5" xfId="739"/>
    <cellStyle name="@_text_050124.QD TAK.Lead schedule.NC_固定资产增加2" xfId="740"/>
    <cellStyle name="40% - Accent4 2 2" xfId="741"/>
    <cellStyle name="_x0007__3-采购与付款循环(长期性资产) 6" xfId="742"/>
    <cellStyle name="差_60-所得税费用（空白模板） 8 2" xfId="743"/>
    <cellStyle name="@_text_O2 advance from customer_固定资产增加2 2" xfId="744"/>
    <cellStyle name="差_27-短期借款(空白模板) 26" xfId="745"/>
    <cellStyle name="差_27-短期借款(空白模板) 31" xfId="746"/>
    <cellStyle name="好_固定资产 12_明细表 3" xfId="747"/>
    <cellStyle name="差_复件 固定资产 6_明细表 4" xfId="748"/>
    <cellStyle name="@_text_050630.Enric(SJZ).GJ4-Advancefromcustomer" xfId="749"/>
    <cellStyle name="0% 3 4" xfId="750"/>
    <cellStyle name="好_应付职工薪酬 - 复制 2 3" xfId="751"/>
    <cellStyle name="{Thousand} 2" xfId="752"/>
    <cellStyle name="差_固定资产 2 2 4" xfId="753"/>
    <cellStyle name="@_text_PBC hardclose-Shijiazhuang1_固定资产增加2 2" xfId="754"/>
    <cellStyle name="@_text_050630.Enric(SJZ).GJ4-Advancefromcustomer_H1-3 Addition list " xfId="755"/>
    <cellStyle name="_081031.B06.日照分公司.H1.固定资产_Sheet1 2" xfId="756"/>
    <cellStyle name="差_无形资产 9_明细表 3" xfId="757"/>
    <cellStyle name="@_text_PBC hardclose-Shijiazhuang(石化机)new" xfId="758"/>
    <cellStyle name="好_大信底稿目录 15" xfId="759"/>
    <cellStyle name="好_大信底稿目录 20" xfId="760"/>
    <cellStyle name="好_55-资产减值损失（空白模板） 12_明细表 2" xfId="761"/>
    <cellStyle name="@_text_050630.Enric(SJZ).GJ4-Advancefromcustomer_Sheet1" xfId="762"/>
    <cellStyle name="好_32-应付职工薪酬(空白模板) 2 4" xfId="763"/>
    <cellStyle name="@_text_Book12006" xfId="764"/>
    <cellStyle name="@_text_050630.Xinao Enric(SJZ).GA1-Sales" xfId="765"/>
    <cellStyle name="40% - 强调文字颜色 5 2 11" xfId="766"/>
    <cellStyle name="好_1营业收入 2 2 5" xfId="767"/>
    <cellStyle name="好_1固定资产 8_附注表一（财务报表）" xfId="768"/>
    <cellStyle name="_Part III.200406.Loan and Liabilities details.(Site Name)_Part II - Consol Journal supp Schedule (Site Name) 2" xfId="769"/>
    <cellStyle name="@_text_Copy of Xinao SJZ PBC 2004 (5-3-05)_H1-3 Addition list " xfId="770"/>
    <cellStyle name="@_text_050630.Xinao Enric(SJZ).GA1-Sales_Sheet1" xfId="771"/>
    <cellStyle name="差_预收款项 12_附注表一（财务报表）" xfId="772"/>
    <cellStyle name="好_50-营业成本（空白模板） 4_明细表 5" xfId="773"/>
    <cellStyle name="_1204 Shenjifubiao--C01 v2 2" xfId="774"/>
    <cellStyle name="标题 3 3" xfId="775"/>
    <cellStyle name="@_text_050630.Xinao Enric(SJZ).GA1-Sales_固定资产增加2" xfId="776"/>
    <cellStyle name="好_往来款项函证结果汇总表 2 4" xfId="777"/>
    <cellStyle name="好_FG  应交税费 2 3" xfId="778"/>
    <cellStyle name="@_text_fg00-4精煤 2" xfId="779"/>
    <cellStyle name="@_text_roll forward" xfId="780"/>
    <cellStyle name="40% - 强调文字颜色 1 3 2" xfId="781"/>
    <cellStyle name="_达园顺峰wp--04-06-zzl" xfId="782"/>
    <cellStyle name="@_text_FLX TOCTODD outstanding.v3" xfId="783"/>
    <cellStyle name="@_text_050630.Xinao Enric.GJ1-AP(v1)_H1-3 Addition list " xfId="784"/>
    <cellStyle name="@_text_050630.Xinao Enric.GJ1-AP(v1)_固定资产增加2" xfId="785"/>
    <cellStyle name="_long term loan - others 300504_in-ter-com_200506.sales com.GI.intercompany_Sheet1" xfId="786"/>
    <cellStyle name="差_50-营业成本（空白模板） 12_明细表" xfId="787"/>
    <cellStyle name="_31.12 GD3 and GD9 11.8(ss)_CW.GD7 R&amp;D expense.0805" xfId="788"/>
    <cellStyle name="@_text_内部交易_Sheet1" xfId="789"/>
    <cellStyle name="常规 2 2 2 16 3" xfId="790"/>
    <cellStyle name="@_text_050830.Sihitech-Technology.Controllog" xfId="791"/>
    <cellStyle name="@_text_PBC final-Shijiazhuang-Enric_H1-3 Addition list  2" xfId="792"/>
    <cellStyle name="差_复件 固定资产 6 2 5" xfId="793"/>
    <cellStyle name="_其他应付款BWKW" xfId="794"/>
    <cellStyle name="@_text_050830.Sihitech-Technology.Controllog_H1-3 Addition list " xfId="795"/>
    <cellStyle name="差_31-预收账款（空白模板） 5" xfId="796"/>
    <cellStyle name="_副本问题_Q2-1 EIT recon" xfId="797"/>
    <cellStyle name="@_text_050830.Sihitech-Technology.Controllog_Sheet1" xfId="798"/>
    <cellStyle name="常规 7 2 10" xfId="799"/>
    <cellStyle name="_FA JA过入明细工厂11" xfId="800"/>
    <cellStyle name="@_text_050830.Sihitech-Technology.Controllog_固定资产增加2" xfId="801"/>
    <cellStyle name="差_1短期借款 10 2 2" xfId="802"/>
    <cellStyle name="千位分隔 5 14" xfId="803"/>
    <cellStyle name="_四产品耗量比分析 2" xfId="804"/>
    <cellStyle name="_050124 Sales Co Part I - BS &amp; PL with note to account (Consol) v2 2" xfId="805"/>
    <cellStyle name="@_text_051231.Enric.Langfang.contract log" xfId="806"/>
    <cellStyle name="40% - 强调文字颜色 2 10" xfId="807"/>
    <cellStyle name="好_可供出售金融资产 3" xfId="808"/>
    <cellStyle name="超链接 3 7 2 2" xfId="809"/>
    <cellStyle name="差_报表层次重要性水平 10" xfId="810"/>
    <cellStyle name="@_text_销售费用_固定资产增加2 2" xfId="811"/>
    <cellStyle name="Percent 2 3" xfId="812"/>
    <cellStyle name="@_text_GJ2-Other payable_Sheet1 2" xfId="813"/>
    <cellStyle name="常规 2 2 11_附注表一（财务报表）" xfId="814"/>
    <cellStyle name="@_text_051231.Enric.Langfang.contract log_固定资产增加2" xfId="815"/>
    <cellStyle name="_D12所得税2005" xfId="816"/>
    <cellStyle name="_08-七台河" xfId="817"/>
    <cellStyle name="@_text_Other Receivables 20091031" xfId="818"/>
    <cellStyle name="40% - 强调文字颜色 3 2 2 4" xfId="819"/>
    <cellStyle name="好_4-应收账款（空白模板） 3 2 2" xfId="820"/>
    <cellStyle name="@_text_O2 advance from customer 2" xfId="821"/>
    <cellStyle name="60% - Accent4 2 2" xfId="822"/>
    <cellStyle name="常规 6 3 9" xfId="823"/>
    <cellStyle name="@_text_fg00-5结算 2" xfId="824"/>
    <cellStyle name="好_资产负债标准底稿_大信底稿目录 15 5" xfId="825"/>
    <cellStyle name="@_text_051231.Enric-SJZ.L1.AR_H1-3 Addition list " xfId="826"/>
    <cellStyle name="@_text_051231.Enric-SJZ.L1.AR_Sheet1" xfId="827"/>
    <cellStyle name="@_text_fg00-3办事处 2" xfId="828"/>
    <cellStyle name="好_31-预收账款（空白模板） 11_明细表" xfId="829"/>
    <cellStyle name="好_1资产减值损失 27" xfId="830"/>
    <cellStyle name="好_1资产减值损失 32" xfId="831"/>
    <cellStyle name="Normal - Style1 7 3 2" xfId="832"/>
    <cellStyle name="常规 2 2 2 2 2 2 2 2 8" xfId="833"/>
    <cellStyle name="20% - 强调文字颜色 4 3 2 2" xfId="834"/>
    <cellStyle name="e_20050630 TB 2" xfId="835"/>
    <cellStyle name="@_text_051231.Enric-SJZ.L1.AR_固定资产增加2" xfId="836"/>
    <cellStyle name="差_1长期应收款 3 2" xfId="837"/>
    <cellStyle name="_附件2 资产负债划分汇总表及明细表（商业性）-补充通知" xfId="838"/>
    <cellStyle name="好_1专项应付款 15_附注表一（财务报表）" xfId="839"/>
    <cellStyle name="@_text_051231.Liaocheng.O3-1.Payroll payable.O3-2.Welfare payable" xfId="840"/>
    <cellStyle name="差_40-专项应付款(空白模板) 6_明细表" xfId="841"/>
    <cellStyle name="差_1专项应付款 9 2 2" xfId="842"/>
    <cellStyle name="@_text_20061231.liaocheng.J2.Deferred expenses.J2-1.Long-term deferred expenses_H1-3 Addition list " xfId="843"/>
    <cellStyle name="@_text_20061231.liaocheng.J2.Deferred expenses.J2-1.Long-term deferred expenses" xfId="844"/>
    <cellStyle name="@_text_051231.Liaocheng.O3-1.Payroll payable.O3-2.Welfare payable_H1-3 Addition list " xfId="845"/>
    <cellStyle name="好_9管理费用 3 2" xfId="846"/>
    <cellStyle name="@_text_20061231.liaocheng.J2.Deferred expenses.J2-1.Long-term deferred expenses_Sheet1" xfId="847"/>
    <cellStyle name="@_text_复件 复件 Xin Ao PBC 4(1)(安瑞科）_固定资产增加2" xfId="848"/>
    <cellStyle name="好_1应收票据 3 2" xfId="849"/>
    <cellStyle name="@_text_051231.Liaocheng.O3-1.Payroll payable.O3-2.Welfare payable_Sheet1" xfId="850"/>
    <cellStyle name="好_ZA0货币资金审定表  3 3 2" xfId="851"/>
    <cellStyle name="@_text_JA_Sheet1" xfId="852"/>
    <cellStyle name="60% - 强调文字颜色 1 2 2 2 3" xfId="853"/>
    <cellStyle name="好_1短期借款 4_明细表 2" xfId="854"/>
    <cellStyle name="_FA JA过入明细工厂_固定资产增加2_Sheet1" xfId="855"/>
    <cellStyle name="千位分隔 5 7 3 2" xfId="856"/>
    <cellStyle name="好_资产负债标准底稿 6" xfId="857"/>
    <cellStyle name="_西安朱雀热力有限责任公司" xfId="858"/>
    <cellStyle name="@_text_061231.Liaocheng.Paid in capital &amp; PYA.R1_Sheet1" xfId="859"/>
    <cellStyle name="@_text_20061231.liaocheng.J2.Deferred expenses.J2-1.Long-term deferred expenses_固定资产增加2" xfId="860"/>
    <cellStyle name="_Copy of 20050124 Profit and NAV Recons, IFRS Adj Summary(Anthony)_Sheet1" xfId="861"/>
    <cellStyle name="@_text_051231.Liaocheng.O3-1.Payroll payable.O3-2.Welfare payable_固定资产增加2" xfId="862"/>
    <cellStyle name="好_无形资产 3 2 5" xfId="863"/>
    <cellStyle name="20% - 强调文字颜色 3 2 9" xfId="864"/>
    <cellStyle name="常规 3 2 5 9" xfId="865"/>
    <cellStyle name="好_1财务费用_货币资金 2" xfId="866"/>
    <cellStyle name="差_G-应收账款 13" xfId="867"/>
    <cellStyle name="千位分隔 2 2 8 2 3" xfId="868"/>
    <cellStyle name="_D11营业外支出 4" xfId="869"/>
    <cellStyle name="差_55-资产减值损失（空白模板） 16 2" xfId="870"/>
    <cellStyle name="@_text_PBC control list_固定资产增加2" xfId="871"/>
    <cellStyle name="强调文字颜色 2 2 3 3" xfId="872"/>
    <cellStyle name="好_ZA0货币资金审定表  2 6" xfId="873"/>
    <cellStyle name="20% - 强调文字颜色 2 4" xfId="874"/>
    <cellStyle name="_071231.阿尔若维根斯.应付工资.v1" xfId="875"/>
    <cellStyle name="@_text_051404 Consolidation at Company level" xfId="876"/>
    <cellStyle name="_公司填表2005-修改" xfId="877"/>
    <cellStyle name="@_text_061115.Enric Integration.Sles.0512.G1" xfId="878"/>
    <cellStyle name="标题 1 3 2" xfId="879"/>
    <cellStyle name="@_text_061115.Enric Integration.Sles.0512.G1_H1-3 Addition list " xfId="880"/>
    <cellStyle name="差_复件 固定资产 12_附注表一（财务报表）" xfId="881"/>
    <cellStyle name="_Shinho-2007.v2 2" xfId="882"/>
    <cellStyle name="_公司填表2005-修改_Sheet1" xfId="883"/>
    <cellStyle name="_YZ.GJ1.AP.2003-2005(14022006) 2" xfId="884"/>
    <cellStyle name="@_text_061115.Enric Integration.Sles.0512.G1_Sheet1" xfId="885"/>
    <cellStyle name="差_盈余公积 2 2" xfId="886"/>
    <cellStyle name="常规 5 2 16 3" xfId="887"/>
    <cellStyle name="@_text_061231.Liaocheng.advance from customers" xfId="888"/>
    <cellStyle name="@_text_book2_Sheet1" xfId="889"/>
    <cellStyle name="好_营业收入 5_明细表 3" xfId="890"/>
    <cellStyle name="_GD2, GD3 (28 May).cp.(include re-class)_31.12 GD3 Selling expenses" xfId="891"/>
    <cellStyle name="_Sheet1 4" xfId="892"/>
    <cellStyle name="@_text_061231.Liaocheng.advance from customers_H1-3 Addition list " xfId="893"/>
    <cellStyle name="@_text_061231.Liaocheng.advance from customers_Sheet1" xfId="894"/>
    <cellStyle name="好_30-应付账款（空白模板） 6 3 2" xfId="895"/>
    <cellStyle name="常规 3 10 3" xfId="896"/>
    <cellStyle name="@_text_061231.Liaocheng.advance from customers_固定资产增加2" xfId="897"/>
    <cellStyle name="百分比 2 2 13" xfId="898"/>
    <cellStyle name="_损益表(加密)_审计调查表.20051231" xfId="899"/>
    <cellStyle name="_long term loan - others 300504_KPMG original version" xfId="900"/>
    <cellStyle name="Accent1 - 60% 3 2" xfId="901"/>
    <cellStyle name="@_text_20070418.Pinyin.Appendix4.TBJAv2" xfId="902"/>
    <cellStyle name="常规 2 2 2 16 2 5" xfId="903"/>
    <cellStyle name="标题 1 6 2" xfId="904"/>
    <cellStyle name="@_text_061231.Liaocheng.AR&amp;OR" xfId="905"/>
    <cellStyle name="_ZJYE9802_科技审计所需资料明细表_Q2-1 EIT recon" xfId="906"/>
    <cellStyle name="差_应收账款 2 2 5" xfId="907"/>
    <cellStyle name="60% - 强调文字颜色 5 2" xfId="908"/>
    <cellStyle name="@_text_PBC final-Shijiazhuang-Enric0514 往来 _Sheet1 2" xfId="909"/>
    <cellStyle name="好_固定资产 6_明细表" xfId="910"/>
    <cellStyle name="@_text_book2" xfId="911"/>
    <cellStyle name="常规 11 5 2 3" xfId="912"/>
    <cellStyle name="好_1资产减值损失 14" xfId="913"/>
    <cellStyle name="@_text_061231.Liaocheng.AR&amp;OR_H1-3 Addition list " xfId="914"/>
    <cellStyle name="差_S4销售费用 2" xfId="915"/>
    <cellStyle name="@_text_Copy of F(1-9)_20050119_CECL per CC_H1-3 Addition list " xfId="916"/>
    <cellStyle name="_Sheet3 2" xfId="917"/>
    <cellStyle name="好_资产负债标准底稿_大信底稿目录 14 2 3" xfId="918"/>
    <cellStyle name="_KPMG original version" xfId="919"/>
    <cellStyle name="好_15-固定资产（空白模板） 8 2 5" xfId="920"/>
    <cellStyle name="_20070417.Anqiu Shanshui.TB 2" xfId="921"/>
    <cellStyle name="百分比 2 2 11 3" xfId="922"/>
    <cellStyle name="@_text_061231.Liaocheng.AR&amp;OR_Sheet1" xfId="923"/>
    <cellStyle name="差_1-销售与收款循环 2 2 2" xfId="924"/>
    <cellStyle name="_桂林 2" xfId="925"/>
    <cellStyle name="@_text_061231.Liaocheng.AR&amp;OR_固定资产增加2" xfId="926"/>
    <cellStyle name="千位分隔 3 2 2 3 5" xfId="927"/>
    <cellStyle name="差_10存货 2 2" xfId="928"/>
    <cellStyle name="_consolidation sales &amp; cost-upda_Q2-1 EIT recon_Sheet1" xfId="929"/>
    <cellStyle name="好_5-预付款项（空白模板） 2 2" xfId="930"/>
    <cellStyle name="@_text_061231.Liaocheng.G1-Sales.v2" xfId="931"/>
    <cellStyle name="@_text_H01v12" xfId="932"/>
    <cellStyle name="@_text_061231.Liaocheng.G1-Sales.v2_H1-3 Addition list " xfId="933"/>
    <cellStyle name="差_56-公允价值损益变动（空白模板） 3" xfId="934"/>
    <cellStyle name="差_底稿设置宏 15 2 2" xfId="935"/>
    <cellStyle name="@_text_Copy of Xinao SJZ PBC 2004 (5-3-05) 2" xfId="936"/>
    <cellStyle name="好_应收利息 14_明细表 4" xfId="937"/>
    <cellStyle name="差_19-无形资产（空白模板） 7 2" xfId="938"/>
    <cellStyle name="_vat" xfId="939"/>
    <cellStyle name="差_底稿设置宏 11_附注表一（财务报表）" xfId="940"/>
    <cellStyle name="@_text_061231.Liaocheng.G1-Sales.v2_Sheet1" xfId="941"/>
    <cellStyle name="好_财务费用 11 2 3" xfId="942"/>
    <cellStyle name="_long term loan - others 300504_PartII-Conso Jou supp Sch(SalesCo)(041231).conso 2" xfId="943"/>
    <cellStyle name="好_6、应收帐款 4" xfId="944"/>
    <cellStyle name="_G5.selling expenses.DZH.31.Dec.07" xfId="945"/>
    <cellStyle name="差_FA短期借款 6" xfId="946"/>
    <cellStyle name="@_text_061231.Liaocheng.G1-Sales.v2_固定资产增加2" xfId="947"/>
    <cellStyle name="20% - 强调文字颜色 3 5 2" xfId="948"/>
    <cellStyle name="@_text_JA list_170407.聊城.Appendix4 TBJA.冲回质量索赔_H1-3 Addition list  2" xfId="949"/>
    <cellStyle name="好_复件 固定资产 4 2 3" xfId="950"/>
    <cellStyle name="@_text_061231.Liaocheng.G1-Sales_H1-3 Addition list " xfId="951"/>
    <cellStyle name="好_30-应付账款（空白模板） 11 2 3" xfId="952"/>
    <cellStyle name="Accent5 17" xfId="953"/>
    <cellStyle name="@_text_2004年4月_固定资产增加2" xfId="954"/>
    <cellStyle name="60% - 强调文字颜色 1 2" xfId="955"/>
    <cellStyle name="20% - 强调文字颜色 4 2 2 7" xfId="956"/>
    <cellStyle name="_long term loan - others 300504_损益表(加密)_审计调查表.20061231(正）" xfId="957"/>
    <cellStyle name="@_text_061231.Liaocheng.G1-Sales_Sheet1" xfId="958"/>
    <cellStyle name="Normal - Style1 4 3 2" xfId="959"/>
    <cellStyle name="@_text_PBC2 hardclose-Shijiazhuang-加气站_H1-3 Addition list  2" xfId="960"/>
    <cellStyle name="_辽宁国仁堂底稿" xfId="961"/>
    <cellStyle name="_Unbilled AR and Billing in excess (new)_Q2-1 EIT recon 2" xfId="962"/>
    <cellStyle name="_Fubiao 6_H1-3 Addition list  2" xfId="963"/>
    <cellStyle name="SAPBEXstdDataEmph 7" xfId="964"/>
    <cellStyle name="@_text_PBC hardclose-Enric Gas_Sheet1 2" xfId="965"/>
    <cellStyle name="{Z'0000(1 dec)} 2" xfId="966"/>
    <cellStyle name="差_短期借款 13_明细表 4" xfId="967"/>
    <cellStyle name="@_text_061231.Liaocheng.G1-Sales_固定资产增加2" xfId="968"/>
    <cellStyle name="常规 9 5 4 3 3" xfId="969"/>
    <cellStyle name="40% - 强调文字颜色 2 2 5" xfId="970"/>
    <cellStyle name="@_text_061231.Pingyin.G1-Sales-v2" xfId="971"/>
    <cellStyle name="@_text_061231.liaocheng.G8.Non-operating profit" xfId="972"/>
    <cellStyle name="_Sheet2 2" xfId="973"/>
    <cellStyle name="好_1财务费用 9 2 4" xfId="974"/>
    <cellStyle name="20% - 强调文字颜色 6 10" xfId="975"/>
    <cellStyle name="超链接 3 8 2 3" xfId="976"/>
    <cellStyle name="@_text_061231.Liaocheng.H1.FA  " xfId="977"/>
    <cellStyle name="SAPBEXheaderText" xfId="978"/>
    <cellStyle name="60% - 强调文字颜色 5 7" xfId="979"/>
    <cellStyle name="好_资产负债类底稿模版_大信底稿目录 5 4 2" xfId="980"/>
    <cellStyle name="@_text_061231.Liaocheng.H1.FA  _Sheet1" xfId="981"/>
    <cellStyle name="@_text_061231.Liaocheng.income tax.Q2" xfId="982"/>
    <cellStyle name="@_text_061231.Liaocheng.income tax.Q2_H1-3 Addition list " xfId="983"/>
    <cellStyle name="@_text_Copy of 311204.intercompany wp v13 2" xfId="984"/>
    <cellStyle name="差_4-应收账款（空白模板） 15 2" xfId="985"/>
    <cellStyle name="@_text_061231.Liaocheng.income tax.Q2_Sheet1" xfId="986"/>
    <cellStyle name="40% - 輔色6 6" xfId="987"/>
    <cellStyle name="_Part III.200406.Loan and Liabilities details.(Site Name)_to do list_05成本到扎表1(1).9-结算部_Sheet1" xfId="988"/>
    <cellStyle name="@_text_PBC control list_H1-3 Addition list " xfId="989"/>
    <cellStyle name="@_text_PBC control list" xfId="990"/>
    <cellStyle name="@_text_061231.Liaocheng.income tax.Q2_固定资产增加2" xfId="991"/>
    <cellStyle name="好_预收款项 3 3 2" xfId="992"/>
    <cellStyle name="好_应交税费 2" xfId="993"/>
    <cellStyle name="常规 3 3 2 2 7_附注表一（财务报表）" xfId="994"/>
    <cellStyle name="常规 11 3 2 3 2 2 3" xfId="995"/>
    <cellStyle name="00 2 3 9" xfId="996"/>
    <cellStyle name="_long term loan - others 300504_05年6.14结算部成本到扎表 2" xfId="997"/>
    <cellStyle name="@_text_PBC hardclose-Shijiazhuang1_H1-3 Addition list  2" xfId="998"/>
    <cellStyle name="好_33-应交税费（空白模板）" xfId="999"/>
    <cellStyle name="Comma  - Style7 4" xfId="1000"/>
    <cellStyle name="Euro 14 2" xfId="1001"/>
    <cellStyle name="好_应付职工薪酬 25" xfId="1002"/>
    <cellStyle name="好_应付职工薪酬 30" xfId="1003"/>
    <cellStyle name="_Part V - Supp Schedule Liabilities  taxation(Holding) 0714 V8(OK) 2" xfId="1004"/>
    <cellStyle name="_071231.Weidamei plant.H102.Fixed assets_Sheet1" xfId="1005"/>
    <cellStyle name="差_短期借款 2 6" xfId="1006"/>
    <cellStyle name="_FA JA过入明细工厂_固定资产增加2" xfId="1007"/>
    <cellStyle name="@_text_JA" xfId="1008"/>
    <cellStyle name="@_text_Pingyin货币资金AZ_Sheet1" xfId="1009"/>
    <cellStyle name="好_银行函证结果汇总表 16 6" xfId="1010"/>
    <cellStyle name="@_text_31.03.03&amp;04 Xinao SHJ GL2.Xinao SHJ.GL2.Surplus reserve and capital surplus_固定资产增加2" xfId="1011"/>
    <cellStyle name="好_1财务费用 16 2 4" xfId="1012"/>
    <cellStyle name="好_27-短期借款(空白模板) 8 3" xfId="1013"/>
    <cellStyle name="@_text_061231.Liaocheng.Paid in capital &amp; PYA.R1" xfId="1014"/>
    <cellStyle name="@_text_JA_H1-3 Addition list " xfId="1015"/>
    <cellStyle name="好_ZA0货币资金审定表  3 4" xfId="1016"/>
    <cellStyle name="20% - 强调文字颜色 3 2" xfId="1017"/>
    <cellStyle name="@_text_061231.Liaocheng.Paid in capital &amp; PYA.R1_H1-3 Addition list " xfId="1018"/>
    <cellStyle name="常规 2 3 2 10" xfId="1019"/>
    <cellStyle name="@_text_JA_固定资产增加2" xfId="1020"/>
    <cellStyle name="20% - 强调文字颜色 4 2 2 3" xfId="1021"/>
    <cellStyle name="@_text_061231.Liaocheng.Paid in capital &amp; PYA.R1_固定资产增加2" xfId="1022"/>
    <cellStyle name="差_专项应付款 15 3" xfId="1023"/>
    <cellStyle name="差_专项应付款 13 2 3" xfId="1024"/>
    <cellStyle name="@_text_PBC hardclose-Vessel_固定资产增加2 2" xfId="1025"/>
    <cellStyle name="@_text_G2 - Sales.091231.v3 2" xfId="1026"/>
    <cellStyle name="千位分隔 3 3_附注表一（财务报表）" xfId="1027"/>
    <cellStyle name="@_text_061231.Liaocheng.Q.Tax payables_Sheet1" xfId="1028"/>
    <cellStyle name="60% - 輔色1 5" xfId="1029"/>
    <cellStyle name="常规 4 5 2 3 2" xfId="1030"/>
    <cellStyle name="_GJ7 search URL_H1-3 Addition list " xfId="1031"/>
    <cellStyle name="差_无形资产 8 2" xfId="1032"/>
    <cellStyle name="差_其他应付款 2 3" xfId="1033"/>
    <cellStyle name="_A6应收账款_Z4-应收账款" xfId="1034"/>
    <cellStyle name="00 2 9 2" xfId="1035"/>
    <cellStyle name="好_1短期借款 7 2 2" xfId="1036"/>
    <cellStyle name="_公司填表2005-吴_3-2-A1B-银行存款" xfId="1037"/>
    <cellStyle name="SAPBEXexcBad8 4 3" xfId="1038"/>
    <cellStyle name="@_text_061231.Liaocheng.Q.Tax payables_固定资产增加2" xfId="1039"/>
    <cellStyle name="@_text_061231.Pingyin.H1.FA." xfId="1040"/>
    <cellStyle name="好_财务费用 9 2 3" xfId="1041"/>
    <cellStyle name="@_text_061231.Pingyin.H1.FA._H1-3 Addition list " xfId="1042"/>
    <cellStyle name="SAPBEXaggDataEmph 5" xfId="1043"/>
    <cellStyle name="_GD2, GD3 (28 May).cp.(include re-class)_GD3 and GD9 11.8_CW.GD6 G&amp;A expense.0405" xfId="1044"/>
    <cellStyle name="好_1资产减值损失 12 2 3" xfId="1045"/>
    <cellStyle name="@_text_061231.Pingyin.H1.FA._Sheet1" xfId="1046"/>
    <cellStyle name="@_text_PBC hardclose-Shijiazhuang(石化机)new 2" xfId="1047"/>
    <cellStyle name="@_text_2006年4月" xfId="1048"/>
    <cellStyle name="差_资产负债标准底稿 8 2" xfId="1049"/>
    <cellStyle name="60% - 輔色2" xfId="1050"/>
    <cellStyle name="@_text_061231.Pingyin.income tax.Q2_Sheet1" xfId="1051"/>
    <cellStyle name="_2005-12 TB template" xfId="1052"/>
    <cellStyle name="百分比 2 3 2 11" xfId="1053"/>
    <cellStyle name="_FA  CIP opening balance_Sheet1" xfId="1054"/>
    <cellStyle name="常规 11 2 10" xfId="1055"/>
    <cellStyle name="@_text_061231.Pingyin.income tax.Q2_固定资产增加2" xfId="1056"/>
    <cellStyle name="差_资产负债类底稿模版 9_明细表" xfId="1057"/>
    <cellStyle name="@_text_061231.Pingyin.L1.AR" xfId="1058"/>
    <cellStyle name="差_专项应付款_明细表 2" xfId="1059"/>
    <cellStyle name="@_text_091231.FLX.K.Inventory" xfId="1060"/>
    <cellStyle name="_GD2, GD3 (28 May).cp.(include re-class)_31.12 GD3 and GD9 11.8(ss)_CW.GD7 R&amp;D expense.0805 2" xfId="1061"/>
    <cellStyle name="PrePop Units (0) 2" xfId="1062"/>
    <cellStyle name="40% - 强调文字颜色 3 4 2" xfId="1063"/>
    <cellStyle name="@_text_061231.Pingyin.L1.AR_H1-3 Addition list " xfId="1064"/>
    <cellStyle name="好_ZA0货币资金审定表  15" xfId="1065"/>
    <cellStyle name="好_ZA0货币资金审定表  20" xfId="1066"/>
    <cellStyle name="差_黄金项目组审计人员通讯录_明细表 3" xfId="1067"/>
    <cellStyle name="@_text_061231.Pingyin.L1.AR_Sheet1" xfId="1068"/>
    <cellStyle name="0% 4 2 2" xfId="1069"/>
    <cellStyle name="@_text_JA#14_Sheet1 2" xfId="1070"/>
    <cellStyle name="00 2 13" xfId="1071"/>
    <cellStyle name="_RS6000资金流量-2003.10月（更新1017）" xfId="1072"/>
    <cellStyle name="常规 3 3 13 8" xfId="1073"/>
    <cellStyle name="超链接 4 4 2" xfId="1074"/>
    <cellStyle name="_Part III.200406.Loan and Liabilities details.(Site Name) 2" xfId="1075"/>
    <cellStyle name="千位分隔 2 36 5" xfId="1076"/>
    <cellStyle name="好_FM长期应付款 2 2 3" xfId="1077"/>
    <cellStyle name="好_04-06 东营 Appendix4 TBJA.0411.v17" xfId="1078"/>
    <cellStyle name="@_text_061231.Pingyin.L1.AR_固定资产增加2" xfId="1079"/>
    <cellStyle name="好_底稿设置宏 12 2 2" xfId="1080"/>
    <cellStyle name="差_应付职工薪酬 15" xfId="1081"/>
    <cellStyle name="差_应付职工薪酬 20" xfId="1082"/>
    <cellStyle name="_GD ver 1 2" xfId="1083"/>
    <cellStyle name="@_text_PBC hardclose-Vessel_固定资产增加2" xfId="1084"/>
    <cellStyle name="@_text_G2 - Sales.091231.v3" xfId="1085"/>
    <cellStyle name="@_text_新奥集团往来帐0401-10 2" xfId="1086"/>
    <cellStyle name="好_专项应付款 10 3" xfId="1087"/>
    <cellStyle name="@_text_061231.Pingyin.O3-1.Payroll payable.O3-2.Welfare payable" xfId="1088"/>
    <cellStyle name="好_19-无形资产（空白模板） 14_明细表 2" xfId="1089"/>
    <cellStyle name="好_15-固定资产（空白模板） 7 2 3" xfId="1090"/>
    <cellStyle name="00 6 4" xfId="1091"/>
    <cellStyle name="@_text_061231.Pingyin.O3-1.Payroll payable.O3-2.Welfare payable_H1-3 Addition list " xfId="1092"/>
    <cellStyle name="好_公允价值变动损益 8 2" xfId="1093"/>
    <cellStyle name="好_1专项应付款 10 3" xfId="1094"/>
    <cellStyle name="40% - 輔色2 5" xfId="1095"/>
    <cellStyle name="常规 3 2 15 2 2" xfId="1096"/>
    <cellStyle name="常规 3 2 20 2 2" xfId="1097"/>
    <cellStyle name="常规 2 2 5 6" xfId="1098"/>
    <cellStyle name="@_text_061231.Pingyin.O3-1.Payroll payable.O3-2.Welfare payable_Sheet1" xfId="1099"/>
    <cellStyle name="@_text_061231.Pingyin.O3-1.Payroll payable.O3-2.Welfare payable_固定资产增加2" xfId="1100"/>
    <cellStyle name="好_50-营业成本（空白模板） 10 2 4" xfId="1101"/>
    <cellStyle name="Normal - Style1 2 14 3" xfId="1102"/>
    <cellStyle name="常规 5 2 13 2 5" xfId="1103"/>
    <cellStyle name="SAPBEXformats 3" xfId="1104"/>
    <cellStyle name="@_text_PBC hardclose-Enric Gas" xfId="1105"/>
    <cellStyle name="常规 2 2 3 8 3" xfId="1106"/>
    <cellStyle name="公司标准表 2 3" xfId="1107"/>
    <cellStyle name="Percent [2]P 7" xfId="1108"/>
    <cellStyle name="@_text_PBC hardclose-Vessel_H1-3 Addition list  2" xfId="1109"/>
    <cellStyle name="好_55-资产减值损失（空白模板） 11_明细表 4" xfId="1110"/>
    <cellStyle name="@_text_061231.Pingyin.Paid in capital &amp; PYA.R1" xfId="1111"/>
    <cellStyle name="40% - 强调文字颜色 4 7" xfId="1112"/>
    <cellStyle name="@_text_PBC hardclose-Vessel 2" xfId="1113"/>
    <cellStyle name="好_50-营业成本（空白模板） 27" xfId="1114"/>
    <cellStyle name="好_50-营业成本（空白模板） 32" xfId="1115"/>
    <cellStyle name="好_31-预收账款（空白模板） 6 3 2" xfId="1116"/>
    <cellStyle name="好_55-资产减值损失（空白模板）_明细表 2 4" xfId="1117"/>
    <cellStyle name="@_text_PBC hardclose-Enric Gas_H1-3 Addition list " xfId="1118"/>
    <cellStyle name="_25-道里" xfId="1119"/>
    <cellStyle name="好_F4应付账款 2 2" xfId="1120"/>
    <cellStyle name="@_text_061231.Pingyin.Paid in capital &amp; PYA.R1_H1-3 Addition list " xfId="1121"/>
    <cellStyle name="@_text_061231.Pingyin.Paid in capital &amp; PYA.R1_Sheet1" xfId="1122"/>
    <cellStyle name="Normal - Style1 4 3" xfId="1123"/>
    <cellStyle name="好_ZA0货币资金审定表  4 2 2" xfId="1124"/>
    <cellStyle name="@_text_PBC2 hardclose-Shijiazhuang-加气站_H1-3 Addition list " xfId="1125"/>
    <cellStyle name="_Unbilled AR and Billing in excess (new)_Q2-1 EIT recon" xfId="1126"/>
    <cellStyle name="_Fubiao 6_H1-3 Addition list " xfId="1127"/>
    <cellStyle name="常规 6 18" xfId="1128"/>
    <cellStyle name="常规 6 23" xfId="1129"/>
    <cellStyle name="@_text_PBC hardclose-Enric Gas_Sheet1" xfId="1130"/>
    <cellStyle name="常规 3 3 2 2 2 3 2 2" xfId="1131"/>
    <cellStyle name="常规 2 3 2 2 3 2 5" xfId="1132"/>
    <cellStyle name="Normal - Style1 2 2 3" xfId="1133"/>
    <cellStyle name="_long term loan - others 300504_to do list_期末存货_200506.sales com.GI.intercompany_Sheet1" xfId="1134"/>
    <cellStyle name="差_复件 固定资产 13" xfId="1135"/>
    <cellStyle name="_long term loan - others 300504_IFRS recon June 05 v4  _pbc 080630 current liability 2" xfId="1136"/>
    <cellStyle name="好_财务费用 3_明细表 5" xfId="1137"/>
    <cellStyle name="@_text_PBC final-Shijiazhuang-Enric0110_Sheet1 2" xfId="1138"/>
    <cellStyle name="常规 3 10 4" xfId="1139"/>
    <cellStyle name="20 2" xfId="1140"/>
    <cellStyle name="_截止性测试 2" xfId="1141"/>
    <cellStyle name="_Part III.200406.Loan and Liabilities details.(Site Name)_TB CTE FJ 4-2" xfId="1142"/>
    <cellStyle name="差_大信底稿目录 13" xfId="1143"/>
    <cellStyle name="@_text_PBC hardclose-Enric Gas_固定资产增加2" xfId="1144"/>
    <cellStyle name="@_text_sheet_H1-3 Addition list " xfId="1145"/>
    <cellStyle name="@_text_TB-2006 2" xfId="1146"/>
    <cellStyle name="_GD2, GD3 (28 May).cp.(include re-class) 2" xfId="1147"/>
    <cellStyle name="@_text_061231.Pingyin.Paid in capital &amp; PYA.R1_固定资产增加2" xfId="1148"/>
    <cellStyle name="@_text_08年2月存货截至性测试" xfId="1149"/>
    <cellStyle name="@_text_JA#14_固定资产增加2 2" xfId="1150"/>
    <cellStyle name="_Part III.200406.Loan and Liabilities details.(Site Name)_to do list_期末存货_intercompany transaction_Sheet1 2" xfId="1151"/>
    <cellStyle name="好_无形资产 10_明细表 5" xfId="1152"/>
    <cellStyle name="好_ZI存货" xfId="1153"/>
    <cellStyle name="@_text_0910.FLX.L.Receivables" xfId="1154"/>
    <cellStyle name="_Unbilled AR and Billing in excess (new)_Q2-1 EIT recon_Sheet1" xfId="1155"/>
    <cellStyle name="_GD2, GD3 (28 May).cp.(include re-class)_31.12 GD3 and GD9 11.8(ss) 2" xfId="1156"/>
    <cellStyle name="常规 7 2 7" xfId="1157"/>
    <cellStyle name="_13-直属 2" xfId="1158"/>
    <cellStyle name="@_text_PBC final-Shijiazhuang-Enric0110_固定资产增加2 2" xfId="1159"/>
    <cellStyle name="差__dxn_temp空白表页 10 4" xfId="1160"/>
    <cellStyle name="@_text_PBC final-Shijiazhuang-Enric_固定资产增加2" xfId="1161"/>
    <cellStyle name="@_text_091231.FLX.Capital Commitment" xfId="1162"/>
    <cellStyle name="0.00% 2" xfId="1163"/>
    <cellStyle name="@_text_G1.20051231.MCIQ.Sales and AR 2" xfId="1164"/>
    <cellStyle name="@_text_091231.FLX.G1-G3.v1" xfId="1165"/>
    <cellStyle name="常规 182 2 3 3" xfId="1166"/>
    <cellStyle name="Comma1 - Modelo2 2" xfId="1167"/>
    <cellStyle name="@_text_091231.GMWP.L2.control list" xfId="1168"/>
    <cellStyle name="@_text_GJ2-Other payable" xfId="1169"/>
    <cellStyle name="好_底稿设置宏_明细表 2 3" xfId="1170"/>
    <cellStyle name="差_50-营业成本（空白模板） 9 2 2" xfId="1171"/>
    <cellStyle name="Accent5 11 2" xfId="1172"/>
    <cellStyle name="Col Heads 4" xfId="1173"/>
    <cellStyle name="@_text_170407.聊城.Appendix4 TBJA.冲回质量索赔" xfId="1174"/>
    <cellStyle name="@_text_20041231.TSDI.TB JA" xfId="1175"/>
    <cellStyle name="@_text_20041231.TSDI.TB JA_H1-3 Addition list " xfId="1176"/>
    <cellStyle name="好_6-应收利息（空白模板）_明细表_1 2" xfId="1177"/>
    <cellStyle name="@_text_20041231.TSDI.TB JA_Sheet1" xfId="1178"/>
    <cellStyle name="40% - 强调文字颜色 2 2 8" xfId="1179"/>
    <cellStyle name="20% - 强调文字颜色 1 2_Spreadsheet" xfId="1180"/>
    <cellStyle name="差_1应收账款_明细表" xfId="1181"/>
    <cellStyle name="Comma[2] 2 2" xfId="1182"/>
    <cellStyle name="20% - 强调文字颜色 1 2 3" xfId="1183"/>
    <cellStyle name="差_Sheet1 5 3" xfId="1184"/>
    <cellStyle name="60% - 强调文字颜色 5 10" xfId="1185"/>
    <cellStyle name="@_text_PBC2 hardclose-Shijiazhuang-加气站" xfId="1186"/>
    <cellStyle name="差_1应付账款 2 3" xfId="1187"/>
    <cellStyle name="差_50-营业成本（空白模板）_应收账款" xfId="1188"/>
    <cellStyle name="60% - 輔色4 5" xfId="1189"/>
    <cellStyle name="20% - 强调文字颜色 1 2 3 8" xfId="1190"/>
    <cellStyle name="差__dxn_temp空白表页 4 4" xfId="1191"/>
    <cellStyle name="@_text_20041231.TSDI.TB JA_固定资产增加2" xfId="1192"/>
    <cellStyle name="@_text_jnl list_H1-3 Addition list " xfId="1193"/>
    <cellStyle name="好_1实收资本(股本) 2 2" xfId="1194"/>
    <cellStyle name="常规 2 3 2 4" xfId="1195"/>
    <cellStyle name="@_text_FuShe Equipement Company PBC_H1-3 Addition list " xfId="1196"/>
    <cellStyle name="好_27-短期借款(空白模板) 5 3 2" xfId="1197"/>
    <cellStyle name="常规 2 2 2 2 12 2" xfId="1198"/>
    <cellStyle name="_Sheet1_1" xfId="1199"/>
    <cellStyle name="@_text_2004年4月" xfId="1200"/>
    <cellStyle name="_long term loan - others 300504_in-ter-com_200506.sales com.GI.intercompany_Sheet1 2" xfId="1201"/>
    <cellStyle name="差_底稿设置宏 12_明细表" xfId="1202"/>
    <cellStyle name="_31.12 GD3 and GD9 11.8(ss)_CW.GD7 R&amp;D expense.0805 2" xfId="1203"/>
    <cellStyle name="@_text_2004年4月_Sheet1" xfId="1204"/>
    <cellStyle name="@_text_内部交易_Sheet1 2" xfId="1205"/>
    <cellStyle name="好_19-无形资产（空白模板） 10 2 3" xfId="1206"/>
    <cellStyle name="@_text_2005年4月" xfId="1207"/>
    <cellStyle name="@_text_book1" xfId="1208"/>
    <cellStyle name="常规 11 5 2 2" xfId="1209"/>
    <cellStyle name="好_1资产减值损失 13" xfId="1210"/>
    <cellStyle name="@_text_2005年4月_Sheet1" xfId="1211"/>
    <cellStyle name="20% - 强调文字颜色 5 2 2 6" xfId="1212"/>
    <cellStyle name="_会计报表080508" xfId="1213"/>
    <cellStyle name="@_text_Copy of Xinao SJZ PBC 2004 (5-3-05)_固定资产增加2 2" xfId="1214"/>
    <cellStyle name="_Weisheng_GG2" xfId="1215"/>
    <cellStyle name="差_无形资产 11_附注表一（财务报表）" xfId="1216"/>
    <cellStyle name="_CCB.HO.New TB template.CCB PRC IAS Sorting.040223 trial run_051130.Pana-SIMS WPF sections_Sheet1" xfId="1217"/>
    <cellStyle name="常规 3 3 2 2 2_附注表一（财务报表）" xfId="1218"/>
    <cellStyle name="_上海雨润 2" xfId="1219"/>
    <cellStyle name="差_50-营业成本（空白模板） 6" xfId="1220"/>
    <cellStyle name="好_51-营业税金及附加（空白模板） 9 4" xfId="1221"/>
    <cellStyle name="@_text_20061231.pingyin.H2.CIP" xfId="1222"/>
    <cellStyle name="常规 9 6 5" xfId="1223"/>
    <cellStyle name="@_text_2005年4月_固定资产增加2" xfId="1224"/>
    <cellStyle name="@_text_20061231.pingyin.G4.Non-operating profit.G3.Other operating profit" xfId="1225"/>
    <cellStyle name="@_text_20061231.pingyin.G4.Non-operating profit.G3.Other operating profit_H1-3 Addition list " xfId="1226"/>
    <cellStyle name="好_往来款项函证结果汇总表 5" xfId="1227"/>
    <cellStyle name="差_底稿设置宏 15 2" xfId="1228"/>
    <cellStyle name="@_text_Copy of Xinao SJZ PBC 2004 (5-3-05)" xfId="1229"/>
    <cellStyle name="好_应收利息 8_明细表 3" xfId="1230"/>
    <cellStyle name="好_复件 固定资产 6" xfId="1231"/>
    <cellStyle name="00 31" xfId="1232"/>
    <cellStyle name="00 26" xfId="1233"/>
    <cellStyle name="好_30-应付账款（空白模板） 13" xfId="1234"/>
    <cellStyle name="@_text_20061231.pingyin.G4.Non-operating profit.G3.Other operating profit_Sheet1" xfId="1235"/>
    <cellStyle name="@_text_20061231.pingyin.G4.Non-operating profit.G3.Other operating profit_固定资产增加2" xfId="1236"/>
    <cellStyle name="差_30-应付账款（空白模板） 7 2 3" xfId="1237"/>
    <cellStyle name="好_底稿设置宏_大信底稿目录 10 2 5" xfId="1238"/>
    <cellStyle name="_3-2-D13-所得税费用" xfId="1239"/>
    <cellStyle name="Euro 3 3" xfId="1240"/>
    <cellStyle name="@_text_jnl list_固定资产增加2" xfId="1241"/>
    <cellStyle name="0% 8" xfId="1242"/>
    <cellStyle name="好_银行函证结果汇总表_附注表一（财务报表）" xfId="1243"/>
    <cellStyle name="差_预收款项 13 2 5" xfId="1244"/>
    <cellStyle name="好_交易性金融负债 2 2" xfId="1245"/>
    <cellStyle name="_中企华与毕马威评估增减值调整分析-国际贸易_B12.Shenshuo.剥离核对表2000-2003_D01 铁路货车 2001-20040630" xfId="1246"/>
    <cellStyle name="常规 5 2 2 8" xfId="1247"/>
    <cellStyle name="_in-ter-com_intercompany transaction_Sheet1" xfId="1248"/>
    <cellStyle name="@_text_FuShe Equipement Company PBC_固定资产增加2" xfId="1249"/>
    <cellStyle name="@_text_20061231.pingyin.J1.Intangible assets_H1-3 Addition list " xfId="1250"/>
    <cellStyle name="20% - 强调文字颜色 1 2 3 3" xfId="1251"/>
    <cellStyle name="@_text_20061231.pingyin.J1.Intangible assets_Sheet1" xfId="1252"/>
    <cellStyle name="好_1营业收入 11 2" xfId="1253"/>
    <cellStyle name="40% - 强调文字颜色 5 2 7 2" xfId="1254"/>
    <cellStyle name="_Book1_1" xfId="1255"/>
    <cellStyle name="千位分隔 2 65" xfId="1256"/>
    <cellStyle name="好_31-预收账款（空白模板） 10_明细表" xfId="1257"/>
    <cellStyle name="Normal - Style1 6 3 2" xfId="1258"/>
    <cellStyle name="20% - 强调文字颜色 4 2 2 2" xfId="1259"/>
    <cellStyle name="好_营业收入_明细表_1 2" xfId="1260"/>
    <cellStyle name="_071231.Weidamei plant.H102.Fixed assets_H1-3 Addition list  2" xfId="1261"/>
    <cellStyle name="差_1专项应付款 25" xfId="1262"/>
    <cellStyle name="差_1专项应付款 30" xfId="1263"/>
    <cellStyle name="@_text_20061231.pingyin.J1.Intangible assets_固定资产增加2" xfId="1264"/>
    <cellStyle name="常规 3 3 2 2 2 6 2 3" xfId="1265"/>
    <cellStyle name="_中企华与毕马威评估增减值调整分析-国际贸易" xfId="1266"/>
    <cellStyle name="@_text_20061231.pingyin.O6.Other payable_H1-3 Addition list " xfId="1267"/>
    <cellStyle name="Accent5 14" xfId="1268"/>
    <cellStyle name="@_text_20061231.pingyin.O6.Other payable_Sheet1" xfId="1269"/>
    <cellStyle name="常规 33 2" xfId="1270"/>
    <cellStyle name="@_text_OR账龄分析_H1-3 Addition list " xfId="1271"/>
    <cellStyle name="常规 11 3 2 7 2" xfId="1272"/>
    <cellStyle name="千位分隔 2 3 5_附注表一（财务报表）" xfId="1273"/>
    <cellStyle name="_Sheet1_050107.Pana-Sims.GJ section" xfId="1274"/>
    <cellStyle name="差_1专项应付款 5_明细表" xfId="1275"/>
    <cellStyle name="@_text_JA list_H1-3 Addition list  2" xfId="1276"/>
    <cellStyle name="好_底稿设置宏_附注表一（财务报表）" xfId="1277"/>
    <cellStyle name="超链接 3 17 2 2" xfId="1278"/>
    <cellStyle name="超链接 3 22 2 2" xfId="1279"/>
    <cellStyle name="差_短期借款 10_附注表一（财务报表）" xfId="1280"/>
    <cellStyle name="60% - 强调文字颜色 1 4 2 3" xfId="1281"/>
    <cellStyle name="@_text_2006年4月_H1-3 Addition list " xfId="1282"/>
    <cellStyle name="_long term loan - others 300504_05年6.14结算部成本到扎表" xfId="1283"/>
    <cellStyle name="_FA_固定资产增加2" xfId="1284"/>
    <cellStyle name="Euro 14" xfId="1285"/>
    <cellStyle name="@_text_PBC hardclose-Shijiazhuang1_H1-3 Addition list " xfId="1286"/>
    <cellStyle name="Accent3 9 2" xfId="1287"/>
    <cellStyle name="_B13预收账款2005 2" xfId="1288"/>
    <cellStyle name="_050114.HY Bro.Film.GG1.Accounts Receivable_170407.聊城.Appendix4 TBJA.冲回质量索赔 2" xfId="1289"/>
    <cellStyle name="@_text_2006年4月_Sheet1" xfId="1290"/>
    <cellStyle name="好_1专项应付款 10 2 2" xfId="1291"/>
    <cellStyle name="_CCB.HO.New TB template.CCB PRC IAS Sorting.040223 trial run_051130.Pana-SIMS.O section.VX_固定资产增加2_Sheet1 2" xfId="1292"/>
    <cellStyle name="@_text_2006年4月_固定资产增加2" xfId="1293"/>
    <cellStyle name="_041031.Pana-SIMS.GG4 2" xfId="1294"/>
    <cellStyle name="超链接 3 10 2 4" xfId="1295"/>
    <cellStyle name="@_text_2009年3月31日资产负债表" xfId="1296"/>
    <cellStyle name="40% - 强调文字颜色 5 2 5" xfId="1297"/>
    <cellStyle name="@_text_PBC hardclose-Vessel_Sheet1 2" xfId="1298"/>
    <cellStyle name="@_text_2009年6月30日利润表" xfId="1299"/>
    <cellStyle name="好_19-无形资产（空白模板） 2 6" xfId="1300"/>
    <cellStyle name="_30-开发区 2" xfId="1301"/>
    <cellStyle name="60% - 强调文字颜色 3 4 2 2" xfId="1302"/>
    <cellStyle name="@_text_销售费用 2" xfId="1303"/>
    <cellStyle name="@_text_2009年6月30日资产负债表" xfId="1304"/>
    <cellStyle name="@_text_Confirmation control log_固定资产增加2" xfId="1305"/>
    <cellStyle name="差_无形资产 17 3" xfId="1306"/>
    <cellStyle name="20% - 强调文字颜色 3 2 3 8" xfId="1307"/>
    <cellStyle name="_桂林一季度鲜销1_Sheet1 2" xfId="1308"/>
    <cellStyle name="@_text_300604.Xinao.Anhui.GJ-Other creditors" xfId="1309"/>
    <cellStyle name="_to do list_期末存货_05成本到扎表1(1).9-结算部_Sheet1" xfId="1310"/>
    <cellStyle name="差_1短期借款 7_明细表" xfId="1311"/>
    <cellStyle name="_A23无形资产 3" xfId="1312"/>
    <cellStyle name="@_text_300604.Xinao.Anhui.GJ-Other creditors_H1-3 Addition list " xfId="1313"/>
    <cellStyle name="常规 13 2 3" xfId="1314"/>
    <cellStyle name="40% - 强调文字颜色 5 2 4" xfId="1315"/>
    <cellStyle name="@_text_300604.Xinao.Anhui.GJ-Other creditors_Sheet1" xfId="1316"/>
    <cellStyle name="差_无形资产 16 2 2" xfId="1317"/>
    <cellStyle name="Normal 10_Spreadsheet" xfId="1318"/>
    <cellStyle name="_Part III.200406.Loan and Liabilities details.(Site Name)_to do list_期末存货_05成本到扎表1(1).9-结算部_Sheet1" xfId="1319"/>
    <cellStyle name="@_text_31.03.03&amp;04 Xinao SHJ GL2.Xinao SHJ.GL2.Surplus reserve and capital surplus_Sheet1" xfId="1320"/>
    <cellStyle name="差_预收款项 19" xfId="1321"/>
    <cellStyle name="差_预收款项 24" xfId="1322"/>
    <cellStyle name="@_text_31.03.03&amp;04.Xinao SJZ.GA3-other operating profit" xfId="1323"/>
    <cellStyle name="@_text_31.03.03&amp;04.Xinao SJZ.GA3-other operating profit_Sheet1" xfId="1324"/>
    <cellStyle name="差_1-销售与收款循环 2 2" xfId="1325"/>
    <cellStyle name="标题 2 2 10" xfId="1326"/>
    <cellStyle name="_2005年盈利预测工作表1" xfId="1327"/>
    <cellStyle name="_桂林" xfId="1328"/>
    <cellStyle name="好_专项应付款 13 2 4" xfId="1329"/>
    <cellStyle name="@_text_AP" xfId="1330"/>
    <cellStyle name="差_预收款项 6 4" xfId="1331"/>
    <cellStyle name="00 2 6" xfId="1332"/>
    <cellStyle name="差_G-应收账款 6_明细表" xfId="1333"/>
    <cellStyle name="@_text_AP_H1-3 Addition list " xfId="1334"/>
    <cellStyle name="_公司填表-2005李志刚" xfId="1335"/>
    <cellStyle name="Percent [0]" xfId="1336"/>
    <cellStyle name="好_19-无形资产（空白模板） 10_明细表 5" xfId="1337"/>
    <cellStyle name="@_text_JA list_170407.聊城.Appendix4 TBJA.冲回质量索赔" xfId="1338"/>
    <cellStyle name="@_text_平阴pbc_固定资产增加2" xfId="1339"/>
    <cellStyle name="差_管理费用 4" xfId="1340"/>
    <cellStyle name="_long term loan - others 300504_FA  CIP opening balance 2" xfId="1341"/>
    <cellStyle name="_2005年盈利预测工作表28.03.05111_Sheet1" xfId="1342"/>
    <cellStyle name="好_营业收入 4 2 5" xfId="1343"/>
    <cellStyle name="@_text_G1.20051231.MCIQ.Sales and AR_固定资产增加2" xfId="1344"/>
    <cellStyle name="_桂林_Sheet1" xfId="1345"/>
    <cellStyle name="好__dxn_temp空白表页 7 4" xfId="1346"/>
    <cellStyle name="常规 3 5 6 2 5" xfId="1347"/>
    <cellStyle name="_2005年盈利预测工作表1_Sheet1" xfId="1348"/>
    <cellStyle name="@_text_PBC-Xinao SJZ-2003-3-31 (2)_固定资产增加2 2" xfId="1349"/>
    <cellStyle name="@_text_AP_Sheet1" xfId="1350"/>
    <cellStyle name="@_text_AP_固定资产增加2" xfId="1351"/>
    <cellStyle name="@_text_book1_Sheet1" xfId="1352"/>
    <cellStyle name="@_text_book1_固定资产增加2" xfId="1353"/>
    <cellStyle name="Accent3 - 40% 5" xfId="1354"/>
    <cellStyle name="@_text_book2_H1-3 Addition list " xfId="1355"/>
    <cellStyle name="_3-2-A4-应收账款" xfId="1356"/>
    <cellStyle name="@_text_book2_固定资产增加2" xfId="1357"/>
    <cellStyle name="entry box 4 2" xfId="1358"/>
    <cellStyle name="40% - 强调文字颜色 5 3 2" xfId="1359"/>
    <cellStyle name="@_text_Book3" xfId="1360"/>
    <cellStyle name="常规 11 5 2 4" xfId="1361"/>
    <cellStyle name="好_1资产减值损失 15" xfId="1362"/>
    <cellStyle name="好_1资产减值损失 20" xfId="1363"/>
    <cellStyle name="好_财务费用 3 3" xfId="1364"/>
    <cellStyle name="_Part III.200406.Loan and Liabilities details.(Site Name)_in-ter-com_intercompany transaction 2" xfId="1365"/>
    <cellStyle name="@_text_O Payable Oct 2009.v5" xfId="1366"/>
    <cellStyle name="_Sheet2_毕马威审计2006年主表（味达美工厂" xfId="1367"/>
    <cellStyle name="@_text_Book3_Consol wp.v2xls" xfId="1368"/>
    <cellStyle name="Normal - Style1 4 2" xfId="1369"/>
    <cellStyle name="@_text_DZ G8 to G9 - 091031" xfId="1370"/>
    <cellStyle name="常规 2 4 9" xfId="1371"/>
    <cellStyle name="@_text_PBC control list_H1-3 Addition list  2" xfId="1372"/>
    <cellStyle name="@_text_PBC control list 2" xfId="1373"/>
    <cellStyle name="好_31-预收账款（空白模板） 2 2 2 2" xfId="1374"/>
    <cellStyle name="@_text_Confirmation control log" xfId="1375"/>
    <cellStyle name="常规 87" xfId="1376"/>
    <cellStyle name="常规 92" xfId="1377"/>
    <cellStyle name="_intercom tran 2" xfId="1378"/>
    <cellStyle name="_071231.阿尔若维根斯.应付工资.v1 4" xfId="1379"/>
    <cellStyle name="title 3 2" xfId="1380"/>
    <cellStyle name="@_text_Confirmation control log_H1-3 Addition list " xfId="1381"/>
    <cellStyle name="好_1货币资金 2 2 2" xfId="1382"/>
    <cellStyle name="超链接 3 2 3" xfId="1383"/>
    <cellStyle name="差_底稿设置宏 5 2 5" xfId="1384"/>
    <cellStyle name="40% - Accent4" xfId="1385"/>
    <cellStyle name="Normal - Style1" xfId="1386"/>
    <cellStyle name="_GJ5 Other taxes payable_固定资产增加2" xfId="1387"/>
    <cellStyle name="@_text_Confirmation control log_Sheet1" xfId="1388"/>
    <cellStyle name="00 4 3" xfId="1389"/>
    <cellStyle name="常规 3 3 6 2 5" xfId="1390"/>
    <cellStyle name="@_text_Consol wp.nick" xfId="1391"/>
    <cellStyle name="好_固定资产 3 2 2" xfId="1392"/>
    <cellStyle name="好_1预收款项 8 2 2" xfId="1393"/>
    <cellStyle name="60% - 强调文字颜色 1 5 3" xfId="1394"/>
    <cellStyle name="好_40-专项应付款(空白模板) 3 4" xfId="1395"/>
    <cellStyle name="@_text_Copy of 311204.intercompany wp v13" xfId="1396"/>
    <cellStyle name="0% 10" xfId="1397"/>
    <cellStyle name="百分比 11" xfId="1398"/>
    <cellStyle name="@_text_Copy of 311204.intercompany wp v13_H1-3 Addition list " xfId="1399"/>
    <cellStyle name="@_text_Copy of 311204.intercompany wp v13_Sheet1" xfId="1400"/>
    <cellStyle name="_07.FJCTE.ReportingPackage.050930 revised by CZ" xfId="1401"/>
    <cellStyle name="@_text_Copy of 311204.intercompany wp v13_Sheet1 2" xfId="1402"/>
    <cellStyle name="好_1营业收入 6 2 5" xfId="1403"/>
    <cellStyle name="差_1固定资产 10 2" xfId="1404"/>
    <cellStyle name="_WSI consolidated sheet.081231 090203 MCMW_Consol wp.v2xls" xfId="1405"/>
    <cellStyle name="_long term loan - others 300504_FA  CIP opening balance_Sheet1" xfId="1406"/>
    <cellStyle name="_分户经营表合并 2" xfId="1407"/>
    <cellStyle name="@_text_O2 advance from customer_H1-3 Addition list " xfId="1408"/>
    <cellStyle name="常规 9 4 2 2 3 4" xfId="1409"/>
    <cellStyle name="@_text_Copy of 311204.intercompany wp v13_固定资产增加2" xfId="1410"/>
    <cellStyle name="差__dxn_temp空白表页_明细表" xfId="1411"/>
    <cellStyle name="20% - 强调文字颜色 4 10" xfId="1412"/>
    <cellStyle name="_WSI consolidated sheet.081231 090203 MCMW_Consol wp.v2xls 2" xfId="1413"/>
    <cellStyle name="_long term loan - others 300504_FA  CIP opening balance_Sheet1 2" xfId="1414"/>
    <cellStyle name="Input Cells 3" xfId="1415"/>
    <cellStyle name="_G1利润表" xfId="1416"/>
    <cellStyle name="好_1应付账款 5" xfId="1417"/>
    <cellStyle name="@_text_O2 advance from customer_H1-3 Addition list  2" xfId="1418"/>
    <cellStyle name="好_大信底稿目录 5_明细表 3" xfId="1419"/>
    <cellStyle name="0,0_x000d__x000a_NA_x000d__x000a_ 3 6" xfId="1420"/>
    <cellStyle name="@_text_Copy of 311204.intercompany wp v13_固定资产增加2 2" xfId="1421"/>
    <cellStyle name="00 2 14 2" xfId="1422"/>
    <cellStyle name="好_底稿设置宏 5 2 3" xfId="1423"/>
    <cellStyle name="好_大信底稿目录 2_附注表一（财务报表）" xfId="1424"/>
    <cellStyle name="好_55-资产减值损失（空白模板） 14_明细表" xfId="1425"/>
    <cellStyle name="@_text_Copy of F(1-9)_20050119_CECL per CC" xfId="1426"/>
    <cellStyle name="好__dxn_temp空白表页 10 2 2" xfId="1427"/>
    <cellStyle name="差_应收账款 4" xfId="1428"/>
    <cellStyle name="0% 7 3" xfId="1429"/>
    <cellStyle name="@_text_jnl list" xfId="1430"/>
    <cellStyle name="好_50-营业成本（空白模板）_明细表_1 3" xfId="1431"/>
    <cellStyle name="_GJ1 Creditors - lead_固定资产增加2 2" xfId="1432"/>
    <cellStyle name="0,0_x000d__x000a_NA_x000d__x000a_ 7 3" xfId="1433"/>
    <cellStyle name="60% - Accent5 2 2" xfId="1434"/>
    <cellStyle name="_Part II - Consol Journal supplementary Schedule (Holding)(1.28)v7_pbc 080630 current liability_Sheet1 2" xfId="1435"/>
    <cellStyle name="@_text_FuShe Equipement Company PBC" xfId="1436"/>
    <cellStyle name="好_55-资产减值损失（空白模板） 14_明细表 2" xfId="1437"/>
    <cellStyle name="@_text_Copy of F(1-9)_20050119_CECL per CC 2" xfId="1438"/>
    <cellStyle name="60% - 强调文字颜色 1 9 3" xfId="1439"/>
    <cellStyle name="@_text_Journal List" xfId="1440"/>
    <cellStyle name="@_text_Copy of F(1-9)_20050119_CECL per CC_Sheet1" xfId="1441"/>
    <cellStyle name="40% - 强调文字颜色 6 2 7" xfId="1442"/>
    <cellStyle name="20% - 强调文字颜色 5 2 2" xfId="1443"/>
    <cellStyle name="常规_55-资产减值损失（空白模板） 2" xfId="1444"/>
    <cellStyle name="@_text_PBC hardclose-Shijiazhuang(石化机)new_Sheet1" xfId="1445"/>
    <cellStyle name="@_text_Copy of Xinao SJZ PBC 2004 (5-3-05)_H1-3 Addition list  2" xfId="1446"/>
    <cellStyle name="@_text_JA list_Sheet1 2" xfId="1447"/>
    <cellStyle name="_07.FJCTE.ReportingPackage.050930 revised.141006 2" xfId="1448"/>
    <cellStyle name="SAPBEXHLevel3 4 3" xfId="1449"/>
    <cellStyle name="@_text_Copy of Xinao SJZ PBC 2004 (5-3-05)_Sheet1" xfId="1450"/>
    <cellStyle name="0% 4 2" xfId="1451"/>
    <cellStyle name="@_text_JA#14_Sheet1" xfId="1452"/>
    <cellStyle name="@_text_Copy of Xinao SJZ PBC 2004 (5-3-05)_Sheet1 2" xfId="1453"/>
    <cellStyle name="0% 5 2" xfId="1454"/>
    <cellStyle name="差_30-应付账款（空白模板） 12" xfId="1455"/>
    <cellStyle name="style 3" xfId="1456"/>
    <cellStyle name="@_text_DZH.TOC outstanding.v3" xfId="1457"/>
    <cellStyle name="常规 5 14 2 4" xfId="1458"/>
    <cellStyle name="常规 4 6 4 2" xfId="1459"/>
    <cellStyle name="差_19-无形资产（空白模板） 25" xfId="1460"/>
    <cellStyle name="差_19-无形资产（空白模板） 30" xfId="1461"/>
    <cellStyle name="常规 2 27 2 3" xfId="1462"/>
    <cellStyle name="差_资产负债标准底稿 13 2 4" xfId="1463"/>
    <cellStyle name="差_1其他应收款 4 2" xfId="1464"/>
    <cellStyle name="_GDCTE.ReportingPackage.060630.104." xfId="1465"/>
    <cellStyle name="差_40-专项应付款(空白模板) 6 2" xfId="1466"/>
    <cellStyle name="@_text_其他应收、应付账龄_固定资产增加2 2" xfId="1467"/>
    <cellStyle name="@_text_fg00-1天津" xfId="1468"/>
    <cellStyle name="好_1短期借款 27" xfId="1469"/>
    <cellStyle name="好_1短期借款 32" xfId="1470"/>
    <cellStyle name="_ZJYE9802_050114.HY Bro.Film.GG1.Accounts Receivable" xfId="1471"/>
    <cellStyle name="好_底稿设置宏 4_明细表 5" xfId="1472"/>
    <cellStyle name="@_text_山水审计报表" xfId="1473"/>
    <cellStyle name="差_预收款项 18" xfId="1474"/>
    <cellStyle name="差_预收款项 23" xfId="1475"/>
    <cellStyle name="60% - 强调文字颜色 5 2 12" xfId="1476"/>
    <cellStyle name="@_text_fg00-2秦皇岛" xfId="1477"/>
    <cellStyle name="差_51-营业税金及附加（空白模板） 9 4" xfId="1478"/>
    <cellStyle name="@_text_fg00-3办事处" xfId="1479"/>
    <cellStyle name="差_10存货 2 2 2" xfId="1480"/>
    <cellStyle name="_consolidation sales &amp; cost-upda_Q2-1 EIT recon_Sheet1 2" xfId="1481"/>
    <cellStyle name="差_1营业收入_明细表" xfId="1482"/>
    <cellStyle name="好_银行函证结果汇总表_明细表_1 3" xfId="1483"/>
    <cellStyle name="@_text_H01v12 2" xfId="1484"/>
    <cellStyle name="常规 3 2 2 2 2 2 6" xfId="1485"/>
    <cellStyle name="20% - 强调文字颜色 5 2 2 5" xfId="1486"/>
    <cellStyle name="{Percent} 2" xfId="1487"/>
    <cellStyle name="_O9. Accruals.20091031 2" xfId="1488"/>
    <cellStyle name="好_预收款项 7 2 5" xfId="1489"/>
    <cellStyle name="好_专项应付款 7 2 4" xfId="1490"/>
    <cellStyle name="_1204 Shenjifubiao--C01 v2" xfId="1491"/>
    <cellStyle name="@_text_fg00-4精煤" xfId="1492"/>
    <cellStyle name="好_27-短期借款(空白模板) 8_附注表一（财务报表）" xfId="1493"/>
    <cellStyle name="好_G-应收账款 2 2 5" xfId="1494"/>
    <cellStyle name="好_4-应收账款（空白模板） 3 2" xfId="1495"/>
    <cellStyle name="@_text_O2 advance from customer" xfId="1496"/>
    <cellStyle name="常规 3 5 2 6_附注表一（财务报表）" xfId="1497"/>
    <cellStyle name="SAPBEXundefined 4 3" xfId="1498"/>
    <cellStyle name="60% - Accent4 2" xfId="1499"/>
    <cellStyle name="SAPBEXexcCritical5 3 2" xfId="1500"/>
    <cellStyle name="{Month} 2" xfId="1501"/>
    <cellStyle name="@_text_fg00-5结算" xfId="1502"/>
    <cellStyle name="解释性文本 2 2 11" xfId="1503"/>
    <cellStyle name="@_text_fg00-6实验室" xfId="1504"/>
    <cellStyle name="@_text_FuShe Equipement Company PBC 2" xfId="1505"/>
    <cellStyle name="差_1应收账款_明细表 2" xfId="1506"/>
    <cellStyle name="20% - 强调文字颜色 1 2 3 2" xfId="1507"/>
    <cellStyle name="@_text_PBC2 hardclose-Shijiazhuang-加气站 2" xfId="1508"/>
    <cellStyle name="差_无形资产 16 4" xfId="1509"/>
    <cellStyle name="20% - 强调文字颜色 3 2 2 9" xfId="1510"/>
    <cellStyle name="好_49-营业收入（空白模板）_明细表 2 4" xfId="1511"/>
    <cellStyle name="常规 9 4 5 3" xfId="1512"/>
    <cellStyle name="常规 2 3 2 4 2" xfId="1513"/>
    <cellStyle name="SAPBEXaggData 5" xfId="1514"/>
    <cellStyle name="@_text_FuShe Equipement Company PBC_H1-3 Addition list  2" xfId="1515"/>
    <cellStyle name="好_40-专项应付款(空白模板) 15_明细表" xfId="1516"/>
    <cellStyle name="差_无形资产 6 4" xfId="1517"/>
    <cellStyle name="@_text_jnl list_Sheet1" xfId="1518"/>
    <cellStyle name="@_text_FuShe Equipement Company PBC_Sheet1" xfId="1519"/>
    <cellStyle name="差_1专项应付款 6 4" xfId="1520"/>
    <cellStyle name="差_大信底稿目录 10 2 3" xfId="1521"/>
    <cellStyle name="@_text_PBC control list_Sheet1" xfId="1522"/>
    <cellStyle name="好_40-专项应付款(空白模板) 15_明细表 2" xfId="1523"/>
    <cellStyle name="差_固定资产_明细表 3" xfId="1524"/>
    <cellStyle name="_ZJYE9802_Q2-1 EIT recon_Sheet1" xfId="1525"/>
    <cellStyle name="好_无形资产 7_明细表 3" xfId="1526"/>
    <cellStyle name="好_1递延所得税资产 3 2" xfId="1527"/>
    <cellStyle name="@_text_Movement" xfId="1528"/>
    <cellStyle name="_Part III JA List and Profit Recon.Zhungeer.050630.v2" xfId="1529"/>
    <cellStyle name="@_text_FuShe Equipement Company PBC_Sheet1 2" xfId="1530"/>
    <cellStyle name="_jnl list.东营_pbc 080630 current liability 2" xfId="1531"/>
    <cellStyle name="差_1投资收益 2 2" xfId="1532"/>
    <cellStyle name="@_text_G1.20051231.MCIQ.Sales and AR_H1-3 Addition list " xfId="1533"/>
    <cellStyle name="@_text_GJ2-Other payable 2" xfId="1534"/>
    <cellStyle name="20% - 强调文字颜色 1 5" xfId="1535"/>
    <cellStyle name="好_1资产减值损失 15_明细表 3" xfId="1536"/>
    <cellStyle name="差_Sheet1 8" xfId="1537"/>
    <cellStyle name="@_text_GJ2-Other payable_H1-3 Addition list " xfId="1538"/>
    <cellStyle name="revised 3" xfId="1539"/>
    <cellStyle name="千位分隔[0] 2 3 2 4" xfId="1540"/>
    <cellStyle name="20% - 强调文字颜色 1 5 2" xfId="1541"/>
    <cellStyle name="差_Sheet1 8 2" xfId="1542"/>
    <cellStyle name="@_text_GJ2-Other payable_H1-3 Addition list  2" xfId="1543"/>
    <cellStyle name="60% - 强调文字颜色 5 2 3 5" xfId="1544"/>
    <cellStyle name="_GD2, GD3 (28 May).cp.(include re-class)_GD3 and GD9 11.8_1 2" xfId="1545"/>
    <cellStyle name="超链接 3 7 2" xfId="1546"/>
    <cellStyle name="@_text_销售费用_固定资产增加2" xfId="1547"/>
    <cellStyle name="常规 4 17_附注表一（财务报表）" xfId="1548"/>
    <cellStyle name="常规 4 22_附注表一（财务报表）" xfId="1549"/>
    <cellStyle name="@_text_GJ2-Other payable_Sheet1" xfId="1550"/>
    <cellStyle name="好 4 4" xfId="1551"/>
    <cellStyle name="常规 7 6 2 2" xfId="1552"/>
    <cellStyle name="@_text_GJ2-Other payable_固定资产增加2" xfId="1553"/>
    <cellStyle name="@_text_GJ2-Other payable_固定资产增加2 2" xfId="1554"/>
    <cellStyle name="常规 2 3 2 2 8 2 5" xfId="1555"/>
    <cellStyle name="_安徽福润02-04年鲜销表_Sheet1 2" xfId="1556"/>
    <cellStyle name="SAPBEXresDataEmph 4 3" xfId="1557"/>
    <cellStyle name="@_text_PBC final-Shijiazhuang-Enric0110" xfId="1558"/>
    <cellStyle name="@_text_H1-3 Addition list " xfId="1559"/>
    <cellStyle name="常规 2 3 2 2 6 2 3" xfId="1560"/>
    <cellStyle name="_071231.Weidamei plant.H102.Fixed assets_Sheet1 2" xfId="1561"/>
    <cellStyle name="超链接 2 8 2 4" xfId="1562"/>
    <cellStyle name="@_text_JA 2" xfId="1563"/>
    <cellStyle name="60% - 强调文字颜色 1 2 6" xfId="1564"/>
    <cellStyle name="好_ZU固定资产" xfId="1565"/>
    <cellStyle name="@_text_Pingyin管理费用AZ_固定资产增加2" xfId="1566"/>
    <cellStyle name="@_text_JA list" xfId="1567"/>
    <cellStyle name="20% - 强调文字颜色 3 5" xfId="1568"/>
    <cellStyle name="@_text_JA list_170407.聊城.Appendix4 TBJA.冲回质量索赔_H1-3 Addition list " xfId="1569"/>
    <cellStyle name="常规 3 3 16_附注表一（财务报表）" xfId="1570"/>
    <cellStyle name="@_text_PBC hardclose-Shijiazhuang1 2" xfId="1571"/>
    <cellStyle name="常规 2 3 2 2 5 2 2" xfId="1572"/>
    <cellStyle name="Normal 3 4 2" xfId="1573"/>
    <cellStyle name="差_55-资产减值损失（空白模板） 9 3" xfId="1574"/>
    <cellStyle name="Comma[0] 5" xfId="1575"/>
    <cellStyle name="_in-ter-com_200506.sales com.GI.intercompany 2" xfId="1576"/>
    <cellStyle name="_D1主营业务收入" xfId="1577"/>
    <cellStyle name="好_长期应收款 2 2" xfId="1578"/>
    <cellStyle name="常规 5 19 3" xfId="1579"/>
    <cellStyle name="好_6-应收利息（空白模板） 2 3" xfId="1580"/>
    <cellStyle name="@_text_JA list_170407.聊城.Appendix4 TBJA.冲回质量索赔_Sheet1" xfId="1581"/>
    <cellStyle name="@_text_JA list_170407.聊城.Appendix4 TBJA.冲回质量索赔_固定资产增加2" xfId="1582"/>
    <cellStyle name="好__dxn_temp空白表页 13_附注表一（财务报表）" xfId="1583"/>
    <cellStyle name="@_text_JA list_H1-3 Addition list " xfId="1584"/>
    <cellStyle name="好_55-资产减值损失（空白模板） 15" xfId="1585"/>
    <cellStyle name="好_55-资产减值损失（空白模板） 20" xfId="1586"/>
    <cellStyle name="00 2 3 11" xfId="1587"/>
    <cellStyle name="差_30-应付账款（空白模板） 2 4" xfId="1588"/>
    <cellStyle name="差_4-应收账款（空白模板） 8 3" xfId="1589"/>
    <cellStyle name="Percent [2] 2 2" xfId="1590"/>
    <cellStyle name="_管理费用" xfId="1591"/>
    <cellStyle name="常规 3 3 2 2 9 8" xfId="1592"/>
    <cellStyle name="@_text_JA list_Sheet1" xfId="1593"/>
    <cellStyle name="@_text_JA list_固定资产增加2" xfId="1594"/>
    <cellStyle name="好_应收账款 6" xfId="1595"/>
    <cellStyle name="好_ZQ工程物资 4" xfId="1596"/>
    <cellStyle name="好_ZD应收账款" xfId="1597"/>
    <cellStyle name="差_45-股本（实收资本）（空白模板） 3" xfId="1598"/>
    <cellStyle name="常规 3 3 2 2 11 3 5" xfId="1599"/>
    <cellStyle name="@_text_Journal List 2" xfId="1600"/>
    <cellStyle name="好_无形资产 2 2 5" xfId="1601"/>
    <cellStyle name="差_53-管理费用（空白模板） 2 2" xfId="1602"/>
    <cellStyle name="Comma  - Style1 2" xfId="1603"/>
    <cellStyle name="20% - 强调文字颜色 2 2 9" xfId="1604"/>
    <cellStyle name="_D3主营业务税金及附加 4" xfId="1605"/>
    <cellStyle name="@_text_JA list_固定资产增加2 2" xfId="1606"/>
    <cellStyle name="好_应收账款 6 2" xfId="1607"/>
    <cellStyle name="好_底稿设置宏_大信底稿目录 9" xfId="1608"/>
    <cellStyle name="好_ZQ工程物资 4 2" xfId="1609"/>
    <cellStyle name="好_ZD应收账款 2" xfId="1610"/>
    <cellStyle name="差_45-股本（实收资本）（空白模板） 3 2" xfId="1611"/>
    <cellStyle name="_Part III.200406.Loan and Liabilities details.(Site Name)_to do list_20051231.sales com.GI1.intercompany_Sheet1" xfId="1612"/>
    <cellStyle name="常规 2 2 2 2 2 2 15" xfId="1613"/>
    <cellStyle name="差_19-无形资产（空白模板） 10" xfId="1614"/>
    <cellStyle name="@_text_JA#14" xfId="1615"/>
    <cellStyle name="@_text_JA#14_H1-3 Addition list  2" xfId="1616"/>
    <cellStyle name="常规 6 3 3 4" xfId="1617"/>
    <cellStyle name="常规 49 3" xfId="1618"/>
    <cellStyle name="常规 5 3 4" xfId="1619"/>
    <cellStyle name="40% - 强调文字颜色 6 3 2 2" xfId="1620"/>
    <cellStyle name="@_text_PBC final-Shijiazhuang-Enric 2" xfId="1621"/>
    <cellStyle name="@_text_副本PBC hardclose-Shijiazhuang_H1-3 Addition list  2" xfId="1622"/>
    <cellStyle name="@_text_JA#14_固定资产增加2" xfId="1623"/>
    <cellStyle name="好_51-营业税金及附加（空白模板） 9_明细表 5" xfId="1624"/>
    <cellStyle name="好__dxn_temp空白表页 17 2 4" xfId="1625"/>
    <cellStyle name="@_text_JA_H1-3 Addition list  2" xfId="1626"/>
    <cellStyle name="_Top-LG_Top-LG huizhou 2009-PIM information" xfId="1627"/>
    <cellStyle name="常规 3 10" xfId="1628"/>
    <cellStyle name="百分比 2 9 3 2" xfId="1629"/>
    <cellStyle name="_14 June 2005 Special Audit-company level-v2 2" xfId="1630"/>
    <cellStyle name="好_银行函证结果汇总表 13_明细表 4" xfId="1631"/>
    <cellStyle name="常规 2 2 11 2" xfId="1632"/>
    <cellStyle name="好_固定资产 2_明细表" xfId="1633"/>
    <cellStyle name="好_1预收款项 7_明细表" xfId="1634"/>
    <cellStyle name="差_财务费用 3" xfId="1635"/>
    <cellStyle name="@_text_L.Receivables.091231.v5_0912.NH.L.Receivables.from Kevin" xfId="1636"/>
    <cellStyle name="常规 2 2 11 2 2" xfId="1637"/>
    <cellStyle name="好_固定资产 2_明细表 2" xfId="1638"/>
    <cellStyle name="好_1预收款项 7_明细表 2" xfId="1639"/>
    <cellStyle name="差_财务费用 3 2" xfId="1640"/>
    <cellStyle name="@_text_L.Receivables.091231.v5_0912.NH.L.Receivables.from Kevin 2" xfId="1641"/>
    <cellStyle name="Normal 2 3" xfId="1642"/>
    <cellStyle name="差_无形资产 17 5" xfId="1643"/>
    <cellStyle name="@_text_list" xfId="1644"/>
    <cellStyle name="_TB CTE FJ 16.v1" xfId="1645"/>
    <cellStyle name="_Part VI - Supp Schedule P&amp;L Item (Site Name) 2" xfId="1646"/>
    <cellStyle name="Comma [0] 4" xfId="1647"/>
    <cellStyle name="好_专项应付款 14 2 4" xfId="1648"/>
    <cellStyle name="@_text_list_固定资产增加2" xfId="1649"/>
    <cellStyle name="@_text_LJA-by client_H1-3 Addition list " xfId="1650"/>
    <cellStyle name="Euro 28" xfId="1651"/>
    <cellStyle name="Euro 33" xfId="1652"/>
    <cellStyle name="60% - 强调文字颜色 1 2 10" xfId="1653"/>
    <cellStyle name="20% - 强调文字颜色 6 4 2" xfId="1654"/>
    <cellStyle name="0% 2 6" xfId="1655"/>
    <cellStyle name="好_50-营业成本（空白模板） 11 2 5" xfId="1656"/>
    <cellStyle name="_D12所得税2005 4" xfId="1657"/>
    <cellStyle name="常规 7 2 3 2" xfId="1658"/>
    <cellStyle name="@_text_LJA-by client_Sheet1" xfId="1659"/>
    <cellStyle name="@_text_LJA-by client_固定资产增加2" xfId="1660"/>
    <cellStyle name="差_40-专项应付款(空白模板) 2 5" xfId="1661"/>
    <cellStyle name="常规 9 4 2 2 2 4 2" xfId="1662"/>
    <cellStyle name="SAPBEXexcBad9 4 2" xfId="1663"/>
    <cellStyle name="Accent5 - 40% 2 2" xfId="1664"/>
    <cellStyle name="_long term loan - others 300504_to do list_期末存货_20051231.sales com.GI1.intercompany_Sheet1" xfId="1665"/>
    <cellStyle name="@_text_LJA-by client_固定资产增加2 2" xfId="1666"/>
    <cellStyle name="SAPBEXHLevel3X 4" xfId="1667"/>
    <cellStyle name="Comma [0] 9" xfId="1668"/>
    <cellStyle name="_毕马威审计2007年主表（味达美工厂）" xfId="1669"/>
    <cellStyle name="_SUAD Mar-CIP-Pre_Sheet1" xfId="1670"/>
    <cellStyle name="差_1其他流动资产" xfId="1671"/>
    <cellStyle name="@_text_副本PBC hardclose-Shijiazhuang" xfId="1672"/>
    <cellStyle name="@_text_Movement_H1-3 Addition list " xfId="1673"/>
    <cellStyle name="@_text_Movement_固定资产增加2" xfId="1674"/>
    <cellStyle name="@_text_O2 advance from customer_Sheet1 2" xfId="1675"/>
    <cellStyle name="超链接 3 2 3 2" xfId="1676"/>
    <cellStyle name="40% - Accent4 2" xfId="1677"/>
    <cellStyle name="Normal - Style1 2" xfId="1678"/>
    <cellStyle name="_GJ5 Other taxes payable_固定资产增加2 2" xfId="1679"/>
    <cellStyle name="差_60-所得税费用（空白模板） 8" xfId="1680"/>
    <cellStyle name="@_text_O2 advance from customer_固定资产增加2" xfId="1681"/>
    <cellStyle name="好_无形资产 4 2 5" xfId="1682"/>
    <cellStyle name="20% - 强调文字颜色 4 2 9" xfId="1683"/>
    <cellStyle name="常规 2 2 7 6 3" xfId="1684"/>
    <cellStyle name="差_专项应付款 27" xfId="1685"/>
    <cellStyle name="差_专项应付款 32" xfId="1686"/>
    <cellStyle name="差_预收款项 7 3" xfId="1687"/>
    <cellStyle name="00 3 5" xfId="1688"/>
    <cellStyle name="常规 10 3 4" xfId="1689"/>
    <cellStyle name="差_预收款项 10 2 3" xfId="1690"/>
    <cellStyle name="_Worksheet in D: My Documents China Shenhua Overall - 2005 final Correspondence With Bobo Debriefing notes liabilities debriefing note 2005 12 31_1" xfId="1691"/>
    <cellStyle name="@_text_PBC hardclose-Enric Gas_H1-3 Addition list  2" xfId="1692"/>
    <cellStyle name="常规 2 2 17 2 2" xfId="1693"/>
    <cellStyle name="常规 2 2 22 2 2" xfId="1694"/>
    <cellStyle name="Format Number Column" xfId="1695"/>
    <cellStyle name="@_text_OR账龄分析" xfId="1696"/>
    <cellStyle name="60% - 强调文字颜色 1 2 8" xfId="1697"/>
    <cellStyle name="@_text_PBC control list_Sheet1 2" xfId="1698"/>
    <cellStyle name="差_1公允价值变动损益 3" xfId="1699"/>
    <cellStyle name="@_text_PBC final-Shijiazhuang-Enric0110_H1-3 Addition list  2" xfId="1700"/>
    <cellStyle name="20% - 强调文字颜色 5 2 11" xfId="1701"/>
    <cellStyle name="好_55-资产减值损失（空白模板） 13_明细表 2" xfId="1702"/>
    <cellStyle name="好_黄金项目组审计人员通讯录_附注表一（财务报表）" xfId="1703"/>
    <cellStyle name="40% - 强调文字颜色 6 3 2" xfId="1704"/>
    <cellStyle name="常规 11 6 2 4" xfId="1705"/>
    <cellStyle name="@_text_PBC final-Shijiazhuang-Enric" xfId="1706"/>
    <cellStyle name="@_text_PBC final-Shijiazhuang-Enric_Sheet1 2" xfId="1707"/>
    <cellStyle name="差_大信底稿目录 3 2" xfId="1708"/>
    <cellStyle name="_公司填表2005-吴_3-2-A1B-银行存款 4" xfId="1709"/>
    <cellStyle name="_071231.大连营业所.现金及银行存款.ss.ok_Sheet1" xfId="1710"/>
    <cellStyle name="差_所得税费用 8 2" xfId="1711"/>
    <cellStyle name="常规 2 3 2 2 11 2" xfId="1712"/>
    <cellStyle name="_050114.HY Bro.Film.GG1.Accounts Receivable 2" xfId="1713"/>
    <cellStyle name="Normal - Style1 10 4" xfId="1714"/>
    <cellStyle name="常规 2 3 2 2 2 3 2 2" xfId="1715"/>
    <cellStyle name="SAPBEXexcBad9 7" xfId="1716"/>
    <cellStyle name="差_1短期借款 10 2" xfId="1717"/>
    <cellStyle name="常规 2 2 2 2 8 2" xfId="1718"/>
    <cellStyle name="Followed Hyperlink_AheadBehind.xls Chart 23" xfId="1719"/>
    <cellStyle name="Accent5 - 40% 5" xfId="1720"/>
    <cellStyle name="_四产品耗量比分析" xfId="1721"/>
    <cellStyle name="_050124 Sales Co Part I - BS &amp; PL with note to account (Consol) v2" xfId="1722"/>
    <cellStyle name="常规 2 39" xfId="1723"/>
    <cellStyle name="常规 2 44" xfId="1724"/>
    <cellStyle name="@_text_PBC final-Shijiazhuang-Enric_固定资产增加2 2" xfId="1725"/>
    <cellStyle name="@_text_PBC final-Shijiazhuang-Enric0110_H1-3 Addition list " xfId="1726"/>
    <cellStyle name="_GD2, GD3 (28 May).cp.(include re-class)_31.12 GD3 and GD9 11.8(ss)" xfId="1727"/>
    <cellStyle name="_13-直属" xfId="1728"/>
    <cellStyle name="@_text_PBC final-Shijiazhuang-Enric0110_固定资产增加2" xfId="1729"/>
    <cellStyle name="好_资产负债标准底稿 11 2 5" xfId="1730"/>
    <cellStyle name="@_text_PBC final-Shijiazhuang-Enric0514 往来 " xfId="1731"/>
    <cellStyle name="9_v10 2005 Austar(BJ) GD1 - Income statement (Ida) 2" xfId="1732"/>
    <cellStyle name="差_54-财务费用（空白模板） 28" xfId="1733"/>
    <cellStyle name="差_54-财务费用（空白模板） 33" xfId="1734"/>
    <cellStyle name="@_text_PBC final-Shijiazhuang-Enric0514 往来  2" xfId="1735"/>
    <cellStyle name="差_审计分组-1218定稿_明细表 5" xfId="1736"/>
    <cellStyle name="百分比 2 9 4" xfId="1737"/>
    <cellStyle name="20% - Accent3" xfId="1738"/>
    <cellStyle name="好_56-公允价值损益变动（空白模板） 2 2" xfId="1739"/>
    <cellStyle name="@_text_PBC final-Shijiazhuang-Enric0514 往来 _H1-3 Addition list " xfId="1740"/>
    <cellStyle name="好_无形资产 13 2" xfId="1741"/>
    <cellStyle name="常规 2 7 2 4" xfId="1742"/>
    <cellStyle name="_Part I - BS &amp; PL with note to account (Shenhua Tianjin Portl)(20050122).v2" xfId="1743"/>
    <cellStyle name="@_text_PBC final-Shijiazhuang-Enric0514 往来 _固定资产增加2" xfId="1744"/>
    <cellStyle name="好_30-应付账款（空白模板） 29" xfId="1745"/>
    <cellStyle name="好_30-应付账款（空白模板） 34" xfId="1746"/>
    <cellStyle name="@_text_PBC final-Shijiazhuang-Enric0514 往来 _固定资产增加2 2" xfId="1747"/>
    <cellStyle name="好_资产负债标准底稿_大信底稿目录 11_明细表 4" xfId="1748"/>
    <cellStyle name="_long term loan - others 300504_TB CTE FJ 16.v1" xfId="1749"/>
    <cellStyle name="常规 6 3 3" xfId="1750"/>
    <cellStyle name="SAPBEXformats 3 2" xfId="1751"/>
    <cellStyle name="@_text_PBC hardclose-Enric Gas 2" xfId="1752"/>
    <cellStyle name="超链接 2 6 5" xfId="1753"/>
    <cellStyle name="SOR 3 2" xfId="1754"/>
    <cellStyle name="差_G-应收账款 6 2 2" xfId="1755"/>
    <cellStyle name="@_text_PBC hardclose-Shijiazhuang(石化机)new_H1-3 Addition list " xfId="1756"/>
    <cellStyle name="@_text_PBC hardclose-Shijiazhuang(石化机)new_H1-3 Addition list  2" xfId="1757"/>
    <cellStyle name="好_55-资产减值损失（空白模板） 6" xfId="1758"/>
    <cellStyle name="好_短期借款 3" xfId="1759"/>
    <cellStyle name="Comma 2 5" xfId="1760"/>
    <cellStyle name="@_text_PBC hardclose-Shijiazhuang(石化机)new_Sheet1 2" xfId="1761"/>
    <cellStyle name="@_text_PBC hardclose-Shijiazhuang(石化机)new_固定资产增加2" xfId="1762"/>
    <cellStyle name="@_text_PBC hardclose-Shijiazhuang(石化机)new_固定资产增加2 2" xfId="1763"/>
    <cellStyle name="@_text_PBC hardclose-Shijiazhuang1" xfId="1764"/>
    <cellStyle name="常规 2 3 2 2 5 2" xfId="1765"/>
    <cellStyle name="常规 2 2 11 3 3" xfId="1766"/>
    <cellStyle name="Normal 3 4" xfId="1767"/>
    <cellStyle name="差_50-营业成本（空白模板） 29" xfId="1768"/>
    <cellStyle name="差_50-营业成本（空白模板） 34" xfId="1769"/>
    <cellStyle name="60% - 强调文字颜色 1 3 4" xfId="1770"/>
    <cellStyle name="常规 2 25" xfId="1771"/>
    <cellStyle name="常规 2 30" xfId="1772"/>
    <cellStyle name="好_银行函证结果汇总表 14 2 5" xfId="1773"/>
    <cellStyle name="@_text_PBC hardclose-Shijiazhuang1_Sheet1" xfId="1774"/>
    <cellStyle name="_GJ4 Other payables" xfId="1775"/>
    <cellStyle name="好_应付账款_明细表" xfId="1776"/>
    <cellStyle name="差_大信底稿目录 4_明细表" xfId="1777"/>
    <cellStyle name="常规 2 25 2" xfId="1778"/>
    <cellStyle name="@_text_PBC hardclose-Shijiazhuang1_Sheet1 2" xfId="1779"/>
    <cellStyle name="Accent5 14 2" xfId="1780"/>
    <cellStyle name="{Thousand}" xfId="1781"/>
    <cellStyle name="好_G-应收账款 14 3" xfId="1782"/>
    <cellStyle name="Fixed 2" xfId="1783"/>
    <cellStyle name="好_1短期借款 4 4" xfId="1784"/>
    <cellStyle name="@_text_PBC hardclose-Shijiazhuang1_固定资产增加2" xfId="1785"/>
    <cellStyle name="40% - 强调文字颜色 6 2 9" xfId="1786"/>
    <cellStyle name="20% - 强调文字颜色 5 2 4" xfId="1787"/>
    <cellStyle name="好_31-预收账款（空白模板） 6 3" xfId="1788"/>
    <cellStyle name="@_text_PBC hardclose-Vessel" xfId="1789"/>
    <cellStyle name="好_40-专项应付款(空白模板) 7 2 4" xfId="1790"/>
    <cellStyle name="@_text_PBC hardclose-Vessel_H1-3 Addition list " xfId="1791"/>
    <cellStyle name="@_text_PBC hardclose-Vessel_Sheet1" xfId="1792"/>
    <cellStyle name="差_27-短期借款(空白模板) 11 2" xfId="1793"/>
    <cellStyle name="@_text_PBC2 hardclose-Shijiazhuang-加气站_Sheet1" xfId="1794"/>
    <cellStyle name="@_text_PBC2 hardclose-Shijiazhuang-加气站_Sheet1 2" xfId="1795"/>
    <cellStyle name="_预算(总表)" xfId="1796"/>
    <cellStyle name="20% - 輔色1 2" xfId="1797"/>
    <cellStyle name="Comma 3 3 2" xfId="1798"/>
    <cellStyle name="_F！U1000 特尔佳-营业费用" xfId="1799"/>
    <cellStyle name="好_营业收入 15 2 3" xfId="1800"/>
    <cellStyle name="好_营业外收入 5" xfId="1801"/>
    <cellStyle name="@_text_PBC2 hardclose-Shijiazhuang-加气站_固定资产增加2" xfId="1802"/>
    <cellStyle name="60% - 强调文字颜色 1 2 7" xfId="1803"/>
    <cellStyle name="Calc Currency (0) 4" xfId="1804"/>
    <cellStyle name="@_text_PBC2 hardclose-Shijiazhuang-加气站_固定资产增加2 2" xfId="1805"/>
    <cellStyle name="好_FM长期应付款 6" xfId="1806"/>
    <cellStyle name="_061231.Liaocheng.AR&amp;OR_Sheet1" xfId="1807"/>
    <cellStyle name="@_text_副本PBC hardclose-Shijiazhuang_Sheet1 2" xfId="1808"/>
    <cellStyle name="@_text_PBC-Xinao SJZ-2003-3-31 (2)" xfId="1809"/>
    <cellStyle name="好_银行函证结果汇总表 5 5" xfId="1810"/>
    <cellStyle name="常规 9 4 2 3 2 3" xfId="1811"/>
    <cellStyle name="_061231.Liaocheng.AR&amp;OR_Sheet1 2" xfId="1812"/>
    <cellStyle name="好_51-营业税金及附加（空白模板） 5 3" xfId="1813"/>
    <cellStyle name="@_text_PBC-Xinao SJZ-2003-3-31 (2) 2" xfId="1814"/>
    <cellStyle name="好_30-应付账款（空白模板） 7_明细表 5" xfId="1815"/>
    <cellStyle name="常规 9 2 4" xfId="1816"/>
    <cellStyle name="Accent6 12" xfId="1817"/>
    <cellStyle name="差_大唐洛阳首阳山发电厂_2007年12月" xfId="1818"/>
    <cellStyle name="_帐龄分析 (3)" xfId="1819"/>
    <cellStyle name="@_text_PBC-Xinao SJZ-2003-3-31 (2)_H1-3 Addition list " xfId="1820"/>
    <cellStyle name="_帐龄分析 (3) 2" xfId="1821"/>
    <cellStyle name="常规 2 3 15 2 2" xfId="1822"/>
    <cellStyle name="常规 2 3 20 2 2" xfId="1823"/>
    <cellStyle name="_071231.大连营业所.现金及银行存款.ss.ok_081031.B06.日照分公司.H1.固定资产_Sheet1" xfId="1824"/>
    <cellStyle name="常规 2 2 11 5" xfId="1825"/>
    <cellStyle name="@_text_PBC-Xinao SJZ-2003-3-31 (2)_H1-3 Addition list  2" xfId="1826"/>
    <cellStyle name="差_资产减值损失 3" xfId="1827"/>
    <cellStyle name="@_text_PBC-Xinao SJZ-2003-3-31 (2)_Sheet1" xfId="1828"/>
    <cellStyle name="好_固定资产 10_附注表一（财务报表）" xfId="1829"/>
    <cellStyle name="差_资产减值损失 3 2" xfId="1830"/>
    <cellStyle name="@_text_PBC-Xinao SJZ-2003-3-31 (2)_Sheet1 2" xfId="1831"/>
    <cellStyle name="@_text_PBC-Xinao SJZ-2003-3-31 (2)_固定资产增加2" xfId="1832"/>
    <cellStyle name="好_应付账款 - 复制 4 3" xfId="1833"/>
    <cellStyle name="好_银行函证结果汇总表 6 2 2" xfId="1834"/>
    <cellStyle name="好_49-营业收入（空白模板） 2 5" xfId="1835"/>
    <cellStyle name="20% - 强调文字颜色 1 2 3_附注表一（财务报表）" xfId="1836"/>
    <cellStyle name="好_31-预收账款（空白模板） 15 2" xfId="1837"/>
    <cellStyle name="差_短期借款 14_明细表 5" xfId="1838"/>
    <cellStyle name="好_短期借款 10_明细表 2" xfId="1839"/>
    <cellStyle name="_Book2_Sheet1 2" xfId="1840"/>
    <cellStyle name="@_text_PBC-Xinao SJZ-2004-3-31" xfId="1841"/>
    <cellStyle name="好_1固定资产 8 2 3" xfId="1842"/>
    <cellStyle name="@_text_PBC-Xinao SJZ-2004-3-31 2" xfId="1843"/>
    <cellStyle name="@_text_安装公司_H1-3 Addition list  2" xfId="1844"/>
    <cellStyle name="20% - 强调文字颜色 2 2 3 3" xfId="1845"/>
    <cellStyle name="好_底稿设置宏_大信底稿目录 3 3" xfId="1846"/>
    <cellStyle name="好_存货 13" xfId="1847"/>
    <cellStyle name="@_text_安装公司 2" xfId="1848"/>
    <cellStyle name="差_大信底稿目录_明细表" xfId="1849"/>
    <cellStyle name="差_1应付职工薪酬 2 2 2" xfId="1850"/>
    <cellStyle name="@_text_PBC-Xinao SJZ-2004-3-31_H1-3 Addition list " xfId="1851"/>
    <cellStyle name="好_底稿设置宏 8_明细表 3" xfId="1852"/>
    <cellStyle name="差_大信底稿目录_明细表 2" xfId="1853"/>
    <cellStyle name="@_text_PBC-Xinao SJZ-2004-3-31_H1-3 Addition list  2" xfId="1854"/>
    <cellStyle name="20% - 强调文字颜色 4 2 7 2" xfId="1855"/>
    <cellStyle name="好_财务费用 16 5" xfId="1856"/>
    <cellStyle name="00 3 3 2" xfId="1857"/>
    <cellStyle name="@_text_PBC-Xinao SJZ-2004-3-31_Sheet1" xfId="1858"/>
    <cellStyle name="好_1短期借款 2 6" xfId="1859"/>
    <cellStyle name="@_text_PBC-Xinao SJZ-2004-3-31_Sheet1 2" xfId="1860"/>
    <cellStyle name="好__dxn_temp空白表页 13_明细表 4" xfId="1861"/>
    <cellStyle name="百分比 2 2 2 3" xfId="1862"/>
    <cellStyle name="40% - 强调文字颜色 3 2 2 7" xfId="1863"/>
    <cellStyle name="@_text_test_H1-3 Addition list  2" xfId="1864"/>
    <cellStyle name="Percent 4 2 2" xfId="1865"/>
    <cellStyle name="@_text_PBC-Xinao SJZ-2004-3-31_固定资产增加2" xfId="1866"/>
    <cellStyle name="Percent 4 2 2 2" xfId="1867"/>
    <cellStyle name="@_text_PBC-Xinao SJZ-2004-3-31_固定资产增加2 2" xfId="1868"/>
    <cellStyle name="好_1营业收入 2 2" xfId="1869"/>
    <cellStyle name="@_text_PBC资料表格06" xfId="1870"/>
    <cellStyle name="差_其他应付款 4" xfId="1871"/>
    <cellStyle name="00 6 3 2" xfId="1872"/>
    <cellStyle name="好_底稿设置宏 2 6" xfId="1873"/>
    <cellStyle name="常规 2 3 2 2 2_附注表一（财务报表）" xfId="1874"/>
    <cellStyle name="Accent1 2 2" xfId="1875"/>
    <cellStyle name="@_text_PBC资料表格06_H1-3 Addition list " xfId="1876"/>
    <cellStyle name="60% - 輔色3 4" xfId="1877"/>
    <cellStyle name="20% - 强调文字颜色 1 2 2 7" xfId="1878"/>
    <cellStyle name="差__dxn_temp空白表页 3 3" xfId="1879"/>
    <cellStyle name="@_text_PBC资料表格06_H1-3 Addition list  2" xfId="1880"/>
    <cellStyle name="@_text_PBC资料表格06_Sheet1" xfId="1881"/>
    <cellStyle name="好_40-专项应付款(空白模板) 4_明细表" xfId="1882"/>
    <cellStyle name="20% - 强调文字颜色 5 4" xfId="1883"/>
    <cellStyle name="好_ZA0货币资金审定表 _财务费用" xfId="1884"/>
    <cellStyle name="好_55-资产减值损失（空白模板） 9_附注表一（财务报表）" xfId="1885"/>
    <cellStyle name="@_text_PBC资料表格06_Sheet1 2" xfId="1886"/>
    <cellStyle name="style1 3" xfId="1887"/>
    <cellStyle name="@_text_PBC资料表格06_固定资产增加2" xfId="1888"/>
    <cellStyle name="千位分隔[0] 2 3" xfId="1889"/>
    <cellStyle name="@_text_PBC资料表格06_固定资产增加2 2" xfId="1890"/>
    <cellStyle name="@_text_Pingyin管理费用AZ" xfId="1891"/>
    <cellStyle name="@_text_Pingyin管理费用AZ 2" xfId="1892"/>
    <cellStyle name="@_text_Pingyin管理费用AZ_H1-3 Addition list " xfId="1893"/>
    <cellStyle name="差_预付款项" xfId="1894"/>
    <cellStyle name="20% - 强调文字颜色 2 2 12" xfId="1895"/>
    <cellStyle name="_2005RPT for account disclosure(consol)_pbc 080630 current liability_Sheet1" xfId="1896"/>
    <cellStyle name="_K2 Weighted average costing 2" xfId="1897"/>
    <cellStyle name="好_预收款项 10 2 5" xfId="1898"/>
    <cellStyle name="差_50-营业成本（空白模板） 2 2 3" xfId="1899"/>
    <cellStyle name="@_text_Pingyin管理费用AZ_Sheet1" xfId="1900"/>
    <cellStyle name="好_1专项应付款 2 2" xfId="1901"/>
    <cellStyle name="_2007 interim supplementary schedules_(Site Name)" xfId="1902"/>
    <cellStyle name="@_text_Pingyin管理费用AZ_Sheet1 2" xfId="1903"/>
    <cellStyle name="_14-营业部" xfId="1904"/>
    <cellStyle name="好_ZU固定资产 2" xfId="1905"/>
    <cellStyle name="@_text_Pingyin管理费用AZ_固定资产增加2 2" xfId="1906"/>
    <cellStyle name="_刘佳佳-国华收入成本05-6_Sheet1" xfId="1907"/>
    <cellStyle name="好_50-营业成本（空白模板） 11 2 4" xfId="1908"/>
    <cellStyle name="_D12所得税2005 3" xfId="1909"/>
    <cellStyle name="@_text_Pingyin货币资金AZ" xfId="1910"/>
    <cellStyle name="好_营业收入 12 2 4" xfId="1911"/>
    <cellStyle name="百分比 5 3 3" xfId="1912"/>
    <cellStyle name="_刘佳佳-国华收入成本05-6_Sheet1 2" xfId="1913"/>
    <cellStyle name="好_预收款项 12 2 5" xfId="1914"/>
    <cellStyle name="差_4-应收账款（空白模板） 7" xfId="1915"/>
    <cellStyle name="@_text_Pingyin货币资金AZ 2" xfId="1916"/>
    <cellStyle name="60% - 强调文字颜色 1 2 7 2" xfId="1917"/>
    <cellStyle name="弇[0]_laroux" xfId="1918"/>
    <cellStyle name="³f¹ô [0]_PLDT" xfId="1919"/>
    <cellStyle name="@_text_Pingyin货币资金AZ_H1-3 Addition list " xfId="1920"/>
    <cellStyle name="20% - 强调文字颜色 5 10" xfId="1921"/>
    <cellStyle name="好_预收款项 8_明细表 3" xfId="1922"/>
    <cellStyle name="好_1预收款项 6 3" xfId="1923"/>
    <cellStyle name="@_text_Pingyin货币资金AZ_H1-3 Addition list  2" xfId="1924"/>
    <cellStyle name="@_text_Pingyin货币资金AZ_Sheet1 2" xfId="1925"/>
    <cellStyle name="好_无形资产 12_明细表" xfId="1926"/>
    <cellStyle name="@_text_Pingyin货币资金AZ_固定资产增加2" xfId="1927"/>
    <cellStyle name="好_无形资产 12_明细表 2" xfId="1928"/>
    <cellStyle name="@_text_Pingyin货币资金AZ_固定资产增加2 2" xfId="1929"/>
    <cellStyle name="百分比 3 15" xfId="1930"/>
    <cellStyle name="百分比 3 20" xfId="1931"/>
    <cellStyle name="_子公司填表 3" xfId="1932"/>
    <cellStyle name="好_4-应收账款（空白模板） 12_明细表 2" xfId="1933"/>
    <cellStyle name="常规 50 2 2 2" xfId="1934"/>
    <cellStyle name="00 7 4" xfId="1935"/>
    <cellStyle name="常规 10 7 3" xfId="1936"/>
    <cellStyle name="_to do list_期末存货_05成本到扎表1(1).9-结算部_Sheet1 2" xfId="1937"/>
    <cellStyle name="_SNPC.GK_091231.FLX.L.Receivables" xfId="1938"/>
    <cellStyle name="Accent2 3" xfId="1939"/>
    <cellStyle name="_2005年工作底稿_Z4-应收账款" xfId="1940"/>
    <cellStyle name="常规 9 4 6 2 2" xfId="1941"/>
    <cellStyle name="常规 3 5 2 2 3" xfId="1942"/>
    <cellStyle name="@_text_Pingyin销售费用AZ" xfId="1943"/>
    <cellStyle name="_SNPC.GK_091231.FLX.L.Receivables 2" xfId="1944"/>
    <cellStyle name="Accent2 3 2" xfId="1945"/>
    <cellStyle name="_IFRS by nature" xfId="1946"/>
    <cellStyle name="常规 3 5 2 2 3 2" xfId="1947"/>
    <cellStyle name="@_text_Pingyin销售费用AZ 2" xfId="1948"/>
    <cellStyle name="好_专项应付款 4 2 5" xfId="1949"/>
    <cellStyle name="好_Z11其它流动资产 4" xfId="1950"/>
    <cellStyle name="好_31-预收账款（空白模板） 15_附注表一（财务报表）" xfId="1951"/>
    <cellStyle name="差_无形资产_明细表_1" xfId="1952"/>
    <cellStyle name="@_text_Pingyin销售费用AZ_H1-3 Addition list  2" xfId="1953"/>
    <cellStyle name="标题 1 2 2_附注表一（财务报表）" xfId="1954"/>
    <cellStyle name="@_text_Pingyin销售费用AZ_Sheet1" xfId="1955"/>
    <cellStyle name="@_text_Pingyin销售费用AZ_Sheet1 2" xfId="1956"/>
    <cellStyle name="_070326 创新新材 Appendix4 TBJA.v4" xfId="1957"/>
    <cellStyle name="好_1资产减值损失 5 5" xfId="1958"/>
    <cellStyle name="常规 2 2 2 2 2 2 2 2 10" xfId="1959"/>
    <cellStyle name="差_49-营业收入（空白模板） 7 2 3" xfId="1960"/>
    <cellStyle name="_江苏福润鲜销、冻销分类 2" xfId="1961"/>
    <cellStyle name="@_text_Sheet1_1" xfId="1962"/>
    <cellStyle name="Normal 23 3" xfId="1963"/>
    <cellStyle name="@_text_Pingyin销售费用AZ_固定资产增加2" xfId="1964"/>
    <cellStyle name="好_银行函证结果汇总表 15 4" xfId="1965"/>
    <cellStyle name="@_text_Sheet1_1 2" xfId="1966"/>
    <cellStyle name="@_text_Pingyin销售费用AZ_固定资产增加2 2" xfId="1967"/>
    <cellStyle name="常规 9 4 2 2 2 2 2" xfId="1968"/>
    <cellStyle name="SAPBEXexcBad9 2 2" xfId="1969"/>
    <cellStyle name="_生鲜部鲜冻成本 2" xfId="1970"/>
    <cellStyle name="@_text_Pingyin长期借款AZ" xfId="1971"/>
    <cellStyle name="差_55-资产减值损失（空白模板） 6 2 3" xfId="1972"/>
    <cellStyle name="40% - 强调文字颜色 1 2 3 4" xfId="1973"/>
    <cellStyle name="@_text_Pingyin长期借款AZ 2" xfId="1974"/>
    <cellStyle name="@_text_Pingyin长期借款AZ_H1-3 Addition list " xfId="1975"/>
    <cellStyle name="常规 8 9" xfId="1976"/>
    <cellStyle name="@_text_Pingyin长期借款AZ_H1-3 Addition list  2" xfId="1977"/>
    <cellStyle name="@_text_Pingyin长期借款AZ_Sheet1" xfId="1978"/>
    <cellStyle name="好_银行函证结果汇总表 3 2 2" xfId="1979"/>
    <cellStyle name="差_无形资产 10 3" xfId="1980"/>
    <cellStyle name="@_text_Pingyin长期借款AZ_Sheet1 2" xfId="1981"/>
    <cellStyle name="好_48-未分配利润（空白模板） 2 2" xfId="1982"/>
    <cellStyle name="@_text_Pingyin长期借款AZ_固定资产增加2" xfId="1983"/>
    <cellStyle name="常规 3 3 2 2 9 2" xfId="1984"/>
    <cellStyle name="@_text_Pingyin长期借款AZ_固定资产增加2 2" xfId="1985"/>
    <cellStyle name="60% - 輔色5 6" xfId="1986"/>
    <cellStyle name="60% - 强调文字颜色 2 8 2" xfId="1987"/>
    <cellStyle name="@_text_Q2-1 EIT recon" xfId="1988"/>
    <cellStyle name="好_49-营业收入（空白模板） 4_明细表 4" xfId="1989"/>
    <cellStyle name="@_text_Q2-1 EIT recon 2" xfId="1990"/>
    <cellStyle name="差_1长期借款 3 2" xfId="1991"/>
    <cellStyle name="_Part III.200406.Loan and Liabilities details.(Site Name)_IFRS recon June 05 v4  _Sheet1 2" xfId="1992"/>
    <cellStyle name="@_text_Revised PBC from Emma" xfId="1993"/>
    <cellStyle name="@_text_Revised PBC from Emma 2" xfId="1994"/>
    <cellStyle name="@_text_roll forward 2" xfId="1995"/>
    <cellStyle name="40% - 强调文字颜色 1 3 2 2" xfId="1996"/>
    <cellStyle name="好_应收账款_明细表 2 4" xfId="1997"/>
    <cellStyle name="好_营业收入 2_明细表 4" xfId="1998"/>
    <cellStyle name="_long term loan - others 300504_Part V - Supp Schedule Liabilities  taxation(Holding) 0714 V8(OK)" xfId="1999"/>
    <cellStyle name="好_短期借款 7_明细表 2" xfId="2000"/>
    <cellStyle name="_RPT Wp--company" xfId="2001"/>
    <cellStyle name="SAPBEXHLevel3X 5 2" xfId="2002"/>
    <cellStyle name="@_text_roll forward_H1-3 Addition list " xfId="2003"/>
    <cellStyle name="_RPT Wp--company 2" xfId="2004"/>
    <cellStyle name="@_text_roll forward_H1-3 Addition list  2" xfId="2005"/>
    <cellStyle name="常规 6 4" xfId="2006"/>
    <cellStyle name="好_财务费用_明细表 2 5" xfId="2007"/>
    <cellStyle name="_应收账款账龄--04、05 3" xfId="2008"/>
    <cellStyle name="好_应付票据 2 2" xfId="2009"/>
    <cellStyle name="差_固定资产 3_明细表" xfId="2010"/>
    <cellStyle name="百分比 2 12 2 3" xfId="2011"/>
    <cellStyle name="_Part III.200406.Loan and Liabilities details.(Site Name)_in-ter-com_200506.sales com.GI.intercompany 2" xfId="2012"/>
    <cellStyle name="@_text_roll forward_Sheet1" xfId="2013"/>
    <cellStyle name="@_text_roll forward_Sheet1 2" xfId="2014"/>
    <cellStyle name="常规 3 3 2 2 10 4" xfId="2015"/>
    <cellStyle name="@_text_roll forward_固定资产增加2" xfId="2016"/>
    <cellStyle name="好_现金与银行存款ZA 3" xfId="2017"/>
    <cellStyle name="差_短期借款 16" xfId="2018"/>
    <cellStyle name="差_短期借款 21" xfId="2019"/>
    <cellStyle name="_Yuande.GH.20040331" xfId="2020"/>
    <cellStyle name="@_text_roll forward_固定资产增加2 2" xfId="2021"/>
    <cellStyle name="好_6-应收利息（空白模板） 3" xfId="2022"/>
    <cellStyle name="_051231.Q2.Technology- income tax_Sheet1" xfId="2023"/>
    <cellStyle name="差_1短期借款_明细表 2" xfId="2024"/>
    <cellStyle name="@_text_sheet" xfId="2025"/>
    <cellStyle name="好_资产负债标准底稿_大信底稿目录 14 2 4" xfId="2026"/>
    <cellStyle name="好_6-应收利息（空白模板） 3 2" xfId="2027"/>
    <cellStyle name="_051231.Q2.Technology- income tax_Sheet1 2" xfId="2028"/>
    <cellStyle name="好_1应付账款 2 3" xfId="2029"/>
    <cellStyle name="@_text_sheet 2" xfId="2030"/>
    <cellStyle name="好_1专项应付款 13 2" xfId="2031"/>
    <cellStyle name="40% - 輔色5 4" xfId="2032"/>
    <cellStyle name="好_1营业收入 10 2 3" xfId="2033"/>
    <cellStyle name="Accent6 9" xfId="2034"/>
    <cellStyle name="@_text_sheet_Sheet1" xfId="2035"/>
    <cellStyle name="Accent6 9 2" xfId="2036"/>
    <cellStyle name="@_text_sheet_Sheet1 2" xfId="2037"/>
    <cellStyle name="00 8 2" xfId="2038"/>
    <cellStyle name="好_短期借款 5 2 2" xfId="2039"/>
    <cellStyle name="好_Qingdao销售费用" xfId="2040"/>
    <cellStyle name="好_4-应收账款（空白模板） 13 2 5" xfId="2041"/>
    <cellStyle name="@_text_sheet_固定资产增加2" xfId="2042"/>
    <cellStyle name="好_4-应收账款（空白模板） 17 2 3" xfId="2043"/>
    <cellStyle name="00 8 2 2" xfId="2044"/>
    <cellStyle name="好_Qingdao销售费用 2" xfId="2045"/>
    <cellStyle name="SAPBEXresItemX" xfId="2046"/>
    <cellStyle name="@_text_sheet_固定资产增加2 2" xfId="2047"/>
    <cellStyle name="好_应收账款 3 2 2" xfId="2048"/>
    <cellStyle name="@_text_Sheet1" xfId="2049"/>
    <cellStyle name="好_期初余额查验 5 3" xfId="2050"/>
    <cellStyle name="@_text_Sheet1 2" xfId="2051"/>
    <cellStyle name="_x0007__1-销售与收款循环 6" xfId="2052"/>
    <cellStyle name="好_54-财务费用（空白模板） 8 2 5" xfId="2053"/>
    <cellStyle name="@_text_Sheet1_H1-3 Addition list " xfId="2054"/>
    <cellStyle name="0.00% 4" xfId="2055"/>
    <cellStyle name="好_货币资金 6" xfId="2056"/>
    <cellStyle name="@_text_Sheet1_H1-3 Addition list  2" xfId="2057"/>
    <cellStyle name="_long term loan - others 300504_Worksheet in D: My Documents China Shenhua Overall - 2005 final Correspondence With Bobo Debriefing notes liabilities debriefing note 2005 12 31" xfId="2058"/>
    <cellStyle name="@_text_Sheet1_Sheet1" xfId="2059"/>
    <cellStyle name="好_3固定资产" xfId="2060"/>
    <cellStyle name="好_33-应交税费（空白模板） 2_明细表 5" xfId="2061"/>
    <cellStyle name="_3514年审最终版其他科目底稿姜小妹" xfId="2062"/>
    <cellStyle name="@_text_Sheet1_Sheet1 2" xfId="2063"/>
    <cellStyle name="好_3固定资产 2" xfId="2064"/>
    <cellStyle name="常规 2 3 14 2 4" xfId="2065"/>
    <cellStyle name="@_text_Sheet1_固定资产增加2" xfId="2066"/>
    <cellStyle name="好_大信底稿目录 7 2 3" xfId="2067"/>
    <cellStyle name="好_FJ 其他应付款 2 3" xfId="2068"/>
    <cellStyle name="好_财务费用 13 2 3" xfId="2069"/>
    <cellStyle name="好_资产负债类底稿模版 13 2 3" xfId="2070"/>
    <cellStyle name="差_32-应付职工薪酬(空白模板) 3 4" xfId="2071"/>
    <cellStyle name="_佳众联" xfId="2072"/>
    <cellStyle name="SAPBEXstdItemX" xfId="2073"/>
    <cellStyle name="@_text_Sheet1_固定资产增加2 2" xfId="2074"/>
    <cellStyle name="常规 2 2 2 3 2" xfId="2075"/>
    <cellStyle name="@_text_Shinho1烟台欣和味达美食品有限公司2007年审计报表新新" xfId="2076"/>
    <cellStyle name="好_1营业收入 10_明细表 2" xfId="2077"/>
    <cellStyle name="0% 9 3" xfId="2078"/>
    <cellStyle name="常规 2 2 2 3 2 2" xfId="2079"/>
    <cellStyle name="@_text_Shinho1烟台欣和味达美食品有限公司2007年审计报表新新 2" xfId="2080"/>
    <cellStyle name="好_公允价值变动损益 3 2 2" xfId="2081"/>
    <cellStyle name="@_text_Shinho-2007.v2" xfId="2082"/>
    <cellStyle name="@_text_Shinho-2007.v2 2" xfId="2083"/>
    <cellStyle name="@_text_Shinho烟台欣和味达美食品有限公司2006年审计报告新新" xfId="2084"/>
    <cellStyle name="好_40-专项应付款(空白模板) 13 2 3" xfId="2085"/>
    <cellStyle name="_2005年工作底稿_Sheet1 4" xfId="2086"/>
    <cellStyle name="好_无形资产_明细表 4" xfId="2087"/>
    <cellStyle name="@_text_TB-2004" xfId="2088"/>
    <cellStyle name="@_text_TB-2004 2" xfId="2089"/>
    <cellStyle name="@_text_TB-2004_H1-3 Addition list " xfId="2090"/>
    <cellStyle name="@_text_TB-2004_H1-3 Addition list  2" xfId="2091"/>
    <cellStyle name="好_财务费用 16 2 4" xfId="2092"/>
    <cellStyle name="@_text_TB-2004_Sheet1" xfId="2093"/>
    <cellStyle name="@_text_TB-2004_Sheet1 2" xfId="2094"/>
    <cellStyle name="好_49-营业收入（空白模板） 12 3" xfId="2095"/>
    <cellStyle name="@_text_TB-2004_固定资产增加2" xfId="2096"/>
    <cellStyle name="标题 4 2 2 3" xfId="2097"/>
    <cellStyle name="40% - 强调文字颜色 5 2 2 4" xfId="2098"/>
    <cellStyle name="好_所得税费用 8 2" xfId="2099"/>
    <cellStyle name="_03-牡丹江" xfId="2100"/>
    <cellStyle name="常规 2 10 5" xfId="2101"/>
    <cellStyle name="@_text_TB-2004_固定资产增加2 2" xfId="2102"/>
    <cellStyle name="常规 4 18_附注表一（财务报表）" xfId="2103"/>
    <cellStyle name="_RPT wp consol v2_pbc 080630 current liability" xfId="2104"/>
    <cellStyle name="好_无形资产_明细表 5" xfId="2105"/>
    <cellStyle name="@_text_TB-2005" xfId="2106"/>
    <cellStyle name="@_text_TB-2005_1" xfId="2107"/>
    <cellStyle name="好_54-财务费用（空白模板） 2 2 5" xfId="2108"/>
    <cellStyle name="好_3-应收票据（空白模板） 3" xfId="2109"/>
    <cellStyle name="@_text_TB-2005_1 2" xfId="2110"/>
    <cellStyle name="差_ZA0货币资金审定表  2 3" xfId="2111"/>
    <cellStyle name="@_text_TB-2005_1_H1-3 Addition list " xfId="2112"/>
    <cellStyle name="Percent[0] 2 6" xfId="2113"/>
    <cellStyle name="20% - 强调文字颜色 5 2 2 10" xfId="2114"/>
    <cellStyle name="好_现金流量表关联方 2" xfId="2115"/>
    <cellStyle name="{Z'0000(1 dec)}" xfId="2116"/>
    <cellStyle name="差_ZA0货币资金审定表  2 3 2" xfId="2117"/>
    <cellStyle name="@_text_TB-2005_1_H1-3 Addition list  2" xfId="2118"/>
    <cellStyle name="常规 2 4 8" xfId="2119"/>
    <cellStyle name="_41-阿城" xfId="2120"/>
    <cellStyle name="常规 9 6 4 3" xfId="2121"/>
    <cellStyle name="常规 3 27 2 4" xfId="2122"/>
    <cellStyle name="常规 2 3 4 3 2" xfId="2123"/>
    <cellStyle name="@_text_TB-2005_1_Sheet1" xfId="2124"/>
    <cellStyle name="差_21-商誉（空白模板）" xfId="2125"/>
    <cellStyle name="@_text_TB-2005_1_Sheet1 2" xfId="2126"/>
    <cellStyle name="@_text_TB-2005_1_固定资产增加2" xfId="2127"/>
    <cellStyle name="@_text_TB-2005_1_固定资产增加2 2" xfId="2128"/>
    <cellStyle name="60% - Accent1 2" xfId="2129"/>
    <cellStyle name="好_存货 - 复制 3 3" xfId="2130"/>
    <cellStyle name="好_FA 短期借款 5" xfId="2131"/>
    <cellStyle name="Normal - Style1 2 3 2 2" xfId="2132"/>
    <cellStyle name="@_text_TB-2005_H1-3 Addition list " xfId="2133"/>
    <cellStyle name="好_FA 短期借款 5 2" xfId="2134"/>
    <cellStyle name="60% - Accent1 2 2" xfId="2135"/>
    <cellStyle name="差_FA短期借款 3 3" xfId="2136"/>
    <cellStyle name="20% - 强调文字颜色 4 6" xfId="2137"/>
    <cellStyle name="好_19-无形资产（空白模板） 4 2 5" xfId="2138"/>
    <cellStyle name="常规 2 3 5 2 3" xfId="2139"/>
    <cellStyle name="_Worksheet in (Read-Only) Coaching Note - back up" xfId="2140"/>
    <cellStyle name="好_15-固定资产（空白模板） 2_明细表 4" xfId="2141"/>
    <cellStyle name="常规 3 3 9" xfId="2142"/>
    <cellStyle name="@_text_TB-2005_H1-3 Addition list  2" xfId="2143"/>
    <cellStyle name="差_固定资产 8_明细表 3" xfId="2144"/>
    <cellStyle name="_RPT wp consol v2_pbc 080630 current liability_Sheet1" xfId="2145"/>
    <cellStyle name="@_text_TB-2005_Sheet1" xfId="2146"/>
    <cellStyle name="@_text_TB-2005_Sheet1 2" xfId="2147"/>
    <cellStyle name="_Binzhou Appendix4 TBJA updated@20070417 night.yan不调质量索赔 2" xfId="2148"/>
    <cellStyle name="@_text_平阴pbc表2 2" xfId="2149"/>
    <cellStyle name="好_G-应收账款_明细表 2" xfId="2150"/>
    <cellStyle name="@_text_TB-2005_固定资产增加2" xfId="2151"/>
    <cellStyle name="好_1所得税费用 6" xfId="2152"/>
    <cellStyle name="40% - 强调文字颜色 5 2 3_附注表一（财务报表）" xfId="2153"/>
    <cellStyle name="好__dxn_temp空白表页 14_明细表 3" xfId="2154"/>
    <cellStyle name="差_10存货" xfId="2155"/>
    <cellStyle name="百分比 3 2 2 2" xfId="2156"/>
    <cellStyle name="40% - 强调文字颜色 4 2 2 6" xfId="2157"/>
    <cellStyle name="好_G-应收账款_明细表 2 2" xfId="2158"/>
    <cellStyle name="@_text_TB-2005_固定资产增加2 2" xfId="2159"/>
    <cellStyle name="好_4-应收账款（空白模板） 8_明细表 3" xfId="2160"/>
    <cellStyle name="常规 7 8 3 3" xfId="2161"/>
    <cellStyle name="差_ZA0货币资金审定表  6 3" xfId="2162"/>
    <cellStyle name="好_无形资产_明细表 6" xfId="2163"/>
    <cellStyle name="@_text_TB-2006" xfId="2164"/>
    <cellStyle name="好_1专项应付款 3_附注表一（财务报表）" xfId="2165"/>
    <cellStyle name="_GD2, GD3 (28 May).cp.(include re-class)" xfId="2166"/>
    <cellStyle name="常规 5 18" xfId="2167"/>
    <cellStyle name="常规 5 23" xfId="2168"/>
    <cellStyle name="_公司填表-2005蔡 3" xfId="2169"/>
    <cellStyle name="输出 2 4 3" xfId="2170"/>
    <cellStyle name="好_审计分组-1218定稿" xfId="2171"/>
    <cellStyle name="Normal 5 2 2 2 2" xfId="2172"/>
    <cellStyle name="Normal - Style1 2 2 11" xfId="2173"/>
    <cellStyle name="@_text_TB-2006_H1-3 Addition list " xfId="2174"/>
    <cellStyle name="好_营业收入 5_明细表 2" xfId="2175"/>
    <cellStyle name="_Sheet1 3" xfId="2176"/>
    <cellStyle name="好_审计分组-1218定稿 2" xfId="2177"/>
    <cellStyle name="@_text_TB-2006_H1-3 Addition list  2" xfId="2178"/>
    <cellStyle name="差_31-预收账款（空白模板）_明细表" xfId="2179"/>
    <cellStyle name="@_text_TB-2006_Sheet1" xfId="2180"/>
    <cellStyle name="差_31-预收账款（空白模板）_明细表 2" xfId="2181"/>
    <cellStyle name="@_text_TB-2006_Sheet1 2" xfId="2182"/>
    <cellStyle name="差_短期借款 5 2 3" xfId="2183"/>
    <cellStyle name="@_text_TB-2006_固定资产增加2" xfId="2184"/>
    <cellStyle name="_第四季度资料" xfId="2185"/>
    <cellStyle name="好_固定资产 3 2 4" xfId="2186"/>
    <cellStyle name="好_1预收款项 8 2 4" xfId="2187"/>
    <cellStyle name="_30 June 2005 interim review-company level-v2 2" xfId="2188"/>
    <cellStyle name="@_text_test" xfId="2189"/>
    <cellStyle name="@_text_test 2" xfId="2190"/>
    <cellStyle name="20% - 强调文字颜色 5 9" xfId="2191"/>
    <cellStyle name="好_短期借款 12_明细表 4" xfId="2192"/>
    <cellStyle name="Percent 4 2" xfId="2193"/>
    <cellStyle name="_Y2000-合并附注兖州煤业08年年报附注汇总090122修改" xfId="2194"/>
    <cellStyle name="@_text_test_H1-3 Addition list " xfId="2195"/>
    <cellStyle name="超链接 3 10_附注表一（财务报表）" xfId="2196"/>
    <cellStyle name="@_text_test_Sheet1" xfId="2197"/>
    <cellStyle name="_long term loan - others 300504_FA  CIP opening balance_pbc 080630 current liability" xfId="2198"/>
    <cellStyle name="@_text_test_Sheet1 2" xfId="2199"/>
    <cellStyle name="@_text_test_固定资产增加2" xfId="2200"/>
    <cellStyle name="@_text_test_固定资产增加2 2" xfId="2201"/>
    <cellStyle name="好_1营业收入 12" xfId="2202"/>
    <cellStyle name="40% - 强调文字颜色 5 2 8" xfId="2203"/>
    <cellStyle name="@_text_WP for the profit forecast V3" xfId="2204"/>
    <cellStyle name="Normal - Style1 6 4" xfId="2205"/>
    <cellStyle name="20% - 强调文字颜色 4 2 3" xfId="2206"/>
    <cellStyle name="_20070417.Anqiu Shanshui.TB_pbc 080630 current liability" xfId="2207"/>
    <cellStyle name="@_text_WP for the profit forecast V3 2" xfId="2208"/>
    <cellStyle name="Normal - Style1 6 4 2" xfId="2209"/>
    <cellStyle name="20% - 强调文字颜色 4 2 3 2" xfId="2210"/>
    <cellStyle name="常规 3 2 7 4" xfId="2211"/>
    <cellStyle name="常规 2 16 3" xfId="2212"/>
    <cellStyle name="常规 2 21 3" xfId="2213"/>
    <cellStyle name="_20070417.Anqiu Shanshui.TB_pbc 080630 current liability 2" xfId="2214"/>
    <cellStyle name="好_49-营业收入（空白模板） 16 3" xfId="2215"/>
    <cellStyle name="Comma[2] 2 5" xfId="2216"/>
    <cellStyle name="20% - 强调文字颜色 1 2 6" xfId="2217"/>
    <cellStyle name="常规 3 2 36" xfId="2218"/>
    <cellStyle name="常规 3 2 41" xfId="2219"/>
    <cellStyle name="@_text_WP for the profit forecast V3_H1-3 Addition list " xfId="2220"/>
    <cellStyle name="@_text_WP for the profit forecast V3_H1-3 Addition list  2" xfId="2221"/>
    <cellStyle name="@_text_WP for the profit forecast V3_Sheet1" xfId="2222"/>
    <cellStyle name="差_1预收款项 11" xfId="2223"/>
    <cellStyle name="_3-2-A4-应收账款 3" xfId="2224"/>
    <cellStyle name="@_text_WP for the profit forecast V3_Sheet1 2" xfId="2225"/>
    <cellStyle name="@_text_WP for the profit forecast V3_固定资产增加2" xfId="2226"/>
    <cellStyle name="@_text_WP for the profit forecast V3_固定资产增加2 2" xfId="2227"/>
    <cellStyle name="_Part III.200406.Loan and Liabilities details.(Site Name)_Part V - Supp Schedule Liabilities  taxation(Holding) 0714 V8(OK)_Sheet1" xfId="2228"/>
    <cellStyle name="@_text_Xin Ao PBC 4(1)(石化机）" xfId="2229"/>
    <cellStyle name="_Part III.200406.Loan and Liabilities details.(Site Name)_Part V - Supp Schedule Liabilities  taxation(Holding) 0714 V8(OK)_Sheet1 2" xfId="2230"/>
    <cellStyle name="@_text_Xin Ao PBC 4(1)(石化机） 2" xfId="2231"/>
    <cellStyle name="@_text_Xin Ao PBC 4(1)(石化机）_H1-3 Addition list " xfId="2232"/>
    <cellStyle name="60% - 强调文字颜色 1 5 2" xfId="2233"/>
    <cellStyle name="@_text_Xin Ao PBC 4(1)(石化机）_H1-3 Addition list  2" xfId="2234"/>
    <cellStyle name="60% - 强调文字颜色 1 5 2 2" xfId="2235"/>
    <cellStyle name="超链接 6 2 2" xfId="2236"/>
    <cellStyle name="差_底稿设置宏 8 2 4" xfId="2237"/>
    <cellStyle name="@_text_Xin Ao PBC 4(1)(石化机）_Sheet1" xfId="2238"/>
    <cellStyle name="_Worksheet in D: My Documents China Shenhua Overall - 2005 final Correspondence With Bobo Debriefing notes liabilities debriefing note 2005 12 31" xfId="2239"/>
    <cellStyle name="@_text_Xin Ao PBC 4(1)(石化机）_Sheet1 2" xfId="2240"/>
    <cellStyle name="@_text_Xin Ao PBC 4(1)(石化机）_固定资产增加2" xfId="2241"/>
    <cellStyle name="_Part III.200406.Loan and Liabilities details.(Site Name)_IFRS recon June 05 v4  " xfId="2242"/>
    <cellStyle name="@_text_Xin Ao PBC 4(1)(石化机）_固定资产增加2 2" xfId="2243"/>
    <cellStyle name="_FA_081031.B06.日照分公司.H1.固定资产_Sheet1" xfId="2244"/>
    <cellStyle name="差_1应付职工薪酬 2 2" xfId="2245"/>
    <cellStyle name="@_text_安装公司_H1-3 Addition list " xfId="2246"/>
    <cellStyle name="@_text_安装公司" xfId="2247"/>
    <cellStyle name="@_text_安装公司_Sheet1" xfId="2248"/>
    <cellStyle name="好_ZL长期应收款 2 2 2" xfId="2249"/>
    <cellStyle name="@_text_安装公司_Sheet1 2" xfId="2250"/>
    <cellStyle name="40% - 强调文字颜色 3 2 2 10" xfId="2251"/>
    <cellStyle name="@_text_安装公司_固定资产增加2" xfId="2252"/>
    <cellStyle name="@_text_安装公司_固定资产增加2 2" xfId="2253"/>
    <cellStyle name="_Sheet1_Z4-应收账款" xfId="2254"/>
    <cellStyle name="0% 3 5" xfId="2255"/>
    <cellStyle name="好_54-财务费用（空白模板） 16 2 2" xfId="2256"/>
    <cellStyle name="常规 33 2 2 3" xfId="2257"/>
    <cellStyle name="_31.12 GD3 Selling expenses 2" xfId="2258"/>
    <cellStyle name="@_text_本部表2汇总(221中心组）" xfId="2259"/>
    <cellStyle name="好_底稿设置宏 16 5" xfId="2260"/>
    <cellStyle name="@_text_本部表2汇总(221中心组） 2" xfId="2261"/>
    <cellStyle name="@_text_毕马威审计2006年主表（味达美工厂" xfId="2262"/>
    <cellStyle name="差_预收款项 28" xfId="2263"/>
    <cellStyle name="差_预收款项 33" xfId="2264"/>
    <cellStyle name="好_1预收款项 16 5" xfId="2265"/>
    <cellStyle name="_GD2, GD3 (28 May).cp.(include re-class)_GD3 and GD9 11.8_1" xfId="2266"/>
    <cellStyle name="@_text_毕马威审计2006年主表（味达美工厂 2" xfId="2267"/>
    <cellStyle name="常规 3 3 15 3 3" xfId="2268"/>
    <cellStyle name="_ST Loan 2" xfId="2269"/>
    <cellStyle name="常规 5 13 2 3" xfId="2270"/>
    <cellStyle name="常规 2 26 2 2" xfId="2271"/>
    <cellStyle name="差_资产负债标准底稿 12 2 3" xfId="2272"/>
    <cellStyle name="SAPBEXresDataEmph 2 3" xfId="2273"/>
    <cellStyle name="@_text_毕马威审计2007年主表（味达美工厂）" xfId="2274"/>
    <cellStyle name="好_底稿设置宏 4 2 3" xfId="2275"/>
    <cellStyle name="好_55-资产减值损失（空白模板） 13_明细表" xfId="2276"/>
    <cellStyle name="40% - 强调文字颜色 6 3" xfId="2277"/>
    <cellStyle name="@_text_毕马威审计2007年主表（味达美工厂） 2" xfId="2278"/>
    <cellStyle name="_2.1 and 2.2_Sheet1" xfId="2279"/>
    <cellStyle name="@_text_存货截至性测试" xfId="2280"/>
    <cellStyle name="_2.1 and 2.2_Sheet1 2" xfId="2281"/>
    <cellStyle name="Euro 4 2 3" xfId="2282"/>
    <cellStyle name="@_text_存货截至性测试 2" xfId="2283"/>
    <cellStyle name="_Yurun Admin breakdown" xfId="2284"/>
    <cellStyle name="@_text_复件 复件 Xin Ao PBC 4(1)(安瑞科）" xfId="2285"/>
    <cellStyle name="好_可供出售金融资产 3 2" xfId="2286"/>
    <cellStyle name="百分比 2 16 3" xfId="2287"/>
    <cellStyle name="_Nochange.Cons.20070418 night.Shanghe.Appendix4 TBJA_pbc 080630 current liability" xfId="2288"/>
    <cellStyle name="_Yurun Admin breakdown 2" xfId="2289"/>
    <cellStyle name="@_text_复件 复件 Xin Ao PBC 4(1)(安瑞科） 2" xfId="2290"/>
    <cellStyle name="_Nochange.Cons.20070418 night.Shanghe.Appendix4 TBJA_pbc 080630 current liability 2" xfId="2291"/>
    <cellStyle name="好_ZD应收账款 4" xfId="2292"/>
    <cellStyle name="_Part III.200406.Loan and Liabilities details.(Site Name)_Part III for print- Journal List and Profit Recon (Justin) (date).consol" xfId="2293"/>
    <cellStyle name="差_53-管理费用（空白模板） 2 4" xfId="2294"/>
    <cellStyle name="Comma  - Style1 4" xfId="2295"/>
    <cellStyle name="@_text_复件 复件 Xin Ao PBC 4(1)(安瑞科）_H1-3 Addition list " xfId="2296"/>
    <cellStyle name="好_ZD应收账款 4 2" xfId="2297"/>
    <cellStyle name="_Part III.200406.Loan and Liabilities details.(Site Name)_Part III for print- Journal List and Profit Recon (Justin) (date).consol 2" xfId="2298"/>
    <cellStyle name="_Part III.200406.Loan and Liabilities details.(Site Name)_Part I - BS  PL with note to account (Site Name)" xfId="2299"/>
    <cellStyle name="@_text_复件 复件 Xin Ao PBC 4(1)(安瑞科）_H1-3 Addition list  2" xfId="2300"/>
    <cellStyle name="_Yurun Admin breakdown_Sheet1" xfId="2301"/>
    <cellStyle name="@_text_复件 复件 Xin Ao PBC 4(1)(安瑞科）_Sheet1" xfId="2302"/>
    <cellStyle name="好_ZA0货币资金审定表  5_明细表" xfId="2303"/>
    <cellStyle name="_Yurun Admin breakdown_Sheet1 2" xfId="2304"/>
    <cellStyle name="@_text_复件 复件 Xin Ao PBC 4(1)(安瑞科）_Sheet1 2" xfId="2305"/>
    <cellStyle name="_to do list_期末存货_200506.sales com.GI.intercompany_Sheet1" xfId="2306"/>
    <cellStyle name="@_text_复件 复件 Xin Ao PBC 4(1)(安瑞科）_固定资产增加2 2" xfId="2307"/>
    <cellStyle name="SAPBEXHLevel3X 4 2" xfId="2308"/>
    <cellStyle name="好_1财务费用 8 2 5" xfId="2309"/>
    <cellStyle name="_毕马威审计2007年主表（味达美工厂） 2" xfId="2310"/>
    <cellStyle name="超链接 3 7 2 4" xfId="2311"/>
    <cellStyle name="_SUAD Mar-CIP-Pre_Sheet1 2" xfId="2312"/>
    <cellStyle name="差_1其他流动资产 2" xfId="2313"/>
    <cellStyle name="好_应收利息 14_明细表 2" xfId="2314"/>
    <cellStyle name="_DZ.L Receivables .2008" xfId="2315"/>
    <cellStyle name="@_text_副本PBC hardclose-Shijiazhuang 2" xfId="2316"/>
    <cellStyle name="好_1应收利息 4 3" xfId="2317"/>
    <cellStyle name="0% 2 5 2" xfId="2318"/>
    <cellStyle name="@_text_副本PBC hardclose-Shijiazhuang_H1-3 Addition list " xfId="2319"/>
    <cellStyle name="_Part III.200406.Loan and Liabilities details.(Site Name)_to do list_期末存货_20051231.sales com.GI1.intercompany 2" xfId="2320"/>
    <cellStyle name="差_9管理费用 3 2" xfId="2321"/>
    <cellStyle name="@_text_副本PBC hardclose-Shijiazhuang_Sheet1" xfId="2322"/>
    <cellStyle name="好_大信底稿目录 15 2 5" xfId="2323"/>
    <cellStyle name="_Part III.200406.Loan and Liabilities details.(Site Name)_2005-6-14北京成本倒轧表_Sheet1" xfId="2324"/>
    <cellStyle name="0% 21" xfId="2325"/>
    <cellStyle name="0% 16" xfId="2326"/>
    <cellStyle name="好_应收利息 19" xfId="2327"/>
    <cellStyle name="好_应收利息 24" xfId="2328"/>
    <cellStyle name="常规 6 3 4 3" xfId="2329"/>
    <cellStyle name="差_可供出售金融资产 2 2" xfId="2330"/>
    <cellStyle name="_Part III.200406.Loan and Liabilities details.(Site Name)_Part IV - Supp Sch FA &amp; Other Assets (Holding).0714.V7(OK)" xfId="2331"/>
    <cellStyle name="@_text_副本PBC hardclose-Shijiazhuang_固定资产增加2" xfId="2332"/>
    <cellStyle name="_Part III.200406.Loan and Liabilities details.(Site Name)_2005-6-14北京成本倒轧表_Sheet1 2" xfId="2333"/>
    <cellStyle name="0% 16 2" xfId="2334"/>
    <cellStyle name="_技术开发_pbc 080630 current liability" xfId="2335"/>
    <cellStyle name="好_应收账款 3 2 3" xfId="2336"/>
    <cellStyle name="好_S11-1营业外收入审定表" xfId="2337"/>
    <cellStyle name="_Part III.200406.Loan and Liabilities details.(Site Name)_Part IV - Supp Sch FA &amp; Other Assets (Holding).0714.V7(OK) 2" xfId="2338"/>
    <cellStyle name="@_text_副本PBC hardclose-Shijiazhuang_固定资产增加2 2" xfId="2339"/>
    <cellStyle name="差_56-公允价值损益变动（空白模板）" xfId="2340"/>
    <cellStyle name="_2007 interim supplementary schedules_(Site Name)_pbc 080630 current liability" xfId="2341"/>
    <cellStyle name="超链接 3 8 2 5" xfId="2342"/>
    <cellStyle name="好_资产减值损失 4_附注表一（财务报表）" xfId="2343"/>
    <cellStyle name="Percent 16 2" xfId="2344"/>
    <cellStyle name="@_text_固定资产" xfId="2345"/>
    <cellStyle name="_股份公司内部决算" xfId="2346"/>
    <cellStyle name="@_text_固定资产 2" xfId="2347"/>
    <cellStyle name="差_56-公允价值损益变动（空白模板） 2" xfId="2348"/>
    <cellStyle name="_2007 interim supplementary schedules_(Site Name)_pbc 080630 current liability 2" xfId="2349"/>
    <cellStyle name="@_text_固定资产_H1-3 Addition list " xfId="2350"/>
    <cellStyle name="差_短期借款 12 2 3" xfId="2351"/>
    <cellStyle name="常规 2 2 3 2 2 5" xfId="2352"/>
    <cellStyle name="Comma ['000]" xfId="2353"/>
    <cellStyle name="@_text_固定资产_H1-3 Addition list  2" xfId="2354"/>
    <cellStyle name="_2007 interim supp schedules_(Power stream).consol.v2_Sheet1" xfId="2355"/>
    <cellStyle name="Normal 11 2 2" xfId="2356"/>
    <cellStyle name="差_ZA0货币资金审定表  9 2" xfId="2357"/>
    <cellStyle name="差_4-应收账款（空白模板） 10 2" xfId="2358"/>
    <cellStyle name="_2007 interim supplementary schedules_(Site Name)_pbc 080630 current liability_Sheet1" xfId="2359"/>
    <cellStyle name="40% - 輔色1 6" xfId="2360"/>
    <cellStyle name="常规 2 2 3 2 3 3" xfId="2361"/>
    <cellStyle name="@_text_固定资产_Sheet1" xfId="2362"/>
    <cellStyle name="Normal 11 2 2 2" xfId="2363"/>
    <cellStyle name="差_ZA0货币资金审定表  9 2 2" xfId="2364"/>
    <cellStyle name="差_4-应收账款（空白模板） 10 2 2" xfId="2365"/>
    <cellStyle name="差_13-长期股权投资（空白模板）" xfId="2366"/>
    <cellStyle name="_2007 interim supplementary schedules_(Site Name)_pbc 080630 current liability_Sheet1 2" xfId="2367"/>
    <cellStyle name="常规 2 2 2 11 2 3" xfId="2368"/>
    <cellStyle name="@_text_固定资产_Sheet1 2" xfId="2369"/>
    <cellStyle name="差_贷款卡查询结果调节表 2" xfId="2370"/>
    <cellStyle name="@_text_固定资产_固定资产增加2" xfId="2371"/>
    <cellStyle name="常规 4 5 5" xfId="2372"/>
    <cellStyle name="@_text_固定资产_固定资产增加2 2" xfId="2373"/>
    <cellStyle name="好_49-营业收入（空白模板） 2_明细表 5" xfId="2374"/>
    <cellStyle name="@_text_固定资产增加2" xfId="2375"/>
    <cellStyle name="@_text_固定资产增加2 2" xfId="2376"/>
    <cellStyle name="_long term loan - others 300504_FA  CIP opening balance_pbc 080630 current liability_Sheet1 2" xfId="2377"/>
    <cellStyle name="60% - 强调文字颜色 1 3" xfId="2378"/>
    <cellStyle name="Red 2" xfId="2379"/>
    <cellStyle name="20% - 强调文字颜色 4 2 2 8" xfId="2380"/>
    <cellStyle name="20% - 强调文字颜色 1 2 10" xfId="2381"/>
    <cellStyle name="@_text_国华简单汇总表" xfId="2382"/>
    <cellStyle name="常规 2 2 2 13 2 5" xfId="2383"/>
    <cellStyle name="差_50-营业成本（空白模板） 27" xfId="2384"/>
    <cellStyle name="差_50-营业成本（空白模板） 32" xfId="2385"/>
    <cellStyle name="60% - 强调文字颜色 1 3 2" xfId="2386"/>
    <cellStyle name="_安徽福润_Sheet1" xfId="2387"/>
    <cellStyle name="@_text_国华简单汇总表 2" xfId="2388"/>
    <cellStyle name="好_3-2 进一步审计程序-采购与付款循环 4" xfId="2389"/>
    <cellStyle name="_Part VI - Supp Schedule P&amp;L Item (Site Name)_Sheet1" xfId="2390"/>
    <cellStyle name="_GD2, GD3 (28 May).cp.(include re-class)_31.12 GD3 and GD9 11.8(ss)_CW.G5.Selling expenses.0606 2" xfId="2391"/>
    <cellStyle name="好_55-资产减值损失（空白模板）_明细表_1" xfId="2392"/>
    <cellStyle name="差_30-应付账款（空白模板） 7 4" xfId="2393"/>
    <cellStyle name="@_text_货币资金" xfId="2394"/>
    <cellStyle name="_Part VI - Supp Schedule P&amp;L Item (Site Name)_Sheet1 2" xfId="2395"/>
    <cellStyle name="好_55-资产减值损失（空白模板）_明细表_1 2" xfId="2396"/>
    <cellStyle name="百分比 2 17" xfId="2397"/>
    <cellStyle name="百分比 2 22" xfId="2398"/>
    <cellStyle name="@_text_货币资金 2" xfId="2399"/>
    <cellStyle name="好_1财务费用 6 3 2" xfId="2400"/>
    <cellStyle name="_Part III.200406.Loan and Liabilities details.(Site Name)_Worksheet in D: My Documents China Shenhua Overall - 2005 final Correspondence With Bobo Debriefing notes liabilities debriefing note 2005 12 31_pbc 080630 current liability_Sheet1" xfId="2401"/>
    <cellStyle name="好_1销售费用" xfId="2402"/>
    <cellStyle name="@_text_货币资金_H1-3 Addition list " xfId="2403"/>
    <cellStyle name="好_1销售费用 2" xfId="2404"/>
    <cellStyle name="@_text_货币资金_H1-3 Addition list  2" xfId="2405"/>
    <cellStyle name="@_text_货币资金_Sheet1" xfId="2406"/>
    <cellStyle name="@_text_货币资金_Sheet1 2" xfId="2407"/>
    <cellStyle name="@_text_货币资金_固定资产增加2" xfId="2408"/>
    <cellStyle name="差_19-无形资产（空白模板） 5 4" xfId="2409"/>
    <cellStyle name="@_text_货币资金_固定资产增加2 2" xfId="2410"/>
    <cellStyle name="0% 10 2 3" xfId="2411"/>
    <cellStyle name="SAPBEXexcGood1 2" xfId="2412"/>
    <cellStyle name="@_text_内部交易" xfId="2413"/>
    <cellStyle name="{Comma} 2" xfId="2414"/>
    <cellStyle name="差_短期借款_明细表 2 4" xfId="2415"/>
    <cellStyle name="_long term loan - others 300504_in-ter-com_200506.sales com.GI.intercompany" xfId="2416"/>
    <cellStyle name="_Book1_B12.Shenshuo.剥离核对表2000-2003_上市调账(2004年11月11日) 2" xfId="2417"/>
    <cellStyle name="好_底稿设置宏 5_明细表 4" xfId="2418"/>
    <cellStyle name="_long term loan - others 300504_in-ter-com_200506.sales com.GI.intercompany 2" xfId="2419"/>
    <cellStyle name="SAPBEXexcGood1 2 2" xfId="2420"/>
    <cellStyle name="@_text_内部交易 2" xfId="2421"/>
    <cellStyle name="_A6应收账款 3" xfId="2422"/>
    <cellStyle name="@_text_内部交易_H1-3 Addition list " xfId="2423"/>
    <cellStyle name="@_text_内部交易_H1-3 Addition list  2" xfId="2424"/>
    <cellStyle name="好_40-专项应付款(空白模板) 5 5" xfId="2425"/>
    <cellStyle name="差_19-无形资产（空白模板） 17" xfId="2426"/>
    <cellStyle name="差_19-无形资产（空白模板） 22" xfId="2427"/>
    <cellStyle name="Normal 7 2 3" xfId="2428"/>
    <cellStyle name="_Part III.200406.Loan and Liabilities details.(Site Name)_to do list" xfId="2429"/>
    <cellStyle name="@_text_内部交易_固定资产增加2" xfId="2430"/>
    <cellStyle name="差_30-应付账款（空白模板） 10_明细表" xfId="2431"/>
    <cellStyle name="Comma 7 3 2" xfId="2432"/>
    <cellStyle name="_0412 Consol.OR" xfId="2433"/>
    <cellStyle name="@_text_内部交易_固定资产增加2 2" xfId="2434"/>
    <cellStyle name="好_4-应收账款（空白模板） 4" xfId="2435"/>
    <cellStyle name="@_text_平阴pbc" xfId="2436"/>
    <cellStyle name="00 2 3 8" xfId="2437"/>
    <cellStyle name="差_FA 短期借款" xfId="2438"/>
    <cellStyle name="_Sheet2_Shinho1烟台欣和味达美食品有限公司2007年审计报表新新" xfId="2439"/>
    <cellStyle name="Comma  - Style7 3" xfId="2440"/>
    <cellStyle name="@_text_平阴pbc 2" xfId="2441"/>
    <cellStyle name="差_ZI存货 2 2" xfId="2442"/>
    <cellStyle name="好_明细表 2 5" xfId="2443"/>
    <cellStyle name="@_text_平阴pbc_H1-3 Addition list " xfId="2444"/>
    <cellStyle name="好_底稿设置宏 6 2 5" xfId="2445"/>
    <cellStyle name="_Account disclosure of entrusted loan 2" xfId="2446"/>
    <cellStyle name="常规 3 3 2 2 11 4" xfId="2447"/>
    <cellStyle name="@_text_平阴pbc_Sheet1" xfId="2448"/>
    <cellStyle name="@_text_平阴pbc_Sheet1 2" xfId="2449"/>
    <cellStyle name="_Binzhou Appendix4 TBJA updated@20070417 night.yan不调质量索赔" xfId="2450"/>
    <cellStyle name="差_47-盈余公积（空白模板） 2 2" xfId="2451"/>
    <cellStyle name="@_text_平阴pbc表2" xfId="2452"/>
    <cellStyle name="60% - 輔色1 6" xfId="2453"/>
    <cellStyle name="60% - 强调文字颜色 2 4 2" xfId="2454"/>
    <cellStyle name="@_text_平阴pbc表2_H1-3 Addition list " xfId="2455"/>
    <cellStyle name="_Part III.200406.Loan and Liabilities details.(Site Name)_KPMG original version" xfId="2456"/>
    <cellStyle name="好_55-资产减值损失（空白模板） 3_明细表 2" xfId="2457"/>
    <cellStyle name="_long term loan - others 300504_to do list_05成本到扎表1(1).9-结算部 2" xfId="2458"/>
    <cellStyle name="差_其他应付款 2 4" xfId="2459"/>
    <cellStyle name="好_复件 固定资产 6_明细表" xfId="2460"/>
    <cellStyle name="@_text_平阴pbc表2_H1-3 Addition list  2" xfId="2461"/>
    <cellStyle name="_Part III.200406.Loan and Liabilities details.(Site Name)_KPMG original version 2" xfId="2462"/>
    <cellStyle name="@_text_平阴pbc表2_Sheet1" xfId="2463"/>
    <cellStyle name="差_ZA0货币资金审定表  11_明细表" xfId="2464"/>
    <cellStyle name="@_text_其他收付" xfId="2465"/>
    <cellStyle name="@_text_其他收付 2" xfId="2466"/>
    <cellStyle name="00 16 2" xfId="2467"/>
    <cellStyle name="@_text_其他收付_H1-3 Addition list " xfId="2468"/>
    <cellStyle name="_Part III.200406.Loan and Liabilities details.(Site Name)_Part I - BS  PL with note to account (Site Name)_pbc 080630 current liability" xfId="2469"/>
    <cellStyle name="差_1公允价值变动损益 4" xfId="2470"/>
    <cellStyle name="20% - 强调文字颜色 5 2 12" xfId="2471"/>
    <cellStyle name="@_text_其他收付_H1-3 Addition list  2" xfId="2472"/>
    <cellStyle name="_Part III.200406.Loan and Liabilities details.(Site Name)_Part I - BS  PL with note to account (Site Name)_pbc 080630 current liability 2" xfId="2473"/>
    <cellStyle name="@_text_其他收付_Sheet1" xfId="2474"/>
    <cellStyle name="差_资产负债类底稿模版 2_明细表" xfId="2475"/>
    <cellStyle name="_Revaluation IFRS630" xfId="2476"/>
    <cellStyle name="_Revaluation IFRS630 2" xfId="2477"/>
    <cellStyle name="好_应收利息_固定资产" xfId="2478"/>
    <cellStyle name="好_明细表_应收账款期末审定表 2 4" xfId="2479"/>
    <cellStyle name="@_text_其他收付_Sheet1 2" xfId="2480"/>
    <cellStyle name="差_资产负债类底稿模版 2_明细表 2" xfId="2481"/>
    <cellStyle name="@_text_其他收付_固定资产增加2" xfId="2482"/>
    <cellStyle name="40% - 强调文字颜色 4 2 2" xfId="2483"/>
    <cellStyle name="好_应付职工薪酬 3 2 3" xfId="2484"/>
    <cellStyle name="_2.1 and 2.2 2" xfId="2485"/>
    <cellStyle name="@_text_其他收付_固定资产增加2 2" xfId="2486"/>
    <cellStyle name="40% - 强调文字颜色 4 2 2 2" xfId="2487"/>
    <cellStyle name="@_text_其他应收、应付账龄" xfId="2488"/>
    <cellStyle name="_天辉 jnl list_pbc 080630 current liability" xfId="2489"/>
    <cellStyle name="好_1存货 6" xfId="2490"/>
    <cellStyle name="好_1预收款项 13_明细表 5" xfId="2491"/>
    <cellStyle name="@_text_其他应收、应付账龄 2" xfId="2492"/>
    <cellStyle name="差_4-应收账款（空白模板） 7 3" xfId="2493"/>
    <cellStyle name="_天辉 jnl list_pbc 080630 current liability 2" xfId="2494"/>
    <cellStyle name="SAPBEXaggDataEmph 4" xfId="2495"/>
    <cellStyle name="_L1-3 aging test" xfId="2496"/>
    <cellStyle name="好_4-应收账款（空白模板） 11_明细表 4" xfId="2497"/>
    <cellStyle name="@_text_其他应收、应付账龄_H1-3 Addition list " xfId="2498"/>
    <cellStyle name="差_51-营业税金及附加（空白模板） 4 3" xfId="2499"/>
    <cellStyle name="@_text_其他应收、应付账龄_Sheet1 2" xfId="2500"/>
    <cellStyle name="_long term loan - others 300504_to do list_期末存货_05成本到扎表1(1).9-结算部" xfId="2501"/>
    <cellStyle name="差_40-专项应付款(空白模板) 6" xfId="2502"/>
    <cellStyle name="@_text_其他应收、应付账龄_固定资产增加2" xfId="2503"/>
    <cellStyle name="_GJ7 search URL_Sheet1" xfId="2504"/>
    <cellStyle name="@_text_其他应收账款账龄分析" xfId="2505"/>
    <cellStyle name="_GJ7 search URL_Sheet1 2" xfId="2506"/>
    <cellStyle name="差_1预收款项 7 2 3" xfId="2507"/>
    <cellStyle name="@_text_其他应收账款账龄分析 2" xfId="2508"/>
    <cellStyle name="_期末存货_05成本到扎表1(1).9-结算部 2" xfId="2509"/>
    <cellStyle name="@_text_其他应收账款账龄分析_H1-3 Addition list " xfId="2510"/>
    <cellStyle name="Normal - Style1 7" xfId="2511"/>
    <cellStyle name="60% - 强调文字颜色 1 2 3 4" xfId="2512"/>
    <cellStyle name="好_4-应收账款（空白模板） 11 2 4" xfId="2513"/>
    <cellStyle name="好_19-无形资产（空白模板） 13 2 5" xfId="2514"/>
    <cellStyle name="00 2 2 3" xfId="2515"/>
    <cellStyle name="差_1营业外收入 2 3" xfId="2516"/>
    <cellStyle name="好_应收利息 10 2 2" xfId="2517"/>
    <cellStyle name="_Part III.200406.Loan and Liabilities details.(Site Name)_2005-6-14北京成本倒轧表" xfId="2518"/>
    <cellStyle name="@_text_其他应收账款账龄分析_H1-3 Addition list  2" xfId="2519"/>
    <cellStyle name="好_1专项应付款 7_明细表 5" xfId="2520"/>
    <cellStyle name="百分比 4 11" xfId="2521"/>
    <cellStyle name="@_text_其他应收账款账龄分析_Sheet1" xfId="2522"/>
    <cellStyle name="Copied" xfId="2523"/>
    <cellStyle name="@_text_其他应收账款账龄分析_Sheet1 2" xfId="2524"/>
    <cellStyle name="40% - 强调文字颜色 4 4" xfId="2525"/>
    <cellStyle name="差_9-存货（空白模板） 5" xfId="2526"/>
    <cellStyle name="20% - 輔色5 4" xfId="2527"/>
    <cellStyle name="_L1固定资产" xfId="2528"/>
    <cellStyle name="_170407.聊城.Appendix4 TBJA.冲回质量索赔" xfId="2529"/>
    <cellStyle name="@_text_其他应收账款账龄分析_固定资产增加2" xfId="2530"/>
    <cellStyle name="差_1所得税费用 5" xfId="2531"/>
    <cellStyle name="40% - 强调文字颜色 4 4 2" xfId="2532"/>
    <cellStyle name="好_1资产减值损失_明细表_1 3" xfId="2533"/>
    <cellStyle name="@_text_其他应收账款账龄分析_固定资产增加2 2" xfId="2534"/>
    <cellStyle name="_ZJYE9802_050114.HY Bro.Film.GG1.Accounts Receivable 2" xfId="2535"/>
    <cellStyle name="@_text_山水审计报表 2" xfId="2536"/>
    <cellStyle name="億啟_ INVOICE" xfId="2537"/>
    <cellStyle name="好_54-财务费用（空白模板） 14 2 2" xfId="2538"/>
    <cellStyle name="0% 2 11 2" xfId="2539"/>
    <cellStyle name="_FA  CIP opening balance_pbc 080630 current liability" xfId="2540"/>
    <cellStyle name="强调文字颜色 6 2 2 2 2" xfId="2541"/>
    <cellStyle name="@_text_山水审计报表_H1-3 Addition list " xfId="2542"/>
    <cellStyle name="常规 2 2 2 17 7" xfId="2543"/>
    <cellStyle name="20% - 强调文字颜色 6 2 4" xfId="2544"/>
    <cellStyle name="@_text_山水审计报表_H1-3 Addition list  2" xfId="2545"/>
    <cellStyle name="_ZJYE9802_050114.HY Bro.Film.GG1.Accounts Receivable_Sheet1" xfId="2546"/>
    <cellStyle name="_041031.Pana-SIMS.GJ6_081031.B06.日照分公司.H1.固定资产 2" xfId="2547"/>
    <cellStyle name="好_49-营业收入（空白模板） 14_明细表 4" xfId="2548"/>
    <cellStyle name="@_text_山水审计报表_Sheet1" xfId="2549"/>
    <cellStyle name="好_资产负债标准底稿_大信底稿目录 21" xfId="2550"/>
    <cellStyle name="好_资产负债标准底稿_大信底稿目录 16" xfId="2551"/>
    <cellStyle name="_ZJYE9802_050114.HY Bro.Film.GG1.Accounts Receivable_Sheet1 2" xfId="2552"/>
    <cellStyle name="_long term loan - others 300504_to do list_200506.sales com.GI.intercompany" xfId="2553"/>
    <cellStyle name="差_短期借款 7 2 3" xfId="2554"/>
    <cellStyle name="好_固定资产 5 2 4" xfId="2555"/>
    <cellStyle name="_05年6.14结算部成本到扎表_Sheet1" xfId="2556"/>
    <cellStyle name="@_text_山水审计报表_Sheet1 2" xfId="2557"/>
    <cellStyle name="_SUAD Mar-CIP-Pre" xfId="2558"/>
    <cellStyle name="好_19-无形资产（空白模板） 9" xfId="2559"/>
    <cellStyle name="e鯪9Y" xfId="2560"/>
    <cellStyle name="@_text_山水审计报表_固定资产增加2" xfId="2561"/>
    <cellStyle name="好_无形资产 2 2 2" xfId="2562"/>
    <cellStyle name="20% - 强调文字颜色 2 2 6" xfId="2563"/>
    <cellStyle name="_SUAD Mar-CIP-Pre 2" xfId="2564"/>
    <cellStyle name="千位分隔 4 6 3" xfId="2565"/>
    <cellStyle name="好_19-无形资产（空白模板） 9 2" xfId="2566"/>
    <cellStyle name="@_text_山水审计报表_固定资产增加2 2" xfId="2567"/>
    <cellStyle name="_30-开发区" xfId="2568"/>
    <cellStyle name="60% - 强调文字颜色 3 4 2" xfId="2569"/>
    <cellStyle name="@_text_销售费用" xfId="2570"/>
    <cellStyle name="好_54-财务费用（空白模板） 11_明细表 3" xfId="2571"/>
    <cellStyle name="百分比 13 2 2 2" xfId="2572"/>
    <cellStyle name="常规 5 2 7 2 2" xfId="2573"/>
    <cellStyle name="@_text_销售费用_H1-3 Addition list " xfId="2574"/>
    <cellStyle name="@_text_销售费用_H1-3 Addition list  2" xfId="2575"/>
    <cellStyle name="_TB-2005 2" xfId="2576"/>
    <cellStyle name="@_text_销售费用_Sheet1" xfId="2577"/>
    <cellStyle name="Accent6 - 60% 5" xfId="2578"/>
    <cellStyle name="@_text_销售费用_Sheet1 2" xfId="2579"/>
    <cellStyle name="好_底稿设置宏 12 2" xfId="2580"/>
    <cellStyle name="_GD ver 1" xfId="2581"/>
    <cellStyle name="@_text_新奥集团往来帐0401-10" xfId="2582"/>
    <cellStyle name="好_1短期借款 11" xfId="2583"/>
    <cellStyle name="_Part III.200406.Loan and Liabilities details.(Site Name)_FA  CIP opening balance_pbc 080630 current liability_Sheet1" xfId="2584"/>
    <cellStyle name="_14 June 2005 Special Audit-company level-v2_pbc 080630 current liability_Sheet1 2" xfId="2585"/>
    <cellStyle name="@_text_新奥集团往来帐0401-10_H1-3 Addition list " xfId="2586"/>
    <cellStyle name="好_公允价值变动损益 7 2" xfId="2587"/>
    <cellStyle name="40% - 輔色1 5" xfId="2588"/>
    <cellStyle name="@_text_新奥集团往来帐0401-10_H1-3 Addition list  2" xfId="2589"/>
    <cellStyle name="_Yuande.GD.20040331.staff welfare" xfId="2590"/>
    <cellStyle name="00 2 2 10" xfId="2591"/>
    <cellStyle name="@_text_新奥集团往来帐0401-10_Sheet1" xfId="2592"/>
    <cellStyle name="00 14" xfId="2593"/>
    <cellStyle name="好_27-短期借款(空白模板) 2 2 2" xfId="2594"/>
    <cellStyle name="0% 10 3" xfId="2595"/>
    <cellStyle name="@_text_新奥集团往来帐0401-10_Sheet1 2" xfId="2596"/>
    <cellStyle name="00 14 2" xfId="2597"/>
    <cellStyle name="_Yuande.GD.20040331.staff welfare 2" xfId="2598"/>
    <cellStyle name="@_text_新奥集团往来帐0401-10_固定资产增加2 2" xfId="2599"/>
    <cellStyle name="@_text_制造费用" xfId="2600"/>
    <cellStyle name="40% - 强调文字颜色 4 5 2" xfId="2601"/>
    <cellStyle name="@_text_制造费用 2" xfId="2602"/>
    <cellStyle name="_Cut-off Schedule 2" xfId="2603"/>
    <cellStyle name="常规 7 12" xfId="2604"/>
    <cellStyle name="@_text_制造费用_H1-3 Addition list " xfId="2605"/>
    <cellStyle name="好_银行函证结果汇总表 16" xfId="2606"/>
    <cellStyle name="好_银行函证结果汇总表 21" xfId="2607"/>
    <cellStyle name="常规 3 2 9 2 4" xfId="2608"/>
    <cellStyle name="常规 7 12 2" xfId="2609"/>
    <cellStyle name="常规 4 2 3 3" xfId="2610"/>
    <cellStyle name="@_text_制造费用_H1-3 Addition list  2" xfId="2611"/>
    <cellStyle name="差_无形资产 11 2 5" xfId="2612"/>
    <cellStyle name="@_text_制造费用_Sheet1" xfId="2613"/>
    <cellStyle name="_IFRS by nature_pbc 080630 current liability_Sheet1 2" xfId="2614"/>
    <cellStyle name="_03国企会计报表（采购部）3.9" xfId="2615"/>
    <cellStyle name="@_text_制造费用_Sheet1 2" xfId="2616"/>
    <cellStyle name="@_text_制造费用_固定资产增加2" xfId="2617"/>
    <cellStyle name="好_1财务费用_明细表 2 4" xfId="2618"/>
    <cellStyle name="_(001) K1 存货.20071231 " xfId="2619"/>
    <cellStyle name="_(KFC) {Client} 4 增值税附表及变动表（邯郸万润）" xfId="2620"/>
    <cellStyle name="差_应付职工薪酬 19" xfId="2621"/>
    <cellStyle name="差_应付职工薪酬 24" xfId="2622"/>
    <cellStyle name="_(KFC) {Client} 4 增值税附表及变动表（邯郸万润） 2" xfId="2623"/>
    <cellStyle name="_002合并过程表" xfId="2624"/>
    <cellStyle name="好_51-营业税金及附加（空白模板） 12_明细表" xfId="2625"/>
    <cellStyle name="好_49-营业收入（空白模板） 6_明细表 2" xfId="2626"/>
    <cellStyle name="好_27-短期借款(空白模板) 4 2 2" xfId="2627"/>
    <cellStyle name="0,0_x000d__x000a_NA_x000d__x000a_ 4 2" xfId="2628"/>
    <cellStyle name="_01-股份公司" xfId="2629"/>
    <cellStyle name="差_预收款项 3_明细表 3" xfId="2630"/>
    <cellStyle name="好_1财务费用 3_明细表 3" xfId="2631"/>
    <cellStyle name="_02~04屠宰销售分类" xfId="2632"/>
    <cellStyle name="_02~04屠宰销售分类 2" xfId="2633"/>
    <cellStyle name="好_30-应付账款（空白模板） 16 4" xfId="2634"/>
    <cellStyle name="20% - 强调文字颜色 5 2 3_附注表一（财务报表）" xfId="2635"/>
    <cellStyle name="_02~04屠宰销售分类_Sheet1" xfId="2636"/>
    <cellStyle name="好_48-未分配利润（空白模板）_明细表 5" xfId="2637"/>
    <cellStyle name="_02~04屠宰销售分类_Sheet1 2" xfId="2638"/>
    <cellStyle name="_02-04年及04、05一季度鲜冻销成本分类5.12" xfId="2639"/>
    <cellStyle name="_公司填表2005-修改 4" xfId="2640"/>
    <cellStyle name="好_54-财务费用（空白模板） 2 3 2" xfId="2641"/>
    <cellStyle name="_051130.Pana-SIMS WPF sections" xfId="2642"/>
    <cellStyle name="_科技审计所需资料明细表" xfId="2643"/>
    <cellStyle name="差_Z14-长期应收款（函证汇总表样本）" xfId="2644"/>
    <cellStyle name="_051130.Pana-SIMS WPF sections 2" xfId="2645"/>
    <cellStyle name="_02-04年及04、05一季度鲜冻销成本分类5.12 2" xfId="2646"/>
    <cellStyle name="_051130.Pana-SIMS WPF sections_Sheet1" xfId="2647"/>
    <cellStyle name="_02-04年及04、05一季度鲜冻销成本分类5.12_Sheet1" xfId="2648"/>
    <cellStyle name="常规 3 14" xfId="2649"/>
    <cellStyle name="_预收帐款（2004年汇总）.0729" xfId="2650"/>
    <cellStyle name="_051130.Pana-SIMS WPF sections_Sheet1 2" xfId="2651"/>
    <cellStyle name="Percent 12" xfId="2652"/>
    <cellStyle name="_02-04年及04、05一季度鲜冻销成本分类5.12_Sheet1 2" xfId="2653"/>
    <cellStyle name="00 15 2" xfId="2654"/>
    <cellStyle name="好_无形资产 15_明细表 2" xfId="2655"/>
    <cellStyle name="_02报表－华宇" xfId="2656"/>
    <cellStyle name="_Part III.200406.Loan and Liabilities details.(Site Name)_1" xfId="2657"/>
    <cellStyle name="_40-木兰" xfId="2658"/>
    <cellStyle name="_2006.HC.Zhongning.R.Capital 2" xfId="2659"/>
    <cellStyle name="_02-齐齐哈尔" xfId="2660"/>
    <cellStyle name="_04-06 东营 Appendix4 TBJA.0411.v10" xfId="2661"/>
    <cellStyle name="_IFRS by nature_Sheet1" xfId="2662"/>
    <cellStyle name="好_盈余公积 4 2" xfId="2663"/>
    <cellStyle name="_12集团香港" xfId="2664"/>
    <cellStyle name="_04-06 东营 Appendix4 TBJA.0411.v10 2" xfId="2665"/>
    <cellStyle name="_IFRS by nature_Sheet1 2" xfId="2666"/>
    <cellStyle name="好 2 2" xfId="2667"/>
    <cellStyle name="_04-06 东营 Appendix4 TBJA.0411.v17" xfId="2668"/>
    <cellStyle name="好 2 2 2" xfId="2669"/>
    <cellStyle name="常规 3 3 2 2 10 8" xfId="2670"/>
    <cellStyle name="_04-06 东营 Appendix4 TBJA.0411.v17 2" xfId="2671"/>
    <cellStyle name="强调文字颜色 3 2 11" xfId="2672"/>
    <cellStyle name="好_短期借款 3_明细表 5" xfId="2673"/>
    <cellStyle name="_040930 PBC form SEDL" xfId="2674"/>
    <cellStyle name="好_1其他应付款_明细表" xfId="2675"/>
    <cellStyle name="差_1递延所得税资产 4" xfId="2676"/>
    <cellStyle name="_040930 PBC form SEDL 2" xfId="2677"/>
    <cellStyle name="_电子现金流量表2006 2" xfId="2678"/>
    <cellStyle name="好_Sheet1 2 12" xfId="2679"/>
    <cellStyle name="常规 2 2 18 2 4" xfId="2680"/>
    <cellStyle name="常规 2 2 23 2 4" xfId="2681"/>
    <cellStyle name="_CCB.HO.New TB template.CCB PRC IAS Sorting.040223 trial run_051130.Pana-SIMS.O section.VX_固定资产增加2_Sheet1" xfId="2682"/>
    <cellStyle name="好_山东办2011年1-6月发生但未付费用(1) 5" xfId="2683"/>
    <cellStyle name="_041031.Pana-SIMS.GG4" xfId="2684"/>
    <cellStyle name="好_55-资产减值损失（空白模板） 7_明细表 5" xfId="2685"/>
    <cellStyle name="_041031.Pana-SIMS.GJ6" xfId="2686"/>
    <cellStyle name="好_所得税费用 6 2" xfId="2687"/>
    <cellStyle name="_041031.Pana-SIMS.GJ6_081031.B06.日照分公司.H1.固定资产" xfId="2688"/>
    <cellStyle name="差_FO预计负债 3" xfId="2689"/>
    <cellStyle name="20% - 强调文字颜色 2 2 3 7" xfId="2690"/>
    <cellStyle name="_041031.Pana-SIMS.GJ6_081031.B06.日照分公司.H1.固定资产_Sheet1" xfId="2691"/>
    <cellStyle name="常规 5 2 8 2 2" xfId="2692"/>
    <cellStyle name="百分比 2 2 8 3" xfId="2693"/>
    <cellStyle name="_041031.Pana-SIMS.GJ6_081031.B06.日照分公司.H1.固定资产_Sheet1 2" xfId="2694"/>
    <cellStyle name="_新型建材" xfId="2695"/>
    <cellStyle name="_041031.Pana-SIMS.GJ6_H1-3 Addition list " xfId="2696"/>
    <cellStyle name="标题 1 2 3 5" xfId="2697"/>
    <cellStyle name="_071231.Penglaishinho.K102.Inventory.SY" xfId="2698"/>
    <cellStyle name="_新型建材 2" xfId="2699"/>
    <cellStyle name="好_递延所得税负债 - 复制" xfId="2700"/>
    <cellStyle name="计算 2 4 4" xfId="2701"/>
    <cellStyle name="_Part III.200406.Loan and Liabilities details.(Site Name)_PartII-Conso Jou supp Sch(SalesCo)(041231).conso" xfId="2702"/>
    <cellStyle name="_041031.Pana-SIMS.GJ6_H1-3 Addition list  2" xfId="2703"/>
    <cellStyle name="_Part III.200406.Loan and Liabilities details.(Site Name)_to do list_期末存货_intercompany transaction 2" xfId="2704"/>
    <cellStyle name="_041031.Pana-SIMS.GJ6_Sheet1" xfId="2705"/>
    <cellStyle name="好_1资产减值损失_明细表_1" xfId="2706"/>
    <cellStyle name="_041031.Pana-SIMS.GJ6_固定资产增加2" xfId="2707"/>
    <cellStyle name="好_1资产减值损失_明细表_1 2" xfId="2708"/>
    <cellStyle name="_041031.Pana-SIMS.GJ6_固定资产增加2 2" xfId="2709"/>
    <cellStyle name="差_15-固定资产（空白模板） 5_明细表" xfId="2710"/>
    <cellStyle name="Normal 5 2 2 5" xfId="2711"/>
    <cellStyle name="_041031.Pana-SIMS.GJ6_固定资产增加2_Sheet1" xfId="2712"/>
    <cellStyle name="超链接 2 13 3" xfId="2713"/>
    <cellStyle name="_0412 Consol.OR 2" xfId="2714"/>
    <cellStyle name="好_资产负债标准底稿 8 3 2" xfId="2715"/>
    <cellStyle name="_0412 Consol.OR.ver6.0" xfId="2716"/>
    <cellStyle name="_31.12 GD3 and GD9 11.8(ss)_CW.GD7 R&amp;D expense.0405 2" xfId="2717"/>
    <cellStyle name="_0412 Consol.OR.ver6.0 2" xfId="2718"/>
    <cellStyle name="00 11" xfId="2719"/>
    <cellStyle name="_04-佳木斯" xfId="2720"/>
    <cellStyle name="常规 2 3 7 2 5" xfId="2721"/>
    <cellStyle name="_GK1--Technology- income tax_Q2-1 EIT recon_Sheet1" xfId="2722"/>
    <cellStyle name="_05(1).1-3鲜冻销统计表 上海雨润" xfId="2723"/>
    <cellStyle name="_GK1--Technology- income tax_Q2-1 EIT recon_Sheet1 2" xfId="2724"/>
    <cellStyle name="好_49-营业收入（空白模板） 11 2 5" xfId="2725"/>
    <cellStyle name="_05(1).1-3鲜冻销统计表 上海雨润 2" xfId="2726"/>
    <cellStyle name="常规 2 2 2 5 2 8" xfId="2727"/>
    <cellStyle name="差_资产负债类底稿模版 5_明细表 4" xfId="2728"/>
    <cellStyle name="常规 48 4" xfId="2729"/>
    <cellStyle name="_05(1).1-3鲜冻销统计表 上海雨润_Sheet1" xfId="2730"/>
    <cellStyle name="_05(1).1-3鲜冻销统计表 上海雨润_Sheet1 2" xfId="2731"/>
    <cellStyle name="好_1专项应付款 10 2" xfId="2732"/>
    <cellStyle name="40% - 輔色2 4" xfId="2733"/>
    <cellStyle name="好_资产负债类底稿模版_大信底稿目录 6 4 2" xfId="2734"/>
    <cellStyle name="好_审计分组-1218定稿_附注表一（财务报表）" xfId="2735"/>
    <cellStyle name="好_50-营业成本（空白模板） 7_明细表 3" xfId="2736"/>
    <cellStyle name="Accent3 9" xfId="2737"/>
    <cellStyle name="_B13预收账款2005" xfId="2738"/>
    <cellStyle name="_050114.HY Bro.Film.GG1.Accounts Receivable_170407.聊城.Appendix4 TBJA.冲回质量索赔" xfId="2739"/>
    <cellStyle name="_050114.HY Bro.Film.GG1.Accounts Receivable_170407.聊城.Appendix4 TBJA.冲回质量索赔_pbc 080630 current liability 2" xfId="2740"/>
    <cellStyle name="差_营业收入 7" xfId="2741"/>
    <cellStyle name="_interest rate of Holding_Worksheet in (Read-Only) Coaching Note - back up" xfId="2742"/>
    <cellStyle name="差_ZA0货币资金审定表 _货币资金 2" xfId="2743"/>
    <cellStyle name="Normal - Style1 2 18 3" xfId="2744"/>
    <cellStyle name="_050114.HY Bro.Film.GG1.Accounts Receivable_170407.聊城.Appendix4 TBJA.冲回质量索赔_pbc 080630 current liability_Sheet1" xfId="2745"/>
    <cellStyle name="_公司填表2005-修改_3-2-A1B-银行存款" xfId="2746"/>
    <cellStyle name="差_报表层次重要性水平 4 3" xfId="2747"/>
    <cellStyle name="_050114.HY Bro.Film.GG1.Accounts Receivable_170407.聊城.Appendix4 TBJA.冲回质量索赔_pbc 080630 current liability_Sheet1 2" xfId="2748"/>
    <cellStyle name="好__dxn_temp空白表页 14 2 2" xfId="2749"/>
    <cellStyle name="SAPBEXundefined 3 3" xfId="2750"/>
    <cellStyle name="60% - Accent3 2" xfId="2751"/>
    <cellStyle name="好_49-营业收入（空白模板）_明细表_1 4" xfId="2752"/>
    <cellStyle name="SAPBEXexcCritical5 2 2" xfId="2753"/>
    <cellStyle name="_050114.HY Bro.Film.GG1.Accounts Receivable_170407.聊城.Appendix4 TBJA.冲回质量索赔_Sheet1" xfId="2754"/>
    <cellStyle name="_Part III.200406.Loan and Liabilities details.(Site Name)_intercom tran_pbc 080630 current liability_Sheet1 2" xfId="2755"/>
    <cellStyle name="差_1资本公积" xfId="2756"/>
    <cellStyle name="60% - Accent3 2 2" xfId="2757"/>
    <cellStyle name="_050114.HY Bro.Film.GG1.Accounts Receivable_170407.聊城.Appendix4 TBJA.冲回质量索赔_Sheet1 2" xfId="2758"/>
    <cellStyle name="好_1固定资产_明细表 5" xfId="2759"/>
    <cellStyle name="_050114.HY Bro.Film.GG1.Accounts Receivable_Sheet1" xfId="2760"/>
    <cellStyle name="_050114.HY Bro.Film.GG1.Accounts Receivable_Sheet1 2" xfId="2761"/>
    <cellStyle name="好_1营业收入 6 2" xfId="2762"/>
    <cellStyle name="_2005-6-14北京成本倒轧表" xfId="2763"/>
    <cellStyle name="_050124 Sales Co Part I - BS &amp; PL with note to account (Consol) v2_Sheet1" xfId="2764"/>
    <cellStyle name="_050124 Sales Co Part I - BS &amp; PL with note to account (Consol) v2_Sheet1 2" xfId="2765"/>
    <cellStyle name="好_49-营业收入（空白模板） 18" xfId="2766"/>
    <cellStyle name="好_49-营业收入（空白模板） 23" xfId="2767"/>
    <cellStyle name="标题 4 2 8" xfId="2768"/>
    <cellStyle name="好_1预收款项_明细表" xfId="2769"/>
    <cellStyle name="常规 38 3 3" xfId="2770"/>
    <cellStyle name="好_ZG应收保费 2 4" xfId="2771"/>
    <cellStyle name="_050811.Sihitech-software.contract review-m-e" xfId="2772"/>
    <cellStyle name="_x0007__3-采购与付款循环(长期性资产) 5" xfId="2773"/>
    <cellStyle name="_Part III.200406.Loan and Liabilities details.(Site Name)_AR&amp;OR over 3 years-Full provision_Sheet1" xfId="2774"/>
    <cellStyle name="差_固定资产 6" xfId="2775"/>
    <cellStyle name="_051122.Key summary to auditor" xfId="2776"/>
    <cellStyle name="_Part III.200406.Loan and Liabilities details.(Site Name)_AR&amp;OR over 3 years-Full provision_Sheet1 2" xfId="2777"/>
    <cellStyle name="_051122.Key summary to auditor 2" xfId="2778"/>
    <cellStyle name="好_19-无形资产（空白模板） 8_明细表 5" xfId="2779"/>
    <cellStyle name="差_固定资产 6 2" xfId="2780"/>
    <cellStyle name="常规 33 3 2" xfId="2781"/>
    <cellStyle name="_051122.Key summary to auditor_Sheet1" xfId="2782"/>
    <cellStyle name="40% - 强调文字颜色 4 2 2 3" xfId="2783"/>
    <cellStyle name="好_1短期借款 9 3" xfId="2784"/>
    <cellStyle name="_051130.Pana-SIMS.O section.VX" xfId="2785"/>
    <cellStyle name="_051130.Pana-SIMS.O section.VX 2" xfId="2786"/>
    <cellStyle name="_051231.Q2.Technology- income tax" xfId="2787"/>
    <cellStyle name="_051231.Q2.Technology- income tax 2" xfId="2788"/>
    <cellStyle name="好_2-交易性金融资产（空白模板） 2 2 2" xfId="2789"/>
    <cellStyle name="40% - 强调文字颜色 5 2 3 3" xfId="2790"/>
    <cellStyle name="_051231.Q2.Technology- income tax_Q2-1 EIT recon" xfId="2791"/>
    <cellStyle name="差_专项应付款_明细表_1 4" xfId="2792"/>
    <cellStyle name="_051231.Q2.Technology- income tax_Q2-1 EIT recon 2" xfId="2793"/>
    <cellStyle name="_051231.Q2.Technology- income tax_Q2-1 EIT recon_Sheet1" xfId="2794"/>
    <cellStyle name="20% - 强调文字颜色 5 2 2 7" xfId="2795"/>
    <cellStyle name="_RPT for account disclosure (05A share balance company level ) (2)_pbc 080630 current liability" xfId="2796"/>
    <cellStyle name="好_资产负债标准底稿 12 2 5" xfId="2797"/>
    <cellStyle name="标题 5 3" xfId="2798"/>
    <cellStyle name="_051231.Q2.Technology- income tax_Q2-1 EIT recon_Sheet1 2" xfId="2799"/>
    <cellStyle name="好_1预收款项 13 2 4" xfId="2800"/>
    <cellStyle name="Normal 3" xfId="2801"/>
    <cellStyle name="_05单户附注-达园" xfId="2802"/>
    <cellStyle name="_05单户附注-沈阳分公司" xfId="2803"/>
    <cellStyle name="_中企华与毕马威评估增减值调整分析-国际贸易_B12.Shenshuo.剥离核对表2000-2003" xfId="2804"/>
    <cellStyle name="好_实收资本(股本) 3" xfId="2805"/>
    <cellStyle name="常规 2 4 2 12 2" xfId="2806"/>
    <cellStyle name="_Unbilled AR and Billing in excess 2" xfId="2807"/>
    <cellStyle name="好_19-无形资产（空白模板） 11 2 5" xfId="2808"/>
    <cellStyle name="差_1专项应付款 7 2" xfId="2809"/>
    <cellStyle name="_05-鸡西" xfId="2810"/>
    <cellStyle name="好_49-营业收入（空白模板） 4 5" xfId="2811"/>
    <cellStyle name="_05年6.14结算部成本到扎表" xfId="2812"/>
    <cellStyle name="差_40-专项应付款(空白模板) 10 2 2" xfId="2813"/>
    <cellStyle name="好_31-预收账款（空白模板） 17 2" xfId="2814"/>
    <cellStyle name="Accent4 - 40% 5" xfId="2815"/>
    <cellStyle name="差_29-应付票据（空白模板） 2" xfId="2816"/>
    <cellStyle name="好_投资收益 4" xfId="2817"/>
    <cellStyle name="_Part VI - Supp Schedule P&amp;L Item (Site Name)_pbc 080630 current liability_Sheet1 2" xfId="2818"/>
    <cellStyle name="常规 2 5 2 4" xfId="2819"/>
    <cellStyle name="_05月佳都电子" xfId="2820"/>
    <cellStyle name="好_50-营业成本（空白模板） 2 2 2 2" xfId="2821"/>
    <cellStyle name="_060121 Sales Co payment on behalf Dec 05 v2" xfId="2822"/>
    <cellStyle name="_long term loan - others 300504_AR&amp;OR over 3 years-Full provision_pbc 080630 current liability 2" xfId="2823"/>
    <cellStyle name="Accent6 - 60% 3 2" xfId="2824"/>
    <cellStyle name="常规 38 2 4" xfId="2825"/>
    <cellStyle name="_GD2, GD3 (28 May).cp.(include re-class)_GD3 and GD9 11.8_G6 GA expense 062007" xfId="2826"/>
    <cellStyle name="_GJ4 Other payables_Sheet1 2" xfId="2827"/>
    <cellStyle name="_060121 Sales Co payment on behalf Dec 05 v2_Sheet1" xfId="2828"/>
    <cellStyle name="好__dxn_temp空白表页 17 6" xfId="2829"/>
    <cellStyle name="_061231.Liaocheng.AR&amp;OR" xfId="2830"/>
    <cellStyle name="0% 32" xfId="2831"/>
    <cellStyle name="0% 27" xfId="2832"/>
    <cellStyle name="好_财务费用 4 2 4" xfId="2833"/>
    <cellStyle name="好_资产负债类底稿模版 4 2 4" xfId="2834"/>
    <cellStyle name="_061231.Liaocheng.AR&amp;OR 2" xfId="2835"/>
    <cellStyle name="_061231.Liaocheng.income tax.Q2" xfId="2836"/>
    <cellStyle name="_061231.Liaocheng.income tax.Q2 2" xfId="2837"/>
    <cellStyle name="好_ZA0货币资金审定表  7 2 2" xfId="2838"/>
    <cellStyle name="³£¹æ_Conso.new4" xfId="2839"/>
    <cellStyle name="常规 3 6 3 2" xfId="2840"/>
    <cellStyle name="_061231.Liaocheng.Paid in capital &amp; PYA.R1" xfId="2841"/>
    <cellStyle name="_061231.Liaocheng.Paid in capital &amp; PYA.R1 2" xfId="2842"/>
    <cellStyle name="_061231.Liaocheng.Paid in capital &amp; PYA.R1_Sheet1" xfId="2843"/>
    <cellStyle name="好_1营业收入 26" xfId="2844"/>
    <cellStyle name="好_1营业收入 31" xfId="2845"/>
    <cellStyle name="常规 2 4 3 3 3" xfId="2846"/>
    <cellStyle name="差_其他应收款 4 2" xfId="2847"/>
    <cellStyle name="_FA JA过入明细工厂11_固定资产增加2_Sheet1" xfId="2848"/>
    <cellStyle name="_061231.Liaocheng.Paid in capital &amp; PYA.R1_Sheet1 2" xfId="2849"/>
    <cellStyle name="40% - 强调文字颜色 4 2" xfId="2850"/>
    <cellStyle name="差_9-存货（空白模板） 3" xfId="2851"/>
    <cellStyle name="20% - 輔色5 2" xfId="2852"/>
    <cellStyle name="0% 8 2 2" xfId="2853"/>
    <cellStyle name="好_黄金项目组审计人员通讯录 3" xfId="2854"/>
    <cellStyle name="_2.1 and 2.2" xfId="2855"/>
    <cellStyle name="好_50-营业成本（空白模板） 17" xfId="2856"/>
    <cellStyle name="好_50-营业成本（空白模板） 22" xfId="2857"/>
    <cellStyle name="_061231.Pingyin.income tax.Q2 2" xfId="2858"/>
    <cellStyle name="_061231.Pingyin.L1.AR" xfId="2859"/>
    <cellStyle name="常规 105" xfId="2860"/>
    <cellStyle name="常规 110" xfId="2861"/>
    <cellStyle name="_061231.Pingyin.L1.AR 2" xfId="2862"/>
    <cellStyle name="60% - 輔色6 5" xfId="2863"/>
    <cellStyle name="差__dxn_temp空白表页 6 4" xfId="2864"/>
    <cellStyle name="_061231.Pingyin.L1.AR_Sheet1" xfId="2865"/>
    <cellStyle name="_061231.Pingyin.L1.AR_Sheet1 2" xfId="2866"/>
    <cellStyle name="差_1短期借款 3 4" xfId="2867"/>
    <cellStyle name="常规 2 2 2 2 19" xfId="2868"/>
    <cellStyle name="常规 2 2 2 2 24" xfId="2869"/>
    <cellStyle name="_第一太平 2" xfId="2870"/>
    <cellStyle name="_061231.Pingyin.Paid in capital &amp; PYA.R1" xfId="2871"/>
    <cellStyle name="好_40-专项应付款(空白模板) 15 2 4" xfId="2872"/>
    <cellStyle name="_061231.Pingyin.Paid in capital &amp; PYA.R1_Sheet1" xfId="2873"/>
    <cellStyle name="_061231.Qingdao.Government grants" xfId="2874"/>
    <cellStyle name="常规 3 3 2 13" xfId="2875"/>
    <cellStyle name="_20061231 Juye  Appendix4 TB JA@20070417pmupdate yan 2" xfId="2876"/>
    <cellStyle name="_061231.Qingdao.Government grants_Sheet1" xfId="2877"/>
    <cellStyle name="常规 3 2 2 3 2 12" xfId="2878"/>
    <cellStyle name="40% - 强调文字颜色 4 6 2" xfId="2879"/>
    <cellStyle name="_061231.Qingdao.Paid in capital.R1" xfId="2880"/>
    <cellStyle name="_经营承担 14_Sheet1 2" xfId="2881"/>
    <cellStyle name="好_54-财务费用（空白模板） 11_附注表一（财务报表）" xfId="2882"/>
    <cellStyle name="常规 2 4 2 2 2 4" xfId="2883"/>
    <cellStyle name="_061231.Qingdao.Paid in capital.R1_Sheet1" xfId="2884"/>
    <cellStyle name="Normal - Style1 9" xfId="2885"/>
    <cellStyle name="60% - 强调文字颜色 1 2 3 6" xfId="2886"/>
    <cellStyle name="好_短期借款 3 2 3" xfId="2887"/>
    <cellStyle name="00 2 2 5" xfId="2888"/>
    <cellStyle name="好_54-财务费用（空白模板） 14 2" xfId="2889"/>
    <cellStyle name="0% 2 11" xfId="2890"/>
    <cellStyle name="_雨润损益明细(Kpmg第三稿)_Sheet1 2" xfId="2891"/>
    <cellStyle name="_06-鹤岗" xfId="2892"/>
    <cellStyle name="_sales by segment" xfId="2893"/>
    <cellStyle name="好_40-专项应付款(空白模板) 5_明细表 2" xfId="2894"/>
    <cellStyle name="_07.FJCTE.ReportingPackage.050930 &amp; 060930.181006" xfId="2895"/>
    <cellStyle name="0% 6 4" xfId="2896"/>
    <cellStyle name="百分比 2 2 6 2 3" xfId="2897"/>
    <cellStyle name="_sales by segment 2" xfId="2898"/>
    <cellStyle name="差_资产负债类底稿模版 13_明细表 3" xfId="2899"/>
    <cellStyle name="_07.FJCTE.ReportingPackage.050930 &amp; 060930.181006 2" xfId="2900"/>
    <cellStyle name="_Part III.200406.Loan and Liabilities details.(Site Name)_TB CTE FJ 16.v1" xfId="2901"/>
    <cellStyle name="差_无形资产_应收账款 2" xfId="2902"/>
    <cellStyle name="_20061231.Daye.L300.OR.SY" xfId="2903"/>
    <cellStyle name="_Part III - Journal List, Profit Recon &amp; op data(Site Name)_Sheet1 2" xfId="2904"/>
    <cellStyle name="_07.FJCTE.ReportingPackage.050930 &amp; 060930.181006_1" xfId="2905"/>
    <cellStyle name="常规 3 3 2 2 9 3 5" xfId="2906"/>
    <cellStyle name="_07.FJCTE.ReportingPackage.050930 revised.141006" xfId="2907"/>
    <cellStyle name="_07.FJCTE.ReportingPackage.050930 revised.161006.v1 2" xfId="2908"/>
    <cellStyle name="好_ZA0货币资金审定表  14 2 4" xfId="2909"/>
    <cellStyle name="40% - 强调文字颜色 2 2 3 8" xfId="2910"/>
    <cellStyle name="_07.FJCTE.ReportingPackage.050930 revised.171006" xfId="2911"/>
    <cellStyle name="差_应收账款 3 6" xfId="2912"/>
    <cellStyle name="_07.FJCTE.ReportingPackage.050930 revised.171006 2" xfId="2913"/>
    <cellStyle name="60% - 强调文字颜色 1 6" xfId="2914"/>
    <cellStyle name="好_ZO固定资产 4" xfId="2915"/>
    <cellStyle name="_070326 创新新材 Appendix4 TBJA.v4 2" xfId="2916"/>
    <cellStyle name="好_无形资产 3 2 3" xfId="2917"/>
    <cellStyle name="20% - 强调文字颜色 3 2 7" xfId="2918"/>
    <cellStyle name="常规 3 2 5 7" xfId="2919"/>
    <cellStyle name="差_G-应收账款 11" xfId="2920"/>
    <cellStyle name="_D11营业外支出 2" xfId="2921"/>
    <cellStyle name="好_42-递延所得税负债（空白模板）" xfId="2922"/>
    <cellStyle name="好_1应收票据 4" xfId="2923"/>
    <cellStyle name="_070326 创新新材 Appendix4 TBJA.v4_pbc 080630 current liability" xfId="2924"/>
    <cellStyle name="20% - 强调文字颜色 3 2 7 2" xfId="2925"/>
    <cellStyle name="好_42-递延所得税负债（空白模板） 2" xfId="2926"/>
    <cellStyle name="_070326 创新新材 Appendix4 TBJA.v4_pbc 080630 current liability 2" xfId="2927"/>
    <cellStyle name="好_37-长期借款（空白模板） 3 2" xfId="2928"/>
    <cellStyle name="_公司填表2005-吴_Sheet1 4" xfId="2929"/>
    <cellStyle name="常规 9 3 5 6" xfId="2930"/>
    <cellStyle name="_070930.Chengye.G300 cost of sales.SY" xfId="2931"/>
    <cellStyle name="常规 2 2 9 4 2" xfId="2932"/>
    <cellStyle name="_070930.Chengye.K300.Production cost.SY" xfId="2933"/>
    <cellStyle name="差_42-递延所得税负债（空白模板） 2" xfId="2934"/>
    <cellStyle name="_BJ Austar GL Share capital 211105_IFRIC 12 template" xfId="2935"/>
    <cellStyle name="_071231.CS WIND.M102.Cash &amp; bank" xfId="2936"/>
    <cellStyle name="好_51-营业税金及附加（空白模板）_明细表 4" xfId="2937"/>
    <cellStyle name="差_审定表 2" xfId="2938"/>
    <cellStyle name="20% - 强调文字颜色 6 2 2 3" xfId="2939"/>
    <cellStyle name="好_存货 - 复制 3" xfId="2940"/>
    <cellStyle name="差_6实地观察经营场所调查问卷 2 3" xfId="2941"/>
    <cellStyle name="差_42-递延所得税负债（空白模板） 2 2" xfId="2942"/>
    <cellStyle name="_BJ Austar GL Share capital 211105_IFRIC 12 template 2" xfId="2943"/>
    <cellStyle name="常规 3 5 5 2 3" xfId="2944"/>
    <cellStyle name="_071231.CS WIND.M102.Cash &amp; bank 2" xfId="2945"/>
    <cellStyle name="_雨润损益明细(Kpmg第三稿)" xfId="2946"/>
    <cellStyle name="40% - 强调文字颜色 6 2 12" xfId="2947"/>
    <cellStyle name="好_30-应付账款（空白模板） 7_明细表" xfId="2948"/>
    <cellStyle name="_071231.CWIT.G800.Salary and Welfare" xfId="2949"/>
    <cellStyle name="_雨润损益明细(Kpmg第三稿) 2" xfId="2950"/>
    <cellStyle name="好_复件 固定资产 3_明细表 4" xfId="2951"/>
    <cellStyle name="好_58-营业外收入（空白模板） 2 4" xfId="2952"/>
    <cellStyle name="好_30-应付账款（空白模板） 7_明细表 2" xfId="2953"/>
    <cellStyle name="_071231.CWIT.G800.Salary and Welfare 2" xfId="2954"/>
    <cellStyle name="好_递延所得税负债 - 复制 2" xfId="2955"/>
    <cellStyle name="好_G-应收账款_明细表 3" xfId="2956"/>
    <cellStyle name="_Part III.200406.Loan and Liabilities details.(Site Name)_PartII-Conso Jou supp Sch(SalesCo)(041231).conso 2" xfId="2957"/>
    <cellStyle name="_long term loan - others 300504_TB CTE FJ 02-1" xfId="2958"/>
    <cellStyle name="KPMG Heading 3 2" xfId="2959"/>
    <cellStyle name="差_Z11其它流动资产 3 3" xfId="2960"/>
    <cellStyle name="百分比 3 2 3" xfId="2961"/>
    <cellStyle name="_071231.Penglaishinho.K102.Inventory.SY 2" xfId="2962"/>
    <cellStyle name="好_ZA货币资金 5" xfId="2963"/>
    <cellStyle name="好_1营业收入 4 2 4" xfId="2964"/>
    <cellStyle name="_071231.TFL.sales.CY" xfId="2965"/>
    <cellStyle name="常规 6 2 7" xfId="2966"/>
    <cellStyle name="_沈阳分公司底稿-jx" xfId="2967"/>
    <cellStyle name="好_ZA货币资金 5 2" xfId="2968"/>
    <cellStyle name="_071231.TFL.sales.CY 2" xfId="2969"/>
    <cellStyle name="好_大信底稿目录 19" xfId="2970"/>
    <cellStyle name="好_大信底稿目录 24" xfId="2971"/>
    <cellStyle name="好_1预收款项 2 3 2" xfId="2972"/>
    <cellStyle name="_071231.Weidamei plant.H102.Fixed assets" xfId="2973"/>
    <cellStyle name="好_55-资产减值损失（空白模板） 3_明细表 4" xfId="2974"/>
    <cellStyle name="好_27-短期借款(空白模板) 5_明细表" xfId="2975"/>
    <cellStyle name="_应收票据" xfId="2976"/>
    <cellStyle name="差_黄金项目组审计人员通讯录 2 2" xfId="2977"/>
    <cellStyle name="_071231.Weidamei plant.H102.Fixed assets_081031.B06.日照分公司.H1.固定资产" xfId="2978"/>
    <cellStyle name="好_27-短期借款(空白模板) 5_明细表 2" xfId="2979"/>
    <cellStyle name="_FA JA过入明细工厂11_081031.B06.日照分公司.H1.固定资产_Sheet1" xfId="2980"/>
    <cellStyle name="_应收票据 2" xfId="2981"/>
    <cellStyle name="千位分隔 2 50" xfId="2982"/>
    <cellStyle name="千位分隔 2 45" xfId="2983"/>
    <cellStyle name="差_资产负债类底稿模版 4_明细表 5" xfId="2984"/>
    <cellStyle name="_071231.Weidamei plant.H102.Fixed assets_081031.B06.日照分公司.H1.固定资产 2" xfId="2985"/>
    <cellStyle name="_071231.Weidamei plant.H102.Fixed assets_081031.B06.日照分公司.H1.固定资产_Sheet1" xfId="2986"/>
    <cellStyle name="好_ZA0货币资金审定表 _3固定资产" xfId="2987"/>
    <cellStyle name="好_公允价值变动损益 5" xfId="2988"/>
    <cellStyle name="千位分隔 2 2 4" xfId="2989"/>
    <cellStyle name="_071231.Weidamei plant.H102.Fixed assets_081031.B06.日照分公司.H1.固定资产_Sheet1 2" xfId="2990"/>
    <cellStyle name="好_ZA0货币资金审定表 _3固定资产 2" xfId="2991"/>
    <cellStyle name="好_1营业收入 11" xfId="2992"/>
    <cellStyle name="40% - 强调文字颜色 5 2 7" xfId="2993"/>
    <cellStyle name="00 2 2 2 3" xfId="2994"/>
    <cellStyle name="Normal - Style1 6 3" xfId="2995"/>
    <cellStyle name="20% - 强调文字颜色 4 2 2" xfId="2996"/>
    <cellStyle name="好_营业收入_明细表_1" xfId="2997"/>
    <cellStyle name="_071231.Weidamei plant.H102.Fixed assets_H1-3 Addition list " xfId="2998"/>
    <cellStyle name="好__dxn_temp空白表页 11_明细表 4" xfId="2999"/>
    <cellStyle name="差_27-短期借款(空白模板) 3" xfId="3000"/>
    <cellStyle name="40% - 强调文字颜色 1 2 2 7" xfId="3001"/>
    <cellStyle name="差_FJ其他应付款 5 3" xfId="3002"/>
    <cellStyle name="_071231.Weidamei plant.H102.Fixed assets_固定资产增加2" xfId="3003"/>
    <cellStyle name="差_专项应付款 28" xfId="3004"/>
    <cellStyle name="差_专项应付款 33" xfId="3005"/>
    <cellStyle name="_071231.Weidamei plant.H102.Fixed assets_固定资产增加2 2" xfId="3006"/>
    <cellStyle name="差_预收款项 7 4" xfId="3007"/>
    <cellStyle name="00 3 6" xfId="3008"/>
    <cellStyle name="20% - 强调文字颜色 2 2 3 4" xfId="3009"/>
    <cellStyle name="好_27-短期借款(空白模板) 5 2 2" xfId="3010"/>
    <cellStyle name="_071231.Weidamei plant.H102.Fixed assets_固定资产增加2_Sheet1" xfId="3011"/>
    <cellStyle name="常规 86" xfId="3012"/>
    <cellStyle name="常规 91" xfId="3013"/>
    <cellStyle name="_071231.阿尔若维根斯.应付工资.v1 3" xfId="3014"/>
    <cellStyle name="常规 88" xfId="3015"/>
    <cellStyle name="常规 93" xfId="3016"/>
    <cellStyle name="_071231.阿尔若维根斯.应付工资.v1 5" xfId="3017"/>
    <cellStyle name="千位分隔 2 3 2 3 2 3" xfId="3018"/>
    <cellStyle name="好_1营业收入_货币资金 2" xfId="3019"/>
    <cellStyle name="常规 89" xfId="3020"/>
    <cellStyle name="常规 94" xfId="3021"/>
    <cellStyle name="_071231.阿尔若维根斯.应付工资.v1 6" xfId="3022"/>
    <cellStyle name="好_其他应付款 2" xfId="3023"/>
    <cellStyle name="_071231.大连营业所.现金及银行存款.ss.ok" xfId="3024"/>
    <cellStyle name="40% - 强调文字颜色 1 2 3 7" xfId="3025"/>
    <cellStyle name="好_其他应付款 2 2" xfId="3026"/>
    <cellStyle name="好_1短期借款 15 2 4" xfId="3027"/>
    <cellStyle name="差_无形资产 9_明细表" xfId="3028"/>
    <cellStyle name="_071231.大连营业所.现金及银行存款.ss.ok 2" xfId="3029"/>
    <cellStyle name="_Weisheng_GG2 2" xfId="3030"/>
    <cellStyle name="千位分隔 2 5 2 4 2 5" xfId="3031"/>
    <cellStyle name="_CCB.HO.New TB template.CCB PRC IAS Sorting.040223 trial run_051130.Pana-SIMS WPF sections_Sheet1 2" xfId="3032"/>
    <cellStyle name="_071231.大连营业所.现金及银行存款.ss.ok_081031.B06.日照分公司.H1.固定资产" xfId="3033"/>
    <cellStyle name="千位分隔 2 24 2 4" xfId="3034"/>
    <cellStyle name="千位分隔 2 19 2 4" xfId="3035"/>
    <cellStyle name="好_1专项应付款 14_附注表一（财务报表）" xfId="3036"/>
    <cellStyle name="千位分隔 5 11 2 5" xfId="3037"/>
    <cellStyle name="_071231.大连营业所.现金及银行存款.ss.ok_081031.B06.日照分公司.H1.固定资产 2" xfId="3038"/>
    <cellStyle name="差_底稿设置宏 5 4" xfId="3039"/>
    <cellStyle name="_071231.大连营业所.现金及银行存款.ss.ok_081031.B06.日照分公司.H1.固定资产_Sheet1 2" xfId="3040"/>
    <cellStyle name="_071231.大连营业所.现金及银行存款.ss.ok_H1-3 Addition list " xfId="3041"/>
    <cellStyle name="_071231.大连营业所.现金及银行存款.ss.ok_H1-3 Addition list  2" xfId="3042"/>
    <cellStyle name="_071231.大连营业所.现金及银行存款.ss.ok_Sheet1 2" xfId="3043"/>
    <cellStyle name="_RPT Wp--consol 2" xfId="3044"/>
    <cellStyle name="差_27-短期借款(空白模板) 10 2 3" xfId="3045"/>
    <cellStyle name="_071231.大连营业所.现金及银行存款.ss.ok_固定资产增加2" xfId="3046"/>
    <cellStyle name="_071231.大连营业所.现金及银行存款.ss.ok_固定资产增加2 2" xfId="3047"/>
    <cellStyle name="_071231.大连营业所.现金及银行存款.ss.ok_固定资产增加2_Sheet1" xfId="3048"/>
    <cellStyle name="超级链接 4" xfId="3049"/>
    <cellStyle name="百分比 2 3 3 7" xfId="3050"/>
    <cellStyle name="_071231.大连营业所.现金及银行存款.ss.ok_固定资产增加2_Sheet1 2" xfId="3051"/>
    <cellStyle name="Normal - Style1 9 3" xfId="3052"/>
    <cellStyle name="20% - 强调文字颜色 4 5 2" xfId="3053"/>
    <cellStyle name="_071231.松下电子.固定资产-9" xfId="3054"/>
    <cellStyle name="_071231.松下电子.固定资产-9 2" xfId="3055"/>
    <cellStyle name="40% - 强调文字颜色 6 2 2 8" xfId="3056"/>
    <cellStyle name="好_银行函证结果汇总表 11_明细表 3" xfId="3057"/>
    <cellStyle name="差_46-资本公积（空白模板） 2" xfId="3058"/>
    <cellStyle name="_07-双鸭山" xfId="3059"/>
    <cellStyle name="好_底稿设置宏 5 2 5" xfId="3060"/>
    <cellStyle name="好_1营业成本 2 2 3" xfId="3061"/>
    <cellStyle name="_神华煤炭运销公司2005年备抵明细表" xfId="3062"/>
    <cellStyle name="差_46-资本公积（空白模板） 2 2" xfId="3063"/>
    <cellStyle name="_07-双鸭山 2" xfId="3064"/>
    <cellStyle name="_081031.B06.日照分公司.H1.固定资产" xfId="3065"/>
    <cellStyle name="Comma 16" xfId="3066"/>
    <cellStyle name="Comma 21" xfId="3067"/>
    <cellStyle name="_081031.B06.日照分公司.H1.固定资产 2" xfId="3068"/>
    <cellStyle name="_081031.B06.日照分公司.H1.固定资产_Sheet1" xfId="3069"/>
    <cellStyle name="_28-南岗" xfId="3070"/>
    <cellStyle name="60% - Accent2 2 2" xfId="3071"/>
    <cellStyle name="常规 4 3 9" xfId="3072"/>
    <cellStyle name="40% - 强调文字颜色 6 2 2 7" xfId="3073"/>
    <cellStyle name="_081231.公司编号.公司名称.J1.无形资产" xfId="3074"/>
    <cellStyle name="_GJ1 Creditors - lead_Sheet1" xfId="3075"/>
    <cellStyle name="_GJ1 Creditors - lead_Sheet1 2" xfId="3076"/>
    <cellStyle name="超链接 2 8 4" xfId="3077"/>
    <cellStyle name="_28-南岗 2" xfId="3078"/>
    <cellStyle name="好_1资产减值损失 13_明细表 4" xfId="3079"/>
    <cellStyle name="_081231.公司编号.公司名称.J1.无形资产 2" xfId="3080"/>
    <cellStyle name="_090630.B13.Sinopec MM.G11.Sales" xfId="3081"/>
    <cellStyle name="好_底稿设置宏_大信底稿目录 3_明细表 5" xfId="3082"/>
    <cellStyle name="差_1应收票据 2" xfId="3083"/>
    <cellStyle name="_31-巴彦 2" xfId="3084"/>
    <cellStyle name="好_底稿设置宏 11_明细表" xfId="3085"/>
    <cellStyle name="_15-铁道 2" xfId="3086"/>
    <cellStyle name="好_4-应收账款（空白模板） 27" xfId="3087"/>
    <cellStyle name="好_4-应收账款（空白模板） 32" xfId="3088"/>
    <cellStyle name="常规 3 3 2 2 7 2 5" xfId="3089"/>
    <cellStyle name="好_Sheet1 2" xfId="3090"/>
    <cellStyle name="_09-伊春" xfId="3091"/>
    <cellStyle name="好_1专项应付款 6_明细表" xfId="3092"/>
    <cellStyle name="好_1短期借款 2" xfId="3093"/>
    <cellStyle name="_1" xfId="3094"/>
    <cellStyle name="好_2009年6月30日资产负债表 7" xfId="3095"/>
    <cellStyle name="60% - 强调文字颜色 1 6 4" xfId="3096"/>
    <cellStyle name="Comma 7 2 2" xfId="3097"/>
    <cellStyle name="差_底稿设置宏 7 2 3" xfId="3098"/>
    <cellStyle name="_10-绥化" xfId="3099"/>
    <cellStyle name="好_1其他应收款 3 3" xfId="3100"/>
    <cellStyle name="_11-大兴安岭" xfId="3101"/>
    <cellStyle name="常规 2 5 9 2" xfId="3102"/>
    <cellStyle name="_12 2005 Full workings (JC)" xfId="3103"/>
    <cellStyle name="Normal - Style1 8" xfId="3104"/>
    <cellStyle name="60% - 强调文字颜色 1 2 3 5" xfId="3105"/>
    <cellStyle name="好_短期借款 3 2 2" xfId="3106"/>
    <cellStyle name="好_4-应收账款（空白模板） 11 2 5" xfId="3107"/>
    <cellStyle name="00 2 2 4" xfId="3108"/>
    <cellStyle name="差_1固定资产 8_明细表" xfId="3109"/>
    <cellStyle name="0% 2 10" xfId="3110"/>
    <cellStyle name="_12 2005 Full workings (JC) 2" xfId="3111"/>
    <cellStyle name="60% - 强调文字颜色 2 2 2 2 2" xfId="3112"/>
    <cellStyle name="差 7 2" xfId="3113"/>
    <cellStyle name="0,0_x000d__x000a_NA_x000d__x000a_ 2" xfId="3114"/>
    <cellStyle name="好_30-应付账款（空白模板） 11_明细表 2" xfId="3115"/>
    <cellStyle name="_1204 Shenjifubiao--C01 v2_H1-3 Addition list " xfId="3116"/>
    <cellStyle name="0,0_x000d__x000a_NA_x000d__x000a_ 2 2" xfId="3117"/>
    <cellStyle name="差_1长期借款 4" xfId="3118"/>
    <cellStyle name="_1204 Shenjifubiao--C01 v2_H1-3 Addition list  2" xfId="3119"/>
    <cellStyle name="40% - 强调文字颜色 1 2 6" xfId="3120"/>
    <cellStyle name="差_58-营业外收入（空白模板） 2 3" xfId="3121"/>
    <cellStyle name="_1204 Shenjifubiao--C01 v2_Sheet1" xfId="3122"/>
    <cellStyle name="_1204 Shenjifubiao--C01 v2_Sheet1 2" xfId="3123"/>
    <cellStyle name="超链接 3 15 2 2" xfId="3124"/>
    <cellStyle name="超链接 3 20 2 2" xfId="3125"/>
    <cellStyle name="60% - 强调文字颜色 1 2 2 3" xfId="3126"/>
    <cellStyle name="_1204 Shenjifubiao--C01 v2_固定资产增加2" xfId="3127"/>
    <cellStyle name="好_财务费用 10 2" xfId="3128"/>
    <cellStyle name="40% - 强调文字颜色 4 2 6" xfId="3129"/>
    <cellStyle name="_1204 Shenjifubiao--C01 v2_固定资产增加2 2" xfId="3130"/>
    <cellStyle name="好_FD 应付账款 3" xfId="3131"/>
    <cellStyle name="好_1专项应付款 6" xfId="3132"/>
    <cellStyle name="_1206 Guidance in preparing PRC package-PL" xfId="3133"/>
    <cellStyle name="_12-黑河 2" xfId="3134"/>
    <cellStyle name="20% - 强调文字颜色 2 2 2 7" xfId="3135"/>
    <cellStyle name="Percent 5" xfId="3136"/>
    <cellStyle name="好_4-应收账款（空白模板） 5 2" xfId="3137"/>
    <cellStyle name="_Part VI - Supp Schedule P&amp;L Item (Site Name)_pbc 080630 current liability" xfId="3138"/>
    <cellStyle name="_13预审底稿-达园店jxm" xfId="3139"/>
    <cellStyle name="SAPBEXstdItem 3 2" xfId="3140"/>
    <cellStyle name="entry box 3 3" xfId="3141"/>
    <cellStyle name="Accent2 - 60% 3 2" xfId="3142"/>
    <cellStyle name="40% - 强调文字颜色 5 2 3" xfId="3143"/>
    <cellStyle name="好_底稿设置宏 6_明细表 5" xfId="3144"/>
    <cellStyle name="_Part III.200406.Loan and Liabilities details.(Site Name)_in-ter-com_200506.sales com.GI.intercompany_Sheet1" xfId="3145"/>
    <cellStyle name="好_55-资产减值损失（空白模板） 5 2 5" xfId="3146"/>
    <cellStyle name="_13预审底稿-沈阳分公司jxm" xfId="3147"/>
    <cellStyle name="_14 June 2005 Special Audit-company level-v2" xfId="3148"/>
    <cellStyle name="差_审计分组-1218定稿_明细表 4" xfId="3149"/>
    <cellStyle name="百分比 2 9 3" xfId="3150"/>
    <cellStyle name="_Part III.200406.Loan and Liabilities details.(Site Name)_in-ter-com_Sheet1 2" xfId="3151"/>
    <cellStyle name="_新型建材_pbc 080630 current liability 2" xfId="3152"/>
    <cellStyle name="差_37-长期借款（空白模板） 2" xfId="3153"/>
    <cellStyle name="_14 June 2005 Special Audit-company level-v2_pbc 080630 current liability" xfId="3154"/>
    <cellStyle name="差_37-长期借款（空白模板） 2 2" xfId="3155"/>
    <cellStyle name="_14 June 2005 Special Audit-company level-v2_pbc 080630 current liability 2" xfId="3156"/>
    <cellStyle name="_14 June 2005 Special Audit-company level-v2_pbc 080630 current liability_Sheet1" xfId="3157"/>
    <cellStyle name="_H1应收账款" xfId="3158"/>
    <cellStyle name="好_应付票据 3 2" xfId="3159"/>
    <cellStyle name="_long term loan - others 300504_Part I - BS  PL with note to account (Site Name)_pbc 080630 current liability_Sheet1 2" xfId="3160"/>
    <cellStyle name="百分比 2 12 3 3" xfId="3161"/>
    <cellStyle name="差_底稿设置宏 3 2 6" xfId="3162"/>
    <cellStyle name="_GD3 and GD9 11.8_G6 GA expense 062007" xfId="3163"/>
    <cellStyle name="常规 7 4" xfId="3164"/>
    <cellStyle name="差_54-财务费用（空白模板）_Book2" xfId="3165"/>
    <cellStyle name="_14 June 2005 Special Audit-company level-v2_Sheet1" xfId="3166"/>
    <cellStyle name="差_短期借款 4 2 5" xfId="3167"/>
    <cellStyle name="_GD3 and GD9 11.8_G6 GA expense 062007 2" xfId="3168"/>
    <cellStyle name="常规 7 4 2" xfId="3169"/>
    <cellStyle name="差_54-财务费用（空白模板）_Book2 2" xfId="3170"/>
    <cellStyle name="_14 June 2005 Special Audit-company level-v2_Sheet1 2" xfId="3171"/>
    <cellStyle name="_14-营业部 2" xfId="3172"/>
    <cellStyle name="60% - 强调文字颜色 1 2 2_附注表一（财务报表）" xfId="3173"/>
    <cellStyle name="好_31-预收账款（空白模板） 2 3 2" xfId="3174"/>
    <cellStyle name="差_1应收票据" xfId="3175"/>
    <cellStyle name="_31-巴彦" xfId="3176"/>
    <cellStyle name="好_1专项应付款 16 4" xfId="3177"/>
    <cellStyle name="差_ZY-递延所得税资产 2 3" xfId="3178"/>
    <cellStyle name="_15-铁道" xfId="3179"/>
    <cellStyle name="_16-省行本级" xfId="3180"/>
    <cellStyle name="差_G-应收账款 4 2 2" xfId="3181"/>
    <cellStyle name="常规 2 28 5" xfId="3182"/>
    <cellStyle name="常规 2 33 5" xfId="3183"/>
    <cellStyle name="_16-省行本级 2" xfId="3184"/>
    <cellStyle name="好_40-专项应付款(空白模板) 10" xfId="3185"/>
    <cellStyle name="_170407.聊城.Appendix4 TBJA.冲回质量索赔_Sheet1" xfId="3186"/>
    <cellStyle name="好_预收款项 12 2 4" xfId="3187"/>
    <cellStyle name="差_4-应收账款（空白模板） 6" xfId="3188"/>
    <cellStyle name="_17-国际部" xfId="3189"/>
    <cellStyle name="差_4-应收账款（空白模板） 6 2" xfId="3190"/>
    <cellStyle name="_17-国际部 2" xfId="3191"/>
    <cellStyle name="_毕马威审计2006年主表（味达美工厂" xfId="3192"/>
    <cellStyle name="好_银行函证结果汇总表 12" xfId="3193"/>
    <cellStyle name="_Sinopec.(entity name).Sales breakdown by segment Jun 08 (template)" xfId="3194"/>
    <cellStyle name="差_长期借款 2 2" xfId="3195"/>
    <cellStyle name="_long term loan - others 300504_2005-6-14北京成本倒轧表 2" xfId="3196"/>
    <cellStyle name="Comma 3 2 2" xfId="3197"/>
    <cellStyle name="_18-动力" xfId="3198"/>
    <cellStyle name="_IFRS by nature_pbc 080630 current liability" xfId="3199"/>
    <cellStyle name="常规 3 3 3 10" xfId="3200"/>
    <cellStyle name="常规 2 9 2 5" xfId="3201"/>
    <cellStyle name="_毕马威审计2006年主表（味达美工厂 2" xfId="3202"/>
    <cellStyle name="Comma 3 2 2 2" xfId="3203"/>
    <cellStyle name="_18-动力 2" xfId="3204"/>
    <cellStyle name="_IFRS by nature_pbc 080630 current liability 2" xfId="3205"/>
    <cellStyle name="_TB CTE FJ 04-2" xfId="3206"/>
    <cellStyle name="好_FK 长期借款" xfId="3207"/>
    <cellStyle name="Percent 12 4" xfId="3208"/>
    <cellStyle name="常规 5 3 2 2" xfId="3209"/>
    <cellStyle name="_19-住房" xfId="3210"/>
    <cellStyle name="好_应收利息 5 2 5" xfId="3211"/>
    <cellStyle name="常规 5 3 2 2 2" xfId="3212"/>
    <cellStyle name="常规 3 3 15 6" xfId="3213"/>
    <cellStyle name="_19-住房 2" xfId="3214"/>
    <cellStyle name="_x0007__1-了解被审计单位及其环境（不包括内控）" xfId="3215"/>
    <cellStyle name="Normal 2_100630.Group Consol Spreadsheet.v2" xfId="3216"/>
    <cellStyle name="_x0007__1-销售与收款循环" xfId="3217"/>
    <cellStyle name="_long term loan - others 300504_to do list_期末存货_Sheet1" xfId="3218"/>
    <cellStyle name="好_固定资产 13 2 4" xfId="3219"/>
    <cellStyle name="差_大信底稿目录 9_附注表一（财务报表）" xfId="3220"/>
    <cellStyle name="_x0007__1-销售与收款循环 2" xfId="3221"/>
    <cellStyle name="好_54-财务费用（空白模板） 8 2 2" xfId="3222"/>
    <cellStyle name="好_40-专项应付款(空白模板) 4 2 5" xfId="3223"/>
    <cellStyle name="_long term loan - others 300504_to do list_intercompany transaction" xfId="3224"/>
    <cellStyle name="好_固定资产 13 2 5" xfId="3225"/>
    <cellStyle name="_x0007__1-销售与收款循环 3" xfId="3226"/>
    <cellStyle name="_x0007__1-销售与收款循环 4" xfId="3227"/>
    <cellStyle name="_x0007__1-销售与收款循环 5" xfId="3228"/>
    <cellStyle name="_2.1 and 2.2_H1-3 Addition list " xfId="3229"/>
    <cellStyle name="_2.1 and 2.2_H1-3 Addition list  2" xfId="3230"/>
    <cellStyle name="差_19-无形资产（空白模板） 10 2 3" xfId="3231"/>
    <cellStyle name="40% - 强调文字颜色 6 2 4" xfId="3232"/>
    <cellStyle name="_2.1 and 2.2_固定资产增加2" xfId="3233"/>
    <cellStyle name="_2.1 and 2.2_固定资产增加2 2" xfId="3234"/>
    <cellStyle name="常规 2 3 26 3" xfId="3235"/>
    <cellStyle name="差_FJ 其他应付款 5" xfId="3236"/>
    <cellStyle name="_SNPC.GK_0912 O7 other payable " xfId="3237"/>
    <cellStyle name="好_50-营业成本（空白模板） 11 2 3" xfId="3238"/>
    <cellStyle name="_D12所得税2005 2" xfId="3239"/>
    <cellStyle name="_2.27" xfId="3240"/>
    <cellStyle name="_long term loan - others 300504_Part III for print- Journal List and Profit Recon (Justin) (date).consol_Sheet1" xfId="3241"/>
    <cellStyle name="_2.27_Stock accrual 2008" xfId="3242"/>
    <cellStyle name="差_复件 固定资产 10_明细表 2" xfId="3243"/>
    <cellStyle name="_2002-2004软件跨年度人月 2" xfId="3244"/>
    <cellStyle name="_RPT for account disclosure (05A share balance company level ) (2)" xfId="3245"/>
    <cellStyle name="_2002年成本分类" xfId="3246"/>
    <cellStyle name="20% - 强调文字颜色 2 7" xfId="3247"/>
    <cellStyle name="差__dxn_tempA空白表页 4 2" xfId="3248"/>
    <cellStyle name="_RPT for account disclosure (05A share balance company level ) (2) 2" xfId="3249"/>
    <cellStyle name="好_固定资产 8_明细表 4" xfId="3250"/>
    <cellStyle name="差_1管理费用" xfId="3251"/>
    <cellStyle name="_2002年成本分类 2" xfId="3252"/>
    <cellStyle name="好_复件 持有至到期投资 3 2" xfId="3253"/>
    <cellStyle name="常规 3 5 2 5 6" xfId="3254"/>
    <cellStyle name="Normal 4 2 2 4" xfId="3255"/>
    <cellStyle name="_RPT for account disclosure (05A share balance company level ) (2)_Sheet1" xfId="3256"/>
    <cellStyle name="好_底稿设置宏 28" xfId="3257"/>
    <cellStyle name="好_底稿设置宏 33" xfId="3258"/>
    <cellStyle name="_long term loan - others 300504_2005-12 TB template 2" xfId="3259"/>
    <cellStyle name="差_55-资产减值损失（空白模板） 8_明细表" xfId="3260"/>
    <cellStyle name="好_短期借款 4_明细表 5" xfId="3261"/>
    <cellStyle name="差_预收款项 3" xfId="3262"/>
    <cellStyle name="好_1其他应收款 4 4" xfId="3263"/>
    <cellStyle name="常规 2 2 7 2" xfId="3264"/>
    <cellStyle name="_2002年成本分类_Sheet1" xfId="3265"/>
    <cellStyle name="_RPT for account disclosure (05A share balance company level ) (2)_Sheet1 2" xfId="3266"/>
    <cellStyle name="常规 2 2 7 2 2" xfId="3267"/>
    <cellStyle name="差_预收款项 3 2" xfId="3268"/>
    <cellStyle name="_2002年成本分类_Sheet1 2" xfId="3269"/>
    <cellStyle name="常规 4 5 2 5" xfId="3270"/>
    <cellStyle name="_经营承担 14" xfId="3271"/>
    <cellStyle name="_2003" xfId="3272"/>
    <cellStyle name="好_30-应付账款（空白模板） 15_明细表 4" xfId="3273"/>
    <cellStyle name="好_56-公允价值损益变动（空白模板）_附注表一（财务报表）" xfId="3274"/>
    <cellStyle name="好_40-专项应付款(空白模板) 17 6" xfId="3275"/>
    <cellStyle name="20% - Accent1 2" xfId="3276"/>
    <cellStyle name="20% - 强调文字颜色 1 3" xfId="3277"/>
    <cellStyle name="_2003年成本分类" xfId="3278"/>
    <cellStyle name="20% - Accent1 2 2" xfId="3279"/>
    <cellStyle name="20% - 强调文字颜色 1 3 2" xfId="3280"/>
    <cellStyle name="_2003年成本分类 2" xfId="3281"/>
    <cellStyle name="千位分隔 4 5 3" xfId="3282"/>
    <cellStyle name="好_19-无形资产（空白模板） 8 2" xfId="3283"/>
    <cellStyle name="_2003年成本分类_Sheet1" xfId="3284"/>
    <cellStyle name="好_50-营业成本（空白模板） 12_明细表 4" xfId="3285"/>
    <cellStyle name="_G0000货币资金-刘春红" xfId="3286"/>
    <cellStyle name="好_55-资产减值损失（空白模板） 11 2 2" xfId="3287"/>
    <cellStyle name="_2004.12备用金个人余额调成帐上余额" xfId="3288"/>
    <cellStyle name="_2004.12备用金个人余额调成帐上余额 2" xfId="3289"/>
    <cellStyle name="_26-哈龙 2" xfId="3290"/>
    <cellStyle name="_2004.12备用金个人余额调成帐上余额_GG4.OR.Dec 04 2" xfId="3291"/>
    <cellStyle name="40% - 强调文字颜色 2 4 2" xfId="3292"/>
    <cellStyle name="_long term loan - others 300504_to do list_intercompany transaction_Sheet1" xfId="3293"/>
    <cellStyle name="_20040930.SEDL.GG5.Advance to supplier" xfId="3294"/>
    <cellStyle name="_long term loan - others 300504_to do list_intercompany transaction_Sheet1 2" xfId="3295"/>
    <cellStyle name="好_应收账款 4 3" xfId="3296"/>
    <cellStyle name="好_ZQ工程物资 2 3" xfId="3297"/>
    <cellStyle name="_20040930.SEDL.GG5.Advance to supplier 2" xfId="3298"/>
    <cellStyle name="_35-五常 2" xfId="3299"/>
    <cellStyle name="好_底稿设置宏_大信底稿目录 10 2 2" xfId="3300"/>
    <cellStyle name="_20040930.SEDL.GJ1.AP" xfId="3301"/>
    <cellStyle name="_Part I - BS  PL with note to account (Site Name)" xfId="3302"/>
    <cellStyle name="好_01 应交税金" xfId="3303"/>
    <cellStyle name="_20040930.SEDL.GJ1.AP 2" xfId="3304"/>
    <cellStyle name="百分比 2 4 5 2 2" xfId="3305"/>
    <cellStyle name="_20040930.SEDL.GJ4.OP" xfId="3306"/>
    <cellStyle name="Col Heads 8" xfId="3307"/>
    <cellStyle name="_2004内部决算表样" xfId="3308"/>
    <cellStyle name="20% - 强调文字颜色 2 2 3 2" xfId="3309"/>
    <cellStyle name="好_FK长期借款 3 3" xfId="3310"/>
    <cellStyle name="_long term loan - others 300504_IFRS recon June 05 v4  _pbc 080630 current liability_Sheet1" xfId="3311"/>
    <cellStyle name="好_27-短期借款(空白模板) 10 2 4" xfId="3312"/>
    <cellStyle name="常规 9 5 2 2 4" xfId="3313"/>
    <cellStyle name="Normal 3 2 2 6" xfId="3314"/>
    <cellStyle name="SAPBEXexcBad7 5" xfId="3315"/>
    <cellStyle name="_2004年成本分类" xfId="3316"/>
    <cellStyle name="常规 9 5 2 2 4 2" xfId="3317"/>
    <cellStyle name="_long term loan - others 300504_IFRS recon June 05 v4  _pbc 080630 current liability_Sheet1 2" xfId="3318"/>
    <cellStyle name="SAPBEXexcBad7 5 2" xfId="3319"/>
    <cellStyle name="壞_水量统计" xfId="3320"/>
    <cellStyle name="_2004年成本分类 2" xfId="3321"/>
    <cellStyle name="_2004年成本分类_Sheet1" xfId="3322"/>
    <cellStyle name="_损益表(加密)_审计调查表.20061231(正） 2" xfId="3323"/>
    <cellStyle name="好_金融资产函证结果汇总表 3" xfId="3324"/>
    <cellStyle name="好_应收利息 6 2 5" xfId="3325"/>
    <cellStyle name="好_1资产减值损失 8_附注表一（财务报表）" xfId="3326"/>
    <cellStyle name="常规 5 3 3 2 2" xfId="3327"/>
    <cellStyle name="_2004年上海雨润鲜冻销新" xfId="3328"/>
    <cellStyle name="好_金融资产函证结果汇总表 3 2" xfId="3329"/>
    <cellStyle name="_2004年上海雨润鲜冻销新 2" xfId="3330"/>
    <cellStyle name="_2004年上海雨润鲜冻销新_Sheet1" xfId="3331"/>
    <cellStyle name="_2004年上海雨润鲜冻销新_Sheet1 2" xfId="3332"/>
    <cellStyle name="_Expenses" xfId="3333"/>
    <cellStyle name="_2005 interim review PBC    (Delphi)" xfId="3334"/>
    <cellStyle name="_2005 interim review PBC    (Delphi) 2" xfId="3335"/>
    <cellStyle name="_20050630 TB" xfId="3336"/>
    <cellStyle name="好_复件 固定资产 2" xfId="3337"/>
    <cellStyle name="00 22" xfId="3338"/>
    <cellStyle name="00 17" xfId="3339"/>
    <cellStyle name="_FA JA过入明细工厂11_固定资产增加2" xfId="3340"/>
    <cellStyle name="好_财务费用 9 3" xfId="3341"/>
    <cellStyle name="_2005-6-14北京成本倒轧表_Sheet1" xfId="3342"/>
    <cellStyle name="好_Sheet1 2 2 2" xfId="3343"/>
    <cellStyle name="公司标准表 2 5" xfId="3344"/>
    <cellStyle name="Percent [2]P 9" xfId="3345"/>
    <cellStyle name="_Wing Shan Q section " xfId="3346"/>
    <cellStyle name="_GK1--Technology- income tax_Q2-1 EIT recon 2" xfId="3347"/>
    <cellStyle name="_2005RPT for account disclosure(consol)" xfId="3348"/>
    <cellStyle name="_2005RPT for account disclosure(consol)_pbc 080630 current liability" xfId="3349"/>
    <cellStyle name="_Nochange.Cons.20070418 night.Shanghe.Appendix4 TBJA" xfId="3350"/>
    <cellStyle name="_2005RPT for account disclosure(consol)_Sheet1" xfId="3351"/>
    <cellStyle name="_2005年度资产负债表（AAA杭州公司）正" xfId="3352"/>
    <cellStyle name="差_固定资产 8 2 4" xfId="3353"/>
    <cellStyle name="40% - 强调文字颜色 4 2 2 4" xfId="3354"/>
    <cellStyle name="_2005年工作底稿" xfId="3355"/>
    <cellStyle name="好_51-营业税金及附加（空白模板） 12 3" xfId="3356"/>
    <cellStyle name="_2005年工作底稿 2" xfId="3357"/>
    <cellStyle name="_2005年工作底稿 3" xfId="3358"/>
    <cellStyle name="好_1固定资产 9_明细表 3" xfId="3359"/>
    <cellStyle name="40% - 强调文字颜色 1 2 10" xfId="3360"/>
    <cellStyle name="好_27-短期借款(空白模板) 14_明细表 4" xfId="3361"/>
    <cellStyle name="_Part III.200406.Loan and Liabilities details.(Site Name)_TB CTE FJ 20" xfId="3362"/>
    <cellStyle name="差_无形资产 2_明细表" xfId="3363"/>
    <cellStyle name="Normal - Style1 13 3" xfId="3364"/>
    <cellStyle name="_long term loan - others 300504_intercom tran_pbc 080630 current liability" xfId="3365"/>
    <cellStyle name="_2005年工作底稿 4" xfId="3366"/>
    <cellStyle name="_long term loan - others 300504_IFRS recon June 05 v4  " xfId="3367"/>
    <cellStyle name="好_G-应收账款 13_明细表 5" xfId="3368"/>
    <cellStyle name="_2005年工作底稿_3-2-A1B-银行存款" xfId="3369"/>
    <cellStyle name="好_19-无形资产（空白模板） 11_明细表 3" xfId="3370"/>
    <cellStyle name="_Part III.200406.Loan and Liabilities details.(Site Name)_intercom tran_pbc 080630 current liability" xfId="3371"/>
    <cellStyle name="_2005年工作底稿_3-2-Z17A-固定资产" xfId="3372"/>
    <cellStyle name="好_31-预收账款（空白模板） 7" xfId="3373"/>
    <cellStyle name="_Part III.200406.Loan and Liabilities details.(Site Name)_intercom tran_pbc 080630 current liability 2" xfId="3374"/>
    <cellStyle name="差_30-应付账款（空白模板） 4 2 3" xfId="3375"/>
    <cellStyle name="_Q2-1 EIT recon_Sheet1" xfId="3376"/>
    <cellStyle name="_2005年工作底稿_3-2-Z17A-固定资产 2" xfId="3377"/>
    <cellStyle name="_2005年工作底稿_3-2-Z17A-固定资产 3" xfId="3378"/>
    <cellStyle name="_2005年工作底稿_Sheet1" xfId="3379"/>
    <cellStyle name="_2007 interim supp schedules_(Power stream).consol.v2_pbc 080630 current liability" xfId="3380"/>
    <cellStyle name="_2005年工作底稿_Sheet1 2" xfId="3381"/>
    <cellStyle name="好_1可供出售金融资产 3" xfId="3382"/>
    <cellStyle name="_采购部ZMM" xfId="3383"/>
    <cellStyle name="好_40-专项应付款(空白模板) 13 2 2" xfId="3384"/>
    <cellStyle name="_2005年工作底稿_Sheet1 3" xfId="3385"/>
    <cellStyle name="_2005年工作底稿_Sheet1_Z4-应收账款" xfId="3386"/>
    <cellStyle name="_D1主营业务收入 2" xfId="3387"/>
    <cellStyle name="好_应收账款 7" xfId="3388"/>
    <cellStyle name="好_ZQ工程物资 5" xfId="3389"/>
    <cellStyle name="差_45-股本（实收资本）（空白模板） 4" xfId="3390"/>
    <cellStyle name="常规 3 5 5_附注表一（财务报表）" xfId="3391"/>
    <cellStyle name="00 9 2 2" xfId="3392"/>
    <cellStyle name="差_复件 固定资产 9_明细表 2" xfId="3393"/>
    <cellStyle name="差_53-管理费用（空白模板） 3" xfId="3394"/>
    <cellStyle name="Comma  - Style2" xfId="3395"/>
    <cellStyle name="_三年分部成本_Sheet1 2" xfId="3396"/>
    <cellStyle name="好_应收账款 - 复制 5 2" xfId="3397"/>
    <cellStyle name="好_大信底稿目录 7_明细表" xfId="3398"/>
    <cellStyle name="_2005年决算（成本）" xfId="3399"/>
    <cellStyle name="_利润表(1月-6)" xfId="3400"/>
    <cellStyle name="好_大信底稿目录 7_明细表 2" xfId="3401"/>
    <cellStyle name="好_54-财务费用（空白模板） 10 4" xfId="3402"/>
    <cellStyle name="千位分隔 4 7 6" xfId="3403"/>
    <cellStyle name="_2005年决算（成本） 2" xfId="3404"/>
    <cellStyle name="_2005年决算（收入）" xfId="3405"/>
    <cellStyle name="_2005年屠宰盈利预测工作表" xfId="3406"/>
    <cellStyle name="好_短期借款 8 2 5" xfId="3407"/>
    <cellStyle name="20% - 强调文字颜色 6 2 3 4" xfId="3408"/>
    <cellStyle name="好_鲁亚2011.12全年年报资料汇总" xfId="3409"/>
    <cellStyle name="差_资产负债类底稿模版 5 2" xfId="3410"/>
    <cellStyle name="_2005年屠宰盈利预测工作表_Sheet1" xfId="3411"/>
    <cellStyle name="_2005年盈利预测工作表" xfId="3412"/>
    <cellStyle name="_Part II - Consol Journal supp Schedule (Site Name)_Part I     - 20071031.Project Stone.Reporting package.TB&amp;JA.(sub name) 2" xfId="3413"/>
    <cellStyle name="差_1短期借款 14 3" xfId="3414"/>
    <cellStyle name="_2005年盈利预测工作表(Raymond)_Sheet1" xfId="3415"/>
    <cellStyle name="好_无形资产 6 2 2" xfId="3416"/>
    <cellStyle name="20% - 强调文字颜色 6 2 6" xfId="3417"/>
    <cellStyle name="_2005年盈利预测工作表.03.27" xfId="3418"/>
    <cellStyle name="标题 2 3 2 2" xfId="3419"/>
    <cellStyle name="_27-道外 2" xfId="3420"/>
    <cellStyle name="_2005年盈利预测工作表.03.27_Sheet1" xfId="3421"/>
    <cellStyle name="_20081231.PEDQD.O102.AP.LS.OS" xfId="3422"/>
    <cellStyle name="_2005年盈利预测工作表_Sheet1" xfId="3423"/>
    <cellStyle name="_B13 G10 sales &amp; cost of sales 2" xfId="3424"/>
    <cellStyle name="好_ZI存货 2 3" xfId="3425"/>
    <cellStyle name="_2005年盈利预测工作表05.01" xfId="3426"/>
    <cellStyle name="_2005年盈利预测工作表05.01_Sheet1" xfId="3427"/>
    <cellStyle name="差_专项应付款 5 2 2" xfId="3428"/>
    <cellStyle name="差_函证结果汇总表 4" xfId="3429"/>
    <cellStyle name="_2005年盈利预测工作表14.03.05" xfId="3430"/>
    <cellStyle name="好_大信底稿目录 13_明细表 3" xfId="3431"/>
    <cellStyle name="40% - 强调文字颜色 2 2 2 4" xfId="3432"/>
    <cellStyle name="_2005年盈利预测工作表14.03.05_Sheet1" xfId="3433"/>
    <cellStyle name="好_专项应付款 13 2 3" xfId="3434"/>
    <cellStyle name="_2005年盈利预测工作表14.03.05_Sheet1 2" xfId="3435"/>
    <cellStyle name="标题 2 2 11" xfId="3436"/>
    <cellStyle name="常规 173 2 2 2" xfId="3437"/>
    <cellStyle name="差_1-销售与收款循环 2 3" xfId="3438"/>
    <cellStyle name="_2005年盈利预测工作表2" xfId="3439"/>
    <cellStyle name="_2005年盈利预测工作表2 2" xfId="3440"/>
    <cellStyle name="_2005年盈利预测工作表2_Sheet1" xfId="3441"/>
    <cellStyle name="_2005年盈利预测工作表2_Sheet1 2" xfId="3442"/>
    <cellStyle name="好_40-专项应付款(空白模板) 8_明细表" xfId="3443"/>
    <cellStyle name="_2005年盈利预测工作表21.03.05" xfId="3444"/>
    <cellStyle name="60% - 輔色5 5" xfId="3445"/>
    <cellStyle name="差__dxn_temp空白表页 5 4" xfId="3446"/>
    <cellStyle name="SAPBEXHLevel1X" xfId="3447"/>
    <cellStyle name="_Profit and loss breakdown" xfId="3448"/>
    <cellStyle name="好_40-专项应付款(空白模板) 8_明细表 2" xfId="3449"/>
    <cellStyle name="_2005年盈利预测工作表21.03.05 2" xfId="3450"/>
    <cellStyle name="好_大信底稿目录 11 2 4" xfId="3451"/>
    <cellStyle name="差_其他应收款_明细表 3" xfId="3452"/>
    <cellStyle name="_2005年盈利预测工作表21.03.05_Sheet1" xfId="3453"/>
    <cellStyle name="好_财务费用 2 6" xfId="3454"/>
    <cellStyle name="_2005年盈利预测工作表23.03.05" xfId="3455"/>
    <cellStyle name="_副本问题_Q2-1 EIT recon_Sheet1 2" xfId="3456"/>
    <cellStyle name="00 2 3 3" xfId="3457"/>
    <cellStyle name="_2005年盈利预测工作表23.03.05_Sheet1" xfId="3458"/>
    <cellStyle name="好_54-财务费用（空白模板） 16 2" xfId="3459"/>
    <cellStyle name="_31.12 GD3 Selling expenses" xfId="3460"/>
    <cellStyle name="差_预收款项 6 2 5" xfId="3461"/>
    <cellStyle name="_2005年盈利预测工作表23.03.05_Sheet1 2" xfId="3462"/>
    <cellStyle name="20% - 强调文字颜色 2 2 2 9" xfId="3463"/>
    <cellStyle name="差_51-营业税金及附加（空白模板） 13" xfId="3464"/>
    <cellStyle name="_2005年盈利预测工作表28.03.05111" xfId="3465"/>
    <cellStyle name="Percent 7 2" xfId="3466"/>
    <cellStyle name="_Assets_pbc 080630 current liability_Sheet1" xfId="3467"/>
    <cellStyle name="差_51-营业税金及附加（空白模板） 13 2" xfId="3468"/>
    <cellStyle name="_2005年盈利预测工作表28.03.05111 2" xfId="3469"/>
    <cellStyle name="好_47-盈余公积（空白模板） 3" xfId="3470"/>
    <cellStyle name="_2005年盈利预测工作表28.03.05111_Sheet1 2" xfId="3471"/>
    <cellStyle name="0,0_x000d__x000a_NA_x000d__x000a_ 3 2 2" xfId="3472"/>
    <cellStyle name="_2005年预算汇总表--2-25日" xfId="3473"/>
    <cellStyle name="_2005全年利润预测6(1).30" xfId="3474"/>
    <cellStyle name="_2005--上半年总指标" xfId="3475"/>
    <cellStyle name="好_1专项应付款_明细表 2 2" xfId="3476"/>
    <cellStyle name="_20061231 Juye  Appendix4 TB JA@20070417pmupdate yan" xfId="3477"/>
    <cellStyle name="_20061231 Juye  Appendix4 TB JA@20070417pmupdate yan_pbc 080630 current liability" xfId="3478"/>
    <cellStyle name="好_预收款项 7_明细表" xfId="3479"/>
    <cellStyle name="_20061231 Juye  Appendix4 TB JA@20070417pmupdate yan_pbc 080630 current liability 2" xfId="3480"/>
    <cellStyle name="_2006年新增及报废固定资产清单" xfId="3481"/>
    <cellStyle name="常规 4 13" xfId="3482"/>
    <cellStyle name="_2006年新增及报废固定资产清单 2" xfId="3483"/>
    <cellStyle name="常规 4 13 2" xfId="3484"/>
    <cellStyle name="_2007 interim supp schedules_(Power stream).consol.v2" xfId="3485"/>
    <cellStyle name="差_16-在建工程（空白模板） 6" xfId="3486"/>
    <cellStyle name="_2007 interim supp schedules_(Power stream).consol.v2 2" xfId="3487"/>
    <cellStyle name="40% - 强调文字颜色 5 8" xfId="3488"/>
    <cellStyle name="差_dxn底稿目录 6 4" xfId="3489"/>
    <cellStyle name="_2007 interim supp schedules_(Power stream).consol.v2_pbc 080630 current liability 2" xfId="3490"/>
    <cellStyle name="标题 6" xfId="3491"/>
    <cellStyle name="_2007 interim supp schedules_(Power stream).consol.v2_pbc 080630 current liability_Sheet1 2" xfId="3492"/>
    <cellStyle name="常规 3 3 2 4 6" xfId="3493"/>
    <cellStyle name="差_1短期借款_明细表_1" xfId="3494"/>
    <cellStyle name="_long term loan - others 300504_Shenhua PBC package 050530_毕马威6月30日审计表（神东合并）" xfId="3495"/>
    <cellStyle name="常规 2 2 3 2 2 5 2" xfId="3496"/>
    <cellStyle name="Comma ['000] 2" xfId="3497"/>
    <cellStyle name="_2007 interim supp schedules_(Power stream).consol.v2_Sheet1 2" xfId="3498"/>
    <cellStyle name="好_1专项应付款 2 2 2" xfId="3499"/>
    <cellStyle name="好__dxn_temp空白表页 9 2 4" xfId="3500"/>
    <cellStyle name="_2007 interim supplementary schedules_(Site Name) 2" xfId="3501"/>
    <cellStyle name="常规 3 2 2 4 9" xfId="3502"/>
    <cellStyle name="_Liabilities and equity v2 2" xfId="3503"/>
    <cellStyle name="_2007 interim supplementary schedules_(Site Name)_Sheet1" xfId="3504"/>
    <cellStyle name="_2007 interim supplementary schedules_(Site Name)_Sheet1 2" xfId="3505"/>
    <cellStyle name="百分比 2 3 5" xfId="3506"/>
    <cellStyle name="Comma  - Style3 2 3" xfId="3507"/>
    <cellStyle name="_Sheet3" xfId="3508"/>
    <cellStyle name="好_资产负债标准底稿_大信底稿目录 13_明细表 5" xfId="3509"/>
    <cellStyle name="_20070417.Anqiu Shanshui.TB" xfId="3510"/>
    <cellStyle name="常规 3 2_营业外支出 2" xfId="3511"/>
    <cellStyle name="_20070417.Weifang.Shanshui.consol.TB" xfId="3512"/>
    <cellStyle name="Accent3 - 60% 2" xfId="3513"/>
    <cellStyle name="好_资产负债标准底稿_大信底稿目录 14 3" xfId="3514"/>
    <cellStyle name="_20070417.Weifang.Shanshui.consol.TB_pbc 080630 current liability" xfId="3515"/>
    <cellStyle name="_20070417.Weifang.Shanshui.consol.TB_pbc 080630 current liability 2" xfId="3516"/>
    <cellStyle name="好_复件 固定资产 12_附注表一（财务报表）" xfId="3517"/>
    <cellStyle name="差_大信底稿目录 15 2 5" xfId="3518"/>
    <cellStyle name="常规 2 2 2 7_附注表一（财务报表）" xfId="3519"/>
    <cellStyle name="Accent3 - 60% 2 2" xfId="3520"/>
    <cellStyle name="好_底稿设置宏 16 2 2" xfId="3521"/>
    <cellStyle name="_2007年成本分析" xfId="3522"/>
    <cellStyle name="_生鲜部新 2" xfId="3523"/>
    <cellStyle name="_2007年威胜电子审计数据(1)" xfId="3524"/>
    <cellStyle name="_2007年威胜电子审计数据(1) 2" xfId="3525"/>
    <cellStyle name="_20081231.PEDQD.O102.AP.LS.OS 2" xfId="3526"/>
    <cellStyle name="40% - 强调文字颜色 5 2 2 9" xfId="3527"/>
    <cellStyle name="好_15-固定资产（空白模板） 12" xfId="3528"/>
    <cellStyle name="好_报表层次重要性水平 6 3" xfId="3529"/>
    <cellStyle name="差_复件 固定资产 13 2 4" xfId="3530"/>
    <cellStyle name="_20-二支行" xfId="3531"/>
    <cellStyle name="40% - 强调文字颜色 4 2 2_附注表一（财务报表）" xfId="3532"/>
    <cellStyle name="好_51-营业税金及附加（空白模板）_明细表 5" xfId="3533"/>
    <cellStyle name="20% - 强调文字颜色 6 2 2 4" xfId="3534"/>
    <cellStyle name="好_1短期借款 9_附注表一（财务报表）" xfId="3535"/>
    <cellStyle name="_20-二支行 2" xfId="3536"/>
    <cellStyle name="差_底稿设置宏_明细表_1" xfId="3537"/>
    <cellStyle name="_22-新阳" xfId="3538"/>
    <cellStyle name="_24-太平" xfId="3539"/>
    <cellStyle name="常规 2 2 15_附注表一（财务报表）" xfId="3540"/>
    <cellStyle name="常规 2 2 20_附注表一（财务报表）" xfId="3541"/>
    <cellStyle name="_GG &amp; GJ 2" xfId="3542"/>
    <cellStyle name="好_营业收入 15_明细表 3" xfId="3543"/>
    <cellStyle name="_consolidation sales &amp; cost-upda_Sheet1 2" xfId="3544"/>
    <cellStyle name="标题 2 3 2" xfId="3545"/>
    <cellStyle name="_27-道外" xfId="3546"/>
    <cellStyle name="差 7 3" xfId="3547"/>
    <cellStyle name="0,0_x000d__x000a_NA_x000d__x000a_ 3" xfId="3548"/>
    <cellStyle name="好_财务费用 8_附注表一（财务报表）" xfId="3549"/>
    <cellStyle name="60% - 强调文字颜色 2 2 2 2 3" xfId="3550"/>
    <cellStyle name="_29-香坊 2" xfId="3551"/>
    <cellStyle name="_x0007__2-采购与付款循环" xfId="3552"/>
    <cellStyle name="常规 2 2 2 2" xfId="3553"/>
    <cellStyle name="_30 June 2005 interim review-company level-v2" xfId="3554"/>
    <cellStyle name="好__dxn_temp空白表页 11 2 3" xfId="3555"/>
    <cellStyle name="_30 June 2005 interim review-company level-v2_pbc 080630 current liability" xfId="3556"/>
    <cellStyle name="_30 June 2005 interim review-company level-v2_pbc 080630 current liability 2" xfId="3557"/>
    <cellStyle name="_30 June 2005 interim review-company level-v2_pbc 080630 current liability_Sheet1" xfId="3558"/>
    <cellStyle name="40% - 强调文字颜色 1 2 8" xfId="3559"/>
    <cellStyle name="常规 3 2 2 5 8" xfId="3560"/>
    <cellStyle name="_30 June 2005 interim review-company level-v2_pbc 080630 current liability_Sheet1 2" xfId="3561"/>
    <cellStyle name="常规 5 8 6" xfId="3562"/>
    <cellStyle name="差_51-营业税金及附加（空白模板） 13_明细表" xfId="3563"/>
    <cellStyle name="60% - 輔色1" xfId="3564"/>
    <cellStyle name="_30 June 2005 interim review-company level-v2_Sheet1" xfId="3565"/>
    <cellStyle name="60% - 輔色1 2" xfId="3566"/>
    <cellStyle name="_30 June 2005 interim review-company level-v2_Sheet1 2" xfId="3567"/>
    <cellStyle name="好_1短期借款 3_明细表 4" xfId="3568"/>
    <cellStyle name="40% - 輔色1 3" xfId="3569"/>
    <cellStyle name="好_营业收入 3_明细表" xfId="3570"/>
    <cellStyle name="_to do list_期末存货_05成本到扎表1(1).9-结算部" xfId="3571"/>
    <cellStyle name="_31.12 GD3 and GD9 11.8(ss)" xfId="3572"/>
    <cellStyle name="常规 2 2 4 4" xfId="3573"/>
    <cellStyle name="好_营业收入 3_明细表 2" xfId="3574"/>
    <cellStyle name="_to do list_期末存货_05成本到扎表1(1).9-结算部 2" xfId="3575"/>
    <cellStyle name="_31.12 GD3 and GD9 11.8(ss) 2" xfId="3576"/>
    <cellStyle name="常规 2 2 4 4 2" xfId="3577"/>
    <cellStyle name="_31.12 GD3 and GD9 11.8(ss)_CW.G5.Selling expenses.0606" xfId="3578"/>
    <cellStyle name="强调文字颜色 2 2 6 2" xfId="3579"/>
    <cellStyle name="好_ZA0货币资金审定表  5 5" xfId="3580"/>
    <cellStyle name="20% - Accent5 2" xfId="3581"/>
    <cellStyle name="20% - 强调文字颜色 5 3" xfId="3582"/>
    <cellStyle name="_Book1_FA" xfId="3583"/>
    <cellStyle name="_销售中心(上报稿)2005.8.31 2" xfId="3584"/>
    <cellStyle name="常规 3 2 18 2 5" xfId="3585"/>
    <cellStyle name="常规 3 2 23 2 5" xfId="3586"/>
    <cellStyle name="_31.12 GD3 and GD9 11.8(ss)_CW.GD5.Selling expenses.0405" xfId="3587"/>
    <cellStyle name="20% - Accent5 2 2" xfId="3588"/>
    <cellStyle name="20% - 强调文字颜色 5 3 2" xfId="3589"/>
    <cellStyle name="_Book1_FA 2" xfId="3590"/>
    <cellStyle name="_31.12 GD3 and GD9 11.8(ss)_CW.GD5.Selling expenses.0405 2" xfId="3591"/>
    <cellStyle name="好_ZA0货币资金审定表 _明细表_1 2" xfId="3592"/>
    <cellStyle name="好_资产负债标准底稿 8 3" xfId="3593"/>
    <cellStyle name="_31.12 GD3 and GD9 11.8(ss)_CW.GD7 R&amp;D expense.0405" xfId="3594"/>
    <cellStyle name="Accent1" xfId="3595"/>
    <cellStyle name="千位分隔 6 2 6 3" xfId="3596"/>
    <cellStyle name="_3-2-A12-可供出售金融资产--修改" xfId="3597"/>
    <cellStyle name="好_51-营业税金及附加（空白模板） 6_明细表 5" xfId="3598"/>
    <cellStyle name="40% - 强调文字颜色 5 2_Spreadsheet" xfId="3599"/>
    <cellStyle name="_Yuande.GD.20040331 (with HC)" xfId="3600"/>
    <cellStyle name="_long term loan - others 300504_to do list_Sheet1" xfId="3601"/>
    <cellStyle name="_3-2-A22-无形资产" xfId="3602"/>
    <cellStyle name="好_55-资产减值损失（空白模板） 17 4" xfId="3603"/>
    <cellStyle name="好_1营业外收入" xfId="3604"/>
    <cellStyle name="差_营业收入_明细表 5" xfId="3605"/>
    <cellStyle name="好_Z11其它流动资产 3 3" xfId="3606"/>
    <cellStyle name="_Yuande.GD.20040331 (with HC) 2" xfId="3607"/>
    <cellStyle name="Normal 14 5" xfId="3608"/>
    <cellStyle name="_Part VI - Supp Schedule P&amp;L Item (Site Name)" xfId="3609"/>
    <cellStyle name="好_1财务费用 12 3" xfId="3610"/>
    <cellStyle name="好 3 2 5" xfId="3611"/>
    <cellStyle name="_long term loan - others 300504_to do list_Sheet1 2" xfId="3612"/>
    <cellStyle name="好_27-短期借款(空白模板) 16 2 3" xfId="3613"/>
    <cellStyle name="好_1营业外收入 2" xfId="3614"/>
    <cellStyle name="_3-2-A22-无形资产 2" xfId="3615"/>
    <cellStyle name="差_1预收款项 10" xfId="3616"/>
    <cellStyle name="_3-2-A4-应收账款 2" xfId="3617"/>
    <cellStyle name="好_专项应付款 13 2" xfId="3618"/>
    <cellStyle name="SAPBEXHLevel0 3 2" xfId="3619"/>
    <cellStyle name="_RPT for account disclosure (05A share balance company level )_pbc 080630 current liability" xfId="3620"/>
    <cellStyle name="常规 2 6" xfId="3621"/>
    <cellStyle name="好_ZA0货币资金审定表  14_附注表一（财务报表）" xfId="3622"/>
    <cellStyle name="_3-2-A6-应收利息" xfId="3623"/>
    <cellStyle name="好_专项应付款 13 2 2" xfId="3624"/>
    <cellStyle name="_RPT for account disclosure (05A share balance company level )_pbc 080630 current liability 2" xfId="3625"/>
    <cellStyle name="常规 2 6 2" xfId="3626"/>
    <cellStyle name="_3-2-A6-应收利息 2" xfId="3627"/>
    <cellStyle name="40% - 强调文字颜色 5 2 3 4" xfId="3628"/>
    <cellStyle name="好_所得税费用 9 2" xfId="3629"/>
    <cellStyle name="_3-2-A8A-其他应收款" xfId="3630"/>
    <cellStyle name="差_无形资产 3_明细表 5" xfId="3631"/>
    <cellStyle name="好_1财务费用_Book2" xfId="3632"/>
    <cellStyle name="_公司填表2005-吴_3-2-Z17A-固定资产 2" xfId="3633"/>
    <cellStyle name="_32-宾县" xfId="3634"/>
    <cellStyle name="40% - 强调文字颜色 6 2 10" xfId="3635"/>
    <cellStyle name="好_ZA0货币资金审定表 _明细表 6" xfId="3636"/>
    <cellStyle name="差_dxn底稿目录 12_明细表" xfId="3637"/>
    <cellStyle name="_32-宾县 2" xfId="3638"/>
    <cellStyle name="_33-呼兰" xfId="3639"/>
    <cellStyle name="_Copy of 20050124 Profit and NAV Recons, IFRS Adj Summary(Anthony)_pbc 080630 current liability_Sheet1" xfId="3640"/>
    <cellStyle name="_33-呼兰 2" xfId="3641"/>
    <cellStyle name="好_15-固定资产（空白模板） 11_附注表一（财务报表）" xfId="3642"/>
    <cellStyle name="20% - Accent2" xfId="3643"/>
    <cellStyle name="_34-通河" xfId="3644"/>
    <cellStyle name="强调文字颜色 2 2 3 2" xfId="3645"/>
    <cellStyle name="好_ZA0货币资金审定表  2 5" xfId="3646"/>
    <cellStyle name="20% - Accent2 2" xfId="3647"/>
    <cellStyle name="20% - 强调文字颜色 2 3" xfId="3648"/>
    <cellStyle name="差_专项应付款 5 2 4" xfId="3649"/>
    <cellStyle name="差_函证结果汇总表 6" xfId="3650"/>
    <cellStyle name="_34-通河 2" xfId="3651"/>
    <cellStyle name="_3511年审最终版底稿姜小妹" xfId="3652"/>
    <cellStyle name="0.0% 3" xfId="3653"/>
    <cellStyle name="_3513底稿" xfId="3654"/>
    <cellStyle name="常规 3 3 15 3 4" xfId="3655"/>
    <cellStyle name="差_审定表_明细表" xfId="3656"/>
    <cellStyle name="_35-五常" xfId="3657"/>
    <cellStyle name="好_底稿设置宏_大信底稿目录 10 2" xfId="3658"/>
    <cellStyle name="好_存货 7 2" xfId="3659"/>
    <cellStyle name="差_54-财务费用（空白模板） 4 5" xfId="3660"/>
    <cellStyle name="_期末存货_20051231.sales com.GI1.intercompany 2" xfId="3661"/>
    <cellStyle name="_36-依兰" xfId="3662"/>
    <cellStyle name="好_底稿设置宏_明细表 6" xfId="3663"/>
    <cellStyle name="常规 3 13 5" xfId="3664"/>
    <cellStyle name="_37-双城" xfId="3665"/>
    <cellStyle name="00 2 3 7" xfId="3666"/>
    <cellStyle name="好_7-应收股利（空白模板） 2 2" xfId="3667"/>
    <cellStyle name="_38-尚志" xfId="3668"/>
    <cellStyle name="样式 1 9" xfId="3669"/>
    <cellStyle name="_Part III.200406.Loan and Liabilities details.(Site Name)_Worksheet in D: My Documents China Shenhua Overall - 2005 final Correspondence With Bobo Debriefing notes liabilities debriefing note 2005 12 31" xfId="3670"/>
    <cellStyle name="60% - 輔色4 3" xfId="3671"/>
    <cellStyle name="20% - 强调文字颜色 1 2 3 6" xfId="3672"/>
    <cellStyle name="差__dxn_temp空白表页 4 2" xfId="3673"/>
    <cellStyle name="常规 3 2 28 6" xfId="3674"/>
    <cellStyle name="好_资产负债类底稿模版_大信底稿目录 2 3 2" xfId="3675"/>
    <cellStyle name="_39-延寿" xfId="3676"/>
    <cellStyle name="_x0007__3-采购与付款循环(长期性资产)" xfId="3677"/>
    <cellStyle name="_x0007__3-采购与付款循环(长期性资产) 2" xfId="3678"/>
    <cellStyle name="好_ZG应收保费 2 2" xfId="3679"/>
    <cellStyle name="_x0007__3-采购与付款循环(长期性资产) 3" xfId="3680"/>
    <cellStyle name="_ZJYE9802_软件公司审计所需资料_Sheet1 2" xfId="3681"/>
    <cellStyle name="好_ZG应收保费 2 3" xfId="3682"/>
    <cellStyle name="_x0007__3-采购与付款循环(长期性资产) 4" xfId="3683"/>
    <cellStyle name="好_1应收账款_明细表_1 4" xfId="3684"/>
    <cellStyle name="_42-方正" xfId="3685"/>
    <cellStyle name="_43-报帐组" xfId="3686"/>
    <cellStyle name="常规 2 3 11_附注表一（财务报表）" xfId="3687"/>
    <cellStyle name="_Part I BS PL w notes to ac.Zhungeer.050614.V7_Sheet1" xfId="3688"/>
    <cellStyle name="_9119资产盘点表－吐鲁番9119" xfId="3689"/>
    <cellStyle name="好_15-固定资产（空白模板） 12_明细表 3" xfId="3690"/>
    <cellStyle name="差_04-06 东营 Appendix4 TBJA.0411.v17" xfId="3691"/>
    <cellStyle name="好_FD 应付账款 3 2" xfId="3692"/>
    <cellStyle name="好_1专项应付款 6 2" xfId="3693"/>
    <cellStyle name="_A17固定资产" xfId="3694"/>
    <cellStyle name="常规 3 3 2 8 2 3" xfId="3695"/>
    <cellStyle name="_Copy of 20050124 Profit and NAV Recons, IFRS Adj Summary(Anthony)_pbc 080630 current liability" xfId="3696"/>
    <cellStyle name="20% - 强调文字颜色 5 2 3 6" xfId="3697"/>
    <cellStyle name="好_32-应付职工薪酬(空白模板) 13" xfId="3698"/>
    <cellStyle name="好_1专项应付款 6 2 2" xfId="3699"/>
    <cellStyle name="_A17固定资产 2" xfId="3700"/>
    <cellStyle name="常规 3 3 2 8 2 4" xfId="3701"/>
    <cellStyle name="20% - 强调文字颜色 5 2 3 7" xfId="3702"/>
    <cellStyle name="好_32-应付职工薪酬(空白模板) 14" xfId="3703"/>
    <cellStyle name="好_1专项应付款 6 2 3" xfId="3704"/>
    <cellStyle name="_A17固定资产 3" xfId="3705"/>
    <cellStyle name="常规 3 3 2 8 2 5" xfId="3706"/>
    <cellStyle name="20% - 强调文字颜色 5 2 3 8" xfId="3707"/>
    <cellStyle name="好_55-资产减值损失（空白模板） 14 2 3" xfId="3708"/>
    <cellStyle name="_to do list_期末存货_200506.sales com.GI.intercompany" xfId="3709"/>
    <cellStyle name="好_G-应收账款 14_附注表一（财务报表）" xfId="3710"/>
    <cellStyle name="好_32-应付职工薪酬(空白模板) 15" xfId="3711"/>
    <cellStyle name="好_32-应付职工薪酬(空白模板) 20" xfId="3712"/>
    <cellStyle name="好_1专项应付款 6 2 4" xfId="3713"/>
    <cellStyle name="_A17固定资产 4" xfId="3714"/>
    <cellStyle name="Accent3 2 3" xfId="3715"/>
    <cellStyle name="_A23无形资产" xfId="3716"/>
    <cellStyle name="差_无形资产 17 2" xfId="3717"/>
    <cellStyle name="20% - 强调文字颜色 3 2 3 7" xfId="3718"/>
    <cellStyle name="_A23无形资产 2" xfId="3719"/>
    <cellStyle name="_对照检查 2" xfId="3720"/>
    <cellStyle name="常规 9 4 6 3" xfId="3721"/>
    <cellStyle name="常规 2 3 2 5 2" xfId="3722"/>
    <cellStyle name="_A23无形资产 4" xfId="3723"/>
    <cellStyle name="40% - 輔色3" xfId="3724"/>
    <cellStyle name="_A3应收票据" xfId="3725"/>
    <cellStyle name="40% - 輔色3 2" xfId="3726"/>
    <cellStyle name="_A3应收票据 2" xfId="3727"/>
    <cellStyle name="好_30-应付账款（空白模板） 5_附注表一（财务报表）" xfId="3728"/>
    <cellStyle name="常规 3 5 2 4 8" xfId="3729"/>
    <cellStyle name="40% - 强调文字颜色 4 2 7 2" xfId="3730"/>
    <cellStyle name="20% - 强调文字颜色 3 2 2 2" xfId="3731"/>
    <cellStyle name="40% - 輔色3 3" xfId="3732"/>
    <cellStyle name="_A3应收票据 3" xfId="3733"/>
    <cellStyle name="好_1专项应付款 11 2" xfId="3734"/>
    <cellStyle name="20% - 强调文字颜色 3 2 2 3" xfId="3735"/>
    <cellStyle name="40% - 輔色3 4" xfId="3736"/>
    <cellStyle name="_A3应收票据 4" xfId="3737"/>
    <cellStyle name="好_27-短期借款(空白模板) 3 2" xfId="3738"/>
    <cellStyle name="差 6 4" xfId="3739"/>
    <cellStyle name="_基石项目_审计调查表-2007年12月（修改后）_Sheet1" xfId="3740"/>
    <cellStyle name="_A6应收账款" xfId="3741"/>
    <cellStyle name="好_27-短期借款(空白模板) 3 2 2" xfId="3742"/>
    <cellStyle name="_基石项目_审计调查表-2007年12月（修改后）_Sheet1 2" xfId="3743"/>
    <cellStyle name="好_应付职工薪酬 4 3" xfId="3744"/>
    <cellStyle name="_A6应收账款 2" xfId="3745"/>
    <cellStyle name="_A6应收账款 4" xfId="3746"/>
    <cellStyle name="_A6应收账款_3-2-A1B-银行存款" xfId="3747"/>
    <cellStyle name="_Part III.200406.Loan and Liabilities details.(Site Name)_Part II - Consol Journal supp Schedule (Site Name)_Sheet1" xfId="3748"/>
    <cellStyle name="_A6应收账款_3-2-A1B-银行存款 2" xfId="3749"/>
    <cellStyle name="_Part III.200406.Loan and Liabilities details.(Site Name)_Part II - Consol Journal supp Schedule (Site Name)_Sheet1 2" xfId="3750"/>
    <cellStyle name="千位分隔[0] 2 4 2 4" xfId="3751"/>
    <cellStyle name="20% - 强调文字颜色 2 5 2" xfId="3752"/>
    <cellStyle name="_A6应收账款_3-2-A1B-银行存款 3" xfId="3753"/>
    <cellStyle name="_A6应收账款_3-2-A1B-银行存款 4" xfId="3754"/>
    <cellStyle name="AeE­_INQUIRY ¿μ¾÷AßAø " xfId="3755"/>
    <cellStyle name="_A6应收账款_3-2-Z17A-固定资产" xfId="3756"/>
    <cellStyle name="好_27-短期借款(空白模板) 8" xfId="3757"/>
    <cellStyle name="_A6应收账款_3-2-Z17A-固定资产 2" xfId="3758"/>
    <cellStyle name="好_1预收款项 5_明细表 3" xfId="3759"/>
    <cellStyle name="_A6应收账款_Sheet1" xfId="3760"/>
    <cellStyle name="_A6应收账款_Sheet1 2" xfId="3761"/>
    <cellStyle name="_A6应收账款_Sheet1 3" xfId="3762"/>
    <cellStyle name="_A6应收账款_Sheet1 4" xfId="3763"/>
    <cellStyle name="差_58-营业外收入（空白模板） 3 3" xfId="3764"/>
    <cellStyle name="_A6应收账款_Sheet1_Z4-应收账款" xfId="3765"/>
    <cellStyle name="_Advance from customer" xfId="3766"/>
    <cellStyle name="Comma 2 2 2 2" xfId="3767"/>
    <cellStyle name="_R-test on subsidy income" xfId="3768"/>
    <cellStyle name="_AR&amp;OR over 3 years-Full provision" xfId="3769"/>
    <cellStyle name="好_FD应付账款 2 3" xfId="3770"/>
    <cellStyle name="_AR&amp;OR over 3 years-Full provision 2" xfId="3771"/>
    <cellStyle name="好_1资产减值损失 4_附注表一（财务报表）" xfId="3772"/>
    <cellStyle name="差_专项应付款 8_附注表一（财务报表）" xfId="3773"/>
    <cellStyle name="好_专项应付款 17 2 2" xfId="3774"/>
    <cellStyle name="_Assets" xfId="3775"/>
    <cellStyle name="_Assets_1" xfId="3776"/>
    <cellStyle name="好_资产负债标准底稿_大信底稿目录 20" xfId="3777"/>
    <cellStyle name="好_资产负债标准底稿_大信底稿目录 15" xfId="3778"/>
    <cellStyle name="_Balance sheet notes template 2" xfId="3779"/>
    <cellStyle name="好_59-营业外支出（空白模板） 2 2" xfId="3780"/>
    <cellStyle name="_Assets_1_pbc 080630 current liability" xfId="3781"/>
    <cellStyle name="常规 2 2 4 2" xfId="3782"/>
    <cellStyle name="好_4-应收账款（空白模板） 12_明细表 5" xfId="3783"/>
    <cellStyle name="_Assets_1_pbc 080630 current liability_Sheet1" xfId="3784"/>
    <cellStyle name="_Assets_1_Sheet1" xfId="3785"/>
    <cellStyle name="好_固定资产 3 2 5" xfId="3786"/>
    <cellStyle name="好_1预收款项 8 2 5" xfId="3787"/>
    <cellStyle name="_Assets_Liabilities and equity_Sheet1" xfId="3788"/>
    <cellStyle name="好_资产负债标准底稿_大信底稿目录 7_明细表 4" xfId="3789"/>
    <cellStyle name="_Assets_pbc 080630 current liability" xfId="3790"/>
    <cellStyle name="_Part III.200406.Loan and Liabilities details.(Site Name)_期末存货_intercompany transaction_Sheet1 2" xfId="3791"/>
    <cellStyle name="差_ZD 应收账款 6" xfId="3792"/>
    <cellStyle name="_Assets_Sheet1" xfId="3793"/>
    <cellStyle name="_Book1_B12.Shenshuo.剥离核对表2000-2003_Adjusted Figures.Huoche.04.08.28" xfId="3794"/>
    <cellStyle name="_Audit Packages" xfId="3795"/>
    <cellStyle name="_Audit Packages 2" xfId="3796"/>
    <cellStyle name="_long term loan - others 300504_in-ter-com_intercompany transaction_Sheet1 2" xfId="3797"/>
    <cellStyle name="_B10其他未交款" xfId="3798"/>
    <cellStyle name="好_49-营业收入（空白模板） 14 2 5" xfId="3799"/>
    <cellStyle name="_B10其他未交款 2" xfId="3800"/>
    <cellStyle name="_非经常性损益明细表（唐忠富修改）" xfId="3801"/>
    <cellStyle name="_B10其他未交款 3" xfId="3802"/>
    <cellStyle name="差_55-资产减值损失（空白模板） 2 2" xfId="3803"/>
    <cellStyle name="_B10其他未交款 4" xfId="3804"/>
    <cellStyle name="好_FI 应付股利" xfId="3805"/>
    <cellStyle name="好_无形资产 2 2 4" xfId="3806"/>
    <cellStyle name="20% - 强调文字颜色 2 2 8" xfId="3807"/>
    <cellStyle name="_D3主营业务税金及附加 3" xfId="3808"/>
    <cellStyle name="_B13 G10 sales &amp; cost of sales" xfId="3809"/>
    <cellStyle name="好_应收利息_财务费用" xfId="3810"/>
    <cellStyle name="好_1专项应付款 10 2 3" xfId="3811"/>
    <cellStyle name="_Part III.200406.Loan and Liabilities details.(Site Name)_pbc 080630 current liability 2" xfId="3812"/>
    <cellStyle name="_B13预收账款2005 3" xfId="3813"/>
    <cellStyle name="标题 12" xfId="3814"/>
    <cellStyle name="_公司填表2005-修改_3-2-A1B-银行存款 2" xfId="3815"/>
    <cellStyle name="Normal 10" xfId="3816"/>
    <cellStyle name="_B13预收账款2005 4" xfId="3817"/>
    <cellStyle name="差_1专项应付款 7 2 3" xfId="3818"/>
    <cellStyle name="_to do list_期末存货_intercompany transaction_Sheet1" xfId="3819"/>
    <cellStyle name="Comma 7 4" xfId="3820"/>
    <cellStyle name="_B6应付工资" xfId="3821"/>
    <cellStyle name="Comma 7 4 2" xfId="3822"/>
    <cellStyle name="_B6应付工资 2" xfId="3823"/>
    <cellStyle name="_B6应付工资 3" xfId="3824"/>
    <cellStyle name="百分比 2 2 7 10" xfId="3825"/>
    <cellStyle name="_B6应付工资 4" xfId="3826"/>
    <cellStyle name="常规 4 12 2" xfId="3827"/>
    <cellStyle name="_B7应付福利费" xfId="3828"/>
    <cellStyle name="好_应收利息 2_明细表 4" xfId="3829"/>
    <cellStyle name="常规 4 12 2 2" xfId="3830"/>
    <cellStyle name="AÞ¸¶_INQUIRY ¿?¾÷AßAø " xfId="3831"/>
    <cellStyle name="_B7应付福利费 2" xfId="3832"/>
    <cellStyle name="好_应收利息 2_明细表 5" xfId="3833"/>
    <cellStyle name="常规 4 12 2 3" xfId="3834"/>
    <cellStyle name="_B7应付福利费 3" xfId="3835"/>
    <cellStyle name="好_49-营业收入（空白模板） 5 2 2" xfId="3836"/>
    <cellStyle name="_表10-11应付账款 2" xfId="3837"/>
    <cellStyle name="_Zibo adj_Oct 06_after IFRIC 2" xfId="3838"/>
    <cellStyle name="常规 6 12 4" xfId="3839"/>
    <cellStyle name="差_3固定资产 2" xfId="3840"/>
    <cellStyle name="_long term loan - others 300504_期末存货_20051231.sales com.GI1.intercompany 2" xfId="3841"/>
    <cellStyle name="常规 4 12 2 4" xfId="3842"/>
    <cellStyle name="60% - 强调文字颜色 5 9 2" xfId="3843"/>
    <cellStyle name="_B7应付福利费 4" xfId="3844"/>
    <cellStyle name="好_财务费用 3 5" xfId="3845"/>
    <cellStyle name="差_预收款项 6 2 2" xfId="3846"/>
    <cellStyle name="00 2 4 2" xfId="3847"/>
    <cellStyle name="_B9应交税金2005" xfId="3848"/>
    <cellStyle name="_B9应交税金2005 2" xfId="3849"/>
    <cellStyle name="常规 2 2 2 17 5" xfId="3850"/>
    <cellStyle name="20% - 强调文字颜色 6 2 2" xfId="3851"/>
    <cellStyle name="_B9应交税金2005 3" xfId="3852"/>
    <cellStyle name="常规 2 2 2 17 6" xfId="3853"/>
    <cellStyle name="20% - 强调文字颜色 6 2 3" xfId="3854"/>
    <cellStyle name="_B9应交税金2005 4" xfId="3855"/>
    <cellStyle name="差_审计分组-1218定稿 2 2" xfId="3856"/>
    <cellStyle name="_Balance sheet notes template" xfId="3857"/>
    <cellStyle name="40% - 强调文字颜色 4 2 12" xfId="3858"/>
    <cellStyle name="差_无形资产 5 2 3" xfId="3859"/>
    <cellStyle name="_Part III.200406.Loan and Liabilities details.(Site Name)_期末存货_intercompany transaction 2" xfId="3860"/>
    <cellStyle name="_Binzhou Appendix4 TBJA updated@20070417 night.yan不调质量索赔_pbc 080630 current liability" xfId="3861"/>
    <cellStyle name="好_底稿设置宏_大信底稿目录 4_附注表一（财务报表）" xfId="3862"/>
    <cellStyle name="40% - 强调文字颜色 1 2 7" xfId="3863"/>
    <cellStyle name="_银行询证函 to Victoria" xfId="3864"/>
    <cellStyle name="1000-sep (2 dec)_Trial balance 2005-03" xfId="3865"/>
    <cellStyle name="差_58-营业外收入（空白模板） 2 4" xfId="3866"/>
    <cellStyle name="_BJ Austar GL Share capital 211105" xfId="3867"/>
    <cellStyle name="常规 3 2 2 4 8" xfId="3868"/>
    <cellStyle name="40% - 强调文字颜色 1 2 7 2" xfId="3869"/>
    <cellStyle name="_银行询证函 to Victoria 2" xfId="3870"/>
    <cellStyle name="好_资产负债类底稿模版_大信底稿目录 4 5" xfId="3871"/>
    <cellStyle name="_BJ Austar GL Share capital 211105 2" xfId="3872"/>
    <cellStyle name="好_2011.12全年年报资料汇总(樣本) 2" xfId="3873"/>
    <cellStyle name="好_G-应收账款 5_附注表一（财务报表）" xfId="3874"/>
    <cellStyle name="好_1预收款项 12 2 4" xfId="3875"/>
    <cellStyle name="_Part III.200406.Loan and Liabilities details.(Site Name)_AR&amp;OR over 3 years-Full provision 2" xfId="3876"/>
    <cellStyle name="_Book1" xfId="3877"/>
    <cellStyle name="_Book1 2" xfId="3878"/>
    <cellStyle name="好_1营业收入 11 2 2" xfId="3879"/>
    <cellStyle name="_Book1_1 2" xfId="3880"/>
    <cellStyle name="_D1主营业务收入 3" xfId="3881"/>
    <cellStyle name="差_大信底稿目录 9_明细表 5" xfId="3882"/>
    <cellStyle name="_Book1_B12.Shenshuo.剥离核对表2000-2003" xfId="3883"/>
    <cellStyle name="40% - 强调文字颜色 3 2_Spreadsheet" xfId="3884"/>
    <cellStyle name="_Book1_B12.Shenshuo.剥离核对表2000-2003 2" xfId="3885"/>
    <cellStyle name="00 2 3 6" xfId="3886"/>
    <cellStyle name="_Book1_B12.Shenshuo.剥离核对表2000-2003_Adjusted Figures.Huoche.04.08.28 2" xfId="3887"/>
    <cellStyle name="_Book1_B12.Shenshuo.剥离核对表2000-2003_D01 铁路货车 2001-20040630" xfId="3888"/>
    <cellStyle name="60% - 强调文字颜色 2 2 11" xfId="3889"/>
    <cellStyle name="差_鲁亚2011.12全年年报资料汇总 2" xfId="3890"/>
    <cellStyle name="0,0_x000d__x000a_NA_x000d__x000a_ 3_Spreadsheet" xfId="3891"/>
    <cellStyle name="_Book1_B12.Shenshuo.剥离核对表2000-2003_D01 铁路货车 2001-20040630 2" xfId="3892"/>
    <cellStyle name="差_应收账款 4 2" xfId="3893"/>
    <cellStyle name="差 3" xfId="3894"/>
    <cellStyle name="0% 7 3 2" xfId="3895"/>
    <cellStyle name="{Comma}" xfId="3896"/>
    <cellStyle name="常规 2 25_附注表一（财务报表）" xfId="3897"/>
    <cellStyle name="_Book1_B12.Shenshuo.剥离核对表2000-2003_上市调账(2004年11月11日)" xfId="3898"/>
    <cellStyle name="_Book1_DZ G8 to G9 - 091031" xfId="3899"/>
    <cellStyle name="差_ZL长期应收款 2 4" xfId="3900"/>
    <cellStyle name="_Book1_DZ G8 to G9 - 091031 2" xfId="3901"/>
    <cellStyle name="Percent[0] 5" xfId="3902"/>
    <cellStyle name="好_ZA货币资金 2 2 2" xfId="3903"/>
    <cellStyle name="_Book1_O9.Accrual.DZH.31 Dec 2007" xfId="3904"/>
    <cellStyle name="_Book1_O9.Accrual.DZH.31 Dec 2007 2" xfId="3905"/>
    <cellStyle name="_Book2_04-06 东营 Appendix4 TBJA.0411.v17_Sheet1 2" xfId="3906"/>
    <cellStyle name="_Book2" xfId="3907"/>
    <cellStyle name="_Book2 2" xfId="3908"/>
    <cellStyle name="好_49-营业收入（空白模板） 5 2 6" xfId="3909"/>
    <cellStyle name="_公司填表2005-吴_Sheet1 2" xfId="3910"/>
    <cellStyle name="_Book2_04-06 东营 Appendix4 TBJA.0411.v17" xfId="3911"/>
    <cellStyle name="好_31-预收账款（空白模板） 2 3 3" xfId="3912"/>
    <cellStyle name="_Book2_04-06 东营 Appendix4 TBJA.0411.v17 2" xfId="3913"/>
    <cellStyle name="好_1专项应付款 6_附注表一（财务报表）" xfId="3914"/>
    <cellStyle name="20% - 强调文字颜色 2 3 3" xfId="3915"/>
    <cellStyle name="_Book2_04-06 东营 Appendix4 TBJA.0411.v17_H1-3 Addition list " xfId="3916"/>
    <cellStyle name="_Book2_04-06 东营 Appendix4 TBJA.0411.v17_H1-3 Addition list  2" xfId="3917"/>
    <cellStyle name="好_大信底稿目录 13_明细表 4" xfId="3918"/>
    <cellStyle name="好__dxn_temp空白表页 12_明细表 2" xfId="3919"/>
    <cellStyle name="40% - 强调文字颜色 2 2 2 5" xfId="3920"/>
    <cellStyle name="好_ZY-递延所得税资产 4 2" xfId="3921"/>
    <cellStyle name="_副本问题 2" xfId="3922"/>
    <cellStyle name="好_4-应收账款（空白模板） 6_明细表 2" xfId="3923"/>
    <cellStyle name="常规 5 8 3 2" xfId="3924"/>
    <cellStyle name="_Book2_04-06 东营 Appendix4 TBJA.0411.v17_Sheet1" xfId="3925"/>
    <cellStyle name="_Book2_04-06 东营 Appendix4 TBJA.0411.v17_固定资产增加2" xfId="3926"/>
    <cellStyle name="40% - 强调文字颜色 5 9" xfId="3927"/>
    <cellStyle name="_Book2_04-06 东营 Appendix4 TBJA.0411.v17_固定资产增加2 2" xfId="3928"/>
    <cellStyle name="20% - 强调文字颜色 6 2 2 6" xfId="3929"/>
    <cellStyle name="常规 2 5 4 2" xfId="3930"/>
    <cellStyle name="_Book2_071231.Weidamei plant.H102.Fixed assets" xfId="3931"/>
    <cellStyle name="_Book2_071231.Weidamei plant.H102.Fixed assets_081031.B06.日照分公司.H1.固定资产" xfId="3932"/>
    <cellStyle name="_Book2_071231.Weidamei plant.H102.Fixed assets_081031.B06.日照分公司.H1.固定资产_Sheet1" xfId="3933"/>
    <cellStyle name="好_51-营业税金及附加（空白模板） 6 3" xfId="3934"/>
    <cellStyle name="常规 9 3 4" xfId="3935"/>
    <cellStyle name="差_31-预收账款（空白模板） 11_明细表" xfId="3936"/>
    <cellStyle name="标题 2 2 2 8" xfId="3937"/>
    <cellStyle name="_公司填表-2005杨 3" xfId="3938"/>
    <cellStyle name="好_应收利息_明细表 4" xfId="3939"/>
    <cellStyle name="好_1营业收入 17 2" xfId="3940"/>
    <cellStyle name="_Book2_071231.Weidamei plant.H102.Fixed assets_H1-3 Addition list " xfId="3941"/>
    <cellStyle name="常规 4 2 9 3" xfId="3942"/>
    <cellStyle name="40% - 强调文字颜色 5 6" xfId="3943"/>
    <cellStyle name="20% - 輔色6 6" xfId="3944"/>
    <cellStyle name="好_应付债券" xfId="3945"/>
    <cellStyle name="好_30-应付账款（空白模板） 12_明细表" xfId="3946"/>
    <cellStyle name="常规 3 2 2 2 2 5 2" xfId="3947"/>
    <cellStyle name="好 2 7" xfId="3948"/>
    <cellStyle name="_Book2_071231.Weidamei plant.H102.Fixed assets_Sheet1" xfId="3949"/>
    <cellStyle name="_Book2_071231.Weidamei plant.H102.Fixed assets_固定资产增加2" xfId="3950"/>
    <cellStyle name="常规 3 3 2 2 5_附注表一（财务报表）" xfId="3951"/>
    <cellStyle name="_Book2_071231.Weidamei plant.H102.Fixed assets_固定资产增加2 2" xfId="3952"/>
    <cellStyle name="好_专项应付款 3 2 5" xfId="3953"/>
    <cellStyle name="差_22-长期待摊费用（空白模板） 5 3" xfId="3954"/>
    <cellStyle name="_Book2_071231.Weidamei plant.H102.Fixed assets_固定资产增加2_Sheet1" xfId="3955"/>
    <cellStyle name="_Part III.200406.Loan and Liabilities details.(Site Name)_期末存货_200506.sales com.GI.intercompany 2" xfId="3956"/>
    <cellStyle name="_TB CTE FJ 4-2" xfId="3957"/>
    <cellStyle name="好__dxn_temp空白表页 15 2 2" xfId="3958"/>
    <cellStyle name="差_资产负债类底稿模版 8_明细表 4" xfId="3959"/>
    <cellStyle name="_Book2_Part VIII - 20071231.Project Stone.Reporting package.off-balance.(sub name)" xfId="3960"/>
    <cellStyle name="40% - 强调文字颜色 6 2 3_附注表一（财务报表）" xfId="3961"/>
    <cellStyle name="_TB CTE FJ 4-2 2" xfId="3962"/>
    <cellStyle name="60% - 强调文字颜色 4 2 12" xfId="3963"/>
    <cellStyle name="_Part II - Consol Journal supp Schedule (Site Name)_Part I     - 20071031.Project Stone.Reporting package.TB&amp;JA.(sub name)_Sheet1" xfId="3964"/>
    <cellStyle name="好_G-应收账款 26" xfId="3965"/>
    <cellStyle name="好_G-应收账款 31" xfId="3966"/>
    <cellStyle name="_Book2_Part VIII - 20071231.Project Stone.Reporting package.off-balance.(sub name) 2" xfId="3967"/>
    <cellStyle name="差_底稿设置宏 15 2 5" xfId="3968"/>
    <cellStyle name="_公司填表2005-修改_Z4-应收账款" xfId="3969"/>
    <cellStyle name="_Book2_Q2-1 EIT recon" xfId="3970"/>
    <cellStyle name="百分比 4 6 5" xfId="3971"/>
    <cellStyle name="常规 17 2 5" xfId="3972"/>
    <cellStyle name="_Book2_Q2-1 EIT recon 2" xfId="3973"/>
    <cellStyle name="_Book2_Q2-1 EIT recon_Sheet1" xfId="3974"/>
    <cellStyle name="_Book2_Q2-1 EIT recon_Sheet1 2" xfId="3975"/>
    <cellStyle name="好_短期借款 10_明细表" xfId="3976"/>
    <cellStyle name="_Book2_Sheet1" xfId="3977"/>
    <cellStyle name="差_FD应付账款 2" xfId="3978"/>
    <cellStyle name="_Book3" xfId="3979"/>
    <cellStyle name="差_FD应付账款 2 2" xfId="3980"/>
    <cellStyle name="_Book3 2" xfId="3981"/>
    <cellStyle name="_Part III.200406.Loan and Liabilities details.(Site Name)_期末存货" xfId="3982"/>
    <cellStyle name="差_短期借款 2 4" xfId="3983"/>
    <cellStyle name="百分比 9 3" xfId="3984"/>
    <cellStyle name="常规 176 2 4" xfId="3985"/>
    <cellStyle name="差_FD应付账款 5" xfId="3986"/>
    <cellStyle name="_Book6" xfId="3987"/>
    <cellStyle name="好_复件 固定资产 9" xfId="3988"/>
    <cellStyle name="00 34" xfId="3989"/>
    <cellStyle name="00 29" xfId="3990"/>
    <cellStyle name="好_31-预收账款（空白模板）" xfId="3991"/>
    <cellStyle name="差_大信底稿目录 5_明细表 3" xfId="3992"/>
    <cellStyle name="差_ZA0货币资金审定表 _明细表_1" xfId="3993"/>
    <cellStyle name="_BXX G PL 0606-revised" xfId="3994"/>
    <cellStyle name="_Sheet1_Sheet1" xfId="3995"/>
    <cellStyle name="好_1应收账款 4 3" xfId="3996"/>
    <cellStyle name="差_ZA货币资金 2 3" xfId="3997"/>
    <cellStyle name="_Fubiao 6_Sheet1 2" xfId="3998"/>
    <cellStyle name="超链接 3 12_附注表一（财务报表）" xfId="3999"/>
    <cellStyle name="_CCB.HO.New TB template.CCB PRC IAS Sorting.040223 trial run" xfId="4000"/>
    <cellStyle name="_Sheet1_Sheet1 2" xfId="4001"/>
    <cellStyle name="_CCB.HO.New TB template.CCB PRC IAS Sorting.040223 trial run 2" xfId="4002"/>
    <cellStyle name="20% - 强调文字颜色 4 2 2 11" xfId="4003"/>
    <cellStyle name="好_Turnover 6" xfId="4004"/>
    <cellStyle name="_公司填表2005-修改 2" xfId="4005"/>
    <cellStyle name="好_资产负债标准底稿 16 3" xfId="4006"/>
    <cellStyle name="_YZ.GJ2.Other Payables.2003-2005(14022006)" xfId="4007"/>
    <cellStyle name="好_27-短期借款(空白模板) 17" xfId="4008"/>
    <cellStyle name="好_27-短期借款(空白模板) 22" xfId="4009"/>
    <cellStyle name="常规 3 3 2 5 2" xfId="4010"/>
    <cellStyle name="常规 9 5 9" xfId="4011"/>
    <cellStyle name="_jnl list" xfId="4012"/>
    <cellStyle name="好_50-营业成本（空白模板） 12_明细表" xfId="4013"/>
    <cellStyle name="_CCB.HO.New TB template.CCB PRC IAS Sorting.040223 trial run_051130.Pana-SIMS WPF sections" xfId="4014"/>
    <cellStyle name="常规 46 5" xfId="4015"/>
    <cellStyle name="Normal - Style1 3 6 2" xfId="4016"/>
    <cellStyle name="_YZ.GJ2.Other Payables.2003-2005(14022006) 2" xfId="4017"/>
    <cellStyle name="好_27-短期借款(空白模板) 17 2" xfId="4018"/>
    <cellStyle name="_jnl list 2" xfId="4019"/>
    <cellStyle name="好_50-营业成本（空白模板） 12_明细表 2" xfId="4020"/>
    <cellStyle name="链接单元格 3 3" xfId="4021"/>
    <cellStyle name="好_工程物资" xfId="4022"/>
    <cellStyle name="好_31-预收账款（空白模板） 3 2 5" xfId="4023"/>
    <cellStyle name="_CCB.HO.New TB template.CCB PRC IAS Sorting.040223 trial run_051130.Pana-SIMS WPF sections 2" xfId="4024"/>
    <cellStyle name="_CCB.HO.New TB template.CCB PRC IAS Sorting.040223 trial run_051130.Pana-SIMS.O section.VX" xfId="4025"/>
    <cellStyle name="好_资产负债标准底稿_大信底稿目录 2_明细表 2" xfId="4026"/>
    <cellStyle name="0,0_x000d__x000a_NA_x000d__x000a_ 2 7" xfId="4027"/>
    <cellStyle name="_CCB.HO.New TB template.CCB PRC IAS Sorting.040223 trial run_051130.Pana-SIMS.O section.VX 2" xfId="4028"/>
    <cellStyle name="好_50-营业成本（空白模板） 8 2 4" xfId="4029"/>
    <cellStyle name="差_实收资本(股本)" xfId="4030"/>
    <cellStyle name="_CCB.HO.New TB template.CCB PRC IAS Sorting.040223 trial run_051130.Pana-SIMS.O section.VX_081031.B06.日照分公司.H1.固定资产_Sheet1" xfId="4031"/>
    <cellStyle name="好_短期借款 9 2 5" xfId="4032"/>
    <cellStyle name="好_2009 聊城final PBC V3 6" xfId="4033"/>
    <cellStyle name="差_实收资本(股本) 2" xfId="4034"/>
    <cellStyle name="_CCB.HO.New TB template.CCB PRC IAS Sorting.040223 trial run_051130.Pana-SIMS.O section.VX_081031.B06.日照分公司.H1.固定资产_Sheet1 2" xfId="4035"/>
    <cellStyle name="40% - 强调文字颜色 3 3 3" xfId="4036"/>
    <cellStyle name="好_应付债券 2 2 2" xfId="4037"/>
    <cellStyle name="_CCB.HO.New TB template.CCB PRC IAS Sorting.040223 trial run_051130.Pana-SIMS.O section.VX_H1-3 Addition list " xfId="4038"/>
    <cellStyle name="_ZZ货币资金" xfId="4039"/>
    <cellStyle name="_WP-埃贝斯乐-HQ" xfId="4040"/>
    <cellStyle name="_CCB.HO.New TB template.CCB PRC IAS Sorting.040223 trial run_051130.Pana-SIMS.O section.VX_Sheet1" xfId="4041"/>
    <cellStyle name="好_1营业收入_Book2" xfId="4042"/>
    <cellStyle name="货币 3" xfId="4043"/>
    <cellStyle name="_CCB.HO.New TB template.CCB PRC IAS Sorting.040223 trial run_051130.Pana-SIMS.O section.VX_Sheet1 2" xfId="4044"/>
    <cellStyle name="_Weisheng_GG2.v1_其它应收款的性质_GG4.OR.Dec 04" xfId="4045"/>
    <cellStyle name="常规 2 3 24 7" xfId="4046"/>
    <cellStyle name="_CCB.HO.New TB template.CCB PRC IAS Sorting.040223 trial run_051130.Pana-SIMS.O section.VX_固定资产增加2" xfId="4047"/>
    <cellStyle name="差_1递延所得税资产 2 2" xfId="4048"/>
    <cellStyle name="_Part III.200406.Loan and Liabilities details.(Site Name)_to do list_期末存货_20051231.sales com.GI1.intercompany_Sheet1" xfId="4049"/>
    <cellStyle name="_CCB.HO.New TB template.CCB PRC IAS Sorting.040223 trial run_051130.Pana-SIMS.O section.VX_固定资产增加2 2" xfId="4050"/>
    <cellStyle name="_Part III.200406.Loan and Liabilities details.(Site Name)_to do list_期末存货_20051231.sales com.GI1.intercompany_Sheet1 2" xfId="4051"/>
    <cellStyle name="_中企华与毕马威评估增减值调整分析-国际贸易_B12.Shenshuo.剥离核对表2000-2003_上市调账(2004年11月11日) 2" xfId="4052"/>
    <cellStyle name="_CCB.HO.New TB template.CCB PRC IAS Sorting.040223 trial run_Sheet1" xfId="4053"/>
    <cellStyle name="20% - 强调文字颜色 6 2 3 5" xfId="4054"/>
    <cellStyle name="好_1财务费用 4_附注表一（财务报表）" xfId="4055"/>
    <cellStyle name="差_资产负债类底稿模版 5 3" xfId="4056"/>
    <cellStyle name="_CCB.HO.New TB template.CCB PRC IAS Sorting.040223 trial run_Sheet1 2" xfId="4057"/>
    <cellStyle name="Currency 2" xfId="4058"/>
    <cellStyle name="_Chang.Cons.20070419.Group.Apendix4TBJA" xfId="4059"/>
    <cellStyle name="好_大信底稿目录 8" xfId="4060"/>
    <cellStyle name="_Chang.Cons.20070419.Group.Apendix4TBJA 2" xfId="4061"/>
    <cellStyle name="_Chang.Cons.20070419.Group.Apendix4TBJA_pbc 080630 current liability" xfId="4062"/>
    <cellStyle name="Text Indent C 2" xfId="4063"/>
    <cellStyle name="_Chang.Cons.20070419.Group.Apendix4TBJA_pbc 080630 current liability 2" xfId="4064"/>
    <cellStyle name="好__dxn_temp空白表页 5 3 2" xfId="4065"/>
    <cellStyle name="Col Heads 5" xfId="4066"/>
    <cellStyle name="20% - 强调文字颜色 2 2 3_附注表一（财务报表）" xfId="4067"/>
    <cellStyle name="_change.Cons.20070419 night. Jixie. Appendix4 TBJA" xfId="4068"/>
    <cellStyle name="_change.Cons.20070419 night. Jixie. Appendix4 TBJA 2" xfId="4069"/>
    <cellStyle name="_change.Cons.20070419 night. Jixie. Appendix4 TBJA_pbc 080630 current liability" xfId="4070"/>
    <cellStyle name="_change.Cons.20070419 night. Jixie. Appendix4 TBJA_pbc 080630 current liability 2" xfId="4071"/>
    <cellStyle name="链接单元格 2" xfId="4072"/>
    <cellStyle name="常规 3 5 2 3 3 5" xfId="4073"/>
    <cellStyle name="_long term loan - others 300504_intercom tran_Sheet1" xfId="4074"/>
    <cellStyle name="好_Sheet1 2 10" xfId="4075"/>
    <cellStyle name="常规 2 2 18 2 2" xfId="4076"/>
    <cellStyle name="常规 2 2 23 2 2" xfId="4077"/>
    <cellStyle name="_change.Cons.20070419.logistic.Appendix4TBJA 2" xfId="4078"/>
    <cellStyle name="_CISCO-2002.12M" xfId="4079"/>
    <cellStyle name="差_所得税费用 5" xfId="4080"/>
    <cellStyle name="Accent6" xfId="4081"/>
    <cellStyle name="_completed Additional RP1" xfId="4082"/>
    <cellStyle name="60% - 强调文字颜色 1 2 3" xfId="4083"/>
    <cellStyle name="常规 2 3 2 10 2 5" xfId="4084"/>
    <cellStyle name="_consolidation sales &amp; cost-upda" xfId="4085"/>
    <cellStyle name="Normal - Style1 5" xfId="4086"/>
    <cellStyle name="20% - 强调文字颜色 4 2 2_附注表一（财务报表）" xfId="4087"/>
    <cellStyle name="60% - 强调文字颜色 1 2 3 2" xfId="4088"/>
    <cellStyle name="好_无形资产 6_明细表 3" xfId="4089"/>
    <cellStyle name="SAPBEXHLevel2X 5 3" xfId="4090"/>
    <cellStyle name="_Part I - BS  PL with note to account (Site Name)_pbc 080630 current liability" xfId="4091"/>
    <cellStyle name="好_4-应收账款（空白模板） 11 2 2" xfId="4092"/>
    <cellStyle name="好_1营业收入 11_附注表一（财务报表）" xfId="4093"/>
    <cellStyle name="_long term loan - others 300504_AR&amp;OR over 3 years-Full provision_Sheet1" xfId="4094"/>
    <cellStyle name="好_19-无形资产（空白模板） 13 2 3" xfId="4095"/>
    <cellStyle name="超链接 3 2 3 5" xfId="4096"/>
    <cellStyle name="_consolidation sales &amp; cost-upda 2" xfId="4097"/>
    <cellStyle name="常规 3 3 3 2 5" xfId="4098"/>
    <cellStyle name="_consolidation sales &amp; cost-upda_Q2-1 EIT recon" xfId="4099"/>
    <cellStyle name="差_ZU固定资产 3" xfId="4100"/>
    <cellStyle name="差_9-存货（空白模板）" xfId="4101"/>
    <cellStyle name="_consolidation sales &amp; cost-upda_Q2-1 EIT recon 2" xfId="4102"/>
    <cellStyle name="_GG &amp; GJ" xfId="4103"/>
    <cellStyle name="常规 7 2 2 10" xfId="4104"/>
    <cellStyle name="_consolidation sales &amp; cost-upda_Sheet1" xfId="4105"/>
    <cellStyle name="_Copy of 20050124 Profit and NAV Recons, IFRS Adj Summary(Anthony)" xfId="4106"/>
    <cellStyle name="差_54-财务费用（空白模板） 2 3" xfId="4107"/>
    <cellStyle name="_Cut-off Schedule" xfId="4108"/>
    <cellStyle name="_D11营业外支出" xfId="4109"/>
    <cellStyle name="好_无形资产 3 2 4" xfId="4110"/>
    <cellStyle name="20% - 强调文字颜色 3 2 8" xfId="4111"/>
    <cellStyle name="好_1短期借款 13 2 2" xfId="4112"/>
    <cellStyle name="差_1营业收入 11" xfId="4113"/>
    <cellStyle name="_long term loan - others 300504_Worksheet in D: My Documents China Shenhua Overall - 2005 final Correspondence With Bobo Debriefing notes liabilities debriefing note 2005 12 31_Sheet1 2" xfId="4114"/>
    <cellStyle name="常规 3 2 5 8" xfId="4115"/>
    <cellStyle name="差_G-应收账款 12" xfId="4116"/>
    <cellStyle name="千位分隔 2 2 8 2 2" xfId="4117"/>
    <cellStyle name="_D11营业外支出 3" xfId="4118"/>
    <cellStyle name="_D1主营业务收入 4" xfId="4119"/>
    <cellStyle name="好_无形资产 2 2 3" xfId="4120"/>
    <cellStyle name="20% - 强调文字颜色 2 2 7" xfId="4121"/>
    <cellStyle name="千位分隔 4 6 4" xfId="4122"/>
    <cellStyle name="好_19-无形资产（空白模板） 9 3" xfId="4123"/>
    <cellStyle name="好_无形资产_3固定资产 2" xfId="4124"/>
    <cellStyle name="_long term loan - others 300504_Sheet1" xfId="4125"/>
    <cellStyle name="_D3主营业务税金及附加 2" xfId="4126"/>
    <cellStyle name="好_49-营业收入（空白模板）_3固定资产" xfId="4127"/>
    <cellStyle name="_Shenhua PBC package 050530_毕马威6月30日审计表（合并）" xfId="4128"/>
    <cellStyle name="千位分隔 2 3 16 7" xfId="4129"/>
    <cellStyle name="_D4其他业务利润" xfId="4130"/>
    <cellStyle name="_long term loan - others 300504_IFRS recon June 05 v4  _Sheet1" xfId="4131"/>
    <cellStyle name="_D4其他业务利润 2" xfId="4132"/>
    <cellStyle name="_long term loan - others 300504_刘佳佳-国华收入成本05-6" xfId="4133"/>
    <cellStyle name="_D4其他业务利润 3" xfId="4134"/>
    <cellStyle name="_D4其他业务利润 4" xfId="4135"/>
    <cellStyle name="好_50-营业成本（空白模板） 10 2 2" xfId="4136"/>
    <cellStyle name="_Defective title properties for 1231 2005" xfId="4137"/>
    <cellStyle name="常规 2 3 2 5 2 5" xfId="4138"/>
    <cellStyle name="差_27-短期借款(空白模板) 8 3" xfId="4139"/>
    <cellStyle name="_Worksheet in D: My Documents China Shenhua Overall - 2005 final Correspondence With Bobo Debriefing notes liabilities debriefing note 2005 12 31_pbc 080630 current liability" xfId="4140"/>
    <cellStyle name="_Defective title properties for 1231 2005_Sheet1" xfId="4141"/>
    <cellStyle name="Accent3 6" xfId="4142"/>
    <cellStyle name="_Deferred tax package" xfId="4143"/>
    <cellStyle name="_DZ L Receivables 20091031 2" xfId="4144"/>
    <cellStyle name="欧 3" xfId="4145"/>
    <cellStyle name="好_1销售费用 3 3" xfId="4146"/>
    <cellStyle name="好__dxn_temp空白表页 4_附注表一（财务报表）" xfId="4147"/>
    <cellStyle name="_DZH 0910 Adj Spreadsheet" xfId="4148"/>
    <cellStyle name="_ET_STYLE_NoName_00_" xfId="4149"/>
    <cellStyle name="差_1专项应付款 10 4" xfId="4150"/>
    <cellStyle name="_ET_STYLE_NoName_00_ 2" xfId="4151"/>
    <cellStyle name="常规 3 3 2 2 8 7" xfId="4152"/>
    <cellStyle name="_Exchange rate adj" xfId="4153"/>
    <cellStyle name="_费用分析报告" xfId="4154"/>
    <cellStyle name="好_1公允价值变动损益 3" xfId="4155"/>
    <cellStyle name="_Part III.200406.Loan and Liabilities details.(Site Name)_Part IV - Supp Sch FA &amp; Other Assets (Holding).0714.V7(OK)_Sheet1" xfId="4156"/>
    <cellStyle name="常规 5 4 8" xfId="4157"/>
    <cellStyle name="差_资产负债标准底稿 4 3" xfId="4158"/>
    <cellStyle name="差_资产负债标准底稿 13_明细表 5" xfId="4159"/>
    <cellStyle name="_Expense Consolidation-EastOcean-for disclosure" xfId="4160"/>
    <cellStyle name="_Expenses 2" xfId="4161"/>
    <cellStyle name="_long term loan - others 300504_to do list_期末存货" xfId="4162"/>
    <cellStyle name="_F！U2000 管理费用 20060920" xfId="4163"/>
    <cellStyle name="Euro 2 2 3" xfId="4164"/>
    <cellStyle name="_long term loan - others 300504_AR&amp;OR over 3 years-Full provision_pbc 080630 current liability_Sheet1 2" xfId="4165"/>
    <cellStyle name="_FA" xfId="4166"/>
    <cellStyle name="_FA  CIP opening balance" xfId="4167"/>
    <cellStyle name="_新余福润鲜冻分类_Sheet1 2" xfId="4168"/>
    <cellStyle name="常规 2 2 8" xfId="4169"/>
    <cellStyle name="_FA  CIP opening balance_pbc 080630 current liability_Sheet1" xfId="4170"/>
    <cellStyle name="_Part III.200406.Loan and Liabilities details.(Site Name)_05年6.14结算部成本到扎表_Sheet1" xfId="4171"/>
    <cellStyle name="好_51-营业税金及附加（空白模板） 10 2 4" xfId="4172"/>
    <cellStyle name="_FA JA过入明细工厂_081031.B06.日照分公司.H1.固定资产" xfId="4173"/>
    <cellStyle name="_FA JA过入明细工厂_081031.B06.日照分公司.H1.固定资产_Sheet1" xfId="4174"/>
    <cellStyle name="_FA JA过入明细工厂_H1-3 Addition list " xfId="4175"/>
    <cellStyle name="好_1预收款项 3 3" xfId="4176"/>
    <cellStyle name="差_预收款项 5 2 3" xfId="4177"/>
    <cellStyle name="差_ZA0货币资金审定表  10 4" xfId="4178"/>
    <cellStyle name="好_51-营业税金及附加（空白模板） 17 6" xfId="4179"/>
    <cellStyle name="_FA JA过入明细工厂_Sheet1" xfId="4180"/>
    <cellStyle name="_双凤 jnl list 2" xfId="4181"/>
    <cellStyle name="_FA JA过入明细工厂11_H1-3 Addition list " xfId="4182"/>
    <cellStyle name="好_27-短期借款(空白模板) 15 2 3" xfId="4183"/>
    <cellStyle name="常规 3 3 2 2 8_附注表一（财务报表）" xfId="4184"/>
    <cellStyle name="千位分隔 5 2 2 10" xfId="4185"/>
    <cellStyle name="好__dxn_temp空白表页 12_明细表 4" xfId="4186"/>
    <cellStyle name="40% - 强调文字颜色 2 2 2 7" xfId="4187"/>
    <cellStyle name="差_资产负债类底稿模版 7_附注表一（财务报表）" xfId="4188"/>
    <cellStyle name="0% 6 3 2" xfId="4189"/>
    <cellStyle name="好_4-应收账款（空白模板） 6_明细表 4" xfId="4190"/>
    <cellStyle name="_FA_081031.B06.日照分公司.H1.固定资产" xfId="4191"/>
    <cellStyle name="_FA_H1-3 Addition list " xfId="4192"/>
    <cellStyle name="_桂林一季度鲜销1" xfId="4193"/>
    <cellStyle name="好_54-财务费用（空白模板） 13_明细表 2" xfId="4194"/>
    <cellStyle name="_FA_Sheet1" xfId="4195"/>
    <cellStyle name="_long term loan - others 300504_05年6.14结算部成本到扎表_Sheet1" xfId="4196"/>
    <cellStyle name="_to do list_期末存货_200506.sales com.GI.intercompany 2" xfId="4197"/>
    <cellStyle name="_FA_固定资产增加2_Sheet1" xfId="4198"/>
    <cellStyle name="_FLX - K - Inventory 2008.v2" xfId="4199"/>
    <cellStyle name="20% - 强调文字颜色 6 2 2 10" xfId="4200"/>
    <cellStyle name="_Fubiao 6" xfId="4201"/>
    <cellStyle name="常规 5 3 5" xfId="4202"/>
    <cellStyle name="_Fubiao 6 2" xfId="4203"/>
    <cellStyle name="_报表-模拟" xfId="4204"/>
    <cellStyle name="好__dxn_temp空白表页 6_附注表一（财务报表）" xfId="4205"/>
    <cellStyle name="_Fubiao 6_Sheet1" xfId="4206"/>
    <cellStyle name="常规 7 2 2 2 3" xfId="4207"/>
    <cellStyle name="40% - 輔色5 3" xfId="4208"/>
    <cellStyle name="_Table" xfId="4209"/>
    <cellStyle name="_Fubiao 6_固定资产增加2 2" xfId="4210"/>
    <cellStyle name="差_6-应收利息（空白模板）_明细表" xfId="4211"/>
    <cellStyle name="_FY02损益表(1-9月)" xfId="4212"/>
    <cellStyle name="好_资产负债标准底稿 13_明细表 2" xfId="4213"/>
    <cellStyle name="Header2 7" xfId="4214"/>
    <cellStyle name="category" xfId="4215"/>
    <cellStyle name="_FY03 出货与毛利预测.xls(1)" xfId="4216"/>
    <cellStyle name="好_公允价值变动损益 2 2 2" xfId="4217"/>
    <cellStyle name="_FY04-12月报表" xfId="4218"/>
    <cellStyle name="好_固定资产明细 3" xfId="4219"/>
    <cellStyle name="_long term loan - others 300504_AR&amp;OR over 3 years-Full provision 2" xfId="4220"/>
    <cellStyle name="好__dxn_temp货币资金-截止测试 2" xfId="4221"/>
    <cellStyle name="_FY04-4月损益分析" xfId="4222"/>
    <cellStyle name="_四川福润鲜冻分类" xfId="4223"/>
    <cellStyle name="_G LEAD" xfId="4224"/>
    <cellStyle name="差_复件 固定资产 14" xfId="4225"/>
    <cellStyle name="SAPBEXexcCritical4 2" xfId="4226"/>
    <cellStyle name="_G5.Selling expenses.0606" xfId="4227"/>
    <cellStyle name="差_复件 固定资产 14 2" xfId="4228"/>
    <cellStyle name="SAPBEXexcCritical4 2 2" xfId="4229"/>
    <cellStyle name="_G5.Selling expenses.0606 2" xfId="4230"/>
    <cellStyle name="千位分隔 12 3 5" xfId="4231"/>
    <cellStyle name="_G5.selling expenses.DZH.31.Dec.07 2" xfId="4232"/>
    <cellStyle name="好_应收利息 9 2 2" xfId="4233"/>
    <cellStyle name="_G6 GA expense 062007" xfId="4234"/>
    <cellStyle name="_G6 GA expense 062007 2" xfId="4235"/>
    <cellStyle name="_G610" xfId="4236"/>
    <cellStyle name="好_应收利息 8_明细表 2" xfId="4237"/>
    <cellStyle name="好_复件 固定资产 5" xfId="4238"/>
    <cellStyle name="00 30" xfId="4239"/>
    <cellStyle name="00 25" xfId="4240"/>
    <cellStyle name="好_底稿设置宏_大信底稿目录 4 2 4" xfId="4241"/>
    <cellStyle name="常规 5 2 5 2 5" xfId="4242"/>
    <cellStyle name="_G610 2" xfId="4243"/>
    <cellStyle name="_long term loan - others 300504_Worksheet in D: My Documents China Shenhua Overall - 2005 final Correspondence With Bobo Debriefing notes liabilities debriefing note 2005 12 31_pbc 080630 current liability" xfId="4244"/>
    <cellStyle name="_GD" xfId="4245"/>
    <cellStyle name="_Part I - BS &amp; PL with note to account (Shenhua Tianjin Portl)(20050122).v2_Sheet1" xfId="4246"/>
    <cellStyle name="Comma[0] 2 5" xfId="4247"/>
    <cellStyle name="_long term loan - others 300504_Worksheet in D: My Documents China Shenhua Overall - 2005 final Correspondence With Bobo Debriefing notes liabilities debriefing note 2005 12 31_pbc 080630 current liability 2" xfId="4248"/>
    <cellStyle name="好_30-应付账款（空白模板） 4 4" xfId="4249"/>
    <cellStyle name="差_49-营业收入（空白模板） 6 2 3" xfId="4250"/>
    <cellStyle name="_GD 2" xfId="4251"/>
    <cellStyle name="_GD2, GD3 (28 May).cp.(include re-class)_31.12 GD3 and GD9 11.8(ss)_CW.G5.Selling expenses.0606" xfId="4252"/>
    <cellStyle name="差_55-资产减值损失（空白模板） 5 4" xfId="4253"/>
    <cellStyle name="_GD2, GD3 (28 May).cp.(include re-class)_31.12 GD3 and GD9 11.8(ss)_CW.GD5.Selling expenses.0405" xfId="4254"/>
    <cellStyle name="好_49-营业收入（空白模板） 2 2 5" xfId="4255"/>
    <cellStyle name="差_1专项应付款 10 2 2" xfId="4256"/>
    <cellStyle name="_long term loan - others 300504_in-ter-com_20051231.sales com.GI1.intercompany" xfId="4257"/>
    <cellStyle name="_GD2, GD3 (28 May).cp.(include re-class)_31.12 GD3 and GD9 11.8(ss)_CW.GD5.Selling expenses.0405 2" xfId="4258"/>
    <cellStyle name="差_专项应付款 13 2 5" xfId="4259"/>
    <cellStyle name="_GD2, GD3 (28 May).cp.(include re-class)_31.12 GD3 and GD9 11.8(ss)_CW.GD7 R&amp;D expense.0405" xfId="4260"/>
    <cellStyle name="好_营业收入_明细表 5" xfId="4261"/>
    <cellStyle name="_GD2, GD3 (28 May).cp.(include re-class)_31.12 GD3 and GD9 11.8(ss)_CW.GD7 R&amp;D expense.0805" xfId="4262"/>
    <cellStyle name="_GD2, GD3 (28 May).cp.(include re-class)_31.12 GD3 Selling expenses 2" xfId="4263"/>
    <cellStyle name="0% 2 16" xfId="4264"/>
    <cellStyle name="_GD2, GD3 (28 May).cp.(include re-class)_GD3 and GD9 11.8" xfId="4265"/>
    <cellStyle name="好_G-应收账款 6_明细表 5" xfId="4266"/>
    <cellStyle name="_GD2, GD3 (28 May).cp.(include re-class)_GD3 and GD9 11.8 2" xfId="4267"/>
    <cellStyle name="_S08.2003" xfId="4268"/>
    <cellStyle name="好_预收款项 13_明细表 5" xfId="4269"/>
    <cellStyle name="SAPBEXaggDataEmph 5 2" xfId="4270"/>
    <cellStyle name="Accent4 4 3" xfId="4271"/>
    <cellStyle name="_GD2, GD3 (28 May).cp.(include re-class)_GD3 and GD9 11.8_CW.GD6 G&amp;A expense.0405 2" xfId="4272"/>
    <cellStyle name="_GD2, GD3 (28 May).cp.(include re-class)_GD3 and GD9 11.8_G6 GA expense 062007 2" xfId="4273"/>
    <cellStyle name="好_资产负债标准底稿_大信底稿目录 13 2 3" xfId="4274"/>
    <cellStyle name="差_复件 固定资产 9" xfId="4275"/>
    <cellStyle name="_GD3 and GD9 11.8" xfId="4276"/>
    <cellStyle name="差_复件 固定资产 9 2" xfId="4277"/>
    <cellStyle name="_GD3 and GD9 11.8 2" xfId="4278"/>
    <cellStyle name="差_40-专项应付款(空白模板) 5 2 3" xfId="4279"/>
    <cellStyle name="0% 12" xfId="4280"/>
    <cellStyle name="常规 5 2 2 12" xfId="4281"/>
    <cellStyle name="_GD3 and GD9 11.8_1" xfId="4282"/>
    <cellStyle name="0% 12 2" xfId="4283"/>
    <cellStyle name="_GD3 and GD9 11.8_1 2" xfId="4284"/>
    <cellStyle name="超链接 3 12 2 5" xfId="4285"/>
    <cellStyle name="常规 2 2 2 2 2 2 10" xfId="4286"/>
    <cellStyle name="_GD3 and GD9 11.8_CW.GD6 G&amp;A expense.0405" xfId="4287"/>
    <cellStyle name="_GD3 and GD9 11.8_CW.GD6 G&amp;A expense.0405 2" xfId="4288"/>
    <cellStyle name="_GDCTE.ReportingPackage.060630.104. 2" xfId="4289"/>
    <cellStyle name="好_预收款项 12_附注表一（财务报表）" xfId="4290"/>
    <cellStyle name="_GG2-1 AR - Bad debt provision " xfId="4291"/>
    <cellStyle name="_GG2-1 AR - Bad debt provision  2" xfId="4292"/>
    <cellStyle name="60% - 輔色3 3" xfId="4293"/>
    <cellStyle name="20% - 强调文字颜色 1 2 2 6" xfId="4294"/>
    <cellStyle name="差__dxn_temp空白表页 3 2" xfId="4295"/>
    <cellStyle name="_GG2-1 AR - Bad debt provision _H1-3 Addition list " xfId="4296"/>
    <cellStyle name="差__dxn_temp空白表页 3 2 2" xfId="4297"/>
    <cellStyle name="_intercom tran_Sheet1" xfId="4298"/>
    <cellStyle name="好__dxn_temp空白表页 14_明细表" xfId="4299"/>
    <cellStyle name="_GG2-1 AR - Bad debt provision _H1-3 Addition list  2" xfId="4300"/>
    <cellStyle name="好_1专项应付款 7 2 5" xfId="4301"/>
    <cellStyle name="差_货币资金 12" xfId="4302"/>
    <cellStyle name="_GG2-1 AR - Bad debt provision _Sheet1" xfId="4303"/>
    <cellStyle name="好_F6应付职工薪酬" xfId="4304"/>
    <cellStyle name="_GG2-1 AR - Bad debt provision _Sheet1 2" xfId="4305"/>
    <cellStyle name="好_49-营业收入（空白模板） 17 2 5" xfId="4306"/>
    <cellStyle name="_GG2-1 AR - Bad debt provision _固定资产增加2" xfId="4307"/>
    <cellStyle name="_GG2-1 AR - Bad debt provision _固定资产增加2 2" xfId="4308"/>
    <cellStyle name="常规 5 9 2 5" xfId="4309"/>
    <cellStyle name="00 9" xfId="4310"/>
    <cellStyle name="差_应收账款 3 3" xfId="4311"/>
    <cellStyle name="Comma 6 2 2 2" xfId="4312"/>
    <cellStyle name="0% 7 2 3" xfId="4313"/>
    <cellStyle name="好_短期借款 5 3" xfId="4314"/>
    <cellStyle name="_GJ_Other payables Dec 2005" xfId="4315"/>
    <cellStyle name="00 9 2" xfId="4316"/>
    <cellStyle name="好_短期借款 5 3 2" xfId="4317"/>
    <cellStyle name="差_复件 固定资产 9_明细表" xfId="4318"/>
    <cellStyle name="_GJ_Other payables Dec 2005 2" xfId="4319"/>
    <cellStyle name="_三年分部成本_Sheet1" xfId="4320"/>
    <cellStyle name="_Part III.200406.Loan and Liabilities details.(Site Name)_IFRS recon June 05 v4  _pbc 080630 current liability_Sheet1" xfId="4321"/>
    <cellStyle name="好_ZA0货币资金审定表  12" xfId="4322"/>
    <cellStyle name="_GJ_Other payables Dec 2005_0912 O7 other payable " xfId="4323"/>
    <cellStyle name="常规 2 2 3 8 2" xfId="4324"/>
    <cellStyle name="公司标准表 2 2" xfId="4325"/>
    <cellStyle name="Percent [2]P 6" xfId="4326"/>
    <cellStyle name="_GJ_Other payables Dec 2005_091231.FLX.L.Receivables" xfId="4327"/>
    <cellStyle name="常规 2 5 2 6 2 2" xfId="4328"/>
    <cellStyle name="常规 179 6" xfId="4329"/>
    <cellStyle name="20% - 强调文字颜色 6 2 2_附注表一（财务报表）" xfId="4330"/>
    <cellStyle name="SAPBEXstdDataEmph 2 3" xfId="4331"/>
    <cellStyle name="好_ZA0货币资金审定表  9_明细表" xfId="4332"/>
    <cellStyle name="常规 3 3 2 3 3 5" xfId="4333"/>
    <cellStyle name="好_9管理费用 2 2 2" xfId="4334"/>
    <cellStyle name="_GJ1 Creditors - lead" xfId="4335"/>
    <cellStyle name="好_ZA0货币资金审定表  9_明细表 2" xfId="4336"/>
    <cellStyle name="_GJ1 Creditors - lead 2" xfId="4337"/>
    <cellStyle name="0% 2" xfId="4338"/>
    <cellStyle name="_GJ1 Creditors - lead_H1-3 Addition list " xfId="4339"/>
    <cellStyle name="0% 2 2" xfId="4340"/>
    <cellStyle name="_GJ1 Creditors - lead_H1-3 Addition list  2" xfId="4341"/>
    <cellStyle name="SAPBEXundefined 5 3" xfId="4342"/>
    <cellStyle name="_GJ1 Creditors - lead_固定资产增加2" xfId="4343"/>
    <cellStyle name="60% - Accent5 2" xfId="4344"/>
    <cellStyle name="_Part II - Consol Journal supplementary Schedule (Holding)(1.28)v7_pbc 080630 current liability_Sheet1" xfId="4345"/>
    <cellStyle name="_GJ4 Other payables 2" xfId="4346"/>
    <cellStyle name="好_应付账款_明细表 2" xfId="4347"/>
    <cellStyle name="差_大信底稿目录 4_明细表 2" xfId="4348"/>
    <cellStyle name="_期末存货_Sheet1 2" xfId="4349"/>
    <cellStyle name="_GJ4 Other payables_H1-3 Addition list " xfId="4350"/>
    <cellStyle name="_GJ4 Other payables_H1-3 Addition list  2" xfId="4351"/>
    <cellStyle name="40% - 輔色6 2" xfId="4352"/>
    <cellStyle name="_经营表7-12 2" xfId="4353"/>
    <cellStyle name="常规 2 2 9 3" xfId="4354"/>
    <cellStyle name="差_大信底稿目录" xfId="4355"/>
    <cellStyle name="_GJ4 Other payables_Sheet1" xfId="4356"/>
    <cellStyle name="_收入明细表（科技)-" xfId="4357"/>
    <cellStyle name="好_底稿设置宏 15 2 2" xfId="4358"/>
    <cellStyle name="_GJ4 Other payables_固定资产增加2" xfId="4359"/>
    <cellStyle name="_收入明细表（科技)- 2" xfId="4360"/>
    <cellStyle name="_GJ4 Other payables_固定资产增加2 2" xfId="4361"/>
    <cellStyle name="常规 3 3 2 11" xfId="4362"/>
    <cellStyle name="_GJ5 Other taxes payable" xfId="4363"/>
    <cellStyle name="常规 3 3 2 11 2" xfId="4364"/>
    <cellStyle name="_GJ5 Other taxes payable 2" xfId="4365"/>
    <cellStyle name="差 2 4" xfId="4366"/>
    <cellStyle name="常规 4 15_附注表一（财务报表）" xfId="4367"/>
    <cellStyle name="常规 4 20_附注表一（财务报表）" xfId="4368"/>
    <cellStyle name="_GJ5 Other taxes payable_H1-3 Addition list " xfId="4369"/>
    <cellStyle name="差_4-应收账款（空白模板） 11 2" xfId="4370"/>
    <cellStyle name="好_1专项应付款 10 4" xfId="4371"/>
    <cellStyle name="40% - 輔色2 6" xfId="4372"/>
    <cellStyle name="好_财务费用 10 2 5" xfId="4373"/>
    <cellStyle name="_GJ5 Other taxes payable_H1-3 Addition list  2" xfId="4374"/>
    <cellStyle name="差_1预收款项 4 4" xfId="4375"/>
    <cellStyle name="_GJ5 Other taxes payable_Sheet1" xfId="4376"/>
    <cellStyle name="_GJ5 Other taxes payable_Sheet1 2" xfId="4377"/>
    <cellStyle name="args.style" xfId="4378"/>
    <cellStyle name="_Part III.200406.Loan and Liabilities details.(Site Name)_05年6.14结算部成本到扎表_Sheet1 2" xfId="4379"/>
    <cellStyle name="_GJ7 search URL" xfId="4380"/>
    <cellStyle name="title" xfId="4381"/>
    <cellStyle name="_GJ7 search URL 2" xfId="4382"/>
    <cellStyle name="_GJ7 search URL_H1-3 Addition list  2" xfId="4383"/>
    <cellStyle name="差_无形资产 8 2 2" xfId="4384"/>
    <cellStyle name="_GJ7 search URL_固定资产增加2" xfId="4385"/>
    <cellStyle name="差_复件 固定资产 3 2 4" xfId="4386"/>
    <cellStyle name="_Pre-operating" xfId="4387"/>
    <cellStyle name="_GJ7 search URL_固定资产增加2 2" xfId="4388"/>
    <cellStyle name="差_实地观察模板 4" xfId="4389"/>
    <cellStyle name="差_37-长期借款（空白模板） 5" xfId="4390"/>
    <cellStyle name="好__dxn_temp空白表页 4 2 2" xfId="4391"/>
    <cellStyle name="好_长期借款—TZ 2 3" xfId="4392"/>
    <cellStyle name="_GK1--Technology- income tax_Q2-1 EIT recon" xfId="4393"/>
    <cellStyle name="_期末存货_intercompany transaction" xfId="4394"/>
    <cellStyle name="_GK1--Technology- income tax_Sheet1" xfId="4395"/>
    <cellStyle name="好_G-应收账款 13 2 2" xfId="4396"/>
    <cellStyle name="好_1短期借款 3 3 2" xfId="4397"/>
    <cellStyle name="60% - 强调文字颜色 4 2 2 5" xfId="4398"/>
    <cellStyle name="常规 6 6 4" xfId="4399"/>
    <cellStyle name="_期末存货_intercompany transaction 2" xfId="4400"/>
    <cellStyle name="差_31-预收账款（空白模板） 26" xfId="4401"/>
    <cellStyle name="差_31-预收账款（空白模板） 31" xfId="4402"/>
    <cellStyle name="_GK1--Technology- income tax_Sheet1 2" xfId="4403"/>
    <cellStyle name="20% - 强调文字颜色 2 5" xfId="4404"/>
    <cellStyle name="_Liabilities and equity v2_pbc 080630 current liability_Sheet1 2" xfId="4405"/>
    <cellStyle name="_H1-1 FA R-test" xfId="4406"/>
    <cellStyle name="常规 4 11_附注表一（财务报表）" xfId="4407"/>
    <cellStyle name="60% - 輔色3 5" xfId="4408"/>
    <cellStyle name="20% - 强调文字颜色 1 2 2 8" xfId="4409"/>
    <cellStyle name="差__dxn_temp空白表页 3 4" xfId="4410"/>
    <cellStyle name="_Part III.200406.Loan and Liabilities details.(Site Name)_Part II - Consol Journal supp Schedule (Site Name)" xfId="4411"/>
    <cellStyle name="_经营承担 14 2" xfId="4412"/>
    <cellStyle name="差_G-应收账款 8 3" xfId="4413"/>
    <cellStyle name="好_资产负债类底稿模版_大信底稿目录 2 2 4" xfId="4414"/>
    <cellStyle name="_H股分公司审计情况" xfId="4415"/>
    <cellStyle name="_IFRS by nature 2" xfId="4416"/>
    <cellStyle name="差_1预收款项 14_明细表" xfId="4417"/>
    <cellStyle name="百分比 2 3 7 3" xfId="4418"/>
    <cellStyle name="好_ZA0货币资金审定表  11_明细表 5" xfId="4419"/>
    <cellStyle name="常规 2 3 2 2 17" xfId="4420"/>
    <cellStyle name="常规 2 3 2 2 22" xfId="4421"/>
    <cellStyle name="40% - 强调文字颜色 2 2 2_附注表一（财务报表）" xfId="4422"/>
    <cellStyle name="_IFRS by nature_pbc 080630 current liability_Sheet1" xfId="4423"/>
    <cellStyle name="常规_4-应收账款（空白模板） 2 2" xfId="4424"/>
    <cellStyle name="_in-ter-com" xfId="4425"/>
    <cellStyle name="_in-ter-com 2" xfId="4426"/>
    <cellStyle name="Normal - Style1 5 4" xfId="4427"/>
    <cellStyle name="_intercom tran" xfId="4428"/>
    <cellStyle name="_公司填表2005-吴_3-2-A1B-银行存款 3" xfId="4429"/>
    <cellStyle name="Normal - Style1 10 3" xfId="4430"/>
    <cellStyle name="_intercom tran_pbc 080630 current liability" xfId="4431"/>
    <cellStyle name="Normal - Style1 10 3 2" xfId="4432"/>
    <cellStyle name="_intercom tran_pbc 080630 current liability 2" xfId="4433"/>
    <cellStyle name="差_dxn底稿目录 3" xfId="4434"/>
    <cellStyle name="_intercom tran_pbc 080630 current liability_Sheet1" xfId="4435"/>
    <cellStyle name="好__dxn_temp空白表页 11_明细表" xfId="4436"/>
    <cellStyle name="常规 7 15 2" xfId="4437"/>
    <cellStyle name="40% - 强调文字颜色 2 6" xfId="4438"/>
    <cellStyle name="常规 3 3 2 2 2 5 2 4" xfId="4439"/>
    <cellStyle name="常规 3 2 2 2 2 2 2" xfId="4440"/>
    <cellStyle name="差_报表层次重要性水平 6" xfId="4441"/>
    <cellStyle name="20% - 輔色3 6" xfId="4442"/>
    <cellStyle name="差_dxn底稿目录 3 2" xfId="4443"/>
    <cellStyle name="差_49-营业收入（空白模板） 3 3" xfId="4444"/>
    <cellStyle name="_intercom tran_pbc 080630 current liability_Sheet1 2" xfId="4445"/>
    <cellStyle name="好__dxn_temp空白表页 14_明细表 2" xfId="4446"/>
    <cellStyle name="40% - 强调文字颜色 4 2 2 5" xfId="4447"/>
    <cellStyle name="_intercom tran_Sheet1 2" xfId="4448"/>
    <cellStyle name="_Intercom trans. Eli. Consol. Dec 2005-final.V3 " xfId="4449"/>
    <cellStyle name="_Intercom trans. Eli. Consol. Dec 2005-final.V3  2" xfId="4450"/>
    <cellStyle name="_Intercom trans. Eli. Consol. Dec 2005-final.V3 _Sheet1" xfId="4451"/>
    <cellStyle name="差_55-资产减值损失（空白模板） 6 2 2" xfId="4452"/>
    <cellStyle name="40% - 强调文字颜色 1 2 3 3" xfId="4453"/>
    <cellStyle name="好_复件 固定资产 13_明细表 5" xfId="4454"/>
    <cellStyle name="好__dxn_temp空白表页_明细表_1 5" xfId="4455"/>
    <cellStyle name="_Intercom trans. Eli. Consol. Dec 2005-final.V3 _Sheet1 2" xfId="4456"/>
    <cellStyle name="常规 2 3 2 2 2 2 2 9" xfId="4457"/>
    <cellStyle name="_in-ter-com_200506.sales com.GI.intercompany" xfId="4458"/>
    <cellStyle name="百分比 2 3 8" xfId="4459"/>
    <cellStyle name="_in-ter-com_200506.sales com.GI.intercompany_Sheet1" xfId="4460"/>
    <cellStyle name="百分比 2 3 8 2" xfId="4461"/>
    <cellStyle name="_in-ter-com_200506.sales com.GI.intercompany_Sheet1 2" xfId="4462"/>
    <cellStyle name="_in-ter-com_20051231.sales com.GI1.intercompany" xfId="4463"/>
    <cellStyle name="20% - 强调文字颜色 3 2 5" xfId="4464"/>
    <cellStyle name="好_50-营业成本（空白模板） 8_明细表 3" xfId="4465"/>
    <cellStyle name="_in-ter-com_20051231.sales com.GI1.intercompany_Sheet1" xfId="4466"/>
    <cellStyle name="40% - 輔色6 3" xfId="4467"/>
    <cellStyle name="差_1预收款项 6 2 2" xfId="4468"/>
    <cellStyle name="RevList 2 2" xfId="4469"/>
    <cellStyle name="20% - 强调文字颜色 3 2 3_附注表一（财务报表）" xfId="4470"/>
    <cellStyle name="常规 2 2 9 4" xfId="4471"/>
    <cellStyle name="_in-ter-com_20051231.sales com.GI1.intercompany_Sheet1 2" xfId="4472"/>
    <cellStyle name="entry box 5" xfId="4473"/>
    <cellStyle name="40% - 强调文字颜色 5 4" xfId="4474"/>
    <cellStyle name="好 2 5" xfId="4475"/>
    <cellStyle name="20% - 輔色6 4" xfId="4476"/>
    <cellStyle name="_in-ter-com_intercompany transaction" xfId="4477"/>
    <cellStyle name="40% - 强调文字颜色 5 4 2" xfId="4478"/>
    <cellStyle name="差_短期借款 15 6" xfId="4479"/>
    <cellStyle name="_in-ter-com_intercompany transaction 2" xfId="4480"/>
    <cellStyle name="好_1短期借款 11_明细表" xfId="4481"/>
    <cellStyle name="差_资产负债类底稿模版 11_明细表 5" xfId="4482"/>
    <cellStyle name="_in-ter-com_Sheet1" xfId="4483"/>
    <cellStyle name="差_其他应付款_明细表 5" xfId="4484"/>
    <cellStyle name="20% - 强调文字颜色 3 2 3 2" xfId="4485"/>
    <cellStyle name="40% - 輔色4 3" xfId="4486"/>
    <cellStyle name="千位分隔 2 14 2" xfId="4487"/>
    <cellStyle name="差_Book2 5" xfId="4488"/>
    <cellStyle name="_Unbilled AR and Billing in excess (new)_Sheet1" xfId="4489"/>
    <cellStyle name="好_营业收入 11 2 5" xfId="4490"/>
    <cellStyle name="常规_60-所得税费用（空白模板） 3" xfId="4491"/>
    <cellStyle name="_interest rate of Holding" xfId="4492"/>
    <cellStyle name="百分比 4 3 4" xfId="4493"/>
    <cellStyle name="_interest rate of Holding_Additional RP-FA" xfId="4494"/>
    <cellStyle name="_ZJYE9802_软件公司审计所需资料_Q2-1 EIT recon_Sheet1 2" xfId="4495"/>
    <cellStyle name="常规 173 2 2" xfId="4496"/>
    <cellStyle name="_interest rate of Holding_Additional RP-FA updated at May 16" xfId="4497"/>
    <cellStyle name="_interest rate of Holding_Worksheet in (Read-Only) Step - Staff cost" xfId="4498"/>
    <cellStyle name="_Inventory actual cost 2008" xfId="4499"/>
    <cellStyle name="好_期初余额查验 3 2" xfId="4500"/>
    <cellStyle name="60% - 强调文字颜色 2 2 12" xfId="4501"/>
    <cellStyle name="差_鲁亚2011.12全年年报资料汇总 3" xfId="4502"/>
    <cellStyle name="KPMG Heading 1" xfId="4503"/>
    <cellStyle name="40% - 强调文字颜色 5 2 2_附注表一（财务报表）" xfId="4504"/>
    <cellStyle name="好_资产负债标准底稿_明细表_1" xfId="4505"/>
    <cellStyle name="_JA list 2" xfId="4506"/>
    <cellStyle name="好_大信底稿目录_明细表 6" xfId="4507"/>
    <cellStyle name="差_大信底稿目录 5 3" xfId="4508"/>
    <cellStyle name="_JA list_170407.聊城.Appendix4 TBJA.冲回质量索赔" xfId="4509"/>
    <cellStyle name="_JA list_170407.聊城.Appendix4 TBJA.冲回质量索赔 2" xfId="4510"/>
    <cellStyle name="好_1预收款项 8 4" xfId="4511"/>
    <cellStyle name="_JA#14" xfId="4512"/>
    <cellStyle name="_JA#14 2" xfId="4513"/>
    <cellStyle name="60% - 强调文字颜色 1 7 3" xfId="4514"/>
    <cellStyle name="好_长期借款 3 2" xfId="4515"/>
    <cellStyle name="_JCK货币资金" xfId="4516"/>
    <cellStyle name="_jnl list.东营" xfId="4517"/>
    <cellStyle name="好_1短期借款 9_明细表 4" xfId="4518"/>
    <cellStyle name="Accent6 - 60% 2" xfId="4519"/>
    <cellStyle name="_jnl list.东营 2" xfId="4520"/>
    <cellStyle name="好_49-营业收入（空白模板） 4 2 6" xfId="4521"/>
    <cellStyle name="Accent6 - 60% 2 2" xfId="4522"/>
    <cellStyle name="好_FE预收款项 5" xfId="4523"/>
    <cellStyle name="_jnl list.东营_pbc 080630 current liability" xfId="4524"/>
    <cellStyle name="千位分隔 4 3 7" xfId="4525"/>
    <cellStyle name="好_短期借款 11_明细表 2" xfId="4526"/>
    <cellStyle name="好_50-营业成本（空白模板） 7 2 2" xfId="4527"/>
    <cellStyle name="_jnl list_pbc 080630 current liability 2" xfId="4528"/>
    <cellStyle name="好_模板 2 2 3" xfId="4529"/>
    <cellStyle name="60% - 輔色3 2" xfId="4530"/>
    <cellStyle name="20% - 强调文字颜色 1 2 2 5" xfId="4531"/>
    <cellStyle name="差_大信底稿目录 2 2 3" xfId="4532"/>
    <cellStyle name="_jnl list_qingdao Apr 16" xfId="4533"/>
    <cellStyle name="00 2 16" xfId="4534"/>
    <cellStyle name="差_底稿设置宏 10 4" xfId="4535"/>
    <cellStyle name="_jnl list_qingdao Apr 16 2" xfId="4536"/>
    <cellStyle name="好_资产负债标准底稿 10" xfId="4537"/>
    <cellStyle name="百分比 2 2 6 8" xfId="4538"/>
    <cellStyle name="_公司填表2005-吴_Z4-应收账款" xfId="4539"/>
    <cellStyle name="常规 3 12_附注表一（财务报表）" xfId="4540"/>
    <cellStyle name="_jnl list_qingdao Apr 16_pbc 080630 current liability" xfId="4541"/>
    <cellStyle name="差 9 3" xfId="4542"/>
    <cellStyle name="_jnl list_qingdao Apr 16_pbc 080630 current liability 2" xfId="4543"/>
    <cellStyle name="_K inventory - 04-07" xfId="4544"/>
    <cellStyle name="好_FA短期借款 4 3" xfId="4545"/>
    <cellStyle name="_K inventory - 04-07 2" xfId="4546"/>
    <cellStyle name="_long term loan - others 300504_Part III for print- Journal List and Profit Recon (Justin) (date).consol_Sheet1 2" xfId="4547"/>
    <cellStyle name="_K inventory - 04-07_k5-1 - 成品倒推表" xfId="4548"/>
    <cellStyle name="_K2 Weighted average costing" xfId="4549"/>
    <cellStyle name="好_专项应付款 11 2 5" xfId="4550"/>
    <cellStyle name="差_4-应收账款（空白模板） 13 3" xfId="4551"/>
    <cellStyle name="20% - 强调文字颜色 3 2 3 6" xfId="4552"/>
    <cellStyle name="好_交易性金融资产" xfId="4553"/>
    <cellStyle name="差_预收款项 10 4" xfId="4554"/>
    <cellStyle name="_K4 NRV AL 2008" xfId="4555"/>
    <cellStyle name="差_预收款项 9 2" xfId="4556"/>
    <cellStyle name="千位分隔 2 3 2 5 2 5" xfId="4557"/>
    <cellStyle name="00 5 4" xfId="4558"/>
    <cellStyle name="好_资产减值损失 14_明细表 3" xfId="4559"/>
    <cellStyle name="好_交易性金融资产 2" xfId="4560"/>
    <cellStyle name="常规 10 5 3" xfId="4561"/>
    <cellStyle name="_K4 NRV AL 2008 2" xfId="4562"/>
    <cellStyle name="常规_56-公允价值损益变动（空白模板） 2" xfId="4563"/>
    <cellStyle name="超链接 2 13_附注表一（财务报表）" xfId="4564"/>
    <cellStyle name="SAPBEXundefined 2 3" xfId="4565"/>
    <cellStyle name="60% - Accent2 2" xfId="4566"/>
    <cellStyle name="好_1资产减值损失 13 2 5" xfId="4567"/>
    <cellStyle name="差_资产负债类底稿模版 4 2 3" xfId="4568"/>
    <cellStyle name="_K8b2" xfId="4569"/>
    <cellStyle name="20% - 强调文字颜色 4 2 3 3" xfId="4570"/>
    <cellStyle name="_KPMG original version_毕马威6月30日审计表（合并）" xfId="4571"/>
    <cellStyle name="60% - 强调文字颜色 1 7 2" xfId="4572"/>
    <cellStyle name="_Part III JA List and Profit Recon.Zhungeer.050630.v2_Sheet1" xfId="4573"/>
    <cellStyle name="好_固定资产 14 3" xfId="4574"/>
    <cellStyle name="好_19-无形资产（空白模板） 8_明细表" xfId="4575"/>
    <cellStyle name="_KPMG original version_毕马威6月30日审计表（神东合并）" xfId="4576"/>
    <cellStyle name="_long term loan - others 300504" xfId="4577"/>
    <cellStyle name="_kpmg________07(1).06______" xfId="4578"/>
    <cellStyle name="_kpmg________07(1).06_______Sheet1" xfId="4579"/>
    <cellStyle name="好__dxn_temp空白表页 7_明细表" xfId="4580"/>
    <cellStyle name="差_111其他流动资产" xfId="4581"/>
    <cellStyle name="_kpmg________07(1).06_______Sheet1 2" xfId="4582"/>
    <cellStyle name="_kpmg一季度损益明细" xfId="4583"/>
    <cellStyle name="好_底稿设置宏 4 2 4" xfId="4584"/>
    <cellStyle name="40% - 强调文字颜色 6 4" xfId="4585"/>
    <cellStyle name="_kpmg一季度损益明细_Sheet1" xfId="4586"/>
    <cellStyle name="好_1资产减值损失 29" xfId="4587"/>
    <cellStyle name="好_1资产减值损失 34" xfId="4588"/>
    <cellStyle name="00 4 2" xfId="4589"/>
    <cellStyle name="好_无形资产 4 3 2" xfId="4590"/>
    <cellStyle name="_L1 Lead" xfId="4591"/>
    <cellStyle name="好_复件 固定资产 13_附注表一（财务报表）" xfId="4592"/>
    <cellStyle name="常规 4 5 3 2" xfId="4593"/>
    <cellStyle name="_L1 Lead_1" xfId="4594"/>
    <cellStyle name="常规 2 2 2 8_附注表一（财务报表）" xfId="4595"/>
    <cellStyle name="差_dxn底稿目录 17" xfId="4596"/>
    <cellStyle name="差_dxn底稿目录 22" xfId="4597"/>
    <cellStyle name="_L1 Lead_1 2" xfId="4598"/>
    <cellStyle name="差_50-营业成本（空白模板） 16" xfId="4599"/>
    <cellStyle name="差_50-营业成本（空白模板） 21" xfId="4600"/>
    <cellStyle name="_L1.0512 Consol AR.v2" xfId="4601"/>
    <cellStyle name="好_ZA0货币资金审定表  3 2 3" xfId="4602"/>
    <cellStyle name="差_50-营业成本（空白模板） 16 2" xfId="4603"/>
    <cellStyle name="差_1投资收益" xfId="4604"/>
    <cellStyle name="_L1.0512 Consol AR.v2 2" xfId="4605"/>
    <cellStyle name="好_1营业收入 10" xfId="4606"/>
    <cellStyle name="40% - 强调文字颜色 5 2 6" xfId="4607"/>
    <cellStyle name="00 2 2 2 2" xfId="4608"/>
    <cellStyle name="_L1-4 Control log" xfId="4609"/>
    <cellStyle name="_Part III.200406.Loan and Liabilities details.(Site Name)_FA  CIP opening balance_Sheet1" xfId="4610"/>
    <cellStyle name="_Part III.200406.Loan and Liabilities details.(Site Name)_Shenhua PBC package 050530" xfId="4611"/>
    <cellStyle name="_L3.0512 Consol.OR" xfId="4612"/>
    <cellStyle name="_L3.0512 Consol.OR 2" xfId="4613"/>
    <cellStyle name="0,0_x000d__x000a_NA_x000d__x000a_ 5 4" xfId="4614"/>
    <cellStyle name="好_报表层次重要性水平_明细表 3" xfId="4615"/>
    <cellStyle name="常规 5 5_附注表一（财务报表）" xfId="4616"/>
    <cellStyle name="_股份公司内部决算 2" xfId="4617"/>
    <cellStyle name="_Liabilities and equity" xfId="4618"/>
    <cellStyle name="好_管理费用" xfId="4619"/>
    <cellStyle name="0.00% 5" xfId="4620"/>
    <cellStyle name="_公司填表2005-修改后_Sheet1" xfId="4621"/>
    <cellStyle name="_Liabilities and equity 2" xfId="4622"/>
    <cellStyle name="常规 4 2 5 2" xfId="4623"/>
    <cellStyle name="好_50-营业成本（空白模板） 15_明细表 3" xfId="4624"/>
    <cellStyle name="好_1预收款项 14 2 4" xfId="4625"/>
    <cellStyle name="40% - 强调文字颜色 1 5" xfId="4626"/>
    <cellStyle name="常规 9 4" xfId="4627"/>
    <cellStyle name="20% - 輔色2 5" xfId="4628"/>
    <cellStyle name="_Liabilities and equity v2_pbc 080630 current liability" xfId="4629"/>
    <cellStyle name="差_固定资产 8_明细表" xfId="4630"/>
    <cellStyle name="40% - 强调文字颜色 1 5 2" xfId="4631"/>
    <cellStyle name="_Liabilities and equity v2_pbc 080630 current liability 2" xfId="4632"/>
    <cellStyle name="百分比 2 2 13 2" xfId="4633"/>
    <cellStyle name="_损益表(加密)_审计调查表.20051231 2" xfId="4634"/>
    <cellStyle name="_long term loan - others 300504_KPMG original version 2" xfId="4635"/>
    <cellStyle name="輔色5 3" xfId="4636"/>
    <cellStyle name="常规 2 3 2 6 2 3" xfId="4637"/>
    <cellStyle name="_Liabilities and equity v2_pbc 080630 current liability_Sheet1" xfId="4638"/>
    <cellStyle name="常规 6 2 3" xfId="4639"/>
    <cellStyle name="_Liabilities and equity v2_Sheet1" xfId="4640"/>
    <cellStyle name="SAPBEXformats 2 2" xfId="4641"/>
    <cellStyle name="常规 6 2 3 2" xfId="4642"/>
    <cellStyle name="差_营业收入 15" xfId="4643"/>
    <cellStyle name="_Liabilities and equity v2_Sheet1 2" xfId="4644"/>
    <cellStyle name="00 5 2 2" xfId="4645"/>
    <cellStyle name="好_FJ其他应付款 3" xfId="4646"/>
    <cellStyle name="好_4-应收账款（空白模板） 14 2 3" xfId="4647"/>
    <cellStyle name="好_19-无形资产（空白模板） 16 2 4" xfId="4648"/>
    <cellStyle name="差_ZL长期应收款" xfId="4649"/>
    <cellStyle name="差_应付账款_明细表 5" xfId="4650"/>
    <cellStyle name="_Liabilities and equity_pbc 080630 current liability" xfId="4651"/>
    <cellStyle name="Comma 15" xfId="4652"/>
    <cellStyle name="Comma 20" xfId="4653"/>
    <cellStyle name="_long term loan - others 300504_TB CTE FJ 30" xfId="4654"/>
    <cellStyle name="_Liabilities and equity_pbc 080630 current liability 2" xfId="4655"/>
    <cellStyle name="差_19-无形资产（空白模板） 10 2 2" xfId="4656"/>
    <cellStyle name="40% - 强调文字颜色 6 2 3" xfId="4657"/>
    <cellStyle name="好_1资产减值损失 2 5" xfId="4658"/>
    <cellStyle name="_Liabilities and equity_pbc 080630 current liability_Sheet1" xfId="4659"/>
    <cellStyle name="常规 4 4 4" xfId="4660"/>
    <cellStyle name="40% - 强调文字颜色 6 2 3 2" xfId="4661"/>
    <cellStyle name="常规 7 11 3" xfId="4662"/>
    <cellStyle name="常规 4 2 2 4" xfId="4663"/>
    <cellStyle name="_Liabilities and equity_pbc 080630 current liability_Sheet1 2" xfId="4664"/>
    <cellStyle name="_Liabilities and equity_Sheet1" xfId="4665"/>
    <cellStyle name="_Liabilities and equity_Sheet1 2" xfId="4666"/>
    <cellStyle name="差_短期借款 4_明细表" xfId="4667"/>
    <cellStyle name="好_1货币资金 7" xfId="4668"/>
    <cellStyle name="好_19-无形资产（空白模板） 8_明细表 2" xfId="4669"/>
    <cellStyle name="_long term loan - others 300504 2" xfId="4670"/>
    <cellStyle name="_long term loan - others 300504_050124 Sales Co Part I - BS &amp; PL with note to account (Consol) v2" xfId="4671"/>
    <cellStyle name="_long term loan - others 300504_050124 Sales Co Part I - BS &amp; PL with note to account (Consol) v2 2" xfId="4672"/>
    <cellStyle name="常规 3 5 2 8 4" xfId="4673"/>
    <cellStyle name="_long term loan - others 300504_050124 Sales Co Part I - BS &amp; PL with note to account (Consol) v2_Sheet1" xfId="4674"/>
    <cellStyle name="_long term loan - others 300504_050124 Sales Co Part I - BS &amp; PL with note to account (Consol) v2_Sheet1 2" xfId="4675"/>
    <cellStyle name="常规 9 4 2 3 6" xfId="4676"/>
    <cellStyle name="差_40-专项应付款(空白模板) 13" xfId="4677"/>
    <cellStyle name="_long term loan - others 300504_05年6.14结算部成本到扎表_Sheet1 2" xfId="4678"/>
    <cellStyle name="_long term loan - others 300504_060121 Sales Co payment on behalf Dec 05 v2" xfId="4679"/>
    <cellStyle name="_long term loan - others 300504_060121 Sales Co payment on behalf Dec 05 v2 2" xfId="4680"/>
    <cellStyle name="好_固定资产 6_明细表 5" xfId="4681"/>
    <cellStyle name="好_55-资产减值损失（空白模板） 4 2 2" xfId="4682"/>
    <cellStyle name="_long term loan - others 300504_060121 Sales Co payment on behalf Dec 05 v2_Sheet1" xfId="4683"/>
    <cellStyle name="00 2 9" xfId="4684"/>
    <cellStyle name="常规 10 2 8" xfId="4685"/>
    <cellStyle name="_long term loan - others 300504_060121 Sales Co payment on behalf Dec 05 v2_Sheet1 2" xfId="4686"/>
    <cellStyle name="好_报表层次重要性水平 7" xfId="4687"/>
    <cellStyle name="好_1专项应付款 8_附注表一（财务报表）" xfId="4688"/>
    <cellStyle name="_long term loan - others 300504_1" xfId="4689"/>
    <cellStyle name="40% - 强调文字颜色 5 2 3 8" xfId="4690"/>
    <cellStyle name="_to do list_20051231.sales com.GI1.intercompany" xfId="4691"/>
    <cellStyle name="好_报表层次重要性水平 7 2" xfId="4692"/>
    <cellStyle name="差_dxn底稿目录_明细表" xfId="4693"/>
    <cellStyle name="_long term loan - others 300504_1 2" xfId="4694"/>
    <cellStyle name="差_1专项应付款_明细表 2" xfId="4695"/>
    <cellStyle name="_Smartpoint Consol Spreadsheet - 20091231" xfId="4696"/>
    <cellStyle name="_Part III.200406.Loan and Liabilities details.(Site Name)_AR&amp;OR over 3 years-Full provision_pbc 080630 current liability_Sheet1 2" xfId="4697"/>
    <cellStyle name="_long term loan - others 300504_2003" xfId="4698"/>
    <cellStyle name="好_50-营业成本（空白模板） 4 4" xfId="4699"/>
    <cellStyle name="_long term loan - others 300504_2003 2" xfId="4700"/>
    <cellStyle name="40% - 强调文字颜色 3 2 4" xfId="4701"/>
    <cellStyle name="好_55-资产减值损失（空白模板） 3 2 6" xfId="4702"/>
    <cellStyle name="好_49-营业收入（空白模板）_Book2" xfId="4703"/>
    <cellStyle name="_long term loan - others 300504_20050630 TB" xfId="4704"/>
    <cellStyle name="好_49-营业收入（空白模板）_Book2 2" xfId="4705"/>
    <cellStyle name="_long term loan - others 300504_20050630 TB 2" xfId="4706"/>
    <cellStyle name="_long term loan - others 300504_2005-12 TB template" xfId="4707"/>
    <cellStyle name="标题 2 2 12" xfId="4708"/>
    <cellStyle name="常规 173 2 2 3" xfId="4709"/>
    <cellStyle name="差_长期借款 2" xfId="4710"/>
    <cellStyle name="差_1-销售与收款循环 2 4" xfId="4711"/>
    <cellStyle name="_long term loan - others 300504_2005-6-14北京成本倒轧表" xfId="4712"/>
    <cellStyle name="常规 2 7 3 3" xfId="4713"/>
    <cellStyle name="_long term loan - others 300504_Part III for print- Journal List and Profit Recon (Justin) (date).consol" xfId="4714"/>
    <cellStyle name="_long term loan - others 300504_2005-6-14北京成本倒轧表_Sheet1" xfId="4715"/>
    <cellStyle name="Accent2 - 60% 5" xfId="4716"/>
    <cellStyle name="_Part IV - Supp Sch FA &amp; Other Assets (Holding).0714.V7(OK)_Sheet1" xfId="4717"/>
    <cellStyle name="好_应付债券 4 3" xfId="4718"/>
    <cellStyle name="常规 9 4 2 7 3" xfId="4719"/>
    <cellStyle name="_long term loan - others 300504_Part III for print- Journal List and Profit Recon (Justin) (date).consol 2" xfId="4720"/>
    <cellStyle name="_long term loan - others 300504_2005-6-14北京成本倒轧表_Sheet1 2" xfId="4721"/>
    <cellStyle name="好_无形资产 2 5" xfId="4722"/>
    <cellStyle name="好_32-应付职工薪酬(空白模板) 3 4" xfId="4723"/>
    <cellStyle name="_long term loan - others 300504_AR&amp;OR over 3 years-Full provision" xfId="4724"/>
    <cellStyle name="0,0_x000d__x000a_NA_x000d__x000a_ 2 2 3" xfId="4725"/>
    <cellStyle name="好_50-营业成本（空白模板） 2 2 2" xfId="4726"/>
    <cellStyle name="差_专项应付款 11_明细表 3" xfId="4727"/>
    <cellStyle name="_long term loan - others 300504_AR&amp;OR over 3 years-Full provision_pbc 080630 current liability" xfId="4728"/>
    <cellStyle name="_long term loan - others 300504_AR&amp;OR over 3 years-Full provision_pbc 080630 current liability_Sheet1" xfId="4729"/>
    <cellStyle name="好_27-短期借款(空白模板) 15 2 4" xfId="4730"/>
    <cellStyle name="_long term loan - others 300504_AR&amp;OR over 3 years-Full provision_Sheet1 2" xfId="4731"/>
    <cellStyle name="_long term loan - others 300504_FA  CIP opening balance" xfId="4732"/>
    <cellStyle name="_long term loan - others 300504_FA  CIP opening balance_pbc 080630 current liability 2" xfId="4733"/>
    <cellStyle name="好_15-固定资产（空白模板） 7_明细表 3" xfId="4734"/>
    <cellStyle name="_long term loan - others 300504_FA  CIP opening balance_pbc 080630 current liability_Sheet1" xfId="4735"/>
    <cellStyle name="好_1固定资产 9_明细表 5" xfId="4736"/>
    <cellStyle name="40% - 强调文字颜色 1 2 12" xfId="4737"/>
    <cellStyle name="好_期初余额查验 4 2" xfId="4738"/>
    <cellStyle name="40% - 輔色1" xfId="4739"/>
    <cellStyle name="好_复件 固定资产 7_附注表一（财务报表）" xfId="4740"/>
    <cellStyle name="_long term loan - others 300504_IFRS recon June 05 v4  _Sheet1 2" xfId="4741"/>
    <cellStyle name="_long term loan - others 300504_刘佳佳-国华收入成本05-6 2" xfId="4742"/>
    <cellStyle name="40% - 强调文字颜色 1 10" xfId="4743"/>
    <cellStyle name="_long term loan - others 300504_Worksheet in D: My Documents China Shenhua Overall - 2005 final Correspondence With Bobo Debriefing notes liabilities debriefing note 2005 12 31 2" xfId="4744"/>
    <cellStyle name="_long term loan - others 300504_in-ter-com" xfId="4745"/>
    <cellStyle name="_long term loan - others 300504_in-ter-com 2" xfId="4746"/>
    <cellStyle name="好_其他应付款明细表刘晓薇" xfId="4747"/>
    <cellStyle name="强调文字颜色 5 6" xfId="4748"/>
    <cellStyle name="差_1货币资金 5" xfId="4749"/>
    <cellStyle name="好__dxn_temp空白表页 6_明细表 5" xfId="4750"/>
    <cellStyle name="差__dxn_temp空白表页 16 2" xfId="4751"/>
    <cellStyle name="_long term loan - others 300504_intercom tran" xfId="4752"/>
    <cellStyle name="差_大信底稿目录 3_明细表 4" xfId="4753"/>
    <cellStyle name="_long term loan - others 300504_intercom tran 2" xfId="4754"/>
    <cellStyle name="差_27-短期借款(空白模板) 5 4" xfId="4755"/>
    <cellStyle name="差_资本公积 - 复制 2 3" xfId="4756"/>
    <cellStyle name="差_无形资产 2_明细表 2" xfId="4757"/>
    <cellStyle name="_long term loan - others 300504_intercom tran_pbc 080630 current liability 2" xfId="4758"/>
    <cellStyle name="_long term loan - others 300504_intercom tran_pbc 080630 current liability_Sheet1" xfId="4759"/>
    <cellStyle name="好__dxn_temp空白表页 5 2 5" xfId="4760"/>
    <cellStyle name="好_财务费用 3_明细表" xfId="4761"/>
    <cellStyle name="好_底稿设置宏 9 2 4" xfId="4762"/>
    <cellStyle name="_long term loan - others 300504_intercom tran_pbc 080630 current liability_Sheet1 2" xfId="4763"/>
    <cellStyle name="_long term loan - others 300504_intercom tran_Sheet1 2" xfId="4764"/>
    <cellStyle name="常规 2 9" xfId="4765"/>
    <cellStyle name="_上海雨润_Sheet1" xfId="4766"/>
    <cellStyle name="_long term loan - others 300504_in-ter-com_20051231.sales com.GI1.intercompany 2" xfId="4767"/>
    <cellStyle name="好_资产负债标准底稿 2 2 2 3" xfId="4768"/>
    <cellStyle name="_long term loan - others 300504_in-ter-com_20051231.sales com.GI1.intercompany_Sheet1" xfId="4769"/>
    <cellStyle name="20% - 强调文字颜色 6 2 3_附注表一（财务报表）" xfId="4770"/>
    <cellStyle name="好_无形资产 3 2 2" xfId="4771"/>
    <cellStyle name="20% - 强调文字颜色 3 2 6" xfId="4772"/>
    <cellStyle name="好_1营业收入 10 4" xfId="4773"/>
    <cellStyle name="_long term loan - others 300504_in-ter-com_20051231.sales com.GI1.intercompany_Sheet1 2" xfId="4774"/>
    <cellStyle name="常规 32 3 3" xfId="4775"/>
    <cellStyle name="00 2 12 2" xfId="4776"/>
    <cellStyle name="_long term loan - others 300504_in-ter-com_intercompany transaction" xfId="4777"/>
    <cellStyle name="0% 9 2 3" xfId="4778"/>
    <cellStyle name="_long term loan - others 300504_in-ter-com_intercompany transaction 2" xfId="4779"/>
    <cellStyle name="好_底稿设置宏 4 2 5" xfId="4780"/>
    <cellStyle name="40% - 强调文字颜色 6 5" xfId="4781"/>
    <cellStyle name="_四川福润鲜冻分类 2" xfId="4782"/>
    <cellStyle name="_long term loan - others 300504_in-ter-com_Sheet1" xfId="4783"/>
    <cellStyle name="40% - 强调文字颜色 6 5 2" xfId="4784"/>
    <cellStyle name="_long term loan - others 300504_in-ter-com_Sheet1 2" xfId="4785"/>
    <cellStyle name="差_31-预收账款（空白模板）" xfId="4786"/>
    <cellStyle name="_long term loan - others 300504_KPMG original version_毕马威6月30日审计表（合并）" xfId="4787"/>
    <cellStyle name="差_31-预收账款（空白模板） 2" xfId="4788"/>
    <cellStyle name="_long term loan - others 300504_KPMG original version_毕马威6月30日审计表（合并） 2" xfId="4789"/>
    <cellStyle name="20% - Accent4" xfId="4790"/>
    <cellStyle name="_long term loan - others 300504_KPMG original version_毕马威6月30日审计表（神东合并）" xfId="4791"/>
    <cellStyle name="好_复件 固定资产 10 2 5" xfId="4792"/>
    <cellStyle name="好_49-营业收入（空白模板） 11 2 2" xfId="4793"/>
    <cellStyle name="常规 2 2 2 5 2 5" xfId="4794"/>
    <cellStyle name="强调文字颜色 2 2 5 2" xfId="4795"/>
    <cellStyle name="args.style 4" xfId="4796"/>
    <cellStyle name="好_ZA0货币资金审定表  4 5" xfId="4797"/>
    <cellStyle name="20% - Accent4 2" xfId="4798"/>
    <cellStyle name="20% - 强调文字颜色 4 3" xfId="4799"/>
    <cellStyle name="_long term loan - others 300504_KPMG original version_毕马威6月30日审计表（神东合并） 2" xfId="4800"/>
    <cellStyle name="_long term loan - others 300504_Part I - BS  PL with note to account (Site Name)" xfId="4801"/>
    <cellStyle name="_Sheet2_毕马威审计2006年主表（味达美工厂_Sheet1" xfId="4802"/>
    <cellStyle name="_long term loan - others 300504_Part I - BS  PL with note to account (Site Name) 2" xfId="4803"/>
    <cellStyle name="好_专项应付款 11 2 2" xfId="4804"/>
    <cellStyle name="好_1专项应付款 12 2" xfId="4805"/>
    <cellStyle name="20% - 强调文字颜色 3 2 3 3" xfId="4806"/>
    <cellStyle name="40% - 輔色4 4" xfId="4807"/>
    <cellStyle name="好_41-预计负债（空白模板） 2 2" xfId="4808"/>
    <cellStyle name="e_CTE FJ 2005.PC (version 6 1)_1 2" xfId="4809"/>
    <cellStyle name="_long term loan - others 300504_Part I - BS  PL with note to account (Site Name)_pbc 080630 current liability" xfId="4810"/>
    <cellStyle name="好_短期借款 15 2 5" xfId="4811"/>
    <cellStyle name="常规 2 2 7 5 2" xfId="4812"/>
    <cellStyle name="差_预收款项 6 2" xfId="4813"/>
    <cellStyle name="00 2 4" xfId="4814"/>
    <cellStyle name="千位分隔 2 14 3 2" xfId="4815"/>
    <cellStyle name="差_1营业外收入 4" xfId="4816"/>
    <cellStyle name="_long term loan - others 300504_Part I - BS  PL with note to account (Site Name)_pbc 080630 current liability 2" xfId="4817"/>
    <cellStyle name="_TB CTE FJ 20 2" xfId="4818"/>
    <cellStyle name="好_应付票据 3" xfId="4819"/>
    <cellStyle name="常规 2 2 3 6 2 2" xfId="4820"/>
    <cellStyle name="_long term loan - others 300504_Part I - BS  PL with note to account (Site Name)_pbc 080630 current liability_Sheet1" xfId="4821"/>
    <cellStyle name="_long term loan - others 300504_Part I - BS  PL with note to account (Site Name)_Sheet1" xfId="4822"/>
    <cellStyle name="60% - 强调文字颜色 2 2 2 10" xfId="4823"/>
    <cellStyle name="_long term loan - others 300504_Part I - BS  PL with note to account (Site Name)_Sheet1 2" xfId="4824"/>
    <cellStyle name="_long term loan - others 300504_Part I - BS &amp; PL with note to account (Shenhua Tianjin Portl)(20050122).v2" xfId="4825"/>
    <cellStyle name="好_1资产减值损失 4 5" xfId="4826"/>
    <cellStyle name="好_营业收入 5 2 3" xfId="4827"/>
    <cellStyle name="_long term loan - others 300504_Part I - BS &amp; PL with note to account (Shenhua Tianjin Portl)(20050122).v2 2" xfId="4828"/>
    <cellStyle name="_long term loan - others 300504_Part I - BS &amp; PL with note to account (Shenhua Tianjin Portl)(20050122).v2_Sheet1" xfId="4829"/>
    <cellStyle name="常规 3 2 13 4" xfId="4830"/>
    <cellStyle name="60% - 强调文字颜色 3 2 3 4" xfId="4831"/>
    <cellStyle name="_long term loan - others 300504_Part I - BS &amp; PL with note to account (Shenhua Tianjin Portl)(20050122).v2_Sheet1 2" xfId="4832"/>
    <cellStyle name="_达园底稿-jx" xfId="4833"/>
    <cellStyle name="_long term loan - others 300504_Part II - Consol Journal supp Schedule (Site Name)" xfId="4834"/>
    <cellStyle name="差_固定资产_明细表" xfId="4835"/>
    <cellStyle name="_long term loan - others 300504_Part II - Consol Journal supp Schedule (Site Name) 2" xfId="4836"/>
    <cellStyle name="常规 6 11 6" xfId="4837"/>
    <cellStyle name="_long term loan - others 300504_Part II - Consol Journal supp Schedule (Site Name)_Sheet1" xfId="4838"/>
    <cellStyle name="差_固定资产 13_明细表 5" xfId="4839"/>
    <cellStyle name="_long term loan - others 300504_Part II - Consol Journal supp Schedule (Site Name)_Sheet1 2" xfId="4840"/>
    <cellStyle name="_long term loan - others 300504_Part III - Journal List, Profit Recon &amp; op data(Site Name)" xfId="4841"/>
    <cellStyle name="_long term loan - others 300504_Part III - Journal List, Profit Recon &amp; op data(Site Name) 2" xfId="4842"/>
    <cellStyle name="_long term loan - others 300504_Part III - Journal List, Profit Recon &amp; op data(Site Name)_Sheet1" xfId="4843"/>
    <cellStyle name="好_底稿设置宏 5 2 6" xfId="4844"/>
    <cellStyle name="_long term loan - others 300504_Part III - Journal List, Profit Recon &amp; op data(Site Name)_Sheet1 2" xfId="4845"/>
    <cellStyle name="_long term loan - others 300504_Part IV - Supp Sch FA &amp; Other Assets (Holding).0714.V7(OK)" xfId="4846"/>
    <cellStyle name="好_应收利息 8_明细表 4" xfId="4847"/>
    <cellStyle name="好_复件 固定资产 7" xfId="4848"/>
    <cellStyle name="00 32" xfId="4849"/>
    <cellStyle name="00 27" xfId="4850"/>
    <cellStyle name="_long term loan - others 300504_Part IV - Supp Sch FA &amp; Other Assets (Holding).0714.V7(OK) 2" xfId="4851"/>
    <cellStyle name="差_管理费用 2 2 3" xfId="4852"/>
    <cellStyle name="SAPBEXstdItemX 4 3" xfId="4853"/>
    <cellStyle name="_long term loan - others 300504_Part IV - Supp Sch FA &amp; Other Assets (Holding).0714.V7(OK)_Sheet1" xfId="4854"/>
    <cellStyle name="0% 23" xfId="4855"/>
    <cellStyle name="0% 18" xfId="4856"/>
    <cellStyle name="差_资产负债标准底稿 8" xfId="4857"/>
    <cellStyle name="_long term loan - others 300504_Part IV - Supp Sch FA &amp; Other Assets (Holding).0714.V7(OK)_Sheet1 2" xfId="4858"/>
    <cellStyle name="常规 17 10" xfId="4859"/>
    <cellStyle name="_long term loan - others 300504_Part V - Supp Schedule Liabilities  taxation(Holding) 0714 V8(OK) 2" xfId="4860"/>
    <cellStyle name="差_复件 固定资产 12 2" xfId="4861"/>
    <cellStyle name="_long term loan - others 300504_Part V - Supp Schedule Liabilities  taxation(Holding) 0714 V8(OK)_Sheet1" xfId="4862"/>
    <cellStyle name="差_复件 固定资产 12 2 2" xfId="4863"/>
    <cellStyle name="_long term loan - others 300504_Part V - Supp Schedule Liabilities  taxation(Holding) 0714 V8(OK)_Sheet1 2" xfId="4864"/>
    <cellStyle name="_long term loan - others 300504_Part V - Supplementary Schedule Liabilities (Site Name) (date)" xfId="4865"/>
    <cellStyle name="_long term loan - others 300504_Part V - Supplementary Schedule Liabilities (Site Name) (date) 2" xfId="4866"/>
    <cellStyle name="差_Z1货币资金" xfId="4867"/>
    <cellStyle name="好_资产负债类底稿模版_大信底稿目录 7_附注表一（财务报表）" xfId="4868"/>
    <cellStyle name="_凭证抽查-05年 4" xfId="4869"/>
    <cellStyle name="_long term loan - others 300504_PartII-Conso Jou supp Sch(SalesCo)(041231).conso" xfId="4870"/>
    <cellStyle name="好_底稿设置宏 10_明细表 3" xfId="4871"/>
    <cellStyle name="_long term loan - others 300504_PartII-Conso Jou supp Sch(SalesCo)(041231).conso_Sheet1" xfId="4872"/>
    <cellStyle name="20% - 强调文字颜色 4 9" xfId="4873"/>
    <cellStyle name="_Part III.200406.Loan and Liabilities details.(Site Name)_to do list_intercompany transaction_Sheet1" xfId="4874"/>
    <cellStyle name="60% - 强调文字颜色 6 2_Spreadsheet" xfId="4875"/>
    <cellStyle name="_long term loan - others 300504_PartII-Conso Jou supp Sch(SalesCo)(041231).conso_Sheet1 2" xfId="4876"/>
    <cellStyle name="好_短期借款 6_明细表 2" xfId="4877"/>
    <cellStyle name="40% - 强调文字颜色 3 2" xfId="4878"/>
    <cellStyle name="差_ZU固定资产 2 3" xfId="4879"/>
    <cellStyle name="20% - 輔色4 2" xfId="4880"/>
    <cellStyle name="_long term loan - others 300504_pbc 080630 current liability 2" xfId="4881"/>
    <cellStyle name="_long term loan - others 300504_pbc 080630 current liability_Sheet1" xfId="4882"/>
    <cellStyle name="好_1资产减值损失 7_明细表 4" xfId="4883"/>
    <cellStyle name="_long term loan - others 300504_pbc 080630 current liability_Sheet1 2" xfId="4884"/>
    <cellStyle name="常规 4 6 2 6" xfId="4885"/>
    <cellStyle name="20% - 强调文字颜色 2 2 7 2" xfId="4886"/>
    <cellStyle name="_Part III.200406.Loan and Liabilities details.(Site Name)_to do list_期末存货_Sheet1" xfId="4887"/>
    <cellStyle name="差_3-2 进一步审计程序-采购与付款循环 5" xfId="4888"/>
    <cellStyle name="_long term loan - others 300504_Sheet1 2" xfId="4889"/>
    <cellStyle name="_long term loan - others 300504_Shenhua PBC package 050530" xfId="4890"/>
    <cellStyle name="_long term loan - others 300504_Shenhua PBC package 050530 2" xfId="4891"/>
    <cellStyle name="好_明细表_1 4" xfId="4892"/>
    <cellStyle name="_long term loan - others 300504_Shenhua PBC package 050530_毕马威6月30日审计表（合并）" xfId="4893"/>
    <cellStyle name="好_1固定资产 10 2 5" xfId="4894"/>
    <cellStyle name="常规 2 3 10 2" xfId="4895"/>
    <cellStyle name="常规 2 3 10 2 2" xfId="4896"/>
    <cellStyle name="_long term loan - others 300504_Shenhua PBC package 050530_毕马威6月30日审计表（合并） 2" xfId="4897"/>
    <cellStyle name="常规 7 2 2 9" xfId="4898"/>
    <cellStyle name="差_资产负债标准底稿 11_明细表 5" xfId="4899"/>
    <cellStyle name="_long term loan - others 300504_Shenhua PBC package 050530_毕马威6月30日审计表（神东合并） 2" xfId="4900"/>
    <cellStyle name="_Part III.200406.Loan and Liabilities details.(Site Name)_损益表(加密)_长期待摊费用表1.14.1" xfId="4901"/>
    <cellStyle name="好_1营业外支出 2 2" xfId="4902"/>
    <cellStyle name="_long term loan - others 300504_TB CTE FJ 04-2" xfId="4903"/>
    <cellStyle name="好_1营业外支出 2 2 2" xfId="4904"/>
    <cellStyle name="差_营业外收入_附注表一（财务报表）" xfId="4905"/>
    <cellStyle name="_long term loan - others 300504_TB CTE FJ 04-2 2" xfId="4906"/>
    <cellStyle name="差_专项应付款 10 2 4" xfId="4907"/>
    <cellStyle name="_long term loan - others 300504_TB CTE FJ 11" xfId="4908"/>
    <cellStyle name="Normalny_Arkusz1" xfId="4909"/>
    <cellStyle name="_海工 报表0612（所得税例表）_H1000应收账款" xfId="4910"/>
    <cellStyle name="_long term loan - others 300504_TB CTE FJ 11 2" xfId="4911"/>
    <cellStyle name="差_预付款项_明细表 3" xfId="4912"/>
    <cellStyle name="_long term loan - others 300504_TB CTE FJ 16.v1 2" xfId="4913"/>
    <cellStyle name="Comma 10" xfId="4914"/>
    <cellStyle name="_long term loan - others 300504_TB CTE FJ 20" xfId="4915"/>
    <cellStyle name="Comma 10 2" xfId="4916"/>
    <cellStyle name="_long term loan - others 300504_TB CTE FJ 20 2" xfId="4917"/>
    <cellStyle name="Comma 15 2" xfId="4918"/>
    <cellStyle name="Comma 20 2" xfId="4919"/>
    <cellStyle name="_long term loan - others 300504_TB CTE FJ 30 2" xfId="4920"/>
    <cellStyle name="常规 2 2 3 2 6" xfId="4921"/>
    <cellStyle name="_Part I - BS  PL with note to account (Site Name)_Sheet1" xfId="4922"/>
    <cellStyle name="差_其他应付款_附注表一（财务报表）" xfId="4923"/>
    <cellStyle name="千位分隔 2 2 9" xfId="4924"/>
    <cellStyle name="_long term loan - others 300504_TB CTE FJ 4-2" xfId="4925"/>
    <cellStyle name="好_专项应付款 11 2 3" xfId="4926"/>
    <cellStyle name="好_1专项应付款 12 3" xfId="4927"/>
    <cellStyle name="千位分隔 2 2 9 2" xfId="4928"/>
    <cellStyle name="_long term loan - others 300504_TB CTE FJ 4-2 2" xfId="4929"/>
    <cellStyle name="20% - 强调文字颜色 3 2 3 4" xfId="4930"/>
    <cellStyle name="40% - 輔色4 5" xfId="4931"/>
    <cellStyle name="00 2 15" xfId="4932"/>
    <cellStyle name="常规 10 2 10" xfId="4933"/>
    <cellStyle name="差_资产负债类底稿模版 4_明细表" xfId="4934"/>
    <cellStyle name="_long term loan - others 300504_to do list" xfId="4935"/>
    <cellStyle name="千位分隔 2 42" xfId="4936"/>
    <cellStyle name="千位分隔 2 37" xfId="4937"/>
    <cellStyle name="差_资产负债类底稿模版 4_明细表 2" xfId="4938"/>
    <cellStyle name="_long term loan - others 300504_to do list 2" xfId="4939"/>
    <cellStyle name="好_55-资产减值损失（空白模板） 3_明细表" xfId="4940"/>
    <cellStyle name="_long term loan - others 300504_to do list_05成本到扎表1(1).9-结算部" xfId="4941"/>
    <cellStyle name="_long term loan - others 300504_to do list_05成本到扎表1(1).9-结算部_Sheet1" xfId="4942"/>
    <cellStyle name="_long term loan - others 300504_to do list_05成本到扎表1(1).9-结算部_Sheet1 2" xfId="4943"/>
    <cellStyle name="40% - 强调文字颜色 5 2 2 8" xfId="4944"/>
    <cellStyle name="好_15-固定资产（空白模板） 11" xfId="4945"/>
    <cellStyle name="好__dxn_temp空白表页 15_明细表 5" xfId="4946"/>
    <cellStyle name="_ZJYE9802" xfId="4947"/>
    <cellStyle name="好_4-应收账款（空白模板） 9_明细表 5" xfId="4948"/>
    <cellStyle name="常规 2 2 6 2 4" xfId="4949"/>
    <cellStyle name="差_资产负债类底稿模版 3" xfId="4950"/>
    <cellStyle name="_long term loan - others 300504_to do list_200506.sales com.GI.intercompany 2" xfId="4951"/>
    <cellStyle name="常规 2 10 9" xfId="4952"/>
    <cellStyle name="_long term loan - others 300504_to do list_200506.sales com.GI.intercompany_Sheet1" xfId="4953"/>
    <cellStyle name="_long term loan - others 300504_to do list_200506.sales com.GI.intercompany_Sheet1 2" xfId="4954"/>
    <cellStyle name="常规 3 49" xfId="4955"/>
    <cellStyle name="常规 3 54" xfId="4956"/>
    <cellStyle name="好_54-财务费用（空白模板） 15" xfId="4957"/>
    <cellStyle name="好_54-财务费用（空白模板） 20" xfId="4958"/>
    <cellStyle name="_TODD of AR aging" xfId="4959"/>
    <cellStyle name="好_Book2 3" xfId="4960"/>
    <cellStyle name="常规 3 3 6_附注表一（财务报表）" xfId="4961"/>
    <cellStyle name="_long term loan - others 300504_to do list_20051231.sales com.GI1.intercompany" xfId="4962"/>
    <cellStyle name="00 2 3 5" xfId="4963"/>
    <cellStyle name="好_Book2 3 2" xfId="4964"/>
    <cellStyle name="_long term loan - others 300504_to do list_20051231.sales com.GI1.intercompany 2" xfId="4965"/>
    <cellStyle name="常规 2 3 13_附注表一（财务报表）" xfId="4966"/>
    <cellStyle name="_long term loan - others 300504_to do list_20051231.sales com.GI1.intercompany_Sheet1" xfId="4967"/>
    <cellStyle name="常规 4 2 2 2 2 3" xfId="4968"/>
    <cellStyle name="差_固定资产 5_明细表 3" xfId="4969"/>
    <cellStyle name="_long term loan - others 300504_to do list_20051231.sales com.GI1.intercompany_Sheet1 2" xfId="4970"/>
    <cellStyle name="_long term loan - others 300504_期末存货_Sheet1" xfId="4971"/>
    <cellStyle name="_long term loan - others 300504_to do list_intercompany transaction 2" xfId="4972"/>
    <cellStyle name="常规 9 4 3 3 3" xfId="4973"/>
    <cellStyle name="常规 2 3 2 2 2 3" xfId="4974"/>
    <cellStyle name="_long term loan - others 300504_to do list_期末存货 2" xfId="4975"/>
    <cellStyle name="40% - 强调文字颜色 6 2 2_附注表一（财务报表）" xfId="4976"/>
    <cellStyle name="_long term loan - others 300504_to do list_期末存货_05成本到扎表1(1).9-结算部 2" xfId="4977"/>
    <cellStyle name="好_1预收款项 13_明细表" xfId="4978"/>
    <cellStyle name="好_30-应付账款（空白模板） 9 3" xfId="4979"/>
    <cellStyle name="_Part III.200406.Loan and Liabilities details.(Site Name)_2003" xfId="4980"/>
    <cellStyle name="comma-d 2" xfId="4981"/>
    <cellStyle name="_long term loan - others 300504_to do list_期末存货_05成本到扎表1(1).9-结算部_Sheet1" xfId="4982"/>
    <cellStyle name="_long term loan - others 300504_to do list_期末存货_05成本到扎表1(1).9-结算部_Sheet1 2" xfId="4983"/>
    <cellStyle name="_Part III.200406.Loan and Liabilities details.(Site Name)_2003 2" xfId="4984"/>
    <cellStyle name="_long term loan - others 300504_to do list_期末存货_200506.sales com.GI.intercompany" xfId="4985"/>
    <cellStyle name="差_复件 固定资产 2 3" xfId="4986"/>
    <cellStyle name="_long term loan - others 300504_to do list_期末存货_200506.sales com.GI.intercompany 2" xfId="4987"/>
    <cellStyle name="0% 2 9" xfId="4988"/>
    <cellStyle name="好_资产负债标准底稿 2 4 2" xfId="4989"/>
    <cellStyle name="千位分隔 2 2 2 6 2 5" xfId="4990"/>
    <cellStyle name="差_50-营业成本（空白模板） 10 2" xfId="4991"/>
    <cellStyle name="_ZJYE9802_050114.HY Bro.Film.GG1.Accounts Receivable_170407.聊城.Appendix4 TBJA.冲回质量索赔_pbc 080630 current liability" xfId="4992"/>
    <cellStyle name="Normal - Style1 2 2 3 2" xfId="4993"/>
    <cellStyle name="_long term loan - others 300504_to do list_期末存货_200506.sales com.GI.intercompany_Sheet1 2" xfId="4994"/>
    <cellStyle name="常规 2 12 2 5" xfId="4995"/>
    <cellStyle name="_long term loan - others 300504_to do list_期末存货_20051231.sales com.GI1.intercompany" xfId="4996"/>
    <cellStyle name="差_资产负债标准底稿 5_明细表 2" xfId="4997"/>
    <cellStyle name="_long term loan - others 300504_to do list_期末存货_20051231.sales com.GI1.intercompany 2" xfId="4998"/>
    <cellStyle name="好_审计分组-1218定稿 2 3" xfId="4999"/>
    <cellStyle name="好_短期借款 15" xfId="5000"/>
    <cellStyle name="好_短期借款 20" xfId="5001"/>
    <cellStyle name="好_51-营业税金及附加（空白模板） 6 2 4" xfId="5002"/>
    <cellStyle name="0,0_x000a__x000a_NA_x000a__x000a_" xfId="5003"/>
    <cellStyle name="常规 9 3 3 4" xfId="5004"/>
    <cellStyle name="好_无形资产 11" xfId="5005"/>
    <cellStyle name="SAPBEXheaderText 6" xfId="5006"/>
    <cellStyle name="_long term loan - others 300504_to do list_期末存货_20051231.sales com.GI1.intercompany_Sheet1 2" xfId="5007"/>
    <cellStyle name="标题 1 2 2 6" xfId="5008"/>
    <cellStyle name="_long term loan - others 300504_to do list_期末存货_intercompany transaction" xfId="5009"/>
    <cellStyle name="0% 4 3 2" xfId="5010"/>
    <cellStyle name="_Part III JA List and Profit Recon.Zhungeer.050630.v2_pbc 080630 current liability_Sheet1" xfId="5011"/>
    <cellStyle name="百分比 2 3 3" xfId="5012"/>
    <cellStyle name="_long term loan - others 300504_to do list_期末存货_intercompany transaction 2" xfId="5013"/>
    <cellStyle name="好_应付账款 - 复制 5 2" xfId="5014"/>
    <cellStyle name="_银行询证函及开立账户" xfId="5015"/>
    <cellStyle name="好_50-营业成本（空白模板）_货币资金 2" xfId="5016"/>
    <cellStyle name="Euro 3 2 3" xfId="5017"/>
    <cellStyle name="_long term loan - others 300504_to do list_期末存货_intercompany transaction_Sheet1" xfId="5018"/>
    <cellStyle name="_银行询证函及开立账户 2" xfId="5019"/>
    <cellStyle name="好_预收款项 4_附注表一（财务报表）" xfId="5020"/>
    <cellStyle name="_long term loan - others 300504_to do list_期末存货_intercompany transaction_Sheet1 2" xfId="5021"/>
    <cellStyle name="_long term loan - others 300504_to do list_期末存货_Sheet1 2" xfId="5022"/>
    <cellStyle name="_long term loan - others 300504_Worksheet in D: My Documents China Shenhua Overall - 2005 final Correspondence With Bobo Debriefing notes liabilities debriefing note 2005 12 31_pbc 080630 current liability_Sheet1" xfId="5023"/>
    <cellStyle name="_Part III.200406.Loan and Liabilities details.(Site Name)_to do list_期末存货" xfId="5024"/>
    <cellStyle name="好_30-应付账款（空白模板） 18 4" xfId="5025"/>
    <cellStyle name="_long term loan - others 300504_Worksheet in D: My Documents China Shenhua Overall - 2005 final Correspondence With Bobo Debriefing notes liabilities debriefing note 2005 12 31_pbc 080630 current liability_Sheet1 2" xfId="5026"/>
    <cellStyle name="20% - 强调文字颜色 3 2 2 4" xfId="5027"/>
    <cellStyle name="好_公允价值变动损益 9 2" xfId="5028"/>
    <cellStyle name="好_1专项应付款 11 3" xfId="5029"/>
    <cellStyle name="40% - 輔色3 5" xfId="5030"/>
    <cellStyle name="好_1短期借款 13 2" xfId="5031"/>
    <cellStyle name="_long term loan - others 300504_Worksheet in D: My Documents China Shenhua Overall - 2005 final Correspondence With Bobo Debriefing notes liabilities debriefing note 2005 12 31_Sheet1" xfId="5032"/>
    <cellStyle name="_long term loan - others 300504_刘佳佳-国华收入成本05-6_Sheet1" xfId="5033"/>
    <cellStyle name="_long term loan - others 300504_刘佳佳-国华收入成本05-6_Sheet1 2" xfId="5034"/>
    <cellStyle name="好_FP递延所得税负债 3" xfId="5035"/>
    <cellStyle name="好_15-固定资产（空白模板） 9" xfId="5036"/>
    <cellStyle name="Calc Currency (0) 2 2" xfId="5037"/>
    <cellStyle name="_long term loan - others 300504_期末存货" xfId="5038"/>
    <cellStyle name="好_FP递延所得税负债 3 2" xfId="5039"/>
    <cellStyle name="好_15-固定资产（空白模板） 9 2" xfId="5040"/>
    <cellStyle name="_long term loan - others 300504_期末存货 2" xfId="5041"/>
    <cellStyle name="_long term loan - others 300504_期末存货_05成本到扎表1(1).9-结算部" xfId="5042"/>
    <cellStyle name="好_往来款项函证结果汇总表 3 3" xfId="5043"/>
    <cellStyle name="好_FG  应交税费 3 2" xfId="5044"/>
    <cellStyle name="_Part II 2003 H" xfId="5045"/>
    <cellStyle name="_long term loan - others 300504_期末存货_05成本到扎表1(1).9-结算部_Sheet1 2" xfId="5046"/>
    <cellStyle name="好_6-应收利息（空白模板） 4 4" xfId="5047"/>
    <cellStyle name="差_FJ 其他应付款 3 3" xfId="5048"/>
    <cellStyle name="_long term loan - others 300504_期末存货_200506.sales com.GI.intercompany" xfId="5049"/>
    <cellStyle name="好_营业收入 4_明细表 2" xfId="5050"/>
    <cellStyle name="常规 2 5 8" xfId="5051"/>
    <cellStyle name="常规 3 3 5_附注表一（财务报表）" xfId="5052"/>
    <cellStyle name="好_50-营业成本（空白模板）_Book2 2" xfId="5053"/>
    <cellStyle name="千位分隔[0] 2 2 4 2 3" xfId="5054"/>
    <cellStyle name="_期末存货_intercompany transaction_Sheet1" xfId="5055"/>
    <cellStyle name="差_50-营业成本（空白模板） 6 3" xfId="5056"/>
    <cellStyle name="好_财务费用 13_明细表 4" xfId="5057"/>
    <cellStyle name="_long term loan - others 300504_期末存货_200506.sales com.GI.intercompany 2" xfId="5058"/>
    <cellStyle name="60% - Accent6 2" xfId="5059"/>
    <cellStyle name="好_30-应付账款（空白模板） 15 2 2" xfId="5060"/>
    <cellStyle name="_long term loan - others 300504_期末存货_200506.sales com.GI.intercompany_Sheet1" xfId="5061"/>
    <cellStyle name="差_文法2011-2012学年续放款名单(2009年签订贷款合同的" xfId="5062"/>
    <cellStyle name="60% - Accent6 2 2" xfId="5063"/>
    <cellStyle name="好_底稿设置宏_大信底稿目录 6 5" xfId="5064"/>
    <cellStyle name="_long term loan - others 300504_期末存货_200506.sales com.GI.intercompany_Sheet1 2" xfId="5065"/>
    <cellStyle name="Normal 10 3 2" xfId="5066"/>
    <cellStyle name="好_49-营业收入（空白模板） 5 2" xfId="5067"/>
    <cellStyle name="_表10-11应付账款" xfId="5068"/>
    <cellStyle name="ÄÞ¸¶ [0]_xls_form" xfId="5069"/>
    <cellStyle name="_Zibo adj_Oct 06_after IFRIC" xfId="5070"/>
    <cellStyle name="差_3固定资产" xfId="5071"/>
    <cellStyle name="_long term loan - others 300504_期末存货_20051231.sales com.GI1.intercompany" xfId="5072"/>
    <cellStyle name="好_27-短期借款(空白模板) 10 4" xfId="5073"/>
    <cellStyle name="常规 9 5 2 4" xfId="5074"/>
    <cellStyle name="_long term loan - others 300504_期末存货_20051231.sales com.GI1.intercompany_Sheet1" xfId="5075"/>
    <cellStyle name="好_1短期借款 9_明细表" xfId="5076"/>
    <cellStyle name="_long term loan - others 300504_期末存货_20051231.sales com.GI1.intercompany_Sheet1 2" xfId="5077"/>
    <cellStyle name="常规 6 2 5" xfId="5078"/>
    <cellStyle name="_long term loan - others 300504_期末存货_intercompany transaction" xfId="5079"/>
    <cellStyle name="_long term loan - others 300504_期末存货_intercompany transaction_Sheet1" xfId="5080"/>
    <cellStyle name="_long term loan - others 300504_损益表(加密)" xfId="5081"/>
    <cellStyle name="常规 3 3 2 6_附注表一（财务报表）" xfId="5082"/>
    <cellStyle name="常规 4 3 5" xfId="5083"/>
    <cellStyle name="_long term loan - others 300504_损益表(加密)_无形资产表1.13.1" xfId="5084"/>
    <cellStyle name="40% - 强调文字颜色 6 2 2 3" xfId="5085"/>
    <cellStyle name="常规 3 3 2 2 5 2 5" xfId="5086"/>
    <cellStyle name="_long term loan - others 300504_损益表(加密)_长期待摊费用表1.14.1" xfId="5087"/>
    <cellStyle name="_long term loan - others 300504_重庆华鼎－损益表－2005" xfId="5088"/>
    <cellStyle name="好_财务费用 10 3" xfId="5089"/>
    <cellStyle name="_L-T investment and investment income_20060630" xfId="5090"/>
    <cellStyle name="40% - 强调文字颜色 4 2 7" xfId="5091"/>
    <cellStyle name="20% - 强调文字颜色 3 2 2" xfId="5092"/>
    <cellStyle name="20% - 强调文字颜色 3 3 3" xfId="5093"/>
    <cellStyle name="_L-T investment and investment income_20061231" xfId="5094"/>
    <cellStyle name="_Sheet1_050107.Pana-Sims.GJ section 2" xfId="5095"/>
    <cellStyle name="_LT investment movement-WP061231" xfId="5096"/>
    <cellStyle name="好_无形资产 6 2 3" xfId="5097"/>
    <cellStyle name="20% - 强调文字颜色 6 2 7" xfId="5098"/>
    <cellStyle name="Dezimal [0]_BAM Invcap" xfId="5099"/>
    <cellStyle name="_Memo figure-Wayne GMWP.v3" xfId="5100"/>
    <cellStyle name="_ZJYE9802_软件公司审计所需资料_Sheet1" xfId="5101"/>
    <cellStyle name="_Memo figure-Wayne GMWP.v3 2" xfId="5102"/>
    <cellStyle name="_科技审计所需资料明细表 2" xfId="5103"/>
    <cellStyle name="_Memo figure-Wayne GMWP.v3_Consol wp.nick" xfId="5104"/>
    <cellStyle name="差_Z14-长期应收款（函证汇总表样本） 2" xfId="5105"/>
    <cellStyle name="好_资产负债标准底稿_大信底稿目录 4_附注表一（财务报表）" xfId="5106"/>
    <cellStyle name="_Memo figure-Wayne GMWP.v3_Consol wp.nick 2" xfId="5107"/>
    <cellStyle name="_Memo figure-Wayne GMWP.v3_Consol wp.nick_Consol wp.v3" xfId="5108"/>
    <cellStyle name="_中国神华统一会计报表（讨论稿） 2" xfId="5109"/>
    <cellStyle name="好_无形资产 6 2 5" xfId="5110"/>
    <cellStyle name="20% - 强调文字颜色 6 2 9" xfId="5111"/>
    <cellStyle name="_Memo figure-Wayne GMWP.v3_Consol wp.nick_Consol wp.v3 2" xfId="5112"/>
    <cellStyle name="好_底稿设置宏 2 4" xfId="5113"/>
    <cellStyle name="差_短期借款 10 2 4" xfId="5114"/>
    <cellStyle name="_Memo figure-Wayne GMWP.v3_Consol wp.nick_Consol wp.v3.local" xfId="5115"/>
    <cellStyle name="60% - 輔色1 4" xfId="5116"/>
    <cellStyle name="好_27-短期借款(空白模板) 10_明细表" xfId="5117"/>
    <cellStyle name="_Memo figure-Wayne GMWP.v3_Consol wp.nick_Consol wp.v3.local 2" xfId="5118"/>
    <cellStyle name="好_1营业税金及附加" xfId="5119"/>
    <cellStyle name="常规_所得税费用" xfId="5120"/>
    <cellStyle name="_Q2-1 EIT recon" xfId="5121"/>
    <cellStyle name="_Memo figure-Wayne GMWP.v3_Consol wp.nick_Cost of sales Calculation" xfId="5122"/>
    <cellStyle name="20% - 强调文字颜色 4 2 3 5" xfId="5123"/>
    <cellStyle name="好_1营业税金及附加 2" xfId="5124"/>
    <cellStyle name="_Q2-1 EIT recon 2" xfId="5125"/>
    <cellStyle name="_Memo figure-Wayne GMWP.v3_Consol wp.nick_Cost of sales Calculation 2" xfId="5126"/>
    <cellStyle name="_Nochange.Cons.20070418 night.Shanghe.Appendix4 TBJA 2" xfId="5127"/>
    <cellStyle name="20% - 强调文字颜色 3 4" xfId="5128"/>
    <cellStyle name="_Nochange.Cons.20070418.TransportationCompany.Appendix4TBJA" xfId="5129"/>
    <cellStyle name="差_资产负债类底稿模版 6_明细表 2" xfId="5130"/>
    <cellStyle name="Currency$[2] 2 3" xfId="5131"/>
    <cellStyle name="20% - 强调文字颜色 3 4 2" xfId="5132"/>
    <cellStyle name="好_4-应收账款（空白模板） 3_附注表一（财务报表）" xfId="5133"/>
    <cellStyle name="百分比 2 10 3" xfId="5134"/>
    <cellStyle name="_Nochange.Cons.20070418.TransportationCompany.Appendix4TBJA 2" xfId="5135"/>
    <cellStyle name="SAPBEXaggItemX 6" xfId="5136"/>
    <cellStyle name="_Nochange.Cons.20070418.TransportationCompany.Appendix4TBJA_pbc 080630 current liability" xfId="5137"/>
    <cellStyle name="_ZJYE9802_科技审计所需资料明细表" xfId="5138"/>
    <cellStyle name="好_资产负债标准底稿_大信底稿目录 2_明细表 3" xfId="5139"/>
    <cellStyle name="0,0_x000d__x000a_NA_x000d__x000a_ 2 8" xfId="5140"/>
    <cellStyle name="_公司填表2005-吴_3-2-A1B-银行存款 2" xfId="5141"/>
    <cellStyle name="_No-change.Cons.20070419. Anzhuang.Appendix4 TBJA" xfId="5142"/>
    <cellStyle name="_No-change.Cons.20070419. Anzhuang.Appendix4 TBJA 2" xfId="5143"/>
    <cellStyle name="_No-change.Cons.20070419. Anzhuang.Appendix4 TBJA_pbc 080630 current liability" xfId="5144"/>
    <cellStyle name="好_51-营业税金及附加（空白模板）_明细表 6" xfId="5145"/>
    <cellStyle name="20% - 强调文字颜色 6 2 2 5" xfId="5146"/>
    <cellStyle name="_No-change.Cons.20070419. Anzhuang.Appendix4 TBJA_pbc 080630 current liability 2" xfId="5147"/>
    <cellStyle name="差_复件 固定资产 2_明细表" xfId="5148"/>
    <cellStyle name="_O1 AP" xfId="5149"/>
    <cellStyle name="好_49-营业收入（空白模板） 11_明细表 4" xfId="5150"/>
    <cellStyle name="好_27-短期借款(空白模板) 12_明细表" xfId="5151"/>
    <cellStyle name="常规 58" xfId="5152"/>
    <cellStyle name="常规 63" xfId="5153"/>
    <cellStyle name="_O1 AP_Sheet1" xfId="5154"/>
    <cellStyle name="差_底稿设置宏 3_附注表一（财务报表）" xfId="5155"/>
    <cellStyle name="_O102-3暂估" xfId="5156"/>
    <cellStyle name="好_31-预收账款（空白模板） 14 2 3" xfId="5157"/>
    <cellStyle name="_O102-3暂估 2" xfId="5158"/>
    <cellStyle name="_O402总表" xfId="5159"/>
    <cellStyle name="_管道 jnl list" xfId="5160"/>
    <cellStyle name="千位分隔 5 2 2 11" xfId="5161"/>
    <cellStyle name="好__dxn_temp空白表页 12_明细表 5" xfId="5162"/>
    <cellStyle name="40% - 强调文字颜色 2 2 2 8" xfId="5163"/>
    <cellStyle name="_O402总表 2" xfId="5164"/>
    <cellStyle name="_管道 jnl list 2" xfId="5165"/>
    <cellStyle name="好_ZA0货币资金审定表 _货币资金 2" xfId="5166"/>
    <cellStyle name="{Percent}" xfId="5167"/>
    <cellStyle name="_O9. Accruals.20091031" xfId="5168"/>
    <cellStyle name="_O9.Accrual.DZH.31 Dec 2007" xfId="5169"/>
    <cellStyle name="_附表3－利润表科目明细表 2" xfId="5170"/>
    <cellStyle name="_邯郸福润鲜销、冻销分类_Sheet1 2" xfId="5171"/>
    <cellStyle name="_Part I - BS  PL with note to account (Site Name)_pbc 080630 current liability_Sheet1" xfId="5172"/>
    <cellStyle name="_Part I BS PL w notes to ac.Zhungeer.050614.V7" xfId="5173"/>
    <cellStyle name="好_59-营业外支出（空白模板） 4" xfId="5174"/>
    <cellStyle name="40% - 强调文字颜色 1 2 3" xfId="5175"/>
    <cellStyle name="_Profit and loss breakdown_Sheet1" xfId="5176"/>
    <cellStyle name="好_银行函证结果汇总表 4 4" xfId="5177"/>
    <cellStyle name="_Part I BS PL w notes to ac.Zhungeer.050614.V7_pbc 080630 current liability" xfId="5178"/>
    <cellStyle name="_Part I BS PL w notes to ac.Zhungeer.050614.V7_pbc 080630 current liability_Sheet1" xfId="5179"/>
    <cellStyle name="_Part I BS PL w notes to ac.Zhungeer.050614.V7_Sheet1 2" xfId="5180"/>
    <cellStyle name="好_无形资产 5 2 2" xfId="5181"/>
    <cellStyle name="20% - 强调文字颜色 5 2 6" xfId="5182"/>
    <cellStyle name="_Part II - Consol Journal supp Schedule (Site Name)" xfId="5183"/>
    <cellStyle name="40% - 强调文字颜色 6 7" xfId="5184"/>
    <cellStyle name="40% - 强调文字颜色 1 2 2_附注表一（财务报表）" xfId="5185"/>
    <cellStyle name="好_营业收入 5 5" xfId="5186"/>
    <cellStyle name="差_dxn底稿目录 7 3" xfId="5187"/>
    <cellStyle name="差_49-营业收入（空白模板） 7 4" xfId="5188"/>
    <cellStyle name="_Part II - Consol Journal supp Schedule (Site Name) 2" xfId="5189"/>
    <cellStyle name="60% - 强调文字颜色 1 8 3" xfId="5190"/>
    <cellStyle name="_Part II - Consol Journal supp Schedule (Site Name)_Part I     - 20071031.Project Stone.Reporting package.TB&amp;JA.(sub name)" xfId="5191"/>
    <cellStyle name="Normal - Style1 2 11" xfId="5192"/>
    <cellStyle name="_Part II - Consol Journal supp Schedule (Site Name)_Part I     - 20071031.Project Stone.Reporting package.TB&amp;JA.(sub name)_Sheet1 2" xfId="5193"/>
    <cellStyle name="_Part II - Consol Journal supp Schedule (Site Name)_Part I - 20071031.Project Stone.Reporting package.TB&amp;JA.(sub name)" xfId="5194"/>
    <cellStyle name="常规 2 2 2 2 2 6 2" xfId="5195"/>
    <cellStyle name="_Part II - Consol Journal supp Schedule (Site Name)_Part I - 20071031.Project Stone.Reporting package.TB&amp;JA.(sub name)_Sheet1" xfId="5196"/>
    <cellStyle name="_Part II - Consol Journal supp Schedule (Site Name)_Sheet1" xfId="5197"/>
    <cellStyle name="好_短期借款 6_明细表 3" xfId="5198"/>
    <cellStyle name="40% - 强调文字颜色 3 3" xfId="5199"/>
    <cellStyle name="_Part II - Consol Journal supp Schedule (Site Name)_Sheet1 2" xfId="5200"/>
    <cellStyle name="20% - 輔色4 3" xfId="5201"/>
    <cellStyle name="_Part II - Consol Journal supp Schedule (Site Name)_基石项目_审计调查表-2007年12月（修改后）" xfId="5202"/>
    <cellStyle name="_Part II - Consol Journal supp Schedule (Site Name)_基石项目_审计调查表-2007年12月（修改后）_Sheet1" xfId="5203"/>
    <cellStyle name="_Part II - Consol Journal supplementary Schedule (Holding)(1.28)v7 2" xfId="5204"/>
    <cellStyle name="SAPBEXresItem 3" xfId="5205"/>
    <cellStyle name="0% 14 2" xfId="5206"/>
    <cellStyle name="好_应收利息 17 2" xfId="5207"/>
    <cellStyle name="_Part II - Consol Journal supplementary Schedule (Holding)(1.28)v7_pbc 080630 current liability" xfId="5208"/>
    <cellStyle name="40% - 强调文字颜色 6 2 3 4" xfId="5209"/>
    <cellStyle name="好_盈余公积 2 2 2" xfId="5210"/>
    <cellStyle name="常规 4 4 6" xfId="5211"/>
    <cellStyle name="好_1应付职工薪酬 19" xfId="5212"/>
    <cellStyle name="好_1应付职工薪酬 24" xfId="5213"/>
    <cellStyle name="_Part II - Consol Journal supplementary Schedule (Holding)(1.28)v7_Sheet1" xfId="5214"/>
    <cellStyle name="好_公允价值变动损益 12" xfId="5215"/>
    <cellStyle name="_Part II - Consol Journal supplementary Schedule (Holding)(1.28)v7_Sheet1 2" xfId="5216"/>
    <cellStyle name="好_40-专项应付款(空白模板) 5 2" xfId="5217"/>
    <cellStyle name="差_19-无形资产（空白模板） 14" xfId="5218"/>
    <cellStyle name="_Part III - Journal List, Profit Recon &amp; op data(Site Name)" xfId="5219"/>
    <cellStyle name="好_40-专项应付款(空白模板) 5 2 2" xfId="5220"/>
    <cellStyle name="好_54-财务费用（空白模板） 17 2 4" xfId="5221"/>
    <cellStyle name="_ZJYE9802_科技审计所需资料明细表_Sheet1" xfId="5222"/>
    <cellStyle name="差_19-无形资产（空白模板） 14 2" xfId="5223"/>
    <cellStyle name="SAPBEXHLevel3X 3 3" xfId="5224"/>
    <cellStyle name="Currency,2 3" xfId="5225"/>
    <cellStyle name="_Part III - Journal List, Profit Recon &amp; op data(Site Name) 2" xfId="5226"/>
    <cellStyle name="_Part III - Journal List, Profit Recon &amp; op data(Site Name)_Sheet1" xfId="5227"/>
    <cellStyle name="好_底稿设置宏_明细表_1 2" xfId="5228"/>
    <cellStyle name="好_31-预收账款（空白模板） 17 5" xfId="5229"/>
    <cellStyle name="_Part III for print- Journal List and Profit Recon (Justin) (date).consol" xfId="5230"/>
    <cellStyle name="差_ZA0货币资金审定表  15" xfId="5231"/>
    <cellStyle name="差_ZA0货币资金审定表  20" xfId="5232"/>
    <cellStyle name="_Part III for print- Journal List and Profit Recon (Justin) (date).consol 2" xfId="5233"/>
    <cellStyle name="_Part III JA List and Profit Recon.Zhungeer.050630.v2_pbc 080630 current liability" xfId="5234"/>
    <cellStyle name="好_52-销售费用（空白模板） 2" xfId="5235"/>
    <cellStyle name="超链接 4 4" xfId="5236"/>
    <cellStyle name="_Part III.200406.Loan and Liabilities details.(Site Name)" xfId="5237"/>
    <cellStyle name="好_19-无形资产（空白模板） 2_明细表 5" xfId="5238"/>
    <cellStyle name="_Part III.200406.Loan and Liabilities details.(Site Name)_050124 Sales Co Part I - BS &amp; PL with note to account (Consol) v2" xfId="5239"/>
    <cellStyle name="Euro 6 3" xfId="5240"/>
    <cellStyle name="_Part III.200406.Loan and Liabilities details.(Site Name)_050124 Sales Co Part I - BS &amp; PL with note to account (Consol) v2 2" xfId="5241"/>
    <cellStyle name="差_27-短期借款(空白模板) 29" xfId="5242"/>
    <cellStyle name="差_27-短期借款(空白模板) 34" xfId="5243"/>
    <cellStyle name="40% - 强调文字颜色 5 3 2 2" xfId="5244"/>
    <cellStyle name="好_30-应付账款（空白模板） 15 2 3" xfId="5245"/>
    <cellStyle name="_Part III.200406.Loan and Liabilities details.(Site Name)_050124 Sales Co Part I - BS &amp; PL with note to account (Consol) v2_Sheet1" xfId="5246"/>
    <cellStyle name="_Part III.200406.Loan and Liabilities details.(Site Name)_050124 Sales Co Part I - BS &amp; PL with note to account (Consol) v2_Sheet1 2" xfId="5247"/>
    <cellStyle name="好_无形资产 15 2" xfId="5248"/>
    <cellStyle name="_Weisheng_GG2-2 Staff Advance.June.04.v1..ah" xfId="5249"/>
    <cellStyle name="Dollar (zero dec) 2" xfId="5250"/>
    <cellStyle name="_Part III.200406.Loan and Liabilities details.(Site Name)_05年6.14结算部成本到扎表" xfId="5251"/>
    <cellStyle name="_Part III.200406.Loan and Liabilities details.(Site Name)_060121 Sales Co payment on behalf Dec 05 v2" xfId="5252"/>
    <cellStyle name="_Part III.200406.Loan and Liabilities details.(Site Name)_060121 Sales Co payment on behalf Dec 05 v2 2" xfId="5253"/>
    <cellStyle name="差_ZD应收账款 5" xfId="5254"/>
    <cellStyle name="百分比 2 3 2 2 5" xfId="5255"/>
    <cellStyle name="_披露资料调查表(单位序号).20051222" xfId="5256"/>
    <cellStyle name="好_银行函证结果汇总表 16 2 4" xfId="5257"/>
    <cellStyle name="_Part III.200406.Loan and Liabilities details.(Site Name)_060121 Sales Co payment on behalf Dec 05 v2_Sheet1" xfId="5258"/>
    <cellStyle name="差_ZD应收账款 5 2" xfId="5259"/>
    <cellStyle name="百分比 2 3 2 2 5 2" xfId="5260"/>
    <cellStyle name="_披露资料调查表(单位序号).20051222 2" xfId="5261"/>
    <cellStyle name="_Part III.200406.Loan and Liabilities details.(Site Name)_060121 Sales Co payment on behalf Dec 05 v2_Sheet1 2" xfId="5262"/>
    <cellStyle name="_副本问题_Q2-1 EIT recon_Sheet1" xfId="5263"/>
    <cellStyle name="_Part III.200406.Loan and Liabilities details.(Site Name)_1 2" xfId="5264"/>
    <cellStyle name="好_2-ZI-存货监盘（案例） 3" xfId="5265"/>
    <cellStyle name="_Part III.200406.Loan and Liabilities details.(Site Name)_20050630 TB" xfId="5266"/>
    <cellStyle name="60% - 輔色5 2" xfId="5267"/>
    <cellStyle name="常规 178 2 2 3" xfId="5268"/>
    <cellStyle name="_Part III.200406.Loan and Liabilities details.(Site Name)_20050630 TB 2" xfId="5269"/>
    <cellStyle name="_Part III.200406.Loan and Liabilities details.(Site Name)_to do list_期末存货_200506.sales com.GI.intercompany_Sheet1" xfId="5270"/>
    <cellStyle name="常规 4" xfId="5271"/>
    <cellStyle name="_Part III.200406.Loan and Liabilities details.(Site Name)_2005-12 TB template" xfId="5272"/>
    <cellStyle name="_Part III.200406.Loan and Liabilities details.(Site Name)_to do list_期末存货_200506.sales com.GI.intercompany_Sheet1 2" xfId="5273"/>
    <cellStyle name="常规 4 2" xfId="5274"/>
    <cellStyle name="_Part III.200406.Loan and Liabilities details.(Site Name)_2005-12 TB template 2" xfId="5275"/>
    <cellStyle name="_Part III.200406.Loan and Liabilities details.(Site Name)_2005-6-14北京成本倒轧表 2" xfId="5276"/>
    <cellStyle name="好_2011.12全年年报资料汇总(樣本)" xfId="5277"/>
    <cellStyle name="_Part III.200406.Loan and Liabilities details.(Site Name)_AR&amp;OR over 3 years-Full provision" xfId="5278"/>
    <cellStyle name="_Part III.200406.Loan and Liabilities details.(Site Name)_AR&amp;OR over 3 years-Full provision_pbc 080630 current liability" xfId="5279"/>
    <cellStyle name="_Part III.200406.Loan and Liabilities details.(Site Name)_AR&amp;OR over 3 years-Full provision_pbc 080630 current liability 2" xfId="5280"/>
    <cellStyle name="_Part III.200406.Loan and Liabilities details.(Site Name)_AR&amp;OR over 3 years-Full provision_pbc 080630 current liability_Sheet1" xfId="5281"/>
    <cellStyle name="Preisliste" xfId="5282"/>
    <cellStyle name="输入 4" xfId="5283"/>
    <cellStyle name="_Weisheng_GG2.v1_其它应收款的性质" xfId="5284"/>
    <cellStyle name="差_19-无形资产（空白模板）_明细表" xfId="5285"/>
    <cellStyle name="_Part III.200406.Loan and Liabilities details.(Site Name)_FA  CIP opening balance" xfId="5286"/>
    <cellStyle name="40% - 强调文字颜色 4 2 10" xfId="5287"/>
    <cellStyle name="_Part III.200406.Loan and Liabilities details.(Site Name)_FA  CIP opening balance 2" xfId="5288"/>
    <cellStyle name="常规 2 2 2 2 2 2 2 13" xfId="5289"/>
    <cellStyle name="_下半年情况" xfId="5290"/>
    <cellStyle name="差_19-无形资产（空白模板）_明细表 2" xfId="5291"/>
    <cellStyle name="_Part III.200406.Loan and Liabilities details.(Site Name)_FA  CIP opening balance_pbc 080630 current liability" xfId="5292"/>
    <cellStyle name="_三年分部成本" xfId="5293"/>
    <cellStyle name="_Yuande.GD.20040331 Part 2" xfId="5294"/>
    <cellStyle name="_Part III.200406.Loan and Liabilities details.(Site Name)_IFRS recon June 05 v4  _pbc 080630 current liability" xfId="5295"/>
    <cellStyle name="SAPBEXresItem 6" xfId="5296"/>
    <cellStyle name="SAPBEXstdData" xfId="5297"/>
    <cellStyle name="_三年分部成本 2" xfId="5298"/>
    <cellStyle name="Normal - Style1 8 4" xfId="5299"/>
    <cellStyle name="_Yuande.GD.20040331 Part 2 2" xfId="5300"/>
    <cellStyle name="好_51-营业税金及附加（空白模板） 11_明细表" xfId="5301"/>
    <cellStyle name="_Part III.200406.Loan and Liabilities details.(Site Name)_IFRS recon June 05 v4  _pbc 080630 current liability 2" xfId="5302"/>
    <cellStyle name="差_1长期借款 3" xfId="5303"/>
    <cellStyle name="_Part III.200406.Loan and Liabilities details.(Site Name)_IFRS recon June 05 v4  _Sheet1" xfId="5304"/>
    <cellStyle name="常规 4 2 2 2 5 3" xfId="5305"/>
    <cellStyle name="_Part III.200406.Loan and Liabilities details.(Site Name)_in-ter-com" xfId="5306"/>
    <cellStyle name="好_40-专项应付款(空白模板) 11_明细表" xfId="5307"/>
    <cellStyle name="_Part III.200406.Loan and Liabilities details.(Site Name)_in-ter-com 2" xfId="5308"/>
    <cellStyle name="好_1短期借款 6_明细表 2" xfId="5309"/>
    <cellStyle name="_Part III.200406.Loan and Liabilities details.(Site Name)_intercom tran" xfId="5310"/>
    <cellStyle name="_Sheet2_Shinho烟台欣和味达美食品有限公司2006年审计报告新新" xfId="5311"/>
    <cellStyle name="_Part III.200406.Loan and Liabilities details.(Site Name)_intercom tran 2" xfId="5312"/>
    <cellStyle name="差_无形资产_3固定资产 2" xfId="5313"/>
    <cellStyle name="好_51-营业税金及附加（空白模板） 2_附注表一（财务报表）" xfId="5314"/>
    <cellStyle name="好__dxn_temp空白表页 14 2" xfId="5315"/>
    <cellStyle name="60% - Accent3" xfId="5316"/>
    <cellStyle name="SAPBEXexcCritical5 2" xfId="5317"/>
    <cellStyle name="_Part III.200406.Loan and Liabilities details.(Site Name)_intercom tran_pbc 080630 current liability_Sheet1" xfId="5318"/>
    <cellStyle name="_公司填表2005-吴" xfId="5319"/>
    <cellStyle name="40% - 强调文字颜色 1 2 3 5" xfId="5320"/>
    <cellStyle name="好_51-营业税金及附加（空白模板） 4 2 5" xfId="5321"/>
    <cellStyle name="超链接 6" xfId="5322"/>
    <cellStyle name="差_报表层次重要性水平 7 2" xfId="5323"/>
    <cellStyle name="_Part III.200406.Loan and Liabilities details.(Site Name)_intercom tran_Sheet1" xfId="5324"/>
    <cellStyle name="_Sheet2_Shinho烟台欣和味达美食品有限公司2006年审计报告新新_Sheet1" xfId="5325"/>
    <cellStyle name="_公司填表2005-吴 2" xfId="5326"/>
    <cellStyle name="好_1预收款项 4_明细表 3" xfId="5327"/>
    <cellStyle name="超链接 6 2" xfId="5328"/>
    <cellStyle name="_Part III.200406.Loan and Liabilities details.(Site Name)_intercom tran_Sheet1 2" xfId="5329"/>
    <cellStyle name="好_应付票据 2" xfId="5330"/>
    <cellStyle name="_Part III.200406.Loan and Liabilities details.(Site Name)_in-ter-com_200506.sales com.GI.intercompany" xfId="5331"/>
    <cellStyle name="40% - 强调文字颜色 5 2 3 2" xfId="5332"/>
    <cellStyle name="好_QB资本公积 3 2" xfId="5333"/>
    <cellStyle name="_WSI consolidated sheet.081231 090203 MCMW_Cost of sales Calculation" xfId="5334"/>
    <cellStyle name="好_检查情况表" xfId="5335"/>
    <cellStyle name="_Part III.200406.Loan and Liabilities details.(Site Name)_in-ter-com_200506.sales com.GI.intercompany_Sheet1 2" xfId="5336"/>
    <cellStyle name="好_1短期借款 26" xfId="5337"/>
    <cellStyle name="好_1短期借款 31" xfId="5338"/>
    <cellStyle name="_Part III.200406.Loan and Liabilities details.(Site Name)_in-ter-com_20051231.sales com.GI1.intercompany" xfId="5339"/>
    <cellStyle name="_实质性测试-双源-刘晓薇" xfId="5340"/>
    <cellStyle name="_Part III.200406.Loan and Liabilities details.(Site Name)_in-ter-com_20051231.sales com.GI1.intercompany 2" xfId="5341"/>
    <cellStyle name="常规 7 2 2 5" xfId="5342"/>
    <cellStyle name="标题 1 2 2 3" xfId="5343"/>
    <cellStyle name="_to do list_期末存货_intercompany transaction" xfId="5344"/>
    <cellStyle name="好_期初余额查验 2 2" xfId="5345"/>
    <cellStyle name="_Part III.200406.Loan and Liabilities details.(Site Name)_in-ter-com_20051231.sales com.GI1.intercompany_Sheet1" xfId="5346"/>
    <cellStyle name="好_期初余额查验 2 2 2" xfId="5347"/>
    <cellStyle name="_Part III.200406.Loan and Liabilities details.(Site Name)_in-ter-com_20051231.sales com.GI1.intercompany_Sheet1 2" xfId="5348"/>
    <cellStyle name="差_预收款项 12_明细表" xfId="5349"/>
    <cellStyle name="20% - 强调文字颜色 2 9" xfId="5350"/>
    <cellStyle name="_Part III.200406.Loan and Liabilities details.(Site Name)_in-ter-com_intercompany transaction" xfId="5351"/>
    <cellStyle name="差_固定资产 3 2 3" xfId="5352"/>
    <cellStyle name="差_55-资产减值损失（空白模板）_Book2 2" xfId="5353"/>
    <cellStyle name="_Part III.200406.Loan and Liabilities details.(Site Name)_in-ter-com_intercompany transaction_Sheet1" xfId="5354"/>
    <cellStyle name="40% - 强调文字颜色 1 2 2 10" xfId="5355"/>
    <cellStyle name="_Part III.200406.Loan and Liabilities details.(Site Name)_in-ter-com_intercompany transaction_Sheet1 2" xfId="5356"/>
    <cellStyle name="好_财务费用 3_附注表一（财务报表）" xfId="5357"/>
    <cellStyle name="差_资产减值损失 4" xfId="5358"/>
    <cellStyle name="好_资产负债类底稿模版 3_附注表一（财务报表）" xfId="5359"/>
    <cellStyle name="_Part III.200406.Loan and Liabilities details.(Site Name)_in-ter-com_Sheet1" xfId="5360"/>
    <cellStyle name="_新型建材_pbc 080630 current liability" xfId="5361"/>
    <cellStyle name="好_51-营业税金及附加（空白模板） 3_明细表" xfId="5362"/>
    <cellStyle name="差_底稿设置宏 2 7" xfId="5363"/>
    <cellStyle name="_四川福润鲜冻分类_Sheet1" xfId="5364"/>
    <cellStyle name="_Part III.200406.Loan and Liabilities details.(Site Name)_KPMG original version_毕马威6月30日审计表（合并）" xfId="5365"/>
    <cellStyle name="好_营业收入 5_附注表一（财务报表）" xfId="5366"/>
    <cellStyle name="好_50-营业成本（空白模板） 6 2 6" xfId="5367"/>
    <cellStyle name="常规 5 9 2 3" xfId="5368"/>
    <cellStyle name="00 7" xfId="5369"/>
    <cellStyle name="好_51-营业税金及附加（空白模板） 3_明细表 2" xfId="5370"/>
    <cellStyle name="_四川福润鲜冻分类_Sheet1 2" xfId="5371"/>
    <cellStyle name="差_盈余公积 3 3" xfId="5372"/>
    <cellStyle name="_Part III.200406.Loan and Liabilities details.(Site Name)_KPMG original version_毕马威6月30日审计表（合并） 2" xfId="5373"/>
    <cellStyle name="好_1长期应收款" xfId="5374"/>
    <cellStyle name="差_51-营业税金及附加（空白模板）_明细表" xfId="5375"/>
    <cellStyle name="60% - 輔色6 3" xfId="5376"/>
    <cellStyle name="差__dxn_temp空白表页 6 2" xfId="5377"/>
    <cellStyle name="常规 3 2 2 2 8 2" xfId="5378"/>
    <cellStyle name="_Part III.200406.Loan and Liabilities details.(Site Name)_KPMG original version_毕马威6月30日审计表（神东合并）" xfId="5379"/>
    <cellStyle name="常规 7 2 2 11" xfId="5380"/>
    <cellStyle name="_Part III.200406.Loan and Liabilities details.(Site Name)_KPMG original version_毕马威6月30日审计表（神东合并） 2" xfId="5381"/>
    <cellStyle name="好_短期借款 14 2 4" xfId="5382"/>
    <cellStyle name="_Part III.200406.Loan and Liabilities details.(Site Name)_Part I - BS  PL with note to account (Site Name) 2" xfId="5383"/>
    <cellStyle name="好_1营业外支出 5" xfId="5384"/>
    <cellStyle name="_Part III.200406.Loan and Liabilities details.(Site Name)_Part I - BS  PL with note to account (Site Name)_pbc 080630 current liability_Sheet1" xfId="5385"/>
    <cellStyle name="_Part III.200406.Loan and Liabilities details.(Site Name)_Part I - BS  PL with note to account (Site Name)_pbc 080630 current liability_Sheet1 2" xfId="5386"/>
    <cellStyle name="00 8 3" xfId="5387"/>
    <cellStyle name="SAPBEXtitle 6" xfId="5388"/>
    <cellStyle name="_Part III.200406.Loan and Liabilities details.(Site Name)_Part I - BS  PL with note to account (Site Name)_Sheet1" xfId="5389"/>
    <cellStyle name="AA QUESTION 3" xfId="5390"/>
    <cellStyle name="00 8 3 2" xfId="5391"/>
    <cellStyle name="_Part III.200406.Loan and Liabilities details.(Site Name)_Part I - BS  PL with note to account (Site Name)_Sheet1 2" xfId="5392"/>
    <cellStyle name="_Part III.200406.Loan and Liabilities details.(Site Name)_Part I - BS &amp; PL with note to account (Shenhua Tianjin Portl)(20050122).v2" xfId="5393"/>
    <cellStyle name="好_短期借款 15 2 4" xfId="5394"/>
    <cellStyle name="_Part III.200406.Loan and Liabilities details.(Site Name)_Part I - BS &amp; PL with note to account (Shenhua Tianjin Portl)(20050122).v2 2" xfId="5395"/>
    <cellStyle name="00 2 3" xfId="5396"/>
    <cellStyle name="_Part III.200406.Loan and Liabilities details.(Site Name)_Part I - BS &amp; PL with note to account (Shenhua Tianjin Portl)(20050122).v2_Sheet1" xfId="5397"/>
    <cellStyle name="_Part III.200406.Loan and Liabilities details.(Site Name)_Part I - BS &amp; PL with note to account (Shenhua Tianjin Portl)(20050122).v2_Sheet1 2" xfId="5398"/>
    <cellStyle name="常规 8 7 3" xfId="5399"/>
    <cellStyle name="Accent2 11" xfId="5400"/>
    <cellStyle name="_Part III.200406.Loan and Liabilities details.(Site Name)_Part III - Journal List, Profit Recon &amp; op data(Site Name)" xfId="5401"/>
    <cellStyle name="Accent2 11 2" xfId="5402"/>
    <cellStyle name="_Part III.200406.Loan and Liabilities details.(Site Name)_Part III - Journal List, Profit Recon &amp; op data(Site Name) 2" xfId="5403"/>
    <cellStyle name="_Part III.200406.Loan and Liabilities details.(Site Name)_Part III - Journal List, Profit Recon &amp; op data(Site Name)_Sheet1" xfId="5404"/>
    <cellStyle name="常规 2 2 2 2 2 3" xfId="5405"/>
    <cellStyle name="_Part III.200406.Loan and Liabilities details.(Site Name)_Part III - Journal List, Profit Recon &amp; op data(Site Name)_Sheet1 2" xfId="5406"/>
    <cellStyle name="好_底稿设置宏 2_附注表一（财务报表）" xfId="5407"/>
    <cellStyle name="40% - 强调文字颜色 6 8" xfId="5408"/>
    <cellStyle name="_Part III.200406.Loan and Liabilities details.(Site Name)_Part III for print- Journal List and Profit Recon (Justin) (date).consol_Sheet1" xfId="5409"/>
    <cellStyle name="差_dxn底稿目录 7 4" xfId="5410"/>
    <cellStyle name="_Part III.200406.Loan and Liabilities details.(Site Name)_Part V - Supp Schedule Liabilities  taxation(Holding) 0714 V8(OK)" xfId="5411"/>
    <cellStyle name="常规 11 2" xfId="5412"/>
    <cellStyle name="_Part III.200406.Loan and Liabilities details.(Site Name)_Part V - Supp Schedule Liabilities  taxation(Holding) 0714 V8(OK) 2" xfId="5413"/>
    <cellStyle name="常规 11 2 2" xfId="5414"/>
    <cellStyle name="_Part III.200406.Loan and Liabilities details.(Site Name)_Part V - Supplementary Schedule Liabilities (Site Name) (date)" xfId="5415"/>
    <cellStyle name="40% - 强调文字颜色 5 2 3 5" xfId="5416"/>
    <cellStyle name="_公司填表2005-吴_3-2-Z17A-固定资产 3" xfId="5417"/>
    <cellStyle name="差_55-资产减值损失（空白模板）_固定资产 2" xfId="5418"/>
    <cellStyle name="_Part III.200406.Loan and Liabilities details.(Site Name)_Part V - Supplementary Schedule Liabilities (Site Name) (date) 2" xfId="5419"/>
    <cellStyle name="_Part III.200406.Loan and Liabilities details.(Site Name)_PartII-Conso Jou supp Sch(SalesCo)(041231).conso_Sheet1" xfId="5420"/>
    <cellStyle name="_Part III.200406.Loan and Liabilities details.(Site Name)_PartII-Conso Jou supp Sch(SalesCo)(041231).conso_Sheet1 2" xfId="5421"/>
    <cellStyle name="常规 3 3 2 2 11 3 4" xfId="5422"/>
    <cellStyle name="_Part III.200406.Loan and Liabilities details.(Site Name)_pbc 080630 current liability" xfId="5423"/>
    <cellStyle name="好_1固定资产 13_附注表一（财务报表）" xfId="5424"/>
    <cellStyle name="超链接 3 15 2 5" xfId="5425"/>
    <cellStyle name="超链接 3 20 2 5" xfId="5426"/>
    <cellStyle name="Currency$[2] 3" xfId="5427"/>
    <cellStyle name="60% - 强调文字颜色 1 2 2 6" xfId="5428"/>
    <cellStyle name="好_资产减值损失 33" xfId="5429"/>
    <cellStyle name="好_资产减值损失 28" xfId="5430"/>
    <cellStyle name="差_复件 固定资产 4_明细表 2" xfId="5431"/>
    <cellStyle name="未定義 3" xfId="5432"/>
    <cellStyle name="_Part III.200406.Loan and Liabilities details.(Site Name)_pbc 080630 current liability_Sheet1" xfId="5433"/>
    <cellStyle name="_技术开发 2" xfId="5434"/>
    <cellStyle name="_Part III.200406.Loan and Liabilities details.(Site Name)_Sheet1" xfId="5435"/>
    <cellStyle name="_Part III.200406.Loan and Liabilities details.(Site Name)_Shenhua PBC package 050530_毕马威6月30日审计表（合并）" xfId="5436"/>
    <cellStyle name="差_短期借款 12 2 4" xfId="5437"/>
    <cellStyle name="_Part III.200406.Loan and Liabilities details.(Site Name)_Shenhua PBC package 050530_毕马威6月30日审计表（神东合并）" xfId="5438"/>
    <cellStyle name="_Part III.200406.Loan and Liabilities details.(Site Name)_TB CTE FJ 02-1" xfId="5439"/>
    <cellStyle name="好_G-应收账款 14_明细表 2" xfId="5440"/>
    <cellStyle name="_Part III.200406.Loan and Liabilities details.(Site Name)_TB CTE FJ 04-2" xfId="5441"/>
    <cellStyle name="_Part III.200406.Loan and Liabilities details.(Site Name)_TB CTE FJ 11" xfId="5442"/>
    <cellStyle name="差_56-公允价值损益变动（空白模板） 2 3" xfId="5443"/>
    <cellStyle name="好_固定资产" xfId="5444"/>
    <cellStyle name="好_ZY递延所得税资产 5 3" xfId="5445"/>
    <cellStyle name="_Part III.200406.Loan and Liabilities details.(Site Name)_TB CTE FJ 16.v1 2" xfId="5446"/>
    <cellStyle name="40% - 輔色4" xfId="5447"/>
    <cellStyle name="_Part III.200406.Loan and Liabilities details.(Site Name)_TB CTE FJ 30" xfId="5448"/>
    <cellStyle name="好_底稿设置宏 11_明细表 4" xfId="5449"/>
    <cellStyle name="_Part III.200406.Loan and Liabilities details.(Site Name)_to do list_05成本到扎表1(1).9-结算部" xfId="5450"/>
    <cellStyle name="Normal - Style1 7 4" xfId="5451"/>
    <cellStyle name="20% - 强调文字颜色 4 3 3" xfId="5452"/>
    <cellStyle name="_新余福润鲜冻分类 2" xfId="5453"/>
    <cellStyle name="_Part III.200406.Loan and Liabilities details.(Site Name)_to do list_200506.sales com.GI.intercompany" xfId="5454"/>
    <cellStyle name="好_1短期借款 2 2 5" xfId="5455"/>
    <cellStyle name="常规 3 3 6 3" xfId="5456"/>
    <cellStyle name="常规 3 3 6 3 2" xfId="5457"/>
    <cellStyle name="_Part III.200406.Loan and Liabilities details.(Site Name)_to do list_200506.sales com.GI.intercompany 2" xfId="5458"/>
    <cellStyle name="常规 3 2 28 2 2 2" xfId="5459"/>
    <cellStyle name="百分比 2 2 5 4" xfId="5460"/>
    <cellStyle name="_Part III.200406.Loan and Liabilities details.(Site Name)_to do list_20051231.sales com.GI1.intercompany" xfId="5461"/>
    <cellStyle name="好_15-固定资产（空白模板） 11_明细表" xfId="5462"/>
    <cellStyle name="_Part III.200406.Loan and Liabilities details.(Site Name)_to do list_intercompany transaction" xfId="5463"/>
    <cellStyle name="_Part III.200406.Loan and Liabilities details.(Site Name)_to do list_intercompany transaction_Sheet1 2" xfId="5464"/>
    <cellStyle name="差_55-资产减值损失（空白模板） 15 2" xfId="5465"/>
    <cellStyle name="百分比 2 3 10" xfId="5466"/>
    <cellStyle name="_Part III.200406.Loan and Liabilities details.(Site Name)_to do list_Sheet1" xfId="5467"/>
    <cellStyle name="百分比 2 3 10 2" xfId="5468"/>
    <cellStyle name="_Part III.200406.Loan and Liabilities details.(Site Name)_to do list_Sheet1 2" xfId="5469"/>
    <cellStyle name="常规 3 6 3 3" xfId="5470"/>
    <cellStyle name="60% - 强调文字颜色 1 2_Spreadsheet" xfId="5471"/>
    <cellStyle name="_Part III.200406.Loan and Liabilities details.(Site Name)_to do list_期末存货 2" xfId="5472"/>
    <cellStyle name="_Part III.200406.Loan and Liabilities details.(Site Name)_to do list_期末存货_05成本到扎表1(1).9-结算部 2" xfId="5473"/>
    <cellStyle name="_Part III.200406.Loan and Liabilities details.(Site Name)_to do list_期末存货_05成本到扎表1(1).9-结算部_Sheet1 2" xfId="5474"/>
    <cellStyle name="好_6-应收利息（空白模板）_明细表 3" xfId="5475"/>
    <cellStyle name="_Part III.200406.Loan and Liabilities details.(Site Name)_to do list_期末存货_200506.sales com.GI.intercompany" xfId="5476"/>
    <cellStyle name="_收入预算表 2" xfId="5477"/>
    <cellStyle name="常规 3 3 8 3" xfId="5478"/>
    <cellStyle name="_Part III.200406.Loan and Liabilities details.(Site Name)_to do list_期末存货_200506.sales com.GI.intercompany 2" xfId="5479"/>
    <cellStyle name="常规 9 4 2 2 2 6" xfId="5480"/>
    <cellStyle name="SAPBEXexcBad9 6" xfId="5481"/>
    <cellStyle name="Accent5 - 40% 4" xfId="5482"/>
    <cellStyle name="_Part III.200406.Loan and Liabilities details.(Site Name)_to do list_期末存货_20051231.sales com.GI1.intercompany" xfId="5483"/>
    <cellStyle name="好_专项应付款 4 5" xfId="5484"/>
    <cellStyle name="常规 175 6" xfId="5485"/>
    <cellStyle name="常规 180 6" xfId="5486"/>
    <cellStyle name="_附件2 资产负债划分汇总表及明细表（商业性）-补充通知 2" xfId="5487"/>
    <cellStyle name="_Part III.200406.Loan and Liabilities details.(Site Name)_to do list_期末存货_intercompany transaction" xfId="5488"/>
    <cellStyle name="常规 2 3 2 2 25" xfId="5489"/>
    <cellStyle name="_Part III.200406.Loan and Liabilities details.(Site Name)_to do list_期末存货_intercompany transaction_Sheet1" xfId="5490"/>
    <cellStyle name="_Part III.200406.Loan and Liabilities details.(Site Name)_Worksheet in D: My Documents China Shenhua Overall - 2005 final Correspondence With Bobo Debriefing notes liabilities debriefing note 2005 12 31 2" xfId="5491"/>
    <cellStyle name="常规 2 5 8 4" xfId="5492"/>
    <cellStyle name="_Part III.200406.Loan and Liabilities details.(Site Name)_Worksheet in D: My Documents China Shenhua Overall - 2005 final Correspondence With Bobo Debriefing notes liabilities debriefing note 2005 12 31_pbc 080630 current liability" xfId="5493"/>
    <cellStyle name="差_底稿设置宏 2 3" xfId="5494"/>
    <cellStyle name="_Part III.200406.Loan and Liabilities details.(Site Name)_Worksheet in D: My Documents China Shenhua Overall - 2005 final Correspondence With Bobo Debriefing notes liabilities debriefing note 2005 12 31_pbc 080630 current liability 2" xfId="5495"/>
    <cellStyle name="_Part III.200406.Loan and Liabilities details.(Site Name)_Worksheet in D: My Documents China Shenhua Overall - 2005 final Correspondence With Bobo Debriefing notes liabilities debriefing note 2005 12 31_Sheet1" xfId="5496"/>
    <cellStyle name="20% - 强调文字颜色 4 2 10" xfId="5497"/>
    <cellStyle name="_Part III.200406.Loan and Liabilities details.(Site Name)_刘佳佳-国华收入成本05-6" xfId="5498"/>
    <cellStyle name="常规 2 4 2 5" xfId="5499"/>
    <cellStyle name="差_19-无形资产（空白模板） 10_明细表" xfId="5500"/>
    <cellStyle name="_Part III.200406.Loan and Liabilities details.(Site Name)_刘佳佳-国华收入成本05-6_Sheet1" xfId="5501"/>
    <cellStyle name="_Part III.200406.Loan and Liabilities details.(Site Name)_期末存货_05成本到扎表1(1).9-结算部" xfId="5502"/>
    <cellStyle name="常规 182 2 2 2 3" xfId="5503"/>
    <cellStyle name="_Part III.200406.Loan and Liabilities details.(Site Name)_期末存货_05成本到扎表1(1).9-结算部_Sheet1" xfId="5504"/>
    <cellStyle name="PrePop Currency (2) 2" xfId="5505"/>
    <cellStyle name="_Part III.200406.Loan and Liabilities details.(Site Name)_期末存货_200506.sales com.GI.intercompany" xfId="5506"/>
    <cellStyle name="好_专项应付款 11_明细表 4" xfId="5507"/>
    <cellStyle name="好_复件 固定资产 3 2 4" xfId="5508"/>
    <cellStyle name="好_1财务费用 6 4" xfId="5509"/>
    <cellStyle name="千位分隔 2 2 11 3" xfId="5510"/>
    <cellStyle name="好__dxn_temp空白表页_明细表 2 4" xfId="5511"/>
    <cellStyle name="Euro 7 3 2" xfId="5512"/>
    <cellStyle name="超链接 2 12 2" xfId="5513"/>
    <cellStyle name="_Part III.200406.Loan and Liabilities details.(Site Name)_期末存货_200506.sales com.GI.intercompany_Sheet1" xfId="5514"/>
    <cellStyle name="40% - 强调文字颜色 4 2 2 11" xfId="5515"/>
    <cellStyle name="超链接 2 12 2 2" xfId="5516"/>
    <cellStyle name="_Part III.200406.Loan and Liabilities details.(Site Name)_期末存货_200506.sales com.GI.intercompany_Sheet1 2" xfId="5517"/>
    <cellStyle name="60% - 强调文字颜色 3 9" xfId="5518"/>
    <cellStyle name="好_资产负债类底稿模版_大信底稿目录 5 2 4" xfId="5519"/>
    <cellStyle name="_表样1-118(10-22)" xfId="5520"/>
    <cellStyle name="差_固定资产 9_附注表一（财务报表）" xfId="5521"/>
    <cellStyle name="差_大信底稿目录 5 2 6" xfId="5522"/>
    <cellStyle name="_Part III.200406.Loan and Liabilities details.(Site Name)_期末存货_20051231.sales com.GI1.intercompany_Sheet1" xfId="5523"/>
    <cellStyle name="常规 4 10 2 4" xfId="5524"/>
    <cellStyle name="60% - 强调文字颜色 3 9 2" xfId="5525"/>
    <cellStyle name="_表样1-118(10-22) 2" xfId="5526"/>
    <cellStyle name="_Part III.200406.Loan and Liabilities details.(Site Name)_期末存货_20051231.sales com.GI1.intercompany_Sheet1 2" xfId="5527"/>
    <cellStyle name="_Part III.200406.Loan and Liabilities details.(Site Name)_期末存货_intercompany transaction" xfId="5528"/>
    <cellStyle name="_Part III.200406.Loan and Liabilities details.(Site Name)_期末存货_intercompany transaction_Sheet1" xfId="5529"/>
    <cellStyle name="40% - 强调文字颜色 3 2 5" xfId="5530"/>
    <cellStyle name="_Part III.200406.Loan and Liabilities details.(Site Name)_期末存货_Sheet1" xfId="5531"/>
    <cellStyle name="_Part III.200406.Loan and Liabilities details.(Site Name)_损益表(加密)" xfId="5532"/>
    <cellStyle name="_期末存货_200506.sales com.GI.intercompany 2" xfId="5533"/>
    <cellStyle name="_Part III.200406.Loan and Liabilities details.(Site Name)_损益表(加密)_审计调查表.20051231" xfId="5534"/>
    <cellStyle name="差_1短期借款 28" xfId="5535"/>
    <cellStyle name="差_1短期借款 33" xfId="5536"/>
    <cellStyle name="_Part III.200406.Loan and Liabilities details.(Site Name)_损益表(加密)_审计调查表.20061231(正）" xfId="5537"/>
    <cellStyle name="差_预收款项_明细表_1" xfId="5538"/>
    <cellStyle name="常规 2 5 7 2 5" xfId="5539"/>
    <cellStyle name="_Part III.200406.Loan and Liabilities details.(Site Name)_损益表(加密)_无形资产表1.13.1" xfId="5540"/>
    <cellStyle name="好_4-应收账款（空白模板） 12 2 4" xfId="5541"/>
    <cellStyle name="好_资产负债类底稿模版 15 6" xfId="5542"/>
    <cellStyle name="好_19-无形资产（空白模板） 14 2 5" xfId="5543"/>
    <cellStyle name="00 3 2 3" xfId="5544"/>
    <cellStyle name="好_1营业收入 15 3" xfId="5545"/>
    <cellStyle name="_Part III.200406.Loan and Liabilities details.(Site Name)_重庆华鼎－损益表－2005" xfId="5546"/>
    <cellStyle name="_Part IV - Supp Sch FA &amp; Other Assets (Holding).0714.V7(OK) 2" xfId="5547"/>
    <cellStyle name="_Part IV - Supp Sch FA &amp; Other Assets (Holding).0714.V7(OK)_Sheet1 2" xfId="5548"/>
    <cellStyle name="_Part V - Supp Schedule Liabilities  taxation(Holding) 0714 V8(OK)" xfId="5549"/>
    <cellStyle name="常规 2 3 2 2 2 4 2 3" xfId="5550"/>
    <cellStyle name="_Part V - Supplementary Schedule Liabilities (Site Name) (date)" xfId="5551"/>
    <cellStyle name="_x0007__筹资循环 4" xfId="5552"/>
    <cellStyle name="千位分隔 5 7" xfId="5553"/>
    <cellStyle name="_Part V - Supplementary Schedule Liabilities (Site Name) (date) 2" xfId="5554"/>
    <cellStyle name="好__dxn_temp空白表页 11 2 2" xfId="5555"/>
    <cellStyle name="20% - 强调文字颜色 6 9" xfId="5556"/>
    <cellStyle name="Percent 5 2" xfId="5557"/>
    <cellStyle name="好_4-应收账款（空白模板） 5 2 2" xfId="5558"/>
    <cellStyle name="_Part VI - Supp Schedule P&amp;L Item (Site Name)_pbc 080630 current liability 2" xfId="5559"/>
    <cellStyle name="差_29-应付票据（空白模板）" xfId="5560"/>
    <cellStyle name="_Part VI - Supp Schedule P&amp;L Item (Site Name)_pbc 080630 current liability_Sheet1" xfId="5561"/>
    <cellStyle name="_Part VIII - 20071231.Project Stone.Reporting package.off-balance.(sub name)" xfId="5562"/>
    <cellStyle name="差_G-应收账款 3" xfId="5563"/>
    <cellStyle name="20% - 强调文字颜色 3 2 2 11" xfId="5564"/>
    <cellStyle name="0% 6 3" xfId="5565"/>
    <cellStyle name="_Part VIII - 20071231.Project Stone.Reporting package.off-balance.(sub name) 2" xfId="5566"/>
    <cellStyle name="_Part VIII - 20071231.Project Stone.Reporting package.off-balance.(sub name)_Sheet1 2" xfId="5567"/>
    <cellStyle name="40% - Accent1 2" xfId="5568"/>
    <cellStyle name="_to do list_期末存货_20051231.sales com.GI1.intercompany 2" xfId="5569"/>
    <cellStyle name="差_G-应收账款_明细表_1" xfId="5570"/>
    <cellStyle name="Percent[2] 2 5" xfId="5571"/>
    <cellStyle name="_双凤 jnl list_pbc 080630 current liability" xfId="5572"/>
    <cellStyle name="好_营业收入 26" xfId="5573"/>
    <cellStyle name="好_营业收入 31" xfId="5574"/>
    <cellStyle name="常规 182 2 5" xfId="5575"/>
    <cellStyle name="差_附注表(一) 2 2" xfId="5576"/>
    <cellStyle name="_PartII-Conso Jou supp Sch(SalesCo)(041231).conso" xfId="5577"/>
    <cellStyle name="好_无形资产 2 2 6" xfId="5578"/>
    <cellStyle name="差_53-管理费用（空白模板） 2 3" xfId="5579"/>
    <cellStyle name="Comma  - Style1 3" xfId="5580"/>
    <cellStyle name="_PartII-Conso Jou supp Sch(SalesCo)(041231).conso_Sheet1" xfId="5581"/>
    <cellStyle name="_PBC-assets1" xfId="5582"/>
    <cellStyle name="_Pre-operating 2" xfId="5583"/>
    <cellStyle name="_Prepayment and accrual" xfId="5584"/>
    <cellStyle name="差_51-营业税金及附加（空白模板） 9_明细表" xfId="5585"/>
    <cellStyle name="标题 5 8" xfId="5586"/>
    <cellStyle name="_Prepayment and accrual 2" xfId="5587"/>
    <cellStyle name="_公司填表2005-修改_3-2-Z17A-固定资产" xfId="5588"/>
    <cellStyle name="好_1营业收入 4 2 5" xfId="5589"/>
    <cellStyle name="SAPBEXHLevel1X 2" xfId="5590"/>
    <cellStyle name="_Profit and loss breakdown 2" xfId="5591"/>
    <cellStyle name="40% - 强调文字颜色 1 2 3 2" xfId="5592"/>
    <cellStyle name="Accent4 - 20% 5" xfId="5593"/>
    <cellStyle name="_Profit and loss breakdown_Sheet1 2" xfId="5594"/>
    <cellStyle name="差_51-营业税金及附加（空白模板） 16 2" xfId="5595"/>
    <cellStyle name="_Q taxation - 04-07" xfId="5596"/>
    <cellStyle name="_Q taxation - 04-07 2" xfId="5597"/>
    <cellStyle name="好_51-营业税金及附加（空白模板） 16 5" xfId="5598"/>
    <cellStyle name="好_4-应收账款（空白模板） 9 2 5" xfId="5599"/>
    <cellStyle name="百分比 2 2 2 5" xfId="5600"/>
    <cellStyle name="40% - 强调文字颜色 3 2 2 9" xfId="5601"/>
    <cellStyle name="_Q1.stub period.080630" xfId="5602"/>
    <cellStyle name="好_33-应交税费（空白模板） 5" xfId="5603"/>
    <cellStyle name="差_31-预收账款（空白模板） 13_明细表" xfId="5604"/>
    <cellStyle name="_Q1.stub period.080630 2" xfId="5605"/>
    <cellStyle name="60% - 强调文字颜色 1 2 12" xfId="5606"/>
    <cellStyle name="好_固定资产循环7-1 3 3" xfId="5607"/>
    <cellStyle name="差_复件 固定资产 2 2" xfId="5608"/>
    <cellStyle name="0% 2 8" xfId="5609"/>
    <cellStyle name="_Q1.track period.05~07" xfId="5610"/>
    <cellStyle name="好_应收账款期末审定表" xfId="5611"/>
    <cellStyle name="20% - 强调文字颜色 5 3 3" xfId="5612"/>
    <cellStyle name="好_31-预收账款（空白模板） 7 2" xfId="5613"/>
    <cellStyle name="_Q2-1 EIT recon_Sheet1 2" xfId="5614"/>
    <cellStyle name="好_资产负债标准底稿_大信底稿目录 13 3" xfId="5615"/>
    <cellStyle name="0% 2 9 2" xfId="5616"/>
    <cellStyle name="好__dxn_temp空白表页 3_明细表 2" xfId="5617"/>
    <cellStyle name="差_明细表_应收账款期末审定表 3" xfId="5618"/>
    <cellStyle name="_RP equity movement 2004-06" xfId="5619"/>
    <cellStyle name="_RPT for account disclosure (05A share balance company level )" xfId="5620"/>
    <cellStyle name="_to do list_05成本到扎表1(1).9-结算部" xfId="5621"/>
    <cellStyle name="_RPT for account disclosure (05A share balance company level ) (2)_pbc 080630 current liability_Sheet1" xfId="5622"/>
    <cellStyle name="_to do list_05成本到扎表1(1).9-结算部 2" xfId="5623"/>
    <cellStyle name="常规 25 4 3" xfId="5624"/>
    <cellStyle name="_RPT for account disclosure (05A share balance company level ) (2)_pbc 080630 current liability_Sheet1 2" xfId="5625"/>
    <cellStyle name="_RPT for account disclosure (05A share balance company level )_pbc 080630 current liability_Sheet1" xfId="5626"/>
    <cellStyle name="常规 4 3 7" xfId="5627"/>
    <cellStyle name="40% - 强调文字颜色 6 2 2 5" xfId="5628"/>
    <cellStyle name="千位分隔 4 2 3 3" xfId="5629"/>
    <cellStyle name="{Date}" xfId="5630"/>
    <cellStyle name="好_19-无形资产（空白模板） 5 2 3" xfId="5631"/>
    <cellStyle name="常规 5 9" xfId="5632"/>
    <cellStyle name="_RPT for account disclosure (05A share balance company level )_Sheet1" xfId="5633"/>
    <cellStyle name="常规 6 11 4 2" xfId="5634"/>
    <cellStyle name="差_底稿设置宏 28" xfId="5635"/>
    <cellStyle name="差_底稿设置宏 33" xfId="5636"/>
    <cellStyle name="_RPT wp consol v2" xfId="5637"/>
    <cellStyle name="_RPT wp consol v2 2" xfId="5638"/>
    <cellStyle name="_RPT wp consol v2_Sheet1" xfId="5639"/>
    <cellStyle name="_RPT Wp--consol" xfId="5640"/>
    <cellStyle name="_S08.2003 2" xfId="5641"/>
    <cellStyle name="0,0_x000d__x000a_NA_x000d__x000a_ 2 4" xfId="5642"/>
    <cellStyle name="_Salary re-test" xfId="5643"/>
    <cellStyle name="好_50-营业成本（空白模板） 6 2 4" xfId="5644"/>
    <cellStyle name="千位分隔 3 3 9" xfId="5645"/>
    <cellStyle name="00 5" xfId="5646"/>
    <cellStyle name="差_资产负债类底稿模版 12_明细表 2" xfId="5647"/>
    <cellStyle name="_淄博 jnl list" xfId="5648"/>
    <cellStyle name="超链接 11 2 5" xfId="5649"/>
    <cellStyle name="_Salary re-test 2" xfId="5650"/>
    <cellStyle name="好_51-营业税金及附加（空白模板） 12" xfId="5651"/>
    <cellStyle name="千位分隔 4 6 3 3" xfId="5652"/>
    <cellStyle name="好_19-无形资产（空白模板） 9 2 3" xfId="5653"/>
    <cellStyle name="_Sales-final" xfId="5654"/>
    <cellStyle name="好_其他应付款 3" xfId="5655"/>
    <cellStyle name="40% - 强调文字颜色 1 2 3 8" xfId="5656"/>
    <cellStyle name="_Sheet1" xfId="5657"/>
    <cellStyle name="_Sheet1 2" xfId="5658"/>
    <cellStyle name="_Sheet1 2 2" xfId="5659"/>
    <cellStyle name="20% - 强调文字颜色 4 2 2 6" xfId="5660"/>
    <cellStyle name="Audit" xfId="5661"/>
    <cellStyle name="_SNPC.GK" xfId="5662"/>
    <cellStyle name="_Sheet1_081031.B06.日照分公司.H1.固定资产" xfId="5663"/>
    <cellStyle name="好_复件 固定资产 7 3" xfId="5664"/>
    <cellStyle name="_Unbilled AR and Billing in excess (new) 2" xfId="5665"/>
    <cellStyle name="_Sheet1_081031.B06.日照分公司.H1.固定资产_Sheet1" xfId="5666"/>
    <cellStyle name="常规 2 2 2 6 4" xfId="5667"/>
    <cellStyle name="常规 2 11" xfId="5668"/>
    <cellStyle name="Normal - Style1 2 2 8" xfId="5669"/>
    <cellStyle name="_Sheet1_1 2" xfId="5670"/>
    <cellStyle name="差_ZA0货币资金审定表  4 2 2" xfId="5671"/>
    <cellStyle name="00" xfId="5672"/>
    <cellStyle name="_Sheet1_1 3" xfId="5673"/>
    <cellStyle name="_Sheet1_1 4" xfId="5674"/>
    <cellStyle name="好_55-资产减值损失（空白模板）" xfId="5675"/>
    <cellStyle name="_Sheet1_1 6" xfId="5676"/>
    <cellStyle name="好_27-短期借款(空白模板) 2 4" xfId="5677"/>
    <cellStyle name="_Sheet1_H1-3 Addition list " xfId="5678"/>
    <cellStyle name="好_1财务费用 8 2 4" xfId="5679"/>
    <cellStyle name="20% - 强调文字颜色 1 10" xfId="5680"/>
    <cellStyle name="Percent 2 4" xfId="5681"/>
    <cellStyle name="_Sheet1_固定资产增加2" xfId="5682"/>
    <cellStyle name="Percent 2 4 2" xfId="5683"/>
    <cellStyle name="_Sheet1_固定资产增加2 2" xfId="5684"/>
    <cellStyle name="差_资产负债类底稿模版 4 2 5" xfId="5685"/>
    <cellStyle name="_Sheet1_固定资产增加2_Sheet1" xfId="5686"/>
    <cellStyle name="常规 3 2 6 2 2 3" xfId="5687"/>
    <cellStyle name="_Sheet1_固定资产增加2_Sheet1 2" xfId="5688"/>
    <cellStyle name="Comma  - Style3 2 2" xfId="5689"/>
    <cellStyle name="_Sheet2" xfId="5690"/>
    <cellStyle name="好_应交税费 - 复制 4" xfId="5691"/>
    <cellStyle name="差_FA 短期借款 2" xfId="5692"/>
    <cellStyle name="_Sheet2_Shinho1烟台欣和味达美食品有限公司2007年审计报表新新 2" xfId="5693"/>
    <cellStyle name="好_1预收款项 4 2 2" xfId="5694"/>
    <cellStyle name="常规 2 3 2 9 2 4" xfId="5695"/>
    <cellStyle name="_Wing Shan Q section _091231.FLX.L.Receivables 2" xfId="5696"/>
    <cellStyle name="差_实收资本(股本) 3" xfId="5697"/>
    <cellStyle name="_Sheet2_Shinho1烟台欣和味达美食品有限公司2007年审计报表新新_Sheet1" xfId="5698"/>
    <cellStyle name="_Sheet2_毕马威审计2006年主表（味达美工厂 2" xfId="5699"/>
    <cellStyle name="40% - 强调文字颜色 4 10" xfId="5700"/>
    <cellStyle name="40% - 强调文字颜色 2 2 9" xfId="5701"/>
    <cellStyle name="20% - 强调文字颜色 1 2 4" xfId="5702"/>
    <cellStyle name="常规 11 6_附注表一（财务报表）" xfId="5703"/>
    <cellStyle name="Comma[2] 2 3" xfId="5704"/>
    <cellStyle name="Normal - Style1 4 2 2" xfId="5705"/>
    <cellStyle name="_to do list_200506.sales com.GI.intercompany_Sheet1" xfId="5706"/>
    <cellStyle name="_Sheet2_毕马威审计2006年主表（味达美工厂_Sheet1 2" xfId="5707"/>
    <cellStyle name="_Sheet2_毕马威审计2007年主表（味达美工厂）" xfId="5708"/>
    <cellStyle name="SAPBEXexcGood3 5" xfId="5709"/>
    <cellStyle name="好_27-短期借款(空白模板) 2 3 2" xfId="5710"/>
    <cellStyle name="0% 11 3" xfId="5711"/>
    <cellStyle name="_Sheet2_毕马威审计2007年主表（味达美工厂） 2" xfId="5712"/>
    <cellStyle name="SAPBEXexcGood3 5 2" xfId="5713"/>
    <cellStyle name="_Sheet2_毕马威审计2007年主表（味达美工厂）_Sheet1" xfId="5714"/>
    <cellStyle name="好_49-营业收入（空白模板） 7 2 4" xfId="5715"/>
    <cellStyle name="_Sheet2_毕马威审计2007年主表（味达美工厂）_Sheet1 2" xfId="5716"/>
    <cellStyle name="好_价值评估 5" xfId="5717"/>
    <cellStyle name="常规 2 3 2 2 12" xfId="5718"/>
    <cellStyle name="_Sheet3_Sheet1" xfId="5719"/>
    <cellStyle name="_to do list_期末存货_20051231.sales com.GI1.intercompany_Sheet1" xfId="5720"/>
    <cellStyle name="好_黄金项目组审计人员通讯录_明细表 5" xfId="5721"/>
    <cellStyle name="好_模板 4 2" xfId="5722"/>
    <cellStyle name="好_10针对持续经营的调查问卷 2 3" xfId="5723"/>
    <cellStyle name="常规 2 3 2 2 12 2" xfId="5724"/>
    <cellStyle name="_Sheet3_Sheet1 2" xfId="5725"/>
    <cellStyle name="_Shenhua PBC package for 30 Jun 2" xfId="5726"/>
    <cellStyle name="_to do list" xfId="5727"/>
    <cellStyle name="_Shenhua PBC package 050530" xfId="5728"/>
    <cellStyle name="好_15-固定资产（空白模板） 11 2 5" xfId="5729"/>
    <cellStyle name="_Shenhua PBC package 050530 2" xfId="5730"/>
    <cellStyle name="e_CTE FJ 2005" xfId="5731"/>
    <cellStyle name="_天量底稿" xfId="5732"/>
    <cellStyle name="_to do list 2" xfId="5733"/>
    <cellStyle name="超链接 2 16 2 4" xfId="5734"/>
    <cellStyle name="_Shenhua PBC package 050530_毕马威6月30日审计表（神东合并）" xfId="5735"/>
    <cellStyle name="好_1预收款项_明细表 6" xfId="5736"/>
    <cellStyle name="_Shenhua PBC package for 30 Jun" xfId="5737"/>
    <cellStyle name="好_1实收资本(股本)" xfId="5738"/>
    <cellStyle name="_Shinho1烟台欣和味达美食品有限公司2007年审计报表新新" xfId="5739"/>
    <cellStyle name="0% 33" xfId="5740"/>
    <cellStyle name="0% 28" xfId="5741"/>
    <cellStyle name="40% - 强调文字颜色 4 3 3" xfId="5742"/>
    <cellStyle name="好_1实收资本(股本) 2" xfId="5743"/>
    <cellStyle name="_Shinho1烟台欣和味达美食品有限公司2007年审计报表新新 2" xfId="5744"/>
    <cellStyle name="好_G-应收账款 2_明细表 5" xfId="5745"/>
    <cellStyle name="_YZ.GJ1.AP.2003-2005(14022006)" xfId="5746"/>
    <cellStyle name="_Shinho-2007.v2" xfId="5747"/>
    <cellStyle name="_Shinho烟台欣和味达美食品有限公司2006年审计报告新新" xfId="5748"/>
    <cellStyle name="好_无形资产 5 2 5" xfId="5749"/>
    <cellStyle name="20% - 强调文字颜色 5 2 9" xfId="5750"/>
    <cellStyle name="_Shinho烟台欣和味达美食品有限公司2006年审计报告新新 2" xfId="5751"/>
    <cellStyle name="_Sinopec B12 PRC Package Jun 06" xfId="5752"/>
    <cellStyle name="常规 3 2 13 3 2" xfId="5753"/>
    <cellStyle name="_Sinopec B30 PRC Package Dec 05 after client LJ" xfId="5754"/>
    <cellStyle name="好_ZL长期应收款 3" xfId="5755"/>
    <cellStyle name="_Sinopec.(entitySinopec Maoming B13.Sales breakdown by segment Dec 08" xfId="5756"/>
    <cellStyle name="Audit 2" xfId="5757"/>
    <cellStyle name="差_51-营业税金及附加（空白模板） 27" xfId="5758"/>
    <cellStyle name="差_51-营业税金及附加（空白模板） 32" xfId="5759"/>
    <cellStyle name="_SNPC.GK 2" xfId="5760"/>
    <cellStyle name="_SNPC.GK 2 2" xfId="5761"/>
    <cellStyle name="常规 2 3 15_附注表一（财务报表）" xfId="5762"/>
    <cellStyle name="常规 2 3 20_附注表一（财务报表）" xfId="5763"/>
    <cellStyle name="好_无形资产 13_明细表 3" xfId="5764"/>
    <cellStyle name="差_51-营业税金及附加（空白模板） 28" xfId="5765"/>
    <cellStyle name="差_51-营业税金及附加（空白模板） 33" xfId="5766"/>
    <cellStyle name="差_1短期借款 5 2" xfId="5767"/>
    <cellStyle name="_SNPC.GK 3" xfId="5768"/>
    <cellStyle name="好_6-应收利息（空白模板） 6 3" xfId="5769"/>
    <cellStyle name="差_FJ 其他应付款 5 2" xfId="5770"/>
    <cellStyle name="_SNPC.GK_0912 O7 other payable  2" xfId="5771"/>
    <cellStyle name="标题 2 2 2 7" xfId="5772"/>
    <cellStyle name="_公司填表-2005杨 2" xfId="5773"/>
    <cellStyle name="好_财务费用 17 4" xfId="5774"/>
    <cellStyle name="_ST Loan" xfId="5775"/>
    <cellStyle name="Comma 6 2" xfId="5776"/>
    <cellStyle name="_Staff_advanceconfirmation" xfId="5777"/>
    <cellStyle name="差_30-应付账款（空白模板） 13 3" xfId="5778"/>
    <cellStyle name="_SUAD Mar-CIP-Pre_pbc 080630 current liability" xfId="5779"/>
    <cellStyle name="_SUAD Mar-CIP-Pre_pbc 080630 current liability_Sheet1" xfId="5780"/>
    <cellStyle name="_SUAD Mar-CIP-Pre_pbc 080630 current liability_Sheet1 2" xfId="5781"/>
    <cellStyle name="好_1预收款项 16 4" xfId="5782"/>
    <cellStyle name="_Table 2" xfId="5783"/>
    <cellStyle name="_Tax recon template 050630 (company code) " xfId="5784"/>
    <cellStyle name="_TB CTE FJ 02-1" xfId="5785"/>
    <cellStyle name="好_资产负债标准底稿_大信底稿目录 15 6" xfId="5786"/>
    <cellStyle name="_TB CTE FJ 02-1 2" xfId="5787"/>
    <cellStyle name="40% - 强调文字颜色 1 2 9" xfId="5788"/>
    <cellStyle name="常规 37 5" xfId="5789"/>
    <cellStyle name="_TB CTE FJ 11" xfId="5790"/>
    <cellStyle name="Normal - Style1 3 2 2" xfId="5791"/>
    <cellStyle name="_TB CTE FJ 16.v1 2" xfId="5792"/>
    <cellStyle name="常规 2 2 3 6 2" xfId="5793"/>
    <cellStyle name="_TB CTE FJ 20" xfId="5794"/>
    <cellStyle name="常规 7 14" xfId="5795"/>
    <cellStyle name="差_1应收账款 5 3" xfId="5796"/>
    <cellStyle name="_TB CTE FJ 30" xfId="5797"/>
    <cellStyle name="常规 4 2 5 3" xfId="5798"/>
    <cellStyle name="好_50-营业成本（空白模板） 15_明细表 4" xfId="5799"/>
    <cellStyle name="好_1预收款项 14 2 5" xfId="5800"/>
    <cellStyle name="_TB CTE FJ 30 2" xfId="5801"/>
    <cellStyle name="40% - 强调文字颜色 1 6" xfId="5802"/>
    <cellStyle name="常规 9 5" xfId="5803"/>
    <cellStyle name="20% - 輔色2 6" xfId="5804"/>
    <cellStyle name="好_短期借款 3 2 6" xfId="5805"/>
    <cellStyle name="00 2 2 8" xfId="5806"/>
    <cellStyle name="好_银行函证结果汇总表 4_明细表" xfId="5807"/>
    <cellStyle name="_TB-2004" xfId="5808"/>
    <cellStyle name="0% 2 14" xfId="5809"/>
    <cellStyle name="好_银行函证结果汇总表 4_明细表 2" xfId="5810"/>
    <cellStyle name="_TB-2004 2" xfId="5811"/>
    <cellStyle name="0% 2 14 2" xfId="5812"/>
    <cellStyle name="00 2 2 9" xfId="5813"/>
    <cellStyle name="_TB-2005" xfId="5814"/>
    <cellStyle name="0% 2 15" xfId="5815"/>
    <cellStyle name="_to do list_05成本到扎表1(1).9-结算部_Sheet1" xfId="5816"/>
    <cellStyle name="_to do list_05成本到扎表1(1).9-结算部_Sheet1 2" xfId="5817"/>
    <cellStyle name="常规 2 2 2 5 2 11" xfId="5818"/>
    <cellStyle name="差_Sheet1 4" xfId="5819"/>
    <cellStyle name="_to do list_200506.sales com.GI.intercompany" xfId="5820"/>
    <cellStyle name="好_40-专项应付款(空白模板) 2_明细表 5" xfId="5821"/>
    <cellStyle name="差_Sheet1 4 2" xfId="5822"/>
    <cellStyle name="_to do list_200506.sales com.GI.intercompany 2" xfId="5823"/>
    <cellStyle name="好_50-营业成本（空白模板）_应收账款" xfId="5824"/>
    <cellStyle name="_to do list_200506.sales com.GI.intercompany_Sheet1 2" xfId="5825"/>
    <cellStyle name="_to do list_20051231.sales com.GI1.intercompany_Sheet1" xfId="5826"/>
    <cellStyle name="常规 3 5 3 2 2" xfId="5827"/>
    <cellStyle name="_to do list_intercompany transaction" xfId="5828"/>
    <cellStyle name="_to do list_intercompany transaction_Sheet1" xfId="5829"/>
    <cellStyle name="好_27-短期借款(空白模板)_明细表 4" xfId="5830"/>
    <cellStyle name="_to do list_Sheet1" xfId="5831"/>
    <cellStyle name="常规 3 2 12 5" xfId="5832"/>
    <cellStyle name="60% - 强调文字颜色 3 2 2 5" xfId="5833"/>
    <cellStyle name="_to do list_期末存货" xfId="5834"/>
    <cellStyle name="标题 3 2 3" xfId="5835"/>
    <cellStyle name="_to do list_期末存货 2" xfId="5836"/>
    <cellStyle name="_to do list_期末存货_200506.sales com.GI.intercompany_Sheet1 2" xfId="5837"/>
    <cellStyle name="常规 9 4 3 6" xfId="5838"/>
    <cellStyle name="常规 2 3 2 2 5" xfId="5839"/>
    <cellStyle name="超連結" xfId="5840"/>
    <cellStyle name="_to do list_期末存货_20051231.sales com.GI1.intercompany_Sheet1 2" xfId="5841"/>
    <cellStyle name="差_贷款卡查询结果调节表" xfId="5842"/>
    <cellStyle name="_to do list_期末存货_Sheet1" xfId="5843"/>
    <cellStyle name="40% - 强调文字颜色 1 4 2" xfId="5844"/>
    <cellStyle name="常规 9 3 2" xfId="5845"/>
    <cellStyle name="_Top-LG" xfId="5846"/>
    <cellStyle name="e鯪9Y_x000b_ 4 2" xfId="5847"/>
    <cellStyle name="常规 2 4 2 12" xfId="5848"/>
    <cellStyle name="_Unbilled AR and Billing in excess" xfId="5849"/>
    <cellStyle name="好_40-专项应付款(空白模板) 2_明细表 2" xfId="5850"/>
    <cellStyle name="_Unbilled AR and Billing in excess (new)" xfId="5851"/>
    <cellStyle name="常规 3 3 13 4" xfId="5852"/>
    <cellStyle name="_Unbilled AR and Billing in excess (new)_Q2-1 EIT recon_Sheet1 2" xfId="5853"/>
    <cellStyle name="_中企华与毕马威评估增减值调整分析-国际贸易_B12.Shenshuo.剥离核对表2000-2003_上市调账(2004年11月11日)" xfId="5854"/>
    <cellStyle name="_Unbilled AR and Billing in excess (new)_Sheet1 2" xfId="5855"/>
    <cellStyle name="好_1资产减值损失 2 3" xfId="5856"/>
    <cellStyle name="好_资产负债标准底稿_大信底稿目录 4 3 2" xfId="5857"/>
    <cellStyle name="差_专项应付款 6 3" xfId="5858"/>
    <cellStyle name="{Z'0000(4 dec)} 2" xfId="5859"/>
    <cellStyle name="_Unbilled AR and Billing in excess_Q2-1 EIT recon" xfId="5860"/>
    <cellStyle name="好_1短期借款 5_明细表" xfId="5861"/>
    <cellStyle name="_Unbilled AR and Billing in excess_Q2-1 EIT recon 2" xfId="5862"/>
    <cellStyle name="常规 35 5" xfId="5863"/>
    <cellStyle name="_Unbilled AR and Billing in excess_Q2-1 EIT recon_Sheet1" xfId="5864"/>
    <cellStyle name="_Unbilled AR and Billing in excess_Sheet1" xfId="5865"/>
    <cellStyle name="差_ZA0货币资金审定表 _固定资产 2" xfId="5866"/>
    <cellStyle name="e鯪9Y_x000b_ 3" xfId="5867"/>
    <cellStyle name="差_19-无形资产（空白模板） 7 2 2" xfId="5868"/>
    <cellStyle name="_vat 2" xfId="5869"/>
    <cellStyle name="KPMG Heading 1 2" xfId="5870"/>
    <cellStyle name="_Wasion.Journal Adjustment.April 05.6 June 05" xfId="5871"/>
    <cellStyle name="_Wasion.Journal Adjustment.April 05.6 June 05 2" xfId="5872"/>
    <cellStyle name="常规 2 2 2 2 2 2 2 10" xfId="5873"/>
    <cellStyle name="0% 6 2 2" xfId="5874"/>
    <cellStyle name="_Weisheng_GG2.Other Receivables.June.04" xfId="5875"/>
    <cellStyle name="好_1短期借款 13_明细表 4" xfId="5876"/>
    <cellStyle name="_Weisheng_GG2.v1" xfId="5877"/>
    <cellStyle name="00 2 10" xfId="5878"/>
    <cellStyle name="_Wing Shan O Payables interim 09" xfId="5879"/>
    <cellStyle name="超链接 3 2 5" xfId="5880"/>
    <cellStyle name="40% - Accent6" xfId="5881"/>
    <cellStyle name="常规 4 4 3 3" xfId="5882"/>
    <cellStyle name="_Wing Shan Q section  2" xfId="5883"/>
    <cellStyle name="_Wing Shan Q section _0912 O7 other payable " xfId="5884"/>
    <cellStyle name="_Wing Shan Q section _0912 O7 other payable  2" xfId="5885"/>
    <cellStyle name="好_1预收款项 4 2" xfId="5886"/>
    <cellStyle name="_Wing Shan Q section _091231.FLX.L.Receivables" xfId="5887"/>
    <cellStyle name="_wingshan new control log" xfId="5888"/>
    <cellStyle name="常规 5 15" xfId="5889"/>
    <cellStyle name="常规 5 20" xfId="5890"/>
    <cellStyle name="差_资产负债标准底稿 14" xfId="5891"/>
    <cellStyle name="差_38-应付债券（空白模板） 2" xfId="5892"/>
    <cellStyle name="_公司填表2005-吴 3" xfId="5893"/>
    <cellStyle name="_wingshan new control log 2" xfId="5894"/>
    <cellStyle name="常规 5 15 2" xfId="5895"/>
    <cellStyle name="常规 5 20 2" xfId="5896"/>
    <cellStyle name="差_资产负债标准底稿 14 2" xfId="5897"/>
    <cellStyle name="_公司填表2005-修改_3-2-Z17A-固定资产 2" xfId="5898"/>
    <cellStyle name="常规 6 3 7" xfId="5899"/>
    <cellStyle name="_Worksheet in (Read-Only) Step - Staff cost" xfId="5900"/>
    <cellStyle name="_Worksheet in D: My Documents China Shenhua Overall - 2005 final Correspondence With Bobo Debriefing notes liabilities debriefing note 2005 12 31 2" xfId="5901"/>
    <cellStyle name="_Worksheet in D: My Documents China Shenhua Overall - 2005 final Correspondence With Bobo Debriefing notes liabilities debriefing note 2005 12 31_1 2" xfId="5902"/>
    <cellStyle name="_Worksheet in D: My Documents China Shenhua Overall - 2005 final Correspondence With Bobo Debriefing notes liabilities debriefing note 2005 12 31_pbc 080630 current liability 2" xfId="5903"/>
    <cellStyle name="差_32-应付职工薪酬(空白模板) 16" xfId="5904"/>
    <cellStyle name="差_32-应付职工薪酬(空白模板) 21" xfId="5905"/>
    <cellStyle name="好_盈余公积 2 3" xfId="5906"/>
    <cellStyle name="40% - Accent6 2" xfId="5907"/>
    <cellStyle name="_Worksheet in D: My Documents China Shenhua Overall - 2005 final Correspondence With Bobo Debriefing notes liabilities debriefing note 2005 12 31_pbc 080630 current liability_Sheet1" xfId="5908"/>
    <cellStyle name="好_33-应交税费（空白模板） 3 3" xfId="5909"/>
    <cellStyle name="常规 6 2 3 7" xfId="5910"/>
    <cellStyle name="Normal - Style1 2 9 3" xfId="5911"/>
    <cellStyle name="40% - Accent6 2 2" xfId="5912"/>
    <cellStyle name="_Worksheet in D: My Documents China Shenhua Overall - 2005 final Correspondence With Bobo Debriefing notes liabilities debriefing note 2005 12 31_pbc 080630 current liability_Sheet1 2" xfId="5913"/>
    <cellStyle name="args.style 3" xfId="5914"/>
    <cellStyle name="好_ZA0货币资金审定表  4 4" xfId="5915"/>
    <cellStyle name="20% - 强调文字颜色 4 2" xfId="5916"/>
    <cellStyle name="_Worksheet in D: My Documents China Shenhua Overall - 2005 final Correspondence With Bobo Debriefing notes liabilities debriefing note 2005 12 31_Sheet1 2" xfId="5917"/>
    <cellStyle name="40% - 强调文字颜色 3 2 3 5" xfId="5918"/>
    <cellStyle name="好_1其他应收款_明细表" xfId="5919"/>
    <cellStyle name="_WP-hq" xfId="5920"/>
    <cellStyle name="好_1财务费用 4 3" xfId="5921"/>
    <cellStyle name="20% - 强调文字颜色 6 2 2 8" xfId="5922"/>
    <cellStyle name="_WSI consolidated sheet.081231 090203 MCMW" xfId="5923"/>
    <cellStyle name="差_27-短期借款(空白模板) 27" xfId="5924"/>
    <cellStyle name="差_27-短期借款(空白模板) 32" xfId="5925"/>
    <cellStyle name="_WSI consolidated sheet.081231 090203 MCMW 2" xfId="5926"/>
    <cellStyle name="好_50-营业成本（空白模板）_明细表_1" xfId="5927"/>
    <cellStyle name="好_预付款项_明细表 2" xfId="5928"/>
    <cellStyle name="好_27-短期借款(空白模板) 4 5" xfId="5929"/>
    <cellStyle name="差_1专项应付款 14_明细表" xfId="5930"/>
    <cellStyle name="Accent4 13 2" xfId="5931"/>
    <cellStyle name="0,0_x000d__x000a_NA_x000d__x000a_ 7" xfId="5932"/>
    <cellStyle name="超链接 2 4 2 4" xfId="5933"/>
    <cellStyle name="_WSI consolidated sheet.081231 090203 MCMW_Book3" xfId="5934"/>
    <cellStyle name="好_50-营业成本（空白模板）_明细表_1 2" xfId="5935"/>
    <cellStyle name="0,0_x000d__x000a_NA_x000d__x000a_ 7 2" xfId="5936"/>
    <cellStyle name="好_19-无形资产（空白模板） 8 2 4" xfId="5937"/>
    <cellStyle name="常规 2 3 9 2 2" xfId="5938"/>
    <cellStyle name="_社保测试" xfId="5939"/>
    <cellStyle name="好_40-专项应付款(空白模板) 7" xfId="5940"/>
    <cellStyle name="_WSI consolidated sheet.081231 090203 MCMW_Book3 2" xfId="5941"/>
    <cellStyle name="_WSI consolidated sheet.081231 090203 MCMW_Consol wp" xfId="5942"/>
    <cellStyle name="好_40-专项应付款(空白模板) 3_明细表" xfId="5943"/>
    <cellStyle name="_WSI consolidated sheet.081231 090203 MCMW_Consol wp 2" xfId="5944"/>
    <cellStyle name="好_FO预计负债 3" xfId="5945"/>
    <cellStyle name="SingleLineAcctgn" xfId="5946"/>
    <cellStyle name="_WSI consolidated sheet.081231 090203 MCMW_Consol wp.nick" xfId="5947"/>
    <cellStyle name="好_资产减值损失 14_明细表 4" xfId="5948"/>
    <cellStyle name="好_交易性金融资产 3" xfId="5949"/>
    <cellStyle name="_WSI consolidated sheet.081231 090203 MCMW_Consol wp.v3" xfId="5950"/>
    <cellStyle name="好_交易性金融资产 3 2" xfId="5951"/>
    <cellStyle name="_WSI consolidated sheet.081231 090203 MCMW_Consol wp.v3 2" xfId="5952"/>
    <cellStyle name="常规 6 10 2 2" xfId="5953"/>
    <cellStyle name="_WSI consolidated sheet.081231 090203 MCMW_Consol wp.v3.local" xfId="5954"/>
    <cellStyle name="_WSI consolidated sheet.081231 090203 MCMW_Consol wp.v3.local 2" xfId="5955"/>
    <cellStyle name="_WSI consolidated sheet.081231 090203 MCMW_Cost of sales Calculation 2" xfId="5956"/>
    <cellStyle name="_Yuande.GD.20040331" xfId="5957"/>
    <cellStyle name="_Yuande.GD.20040331 2" xfId="5958"/>
    <cellStyle name="好_1营业收入 3 2 5" xfId="5959"/>
    <cellStyle name="_Yuande.GD.20040331 Part 2 v1" xfId="5960"/>
    <cellStyle name="_Yuande.GD.20040331 Part 2 v1 2" xfId="5961"/>
    <cellStyle name="超链接 3 2 2 2" xfId="5962"/>
    <cellStyle name="40% - Accent3 2" xfId="5963"/>
    <cellStyle name="_Yuanzheng.GD Other PL.20050414" xfId="5964"/>
    <cellStyle name="60% - 輔色5" xfId="5965"/>
    <cellStyle name="超链接 3 2 2 2 2" xfId="5966"/>
    <cellStyle name="40% - Accent3 2 2" xfId="5967"/>
    <cellStyle name="_Yuanzheng.GD Other PL.20050414 2" xfId="5968"/>
    <cellStyle name="40% - 强调文字颜色 2 2 2 11" xfId="5969"/>
    <cellStyle name="_Zibo_Finance lease calculation" xfId="5970"/>
    <cellStyle name="常规 9 4 5 5" xfId="5971"/>
    <cellStyle name="SAPBEXaggData 7" xfId="5972"/>
    <cellStyle name="常规 2 2 13 2 3" xfId="5973"/>
    <cellStyle name="_Zibo_Finance lease calculation 2" xfId="5974"/>
    <cellStyle name="差_底稿设置宏 14" xfId="5975"/>
    <cellStyle name="差_资产负债类底稿模版 3 2" xfId="5976"/>
    <cellStyle name="差_附件3存货监盘 4" xfId="5977"/>
    <cellStyle name="_ZJYE9802 2" xfId="5978"/>
    <cellStyle name="_ZJYE9802_050114.HY Bro.Film.GG1.Accounts Receivable_170407.聊城.Appendix4 TBJA.冲回质量索赔" xfId="5979"/>
    <cellStyle name="0% 6 5" xfId="5980"/>
    <cellStyle name="_ZJYE9802_050114.HY Bro.Film.GG1.Accounts Receivable_170407.聊城.Appendix4 TBJA.冲回质量索赔 2" xfId="5981"/>
    <cellStyle name="常规 11 3 2 3 6" xfId="5982"/>
    <cellStyle name="好_专项应付款 15_明细表" xfId="5983"/>
    <cellStyle name="40% - 强调文字颜色 5 2 2 7" xfId="5984"/>
    <cellStyle name="好_15-固定资产（空白模板） 10" xfId="5985"/>
    <cellStyle name="好__dxn_temp空白表页 15_明细表 4" xfId="5986"/>
    <cellStyle name="差_50-营业成本（空白模板） 10 2 2" xfId="5987"/>
    <cellStyle name="_ZJYE9802_050114.HY Bro.Film.GG1.Accounts Receivable_170407.聊城.Appendix4 TBJA.冲回质量索赔_pbc 080630 current liability 2" xfId="5988"/>
    <cellStyle name="好_短期借款 7 2 4" xfId="5989"/>
    <cellStyle name="好_1专项应付款_明细表" xfId="5990"/>
    <cellStyle name="千位分隔 2 3 4 3 2 2" xfId="5991"/>
    <cellStyle name="_公司填表2005-修改后 3" xfId="5992"/>
    <cellStyle name="好_应收利息 6 2" xfId="5993"/>
    <cellStyle name="好_应收利息 14 2 5" xfId="5994"/>
    <cellStyle name="_ZJYE9802_050114.HY Bro.Film.GG1.Accounts Receivable_170407.聊城.Appendix4 TBJA.冲回质量索赔_pbc 080630 current liability_Sheet1" xfId="5995"/>
    <cellStyle name="好_应收利息 6 2 2" xfId="5996"/>
    <cellStyle name="_ZJYE9802_050114.HY Bro.Film.GG1.Accounts Receivable_170407.聊城.Appendix4 TBJA.冲回质量索赔_pbc 080630 current liability_Sheet1 2" xfId="5997"/>
    <cellStyle name="20% - Accent3 2 2" xfId="5998"/>
    <cellStyle name="20% - 强调文字颜色 3 3 2" xfId="5999"/>
    <cellStyle name="_ZJYE9802_050114.HY Bro.Film.GG1.Accounts Receivable_170407.聊城.Appendix4 TBJA.冲回质量索赔_Sheet1 2" xfId="6000"/>
    <cellStyle name="好_1营业收入_固定资产" xfId="6001"/>
    <cellStyle name="_ZJYE9802_Q2-1 EIT recon" xfId="6002"/>
    <cellStyle name="好_1营业收入_固定资产 2" xfId="6003"/>
    <cellStyle name="差_无形资产 15 2 5" xfId="6004"/>
    <cellStyle name="_ZJYE9802_Q2-1 EIT recon 2" xfId="6005"/>
    <cellStyle name="_ZJYE9802_软件公司审计所需资料" xfId="6006"/>
    <cellStyle name="_ZJYE9802_Q2-1 EIT recon_Sheet1 2" xfId="6007"/>
    <cellStyle name="_ZJYE9802_Sheet1" xfId="6008"/>
    <cellStyle name="40% - 强调文字颜色 3 2 3 2" xfId="6009"/>
    <cellStyle name="好_1资产减值损失_明细表_1 5" xfId="6010"/>
    <cellStyle name="_ZJYE9802_Sheet1 2" xfId="6011"/>
    <cellStyle name="60% - 强调文字颜色 5 2 2" xfId="6012"/>
    <cellStyle name="_ZJYE9802_科技审计所需资料明细表_Q2-1 EIT recon 2" xfId="6013"/>
    <cellStyle name="_ZJYE9802_科技审计所需资料明细表_Q2-1 EIT recon_Sheet1" xfId="6014"/>
    <cellStyle name="_安徽福润02-04年鲜销表" xfId="6015"/>
    <cellStyle name="好_58-营业外收入（空白模板） 5" xfId="6016"/>
    <cellStyle name="_ZJYE9802_科技审计所需资料明细表_Q2-1 EIT recon_Sheet1 2" xfId="6017"/>
    <cellStyle name="_安徽福润02-04年鲜销表 2" xfId="6018"/>
    <cellStyle name="好_财务费用 7 3" xfId="6019"/>
    <cellStyle name="_安徽福润" xfId="6020"/>
    <cellStyle name="_ZJYE9802_科技审计所需资料明细表_Sheet1 2" xfId="6021"/>
    <cellStyle name="好_G-应收账款 9 2 4" xfId="6022"/>
    <cellStyle name="强调 2 2 4" xfId="6023"/>
    <cellStyle name="千位分隔 3 2 11" xfId="6024"/>
    <cellStyle name="_ZJYE9802_软件公司审计所需资料 2" xfId="6025"/>
    <cellStyle name="_ZJYE9802_软件公司审计所需资料_Q2-1 EIT recon" xfId="6026"/>
    <cellStyle name="_ZJYE9802_软件公司审计所需资料_Q2-1 EIT recon 2" xfId="6027"/>
    <cellStyle name="_ZJYE9802_软件公司审计所需资料_Q2-1 EIT recon_Sheet1" xfId="6028"/>
    <cellStyle name="百分比 2 2 2 2 4" xfId="6029"/>
    <cellStyle name="好_所得税费用 11" xfId="6030"/>
    <cellStyle name="_ZZ待摊费用预提费用" xfId="6031"/>
    <cellStyle name="20% - 强调文字颜色 2 2 3 5" xfId="6032"/>
    <cellStyle name="差__dxn_temp空白表页 10 2 3" xfId="6033"/>
    <cellStyle name="_安电报表0612（5）" xfId="6034"/>
    <cellStyle name="好_40-专项应付款(空白模板) 4_明细表 2" xfId="6035"/>
    <cellStyle name="20% - 强调文字颜色 5 4 2" xfId="6036"/>
    <cellStyle name="好_G-应收账款 4 2" xfId="6037"/>
    <cellStyle name="样式 1 6 3" xfId="6038"/>
    <cellStyle name="_集团期末抵销过程表" xfId="6039"/>
    <cellStyle name="_安电报表0612年审" xfId="6040"/>
    <cellStyle name="好_固定资产 13_明细表 2" xfId="6041"/>
    <cellStyle name="差_复件 固定资产 7_明细表 3" xfId="6042"/>
    <cellStyle name="_安徽福润 2" xfId="6043"/>
    <cellStyle name="常规 5 8_附注表一（财务报表）" xfId="6044"/>
    <cellStyle name="60% - 强调文字颜色 1 3 2 2" xfId="6045"/>
    <cellStyle name="好_1财务费用 4 2 6" xfId="6046"/>
    <cellStyle name="_安徽福润_Sheet1 2" xfId="6047"/>
    <cellStyle name="好_财务费用 17 6" xfId="6048"/>
    <cellStyle name="差_预收款项 7 2 3" xfId="6049"/>
    <cellStyle name="_刘佳佳-国华收入成本05-6 2" xfId="6050"/>
    <cellStyle name="标题 2 2 2 9" xfId="6051"/>
    <cellStyle name="_公司填表-2005杨 4" xfId="6052"/>
    <cellStyle name="常规 3 3 2 2 2 8 2" xfId="6053"/>
    <cellStyle name="_安徽福润02-04年鲜销表_Sheet1" xfId="6054"/>
    <cellStyle name="好_资产负债标准底稿 5 4" xfId="6055"/>
    <cellStyle name="_北京威卡威-lou" xfId="6056"/>
    <cellStyle name="Non défini 2" xfId="6057"/>
    <cellStyle name="_备用金明细表04.12" xfId="6058"/>
    <cellStyle name="_备用金明细表04.12 2" xfId="6059"/>
    <cellStyle name="40% - 强调文字颜色 1 3 3" xfId="6060"/>
    <cellStyle name="好_1资产减值损失 10_明细表 3" xfId="6061"/>
    <cellStyle name="_备用金明细表04.12_GG4.OR.Dec 04" xfId="6062"/>
    <cellStyle name="_备用金明细表04.12_GG4.OR.Dec 04 2" xfId="6063"/>
    <cellStyle name="差_30-应付账款（空白模板） 13_明细表" xfId="6064"/>
    <cellStyle name="_表12-1委托贷款1" xfId="6065"/>
    <cellStyle name="_货币资金" xfId="6066"/>
    <cellStyle name="好_资产负债标准底稿 12_明细表 5" xfId="6067"/>
    <cellStyle name="_表12-1委托贷款1 2" xfId="6068"/>
    <cellStyle name="超链接 3 3 2 2" xfId="6069"/>
    <cellStyle name="_表12-2委托贷款基金1" xfId="6070"/>
    <cellStyle name="_表12-2委托贷款基金1 2" xfId="6071"/>
    <cellStyle name="差_短期借款_明细表_1 5" xfId="6072"/>
    <cellStyle name="_表1表2合并汇总" xfId="6073"/>
    <cellStyle name="0% 6 2 3" xfId="6074"/>
    <cellStyle name="好_递延所得税资产 2 2" xfId="6075"/>
    <cellStyle name="常规 2 2 2 2 2 2 2 11" xfId="6076"/>
    <cellStyle name="常规 11 3 2 3 3 3" xfId="6077"/>
    <cellStyle name="_表1表2合并汇总 2" xfId="6078"/>
    <cellStyle name="Comma 10 3" xfId="6079"/>
    <cellStyle name="_补充表格" xfId="6080"/>
    <cellStyle name="超链接 3 14" xfId="6081"/>
    <cellStyle name="_x0007__采购与付款" xfId="6082"/>
    <cellStyle name="_成本1" xfId="6083"/>
    <cellStyle name="差_56-公允价值损益变动（空白模板） 3 3" xfId="6084"/>
    <cellStyle name="差_38-应付债券（空白模板） 3" xfId="6085"/>
    <cellStyle name="_公司填表2005-吴 4" xfId="6086"/>
    <cellStyle name="好_专项应付款 9_明细表" xfId="6087"/>
    <cellStyle name="_成本1 2" xfId="6088"/>
    <cellStyle name="_成本调整说明-12" xfId="6089"/>
    <cellStyle name="_x0007__筹资循环" xfId="6090"/>
    <cellStyle name="_x0007__筹资循环 2" xfId="6091"/>
    <cellStyle name="_x0007__筹资循环 3" xfId="6092"/>
    <cellStyle name="差_底稿设置宏 16 2 2" xfId="6093"/>
    <cellStyle name="_x0007__筹资循环 5" xfId="6094"/>
    <cellStyle name="好_资产减值损失 7_明细表" xfId="6095"/>
    <cellStyle name="差_底稿设置宏 16 2 3" xfId="6096"/>
    <cellStyle name="_x0007__筹资循环 6" xfId="6097"/>
    <cellStyle name="常规 6 17" xfId="6098"/>
    <cellStyle name="常规 6 22" xfId="6099"/>
    <cellStyle name="常规 2 3 2 2 3 2 4" xfId="6100"/>
    <cellStyle name="_导引表M01" xfId="6101"/>
    <cellStyle name="60% - 輔色6" xfId="6102"/>
    <cellStyle name="_底稿 短期借款" xfId="6103"/>
    <cellStyle name="好_49-营业收入（空白模板） 16 2 5" xfId="6104"/>
    <cellStyle name="60% - 輔色6 2" xfId="6105"/>
    <cellStyle name="_底稿 短期借款 2" xfId="6106"/>
    <cellStyle name="好_51-营业税金及附加（空白模板） 3_明细表 5" xfId="6107"/>
    <cellStyle name="_第四季度资料_GG4.OR.Dec 04" xfId="6108"/>
    <cellStyle name="_第四季度资料_GG4.OR.Dec 04 2" xfId="6109"/>
    <cellStyle name="好_财务费用 2 2 4" xfId="6110"/>
    <cellStyle name="好_55-资产减值损失（空白模板） 17 2 5" xfId="6111"/>
    <cellStyle name="_第一太平" xfId="6112"/>
    <cellStyle name="_电子现金流量表2006" xfId="6113"/>
    <cellStyle name="_锻造分厂（闫）" xfId="6114"/>
    <cellStyle name="好_预收款项 5_附注表一（财务报表）" xfId="6115"/>
    <cellStyle name="常规 2 3 2 5" xfId="6116"/>
    <cellStyle name="_对照检查" xfId="6117"/>
    <cellStyle name="0,0_x000d__x000a_NA_x000d__x000a_ 2_Spreadsheet" xfId="6118"/>
    <cellStyle name="好_应收利息 7 2 3" xfId="6119"/>
    <cellStyle name="差_1固定资产 10" xfId="6120"/>
    <cellStyle name="_分户经营表合并" xfId="6121"/>
    <cellStyle name="好_54-财务费用（空白模板） 3 5" xfId="6122"/>
    <cellStyle name="差_dxn底稿目录 11 2" xfId="6123"/>
    <cellStyle name="_封面" xfId="6124"/>
    <cellStyle name="好_应收票据" xfId="6125"/>
    <cellStyle name="_封面 2" xfId="6126"/>
    <cellStyle name="差_财务费用 2 2" xfId="6127"/>
    <cellStyle name="_宿州福润公司生鲜冷冻产品划分_Sheet1 2" xfId="6128"/>
    <cellStyle name="_封面 3" xfId="6129"/>
    <cellStyle name="好_59-营业外支出（空白模板） 3 2" xfId="6130"/>
    <cellStyle name="40% - 强调文字颜色 1 2 2 2" xfId="6131"/>
    <cellStyle name="差_底稿设置宏 9 2 3" xfId="6132"/>
    <cellStyle name="_冯了性整体评估" xfId="6133"/>
    <cellStyle name="_冯了性整体评估 2" xfId="6134"/>
    <cellStyle name="_附件四-工作底稿模版及注意事项" xfId="6135"/>
    <cellStyle name="_复件 02-04生鲜、冷冻分类新" xfId="6136"/>
    <cellStyle name="_复件 02-04生鲜、冷冻分类新 2" xfId="6137"/>
    <cellStyle name="00 11 3" xfId="6138"/>
    <cellStyle name="好_54-财务费用（空白模板） 7 2 2" xfId="6139"/>
    <cellStyle name="好_40-专项应付款(空白模板) 3 2 5" xfId="6140"/>
    <cellStyle name="_复件 02-04生鲜、冷冻分类新_Sheet1" xfId="6141"/>
    <cellStyle name="_损益表(加密)" xfId="6142"/>
    <cellStyle name="好_专项应付款 14" xfId="6143"/>
    <cellStyle name="SAPBEXHLevel0 4" xfId="6144"/>
    <cellStyle name="_复件 02-04生鲜、冷冻分类新_Sheet1 2" xfId="6145"/>
    <cellStyle name="好_ZY-递延所得税资产 4" xfId="6146"/>
    <cellStyle name="_副本问题" xfId="6147"/>
    <cellStyle name="差_31-预收账款（空白模板） 5 2" xfId="6148"/>
    <cellStyle name="_副本问题_Q2-1 EIT recon 2" xfId="6149"/>
    <cellStyle name="20% - 强调文字颜色 4 6 2" xfId="6150"/>
    <cellStyle name="_副本问题_Sheet1" xfId="6151"/>
    <cellStyle name="_副本问题_Sheet1 2" xfId="6152"/>
    <cellStyle name="_工资差异表 " xfId="6153"/>
    <cellStyle name="_工资差异表  2" xfId="6154"/>
    <cellStyle name="千位分隔 4 3 5" xfId="6155"/>
    <cellStyle name="好_19-无形资产（空白模板） 6 4" xfId="6156"/>
    <cellStyle name="_公司填表" xfId="6157"/>
    <cellStyle name="_公司填表 2" xfId="6158"/>
    <cellStyle name="千位分隔 14 2 4" xfId="6159"/>
    <cellStyle name="Wahrung [0]_RESULTS" xfId="6160"/>
    <cellStyle name="0% 15 2" xfId="6161"/>
    <cellStyle name="_公司填表 3" xfId="6162"/>
    <cellStyle name="好_55-资产减值损失（空白模板） 14" xfId="6163"/>
    <cellStyle name="00 2 3 10" xfId="6164"/>
    <cellStyle name="差_30-应付账款（空白模板） 2 3" xfId="6165"/>
    <cellStyle name="_公司填表 4" xfId="6166"/>
    <cellStyle name="0.0% 4" xfId="6167"/>
    <cellStyle name="常规 3 2 2 10 3" xfId="6168"/>
    <cellStyle name="差_大信底稿目录 8 3" xfId="6169"/>
    <cellStyle name="_公司填表-2005蔡" xfId="6170"/>
    <cellStyle name="好_ZA0货币资金审定表  8_附注表一（财务报表）" xfId="6171"/>
    <cellStyle name="常规 5 19" xfId="6172"/>
    <cellStyle name="常规 5 24" xfId="6173"/>
    <cellStyle name="_公司填表-2005蔡 4" xfId="6174"/>
    <cellStyle name="常规 3 9 2 2" xfId="6175"/>
    <cellStyle name="_公司填表-2005李志刚 3" xfId="6176"/>
    <cellStyle name="常规 3 9 2 3" xfId="6177"/>
    <cellStyle name="_公司填表-2005李志刚 4" xfId="6178"/>
    <cellStyle name="好_49-营业收入（空白模板） 12_明细表 5" xfId="6179"/>
    <cellStyle name="_公司填表2005-吴_3-2-Z17A-固定资产" xfId="6180"/>
    <cellStyle name="_公司填表2005-吴_Sheet1" xfId="6181"/>
    <cellStyle name="差_大信底稿目录 12_明细表" xfId="6182"/>
    <cellStyle name="_公司填表2005-吴_Sheet1 3" xfId="6183"/>
    <cellStyle name="_公司填表2005-吴_Sheet1_Z4-应收账款" xfId="6184"/>
    <cellStyle name="好_财务费用 6 3 2" xfId="6185"/>
    <cellStyle name="好_资产负债类底稿模版 6 3 2" xfId="6186"/>
    <cellStyle name="AA LOCK" xfId="6187"/>
    <cellStyle name="常规 2 3 2 2 2 5_附注表一（财务报表）" xfId="6188"/>
    <cellStyle name="_公司填表2005-修改 3" xfId="6189"/>
    <cellStyle name="_公司填表2005-修改_3-2-A1B-银行存款 3" xfId="6190"/>
    <cellStyle name="Normal 11" xfId="6191"/>
    <cellStyle name="好_ZA0货币资金审定表  13_附注表一（财务报表）" xfId="6192"/>
    <cellStyle name="标题 13" xfId="6193"/>
    <cellStyle name="标题 14" xfId="6194"/>
    <cellStyle name="_公司填表2005-修改_3-2-A1B-银行存款 4" xfId="6195"/>
    <cellStyle name="Normal 12" xfId="6196"/>
    <cellStyle name="_公司填表2005-修改_3-2-Z17A-固定资产 3" xfId="6197"/>
    <cellStyle name="_公司填表2005-修改_Sheet1 2" xfId="6198"/>
    <cellStyle name="好_应收利息 3 2 5" xfId="6199"/>
    <cellStyle name="_公司填表2005-修改_Sheet1 3" xfId="6200"/>
    <cellStyle name="好_应收利息 3 2 6" xfId="6201"/>
    <cellStyle name="00 2 11 2" xfId="6202"/>
    <cellStyle name="好_54-财务费用（空白模板） 4" xfId="6203"/>
    <cellStyle name="常规 32 2 3" xfId="6204"/>
    <cellStyle name="超链接 2 6 2" xfId="6205"/>
    <cellStyle name="差_长期应付款 3 2" xfId="6206"/>
    <cellStyle name="_公司填表2005-修改_Sheet1 4" xfId="6207"/>
    <cellStyle name="好_50-营业成本（空白模板） 5 2 2" xfId="6208"/>
    <cellStyle name="_公司填表2005-修改_Sheet1_Z4-应收账款" xfId="6209"/>
    <cellStyle name="常规 2 2 2 16 6" xfId="6210"/>
    <cellStyle name="_公司填表2005-修改后" xfId="6211"/>
    <cellStyle name="好_短期借款 7 2 3" xfId="6212"/>
    <cellStyle name="_公司填表2005-修改后 2" xfId="6213"/>
    <cellStyle name="好_附注表(一) 2" xfId="6214"/>
    <cellStyle name="好_短期借款 7 2 5" xfId="6215"/>
    <cellStyle name="_公司填表2005-修改后 4" xfId="6216"/>
    <cellStyle name="_公司填表2005-修改后_3-2-A1B-银行存款 2" xfId="6217"/>
    <cellStyle name="好__dxn_temp空白表页 28" xfId="6218"/>
    <cellStyle name="好__dxn_temp空白表页 33" xfId="6219"/>
    <cellStyle name="常规 3 2 8 2 5" xfId="6220"/>
    <cellStyle name="好_ZA0货币资金审定表  6 4" xfId="6221"/>
    <cellStyle name="20% - 强调文字颜色 6 2" xfId="6222"/>
    <cellStyle name="_公司填表2005-修改后_3-2-A1B-银行存款 3" xfId="6223"/>
    <cellStyle name="好__dxn_temp空白表页 29" xfId="6224"/>
    <cellStyle name="好__dxn_temp空白表页 34" xfId="6225"/>
    <cellStyle name="好_ZA0货币资金审定表  6 5" xfId="6226"/>
    <cellStyle name="20% - Accent6 2" xfId="6227"/>
    <cellStyle name="20% - 强调文字颜色 6 3" xfId="6228"/>
    <cellStyle name="_公司填表2005-修改后_3-2-A1B-银行存款 4" xfId="6229"/>
    <cellStyle name="常规 2 3 2 12" xfId="6230"/>
    <cellStyle name="_公司填表2005-修改后_3-2-Z17A-固定资产 2" xfId="6231"/>
    <cellStyle name="好_51-营业税金及附加（空白模板） 12_明细表 2" xfId="6232"/>
    <cellStyle name="常规 2 3 2 13" xfId="6233"/>
    <cellStyle name="_公司填表2005-修改后_3-2-Z17A-固定资产 3" xfId="6234"/>
    <cellStyle name="好_1固定资产 7_明细表 4" xfId="6235"/>
    <cellStyle name="_公司填表2005-修改后_Sheet1 2" xfId="6236"/>
    <cellStyle name="好_1固定资产 7_明细表 5" xfId="6237"/>
    <cellStyle name="_公司填表2005-修改后_Sheet1 3" xfId="6238"/>
    <cellStyle name="_公司填表2005-修改后_Sheet1 4" xfId="6239"/>
    <cellStyle name="_公司填表2005-修改后_Sheet1_Z4-应收账款" xfId="6240"/>
    <cellStyle name="_公司填表2005-修改后_Z4-应收账款" xfId="6241"/>
    <cellStyle name="_公司填表-2005杨" xfId="6242"/>
    <cellStyle name="常规 3 2 29 2 4" xfId="6243"/>
    <cellStyle name="差_短期借款 5_明细表 4" xfId="6244"/>
    <cellStyle name="_管道 jnl list_pbc 080630 current liability" xfId="6245"/>
    <cellStyle name="差_无形资产 16 3" xfId="6246"/>
    <cellStyle name="20% - 强调文字颜色 3 2 2 8" xfId="6247"/>
    <cellStyle name="_管道 jnl list_pbc 080630 current liability 2" xfId="6248"/>
    <cellStyle name="_桂林_Sheet1 2" xfId="6249"/>
    <cellStyle name="Normal - Style1 29" xfId="6250"/>
    <cellStyle name="Normal - Style1 34" xfId="6251"/>
    <cellStyle name="好_无形资产 12 3" xfId="6252"/>
    <cellStyle name="_桂林一季度鲜销1 2" xfId="6253"/>
    <cellStyle name="常规 4 7 2 6" xfId="6254"/>
    <cellStyle name="_桂林一季度鲜销1_Sheet1" xfId="6255"/>
    <cellStyle name="_海马权益表（新）" xfId="6256"/>
    <cellStyle name="差_ZP在建工程 2 3" xfId="6257"/>
    <cellStyle name="_海马权益表（新） 2" xfId="6258"/>
    <cellStyle name="_邯郸福润鲜销、冻销分类 2" xfId="6259"/>
    <cellStyle name="_会计报表080508_H1000应收账款" xfId="6260"/>
    <cellStyle name="常规 7 17" xfId="6261"/>
    <cellStyle name="常规 7 22" xfId="6262"/>
    <cellStyle name="好_银行函证结果汇总表 15 2 2" xfId="6263"/>
    <cellStyle name="好_底稿设置宏 2 3 3" xfId="6264"/>
    <cellStyle name="好_附件一銀行詢證函(1) 3" xfId="6265"/>
    <cellStyle name="差_固定资产 6_明细表 2" xfId="6266"/>
    <cellStyle name="_基石项目_审计调查表-2007年12月（修改后）" xfId="6267"/>
    <cellStyle name="常规 4 2 8 3" xfId="6268"/>
    <cellStyle name="_基石项目_审计调查表-2007年12月（修改后） 2" xfId="6269"/>
    <cellStyle name="40% - 强调文字颜色 4 6" xfId="6270"/>
    <cellStyle name="常规 7 4 2 2 2" xfId="6271"/>
    <cellStyle name="常规 3 2 2 2 2 4 2" xfId="6272"/>
    <cellStyle name="20% - 輔色5 6" xfId="6273"/>
    <cellStyle name="差_无形资产 7 2 2" xfId="6274"/>
    <cellStyle name="_经营承担 14_Sheet1" xfId="6275"/>
    <cellStyle name="_技术开发" xfId="6276"/>
    <cellStyle name="0.0% 5" xfId="6277"/>
    <cellStyle name="_技术开发_pbc 080630 current liability 2" xfId="6278"/>
    <cellStyle name="_江苏福润鲜销、冻销分类" xfId="6279"/>
    <cellStyle name="好_1财务费用 10 2" xfId="6280"/>
    <cellStyle name="_江苏福润鲜销、冻销分类_Sheet1" xfId="6281"/>
    <cellStyle name="好_预收款项 7_明细表 3" xfId="6282"/>
    <cellStyle name="常规 3 5 7 2 5" xfId="6283"/>
    <cellStyle name="差_资产负债类底稿模版 10_附注表一（财务报表）" xfId="6284"/>
    <cellStyle name="20" xfId="6285"/>
    <cellStyle name="_截止性测试" xfId="6286"/>
    <cellStyle name="常规 7 2 2 3" xfId="6287"/>
    <cellStyle name="40% - 輔色6" xfId="6288"/>
    <cellStyle name="好_银行函证结果汇总表 13 2 3" xfId="6289"/>
    <cellStyle name="差_G-应收账款 14 2" xfId="6290"/>
    <cellStyle name="_经营表7-12" xfId="6291"/>
    <cellStyle name="差_ZG应收保费 2" xfId="6292"/>
    <cellStyle name="_经营承担 14_H1-3 Addition list " xfId="6293"/>
    <cellStyle name="好_无形资产 15_明细表 4" xfId="6294"/>
    <cellStyle name="差_ZG应收保费 2 2" xfId="6295"/>
    <cellStyle name="_经营承担 14_H1-3 Addition list  2" xfId="6296"/>
    <cellStyle name="Normal 19 3" xfId="6297"/>
    <cellStyle name="Normal 24 3" xfId="6298"/>
    <cellStyle name="_经营承担 14_固定资产增加2" xfId="6299"/>
    <cellStyle name="_经营承担 14_固定资产增加2 2" xfId="6300"/>
    <cellStyle name="常规 9 6 6" xfId="6301"/>
    <cellStyle name="_利润表(1月-6) 2" xfId="6302"/>
    <cellStyle name="_梁旭底稿" xfId="6303"/>
    <cellStyle name="差_大信底稿目录 9 4" xfId="6304"/>
    <cellStyle name="_刘佳佳-国华收入成本05-6" xfId="6305"/>
    <cellStyle name="_x0007__明细表" xfId="6306"/>
    <cellStyle name="_内部管理报表格式" xfId="6307"/>
    <cellStyle name="_内部管理报表格式 2" xfId="6308"/>
    <cellStyle name="好_银行函证结果汇总表 9_明细表 4" xfId="6309"/>
    <cellStyle name="_凭证抽查-05年" xfId="6310"/>
    <cellStyle name="好_营业外支出 2 3" xfId="6311"/>
    <cellStyle name="40% - 强调文字颜色 3 2 12" xfId="6312"/>
    <cellStyle name="_凭证抽查-05年 2" xfId="6313"/>
    <cellStyle name="_凭证抽查-05年 3" xfId="6314"/>
    <cellStyle name="40% - 强调文字颜色 1 6 2" xfId="6315"/>
    <cellStyle name="40% - 强调文字颜色 4 2 3_附注表一（财务报表）" xfId="6316"/>
    <cellStyle name="_期末存货" xfId="6317"/>
    <cellStyle name="好_1专项应付款 3 4" xfId="6318"/>
    <cellStyle name="差_山东办2011年1-6月发生但未付费用(1) 3" xfId="6319"/>
    <cellStyle name="_期末存货 2" xfId="6320"/>
    <cellStyle name="超链接 12_附注表一（财务报表）" xfId="6321"/>
    <cellStyle name="_期末存货_05成本到扎表1(1).9-结算部" xfId="6322"/>
    <cellStyle name="超链接 5 3" xfId="6323"/>
    <cellStyle name="_期末存货_05成本到扎表1(1).9-结算部_Sheet1" xfId="6324"/>
    <cellStyle name="_期末存货_05成本到扎表1(1).9-结算部_Sheet1 2" xfId="6325"/>
    <cellStyle name="_期末存货_200506.sales com.GI.intercompany" xfId="6326"/>
    <cellStyle name="_期末存货_200506.sales com.GI.intercompany_Sheet1" xfId="6327"/>
    <cellStyle name="好_所得税费用 5" xfId="6328"/>
    <cellStyle name="好_30-应付账款（空白模板） 12 2 2" xfId="6329"/>
    <cellStyle name="_期末存货_200506.sales com.GI.intercompany_Sheet1 2" xfId="6330"/>
    <cellStyle name="好_所得税费用 5 2" xfId="6331"/>
    <cellStyle name="_期末存货_20051231.sales com.GI1.intercompany" xfId="6332"/>
    <cellStyle name="好__dxn_temp空白表页 8_明细表 3" xfId="6333"/>
    <cellStyle name="好_1货币资金 2 2 3" xfId="6334"/>
    <cellStyle name="超链接 3 2 4" xfId="6335"/>
    <cellStyle name="差_底稿设置宏 5 2 6" xfId="6336"/>
    <cellStyle name="40% - Accent5" xfId="6337"/>
    <cellStyle name="常规 6 5 2" xfId="6338"/>
    <cellStyle name="_期末存货_20051231.sales com.GI1.intercompany_Sheet1" xfId="6339"/>
    <cellStyle name="40% - Accent5 2" xfId="6340"/>
    <cellStyle name="差_56-公允价值损益变动（空白模板） 9" xfId="6341"/>
    <cellStyle name="_期末存货_20051231.sales com.GI1.intercompany_Sheet1 2" xfId="6342"/>
    <cellStyle name="好_资产负债标准底稿_大信底稿目录 10_明细表" xfId="6343"/>
    <cellStyle name="常规 2 10 2 2 4" xfId="6344"/>
    <cellStyle name="常规 6 5 2 2" xfId="6345"/>
    <cellStyle name="常规 2 5 8 2" xfId="6346"/>
    <cellStyle name="_期末存货_intercompany transaction_Sheet1 2" xfId="6347"/>
    <cellStyle name="_期末存货_Sheet1" xfId="6348"/>
    <cellStyle name="_其他科目表格" xfId="6349"/>
    <cellStyle name="好_49-营业收入（空白模板） 4 4" xfId="6350"/>
    <cellStyle name="Accent4 - 40% 4" xfId="6351"/>
    <cellStyle name="_其他科目表格 2" xfId="6352"/>
    <cellStyle name="60% - 强调文字颜色 1 2 2 10" xfId="6353"/>
    <cellStyle name="_其它应收款的性质" xfId="6354"/>
    <cellStyle name="好_ZA0货币资金审定表  6_明细表 5" xfId="6355"/>
    <cellStyle name="_其它应收款的性质 2" xfId="6356"/>
    <cellStyle name="00 12 2" xfId="6357"/>
    <cellStyle name="Accent1 - 40% 2 2" xfId="6358"/>
    <cellStyle name="_其它应收款的性质_GG4.OR.Dec 04" xfId="6359"/>
    <cellStyle name="_其它应收款的性质_GG4.OR.Dec 04 2" xfId="6360"/>
    <cellStyle name="好_应收利息 15_明细表 4" xfId="6361"/>
    <cellStyle name="好_4-应收账款（空白模板）_明细表_1 5" xfId="6362"/>
    <cellStyle name="好_2009年6月30日资产负债表 6" xfId="6363"/>
    <cellStyle name="60% - 强调文字颜色 1 6 3" xfId="6364"/>
    <cellStyle name="_软件公司审计所需资料" xfId="6365"/>
    <cellStyle name="_中企华与毕马威评估增减值调整分析-国际贸易_B12.Shenshuo.剥离核对表2000-2003_Adjusted Figures.Huoche.04.08.28" xfId="6366"/>
    <cellStyle name="_软件公司审计所需资料 2" xfId="6367"/>
    <cellStyle name="_中企华与毕马威评估增减值调整分析-国际贸易_B12.Shenshuo.剥离核对表2000-2003_Adjusted Figures.Huoche.04.08.28 2" xfId="6368"/>
    <cellStyle name="好_资产负债标准底稿_大信底稿目录 11_明细表 2" xfId="6369"/>
    <cellStyle name="_上海雨润" xfId="6370"/>
    <cellStyle name="常规 2 9 2" xfId="6371"/>
    <cellStyle name="差_无形资产 3 4" xfId="6372"/>
    <cellStyle name="_上海雨润_Sheet1 2" xfId="6373"/>
    <cellStyle name="好_1财务费用 7_附注表一（财务报表）" xfId="6374"/>
    <cellStyle name="_社保测试 2" xfId="6375"/>
    <cellStyle name="好_1短期借款 5 2" xfId="6376"/>
    <cellStyle name="0.00% 6" xfId="6377"/>
    <cellStyle name="_神华煤炭运销公司2005年备抵明细表 2" xfId="6378"/>
    <cellStyle name="_沈阳分wp-年审-lou" xfId="6379"/>
    <cellStyle name="20% - 强调文字颜色 6 7" xfId="6380"/>
    <cellStyle name="好_19-无形资产（空白模板） 10 2 2" xfId="6381"/>
    <cellStyle name="_沈阳分公司wp--04-06-zzl" xfId="6382"/>
    <cellStyle name="20% - 强调文字颜色 2 2 2 11" xfId="6383"/>
    <cellStyle name="_审计底稿（采购部）" xfId="6384"/>
    <cellStyle name="好_49-营业收入（空白模板） 11_附注表一（财务报表）" xfId="6385"/>
    <cellStyle name="40% - 强调文字颜色 2 2 3" xfId="6386"/>
    <cellStyle name="差_报表层次重要性水平 2 3" xfId="6387"/>
    <cellStyle name="_审计附表（阜阳福润）" xfId="6388"/>
    <cellStyle name="40% - 强调文字颜色 2 2 3 2" xfId="6389"/>
    <cellStyle name="好_底稿设置宏_大信底稿目录 8 2 5" xfId="6390"/>
    <cellStyle name="_审计附表（阜阳福润） 2" xfId="6391"/>
    <cellStyle name="好_ZA0货币资金审定表  5" xfId="6392"/>
    <cellStyle name="常规 5 6 4" xfId="6393"/>
    <cellStyle name="_审计附表（阜阳福润）_Sheet1" xfId="6394"/>
    <cellStyle name="常规 9 4 2 2 2 2" xfId="6395"/>
    <cellStyle name="SAPBEXexcBad9 2" xfId="6396"/>
    <cellStyle name="_生鲜部鲜冻成本" xfId="6397"/>
    <cellStyle name="好_1存货 3 3" xfId="6398"/>
    <cellStyle name="subhead 2" xfId="6399"/>
    <cellStyle name="_生鲜部鲜冻成本_Sheet1" xfId="6400"/>
    <cellStyle name="差_无形资产 14 2 3" xfId="6401"/>
    <cellStyle name="_生鲜部鲜冻成本_Sheet1 2" xfId="6402"/>
    <cellStyle name="好_54-财务费用（空白模板） 3 2 3" xfId="6403"/>
    <cellStyle name="_生鲜部新" xfId="6404"/>
    <cellStyle name="常规 2 3 2 26" xfId="6405"/>
    <cellStyle name="_生鲜部新_Sheet1" xfId="6406"/>
    <cellStyle name="_生鲜部新_Sheet1 2" xfId="6407"/>
    <cellStyle name="常规 5 3 10" xfId="6408"/>
    <cellStyle name="好_银行函证结果汇总表 14 3" xfId="6409"/>
    <cellStyle name="_收入预算表" xfId="6410"/>
    <cellStyle name="_双凤 jnl list" xfId="6411"/>
    <cellStyle name="好_53-管理费用（空白模板） 2 2 2" xfId="6412"/>
    <cellStyle name="常规 3 6" xfId="6413"/>
    <cellStyle name="_损益表(加密) 2" xfId="6414"/>
    <cellStyle name="好_1-销售与收款循环 3 3" xfId="6415"/>
    <cellStyle name="_损益表(加密)_审计调查表.20061231(正）" xfId="6416"/>
    <cellStyle name="_损益表(加密)_无形资产表1.13.1" xfId="6417"/>
    <cellStyle name="Normal - Style1 2 2 2 2 3" xfId="6418"/>
    <cellStyle name="_损益表(加密)_长期待摊费用表1.14.1" xfId="6419"/>
    <cellStyle name="40% - 强调文字颜色 1 9" xfId="6420"/>
    <cellStyle name="_损益表(加密)_长期待摊费用表1.14.1 2" xfId="6421"/>
    <cellStyle name="_天辉 jnl list" xfId="6422"/>
    <cellStyle name="_天辉 jnl list 2" xfId="6423"/>
    <cellStyle name="60% - 强调文字颜色 1 2 4" xfId="6424"/>
    <cellStyle name="_下半年情况 2" xfId="6425"/>
    <cellStyle name="好_1短期借款 17 4" xfId="6426"/>
    <cellStyle name="_销国华电力明细" xfId="6427"/>
    <cellStyle name="_销国华电力明细 2" xfId="6428"/>
    <cellStyle name="_x0007__销售与收款" xfId="6429"/>
    <cellStyle name="Accent2 10 2" xfId="6430"/>
    <cellStyle name="20% - Accent5" xfId="6431"/>
    <cellStyle name="_销售中心(上报稿)2005.8.31" xfId="6432"/>
    <cellStyle name="好_预收款项 11_附注表一（财务报表）" xfId="6433"/>
    <cellStyle name="好_49-营业收入（空白模板） 11 2 3" xfId="6434"/>
    <cellStyle name="常规 2 2 2 5 2 6" xfId="6435"/>
    <cellStyle name="差_资产负债类底稿模版 5_明细表 2" xfId="6436"/>
    <cellStyle name="差_固定资产 13 2 5" xfId="6437"/>
    <cellStyle name="_小票核对" xfId="6438"/>
    <cellStyle name="常规 179 2 3 3" xfId="6439"/>
    <cellStyle name="_新余福润鲜冻分类" xfId="6440"/>
    <cellStyle name="_新余福润鲜冻分类_Sheet1" xfId="6441"/>
    <cellStyle name="好_F4应付账款 3 3" xfId="6442"/>
    <cellStyle name="_新政策、新准则" xfId="6443"/>
    <cellStyle name="20% - 强调文字颜色 1 2 2_附注表一（财务报表）" xfId="6444"/>
    <cellStyle name="好_FK长期借款 2" xfId="6445"/>
    <cellStyle name="差_1专项应付款 3_明细表" xfId="6446"/>
    <cellStyle name="Header2 2 2 3" xfId="6447"/>
    <cellStyle name="_宿州福润公司生鲜冷冻产品划分" xfId="6448"/>
    <cellStyle name="_宿州福润公司生鲜冷冻产品划分 2" xfId="6449"/>
    <cellStyle name="好_银行函证结果汇总表 13_明细表 3" xfId="6450"/>
    <cellStyle name="差_财务费用 2" xfId="6451"/>
    <cellStyle name="_宿州福润公司生鲜冷冻产品划分_Sheet1" xfId="6452"/>
    <cellStyle name="好_预收款项 16 2" xfId="6453"/>
    <cellStyle name="好_1固定资产 4 2 4" xfId="6454"/>
    <cellStyle name="差_存货 2 4" xfId="6455"/>
    <cellStyle name="_需要下发的template  current assets" xfId="6456"/>
    <cellStyle name="好_预收款项 16 2 2" xfId="6457"/>
    <cellStyle name="_淄博 jnl list_pbc 080630 current liability" xfId="6458"/>
    <cellStyle name="好_19-无形资产（空白模板） 5_明细表" xfId="6459"/>
    <cellStyle name="_需要下发的template  current assets 2" xfId="6460"/>
    <cellStyle name="好_专项应付款 7_附注表一（财务报表）" xfId="6461"/>
    <cellStyle name="常规 6 3" xfId="6462"/>
    <cellStyle name="好_财务费用_明细表 2 4" xfId="6463"/>
    <cellStyle name="好_1预收款项 4 2 5" xfId="6464"/>
    <cellStyle name="_应收账款账龄--04、05 2" xfId="6465"/>
    <cellStyle name="_雨润损益明细(Kpmg第三稿)_Sheet1" xfId="6466"/>
    <cellStyle name="常规 3 14 2" xfId="6467"/>
    <cellStyle name="_预收帐款（2004年汇总）.0729 2" xfId="6468"/>
    <cellStyle name="_预算(总表) 2" xfId="6469"/>
    <cellStyle name="40% - 强调文字颜色 6 2 5" xfId="6470"/>
    <cellStyle name="_预提费用" xfId="6471"/>
    <cellStyle name="_长短期借款明细12.31" xfId="6472"/>
    <cellStyle name="_长短期借款明细12.31 2" xfId="6473"/>
    <cellStyle name="_长短期借款明细12.31_Sheet1" xfId="6474"/>
    <cellStyle name="_长短期借款明细12.31_Sheet1 2" xfId="6475"/>
    <cellStyle name="好_底稿设置宏 4 2 6" xfId="6476"/>
    <cellStyle name="_赵倩-往来" xfId="6477"/>
    <cellStyle name="40% - 强调文字颜色 6 6" xfId="6478"/>
    <cellStyle name="_赵倩-往来 2" xfId="6479"/>
    <cellStyle name="40% - 强调文字颜色 6 6 2" xfId="6480"/>
    <cellStyle name="_中国神华统一会计报表（讨论稿）" xfId="6481"/>
    <cellStyle name="常规 4 6 6 2" xfId="6482"/>
    <cellStyle name="差_ZD 应收账款" xfId="6483"/>
    <cellStyle name="_中企华与毕马威评估增减值调整分析-国际贸易 2" xfId="6484"/>
    <cellStyle name="_中企华与毕马威评估增减值调整分析-国际贸易_B12.Shenshuo.剥离核对表2000-2003 2" xfId="6485"/>
    <cellStyle name="差_无形资产 5 2 6" xfId="6486"/>
    <cellStyle name="常规 39 4" xfId="6487"/>
    <cellStyle name="_重庆华鼎－损益表－2005" xfId="6488"/>
    <cellStyle name="差_复件 固定资产 3_明细表 5" xfId="6489"/>
    <cellStyle name="标题 5 3 7" xfId="6490"/>
    <cellStyle name="_重庆华鼎－损益表－2005 2" xfId="6491"/>
    <cellStyle name="_资产负债表(单位序号).20051222" xfId="6492"/>
    <cellStyle name="00 9 3" xfId="6493"/>
    <cellStyle name="40% - 强调文字颜色 5 2 2 10" xfId="6494"/>
    <cellStyle name="_资产相关表格" xfId="6495"/>
    <cellStyle name="千位分隔 2 3 2 5 2 3" xfId="6496"/>
    <cellStyle name="00 5 2" xfId="6497"/>
    <cellStyle name="_淄博 jnl list 2" xfId="6498"/>
    <cellStyle name="_淄博 jnl list_pbc 080630 current liability 2" xfId="6499"/>
    <cellStyle name="好_19-无形资产（空白模板） 5_明细表 2" xfId="6500"/>
    <cellStyle name="_子公司填表" xfId="6501"/>
    <cellStyle name="百分比 3 14" xfId="6502"/>
    <cellStyle name="_子公司填表 2" xfId="6503"/>
    <cellStyle name="好_无形资产 12_明细表 3" xfId="6504"/>
    <cellStyle name="百分比 3 16" xfId="6505"/>
    <cellStyle name="百分比 3 21" xfId="6506"/>
    <cellStyle name="_子公司填表 4" xfId="6507"/>
    <cellStyle name="_组织架构表 13 及其他应收款预付加油站 7" xfId="6508"/>
    <cellStyle name="好_银行函证结果汇总表 14_明细表" xfId="6509"/>
    <cellStyle name="_组织架构表 13 及其他应收款预付加油站 7 2" xfId="6510"/>
    <cellStyle name="好_资产负债标准底稿 13 2 4" xfId="6511"/>
    <cellStyle name="_组织架构表 13 及其他应收款预付加油站 7_H1-3 Addition list " xfId="6512"/>
    <cellStyle name="_组织架构表 13 及其他应收款预付加油站 7_H1-3 Addition list  2" xfId="6513"/>
    <cellStyle name="好_55-资产减值损失（空白模板） 10_明细表 4" xfId="6514"/>
    <cellStyle name="好_1资产减值损失 11_明细表" xfId="6515"/>
    <cellStyle name="_组织架构表 13 及其他应收款预付加油站 7_Sheet1" xfId="6516"/>
    <cellStyle name="好_27-短期借款(空白模板) 4 3" xfId="6517"/>
    <cellStyle name="0,0_x000d__x000a_NA_x000d__x000a_ 5" xfId="6518"/>
    <cellStyle name="好_1资产减值损失 11_明细表 2" xfId="6519"/>
    <cellStyle name="_组织架构表 13 及其他应收款预付加油站 7_Sheet1 2" xfId="6520"/>
    <cellStyle name="常规 2 4 2 2 3" xfId="6521"/>
    <cellStyle name="差_1持有至到期投资 2" xfId="6522"/>
    <cellStyle name="_组织架构表 13 及其他应收款预付加油站 7_固定资产增加2" xfId="6523"/>
    <cellStyle name="常规 2 4 2 2 3 2" xfId="6524"/>
    <cellStyle name="差_1持有至到期投资 2 2" xfId="6525"/>
    <cellStyle name="_组织架构表 13 及其他应收款预付加油站 7_固定资产增加2 2" xfId="6526"/>
    <cellStyle name="{Comma [0]}" xfId="6527"/>
    <cellStyle name="{Comma [0]} 2" xfId="6528"/>
    <cellStyle name="好__dxn_temp空白表页 14 3" xfId="6529"/>
    <cellStyle name="60% - Accent4" xfId="6530"/>
    <cellStyle name="SAPBEXexcCritical5 3" xfId="6531"/>
    <cellStyle name="{Month}" xfId="6532"/>
    <cellStyle name="{Thousand [0]}" xfId="6533"/>
    <cellStyle name="{Thousand [0]} 2" xfId="6534"/>
    <cellStyle name="好_资产负债标准底稿_大信底稿目录 4 3" xfId="6535"/>
    <cellStyle name="好_1资产减值损失 4 2 5" xfId="6536"/>
    <cellStyle name="{Z'0000(4 dec)}" xfId="6537"/>
    <cellStyle name="差_专项应付款 8 2 5" xfId="6538"/>
    <cellStyle name="好_1财务费用 3 3 2" xfId="6539"/>
    <cellStyle name="‡" xfId="6540"/>
    <cellStyle name="0%" xfId="6541"/>
    <cellStyle name="00 13" xfId="6542"/>
    <cellStyle name="0% 10 2" xfId="6543"/>
    <cellStyle name="00 5 2 3" xfId="6544"/>
    <cellStyle name="好_FJ其他应付款 4" xfId="6545"/>
    <cellStyle name="好_4-应收账款（空白模板） 14 2 4" xfId="6546"/>
    <cellStyle name="好_19-无形资产（空白模板） 16 2 5" xfId="6547"/>
    <cellStyle name="Accent1 - 40% 3 2" xfId="6548"/>
    <cellStyle name="00 13 2" xfId="6549"/>
    <cellStyle name="0% 10 2 2" xfId="6550"/>
    <cellStyle name="00 20" xfId="6551"/>
    <cellStyle name="00 15" xfId="6552"/>
    <cellStyle name="好_无形资产 15_明细表" xfId="6553"/>
    <cellStyle name="00 2 2 11" xfId="6554"/>
    <cellStyle name="好_27-短期借款(空白模板) 2 2 3" xfId="6555"/>
    <cellStyle name="0% 10 4" xfId="6556"/>
    <cellStyle name="0% 11" xfId="6557"/>
    <cellStyle name="好_大信底稿目录 15 2 2" xfId="6558"/>
    <cellStyle name="差_40-专项应付款(空白模板) 16 2" xfId="6559"/>
    <cellStyle name="0% 13" xfId="6560"/>
    <cellStyle name="好_1预付款项_明细表" xfId="6561"/>
    <cellStyle name="0% 13 2" xfId="6562"/>
    <cellStyle name="好_大信底稿目录 15 2 3" xfId="6563"/>
    <cellStyle name="0% 14" xfId="6564"/>
    <cellStyle name="0% 22" xfId="6565"/>
    <cellStyle name="0% 17" xfId="6566"/>
    <cellStyle name="常规 3 4 2 11" xfId="6567"/>
    <cellStyle name="差_资产负债标准底稿 7 2" xfId="6568"/>
    <cellStyle name="40% - 强调文字颜色 3 2 3_附注表一（财务报表）" xfId="6569"/>
    <cellStyle name="差_F4应付账款" xfId="6570"/>
    <cellStyle name="0% 17 2" xfId="6571"/>
    <cellStyle name="好_1预收款项 14_附注表一（财务报表）" xfId="6572"/>
    <cellStyle name="0.00% 2 2" xfId="6573"/>
    <cellStyle name="0% 24" xfId="6574"/>
    <cellStyle name="0% 19" xfId="6575"/>
    <cellStyle name="0% 2 10 2" xfId="6576"/>
    <cellStyle name="好_营业收入 4 2 6" xfId="6577"/>
    <cellStyle name="60% - 强调文字颜色 1 2 3 7" xfId="6578"/>
    <cellStyle name="好_短期借款 3 2 4" xfId="6579"/>
    <cellStyle name="00 2 2 6" xfId="6580"/>
    <cellStyle name="好_54-财务费用（空白模板） 14 3" xfId="6581"/>
    <cellStyle name="0% 2 12" xfId="6582"/>
    <cellStyle name="好_1财务费用 5 2 4" xfId="6583"/>
    <cellStyle name="0% 2 12 2" xfId="6584"/>
    <cellStyle name="Comma  - Style6 2" xfId="6585"/>
    <cellStyle name="60% - 强调文字颜色 1 2 3 8" xfId="6586"/>
    <cellStyle name="好_短期借款 3 2 5" xfId="6587"/>
    <cellStyle name="00 2 2 7" xfId="6588"/>
    <cellStyle name="好_1-销售与收款循环" xfId="6589"/>
    <cellStyle name="0% 2 13" xfId="6590"/>
    <cellStyle name="0% 2 17" xfId="6591"/>
    <cellStyle name="差_Sheet1 2 11" xfId="6592"/>
    <cellStyle name="0% 2 2 2" xfId="6593"/>
    <cellStyle name="0% 2 3" xfId="6594"/>
    <cellStyle name="0% 2 4" xfId="6595"/>
    <cellStyle name="好_30-应付账款（空白模板） 18" xfId="6596"/>
    <cellStyle name="好_30-应付账款（空白模板） 23" xfId="6597"/>
    <cellStyle name="好_1应收利息 3 3" xfId="6598"/>
    <cellStyle name="常规 3 3 2 2 8 3 4" xfId="6599"/>
    <cellStyle name="0% 2 4 2" xfId="6600"/>
    <cellStyle name="0% 2 5" xfId="6601"/>
    <cellStyle name="60% - 强调文字颜色 1 2 11" xfId="6602"/>
    <cellStyle name="好_固定资产循环7-1 3 2" xfId="6603"/>
    <cellStyle name="Euro 29" xfId="6604"/>
    <cellStyle name="差_15-固定资产（空白模板） 8_明细表" xfId="6605"/>
    <cellStyle name="0% 2 7" xfId="6606"/>
    <cellStyle name="好_资产负债标准底稿_大信底稿目录 11 3" xfId="6607"/>
    <cellStyle name="0% 2 7 2" xfId="6608"/>
    <cellStyle name="0% 30" xfId="6609"/>
    <cellStyle name="0% 25" xfId="6610"/>
    <cellStyle name="0% 31" xfId="6611"/>
    <cellStyle name="0% 26" xfId="6612"/>
    <cellStyle name="常规 3 28_附注表一（财务报表）" xfId="6613"/>
    <cellStyle name="好_1财务费用_明细表 2 2" xfId="6614"/>
    <cellStyle name="0% 34" xfId="6615"/>
    <cellStyle name="0% 29" xfId="6616"/>
    <cellStyle name="0% 3" xfId="6617"/>
    <cellStyle name="差_49-营业收入（空白模板） 8 2 3" xfId="6618"/>
    <cellStyle name="常规 5 2 2 3 2" xfId="6619"/>
    <cellStyle name="20% - 强调文字颜色 5 2 2_附注表一（财务报表）" xfId="6620"/>
    <cellStyle name="0% 3 2" xfId="6621"/>
    <cellStyle name="0% 3 2 2" xfId="6622"/>
    <cellStyle name="0% 3 2 3" xfId="6623"/>
    <cellStyle name="0% 3 3" xfId="6624"/>
    <cellStyle name="好_应付职工薪酬 - 复制 2 2" xfId="6625"/>
    <cellStyle name="差_预收款项 11_明细表" xfId="6626"/>
    <cellStyle name="差_预收款项 11_明细表 2" xfId="6627"/>
    <cellStyle name="0% 3 3 2" xfId="6628"/>
    <cellStyle name="20% - 强调文字颜色 6 5 2" xfId="6629"/>
    <cellStyle name="0% 3 6" xfId="6630"/>
    <cellStyle name="0% 4" xfId="6631"/>
    <cellStyle name="好_ZA0货币资金审定表  16" xfId="6632"/>
    <cellStyle name="好_ZA0货币资金审定表  21" xfId="6633"/>
    <cellStyle name="差_黄金项目组审计人员通讯录_明细表 4" xfId="6634"/>
    <cellStyle name="0% 4 2 3" xfId="6635"/>
    <cellStyle name="0% 4 3" xfId="6636"/>
    <cellStyle name="好_应付职工薪酬 - 复制 3 2" xfId="6637"/>
    <cellStyle name="0% 4 4" xfId="6638"/>
    <cellStyle name="好_应付职工薪酬 - 复制 3 3" xfId="6639"/>
    <cellStyle name="0% 4 5" xfId="6640"/>
    <cellStyle name="20% - 强调文字颜色 6 6 2" xfId="6641"/>
    <cellStyle name="0% 4 6" xfId="6642"/>
    <cellStyle name="0% 5" xfId="6643"/>
    <cellStyle name="差_短期借款 6_明细表 3" xfId="6644"/>
    <cellStyle name="0% 5 2 2" xfId="6645"/>
    <cellStyle name="差_短期借款 6_明细表 4" xfId="6646"/>
    <cellStyle name="0% 5 2 3" xfId="6647"/>
    <cellStyle name="好_FQ 一年内到期的非流动负债 2" xfId="6648"/>
    <cellStyle name="0% 5 3" xfId="6649"/>
    <cellStyle name="0% 5 3 2" xfId="6650"/>
    <cellStyle name="差_55-资产减值损失（空白模板） 10_明细表" xfId="6651"/>
    <cellStyle name="40% - 强调文字颜色 6 2 2 10" xfId="6652"/>
    <cellStyle name="0% 5 4" xfId="6653"/>
    <cellStyle name="40% - 强调文字颜色 6 2 2 11" xfId="6654"/>
    <cellStyle name="0% 5 5" xfId="6655"/>
    <cellStyle name="0% 6" xfId="6656"/>
    <cellStyle name="好_15-固定资产（空白模板） 8_明细表" xfId="6657"/>
    <cellStyle name="差_G-应收账款 2" xfId="6658"/>
    <cellStyle name="20% - 强调文字颜色 3 2 2 10" xfId="6659"/>
    <cellStyle name="0% 6 2" xfId="6660"/>
    <cellStyle name="0% 7" xfId="6661"/>
    <cellStyle name="差_应收账款 3" xfId="6662"/>
    <cellStyle name="0% 7 2" xfId="6663"/>
    <cellStyle name="常规 5 9 2 4" xfId="6664"/>
    <cellStyle name="00 8" xfId="6665"/>
    <cellStyle name="差_应收账款 3 2" xfId="6666"/>
    <cellStyle name="0% 7 2 2" xfId="6667"/>
    <cellStyle name="好_大信底稿目录 9_附注表一（财务报表）" xfId="6668"/>
    <cellStyle name="好__dxn_temp空白表页 10 2 3" xfId="6669"/>
    <cellStyle name="差_应收账款 5" xfId="6670"/>
    <cellStyle name="0% 7 4" xfId="6671"/>
    <cellStyle name="好__dxn_temp空白表页 10 2 4" xfId="6672"/>
    <cellStyle name="差_应收账款 6" xfId="6673"/>
    <cellStyle name="差_ZD应收账款" xfId="6674"/>
    <cellStyle name="百分比 2 3 2 2" xfId="6675"/>
    <cellStyle name="0% 7 5" xfId="6676"/>
    <cellStyle name="40% - 强调文字颜色 4 3" xfId="6677"/>
    <cellStyle name="差_工程物资" xfId="6678"/>
    <cellStyle name="差_9-存货（空白模板） 4" xfId="6679"/>
    <cellStyle name="20% - 輔色5 3" xfId="6680"/>
    <cellStyle name="0% 8 2 3" xfId="6681"/>
    <cellStyle name="好_复件 固定资产 10_明细表 4" xfId="6682"/>
    <cellStyle name="entry box 3" xfId="6683"/>
    <cellStyle name="40% - 强调文字颜色 5 2" xfId="6684"/>
    <cellStyle name="好 2 3" xfId="6685"/>
    <cellStyle name="20% - 輔色6 2" xfId="6686"/>
    <cellStyle name="0% 8 3 2" xfId="6687"/>
    <cellStyle name="百分比 2 3 3 2" xfId="6688"/>
    <cellStyle name="0% 8 5" xfId="6689"/>
    <cellStyle name="0% 9" xfId="6690"/>
    <cellStyle name="믅됞_PRODUCT DETAIL Q1" xfId="6691"/>
    <cellStyle name="0% 9 2" xfId="6692"/>
    <cellStyle name="0% 9 2 2" xfId="6693"/>
    <cellStyle name="0% 9 3 2" xfId="6694"/>
    <cellStyle name="好_复件 固定资产 6_明细表 4" xfId="6695"/>
    <cellStyle name="好_1营业收入 10_明细表 3" xfId="6696"/>
    <cellStyle name="好_1专项应付款_明细表_1" xfId="6697"/>
    <cellStyle name="0% 9 4" xfId="6698"/>
    <cellStyle name="好_财务费用000" xfId="6699"/>
    <cellStyle name="常规 179 2 5" xfId="6700"/>
    <cellStyle name="差_30-应付账款（空白模板） 4 3" xfId="6701"/>
    <cellStyle name="0%_Spreadsheet" xfId="6702"/>
    <cellStyle name="60% - 强调文字颜色 2 2 2 2" xfId="6703"/>
    <cellStyle name="差 7" xfId="6704"/>
    <cellStyle name="0,0_x000d__x000a_NA_x000d__x000a_" xfId="6705"/>
    <cellStyle name="差_附注表(一) 4" xfId="6706"/>
    <cellStyle name="0,0_x000d__x000a_NA_x000d__x000a_ 10" xfId="6707"/>
    <cellStyle name="好_无形资产 2 4" xfId="6708"/>
    <cellStyle name="好_32-应付职工薪酬(空白模板) 3 3" xfId="6709"/>
    <cellStyle name="0,0_x000d__x000a_NA_x000d__x000a_ 2 2 2" xfId="6710"/>
    <cellStyle name="0,0_x000d__x000a_NA_x000d__x000a_ 2 3" xfId="6711"/>
    <cellStyle name="0,0_x000d__x000a_NA_x000d__x000a_ 2 5" xfId="6712"/>
    <cellStyle name="0,0_x000d__x000a_NA_x000d__x000a_ 2 6" xfId="6713"/>
    <cellStyle name="0,0_x000d__x000a_NA_x000d__x000a_ 3 2" xfId="6714"/>
    <cellStyle name="0,0_x000d__x000a_NA_x000d__x000a_ 3 3" xfId="6715"/>
    <cellStyle name="0,0_x000d__x000a_NA_x000d__x000a_ 3 4" xfId="6716"/>
    <cellStyle name="好_大信底稿目录 5_明细表 2" xfId="6717"/>
    <cellStyle name="0,0_x000d__x000a_NA_x000d__x000a_ 3 5" xfId="6718"/>
    <cellStyle name="好_大信底稿目录 5_明细表 4" xfId="6719"/>
    <cellStyle name="好_1短期借款 9 2 2" xfId="6720"/>
    <cellStyle name="0,0_x000d__x000a_NA_x000d__x000a_ 3 7" xfId="6721"/>
    <cellStyle name="好_大信底稿目录 5_明细表 5" xfId="6722"/>
    <cellStyle name="好_1短期借款 9 2 3" xfId="6723"/>
    <cellStyle name="0,0_x000d__x000a_NA_x000d__x000a_ 3 8" xfId="6724"/>
    <cellStyle name="好_49-营业收入（空白模板） 6_明细表" xfId="6725"/>
    <cellStyle name="好_27-短期借款(空白模板) 4 2" xfId="6726"/>
    <cellStyle name="0,0_x000d__x000a_NA_x000d__x000a_ 4" xfId="6727"/>
    <cellStyle name="好_49-营业收入（空白模板） 6_明细表 3" xfId="6728"/>
    <cellStyle name="好_27-短期借款(空白模板) 4 2 3" xfId="6729"/>
    <cellStyle name="0,0_x000d__x000a_NA_x000d__x000a_ 4 3" xfId="6730"/>
    <cellStyle name="好_27-短期借款(空白模板) 4 3 2" xfId="6731"/>
    <cellStyle name="0,0_x000d__x000a_NA_x000d__x000a_ 5 2" xfId="6732"/>
    <cellStyle name="0,0_x000d__x000a_NA_x000d__x000a_ 5 3" xfId="6733"/>
    <cellStyle name="好_27-短期借款(空白模板) 4 4" xfId="6734"/>
    <cellStyle name="好_1固定资产 7_附注表一（财务报表）" xfId="6735"/>
    <cellStyle name="0,0_x000d__x000a_NA_x000d__x000a_ 6" xfId="6736"/>
    <cellStyle name="好_1预收款项 16" xfId="6737"/>
    <cellStyle name="好_1预收款项 21" xfId="6738"/>
    <cellStyle name="0,0_x000d__x000a_NA_x000d__x000a_ 6 2" xfId="6739"/>
    <cellStyle name="常规 2 10 3_附注表一（财务报表）" xfId="6740"/>
    <cellStyle name="40% - 强调文字颜色 6 2_Spreadsheet" xfId="6741"/>
    <cellStyle name="好_1预收款项 17" xfId="6742"/>
    <cellStyle name="好_1预收款项 22" xfId="6743"/>
    <cellStyle name="0,0_x000d__x000a_NA_x000d__x000a_ 6 3" xfId="6744"/>
    <cellStyle name="好_预付款项_明细表 3" xfId="6745"/>
    <cellStyle name="0,0_x000d__x000a_NA_x000d__x000a_ 8" xfId="6746"/>
    <cellStyle name="0,0_x000d__x000a_NA_x000d__x000a_ 8 2" xfId="6747"/>
    <cellStyle name="好_营业收入_Book2 2" xfId="6748"/>
    <cellStyle name="好_1资产减值损失 14 2 2" xfId="6749"/>
    <cellStyle name="0,0_x000d__x000a_NA_x000d__x000a_ 8 3" xfId="6750"/>
    <cellStyle name="好_预付款项_明细表 4" xfId="6751"/>
    <cellStyle name="0,0_x000d__x000a_NA_x000d__x000a_ 9" xfId="6752"/>
    <cellStyle name="gcd_100630.Group Consol Spreadsheet.v2" xfId="6753"/>
    <cellStyle name="输出 2" xfId="6754"/>
    <cellStyle name="好_51-营业税金及附加（空白模板）_Book2" xfId="6755"/>
    <cellStyle name="0.0%" xfId="6756"/>
    <cellStyle name="输出 2 2" xfId="6757"/>
    <cellStyle name="好_51-营业税金及附加（空白模板）_Book2 2" xfId="6758"/>
    <cellStyle name="0.0% 2" xfId="6759"/>
    <cellStyle name="0.0% 2 2" xfId="6760"/>
    <cellStyle name="0.0% 6" xfId="6761"/>
    <cellStyle name="0.00% 3" xfId="6762"/>
    <cellStyle name="00 10" xfId="6763"/>
    <cellStyle name="00 10 2" xfId="6764"/>
    <cellStyle name="00 10 2 2" xfId="6765"/>
    <cellStyle name="00 10 2 3" xfId="6766"/>
    <cellStyle name="00 10 3" xfId="6767"/>
    <cellStyle name="常规 11 5 2" xfId="6768"/>
    <cellStyle name="00 10 4" xfId="6769"/>
    <cellStyle name="好_40-专项应付款(空白模板) 3 2 4" xfId="6770"/>
    <cellStyle name="00 11 2" xfId="6771"/>
    <cellStyle name="20% - 强调文字颜色 4 2 12" xfId="6772"/>
    <cellStyle name="00 11 2 2" xfId="6773"/>
    <cellStyle name="00 11 2 3" xfId="6774"/>
    <cellStyle name="00 11 4" xfId="6775"/>
    <cellStyle name="好_54-财务费用（空白模板） 7 2 3" xfId="6776"/>
    <cellStyle name="常规 11 6 2" xfId="6777"/>
    <cellStyle name="00 12" xfId="6778"/>
    <cellStyle name="00 21" xfId="6779"/>
    <cellStyle name="00 16" xfId="6780"/>
    <cellStyle name="好_财务费用 9 2" xfId="6781"/>
    <cellStyle name="00 2 2 12" xfId="6782"/>
    <cellStyle name="好_复件 固定资产 2 2" xfId="6783"/>
    <cellStyle name="00 17 2" xfId="6784"/>
    <cellStyle name="好_复件 固定资产 3" xfId="6785"/>
    <cellStyle name="好__dxn_temp空白表页_明细表" xfId="6786"/>
    <cellStyle name="00 23" xfId="6787"/>
    <cellStyle name="00 18" xfId="6788"/>
    <cellStyle name="好_专项应付款 11_明细表" xfId="6789"/>
    <cellStyle name="好_复件 固定资产 3 2" xfId="6790"/>
    <cellStyle name="00 18 2" xfId="6791"/>
    <cellStyle name="好_1财务费用 6" xfId="6792"/>
    <cellStyle name="好__dxn_temp空白表页_明细表 2" xfId="6793"/>
    <cellStyle name="好_复件 固定资产 3 3" xfId="6794"/>
    <cellStyle name="00 18 3" xfId="6795"/>
    <cellStyle name="好_1财务费用 7" xfId="6796"/>
    <cellStyle name="好__dxn_temp空白表页_明细表 3" xfId="6797"/>
    <cellStyle name="00 18 4" xfId="6798"/>
    <cellStyle name="好_1财务费用 8" xfId="6799"/>
    <cellStyle name="好__dxn_temp空白表页_明细表 4" xfId="6800"/>
    <cellStyle name="差_ZG应收保费 5 2" xfId="6801"/>
    <cellStyle name="00 18 5" xfId="6802"/>
    <cellStyle name="好_1财务费用 9" xfId="6803"/>
    <cellStyle name="好__dxn_temp空白表页_明细表 5" xfId="6804"/>
    <cellStyle name="差_ZG应收保费 5 3" xfId="6805"/>
    <cellStyle name="好__dxn_temp空白表页_明细表 6" xfId="6806"/>
    <cellStyle name="00 18 6" xfId="6807"/>
    <cellStyle name="好_复件 固定资产 3_附注表一（财务报表）" xfId="6808"/>
    <cellStyle name="差_预收款项 29" xfId="6809"/>
    <cellStyle name="差_预收款项 34" xfId="6810"/>
    <cellStyle name="00 18_附注表一（财务报表）" xfId="6811"/>
    <cellStyle name="好_复件 固定资产 4" xfId="6812"/>
    <cellStyle name="00 24" xfId="6813"/>
    <cellStyle name="00 19" xfId="6814"/>
    <cellStyle name="差_31-预收账款（空白模板） 6_明细表" xfId="6815"/>
    <cellStyle name="00 2 10 2" xfId="6816"/>
    <cellStyle name="00 2 11" xfId="6817"/>
    <cellStyle name="00 2 12" xfId="6818"/>
    <cellStyle name="好_30-应付账款（空白模板） 13_明细表 5" xfId="6819"/>
    <cellStyle name="好_31-预收账款（空白模板） 11 2 5" xfId="6820"/>
    <cellStyle name="00 2 13 2" xfId="6821"/>
    <cellStyle name="00 2 14" xfId="6822"/>
    <cellStyle name="好_短期借款 15 2 3" xfId="6823"/>
    <cellStyle name="00 2 2" xfId="6824"/>
    <cellStyle name="Normal - Style1 6" xfId="6825"/>
    <cellStyle name="60% - 强调文字颜色 1 2 3 3" xfId="6826"/>
    <cellStyle name="好_4-应收账款（空白模板） 11 2 3" xfId="6827"/>
    <cellStyle name="好_19-无形资产（空白模板） 13 2 4" xfId="6828"/>
    <cellStyle name="00 2 2 2" xfId="6829"/>
    <cellStyle name="好_财务费用 2 5" xfId="6830"/>
    <cellStyle name="00 2 3 2" xfId="6831"/>
    <cellStyle name="好_短期借款 3 3 2" xfId="6832"/>
    <cellStyle name="差_复件 固定资产 7_明细表" xfId="6833"/>
    <cellStyle name="00 2 3 4" xfId="6834"/>
    <cellStyle name="差_预收款项 6 2 3" xfId="6835"/>
    <cellStyle name="00 2 4 3" xfId="6836"/>
    <cellStyle name="常规 2 2 7 5 3" xfId="6837"/>
    <cellStyle name="差_预收款项 6 3" xfId="6838"/>
    <cellStyle name="00 2 5" xfId="6839"/>
    <cellStyle name="好_财务费用 4 5" xfId="6840"/>
    <cellStyle name="00 2 5 2" xfId="6841"/>
    <cellStyle name="好_财务费用 5 5" xfId="6842"/>
    <cellStyle name="好_1固定资产_明细表 3" xfId="6843"/>
    <cellStyle name="00 2 6 2" xfId="6844"/>
    <cellStyle name="00 2 7" xfId="6845"/>
    <cellStyle name="好_财务费用 6 5" xfId="6846"/>
    <cellStyle name="好_40-专项应付款(空白模板)_明细表 2 3" xfId="6847"/>
    <cellStyle name="00 2 7 2" xfId="6848"/>
    <cellStyle name="00 2 8" xfId="6849"/>
    <cellStyle name="00 2 8 2" xfId="6850"/>
    <cellStyle name="好_50-营业成本（空白模板） 6 2 2" xfId="6851"/>
    <cellStyle name="千位分隔 3 3 7" xfId="6852"/>
    <cellStyle name="00 3" xfId="6853"/>
    <cellStyle name="好_无形资产 4 2 2" xfId="6854"/>
    <cellStyle name="20% - 强调文字颜色 4 2 6" xfId="6855"/>
    <cellStyle name="千位分隔 7 17" xfId="6856"/>
    <cellStyle name="差_专项应付款 19" xfId="6857"/>
    <cellStyle name="差_专项应付款 24" xfId="6858"/>
    <cellStyle name="好_财务费用 14_附注表一（财务报表）" xfId="6859"/>
    <cellStyle name="00 3 2" xfId="6860"/>
    <cellStyle name="差_1-了解被审计单位及其环境（不包括内控） 3" xfId="6861"/>
    <cellStyle name="好_4-应收账款（空白模板） 12 2 3" xfId="6862"/>
    <cellStyle name="好_资产负债类底稿模版 15 5" xfId="6863"/>
    <cellStyle name="好_19-无形资产（空白模板） 14 2 4" xfId="6864"/>
    <cellStyle name="00 3 2 2" xfId="6865"/>
    <cellStyle name="好_无形资产 4 2 4" xfId="6866"/>
    <cellStyle name="20% - 强调文字颜色 4 2 8" xfId="6867"/>
    <cellStyle name="常规 2 2 7 6 2" xfId="6868"/>
    <cellStyle name="差_专项应付款 26" xfId="6869"/>
    <cellStyle name="差_专项应付款 31" xfId="6870"/>
    <cellStyle name="差_预收款项 7 2" xfId="6871"/>
    <cellStyle name="00 3 4" xfId="6872"/>
    <cellStyle name="好_50-营业成本（空白模板） 6 2 3" xfId="6873"/>
    <cellStyle name="千位分隔 3 3 8" xfId="6874"/>
    <cellStyle name="00 4" xfId="6875"/>
    <cellStyle name="好_1-销售与收款循环 5" xfId="6876"/>
    <cellStyle name="好_4-应收账款（空白模板） 13 2 3" xfId="6877"/>
    <cellStyle name="好_19-无形资产（空白模板） 15 2 4" xfId="6878"/>
    <cellStyle name="00 4 2 2" xfId="6879"/>
    <cellStyle name="好_4-应收账款（空白模板） 13 2 4" xfId="6880"/>
    <cellStyle name="好_19-无形资产（空白模板） 15 2 5" xfId="6881"/>
    <cellStyle name="00 4 2 3" xfId="6882"/>
    <cellStyle name="00 4 3 2" xfId="6883"/>
    <cellStyle name="差_预收款项 8 2" xfId="6884"/>
    <cellStyle name="00 4 4" xfId="6885"/>
    <cellStyle name="千位分隔 2 3 2 5 2 4" xfId="6886"/>
    <cellStyle name="00 5 3" xfId="6887"/>
    <cellStyle name="wrap" xfId="6888"/>
    <cellStyle name="00 5 3 2" xfId="6889"/>
    <cellStyle name="好_50-营业成本（空白模板） 6 2 5" xfId="6890"/>
    <cellStyle name="常规 5 9 2 2" xfId="6891"/>
    <cellStyle name="00 6" xfId="6892"/>
    <cellStyle name="00 6 2" xfId="6893"/>
    <cellStyle name="好_4-应收账款（空白模板） 15 2 3" xfId="6894"/>
    <cellStyle name="好_19-无形资产（空白模板） 17 2 4" xfId="6895"/>
    <cellStyle name="00 6 2 2" xfId="6896"/>
    <cellStyle name="常规 11 3 2 2 9" xfId="6897"/>
    <cellStyle name="好_4-应收账款（空白模板） 15 2 4" xfId="6898"/>
    <cellStyle name="好_19-无形资产（空白模板） 17 2 5" xfId="6899"/>
    <cellStyle name="00 6 2 3" xfId="6900"/>
    <cellStyle name="好_15-固定资产（空白模板） 7 2 2" xfId="6901"/>
    <cellStyle name="00 6 3" xfId="6902"/>
    <cellStyle name="00 7 2" xfId="6903"/>
    <cellStyle name="好_4-应收账款（空白模板） 16 2 3" xfId="6904"/>
    <cellStyle name="00 7 2 2" xfId="6905"/>
    <cellStyle name="好_4-应收账款（空白模板） 16 2 4" xfId="6906"/>
    <cellStyle name="00 7 2 3" xfId="6907"/>
    <cellStyle name="00 7 3" xfId="6908"/>
    <cellStyle name="好__dxn_temp空白表页 11" xfId="6909"/>
    <cellStyle name="00 7 3 2" xfId="6910"/>
    <cellStyle name="好_4-应收账款（空白模板） 17 2 4" xfId="6911"/>
    <cellStyle name="好_2009 聊城final PBC V3 2" xfId="6912"/>
    <cellStyle name="00 8 2 3" xfId="6913"/>
    <cellStyle name="00 8 4" xfId="6914"/>
    <cellStyle name="好_49-营业收入（空白模板） 17" xfId="6915"/>
    <cellStyle name="好_49-营业收入（空白模板） 22" xfId="6916"/>
    <cellStyle name="常规 38 3 2" xfId="6917"/>
    <cellStyle name="00_附注表一（财务报表）" xfId="6918"/>
    <cellStyle name="标题 4 2 7" xfId="6919"/>
    <cellStyle name="20% - Accent1" xfId="6920"/>
    <cellStyle name="Normal - Style1 7 3" xfId="6921"/>
    <cellStyle name="20% - Accent4 2 2" xfId="6922"/>
    <cellStyle name="20% - 强调文字颜色 4 3 2" xfId="6923"/>
    <cellStyle name="20% - Accent6" xfId="6924"/>
    <cellStyle name="常规 2 2 2 18 5" xfId="6925"/>
    <cellStyle name="20% - Accent6 2 2" xfId="6926"/>
    <cellStyle name="20% - 强调文字颜色 6 3 2" xfId="6927"/>
    <cellStyle name="好_1应付职工薪酬 3 4" xfId="6928"/>
    <cellStyle name="好_财务费用_明细表 4" xfId="6929"/>
    <cellStyle name="20% - 輔色1" xfId="6930"/>
    <cellStyle name="Comma 3 3" xfId="6931"/>
    <cellStyle name="常规 8 2" xfId="6932"/>
    <cellStyle name="20% - 輔色1 3" xfId="6933"/>
    <cellStyle name="Comma 3 3 3" xfId="6934"/>
    <cellStyle name="常规 8 3" xfId="6935"/>
    <cellStyle name="20% - 輔色1 4" xfId="6936"/>
    <cellStyle name="20% - 輔色1 5" xfId="6937"/>
    <cellStyle name="好_1短期借款 5_明细表 2" xfId="6938"/>
    <cellStyle name="常规 8 4" xfId="6939"/>
    <cellStyle name="20% - 輔色1 6" xfId="6940"/>
    <cellStyle name="好_1短期借款 5_明细表 3" xfId="6941"/>
    <cellStyle name="常规 8 5" xfId="6942"/>
    <cellStyle name="Normal 3 3 3" xfId="6943"/>
    <cellStyle name="40% - 强调文字颜色 1 2" xfId="6944"/>
    <cellStyle name="常规 5 2_Spreadsheet" xfId="6945"/>
    <cellStyle name="20% - 輔色2 2" xfId="6946"/>
    <cellStyle name="Comma 3 4 2" xfId="6947"/>
    <cellStyle name="好_1预收款项 14 2 2" xfId="6948"/>
    <cellStyle name="40% - 强调文字颜色 1 3" xfId="6949"/>
    <cellStyle name="常规 9 2" xfId="6950"/>
    <cellStyle name="20% - 輔色2 3" xfId="6951"/>
    <cellStyle name="好_50-营业成本（空白模板） 15_明细表 2" xfId="6952"/>
    <cellStyle name="好_1预收款项 14 2 3" xfId="6953"/>
    <cellStyle name="40% - 强调文字颜色 1 4" xfId="6954"/>
    <cellStyle name="20% - 强调文字颜色 2 2_Spreadsheet" xfId="6955"/>
    <cellStyle name="常规 9 3" xfId="6956"/>
    <cellStyle name="20% - 輔色2 4" xfId="6957"/>
    <cellStyle name="常规 2 3 2 2 5 2 3" xfId="6958"/>
    <cellStyle name="40% - 强调文字颜色 2 2" xfId="6959"/>
    <cellStyle name="超链接 2 7 2 4" xfId="6960"/>
    <cellStyle name="常规 2 2 3_附注表一（财务报表）" xfId="6961"/>
    <cellStyle name="差_报表层次重要性水平 2" xfId="6962"/>
    <cellStyle name="20% - 輔色3 2" xfId="6963"/>
    <cellStyle name="Comma 3 5 2" xfId="6964"/>
    <cellStyle name="常规 2 3 2 2 5 2 4" xfId="6965"/>
    <cellStyle name="40% - 强调文字颜色 2 3" xfId="6966"/>
    <cellStyle name="超链接 2 7 2 5" xfId="6967"/>
    <cellStyle name="差_报表层次重要性水平 3" xfId="6968"/>
    <cellStyle name="20% - 輔色3 3" xfId="6969"/>
    <cellStyle name="40% - 强调文字颜色 2 4" xfId="6970"/>
    <cellStyle name="常规 3 3 2 2 2 5 2 2" xfId="6971"/>
    <cellStyle name="常规 2 3 2 2 5 2 5" xfId="6972"/>
    <cellStyle name="差_报表层次重要性水平 4" xfId="6973"/>
    <cellStyle name="20% - 輔色3 4" xfId="6974"/>
    <cellStyle name="好_短期借款 6_明细表 5" xfId="6975"/>
    <cellStyle name="常规 4 2 7 2" xfId="6976"/>
    <cellStyle name="40% - 强调文字颜色 3 5" xfId="6977"/>
    <cellStyle name="20% - 輔色4 5" xfId="6978"/>
    <cellStyle name="常规 4 2 7 3" xfId="6979"/>
    <cellStyle name="40% - 强调文字颜色 3 6" xfId="6980"/>
    <cellStyle name="常规 3 2 2 2 2 3 2" xfId="6981"/>
    <cellStyle name="20% - 輔色4 6" xfId="6982"/>
    <cellStyle name="常规 4 2 8 2" xfId="6983"/>
    <cellStyle name="40% - 强调文字颜色 4 5" xfId="6984"/>
    <cellStyle name="20% - 輔色5 5" xfId="6985"/>
    <cellStyle name="好_复件 固定资产 10_明细表 5" xfId="6986"/>
    <cellStyle name="entry box 4" xfId="6987"/>
    <cellStyle name="40% - 强调文字颜色 5 3" xfId="6988"/>
    <cellStyle name="好 2 4" xfId="6989"/>
    <cellStyle name="20% - 輔色6 3" xfId="6990"/>
    <cellStyle name="常规 4 2 9 2" xfId="6991"/>
    <cellStyle name="entry box 6" xfId="6992"/>
    <cellStyle name="40% - 强调文字颜色 5 5" xfId="6993"/>
    <cellStyle name="好 2 6" xfId="6994"/>
    <cellStyle name="20% - 輔色6 5" xfId="6995"/>
    <cellStyle name="好_40-专项应付款(空白模板) 17 5" xfId="6996"/>
    <cellStyle name="好_40-专项应付款(空白模板) 10_明细表 5" xfId="6997"/>
    <cellStyle name="好_30-应付账款（空白模板） 15_明细表 3" xfId="6998"/>
    <cellStyle name="20% - 强调文字颜色 1 2" xfId="6999"/>
    <cellStyle name="60% - 强调文字颜色 1 4" xfId="7000"/>
    <cellStyle name="20% - 强调文字颜色 4 2 2 9" xfId="7001"/>
    <cellStyle name="20% - 强调文字颜色 1 2 11" xfId="7002"/>
    <cellStyle name="60% - 强调文字颜色 1 5" xfId="7003"/>
    <cellStyle name="20% - 强调文字颜色 1 2 12" xfId="7004"/>
    <cellStyle name="40% - 强调文字颜色 2 2 7" xfId="7005"/>
    <cellStyle name="20% - 强调文字颜色 1 2 2" xfId="7006"/>
    <cellStyle name="好_1资产减值损失 8 2 5" xfId="7007"/>
    <cellStyle name="常规 9 5 5 4" xfId="7008"/>
    <cellStyle name="20% - 强调文字颜色 1 2 2 10" xfId="7009"/>
    <cellStyle name="40% - 强调文字颜色 3 2 2 2" xfId="7010"/>
    <cellStyle name="20% - 强调文字颜色 1 2 2 11" xfId="7011"/>
    <cellStyle name="常规 3 3 2 4 8" xfId="7012"/>
    <cellStyle name="40% - 强调文字颜色 2 2 7 2" xfId="7013"/>
    <cellStyle name="好_54-财务费用（空白模板） 2 2 6" xfId="7014"/>
    <cellStyle name="好_3-应收票据（空白模板） 4" xfId="7015"/>
    <cellStyle name="20% - 强调文字颜色 1 2 2 2" xfId="7016"/>
    <cellStyle name="好_3-应收票据（空白模板） 5" xfId="7017"/>
    <cellStyle name="20% - 强调文字颜色 1 2 2 3" xfId="7018"/>
    <cellStyle name="好_模板 2 2 2" xfId="7019"/>
    <cellStyle name="20% - 强调文字颜色 1 2 2 4" xfId="7020"/>
    <cellStyle name="好_大信底稿目录 2 2 2 2" xfId="7021"/>
    <cellStyle name="差_底稿设置宏 12_附注表一（财务报表）" xfId="7022"/>
    <cellStyle name="60% - 輔色3 6" xfId="7023"/>
    <cellStyle name="20% - 强调文字颜色 1 2 2 9" xfId="7024"/>
    <cellStyle name="60% - 强调文字颜色 2 6 2" xfId="7025"/>
    <cellStyle name="差__dxn_temp空白表页 3 5" xfId="7026"/>
    <cellStyle name="20% - 强调文字颜色 1 2 3 4" xfId="7027"/>
    <cellStyle name="60% - 輔色4 2" xfId="7028"/>
    <cellStyle name="20% - 强调文字颜色 1 2 3 5" xfId="7029"/>
    <cellStyle name="好_盈余公积" xfId="7030"/>
    <cellStyle name="差_1应付账款 2 2" xfId="7031"/>
    <cellStyle name="60% - 輔色4 4" xfId="7032"/>
    <cellStyle name="20% - 强调文字颜色 1 2 3 7" xfId="7033"/>
    <cellStyle name="差__dxn_temp空白表页 4 3" xfId="7034"/>
    <cellStyle name="20% - 强调文字颜色 3 10" xfId="7035"/>
    <cellStyle name="好_49-营业收入（空白模板） 16 2" xfId="7036"/>
    <cellStyle name="Comma[2] 2 4" xfId="7037"/>
    <cellStyle name="20% - 强调文字颜色 1 2 5" xfId="7038"/>
    <cellStyle name="好_49-营业收入（空白模板） 16 4" xfId="7039"/>
    <cellStyle name="Comma[2] 2 6" xfId="7040"/>
    <cellStyle name="20% - 强调文字颜色 1 2 7" xfId="7041"/>
    <cellStyle name="好_大信底稿目录 6" xfId="7042"/>
    <cellStyle name="20% - 强调文字颜色 1 2 7 2" xfId="7043"/>
    <cellStyle name="好_49-营业收入（空白模板） 16 5" xfId="7044"/>
    <cellStyle name="20% - 强调文字颜色 1 2 8" xfId="7045"/>
    <cellStyle name="好_49-营业收入（空白模板） 16 6" xfId="7046"/>
    <cellStyle name="20% - 强调文字颜色 1 2 9" xfId="7047"/>
    <cellStyle name="好_54-财务费用（空白模板） 3 2 6" xfId="7048"/>
    <cellStyle name="20% - 强调文字颜色 1 3 2 2" xfId="7049"/>
    <cellStyle name="20% - 强调文字颜色 1 3 3" xfId="7050"/>
    <cellStyle name="好_30-应付账款（空白模板） 15_明细表 5" xfId="7051"/>
    <cellStyle name="20% - 强调文字颜色 1 4" xfId="7052"/>
    <cellStyle name="20% - 强调文字颜色 1 4 2" xfId="7053"/>
    <cellStyle name="好_底稿设置宏 3_明细表 3" xfId="7054"/>
    <cellStyle name="20% - 强调文字颜色 1 6" xfId="7055"/>
    <cellStyle name="20% - 强调文字颜色 1 6 2" xfId="7056"/>
    <cellStyle name="20% - 强调文字颜色 1 7" xfId="7057"/>
    <cellStyle name="差__dxn_tempA空白表页 3 2" xfId="7058"/>
    <cellStyle name="20% - 强调文字颜色 1 8" xfId="7059"/>
    <cellStyle name="差__dxn_tempA空白表页 3 3" xfId="7060"/>
    <cellStyle name="20% - 强调文字颜色 1 9" xfId="7061"/>
    <cellStyle name="20% - 强调文字颜色 2 10" xfId="7062"/>
    <cellStyle name="好_ZA0货币资金审定表  2 4" xfId="7063"/>
    <cellStyle name="好_40-专项应付款(空白模板) 18 5" xfId="7064"/>
    <cellStyle name="20% - 强调文字颜色 2 2" xfId="7065"/>
    <cellStyle name="差_1应收票据 4" xfId="7066"/>
    <cellStyle name="20% - 强调文字颜色 2 2 10" xfId="7067"/>
    <cellStyle name="20% - 强调文字颜色 2 2 11" xfId="7068"/>
    <cellStyle name="40% - 强调文字颜色 3 2 7" xfId="7069"/>
    <cellStyle name="20% - 强调文字颜色 2 2 2" xfId="7070"/>
    <cellStyle name="好_1资产减值损失 9 2 5" xfId="7071"/>
    <cellStyle name="20% - 强调文字颜色 2 2 2 10" xfId="7072"/>
    <cellStyle name="40% - 强调文字颜色 3 2 7 2" xfId="7073"/>
    <cellStyle name="20% - 强调文字颜色 2 2 2 2" xfId="7074"/>
    <cellStyle name="好_FK长期借款 2 3" xfId="7075"/>
    <cellStyle name="20% - 强调文字颜色 2 2 2 3" xfId="7076"/>
    <cellStyle name="好_FK长期借款 2 4" xfId="7077"/>
    <cellStyle name="差_55-资产减值损失（空白模板）_Book2" xfId="7078"/>
    <cellStyle name="20% - 强调文字颜色 2 2 2 4" xfId="7079"/>
    <cellStyle name="20% - 强调文字颜色 2 2 2 5" xfId="7080"/>
    <cellStyle name="20% - 强调文字颜色 2 2 2 6" xfId="7081"/>
    <cellStyle name="20% - 强调文字颜色 2 2 2 8" xfId="7082"/>
    <cellStyle name="好_无形资产_固定资产" xfId="7083"/>
    <cellStyle name="常规 2 2 4 4 3" xfId="7084"/>
    <cellStyle name="20% - 强调文字颜色 2 2 2_附注表一（财务报表）" xfId="7085"/>
    <cellStyle name="好_F1短期借款" xfId="7086"/>
    <cellStyle name="好__dxn_temp空白表页 9_明细表 2" xfId="7087"/>
    <cellStyle name="40% - 强调文字颜色 3 2 8" xfId="7088"/>
    <cellStyle name="20% - 强调文字颜色 2 2 3" xfId="7089"/>
    <cellStyle name="差_FO预计负债 2" xfId="7090"/>
    <cellStyle name="20% - 强调文字颜色 2 2 3 6" xfId="7091"/>
    <cellStyle name="好_8-其他应收款（空白模板）_附注表一（财务报表）" xfId="7092"/>
    <cellStyle name="好__dxn_temp空白表页 9_明细表 3" xfId="7093"/>
    <cellStyle name="40% - 强调文字颜色 3 2 9" xfId="7094"/>
    <cellStyle name="20% - 强调文字颜色 2 2 4" xfId="7095"/>
    <cellStyle name="20% - 强调文字颜色 2 2 5" xfId="7096"/>
    <cellStyle name="20% - 强调文字颜色 2 6" xfId="7097"/>
    <cellStyle name="常规 4 7_附注表一（财务报表）" xfId="7098"/>
    <cellStyle name="20% - 强调文字颜色 2 6 2" xfId="7099"/>
    <cellStyle name="20% - 强调文字颜色 2 8" xfId="7100"/>
    <cellStyle name="差__dxn_tempA空白表页 4 3" xfId="7101"/>
    <cellStyle name="20% - 强调文字颜色 3 2 10" xfId="7102"/>
    <cellStyle name="好_无形资产 14_明细表 2" xfId="7103"/>
    <cellStyle name="差_无形资产 5 4" xfId="7104"/>
    <cellStyle name="20% - 强调文字颜色 3 2 11" xfId="7105"/>
    <cellStyle name="好_无形资产 14_明细表 3" xfId="7106"/>
    <cellStyle name="20% - 强调文字颜色 3 2 12" xfId="7107"/>
    <cellStyle name="好_无形资产 14_明细表 4" xfId="7108"/>
    <cellStyle name="差_4-应收账款（空白模板） 12 2" xfId="7109"/>
    <cellStyle name="20% - 强调文字颜色 3 2 2 5" xfId="7110"/>
    <cellStyle name="40% - 輔色3 6" xfId="7111"/>
    <cellStyle name="差_4-应收账款（空白模板） 12 3" xfId="7112"/>
    <cellStyle name="20% - 强调文字颜色 3 2 2 6" xfId="7113"/>
    <cellStyle name="常规 2 5 2 6_附注表一（财务报表）" xfId="7114"/>
    <cellStyle name="差_无形资产 16 2" xfId="7115"/>
    <cellStyle name="20% - 强调文字颜色 3 2 2 7" xfId="7116"/>
    <cellStyle name="好_30-应付账款（空白模板） 3 3 2" xfId="7117"/>
    <cellStyle name="好_预收款项 3 4" xfId="7118"/>
    <cellStyle name="20% - 强调文字颜色 3 2 2_附注表一（财务报表）" xfId="7119"/>
    <cellStyle name="差_固定资产 11 2 4" xfId="7120"/>
    <cellStyle name="好_财务费用 10 4" xfId="7121"/>
    <cellStyle name="40% - 强调文字颜色 4 2 8" xfId="7122"/>
    <cellStyle name="20% - 强调文字颜色 3 2 3" xfId="7123"/>
    <cellStyle name="好_专项应付款 11 2 4" xfId="7124"/>
    <cellStyle name="差_4-应收账款（空白模板） 13 2" xfId="7125"/>
    <cellStyle name="20% - 强调文字颜色 3 2 3 5" xfId="7126"/>
    <cellStyle name="40% - 輔色4 6" xfId="7127"/>
    <cellStyle name="40% - 强调文字颜色 4 2 9" xfId="7128"/>
    <cellStyle name="差_专项应付款 14 2" xfId="7129"/>
    <cellStyle name="20% - 强调文字颜色 3 2 4" xfId="7130"/>
    <cellStyle name="20% - 强调文字颜色 3 2_Spreadsheet" xfId="7131"/>
    <cellStyle name="20% - 强调文字颜色 3 6" xfId="7132"/>
    <cellStyle name="20% - 强调文字颜色 3 6 2" xfId="7133"/>
    <cellStyle name="好_27-短期借款(空白模板) 7_明细表 2" xfId="7134"/>
    <cellStyle name="20% - 强调文字颜色 3 7" xfId="7135"/>
    <cellStyle name="好_27-短期借款(空白模板) 7_明细表 3" xfId="7136"/>
    <cellStyle name="20% - 强调文字颜色 3 8" xfId="7137"/>
    <cellStyle name="好_27-短期借款(空白模板) 7_明细表 4" xfId="7138"/>
    <cellStyle name="20% - 强调文字颜色 3 9" xfId="7139"/>
    <cellStyle name="20% - 强调文字颜色 4 2 11" xfId="7140"/>
    <cellStyle name="20% - 强调文字颜色 4 2 2 10" xfId="7141"/>
    <cellStyle name="20% - 强调文字颜色 4 2 2 4" xfId="7142"/>
    <cellStyle name="20% - 强调文字颜色 4 2 2 5" xfId="7143"/>
    <cellStyle name="20% - 强调文字颜色 4 2 3 4" xfId="7144"/>
    <cellStyle name="20% - 强调文字颜色 4 2 3 6" xfId="7145"/>
    <cellStyle name="好_1营业税金及附加 4" xfId="7146"/>
    <cellStyle name="60% - 强调文字颜色 2 2" xfId="7147"/>
    <cellStyle name="20% - 强调文字颜色 4 2 3 7" xfId="7148"/>
    <cellStyle name="好_1营业收入 13" xfId="7149"/>
    <cellStyle name="40% - 强调文字颜色 5 2 9" xfId="7150"/>
    <cellStyle name="Normal - Style1 6 5" xfId="7151"/>
    <cellStyle name="20% - 强调文字颜色 4 2 4" xfId="7152"/>
    <cellStyle name="Normal - Style1 6 6" xfId="7153"/>
    <cellStyle name="20% - 强调文字颜色 4 2 5" xfId="7154"/>
    <cellStyle name="千位分隔 2 3 3 2 2" xfId="7155"/>
    <cellStyle name="差_ZP在建工程 3 2" xfId="7156"/>
    <cellStyle name="20% - 强调文字颜色 4 2_Spreadsheet" xfId="7157"/>
    <cellStyle name="20% - 强调文字颜色 4 4" xfId="7158"/>
    <cellStyle name="Normal - Style1 8 3" xfId="7159"/>
    <cellStyle name="20% - 强调文字颜色 4 4 2" xfId="7160"/>
    <cellStyle name="20% - 强调文字颜色 4 7" xfId="7161"/>
    <cellStyle name="好_底稿设置宏 10_明细表 2" xfId="7162"/>
    <cellStyle name="20% - 强调文字颜色 4 8" xfId="7163"/>
    <cellStyle name="好_ZA0货币资金审定表  5 4" xfId="7164"/>
    <cellStyle name="20% - 强调文字颜色 5 2" xfId="7165"/>
    <cellStyle name="好_资产负债标准底稿 14 2 5" xfId="7166"/>
    <cellStyle name="差_1公允价值变动损益 2" xfId="7167"/>
    <cellStyle name="20% - 强调文字颜色 5 2 10" xfId="7168"/>
    <cellStyle name="20% - 强调文字颜色 5 2 2 11" xfId="7169"/>
    <cellStyle name="常规 4 8 4" xfId="7170"/>
    <cellStyle name="40% - 强调文字颜色 6 2 7 2" xfId="7171"/>
    <cellStyle name="40% - 强调文字颜色 2 7" xfId="7172"/>
    <cellStyle name="常规 3 3 2 2 2 5 2 5" xfId="7173"/>
    <cellStyle name="常规 3 2 2 2 2 2 3" xfId="7174"/>
    <cellStyle name="差_报表层次重要性水平 7" xfId="7175"/>
    <cellStyle name="20% - 强调文字颜色 5 2 2 2" xfId="7176"/>
    <cellStyle name="差_1其他应付款 3 2" xfId="7177"/>
    <cellStyle name="40% - 强调文字颜色 2 8" xfId="7178"/>
    <cellStyle name="常规 3 2 2 2 2 2 4" xfId="7179"/>
    <cellStyle name="差_报表层次重要性水平 8" xfId="7180"/>
    <cellStyle name="20% - 强调文字颜色 5 2 2 3" xfId="7181"/>
    <cellStyle name="好_应收利息 2 2 2 2" xfId="7182"/>
    <cellStyle name="40% - 强调文字颜色 2 9" xfId="7183"/>
    <cellStyle name="常规 3 2 2 2 2 2 5" xfId="7184"/>
    <cellStyle name="差_报表层次重要性水平 9" xfId="7185"/>
    <cellStyle name="20% - 强调文字颜色 5 2 2 4" xfId="7186"/>
    <cellStyle name="40% - Accent2 2 2" xfId="7187"/>
    <cellStyle name="20% - 强调文字颜色 6 2 10" xfId="7188"/>
    <cellStyle name="20% - 强调文字颜色 5 2 2 8" xfId="7189"/>
    <cellStyle name="20% - 强调文字颜色 6 2 11" xfId="7190"/>
    <cellStyle name="20% - 强调文字颜色 5 2 2 9" xfId="7191"/>
    <cellStyle name="40% - 强调文字颜色 6 2 8" xfId="7192"/>
    <cellStyle name="20% - 强调文字颜色 5 2 3" xfId="7193"/>
    <cellStyle name="40% - 强调文字颜色 3 7" xfId="7194"/>
    <cellStyle name="常规 3 2 2 2 2 3 3" xfId="7195"/>
    <cellStyle name="20% - 强调文字颜色 5 2 3 2" xfId="7196"/>
    <cellStyle name="40% - 强调文字颜色 3 8" xfId="7197"/>
    <cellStyle name="20% - 强调文字颜色 5 2 3 3" xfId="7198"/>
    <cellStyle name="PrePop Units (1)" xfId="7199"/>
    <cellStyle name="40% - 强调文字颜色 3 9" xfId="7200"/>
    <cellStyle name="20% - 强调文字颜色 5 2 3 4" xfId="7201"/>
    <cellStyle name="常规 3 3 2 8 2 2" xfId="7202"/>
    <cellStyle name="20% - 强调文字颜色 5 2 3 5" xfId="7203"/>
    <cellStyle name="差_ZA0货币资金审定表  16 2" xfId="7204"/>
    <cellStyle name="20% - 强调文字颜色 5 2 5" xfId="7205"/>
    <cellStyle name="好_无形资产 5 2 3" xfId="7206"/>
    <cellStyle name="20% - 强调文字颜色 5 2 7" xfId="7207"/>
    <cellStyle name="20% - 强调文字颜色 5 2 7 2" xfId="7208"/>
    <cellStyle name="好_无形资产 5 2 4" xfId="7209"/>
    <cellStyle name="20% - 强调文字颜色 5 2 8" xfId="7210"/>
    <cellStyle name="好_基础信息表和计税基础表" xfId="7211"/>
    <cellStyle name="20% - 强调文字颜色 5 2_Spreadsheet" xfId="7212"/>
    <cellStyle name="常规 10_附注表一（财务报表）" xfId="7213"/>
    <cellStyle name="20% - 强调文字颜色 5 3 2 2" xfId="7214"/>
    <cellStyle name="20% - 强调文字颜色 5 5" xfId="7215"/>
    <cellStyle name="20% - 强调文字颜色 5 5 2" xfId="7216"/>
    <cellStyle name="20% - 强调文字颜色 5 6" xfId="7217"/>
    <cellStyle name="好_54-财务费用（空白模板） 8_明细表" xfId="7218"/>
    <cellStyle name="20% - 强调文字颜色 5 7" xfId="7219"/>
    <cellStyle name="20% - 强调文字颜色 5 8" xfId="7220"/>
    <cellStyle name="20% - 强调文字颜色 6 2 2 11" xfId="7221"/>
    <cellStyle name="好_51-营业税金及附加（空白模板）_明细表 3" xfId="7222"/>
    <cellStyle name="20% - 强调文字颜色 6 2 2 2" xfId="7223"/>
    <cellStyle name="20% - 强调文字颜色 6 2 2 7" xfId="7224"/>
    <cellStyle name="20% - 强调文字颜色 6 2 2 9" xfId="7225"/>
    <cellStyle name="好_FJ 其他应付款 2 2 2" xfId="7226"/>
    <cellStyle name="好_短期借款 8 2 3" xfId="7227"/>
    <cellStyle name="20% - 强调文字颜色 6 2 3 2" xfId="7228"/>
    <cellStyle name="好_短期借款 8 2 4" xfId="7229"/>
    <cellStyle name="20% - 强调文字颜色 6 2 3 3" xfId="7230"/>
    <cellStyle name="20% - 强调文字颜色 6 2 3 6" xfId="7231"/>
    <cellStyle name="20% - 强调文字颜色 6 2 3 7" xfId="7232"/>
    <cellStyle name="20% - 强调文字颜色 6 2 3 8" xfId="7233"/>
    <cellStyle name="20% - 强调文字颜色 6 2 5" xfId="7234"/>
    <cellStyle name="20% - 强调文字颜色 6 2 7 2" xfId="7235"/>
    <cellStyle name="好_无形资产 6 2 4" xfId="7236"/>
    <cellStyle name="20% - 强调文字颜色 6 2 8" xfId="7237"/>
    <cellStyle name="20% - 强调文字颜色 6 2_Spreadsheet" xfId="7238"/>
    <cellStyle name="20% - 强调文字颜色 6 3 2 2" xfId="7239"/>
    <cellStyle name="好_2009年6月30日资产负债表 2 2" xfId="7240"/>
    <cellStyle name="no dec" xfId="7241"/>
    <cellStyle name="20% - 强调文字颜色 6 3 3" xfId="7242"/>
    <cellStyle name="20% - 强调文字颜色 6 4" xfId="7243"/>
    <cellStyle name="好_银行函证结果汇总表 3_附注表一（财务报表）" xfId="7244"/>
    <cellStyle name="20% - 强调文字颜色 6 5" xfId="7245"/>
    <cellStyle name="20% - 强调文字颜色 6 6" xfId="7246"/>
    <cellStyle name="20% - 强调文字颜色 6 8" xfId="7247"/>
    <cellStyle name="差_FO预计负债 3 3" xfId="7248"/>
    <cellStyle name="3232" xfId="7249"/>
    <cellStyle name="3232 2" xfId="7250"/>
    <cellStyle name="3232 3" xfId="7251"/>
    <cellStyle name="33" xfId="7252"/>
    <cellStyle name="³f¹ô_PLDT" xfId="7253"/>
    <cellStyle name="40% - Accent1 2 2" xfId="7254"/>
    <cellStyle name="输入 2 6 2" xfId="7255"/>
    <cellStyle name="差_底稿设置宏 5 2 3" xfId="7256"/>
    <cellStyle name="40% - Accent2" xfId="7257"/>
    <cellStyle name="40% - Accent2 2" xfId="7258"/>
    <cellStyle name="超链接 3 2 2" xfId="7259"/>
    <cellStyle name="差_底稿设置宏 5 2 4" xfId="7260"/>
    <cellStyle name="40% - Accent3" xfId="7261"/>
    <cellStyle name="40% - Accent5 2 2" xfId="7262"/>
    <cellStyle name="差_56-公允价值损益变动（空白模板） 9 2" xfId="7263"/>
    <cellStyle name="好_1短期借款 3_明细表 3" xfId="7264"/>
    <cellStyle name="40% - 輔色1 2" xfId="7265"/>
    <cellStyle name="好_1短期借款 3_明细表 5" xfId="7266"/>
    <cellStyle name="40% - 輔色1 4" xfId="7267"/>
    <cellStyle name="好_期初余额查验 4 3" xfId="7268"/>
    <cellStyle name="40% - 輔色2" xfId="7269"/>
    <cellStyle name="40% - 輔色2 2" xfId="7270"/>
    <cellStyle name="40% - 輔色2 3" xfId="7271"/>
    <cellStyle name="好_预收款项 11 2 5" xfId="7272"/>
    <cellStyle name="差_其他应付款_明细表 4" xfId="7273"/>
    <cellStyle name="40% - 輔色4 2" xfId="7274"/>
    <cellStyle name="常规 7 2 2 2" xfId="7275"/>
    <cellStyle name="40% - 輔色5" xfId="7276"/>
    <cellStyle name="常规 7 2 2 2 2" xfId="7277"/>
    <cellStyle name="40% - 輔色5 2" xfId="7278"/>
    <cellStyle name="好_1专项应付款 13 3" xfId="7279"/>
    <cellStyle name="40% - 輔色5 5" xfId="7280"/>
    <cellStyle name="差_ZA0货币资金审定表 _财务费用" xfId="7281"/>
    <cellStyle name="差_4-应收账款（空白模板） 14 2" xfId="7282"/>
    <cellStyle name="40% - 輔色5 6" xfId="7283"/>
    <cellStyle name="好_1专项应付款 14 2" xfId="7284"/>
    <cellStyle name="40% - 輔色6 4" xfId="7285"/>
    <cellStyle name="好_1专项应付款 14 3" xfId="7286"/>
    <cellStyle name="千位分隔 2 31 2 5" xfId="7287"/>
    <cellStyle name="千位分隔 2 26 2 5" xfId="7288"/>
    <cellStyle name="常规 2 3 2 2 6_附注表一（财务报表）" xfId="7289"/>
    <cellStyle name="40% - 輔色6 5" xfId="7290"/>
    <cellStyle name="标题 1 2 4 2" xfId="7291"/>
    <cellStyle name="好_1固定资产 9_明细表 4" xfId="7292"/>
    <cellStyle name="40% - 强调文字颜色 1 2 11" xfId="7293"/>
    <cellStyle name="好_59-营业外支出（空白模板） 3" xfId="7294"/>
    <cellStyle name="40% - 强调文字颜色 1 2 2" xfId="7295"/>
    <cellStyle name="好_30-应付账款（空白模板） 6_附注表一（财务报表）" xfId="7296"/>
    <cellStyle name="40% - 强调文字颜色 1 2 2 11" xfId="7297"/>
    <cellStyle name="好_大信底稿目录 12_明细表 2" xfId="7298"/>
    <cellStyle name="好_59-营业外支出（空白模板） 3 3" xfId="7299"/>
    <cellStyle name="40% - 强调文字颜色 1 2 2 3" xfId="7300"/>
    <cellStyle name="好_大信底稿目录 12_明细表 3" xfId="7301"/>
    <cellStyle name="40% - 强调文字颜色 1 2 2 4" xfId="7302"/>
    <cellStyle name="40% - 强调文字颜色 2 6 2" xfId="7303"/>
    <cellStyle name="好_大信底稿目录 12_明细表 4" xfId="7304"/>
    <cellStyle name="好__dxn_temp空白表页 11_明细表 2" xfId="7305"/>
    <cellStyle name="40% - 强调文字颜色 1 2 2 5" xfId="7306"/>
    <cellStyle name="好_大信底稿目录 12_明细表 5" xfId="7307"/>
    <cellStyle name="好_16-在建工程（空白模板） 2 2" xfId="7308"/>
    <cellStyle name="好__dxn_temp空白表页 11_明细表 3" xfId="7309"/>
    <cellStyle name="差_27-短期借款(空白模板) 2" xfId="7310"/>
    <cellStyle name="40% - 强调文字颜色 1 2 2 6" xfId="7311"/>
    <cellStyle name="好__dxn_temp空白表页 11_明细表 5" xfId="7312"/>
    <cellStyle name="差_27-短期借款(空白模板) 4" xfId="7313"/>
    <cellStyle name="40% - 强调文字颜色 1 2 2 8" xfId="7314"/>
    <cellStyle name="差_27-短期借款(空白模板) 5" xfId="7315"/>
    <cellStyle name="40% - 强调文字颜色 1 2 2 9" xfId="7316"/>
    <cellStyle name="Grey 2" xfId="7317"/>
    <cellStyle name="好_16-在建工程（空白模板） 3 2" xfId="7318"/>
    <cellStyle name="40% - 强调文字颜色 1 2 3 6" xfId="7319"/>
    <cellStyle name="常规 2 3 3 2 2 2" xfId="7320"/>
    <cellStyle name="好_59-营业外支出（空白模板） 5" xfId="7321"/>
    <cellStyle name="常规 9 5 3 3 2" xfId="7322"/>
    <cellStyle name="40% - 强调文字颜色 1 2 4" xfId="7323"/>
    <cellStyle name="常规 9 5 3 3 3" xfId="7324"/>
    <cellStyle name="40% - 强调文字颜色 1 2 5" xfId="7325"/>
    <cellStyle name="40% - 强调文字颜色 1 2_Spreadsheet" xfId="7326"/>
    <cellStyle name="差_1其他应付款 2 2" xfId="7327"/>
    <cellStyle name="40% - 强调文字颜色 1 8" xfId="7328"/>
    <cellStyle name="好_1财务费用 4_明细表 4" xfId="7329"/>
    <cellStyle name="40% - 强调文字颜色 2 2 10" xfId="7330"/>
    <cellStyle name="好_1财务费用 4_明细表 5" xfId="7331"/>
    <cellStyle name="40% - 强调文字颜色 2 2 11" xfId="7332"/>
    <cellStyle name="40% - 强调文字颜色 2 2 12" xfId="7333"/>
    <cellStyle name="40% - 强调文字颜色 2 2 2" xfId="7334"/>
    <cellStyle name="40% - 强调文字颜色 2 2 2 10" xfId="7335"/>
    <cellStyle name="Input [yellow] 7" xfId="7336"/>
    <cellStyle name="40% - 强调文字颜色 2 2 2 2" xfId="7337"/>
    <cellStyle name="千位分隔 2 10 2 5" xfId="7338"/>
    <cellStyle name="好_大信底稿目录 13_明细表 2" xfId="7339"/>
    <cellStyle name="Input [yellow] 8" xfId="7340"/>
    <cellStyle name="40% - 强调文字颜色 2 2 2 3" xfId="7341"/>
    <cellStyle name="60% - 强调文字颜色 1 2 3_附注表一（财务报表）" xfId="7342"/>
    <cellStyle name="好_大信底稿目录 13_明细表 5" xfId="7343"/>
    <cellStyle name="好__dxn_temp空白表页 12_明细表 3" xfId="7344"/>
    <cellStyle name="40% - 强调文字颜色 2 2 2 6" xfId="7345"/>
    <cellStyle name="好_58-营业外收入（空白模板）" xfId="7346"/>
    <cellStyle name="40% - 强调文字颜色 2 2 2 9" xfId="7347"/>
    <cellStyle name="40% - 强调文字颜色 2 2 3 3" xfId="7348"/>
    <cellStyle name="40% - 强调文字颜色 2 2 3 4" xfId="7349"/>
    <cellStyle name="40% - 强调文字颜色 2 2 3 5" xfId="7350"/>
    <cellStyle name="好_ZA0货币资金审定表  14 2 2" xfId="7351"/>
    <cellStyle name="40% - 强调文字颜色 2 2 3 6" xfId="7352"/>
    <cellStyle name="好_ZA0货币资金审定表  14 2 3" xfId="7353"/>
    <cellStyle name="好_1专项应付款 3_明细表" xfId="7354"/>
    <cellStyle name="40% - 强调文字颜色 2 2 3 7" xfId="7355"/>
    <cellStyle name="好_50-营业成本（空白模板） 6_明细表 4" xfId="7356"/>
    <cellStyle name="常规 2 2 2 26" xfId="7357"/>
    <cellStyle name="常规 2 2 2 31" xfId="7358"/>
    <cellStyle name="差_实收资本计划实施的实质性程序" xfId="7359"/>
    <cellStyle name="40% - 强调文字颜色 2 2 3_附注表一（财务报表）" xfId="7360"/>
    <cellStyle name="常规 9 5 4 3 2" xfId="7361"/>
    <cellStyle name="40% - 强调文字颜色 2 2 4" xfId="7362"/>
    <cellStyle name="40% - 强调文字颜色 2 2 6" xfId="7363"/>
    <cellStyle name="40% - 强调文字颜色 2 2_Spreadsheet" xfId="7364"/>
    <cellStyle name="40% - 强调文字颜色 2 3 2" xfId="7365"/>
    <cellStyle name="40% - 强调文字颜色 2 3 3" xfId="7366"/>
    <cellStyle name="40% - 强调文字颜色 2 5 2" xfId="7367"/>
    <cellStyle name="常规 3 3 2_附注表一（财务报表）" xfId="7368"/>
    <cellStyle name="差_固定资产 9_明细表" xfId="7369"/>
    <cellStyle name="常规 2 2 2 4 2 3" xfId="7370"/>
    <cellStyle name="40% - 强调文字颜色 3 10" xfId="7371"/>
    <cellStyle name="40% - 强调文字颜色 3 2 10" xfId="7372"/>
    <cellStyle name="常规 3 2 2 7 3" xfId="7373"/>
    <cellStyle name="差_ZP在建工程" xfId="7374"/>
    <cellStyle name="好_营业外支出 2 2" xfId="7375"/>
    <cellStyle name="40% - 强调文字颜色 3 2 11" xfId="7376"/>
    <cellStyle name="40% - 强调文字颜色 6 9" xfId="7377"/>
    <cellStyle name="40% - 强调文字颜色 3 2 2" xfId="7378"/>
    <cellStyle name="40% - 强调文字颜色 3 2 2 11" xfId="7379"/>
    <cellStyle name="40% - 强调文字颜色 3 2 2 3" xfId="7380"/>
    <cellStyle name="好__dxn_temp空白表页 13_明细表 2" xfId="7381"/>
    <cellStyle name="40% - 强调文字颜色 3 2 2 5" xfId="7382"/>
    <cellStyle name="好__dxn_temp空白表页 13_明细表 3" xfId="7383"/>
    <cellStyle name="百分比 2 2 2 2" xfId="7384"/>
    <cellStyle name="40% - 强调文字颜色 3 2 2 6" xfId="7385"/>
    <cellStyle name="40% - 强调文字颜色 3 2 2_附注表一（财务报表）" xfId="7386"/>
    <cellStyle name="60% - 强调文字颜色 6 7" xfId="7387"/>
    <cellStyle name="40% - 强调文字颜色 3 2 3" xfId="7388"/>
    <cellStyle name="40% - 强调文字颜色 3 2 3 3" xfId="7389"/>
    <cellStyle name="40% - 强调文字颜色 3 2 3 4" xfId="7390"/>
    <cellStyle name="百分比 2 2 3 3" xfId="7391"/>
    <cellStyle name="40% - 强调文字颜色 3 2 3 7" xfId="7392"/>
    <cellStyle name="百分比 2 2 3 4" xfId="7393"/>
    <cellStyle name="好_10-可供出售金融资产（空白模板） 2" xfId="7394"/>
    <cellStyle name="40% - 强调文字颜色 3 2 3 8" xfId="7395"/>
    <cellStyle name="40% - 强调文字颜色 3 2 6" xfId="7396"/>
    <cellStyle name="差_应收账款" xfId="7397"/>
    <cellStyle name="40% - 强调文字颜色 3 3 2" xfId="7398"/>
    <cellStyle name="40% - 强调文字颜色 3 5 2" xfId="7399"/>
    <cellStyle name="40% - 强调文字颜色 3 6 2" xfId="7400"/>
    <cellStyle name="40% - 强调文字颜色 4 2 11" xfId="7401"/>
    <cellStyle name="40% - 强调文字颜色 4 2 2 10" xfId="7402"/>
    <cellStyle name="好__dxn_temp空白表页 14_明细表 4" xfId="7403"/>
    <cellStyle name="差_短期借款 15 2" xfId="7404"/>
    <cellStyle name="百分比 3 2 2 3" xfId="7405"/>
    <cellStyle name="40% - 强调文字颜色 4 2 2 7" xfId="7406"/>
    <cellStyle name="好__dxn_temp空白表页 14_明细表 5" xfId="7407"/>
    <cellStyle name="差_短期借款 15 3" xfId="7408"/>
    <cellStyle name="百分比 3 2 2 4" xfId="7409"/>
    <cellStyle name="40% - 强调文字颜色 4 2 2 8" xfId="7410"/>
    <cellStyle name="差_短期借款 15 4" xfId="7411"/>
    <cellStyle name="百分比 3 2 2 5" xfId="7412"/>
    <cellStyle name="40% - 强调文字颜色 4 2 2 9" xfId="7413"/>
    <cellStyle name="差_30-应付账款（空白模板） 9 2" xfId="7414"/>
    <cellStyle name="40% - 强调文字颜色 4 2 3" xfId="7415"/>
    <cellStyle name="常规 2 3 2 2 2 14" xfId="7416"/>
    <cellStyle name="差_短期借款 16 3" xfId="7417"/>
    <cellStyle name="40% - 强调文字颜色 4 2 3 8" xfId="7418"/>
    <cellStyle name="差_30-应付账款（空白模板） 9 3" xfId="7419"/>
    <cellStyle name="40% - 强调文字颜色 4 2 4" xfId="7420"/>
    <cellStyle name="差_30-应付账款（空白模板） 9 4" xfId="7421"/>
    <cellStyle name="40% - 强调文字颜色 4 2 5" xfId="7422"/>
    <cellStyle name="好_27-短期借款(空白模板) 5_明细表 5" xfId="7423"/>
    <cellStyle name="40% - 强调文字颜色 4 3 2" xfId="7424"/>
    <cellStyle name="好_50-营业成本（空白模板） 18 2" xfId="7425"/>
    <cellStyle name="40% - 强调文字颜色 4 2_Spreadsheet" xfId="7426"/>
    <cellStyle name="常规 11 4 2 4" xfId="7427"/>
    <cellStyle name="40% - 强调文字颜色 4 3 2 2" xfId="7428"/>
    <cellStyle name="40% - 强调文字颜色 4 8" xfId="7429"/>
    <cellStyle name="40% - 强调文字颜色 4 9" xfId="7430"/>
    <cellStyle name="40% - 强调文字颜色 5 10" xfId="7431"/>
    <cellStyle name="好_1营业收入 3 5" xfId="7432"/>
    <cellStyle name="40% - 强调文字颜色 5 2 10" xfId="7433"/>
    <cellStyle name="40% - 强调文字颜色 5 2 12" xfId="7434"/>
    <cellStyle name="40% - 强调文字颜色 5 2 2" xfId="7435"/>
    <cellStyle name="好_专项应付款 2_附注表一（财务报表）" xfId="7436"/>
    <cellStyle name="entry box 3 2" xfId="7437"/>
    <cellStyle name="40% - 强调文字颜色 5 2 2 11" xfId="7438"/>
    <cellStyle name="40% - 强调文字颜色 5 2 2 2" xfId="7439"/>
    <cellStyle name="40% - 强调文字颜色 5 2 2 3" xfId="7440"/>
    <cellStyle name="好__dxn_temp空白表页 15_明细表 2" xfId="7441"/>
    <cellStyle name="40% - 强调文字颜色 5 2 2 5" xfId="7442"/>
    <cellStyle name="好__dxn_temp空白表页 15_明细表 3" xfId="7443"/>
    <cellStyle name="40% - 强调文字颜色 5 2 2 6" xfId="7444"/>
    <cellStyle name="40% - 强调文字颜色 5 2 3 6" xfId="7445"/>
    <cellStyle name="40% - 强调文字颜色 5 2 3 7" xfId="7446"/>
    <cellStyle name="entry box 4 3" xfId="7447"/>
    <cellStyle name="40% - 强调文字颜色 5 3 3" xfId="7448"/>
    <cellStyle name="Comma[0] 2 4" xfId="7449"/>
    <cellStyle name="40% - 强调文字颜色 5 5 2" xfId="7450"/>
    <cellStyle name="40% - 强调文字颜色 5 7" xfId="7451"/>
    <cellStyle name="40% - 强调文字颜色 6 10" xfId="7452"/>
    <cellStyle name="差_应付职工薪酬 28" xfId="7453"/>
    <cellStyle name="差_应付职工薪酬 33" xfId="7454"/>
    <cellStyle name="好_底稿设置宏 4 2 2" xfId="7455"/>
    <cellStyle name="40% - 强调文字颜色 6 2" xfId="7456"/>
    <cellStyle name="标题 2 2 4 2" xfId="7457"/>
    <cellStyle name="40% - 强调文字颜色 6 2 11" xfId="7458"/>
    <cellStyle name="40% - 强调文字颜色 6 2 2" xfId="7459"/>
    <cellStyle name="常规 4 3 4" xfId="7460"/>
    <cellStyle name="40% - 强调文字颜色 6 2 2 2" xfId="7461"/>
    <cellStyle name="常规 4 3 6" xfId="7462"/>
    <cellStyle name="40% - 强调文字颜色 6 2 2 4" xfId="7463"/>
    <cellStyle name="常规 4 3 8" xfId="7464"/>
    <cellStyle name="40% - 强调文字颜色 6 2 2 6" xfId="7465"/>
    <cellStyle name="常规 4 4 5" xfId="7466"/>
    <cellStyle name="40% - 强调文字颜色 6 2 3 3" xfId="7467"/>
    <cellStyle name="40% - 强调文字颜色 6 2 3 5" xfId="7468"/>
    <cellStyle name="好_盈余公积 2 2 3" xfId="7469"/>
    <cellStyle name="常规 4 4 7" xfId="7470"/>
    <cellStyle name="常规 4 4 8" xfId="7471"/>
    <cellStyle name="40% - 强调文字颜色 6 2 3 6" xfId="7472"/>
    <cellStyle name="常规 4 4 9" xfId="7473"/>
    <cellStyle name="40% - 强调文字颜色 6 2 3 7" xfId="7474"/>
    <cellStyle name="40% - 强调文字颜色 6 2 6" xfId="7475"/>
    <cellStyle name="好_55-资产减值损失（空白模板） 13_明细表 3" xfId="7476"/>
    <cellStyle name="40% - 强调文字颜色 6 3 3" xfId="7477"/>
    <cellStyle name="常规 8 2 9" xfId="7478"/>
    <cellStyle name="差_9管理费用 5" xfId="7479"/>
    <cellStyle name="Accent1 17" xfId="7480"/>
    <cellStyle name="60% - Accent1" xfId="7481"/>
    <cellStyle name="60% - Accent2" xfId="7482"/>
    <cellStyle name="60% - Accent5" xfId="7483"/>
    <cellStyle name="60% - Accent6" xfId="7484"/>
    <cellStyle name="60% - 輔色1 3" xfId="7485"/>
    <cellStyle name="差_资产负债标准底稿 8 2 2" xfId="7486"/>
    <cellStyle name="差_底稿设置宏 6_附注表一（财务报表）" xfId="7487"/>
    <cellStyle name="差_12-长期应收款（空白模板） 3" xfId="7488"/>
    <cellStyle name="60% - 輔色2 2" xfId="7489"/>
    <cellStyle name="差_资产负债标准底稿 8 2 3" xfId="7490"/>
    <cellStyle name="差_12-长期应收款（空白模板） 4" xfId="7491"/>
    <cellStyle name="60% - 輔色2 3" xfId="7492"/>
    <cellStyle name="差__dxn_temp空白表页 2 2" xfId="7493"/>
    <cellStyle name="差_资产负债标准底稿 8 2 5" xfId="7494"/>
    <cellStyle name="60% - 輔色2 5" xfId="7495"/>
    <cellStyle name="差__dxn_temp空白表页 2 4" xfId="7496"/>
    <cellStyle name="60% - 輔色2 6" xfId="7497"/>
    <cellStyle name="60% - 强调文字颜色 2 5 2" xfId="7498"/>
    <cellStyle name="差__dxn_temp空白表页 2 5" xfId="7499"/>
    <cellStyle name="差_资产负债标准底稿 8 3" xfId="7500"/>
    <cellStyle name="60% - 輔色3" xfId="7501"/>
    <cellStyle name="60% - 輔色4" xfId="7502"/>
    <cellStyle name="60% - 輔色4 6" xfId="7503"/>
    <cellStyle name="60% - 强调文字颜色 2 7 2" xfId="7504"/>
    <cellStyle name="60% - 輔色5 3" xfId="7505"/>
    <cellStyle name="差__dxn_temp空白表页 5 2" xfId="7506"/>
    <cellStyle name="差_1应付账款 3 2" xfId="7507"/>
    <cellStyle name="60% - 輔色5 4" xfId="7508"/>
    <cellStyle name="Porcentaje" xfId="7509"/>
    <cellStyle name="差__dxn_temp空白表页 5 3" xfId="7510"/>
    <cellStyle name="60% - 輔色6 4" xfId="7511"/>
    <cellStyle name="差__dxn_temp空白表页 6 3" xfId="7512"/>
    <cellStyle name="60% - 輔色6 6" xfId="7513"/>
    <cellStyle name="60% - 强调文字颜色 2 9 2" xfId="7514"/>
    <cellStyle name="差_50-营业成本（空白模板） 9" xfId="7515"/>
    <cellStyle name="60% - 强调文字颜色 1 10" xfId="7516"/>
    <cellStyle name="60% - 强调文字颜色 1 2 2" xfId="7517"/>
    <cellStyle name="60% - 强调文字颜色 1 2 2 11" xfId="7518"/>
    <cellStyle name="60% - 强调文字颜色 1 2 2 2" xfId="7519"/>
    <cellStyle name="60% - 强调文字颜色 1 2 2 2 2" xfId="7520"/>
    <cellStyle name="超链接 3 15 2 3" xfId="7521"/>
    <cellStyle name="超链接 3 20 2 3" xfId="7522"/>
    <cellStyle name="60% - 强调文字颜色 1 2 2 4" xfId="7523"/>
    <cellStyle name="超链接 3 15 2 4" xfId="7524"/>
    <cellStyle name="超链接 3 20 2 4" xfId="7525"/>
    <cellStyle name="Currency$[2] 2" xfId="7526"/>
    <cellStyle name="60% - 强调文字颜色 1 2 2 5" xfId="7527"/>
    <cellStyle name="Currency$[2] 4" xfId="7528"/>
    <cellStyle name="60% - 强调文字颜色 1 2 2 7" xfId="7529"/>
    <cellStyle name="Currency$[2] 5" xfId="7530"/>
    <cellStyle name="Comma  - Style5 2" xfId="7531"/>
    <cellStyle name="60% - 强调文字颜色 1 2 2 8" xfId="7532"/>
    <cellStyle name="Currency$[2] 6" xfId="7533"/>
    <cellStyle name="Comma  - Style5 3" xfId="7534"/>
    <cellStyle name="60% - 强调文字颜色 1 2 2 9" xfId="7535"/>
    <cellStyle name="60% - 强调文字颜色 1 2 5" xfId="7536"/>
    <cellStyle name="60% - 强调文字颜色 1 2 9" xfId="7537"/>
    <cellStyle name="超链接 3 16 2 2" xfId="7538"/>
    <cellStyle name="超链接 3 21 2 2" xfId="7539"/>
    <cellStyle name="60% - 强调文字颜色 1 3 2 3" xfId="7540"/>
    <cellStyle name="差_50-营业成本（空白模板） 28" xfId="7541"/>
    <cellStyle name="差_50-营业成本（空白模板） 33" xfId="7542"/>
    <cellStyle name="60% - 强调文字颜色 1 3 3" xfId="7543"/>
    <cellStyle name="60% - 强调文字颜色 1 4 2" xfId="7544"/>
    <cellStyle name="60% - 强调文字颜色 1 4 2 2" xfId="7545"/>
    <cellStyle name="60% - 强调文字颜色 1 4 4" xfId="7546"/>
    <cellStyle name="超链接 3 18 2 2" xfId="7547"/>
    <cellStyle name="超链接 3 23 2 2" xfId="7548"/>
    <cellStyle name="60% - 强调文字颜色 1 5 2 3" xfId="7549"/>
    <cellStyle name="好_固定资产 3 2 3" xfId="7550"/>
    <cellStyle name="好_1预收款项 8 2 3" xfId="7551"/>
    <cellStyle name="60% - 强调文字颜色 1 5 4" xfId="7552"/>
    <cellStyle name="好_FA短期借款 2 4" xfId="7553"/>
    <cellStyle name="好_4-应收账款（空白模板）_明细表_1 4" xfId="7554"/>
    <cellStyle name="好_2009年6月30日资产负债表 5" xfId="7555"/>
    <cellStyle name="60% - 强调文字颜色 1 6 2" xfId="7556"/>
    <cellStyle name="60% - 强调文字颜色 1 6 2 2" xfId="7557"/>
    <cellStyle name="常规 3 2_资本公积 2" xfId="7558"/>
    <cellStyle name="超链接 3 19 2 2" xfId="7559"/>
    <cellStyle name="60% - 强调文字颜色 1 6 2 3" xfId="7560"/>
    <cellStyle name="60% - 强调文字颜色 1 7" xfId="7561"/>
    <cellStyle name="好_专项应付款 4_附注表一（财务报表）" xfId="7562"/>
    <cellStyle name="60% - 强调文字颜色 1 8" xfId="7563"/>
    <cellStyle name="60% - 强调文字颜色 1 8 2" xfId="7564"/>
    <cellStyle name="60% - 强调文字颜色 1 9" xfId="7565"/>
    <cellStyle name="60% - 强调文字颜色 1 9 2" xfId="7566"/>
    <cellStyle name="60% - 强调文字颜色 2 10" xfId="7567"/>
    <cellStyle name="60% - 强调文字颜色 2 2 10" xfId="7568"/>
    <cellStyle name="60% - 强调文字颜色 2 2 2" xfId="7569"/>
    <cellStyle name="60% - 强调文字颜色 2 2 2 11" xfId="7570"/>
    <cellStyle name="60% - 强调文字颜色 2 2 2 3" xfId="7571"/>
    <cellStyle name="60% - 强调文字颜色 2 2 2 4" xfId="7572"/>
    <cellStyle name="60% - 强调文字颜色 2 2 2 5" xfId="7573"/>
    <cellStyle name="60% - 强调文字颜色 2 2 2 6" xfId="7574"/>
    <cellStyle name="60% - 强调文字颜色 2 2 2 7" xfId="7575"/>
    <cellStyle name="60% - 强调文字颜色 2 2 2 8" xfId="7576"/>
    <cellStyle name="60% - 强调文字颜色 2 2 2 9" xfId="7577"/>
    <cellStyle name="60% - 强调文字颜色 2 2 2_附注表一（财务报表）" xfId="7578"/>
    <cellStyle name="60% - 强调文字颜色 2 2 3" xfId="7579"/>
    <cellStyle name="60% - 强调文字颜色 2 2 3 2" xfId="7580"/>
    <cellStyle name="常规 3 2 14" xfId="7581"/>
    <cellStyle name="60% - 强调文字颜色 3 2 4" xfId="7582"/>
    <cellStyle name="60% - 强调文字颜色 2 2 3 3" xfId="7583"/>
    <cellStyle name="常规 3 2 15" xfId="7584"/>
    <cellStyle name="常规 3 2 20" xfId="7585"/>
    <cellStyle name="comma zerodec 2" xfId="7586"/>
    <cellStyle name="60% - 强调文字颜色 3 2 5" xfId="7587"/>
    <cellStyle name="60% - 强调文字颜色 2 2 3 4" xfId="7588"/>
    <cellStyle name="常规 3 2 16" xfId="7589"/>
    <cellStyle name="常规 3 2 21" xfId="7590"/>
    <cellStyle name="60% - 强调文字颜色 3 2 6" xfId="7591"/>
    <cellStyle name="60% - 强调文字颜色 2 2 3 5" xfId="7592"/>
    <cellStyle name="常规 3 2 17" xfId="7593"/>
    <cellStyle name="常规 3 2 22" xfId="7594"/>
    <cellStyle name="60% - 强调文字颜色 3 2 7" xfId="7595"/>
    <cellStyle name="60% - 强调文字颜色 2 2 3 6" xfId="7596"/>
    <cellStyle name="常规 3 2 18" xfId="7597"/>
    <cellStyle name="常规 3 2 23" xfId="7598"/>
    <cellStyle name="60% - 强调文字颜色 3 2 8" xfId="7599"/>
    <cellStyle name="好_30-应付账款（空白模板）_明细表 2 2" xfId="7600"/>
    <cellStyle name="60% - 强调文字颜色 2 2 3 7" xfId="7601"/>
    <cellStyle name="常规 3 2 19" xfId="7602"/>
    <cellStyle name="常规 3 2 24" xfId="7603"/>
    <cellStyle name="60% - 强调文字颜色 3 2 9" xfId="7604"/>
    <cellStyle name="好_30-应付账款（空白模板）_明细表 2 3" xfId="7605"/>
    <cellStyle name="60% - 强调文字颜色 2 2 3 8" xfId="7606"/>
    <cellStyle name="常规 3 2 25" xfId="7607"/>
    <cellStyle name="常规 3 2 30" xfId="7608"/>
    <cellStyle name="60% - 强调文字颜色 2 2 4" xfId="7609"/>
    <cellStyle name="60% - 强调文字颜色 2 2 5" xfId="7610"/>
    <cellStyle name="60% - 强调文字颜色 2 2 6" xfId="7611"/>
    <cellStyle name="Comma 9 2" xfId="7612"/>
    <cellStyle name="60% - 强调文字颜色 2 2 7" xfId="7613"/>
    <cellStyle name="60% - 强调文字颜色 2 2 7 2" xfId="7614"/>
    <cellStyle name="好_1固定资产 2_附注表一（财务报表）" xfId="7615"/>
    <cellStyle name="60% - 强调文字颜色 3 6 4" xfId="7616"/>
    <cellStyle name="Comma 9 2 2" xfId="7617"/>
    <cellStyle name="Comma 9 3" xfId="7618"/>
    <cellStyle name="60% - 强调文字颜色 2 2 8" xfId="7619"/>
    <cellStyle name="Comma 9 4" xfId="7620"/>
    <cellStyle name="60% - 强调文字颜色 2 2 9" xfId="7621"/>
    <cellStyle name="好_50-营业成本（空白模板） 9 2" xfId="7622"/>
    <cellStyle name="60% - 强调文字颜色 2 2_Spreadsheet" xfId="7623"/>
    <cellStyle name="60% - 强调文字颜色 2 3" xfId="7624"/>
    <cellStyle name="60% - 强调文字颜色 2 3 2" xfId="7625"/>
    <cellStyle name="60% - 强调文字颜色 2 3 2 2" xfId="7626"/>
    <cellStyle name="60% - 强调文字颜色 2 3 2 3" xfId="7627"/>
    <cellStyle name="InputArea" xfId="7628"/>
    <cellStyle name="60% - 强调文字颜色 2 3 3" xfId="7629"/>
    <cellStyle name="60% - 强调文字颜色 2 3 4" xfId="7630"/>
    <cellStyle name="60% - 强调文字颜色 2 4" xfId="7631"/>
    <cellStyle name="好_04-06 东营 Appendix4 TBJA.0411.v17 5" xfId="7632"/>
    <cellStyle name="60% - 强调文字颜色 2 4 2 2" xfId="7633"/>
    <cellStyle name="好_04-06 东营 Appendix4 TBJA.0411.v17 6" xfId="7634"/>
    <cellStyle name="60% - 强调文字颜色 2 4 2 3" xfId="7635"/>
    <cellStyle name="好_1持有至到期投资 2 2" xfId="7636"/>
    <cellStyle name="60% - 强调文字颜色 2 4 3" xfId="7637"/>
    <cellStyle name="60% - 强调文字颜色 2 4 4" xfId="7638"/>
    <cellStyle name="60% - 强调文字颜色 2 5" xfId="7639"/>
    <cellStyle name="60% - 强调文字颜色 2 5 2 2" xfId="7640"/>
    <cellStyle name="60% - 强调文字颜色 2 5 2 3" xfId="7641"/>
    <cellStyle name="好_固定资产 4 2 2" xfId="7642"/>
    <cellStyle name="好_1预收款项 9 2 2" xfId="7643"/>
    <cellStyle name="好_1持有至到期投资 3 2" xfId="7644"/>
    <cellStyle name="60% - 强调文字颜色 2 5 3" xfId="7645"/>
    <cellStyle name="差__dxn_temp空白表页 2 6" xfId="7646"/>
    <cellStyle name="好_固定资产 4 2 3" xfId="7647"/>
    <cellStyle name="好_1预收款项 9 2 3" xfId="7648"/>
    <cellStyle name="60% - 强调文字颜色 2 5 4" xfId="7649"/>
    <cellStyle name="好_大信底稿目录 2 2 2" xfId="7650"/>
    <cellStyle name="60% - 强调文字颜色 2 6" xfId="7651"/>
    <cellStyle name="60% - 强调文字颜色 2 6 2 2" xfId="7652"/>
    <cellStyle name="差_专项应付款 5 2" xfId="7653"/>
    <cellStyle name="60% - 强调文字颜色 2 6 2 3" xfId="7654"/>
    <cellStyle name="60% - 强调文字颜色 2 6 3" xfId="7655"/>
    <cellStyle name="60% - 强调文字颜色 2 6 4" xfId="7656"/>
    <cellStyle name="好_大信底稿目录 2 2 3" xfId="7657"/>
    <cellStyle name="60% - 强调文字颜色 2 7" xfId="7658"/>
    <cellStyle name="差_借款" xfId="7659"/>
    <cellStyle name="60% - 强调文字颜色 2 7 3" xfId="7660"/>
    <cellStyle name="好_大信底稿目录 2 2 4" xfId="7661"/>
    <cellStyle name="60% - 强调文字颜色 2 8" xfId="7662"/>
    <cellStyle name="60% - 强调文字颜色 2 8 3" xfId="7663"/>
    <cellStyle name="好_大信底稿目录 2 2 5" xfId="7664"/>
    <cellStyle name="60% - 强调文字颜色 2 9" xfId="7665"/>
    <cellStyle name="60% - 强调文字颜色 2 9 3" xfId="7666"/>
    <cellStyle name="60% - 强调文字颜色 3 10" xfId="7667"/>
    <cellStyle name="60% - 强调文字颜色 3 2" xfId="7668"/>
    <cellStyle name="差_5-预付款项（空白模板） 2 2" xfId="7669"/>
    <cellStyle name="好_大信底稿目录 10_明细表" xfId="7670"/>
    <cellStyle name="好_1专项应付款 11 2 4" xfId="7671"/>
    <cellStyle name="60% - 强调文字颜色 3 2 10" xfId="7672"/>
    <cellStyle name="好_1专项应付款 11 2 5" xfId="7673"/>
    <cellStyle name="60% - 强调文字颜色 3 2 11" xfId="7674"/>
    <cellStyle name="60% - 强调文字颜色 3 2 12" xfId="7675"/>
    <cellStyle name="常规 3 2 12" xfId="7676"/>
    <cellStyle name="60% - 强调文字颜色 3 2 2" xfId="7677"/>
    <cellStyle name="60% - 强调文字颜色 3 2 2 10" xfId="7678"/>
    <cellStyle name="好_51-营业税金及附加（空白模板） 7_附注表一（财务报表）" xfId="7679"/>
    <cellStyle name="60% - 强调文字颜色 3 2 2 11" xfId="7680"/>
    <cellStyle name="常规 3 2 12 2" xfId="7681"/>
    <cellStyle name="60% - 强调文字颜色 3 2 2 2" xfId="7682"/>
    <cellStyle name="常规 3 2 12 2 2" xfId="7683"/>
    <cellStyle name="60% - 强调文字颜色 3 2 2 2 2" xfId="7684"/>
    <cellStyle name="60% - 强调文字颜色 3 2 2 2 3" xfId="7685"/>
    <cellStyle name="好_2009年6月30日资产负债表" xfId="7686"/>
    <cellStyle name="常规 3 2 12 2 3" xfId="7687"/>
    <cellStyle name="常规 3 2 12 3" xfId="7688"/>
    <cellStyle name="差__dxn_temp空白表页" xfId="7689"/>
    <cellStyle name="60% - 强调文字颜色 3 2 2 3" xfId="7690"/>
    <cellStyle name="常规 3 2 12 4" xfId="7691"/>
    <cellStyle name="60% - 强调文字颜色 3 2 2 4" xfId="7692"/>
    <cellStyle name="60% - 强调文字颜色 3 2 2 6" xfId="7693"/>
    <cellStyle name="常规 2 4 7 2" xfId="7694"/>
    <cellStyle name="60% - 强调文字颜色 3 2 2 7" xfId="7695"/>
    <cellStyle name="常规 2 4 7 3" xfId="7696"/>
    <cellStyle name="60% - 强调文字颜色 3 2 2 8" xfId="7697"/>
    <cellStyle name="常规 3 2 12_附注表一（财务报表）" xfId="7698"/>
    <cellStyle name="60% - 强调文字颜色 3 2 2_附注表一（财务报表）" xfId="7699"/>
    <cellStyle name="常规 3 2 13" xfId="7700"/>
    <cellStyle name="60% - 强调文字颜色 3 2 3" xfId="7701"/>
    <cellStyle name="常规 3 2 13 2" xfId="7702"/>
    <cellStyle name="60% - 强调文字颜色 3 2 3 2" xfId="7703"/>
    <cellStyle name="常规 3 2 13 3" xfId="7704"/>
    <cellStyle name="60% - 强调文字颜色 3 2 3 3" xfId="7705"/>
    <cellStyle name="常规 3 2 13 5" xfId="7706"/>
    <cellStyle name="60% - 强调文字颜色 3 2 3 5" xfId="7707"/>
    <cellStyle name="60% - 强调文字颜色 3 2 3 6" xfId="7708"/>
    <cellStyle name="好_应付职工薪酬 10" xfId="7709"/>
    <cellStyle name="常规 2 4 8 2" xfId="7710"/>
    <cellStyle name="60% - 强调文字颜色 3 2 3 7" xfId="7711"/>
    <cellStyle name="好_应付职工薪酬 11" xfId="7712"/>
    <cellStyle name="常规 2 4 8 3" xfId="7713"/>
    <cellStyle name="60% - 强调文字颜色 3 2 3 8" xfId="7714"/>
    <cellStyle name="60% - 强调文字颜色 3 2 3_附注表一（财务报表）" xfId="7715"/>
    <cellStyle name="好_短期借款 2 2 4" xfId="7716"/>
    <cellStyle name="常规 3 2 13_附注表一（财务报表）" xfId="7717"/>
    <cellStyle name="Comma  - Style4_函证结果汇总表" xfId="7718"/>
    <cellStyle name="常规 3 2 17 2" xfId="7719"/>
    <cellStyle name="常规 3 2 22 2" xfId="7720"/>
    <cellStyle name="60% - 强调文字颜色 3 2 7 2" xfId="7721"/>
    <cellStyle name="60% - 强调文字颜色 3 2_Spreadsheet" xfId="7722"/>
    <cellStyle name="60% - 强调文字颜色 3 3" xfId="7723"/>
    <cellStyle name="差_5-预付款项（空白模板） 2 3" xfId="7724"/>
    <cellStyle name="60% - 强调文字颜色 3 3 2" xfId="7725"/>
    <cellStyle name="60% - 强调文字颜色 3 3 2 2" xfId="7726"/>
    <cellStyle name="60% - 强调文字颜色 3 3 2 3" xfId="7727"/>
    <cellStyle name="60% - 强调文字颜色 3 3 3" xfId="7728"/>
    <cellStyle name="60% - 强调文字颜色 3 3 4" xfId="7729"/>
    <cellStyle name="60% - 强调文字颜色 3 4" xfId="7730"/>
    <cellStyle name="60% - 强调文字颜色 3 4 2 3" xfId="7731"/>
    <cellStyle name="差_预收款项 13_明细表 2" xfId="7732"/>
    <cellStyle name="60% - 强调文字颜色 3 4 3" xfId="7733"/>
    <cellStyle name="差_预收款项 13_明细表 3" xfId="7734"/>
    <cellStyle name="60% - 强调文字颜色 3 4 4" xfId="7735"/>
    <cellStyle name="60% - 强调文字颜色 3 5" xfId="7736"/>
    <cellStyle name="60% - 强调文字颜色 3 5 2" xfId="7737"/>
    <cellStyle name="SAPBEXaggDataEmph 4 3" xfId="7738"/>
    <cellStyle name="60% - 强调文字颜色 3 5 2 2" xfId="7739"/>
    <cellStyle name="60% - 强调文字颜色 3 5 2 3" xfId="7740"/>
    <cellStyle name="差_投资收益" xfId="7741"/>
    <cellStyle name="好_固定资产 5 2 2" xfId="7742"/>
    <cellStyle name="60% - 强调文字颜色 3 5 3" xfId="7743"/>
    <cellStyle name="好_固定资产 5 2 3" xfId="7744"/>
    <cellStyle name="60% - 强调文字颜色 3 5 4" xfId="7745"/>
    <cellStyle name="好_大信底稿目录 2 3 2" xfId="7746"/>
    <cellStyle name="60% - 强调文字颜色 3 6" xfId="7747"/>
    <cellStyle name="60% - 强调文字颜色 3 6 2" xfId="7748"/>
    <cellStyle name="好_55-资产减值损失（空白模板） 15 3" xfId="7749"/>
    <cellStyle name="60% - 强调文字颜色 3 6 2 2" xfId="7750"/>
    <cellStyle name="60% - 强调文字颜色 3 6 2 3" xfId="7751"/>
    <cellStyle name="60% - 强调文字颜色 3 6 3" xfId="7752"/>
    <cellStyle name="60% - 强调文字颜色 3 7" xfId="7753"/>
    <cellStyle name="常规 3 3 12" xfId="7754"/>
    <cellStyle name="60% - 强调文字颜色 3 7 2" xfId="7755"/>
    <cellStyle name="常规 3 3 13" xfId="7756"/>
    <cellStyle name="60% - 强调文字颜色 3 7 3" xfId="7757"/>
    <cellStyle name="60% - 强调文字颜色 3 8" xfId="7758"/>
    <cellStyle name="好_19-无形资产（空白模板） 11_明细表 5" xfId="7759"/>
    <cellStyle name="60% - 强调文字颜色 3 8 2" xfId="7760"/>
    <cellStyle name="60% - 强调文字颜色 3 8 3" xfId="7761"/>
    <cellStyle name="常规 4 10 2 5" xfId="7762"/>
    <cellStyle name="60% - 强调文字颜色 3 9 3" xfId="7763"/>
    <cellStyle name="好_19-无形资产（空白模板） 2" xfId="7764"/>
    <cellStyle name="60% - 强调文字颜色 4 10" xfId="7765"/>
    <cellStyle name="60% - 强调文字颜色 4 2" xfId="7766"/>
    <cellStyle name="差_5-预付款项（空白模板） 3 2" xfId="7767"/>
    <cellStyle name="好_1专项应付款 16 2 4" xfId="7768"/>
    <cellStyle name="60% - 强调文字颜色 4 2 10" xfId="7769"/>
    <cellStyle name="好_1专项应付款 16 2 5" xfId="7770"/>
    <cellStyle name="60% - 强调文字颜色 4 2 11" xfId="7771"/>
    <cellStyle name="好_4-应收账款（空白模板） 11_附注表一（财务报表）" xfId="7772"/>
    <cellStyle name="常规 3 7 12" xfId="7773"/>
    <cellStyle name="60% - 强调文字颜色 4 2 2" xfId="7774"/>
    <cellStyle name="常规 6 6 6" xfId="7775"/>
    <cellStyle name="60% - 强调文字颜色 4 2 2 10" xfId="7776"/>
    <cellStyle name="常规 6 6 7" xfId="7777"/>
    <cellStyle name="常规 2 3 2_附注表一（财务报表）" xfId="7778"/>
    <cellStyle name="60% - 强调文字颜色 4 2 2 11" xfId="7779"/>
    <cellStyle name="Euro 2 2 2 2" xfId="7780"/>
    <cellStyle name="SAPBEXHLevel2 6" xfId="7781"/>
    <cellStyle name="常规 3 3 2 10 2 4" xfId="7782"/>
    <cellStyle name="60% - 强调文字颜色 4 2 2 2" xfId="7783"/>
    <cellStyle name="60% - 强调文字颜色 4 2 2 2 2" xfId="7784"/>
    <cellStyle name="差__dxn_temp替代测试表(一)-期后收款情况模板" xfId="7785"/>
    <cellStyle name="60% - 强调文字颜色 4 2 2 2 3" xfId="7786"/>
    <cellStyle name="SAPBEXHLevel2 7" xfId="7787"/>
    <cellStyle name="常规 3 3 2 10 2 5" xfId="7788"/>
    <cellStyle name="60% - 强调文字颜色 4 2 2 3" xfId="7789"/>
    <cellStyle name="60% - 强调文字颜色 4 2 2 4" xfId="7790"/>
    <cellStyle name="好_G-应收账款 13 2 3" xfId="7791"/>
    <cellStyle name="60% - 强调文字颜色 4 2 2 6" xfId="7792"/>
    <cellStyle name="超链接 2 10_附注表一（财务报表）" xfId="7793"/>
    <cellStyle name="差_27-短期借款(空白模板)_明细表" xfId="7794"/>
    <cellStyle name="好_预收款项 9 2" xfId="7795"/>
    <cellStyle name="好_G-应收账款 13 2 4" xfId="7796"/>
    <cellStyle name="60% - 强调文字颜色 4 2 2 7" xfId="7797"/>
    <cellStyle name="好_预收款项 9 3" xfId="7798"/>
    <cellStyle name="好_G-应收账款 13 2 5" xfId="7799"/>
    <cellStyle name="60% - 强调文字颜色 4 2 2 8" xfId="7800"/>
    <cellStyle name="好_预收款项 9 4" xfId="7801"/>
    <cellStyle name="SAPBEXstdData 2" xfId="7802"/>
    <cellStyle name="60% - 强调文字颜色 4 2 2 9" xfId="7803"/>
    <cellStyle name="常规 8 2 3" xfId="7804"/>
    <cellStyle name="60% - 强调文字颜色 4 2 2_附注表一（财务报表）" xfId="7805"/>
    <cellStyle name="Accent1 11" xfId="7806"/>
    <cellStyle name="9_v9 2005 Austar(BJ) GD1 - Income statement (Ida) 2" xfId="7807"/>
    <cellStyle name="60% - 强调文字颜色 4 2 3" xfId="7808"/>
    <cellStyle name="好_银行函证结果汇总表 8 2 5" xfId="7809"/>
    <cellStyle name="SAPBEXHLevel3 6" xfId="7810"/>
    <cellStyle name="60% - 强调文字颜色 4 2 3 2" xfId="7811"/>
    <cellStyle name="SAPBEXHLevel3 7" xfId="7812"/>
    <cellStyle name="60% - 强调文字颜色 4 2 3 3" xfId="7813"/>
    <cellStyle name="好_1短期借款 14_明细表" xfId="7814"/>
    <cellStyle name="60% - 强调文字颜色 4 2 3 4" xfId="7815"/>
    <cellStyle name="差_27-短期借款(空白模板) 10 2" xfId="7816"/>
    <cellStyle name="60% - 强调文字颜色 4 2 3 5" xfId="7817"/>
    <cellStyle name="差_27-短期借款(空白模板) 10 3" xfId="7818"/>
    <cellStyle name="60% - 强调文字颜色 4 2 3 6" xfId="7819"/>
    <cellStyle name="差_27-短期借款(空白模板) 10 4" xfId="7820"/>
    <cellStyle name="60% - 强调文字颜色 4 2 3 7" xfId="7821"/>
    <cellStyle name="60% - 强调文字颜色 4 2 3 8" xfId="7822"/>
    <cellStyle name="好_固定资产 12 2 2" xfId="7823"/>
    <cellStyle name="好_1财务费用 16 6" xfId="7824"/>
    <cellStyle name="60% - 强调文字颜色 4 2 3_附注表一（财务报表）" xfId="7825"/>
    <cellStyle name="60% - 强调文字颜色 4 2 4" xfId="7826"/>
    <cellStyle name="InputArea 2" xfId="7827"/>
    <cellStyle name="60% - 强调文字颜色 4 2 5" xfId="7828"/>
    <cellStyle name="60% - 强调文字颜色 4 2 6" xfId="7829"/>
    <cellStyle name="60% - 强调文字颜色 4 2 7" xfId="7830"/>
    <cellStyle name="60% - 强调文字颜色 4 2 7 2" xfId="7831"/>
    <cellStyle name="60% - 强调文字颜色 4 2 8" xfId="7832"/>
    <cellStyle name="60% - 强调文字颜色 4 2 9" xfId="7833"/>
    <cellStyle name="好_应收利息 18 3" xfId="7834"/>
    <cellStyle name="60% - 强调文字颜色 4 2_Spreadsheet" xfId="7835"/>
    <cellStyle name="60% - 强调文字颜色 4 3" xfId="7836"/>
    <cellStyle name="差_审定表_明细表 3" xfId="7837"/>
    <cellStyle name="60% - 强调文字颜色 4 3 2" xfId="7838"/>
    <cellStyle name="常规 3 3 2 11 2 4" xfId="7839"/>
    <cellStyle name="60% - 强调文字颜色 4 3 2 2" xfId="7840"/>
    <cellStyle name="常规 3 3 2 11 2 5" xfId="7841"/>
    <cellStyle name="60% - 强调文字颜色 4 3 2 3" xfId="7842"/>
    <cellStyle name="差_15-固定资产（空白模板） 10_明细表" xfId="7843"/>
    <cellStyle name="差_审定表_明细表 4" xfId="7844"/>
    <cellStyle name="差_营业收入_附注表一（财务报表）" xfId="7845"/>
    <cellStyle name="60% - 强调文字颜色 4 3 3" xfId="7846"/>
    <cellStyle name="差_审定表_明细表 5" xfId="7847"/>
    <cellStyle name="60% - 强调文字颜色 4 3 4" xfId="7848"/>
    <cellStyle name="60% - 强调文字颜色 4 4" xfId="7849"/>
    <cellStyle name="标题 3 2 2 5" xfId="7850"/>
    <cellStyle name="好_19-无形资产（空白模板） 12" xfId="7851"/>
    <cellStyle name="常规 2 3 2 8_附注表一（财务报表）" xfId="7852"/>
    <cellStyle name="60% - 强调文字颜色 4 4 2" xfId="7853"/>
    <cellStyle name="好_FA 短期借款 2 3" xfId="7854"/>
    <cellStyle name="好_19-无形资产（空白模板） 12 2" xfId="7855"/>
    <cellStyle name="60% - 强调文字颜色 4 4 2 2" xfId="7856"/>
    <cellStyle name="好_FA 短期借款 2 4" xfId="7857"/>
    <cellStyle name="好_19-无形资产（空白模板） 12 3" xfId="7858"/>
    <cellStyle name="60% - 强调文字颜色 4 4 2 3" xfId="7859"/>
    <cellStyle name="标题 3 2 2 6" xfId="7860"/>
    <cellStyle name="好_19-无形资产（空白模板） 13" xfId="7861"/>
    <cellStyle name="60% - 强调文字颜色 4 4 3" xfId="7862"/>
    <cellStyle name="标题 3 2 2 7" xfId="7863"/>
    <cellStyle name="好_19-无形资产（空白模板） 14" xfId="7864"/>
    <cellStyle name="60% - 强调文字颜色 4 4 4" xfId="7865"/>
    <cellStyle name="60% - 强调文字颜色 4 5" xfId="7866"/>
    <cellStyle name="标题 3 2 3 5" xfId="7867"/>
    <cellStyle name="60% - 强调文字颜色 4 5 2" xfId="7868"/>
    <cellStyle name="60% - 强调文字颜色 4 5 2 2" xfId="7869"/>
    <cellStyle name="好_Sheet1_明细表 2" xfId="7870"/>
    <cellStyle name="60% - 强调文字颜色 4 5 2 3" xfId="7871"/>
    <cellStyle name="好_固定资产 6 2 2" xfId="7872"/>
    <cellStyle name="标题 3 2 3 6" xfId="7873"/>
    <cellStyle name="60% - 强调文字颜色 4 5 3" xfId="7874"/>
    <cellStyle name="好_固定资产 6 2 3" xfId="7875"/>
    <cellStyle name="标题 3 2 3 7" xfId="7876"/>
    <cellStyle name="60% - 强调文字颜色 4 5 4" xfId="7877"/>
    <cellStyle name="60% - 强调文字颜色 4 6" xfId="7878"/>
    <cellStyle name="60% - 强调文字颜色 4 6 2" xfId="7879"/>
    <cellStyle name="60% - 强调文字颜色 4 6 2 2" xfId="7880"/>
    <cellStyle name="好_27-短期借款(空白模板) 2 2 4" xfId="7881"/>
    <cellStyle name="60% - 强调文字颜色 4 6 2 3" xfId="7882"/>
    <cellStyle name="好_27-短期借款(空白模板) 2 2 5" xfId="7883"/>
    <cellStyle name="60% - 强调文字颜色 4 6 3" xfId="7884"/>
    <cellStyle name="60% - 强调文字颜色 4 6 4" xfId="7885"/>
    <cellStyle name="60% - 强调文字颜色 4 7" xfId="7886"/>
    <cellStyle name="常规 3 8 12" xfId="7887"/>
    <cellStyle name="60% - 强调文字颜色 4 7 2" xfId="7888"/>
    <cellStyle name="60% - 强调文字颜色 4 7 3" xfId="7889"/>
    <cellStyle name="60% - 强调文字颜色 4 8" xfId="7890"/>
    <cellStyle name="好_54-财务费用（空白模板） 14_附注表一（财务报表）" xfId="7891"/>
    <cellStyle name="60% - 强调文字颜色 4 8 2" xfId="7892"/>
    <cellStyle name="60% - 强调文字颜色 4 8 3" xfId="7893"/>
    <cellStyle name="60% - 强调文字颜色 4 9" xfId="7894"/>
    <cellStyle name="常规 4 11 2 4" xfId="7895"/>
    <cellStyle name="60% - 强调文字颜色 4 9 2" xfId="7896"/>
    <cellStyle name="常规 4 11 2 5" xfId="7897"/>
    <cellStyle name="差_ZA0货币资金审定表 _应收账款" xfId="7898"/>
    <cellStyle name="60% - 强调文字颜色 4 9 3" xfId="7899"/>
    <cellStyle name="好_54-财务费用（空白模板） 7_明细表 5" xfId="7900"/>
    <cellStyle name="差_预收款项 16" xfId="7901"/>
    <cellStyle name="差_预收款项 21" xfId="7902"/>
    <cellStyle name="60% - 强调文字颜色 5 2 10" xfId="7903"/>
    <cellStyle name="差_预收款项 17" xfId="7904"/>
    <cellStyle name="差_预收款项 22" xfId="7905"/>
    <cellStyle name="60% - 强调文字颜色 5 2 11" xfId="7906"/>
    <cellStyle name="好_30-应付账款（空白模板） 7 4" xfId="7907"/>
    <cellStyle name="60% - 强调文字颜色 5 2 2 10" xfId="7908"/>
    <cellStyle name="60% - 强调文字颜色 5 2 2 11" xfId="7909"/>
    <cellStyle name="60% - 强调文字颜色 5 2 2 2" xfId="7910"/>
    <cellStyle name="60% - 强调文字颜色 5 2 2 2 2" xfId="7911"/>
    <cellStyle name="60% - 强调文字颜色 5 2 2 2 3" xfId="7912"/>
    <cellStyle name="60% - 强调文字颜色 5 2 2 3" xfId="7913"/>
    <cellStyle name="60% - 强调文字颜色 5 2 2 4" xfId="7914"/>
    <cellStyle name="60% - 强调文字颜色 5 2 2 5" xfId="7915"/>
    <cellStyle name="60% - 强调文字颜色 5 2 2 6" xfId="7916"/>
    <cellStyle name="常规 4 4 7 2" xfId="7917"/>
    <cellStyle name="60% - 强调文字颜色 5 2 2 7" xfId="7918"/>
    <cellStyle name="常规 4 4 7 3" xfId="7919"/>
    <cellStyle name="60% - 强调文字颜色 5 2 2 8" xfId="7920"/>
    <cellStyle name="60% - 强调文字颜色 5 2 2 9" xfId="7921"/>
    <cellStyle name="60% - 强调文字颜色 5 2 2_附注表一（财务报表）" xfId="7922"/>
    <cellStyle name="60% - 强调文字颜色 5 2 3" xfId="7923"/>
    <cellStyle name="差_56-公允价值损益变动（空白模板） 2 2 3" xfId="7924"/>
    <cellStyle name="60% - 强调文字颜色 5 2 3 2" xfId="7925"/>
    <cellStyle name="60% - 强调文字颜色 5 2 3 3" xfId="7926"/>
    <cellStyle name="60% - 强调文字颜色 5 2 3 4" xfId="7927"/>
    <cellStyle name="60% - 强调文字颜色 5 2 3 6" xfId="7928"/>
    <cellStyle name="60% - 强调文字颜色 5 2 3 7" xfId="7929"/>
    <cellStyle name="60% - 强调文字颜色 5 2 3 8" xfId="7930"/>
    <cellStyle name="差_4-应收账款（空白模板） 2 5" xfId="7931"/>
    <cellStyle name="60% - 强调文字颜色 5 2 3_附注表一（财务报表）" xfId="7932"/>
    <cellStyle name="60% - 强调文字颜色 5 2 4" xfId="7933"/>
    <cellStyle name="60% - 强调文字颜色 5 2 5" xfId="7934"/>
    <cellStyle name="好_资产负债标准底稿_大信底稿目录 2 3 2" xfId="7935"/>
    <cellStyle name="60% - 强调文字颜色 5 2 6" xfId="7936"/>
    <cellStyle name="好_资产负债标准底稿_大信底稿目录 2 3 3" xfId="7937"/>
    <cellStyle name="60% - 强调文字颜色 5 2 7" xfId="7938"/>
    <cellStyle name="60% - 强调文字颜色 5 2 7 2" xfId="7939"/>
    <cellStyle name="60% - 强调文字颜色 5 2 8" xfId="7940"/>
    <cellStyle name="60% - 强调文字颜色 5 2 9" xfId="7941"/>
    <cellStyle name="差_预收款项 11_明细表 4" xfId="7942"/>
    <cellStyle name="60% - 强调文字颜色 5 2_Spreadsheet" xfId="7943"/>
    <cellStyle name="差_短期借款 8_明细表" xfId="7944"/>
    <cellStyle name="60% - 强调文字颜色 5 3" xfId="7945"/>
    <cellStyle name="差_短期借款 8_明细表 2" xfId="7946"/>
    <cellStyle name="60% - 强调文字颜色 5 3 2" xfId="7947"/>
    <cellStyle name="60% - 强调文字颜色 5 3 2 2" xfId="7948"/>
    <cellStyle name="60% - 强调文字颜色 5 3 2 3" xfId="7949"/>
    <cellStyle name="差_短期借款 8_明细表 3" xfId="7950"/>
    <cellStyle name="差_15-固定资产（空白模板） 11_明细表" xfId="7951"/>
    <cellStyle name="60% - 强调文字颜色 5 3 3" xfId="7952"/>
    <cellStyle name="差_短期借款 8_明细表 4" xfId="7953"/>
    <cellStyle name="Calc Percent (0)" xfId="7954"/>
    <cellStyle name="60% - 强调文字颜色 5 3 4" xfId="7955"/>
    <cellStyle name="60% - 强调文字颜色 5 4" xfId="7956"/>
    <cellStyle name="60% - 强调文字颜色 5 4 2" xfId="7957"/>
    <cellStyle name="好_40-专项应付款(空白模板) 8 3" xfId="7958"/>
    <cellStyle name="60% - 强调文字颜色 5 4 2 2" xfId="7959"/>
    <cellStyle name="好_40-专项应付款(空白模板) 8 4" xfId="7960"/>
    <cellStyle name="60% - 强调文字颜色 5 4 2 3" xfId="7961"/>
    <cellStyle name="60% - 强调文字颜色 5 4 3" xfId="7962"/>
    <cellStyle name="60% - 强调文字颜色 5 4 4" xfId="7963"/>
    <cellStyle name="60% - 强调文字颜色 5 5" xfId="7964"/>
    <cellStyle name="60% - 强调文字颜色 5 5 2" xfId="7965"/>
    <cellStyle name="60% - 强调文字颜色 5 5 2 2" xfId="7966"/>
    <cellStyle name="60% - 强调文字颜色 5 5 2 3" xfId="7967"/>
    <cellStyle name="好_固定资产 7 2 2" xfId="7968"/>
    <cellStyle name="60% - 强调文字颜色 5 5 3" xfId="7969"/>
    <cellStyle name="好_固定资产 7 2 3" xfId="7970"/>
    <cellStyle name="60% - 强调文字颜色 5 5 4" xfId="7971"/>
    <cellStyle name="60% - 强调文字颜色 5 6" xfId="7972"/>
    <cellStyle name="60% - 强调文字颜色 5 6 2" xfId="7973"/>
    <cellStyle name="好_27-短期借款(空白模板) 10_附注表一（财务报表）" xfId="7974"/>
    <cellStyle name="60% - 强调文字颜色 5 6 2 2" xfId="7975"/>
    <cellStyle name="60% - 强调文字颜色 5 6 2 3" xfId="7976"/>
    <cellStyle name="60% - 强调文字颜色 5 6 3" xfId="7977"/>
    <cellStyle name="60% - 强调文字颜色 5 6 4" xfId="7978"/>
    <cellStyle name="SAPBEXheaderText 2" xfId="7979"/>
    <cellStyle name="60% - 强调文字颜色 5 7 2" xfId="7980"/>
    <cellStyle name="SAPBEXheaderText 3" xfId="7981"/>
    <cellStyle name="60% - 强调文字颜色 5 7 3" xfId="7982"/>
    <cellStyle name="60% - 强调文字颜色 5 8" xfId="7983"/>
    <cellStyle name="60% - 强调文字颜色 5 8 2" xfId="7984"/>
    <cellStyle name="60% - 强调文字颜色 5 8 3" xfId="7985"/>
    <cellStyle name="60% - 强调文字颜色 5 9" xfId="7986"/>
    <cellStyle name="常规 4 12 2 5" xfId="7987"/>
    <cellStyle name="SAPBEXresItemX 2" xfId="7988"/>
    <cellStyle name="60% - 强调文字颜色 5 9 3" xfId="7989"/>
    <cellStyle name="60% - 强调文字颜色 6 2" xfId="7990"/>
    <cellStyle name="好_9-存货（空白模板） 5" xfId="7991"/>
    <cellStyle name="60% - 强调文字颜色 6 2 10" xfId="7992"/>
    <cellStyle name="好_9-存货（空白模板） 6" xfId="7993"/>
    <cellStyle name="60% - 强调文字颜色 6 2 11" xfId="7994"/>
    <cellStyle name="60% - 强调文字颜色 6 2 12" xfId="7995"/>
    <cellStyle name="好_预收款项 12_明细表 4" xfId="7996"/>
    <cellStyle name="60% - 强调文字颜色 6 2 2" xfId="7997"/>
    <cellStyle name="Normal - Style1 2 2 2 3" xfId="7998"/>
    <cellStyle name="60% - 强调文字颜色 6 2 2 2" xfId="7999"/>
    <cellStyle name="Normal - Style1 2 2 2 4" xfId="8000"/>
    <cellStyle name="60% - 强调文字颜色 6 2 2 3" xfId="8001"/>
    <cellStyle name="Normal - Style1 2 2 2 5" xfId="8002"/>
    <cellStyle name="60% - 强调文字颜色 6 2 2 4" xfId="8003"/>
    <cellStyle name="60% - 强调文字颜色 6 2 2 5" xfId="8004"/>
    <cellStyle name="60% - 强调文字颜色 6 2 2 6" xfId="8005"/>
    <cellStyle name="好_1公允价值变动损益 2 2" xfId="8006"/>
    <cellStyle name="差_资产负债标准底稿 4 2 2" xfId="8007"/>
    <cellStyle name="60% - 强调文字颜色 6 2 2 7" xfId="8008"/>
    <cellStyle name="差_资产负债标准底稿 4 2 3" xfId="8009"/>
    <cellStyle name="60% - 强调文字颜色 6 2 2 8" xfId="8010"/>
    <cellStyle name="常规_长期应收款 2" xfId="8011"/>
    <cellStyle name="好_2-ZI-存货监盘（案例）" xfId="8012"/>
    <cellStyle name="60% - 强调文字颜色 6 2 2_附注表一（财务报表）" xfId="8013"/>
    <cellStyle name="好_预收款项 12_明细表 5" xfId="8014"/>
    <cellStyle name="60% - 强调文字颜色 6 2 3" xfId="8015"/>
    <cellStyle name="好_54-财务费用（空白模板） 9_明细表 2" xfId="8016"/>
    <cellStyle name="60% - 强调文字颜色 6 2 3 2" xfId="8017"/>
    <cellStyle name="60% - 强调文字颜色 6 2 3 3" xfId="8018"/>
    <cellStyle name="60% - 强调文字颜色 6 2 3 4" xfId="8019"/>
    <cellStyle name="60% - 强调文字颜色 6 2 3 5" xfId="8020"/>
    <cellStyle name="好_54-财务费用（空白模板） 13_附注表一（财务报表）" xfId="8021"/>
    <cellStyle name="60% - 强调文字颜色 6 2 3 6" xfId="8022"/>
    <cellStyle name="Comma 5 6" xfId="8023"/>
    <cellStyle name="60% - 强调文字颜色 6 2 3_附注表一（财务报表）" xfId="8024"/>
    <cellStyle name="60% - 强调文字颜色 6 2 4" xfId="8025"/>
    <cellStyle name="好_54-财务费用（空白模板） 9_明细表 3" xfId="8026"/>
    <cellStyle name="常规_营业外收入 2" xfId="8027"/>
    <cellStyle name="60% - 强调文字颜色 6 2 5" xfId="8028"/>
    <cellStyle name="好_54-财务费用（空白模板） 9_明细表 4" xfId="8029"/>
    <cellStyle name="60% - 强调文字颜色 6 2 6" xfId="8030"/>
    <cellStyle name="好_54-财务费用（空白模板） 9_明细表 5" xfId="8031"/>
    <cellStyle name="60% - 强调文字颜色 6 2 7" xfId="8032"/>
    <cellStyle name="60% - 强调文字颜色 6 2 8" xfId="8033"/>
    <cellStyle name="60% - 强调文字颜色 6 2 9" xfId="8034"/>
    <cellStyle name="60% - 强调文字颜色 6 3" xfId="8035"/>
    <cellStyle name="60% - 强调文字颜色 6 3 2" xfId="8036"/>
    <cellStyle name="60% - 强调文字颜色 6 3 2 2" xfId="8037"/>
    <cellStyle name="60% - 强调文字颜色 6 3 2 3" xfId="8038"/>
    <cellStyle name="差_15-固定资产（空白模板） 12_明细表" xfId="8039"/>
    <cellStyle name="60% - 强调文字颜色 6 3 3" xfId="8040"/>
    <cellStyle name="60% - 强调文字颜色 6 3 4" xfId="8041"/>
    <cellStyle name="60% - 强调文字颜色 6 4" xfId="8042"/>
    <cellStyle name="好_5-预付款项（空白模板）" xfId="8043"/>
    <cellStyle name="60% - 强调文字颜色 6 4 2" xfId="8044"/>
    <cellStyle name="好_5-预付款项（空白模板） 2" xfId="8045"/>
    <cellStyle name="差_15-固定资产（空白模板） 9 3" xfId="8046"/>
    <cellStyle name="60% - 强调文字颜色 6 4 2 2" xfId="8047"/>
    <cellStyle name="好_5-预付款项（空白模板） 3" xfId="8048"/>
    <cellStyle name="60% - 强调文字颜色 6 4 2 3" xfId="8049"/>
    <cellStyle name="60% - 强调文字颜色 6 4 3" xfId="8050"/>
    <cellStyle name="60% - 强调文字颜色 6 4 4" xfId="8051"/>
    <cellStyle name="60% - 强调文字颜色 6 5" xfId="8052"/>
    <cellStyle name="60% - 强调文字颜色 6 5 2" xfId="8053"/>
    <cellStyle name="60% - 强调文字颜色 6 5 2 2" xfId="8054"/>
    <cellStyle name="好_51-营业税金及附加（空白模板） 18" xfId="8055"/>
    <cellStyle name="好_51-营业税金及附加（空白模板） 23" xfId="8056"/>
    <cellStyle name="好_4-应收账款（空白模板） 9 4" xfId="8057"/>
    <cellStyle name="60% - 强调文字颜色 6 5 2 3" xfId="8058"/>
    <cellStyle name="好_51-营业税金及附加（空白模板） 19" xfId="8059"/>
    <cellStyle name="好_51-营业税金及附加（空白模板） 24" xfId="8060"/>
    <cellStyle name="好_固定资产 8 2 2" xfId="8061"/>
    <cellStyle name="60% - 强调文字颜色 6 5 3" xfId="8062"/>
    <cellStyle name="好_固定资产 8 2 3" xfId="8063"/>
    <cellStyle name="60% - 强调文字颜色 6 5 4" xfId="8064"/>
    <cellStyle name="60% - 强调文字颜色 6 6" xfId="8065"/>
    <cellStyle name="60% - 强调文字颜色 6 6 2" xfId="8066"/>
    <cellStyle name="60% - 强调文字颜色 6 6 2 2" xfId="8067"/>
    <cellStyle name="60% - 强调文字颜色 6 6 2 3" xfId="8068"/>
    <cellStyle name="好_3-应收票据（空白模板）" xfId="8069"/>
    <cellStyle name="60% - 强调文字颜色 6 6 3" xfId="8070"/>
    <cellStyle name="60% - 强调文字颜色 6 6 4" xfId="8071"/>
    <cellStyle name="好_专项应付款 12_明细表 4" xfId="8072"/>
    <cellStyle name="60% - 强调文字颜色 6 7 2" xfId="8073"/>
    <cellStyle name="好_专项应付款 12_明细表 5" xfId="8074"/>
    <cellStyle name="60% - 强调文字颜色 6 7 3" xfId="8075"/>
    <cellStyle name="60% - 强调文字颜色 6 8" xfId="8076"/>
    <cellStyle name="好_预收款项_附注表一（财务报表）" xfId="8077"/>
    <cellStyle name="60% - 强调文字颜色 6 8 2" xfId="8078"/>
    <cellStyle name="60% - 强调文字颜色 6 8 3" xfId="8079"/>
    <cellStyle name="60% - 强调文字颜色 6 9" xfId="8080"/>
    <cellStyle name="常规 4 13 2 4" xfId="8081"/>
    <cellStyle name="60% - 强调文字颜色 6 9 2" xfId="8082"/>
    <cellStyle name="常规 4 13 2 5" xfId="8083"/>
    <cellStyle name="60% - 强调文字颜色 6 9 3" xfId="8084"/>
    <cellStyle name="6mal" xfId="8085"/>
    <cellStyle name="6mal 2" xfId="8086"/>
    <cellStyle name="好_专项应付款 7_明细表 3" xfId="8087"/>
    <cellStyle name="70" xfId="8088"/>
    <cellStyle name="好_54-财务费用（空白模板） 16 4" xfId="8089"/>
    <cellStyle name="70 2" xfId="8090"/>
    <cellStyle name="9" xfId="8091"/>
    <cellStyle name="9 2" xfId="8092"/>
    <cellStyle name="9_2005 Austar (SH) GD &amp; GM - Income statement v2" xfId="8093"/>
    <cellStyle name="差_55-资产减值损失（空白模板） 25" xfId="8094"/>
    <cellStyle name="差_55-资产减值损失（空白模板） 30" xfId="8095"/>
    <cellStyle name="好_营业收入 5" xfId="8096"/>
    <cellStyle name="9_2005 Austar (SH) GD &amp; GM - Income statement v2 2" xfId="8097"/>
    <cellStyle name="好_15-固定资产（空白模板） 12_附注表一（财务报表）" xfId="8098"/>
    <cellStyle name="9_Austar (SH) GD - Income statement (V2)" xfId="8099"/>
    <cellStyle name="差_54-财务费用（空白模板） 10 3" xfId="8100"/>
    <cellStyle name="9_Austar (SH) GD - Income statement (V2) 2" xfId="8101"/>
    <cellStyle name="好_55-资产减值损失（空白模板） 11_明细表 2" xfId="8102"/>
    <cellStyle name="9_Austar (SH) GD &amp; GM - Income statement (V7)" xfId="8103"/>
    <cellStyle name="差__dxn_temp空白表页 16" xfId="8104"/>
    <cellStyle name="差__dxn_temp空白表页 21" xfId="8105"/>
    <cellStyle name="9_Austar (SH) GD &amp; GM - Income statement (V7) 2" xfId="8106"/>
    <cellStyle name="9_BJ &amp; SH GD7" xfId="8107"/>
    <cellStyle name="差_ZA0货币资金审定表  3 2 2" xfId="8108"/>
    <cellStyle name="9_BJ &amp; SH GD7 2" xfId="8109"/>
    <cellStyle name="9_BJ Austar PharmMed Ltd other P&amp;L wpf 2005" xfId="8110"/>
    <cellStyle name="常规 3 2 6 2 3" xfId="8111"/>
    <cellStyle name="9_BJ Austar PharmMed Ltd other P&amp;L wpf 2005 2" xfId="8112"/>
    <cellStyle name="好_54-财务费用（空白模板） 15_明细表 3" xfId="8113"/>
    <cellStyle name="9_no of staff" xfId="8114"/>
    <cellStyle name="9_no of staff 2" xfId="8115"/>
    <cellStyle name="差_短期借款 13 2 3" xfId="8116"/>
    <cellStyle name="差_50-营业成本（空白模板） 10 4" xfId="8117"/>
    <cellStyle name="9_v10 2005 Austar(BJ) GD1 - Income statement (Ida)" xfId="8118"/>
    <cellStyle name="Normal - Style1 2 16 2" xfId="8119"/>
    <cellStyle name="9_v9 2005 Austar(BJ) GD1 - Income statement (Ida)" xfId="8120"/>
    <cellStyle name="好_货币资金 天职 5" xfId="8121"/>
    <cellStyle name="99/12/31" xfId="8122"/>
    <cellStyle name="99/12/31 2" xfId="8123"/>
    <cellStyle name="AA FRAME" xfId="8124"/>
    <cellStyle name="AA FRAME 2" xfId="8125"/>
    <cellStyle name="好_固定资产 3_明细表" xfId="8126"/>
    <cellStyle name="好_财务费用 5_附注表一（财务报表）" xfId="8127"/>
    <cellStyle name="好_1预收款项 8_明细表" xfId="8128"/>
    <cellStyle name="AA FRAME 2 2" xfId="8129"/>
    <cellStyle name="AA FRAME 2 3" xfId="8130"/>
    <cellStyle name="AA FRAME 3" xfId="8131"/>
    <cellStyle name="AA FRAME 3 2" xfId="8132"/>
    <cellStyle name="AA FRAME 3 3" xfId="8133"/>
    <cellStyle name="AA FRAME 4" xfId="8134"/>
    <cellStyle name="AA FRAME 4 2" xfId="8135"/>
    <cellStyle name="差_G-应收账款_明细表 2" xfId="8136"/>
    <cellStyle name="AA FRAME 4 3" xfId="8137"/>
    <cellStyle name="AA FRAME 5" xfId="8138"/>
    <cellStyle name="AA FRAME 6" xfId="8139"/>
    <cellStyle name="常规 2 6 6" xfId="8140"/>
    <cellStyle name="AA HEADING" xfId="8141"/>
    <cellStyle name="差_底稿设置宏 3 2 3" xfId="8142"/>
    <cellStyle name="AA HEADING 2" xfId="8143"/>
    <cellStyle name="差_底稿设置宏 3 2 4" xfId="8144"/>
    <cellStyle name="差_3-应收票据（空白模板） 2 2" xfId="8145"/>
    <cellStyle name="AA HEADING 3" xfId="8146"/>
    <cellStyle name="差_底稿设置宏 3 2 5" xfId="8147"/>
    <cellStyle name="AA HEADING 4" xfId="8148"/>
    <cellStyle name="好_1递延所得税负债 2 2" xfId="8149"/>
    <cellStyle name="AA INITIALS" xfId="8150"/>
    <cellStyle name="AA INITIALS 2" xfId="8151"/>
    <cellStyle name="AA INITIALS 3" xfId="8152"/>
    <cellStyle name="AA INITIALS 4" xfId="8153"/>
    <cellStyle name="好_1营业收入_应收账款 2" xfId="8154"/>
    <cellStyle name="好_1资产减值损失 12_附注表一（财务报表）" xfId="8155"/>
    <cellStyle name="AA INPUT" xfId="8156"/>
    <cellStyle name="AA INPUT 2" xfId="8157"/>
    <cellStyle name="AA INPUT 3" xfId="8158"/>
    <cellStyle name="AA LOCK 2" xfId="8159"/>
    <cellStyle name="AA LOCK 3" xfId="8160"/>
    <cellStyle name="AA LOCK 4" xfId="8161"/>
    <cellStyle name="差_FE预收款项 4" xfId="8162"/>
    <cellStyle name="AA MGR NAME" xfId="8163"/>
    <cellStyle name="常规 2 3 2 2 2 8" xfId="8164"/>
    <cellStyle name="AA MGR NAME 2" xfId="8165"/>
    <cellStyle name="常规 2 3 2 2 2 9" xfId="8166"/>
    <cellStyle name="AA MGR NAME 3" xfId="8167"/>
    <cellStyle name="AA MGR NAME 4" xfId="8168"/>
    <cellStyle name="差_1固定资产" xfId="8169"/>
    <cellStyle name="AA NORMAL 2" xfId="8170"/>
    <cellStyle name="똿뗦먛귟 [0.00]_PRODUCT DETAIL Q1" xfId="8171"/>
    <cellStyle name="好_50-营业成本（空白模板）_3固定资产" xfId="8172"/>
    <cellStyle name="PrePop Currency (0)" xfId="8173"/>
    <cellStyle name="AA NORMAL 3" xfId="8174"/>
    <cellStyle name="百分比 2 2 7 2 2" xfId="8175"/>
    <cellStyle name="AA NORMAL 4" xfId="8176"/>
    <cellStyle name="好_27-短期借款(空白模板) 2_明细表 3" xfId="8177"/>
    <cellStyle name="AA NUMBER" xfId="8178"/>
    <cellStyle name="SAPBEXexcGood1 4" xfId="8179"/>
    <cellStyle name="AA NUMBER2" xfId="8180"/>
    <cellStyle name="常规 3 15 2 3" xfId="8181"/>
    <cellStyle name="常规 3 20 2 3" xfId="8182"/>
    <cellStyle name="好_51-营业税金及附加（空白模板） 2 3 2" xfId="8183"/>
    <cellStyle name="Percent 18" xfId="8184"/>
    <cellStyle name="好_4-应收账款（空白模板） 17 3" xfId="8185"/>
    <cellStyle name="好_1财务费用 10_附注表一（财务报表）" xfId="8186"/>
    <cellStyle name="AA QUESTION" xfId="8187"/>
    <cellStyle name="差_6、应收帐款" xfId="8188"/>
    <cellStyle name="Percent 18 2" xfId="8189"/>
    <cellStyle name="AA QUESTION 2" xfId="8190"/>
    <cellStyle name="AA QUESTION 4" xfId="8191"/>
    <cellStyle name="常规 3 8 2 2" xfId="8192"/>
    <cellStyle name="AA SHADE" xfId="8193"/>
    <cellStyle name="好_底稿设置宏_大信底稿目录 2 2 4" xfId="8194"/>
    <cellStyle name="常规 5 2 3 2 5" xfId="8195"/>
    <cellStyle name="AA SHADE 2" xfId="8196"/>
    <cellStyle name="好_底稿设置宏_大信底稿目录 2 2 5" xfId="8197"/>
    <cellStyle name="SAPBEXHLevel3X 2 2" xfId="8198"/>
    <cellStyle name="AA SHADE 3" xfId="8199"/>
    <cellStyle name="好_底稿设置宏_大信底稿目录 2 2 6" xfId="8200"/>
    <cellStyle name="差_19-无形资产（空白模板） 13 2" xfId="8201"/>
    <cellStyle name="SAPBEXHLevel3X 2 3" xfId="8202"/>
    <cellStyle name="AA SHADE 4" xfId="8203"/>
    <cellStyle name="Accent1 - 20%" xfId="8204"/>
    <cellStyle name="好_复件 固定资产 8_明细表 4" xfId="8205"/>
    <cellStyle name="Accent1 - 20% 2" xfId="8206"/>
    <cellStyle name="Accent1 - 20% 2 2" xfId="8207"/>
    <cellStyle name="Accent1 - 20% 2 3" xfId="8208"/>
    <cellStyle name="好_复件 固定资产 8_明细表 5" xfId="8209"/>
    <cellStyle name="Accent1 - 20% 3" xfId="8210"/>
    <cellStyle name="Accent1 - 20% 3 2" xfId="8211"/>
    <cellStyle name="Accent1 - 20% 4" xfId="8212"/>
    <cellStyle name="Accent1 - 20% 5" xfId="8213"/>
    <cellStyle name="好_55-资产减值损失（空白模板） 14 2 5" xfId="8214"/>
    <cellStyle name="Accent1 - 40%" xfId="8215"/>
    <cellStyle name="Accent1 - 40% 2" xfId="8216"/>
    <cellStyle name="好_55-资产减值损失（空白模板） 7 2" xfId="8217"/>
    <cellStyle name="Accent1 - 40% 2 3" xfId="8218"/>
    <cellStyle name="差_大信底稿目录 15 2 2" xfId="8219"/>
    <cellStyle name="Accent1 - 40% 3" xfId="8220"/>
    <cellStyle name="Accent1 - 40% 4" xfId="8221"/>
    <cellStyle name="Accent1 - 40% 5" xfId="8222"/>
    <cellStyle name="Accent1 - 60%" xfId="8223"/>
    <cellStyle name="Accent1 - 60% 2" xfId="8224"/>
    <cellStyle name="Accent1 - 60% 2 2" xfId="8225"/>
    <cellStyle name="Accent1 - 60% 2 3" xfId="8226"/>
    <cellStyle name="Accent1 - 60% 3" xfId="8227"/>
    <cellStyle name="Accent1 - 60% 4" xfId="8228"/>
    <cellStyle name="Accent1 - 60% 5" xfId="8229"/>
    <cellStyle name="好_SA保险业务收入" xfId="8230"/>
    <cellStyle name="常规 8 2 2" xfId="8231"/>
    <cellStyle name="Accent1 10" xfId="8232"/>
    <cellStyle name="差_19-无形资产（空白模板） 8_明细表" xfId="8233"/>
    <cellStyle name="常规 8 2 2 2" xfId="8234"/>
    <cellStyle name="好_银行函证结果汇总表 9" xfId="8235"/>
    <cellStyle name="好_SA保险业务收入 2" xfId="8236"/>
    <cellStyle name="Accent1 10 2" xfId="8237"/>
    <cellStyle name="常规 8 2 3 2" xfId="8238"/>
    <cellStyle name="Accent1 11 2" xfId="8239"/>
    <cellStyle name="常规 8 2 4" xfId="8240"/>
    <cellStyle name="Accent1 12" xfId="8241"/>
    <cellStyle name="常规 8 2 4 2" xfId="8242"/>
    <cellStyle name="Accent1 12 2" xfId="8243"/>
    <cellStyle name="好_H1000应收账款" xfId="8244"/>
    <cellStyle name="常规 8 2 5" xfId="8245"/>
    <cellStyle name="Accent1 13" xfId="8246"/>
    <cellStyle name="Accent1 13 2" xfId="8247"/>
    <cellStyle name="常规 8 2 6" xfId="8248"/>
    <cellStyle name="差_9管理费用 2" xfId="8249"/>
    <cellStyle name="Accent1 14" xfId="8250"/>
    <cellStyle name="差_9管理费用 2 2" xfId="8251"/>
    <cellStyle name="Accent1 14 2" xfId="8252"/>
    <cellStyle name="常规 8 2 7" xfId="8253"/>
    <cellStyle name="差_9管理费用 3" xfId="8254"/>
    <cellStyle name="Accent1 15" xfId="8255"/>
    <cellStyle name="常规 8 2 8" xfId="8256"/>
    <cellStyle name="差_9管理费用 4" xfId="8257"/>
    <cellStyle name="Accent1 16" xfId="8258"/>
    <cellStyle name="Accent1 2" xfId="8259"/>
    <cellStyle name="Accent1 2 3" xfId="8260"/>
    <cellStyle name="Accent1 3" xfId="8261"/>
    <cellStyle name="Accent1 3 2" xfId="8262"/>
    <cellStyle name="Accent1 3 3" xfId="8263"/>
    <cellStyle name="常规 2 10 4_附注表一（财务报表）" xfId="8264"/>
    <cellStyle name="Accent1 4" xfId="8265"/>
    <cellStyle name="常规 8 2 12" xfId="8266"/>
    <cellStyle name="Accent1 4 2" xfId="8267"/>
    <cellStyle name="好_1资产减值损失 7_附注表一（财务报表）" xfId="8268"/>
    <cellStyle name="Accent1 4 3" xfId="8269"/>
    <cellStyle name="Accent1 5" xfId="8270"/>
    <cellStyle name="Accent1 5 2" xfId="8271"/>
    <cellStyle name="Accent1 6" xfId="8272"/>
    <cellStyle name="差_51-营业税金及附加（空白模板） 2 2 3" xfId="8273"/>
    <cellStyle name="Accent1 6 2" xfId="8274"/>
    <cellStyle name="Accent1 7" xfId="8275"/>
    <cellStyle name="好_1营业收入 9" xfId="8276"/>
    <cellStyle name="Accent1 7 2" xfId="8277"/>
    <cellStyle name="Accent1 8" xfId="8278"/>
    <cellStyle name="好_大信底稿目录 3 3 2" xfId="8279"/>
    <cellStyle name="Accent1 8 2" xfId="8280"/>
    <cellStyle name="Accent1 9" xfId="8281"/>
    <cellStyle name="Accent1 9 2" xfId="8282"/>
    <cellStyle name="差_无形资产 13 2 4" xfId="8283"/>
    <cellStyle name="Accent1_2006年三相符-falk-王" xfId="8284"/>
    <cellStyle name="Accent2" xfId="8285"/>
    <cellStyle name="Accent2 - 20%" xfId="8286"/>
    <cellStyle name="Accent2 - 20% 2" xfId="8287"/>
    <cellStyle name="好_ZA0货币资金审定表  14_明细表 5" xfId="8288"/>
    <cellStyle name="Accent2 - 20% 2 2" xfId="8289"/>
    <cellStyle name="Accent2 - 20% 2 3" xfId="8290"/>
    <cellStyle name="Accent2 - 20% 3" xfId="8291"/>
    <cellStyle name="Accent2 - 20% 3 2" xfId="8292"/>
    <cellStyle name="Accent2 - 20% 4" xfId="8293"/>
    <cellStyle name="Accent2 - 20% 5" xfId="8294"/>
    <cellStyle name="好_财务费用 13 2 4" xfId="8295"/>
    <cellStyle name="Accent2 - 40%" xfId="8296"/>
    <cellStyle name="汇总 2 4 4" xfId="8297"/>
    <cellStyle name="好_11-持有至到期投资（空白模板） 4" xfId="8298"/>
    <cellStyle name="Accent2 - 40% 2" xfId="8299"/>
    <cellStyle name="常规 3 3 2 2 2 3 2 5" xfId="8300"/>
    <cellStyle name="Accent2 - 40% 2 2" xfId="8301"/>
    <cellStyle name="好_贷款卡查询结果调节表 2" xfId="8302"/>
    <cellStyle name="差_短期借款 3 2" xfId="8303"/>
    <cellStyle name="Accent2 - 40% 2 3" xfId="8304"/>
    <cellStyle name="汇总 2 4 5" xfId="8305"/>
    <cellStyle name="好_11-持有至到期投资（空白模板） 5" xfId="8306"/>
    <cellStyle name="Accent2 - 40% 3" xfId="8307"/>
    <cellStyle name="Accent2 - 40% 3 2" xfId="8308"/>
    <cellStyle name="Accent2 - 40% 4" xfId="8309"/>
    <cellStyle name="Comma [0] 3" xfId="8310"/>
    <cellStyle name="Accent2 - 60%" xfId="8311"/>
    <cellStyle name="Comma [0] 3 2" xfId="8312"/>
    <cellStyle name="Accent2 - 60% 2" xfId="8313"/>
    <cellStyle name="entry box 2 3" xfId="8314"/>
    <cellStyle name="Accent2 - 60% 2 2" xfId="8315"/>
    <cellStyle name="好_27-短期借款(空白模板) 15 2 2" xfId="8316"/>
    <cellStyle name="Accent2 - 60% 2 3" xfId="8317"/>
    <cellStyle name="Accent2 - 60% 3" xfId="8318"/>
    <cellStyle name="Accent2 - 60% 4" xfId="8319"/>
    <cellStyle name="Accent2 10" xfId="8320"/>
    <cellStyle name="好_4-应收账款（空白模板） 17 6" xfId="8321"/>
    <cellStyle name="常规 8 7 2" xfId="8322"/>
    <cellStyle name="Accent2 12" xfId="8323"/>
    <cellStyle name="Accent2 12 2" xfId="8324"/>
    <cellStyle name="Accent2 13" xfId="8325"/>
    <cellStyle name="Accent2 13 2" xfId="8326"/>
    <cellStyle name="差_无形资产 6_明细表 2" xfId="8327"/>
    <cellStyle name="Accent2 14" xfId="8328"/>
    <cellStyle name="好_短期借款 13 2 4" xfId="8329"/>
    <cellStyle name="常规 9 3 3 2 2 4" xfId="8330"/>
    <cellStyle name="Accent2 14 2" xfId="8331"/>
    <cellStyle name="差_无形资产 6_明细表 3" xfId="8332"/>
    <cellStyle name="Euro 2 4 3 2" xfId="8333"/>
    <cellStyle name="Accent2 15" xfId="8334"/>
    <cellStyle name="差_无形资产 6_明细表 4" xfId="8335"/>
    <cellStyle name="Accent2 16" xfId="8336"/>
    <cellStyle name="差_无形资产 6_明细表 5" xfId="8337"/>
    <cellStyle name="Accent2 17" xfId="8338"/>
    <cellStyle name="Comma1 - Style2" xfId="8339"/>
    <cellStyle name="超链接 3 17 2 5" xfId="8340"/>
    <cellStyle name="超链接 3 22 2 5" xfId="8341"/>
    <cellStyle name="Accent2 2" xfId="8342"/>
    <cellStyle name="Comma1 - Style2 2" xfId="8343"/>
    <cellStyle name="Accent2 2 2" xfId="8344"/>
    <cellStyle name="Accent2 2 3" xfId="8345"/>
    <cellStyle name="Accent2 3 3" xfId="8346"/>
    <cellStyle name="Accent2 4" xfId="8347"/>
    <cellStyle name="Accent2 4 2" xfId="8348"/>
    <cellStyle name="Accent2 4 3" xfId="8349"/>
    <cellStyle name="Accent2 5" xfId="8350"/>
    <cellStyle name="Column Headings" xfId="8351"/>
    <cellStyle name="Accent2 5 2" xfId="8352"/>
    <cellStyle name="Column Headings 2" xfId="8353"/>
    <cellStyle name="Accent2 6" xfId="8354"/>
    <cellStyle name="差_51-营业税金及附加（空白模板） 3 2 3" xfId="8355"/>
    <cellStyle name="标题 4 2 2 5" xfId="8356"/>
    <cellStyle name="Accent2 6 2" xfId="8357"/>
    <cellStyle name="Accent2 7" xfId="8358"/>
    <cellStyle name="标题 4 2 3 5" xfId="8359"/>
    <cellStyle name="Accent2 7 2" xfId="8360"/>
    <cellStyle name="Accent2 8" xfId="8361"/>
    <cellStyle name="Warning Text 3" xfId="8362"/>
    <cellStyle name="Accent2 8 2" xfId="8363"/>
    <cellStyle name="Accent2 9" xfId="8364"/>
    <cellStyle name="Accent2 9 2" xfId="8365"/>
    <cellStyle name="好_复件 固定资产 3_明细表 5" xfId="8366"/>
    <cellStyle name="好_30-应付账款（空白模板） 7_明细表 3" xfId="8367"/>
    <cellStyle name="常规 9 2 2" xfId="8368"/>
    <cellStyle name="Accent2_2006年三相符-falk-王" xfId="8369"/>
    <cellStyle name="Accent6 10" xfId="8370"/>
    <cellStyle name="差_19-无形资产（空白模板） 9_明细表" xfId="8371"/>
    <cellStyle name="差_所得税费用 2" xfId="8372"/>
    <cellStyle name="Accent3" xfId="8373"/>
    <cellStyle name="Accent3 - 20%" xfId="8374"/>
    <cellStyle name="Accent3 - 20% 2" xfId="8375"/>
    <cellStyle name="好_资产负债标准底稿_大信底稿目录 2 4" xfId="8376"/>
    <cellStyle name="Accent3 - 20% 2 2" xfId="8377"/>
    <cellStyle name="好_资产负债标准底稿_大信底稿目录 2 5" xfId="8378"/>
    <cellStyle name="Accent3 - 20% 2 3" xfId="8379"/>
    <cellStyle name="好_30-应付账款（空白模板）" xfId="8380"/>
    <cellStyle name="Accent3 - 20% 3" xfId="8381"/>
    <cellStyle name="好_30-应付账款（空白模板） 2" xfId="8382"/>
    <cellStyle name="Accent3 - 20% 3 2" xfId="8383"/>
    <cellStyle name="百分比 2 2 16 2" xfId="8384"/>
    <cellStyle name="Accent3 - 20% 4" xfId="8385"/>
    <cellStyle name="Accent3 - 20% 5" xfId="8386"/>
    <cellStyle name="Accent3 - 40%" xfId="8387"/>
    <cellStyle name="Accent3 - 40% 2" xfId="8388"/>
    <cellStyle name="Accent3 - 40% 2 2" xfId="8389"/>
    <cellStyle name="Linked Cells 2" xfId="8390"/>
    <cellStyle name="Accent3 - 40% 2 3" xfId="8391"/>
    <cellStyle name="Accent3 - 40% 3" xfId="8392"/>
    <cellStyle name="Accent3 - 40% 3 2" xfId="8393"/>
    <cellStyle name="Accent3 - 40% 4" xfId="8394"/>
    <cellStyle name="差_复件 固定资产 2 4" xfId="8395"/>
    <cellStyle name="Accent3 - 60%" xfId="8396"/>
    <cellStyle name="Accent3 - 60% 2 3" xfId="8397"/>
    <cellStyle name="Accent3 - 60% 3" xfId="8398"/>
    <cellStyle name="好_资产负债标准底稿_大信底稿目录 14 4" xfId="8399"/>
    <cellStyle name="好_短期借款 6 2 5" xfId="8400"/>
    <cellStyle name="Accent3 - 60% 3 2" xfId="8401"/>
    <cellStyle name="Accent3 - 60% 4" xfId="8402"/>
    <cellStyle name="好_资产负债标准底稿_大信底稿目录 14 5" xfId="8403"/>
    <cellStyle name="Accent3 - 60% 5" xfId="8404"/>
    <cellStyle name="好_资产负债标准底稿_大信底稿目录 14 6" xfId="8405"/>
    <cellStyle name="Accent3 10" xfId="8406"/>
    <cellStyle name="Accent3 10 2" xfId="8407"/>
    <cellStyle name="差_营业收入 9" xfId="8408"/>
    <cellStyle name="Accent3 11" xfId="8409"/>
    <cellStyle name="Accent3 11 2" xfId="8410"/>
    <cellStyle name="好_55-资产减值损失（空白模板） 7 2 2" xfId="8411"/>
    <cellStyle name="Accent3 12" xfId="8412"/>
    <cellStyle name="Accent3 12 2" xfId="8413"/>
    <cellStyle name="好_55-资产减值损失（空白模板） 7 2 3" xfId="8414"/>
    <cellStyle name="好_附注表一（财务报表）_附注表一（财务报表）" xfId="8415"/>
    <cellStyle name="Accent3 13" xfId="8416"/>
    <cellStyle name="差_FK长期借款 2 4" xfId="8417"/>
    <cellStyle name="Accent3 13 2" xfId="8418"/>
    <cellStyle name="好_55-资产减值损失（空白模板） 7 2 4" xfId="8419"/>
    <cellStyle name="Accent3 14" xfId="8420"/>
    <cellStyle name="Accent3 14 2" xfId="8421"/>
    <cellStyle name="好_55-资产减值损失（空白模板） 7 2 5" xfId="8422"/>
    <cellStyle name="Accent3 15" xfId="8423"/>
    <cellStyle name="Accent3 16" xfId="8424"/>
    <cellStyle name="千位分隔 2 2 2 9_附注表一（财务报表）" xfId="8425"/>
    <cellStyle name="Accent3 17" xfId="8426"/>
    <cellStyle name="差_应收账款 3 2 3" xfId="8427"/>
    <cellStyle name="差_所得税费用 2 2" xfId="8428"/>
    <cellStyle name="差_其他应付款替代程序" xfId="8429"/>
    <cellStyle name="Accent3 2" xfId="8430"/>
    <cellStyle name="差_1预付款项" xfId="8431"/>
    <cellStyle name="Accent3 2 2" xfId="8432"/>
    <cellStyle name="差_应收账款 3 2 4" xfId="8433"/>
    <cellStyle name="Accent3 3" xfId="8434"/>
    <cellStyle name="Accent3 3 2" xfId="8435"/>
    <cellStyle name="oft Excel]_x000d__x000a_Comment=The open=/f lines load custom functions into the Paste Function list._x000d__x000a_Maximized=3_x000d__x000a_Basics=1_x000d__x000a_A" xfId="8436"/>
    <cellStyle name="Accent3 3 3" xfId="8437"/>
    <cellStyle name="差_应收账款 3 2 5" xfId="8438"/>
    <cellStyle name="Accent3 4" xfId="8439"/>
    <cellStyle name="百分比 7" xfId="8440"/>
    <cellStyle name="Currency$[0] 4" xfId="8441"/>
    <cellStyle name="Accent3 4 2" xfId="8442"/>
    <cellStyle name="百分比 8" xfId="8443"/>
    <cellStyle name="Currency$[0] 5" xfId="8444"/>
    <cellStyle name="Accent3 4 3" xfId="8445"/>
    <cellStyle name="差_短期借款 9_明细表" xfId="8446"/>
    <cellStyle name="Accent3 5" xfId="8447"/>
    <cellStyle name="差_短期借款 9_明细表 2" xfId="8448"/>
    <cellStyle name="Accent3 5 2" xfId="8449"/>
    <cellStyle name="差_51-营业税金及附加（空白模板） 4 2 3" xfId="8450"/>
    <cellStyle name="_PLDT" xfId="8451"/>
    <cellStyle name="Accent3 6 2" xfId="8452"/>
    <cellStyle name="Accent3 7" xfId="8453"/>
    <cellStyle name="好_50-营业成本（空白模板） 10" xfId="8454"/>
    <cellStyle name="Accent3 7 2" xfId="8455"/>
    <cellStyle name="好_50-营业成本（空白模板） 7_明细表 2" xfId="8456"/>
    <cellStyle name="Accent3 8" xfId="8457"/>
    <cellStyle name="好_资产负债标准底稿_大信底稿目录 8" xfId="8458"/>
    <cellStyle name="Accent3 8 2" xfId="8459"/>
    <cellStyle name="Normal - Style1 2 10 3" xfId="8460"/>
    <cellStyle name="Accent3_2006年三相符-falk-王" xfId="8461"/>
    <cellStyle name="差_所得税费用 3" xfId="8462"/>
    <cellStyle name="Accent4" xfId="8463"/>
    <cellStyle name="常规 7 5 6" xfId="8464"/>
    <cellStyle name="Accent4 - 20%" xfId="8465"/>
    <cellStyle name="Accent4 - 20% 2" xfId="8466"/>
    <cellStyle name="Accent4 - 20% 2 2" xfId="8467"/>
    <cellStyle name="差_dxn底稿目录 10" xfId="8468"/>
    <cellStyle name="Accent4 - 20% 2 3" xfId="8469"/>
    <cellStyle name="Accent4 - 20% 3" xfId="8470"/>
    <cellStyle name="Accent4 - 20% 3 2" xfId="8471"/>
    <cellStyle name="Accent4 - 20% 4" xfId="8472"/>
    <cellStyle name="Normal 10 2" xfId="8473"/>
    <cellStyle name="好_49-营业收入（空白模板） 4" xfId="8474"/>
    <cellStyle name="常规 7 7 6" xfId="8475"/>
    <cellStyle name="Accent4 - 40%" xfId="8476"/>
    <cellStyle name="Normal 10 2 2" xfId="8477"/>
    <cellStyle name="好_49-营业收入（空白模板） 4 2" xfId="8478"/>
    <cellStyle name="Accent4 - 40% 2" xfId="8479"/>
    <cellStyle name="好_49-营业收入（空白模板） 4 2 2" xfId="8480"/>
    <cellStyle name="差_FO预计负债" xfId="8481"/>
    <cellStyle name="Accent4 - 40% 2 2" xfId="8482"/>
    <cellStyle name="好_49-营业收入（空白模板） 4 3" xfId="8483"/>
    <cellStyle name="Accent4 - 40% 3" xfId="8484"/>
    <cellStyle name="好_49-营业收入（空白模板） 4 3 2" xfId="8485"/>
    <cellStyle name="Accent4 - 40% 3 2" xfId="8486"/>
    <cellStyle name="Normal 12 2 2" xfId="8487"/>
    <cellStyle name="Accent4 - 60% 2" xfId="8488"/>
    <cellStyle name="差_短期借款 3 5" xfId="8489"/>
    <cellStyle name="Accent4 - 60% 2 2" xfId="8490"/>
    <cellStyle name="Accent4 - 60% 2 3" xfId="8491"/>
    <cellStyle name="Normal 12 2 3" xfId="8492"/>
    <cellStyle name="Accent4 - 60% 3" xfId="8493"/>
    <cellStyle name="Accent4 - 60% 3 2" xfId="8494"/>
    <cellStyle name="Normal 12 2 4" xfId="8495"/>
    <cellStyle name="Accent4 - 60% 4" xfId="8496"/>
    <cellStyle name="Normal 12 2 5" xfId="8497"/>
    <cellStyle name="Accent4 - 60% 5" xfId="8498"/>
    <cellStyle name="Accent4 10" xfId="8499"/>
    <cellStyle name="常规 3 3 2 13 5" xfId="8500"/>
    <cellStyle name="Accent4 10 2" xfId="8501"/>
    <cellStyle name="差_50-营业成本（空白模板） 4 2" xfId="8502"/>
    <cellStyle name="Accent4 11" xfId="8503"/>
    <cellStyle name="好_27-短期借款(空白模板) 2 5" xfId="8504"/>
    <cellStyle name="差_50-营业成本（空白模板） 4 2 2" xfId="8505"/>
    <cellStyle name="Accent4 11 2" xfId="8506"/>
    <cellStyle name="差_50-营业成本（空白模板） 4 3" xfId="8507"/>
    <cellStyle name="Accent4 12" xfId="8508"/>
    <cellStyle name="好_27-短期借款(空白模板) 3 5" xfId="8509"/>
    <cellStyle name="Accent4 12 2" xfId="8510"/>
    <cellStyle name="好_预付款项_明细表" xfId="8511"/>
    <cellStyle name="差_50-营业成本（空白模板） 4 4" xfId="8512"/>
    <cellStyle name="Accent4 13" xfId="8513"/>
    <cellStyle name="差_50-营业成本（空白模板） 4 5" xfId="8514"/>
    <cellStyle name="Accent4 14" xfId="8515"/>
    <cellStyle name="好_27-短期借款(空白模板) 5 5" xfId="8516"/>
    <cellStyle name="Accent4 14 2" xfId="8517"/>
    <cellStyle name="常规 2 2 2 2 14" xfId="8518"/>
    <cellStyle name="好_资本到位及工商情况 2 2" xfId="8519"/>
    <cellStyle name="Accent4 15" xfId="8520"/>
    <cellStyle name="好_资本到位及工商情况 2 3" xfId="8521"/>
    <cellStyle name="Accent4 16" xfId="8522"/>
    <cellStyle name="好_资本到位及工商情况 2 4" xfId="8523"/>
    <cellStyle name="Accent4 17" xfId="8524"/>
    <cellStyle name="差_所得税费用 3 2" xfId="8525"/>
    <cellStyle name="Accent4 2" xfId="8526"/>
    <cellStyle name="Accent4 2 2" xfId="8527"/>
    <cellStyle name="SAPBEXaggDataEmph 3 2" xfId="8528"/>
    <cellStyle name="Accent4 2 3" xfId="8529"/>
    <cellStyle name="Accent4 3" xfId="8530"/>
    <cellStyle name="Accent4 3 2" xfId="8531"/>
    <cellStyle name="SAPBEXaggDataEmph 4 2" xfId="8532"/>
    <cellStyle name="Accent4 3 3" xfId="8533"/>
    <cellStyle name="Accent4 4" xfId="8534"/>
    <cellStyle name="好_预收款项 13_明细表 4" xfId="8535"/>
    <cellStyle name="Accent4 4 2" xfId="8536"/>
    <cellStyle name="Accent4 5" xfId="8537"/>
    <cellStyle name="Accent4 5 2" xfId="8538"/>
    <cellStyle name="Tusental (0)_pldt" xfId="8539"/>
    <cellStyle name="Accent4 6" xfId="8540"/>
    <cellStyle name="差_51-营业税金及附加（空白模板） 5 2 3" xfId="8541"/>
    <cellStyle name="Accent4 6 2" xfId="8542"/>
    <cellStyle name="Accent4 7" xfId="8543"/>
    <cellStyle name="Accent4 7 2" xfId="8544"/>
    <cellStyle name="Accent4 8" xfId="8545"/>
    <cellStyle name="Accent4 8 2" xfId="8546"/>
    <cellStyle name="Accent4 9" xfId="8547"/>
    <cellStyle name="好_专项应付款 13_明细表 4" xfId="8548"/>
    <cellStyle name="Accent4 9 2" xfId="8549"/>
    <cellStyle name="好_底稿设置宏 13_附注表一（财务报表）" xfId="8550"/>
    <cellStyle name="Accent4_2006年三相符-falk-王" xfId="8551"/>
    <cellStyle name="差_所得税费用 4" xfId="8552"/>
    <cellStyle name="Accent5" xfId="8553"/>
    <cellStyle name="百分比 3 8 4" xfId="8554"/>
    <cellStyle name="SAPBEXstdDataEmph 5" xfId="8555"/>
    <cellStyle name="Accent5 - 20%" xfId="8556"/>
    <cellStyle name="SAPBEXstdDataEmph 5 2" xfId="8557"/>
    <cellStyle name="Accent5 - 20% 2" xfId="8558"/>
    <cellStyle name="常规 3 2 2 17" xfId="8559"/>
    <cellStyle name="Accent5 - 20% 2 2" xfId="8560"/>
    <cellStyle name="常规 3 2 2 18" xfId="8561"/>
    <cellStyle name="Accent5 - 20% 2 3" xfId="8562"/>
    <cellStyle name="SAPBEXstdDataEmph 5 3" xfId="8563"/>
    <cellStyle name="Accent5 - 20% 3" xfId="8564"/>
    <cellStyle name="Accent5 - 20% 3 2" xfId="8565"/>
    <cellStyle name="Comma 13 2" xfId="8566"/>
    <cellStyle name="Accent5 - 20% 4" xfId="8567"/>
    <cellStyle name="Comma 13 3" xfId="8568"/>
    <cellStyle name="Accent5 - 20% 5" xfId="8569"/>
    <cellStyle name="Accent5 - 40%" xfId="8570"/>
    <cellStyle name="常规 9 4 2 2 2 4" xfId="8571"/>
    <cellStyle name="SAPBEXexcBad9 4" xfId="8572"/>
    <cellStyle name="Accent5 - 40% 2" xfId="8573"/>
    <cellStyle name="常规 9 4 2 2 2 4 3" xfId="8574"/>
    <cellStyle name="SAPBEXexcBad9 4 3" xfId="8575"/>
    <cellStyle name="Accent5 - 40% 2 3" xfId="8576"/>
    <cellStyle name="常规 9 4 2 2 2 5" xfId="8577"/>
    <cellStyle name="SAPBEXexcBad9 5" xfId="8578"/>
    <cellStyle name="Accent5 - 40% 3" xfId="8579"/>
    <cellStyle name="好_30-应付账款（空白模板） 6" xfId="8580"/>
    <cellStyle name="SAPBEXexcBad9 5 2" xfId="8581"/>
    <cellStyle name="Accent5 - 40% 3 2" xfId="8582"/>
    <cellStyle name="Accent5 - 60%" xfId="8583"/>
    <cellStyle name="差_FJ其他应付款 2 4" xfId="8584"/>
    <cellStyle name="Accent5 - 60% 2" xfId="8585"/>
    <cellStyle name="Accent5 - 60% 2 2" xfId="8586"/>
    <cellStyle name="Accent5 - 60% 2 3" xfId="8587"/>
    <cellStyle name="Accent5 - 60% 3" xfId="8588"/>
    <cellStyle name="Accent5 - 60% 3 2" xfId="8589"/>
    <cellStyle name="Accent5 - 60% 4" xfId="8590"/>
    <cellStyle name="好_在建工程 - 复制 2" xfId="8591"/>
    <cellStyle name="常规 2 3 2 2 2 5 2 2" xfId="8592"/>
    <cellStyle name="Accent5 - 60% 5" xfId="8593"/>
    <cellStyle name="Accent5 10" xfId="8594"/>
    <cellStyle name="Accent5 10 2" xfId="8595"/>
    <cellStyle name="差_50-营业成本（空白模板） 9 2" xfId="8596"/>
    <cellStyle name="Accent5 11" xfId="8597"/>
    <cellStyle name="差_50-营业成本（空白模板） 9 3" xfId="8598"/>
    <cellStyle name="Accent5 12" xfId="8599"/>
    <cellStyle name="Accent5 12 2" xfId="8600"/>
    <cellStyle name="差_50-营业成本（空白模板） 9 4" xfId="8601"/>
    <cellStyle name="差_5、应收票据明细表" xfId="8602"/>
    <cellStyle name="Accent5 13" xfId="8603"/>
    <cellStyle name="常规 3 13 3 3" xfId="8604"/>
    <cellStyle name="Accent5 13 2" xfId="8605"/>
    <cellStyle name="Accent5 15" xfId="8606"/>
    <cellStyle name="好_30-应付账款（空白模板） 11 2 2" xfId="8607"/>
    <cellStyle name="好_27-短期借款(空白模板)_明细表" xfId="8608"/>
    <cellStyle name="Accent5 16" xfId="8609"/>
    <cellStyle name="差_所得税费用 4 2" xfId="8610"/>
    <cellStyle name="Accent5 2" xfId="8611"/>
    <cellStyle name="Accent5 2 2" xfId="8612"/>
    <cellStyle name="好_55-资产减值损失（空白模板） 14 2" xfId="8613"/>
    <cellStyle name="Accent5 2 3" xfId="8614"/>
    <cellStyle name="Accent5 3" xfId="8615"/>
    <cellStyle name="Accent5 3 2" xfId="8616"/>
    <cellStyle name="好_55-资产减值损失（空白模板） 15 2" xfId="8617"/>
    <cellStyle name="Accent5 3 3" xfId="8618"/>
    <cellStyle name="Accent5 4" xfId="8619"/>
    <cellStyle name="Accent5 4 2" xfId="8620"/>
    <cellStyle name="好_55-资产减值损失（空白模板） 16 2" xfId="8621"/>
    <cellStyle name="Accent5 4 3" xfId="8622"/>
    <cellStyle name="Accent5 5" xfId="8623"/>
    <cellStyle name="Accent5 5 2" xfId="8624"/>
    <cellStyle name="差_50-营业成本（空白模板） 3 2 2" xfId="8625"/>
    <cellStyle name="Accent5 6" xfId="8626"/>
    <cellStyle name="差_51-营业税金及附加（空白模板） 6 2 3" xfId="8627"/>
    <cellStyle name="Normal - Style1 2 9" xfId="8628"/>
    <cellStyle name="Accent5 6 2" xfId="8629"/>
    <cellStyle name="差_50-营业成本（空白模板） 3 2 3" xfId="8630"/>
    <cellStyle name="Accent5 7" xfId="8631"/>
    <cellStyle name="Normal - Style1 3 9" xfId="8632"/>
    <cellStyle name="Accent5 7 2" xfId="8633"/>
    <cellStyle name="Accent5 8" xfId="8634"/>
    <cellStyle name="Accent5 8 2" xfId="8635"/>
    <cellStyle name="Accent5 9" xfId="8636"/>
    <cellStyle name="Accent5 9 2" xfId="8637"/>
    <cellStyle name="Accent5_2006年三相符-falk-王" xfId="8638"/>
    <cellStyle name="Accent6 - 20%" xfId="8639"/>
    <cellStyle name="好_FP递延所得税负债 4" xfId="8640"/>
    <cellStyle name="Accent6 - 20% 2" xfId="8641"/>
    <cellStyle name="好_FP递延所得税负债 4 2" xfId="8642"/>
    <cellStyle name="Accent6 - 20% 2 2" xfId="8643"/>
    <cellStyle name="Accent6 - 20% 2 3" xfId="8644"/>
    <cellStyle name="Accent6 - 20% 3" xfId="8645"/>
    <cellStyle name="好_FP递延所得税负债 4 3" xfId="8646"/>
    <cellStyle name="Accent6 - 20% 3 2" xfId="8647"/>
    <cellStyle name="Accent6 - 20% 4" xfId="8648"/>
    <cellStyle name="Accent6 - 20% 5" xfId="8649"/>
    <cellStyle name="差_27-短期借款(空白模板) 2 2 2" xfId="8650"/>
    <cellStyle name="Accent6 - 40%" xfId="8651"/>
    <cellStyle name="常规 9 5 2 2 2 4" xfId="8652"/>
    <cellStyle name="Accent6 - 40% 2" xfId="8653"/>
    <cellStyle name="差_dxn底稿目录 13" xfId="8654"/>
    <cellStyle name="Accent6 - 40% 2 2" xfId="8655"/>
    <cellStyle name="差_dxn底稿目录 14" xfId="8656"/>
    <cellStyle name="Accent6 - 40% 2 3" xfId="8657"/>
    <cellStyle name="Accent6 - 40% 3" xfId="8658"/>
    <cellStyle name="Normal 6 2" xfId="8659"/>
    <cellStyle name="Accent6 - 40% 3 2" xfId="8660"/>
    <cellStyle name="Normal 6 2 2" xfId="8661"/>
    <cellStyle name="Accent6 - 40% 4" xfId="8662"/>
    <cellStyle name="Normal 6 3" xfId="8663"/>
    <cellStyle name="常规 2 3 2 2 8 2" xfId="8664"/>
    <cellStyle name="Accent6 - 40% 5" xfId="8665"/>
    <cellStyle name="Normal 6 4" xfId="8666"/>
    <cellStyle name="Accent6 - 60%" xfId="8667"/>
    <cellStyle name="差_大信底稿目录 11_明细表" xfId="8668"/>
    <cellStyle name="Accent6 - 60% 2 3" xfId="8669"/>
    <cellStyle name="好_1短期借款 9_明细表 5" xfId="8670"/>
    <cellStyle name="Accent6 - 60% 3" xfId="8671"/>
    <cellStyle name="Accent6 - 60% 4" xfId="8672"/>
    <cellStyle name="常规 9 2 2 2" xfId="8673"/>
    <cellStyle name="Accent6 10 2" xfId="8674"/>
    <cellStyle name="好_51-营业税金及附加（空白模板） 5 2" xfId="8675"/>
    <cellStyle name="好_30-应付账款（空白模板） 7_明细表 4" xfId="8676"/>
    <cellStyle name="常规 9 2 3" xfId="8677"/>
    <cellStyle name="Accent6 11" xfId="8678"/>
    <cellStyle name="好_51-营业税金及附加（空白模板） 5 2 2" xfId="8679"/>
    <cellStyle name="常规 9 2 3 2" xfId="8680"/>
    <cellStyle name="Accent6 11 2" xfId="8681"/>
    <cellStyle name="常规 3 18 2 3" xfId="8682"/>
    <cellStyle name="常规 3 23 2 3" xfId="8683"/>
    <cellStyle name="好_51-营业税金及附加（空白模板） 5 3 2" xfId="8684"/>
    <cellStyle name="常规 9 2 4 2" xfId="8685"/>
    <cellStyle name="Accent6 12 2" xfId="8686"/>
    <cellStyle name="好_51-营业税金及附加（空白模板） 5 4" xfId="8687"/>
    <cellStyle name="常规 9 2 5" xfId="8688"/>
    <cellStyle name="差_大信底稿目录 8_附注表一（财务报表）" xfId="8689"/>
    <cellStyle name="Accent6 13" xfId="8690"/>
    <cellStyle name="Accent6 13 2" xfId="8691"/>
    <cellStyle name="好_51-营业税金及附加（空白模板） 5 5" xfId="8692"/>
    <cellStyle name="常规 9 2 6" xfId="8693"/>
    <cellStyle name="Accent6 14" xfId="8694"/>
    <cellStyle name="Accent6 14 2" xfId="8695"/>
    <cellStyle name="常规 9 2 7" xfId="8696"/>
    <cellStyle name="Accent6 15" xfId="8697"/>
    <cellStyle name="好_资产负债标准底稿 13 2" xfId="8698"/>
    <cellStyle name="常规 9 2 8" xfId="8699"/>
    <cellStyle name="Accent6 16" xfId="8700"/>
    <cellStyle name="好_资产负债标准底稿 13 3" xfId="8701"/>
    <cellStyle name="常规 3 3 2 2 2" xfId="8702"/>
    <cellStyle name="Accent6 17" xfId="8703"/>
    <cellStyle name="差_所得税费用 5 2" xfId="8704"/>
    <cellStyle name="差_32-应付职工薪酬(空白模板)" xfId="8705"/>
    <cellStyle name="Accent6 2" xfId="8706"/>
    <cellStyle name="差_32-应付职工薪酬(空白模板) 2" xfId="8707"/>
    <cellStyle name="Accent6 2 2" xfId="8708"/>
    <cellStyle name="差_32-应付职工薪酬(空白模板) 3" xfId="8709"/>
    <cellStyle name="Accent6 2 3" xfId="8710"/>
    <cellStyle name="Accent6 3" xfId="8711"/>
    <cellStyle name="Accent6 3 2" xfId="8712"/>
    <cellStyle name="Accent6 3 3" xfId="8713"/>
    <cellStyle name="Accent6 4" xfId="8714"/>
    <cellStyle name="Accent6 4 2" xfId="8715"/>
    <cellStyle name="Accent6 4 3" xfId="8716"/>
    <cellStyle name="Accent6 5" xfId="8717"/>
    <cellStyle name="Accent6 5 2" xfId="8718"/>
    <cellStyle name="Accent6 6" xfId="8719"/>
    <cellStyle name="差_51-营业税金及附加（空白模板） 7 2 3" xfId="8720"/>
    <cellStyle name="Accent6 6 2" xfId="8721"/>
    <cellStyle name="Accent6 7" xfId="8722"/>
    <cellStyle name="Accent6 7 2" xfId="8723"/>
    <cellStyle name="好_1营业收入 10 2 2" xfId="8724"/>
    <cellStyle name="Accent6 8" xfId="8725"/>
    <cellStyle name="Accent6 8 2" xfId="8726"/>
    <cellStyle name="差_1营业收入 6" xfId="8727"/>
    <cellStyle name="Accent6_2006年三相符-falk-王" xfId="8728"/>
    <cellStyle name="好_19-无形资产（空白模板）_财务费用" xfId="8729"/>
    <cellStyle name="常规 7 13" xfId="8730"/>
    <cellStyle name="差_1应收账款 5 2" xfId="8731"/>
    <cellStyle name="accounting" xfId="8732"/>
    <cellStyle name="差_底稿设置宏 14 2 2" xfId="8733"/>
    <cellStyle name="AeE­ [0]_INQUIRY ¿μ¾÷AßAø " xfId="8734"/>
    <cellStyle name="AFE" xfId="8735"/>
    <cellStyle name="好_1应收账款_明细表" xfId="8736"/>
    <cellStyle name="AFE 2" xfId="8737"/>
    <cellStyle name="好_营业收入 2 2" xfId="8738"/>
    <cellStyle name="Comma,1" xfId="8739"/>
    <cellStyle name="Angus" xfId="8740"/>
    <cellStyle name="好_营业收入 2 2 2" xfId="8741"/>
    <cellStyle name="Angus 2" xfId="8742"/>
    <cellStyle name="好_19-无形资产（空白模板） 17" xfId="8743"/>
    <cellStyle name="好_19-无形资产（空白模板） 22" xfId="8744"/>
    <cellStyle name="Comma,1 2" xfId="8745"/>
    <cellStyle name="args.style 2" xfId="8746"/>
    <cellStyle name="好_ZA0货币资金审定表  4 3" xfId="8747"/>
    <cellStyle name="ata Sources]_x000d__x000a_MS Access Databases=Access Data (*.mdb)_x000d__x000a_FoxPro Files=" xfId="8748"/>
    <cellStyle name="好_51-营业税金及附加（空白模板）_明细表 2 2" xfId="8749"/>
    <cellStyle name="ata Sources]_x000d__x000a_MS Access Databases=Access Data (*.mdb)_x000d__x000a_FoxPro Files= 2" xfId="8750"/>
    <cellStyle name="ata Sources]_x000d__x000a_NWind=dBase Files (*.dbf)_x000d__x000a_MS Access 2.0 Databases=Acc" xfId="8751"/>
    <cellStyle name="好_应收利息 3 2" xfId="8752"/>
    <cellStyle name="ata Sources]_x000d__x000a_NWind=dBase Files (*.dbf)_x000d__x000a_MS Access 2.0 Databases=Acc 2" xfId="8753"/>
    <cellStyle name="好_应收利息 3 2 2" xfId="8754"/>
    <cellStyle name="AÞ¸¶ [0]_INQUIRY ¿?¾÷AßAø " xfId="8755"/>
    <cellStyle name="差_无形资产 10_明细表 5" xfId="8756"/>
    <cellStyle name="超链接 11 2 3" xfId="8757"/>
    <cellStyle name="ÄÞ¸¶_xls_form" xfId="8758"/>
    <cellStyle name="AutoFormat-Optionen" xfId="8759"/>
    <cellStyle name="好_应收账款_明细表_1" xfId="8760"/>
    <cellStyle name="AutoFormat-Optionen 2" xfId="8761"/>
    <cellStyle name="千位分隔 4 2 2 5" xfId="8762"/>
    <cellStyle name="好_应收账款_明细表_1 2" xfId="8763"/>
    <cellStyle name="常规 106" xfId="8764"/>
    <cellStyle name="常规 111" xfId="8765"/>
    <cellStyle name="AutoFormat-Optionen 2 2" xfId="8766"/>
    <cellStyle name="AutoFormat-Optionen 3" xfId="8767"/>
    <cellStyle name="千位分隔 4 2 3 5" xfId="8768"/>
    <cellStyle name="好_19-无形资产（空白模板） 5 2 5" xfId="8769"/>
    <cellStyle name="常规 2 3 6 2 3" xfId="8770"/>
    <cellStyle name="AutoFormat-Optionen 3 2" xfId="8771"/>
    <cellStyle name="AutoFormat-Optionen 4" xfId="8772"/>
    <cellStyle name="AutoFormat-Optionen 5" xfId="8773"/>
    <cellStyle name="Bad" xfId="8774"/>
    <cellStyle name="好_1应收股利 4" xfId="8775"/>
    <cellStyle name="Bad 2" xfId="8776"/>
    <cellStyle name="差_54-财务费用（空白模板） 10 2 3" xfId="8777"/>
    <cellStyle name="Bad 2 2" xfId="8778"/>
    <cellStyle name="好_营业收入 7 4" xfId="8779"/>
    <cellStyle name="好_资产负债类底稿模版_大信底稿目录_明细表_1" xfId="8780"/>
    <cellStyle name="差_dxn底稿目录 9 2" xfId="8781"/>
    <cellStyle name="差_49-营业收入（空白模板） 9 3" xfId="8782"/>
    <cellStyle name="Black" xfId="8783"/>
    <cellStyle name="好_资产负债类底稿模版_大信底稿目录_明细表_1 2" xfId="8784"/>
    <cellStyle name="差_dxn底稿目录 9 2 2" xfId="8785"/>
    <cellStyle name="Black 2" xfId="8786"/>
    <cellStyle name="Border" xfId="8787"/>
    <cellStyle name="Border 2" xfId="8788"/>
    <cellStyle name="BS" xfId="8789"/>
    <cellStyle name="C?AØ_¿?¾÷CoE² " xfId="8790"/>
    <cellStyle name="C￥AØ_¿μ¾÷CoE² " xfId="8791"/>
    <cellStyle name="Euro 2 5 3 2" xfId="8792"/>
    <cellStyle name="Ç¥ÁØ_¼ÕÀÍº¸¿Ï9904" xfId="8793"/>
    <cellStyle name="Calc Currency (0)" xfId="8794"/>
    <cellStyle name="Calc Currency (0) 2" xfId="8795"/>
    <cellStyle name="Calc Currency (0) 3" xfId="8796"/>
    <cellStyle name="Calc Currency (0) 5" xfId="8797"/>
    <cellStyle name="Calc Currency (0) 6" xfId="8798"/>
    <cellStyle name="好_1短期借款 8 4" xfId="8799"/>
    <cellStyle name="百分比 2 3 5 2 2" xfId="8800"/>
    <cellStyle name="Calc Currency (0)_Spreadsheet" xfId="8801"/>
    <cellStyle name="Calc Currency (2)" xfId="8802"/>
    <cellStyle name="Calc Currency (2) 2" xfId="8803"/>
    <cellStyle name="Calc Percent (0) 2" xfId="8804"/>
    <cellStyle name="好_1实收资本(股本) 3" xfId="8805"/>
    <cellStyle name="Calc Percent (1)" xfId="8806"/>
    <cellStyle name="好_1实收资本(股本) 3 2" xfId="8807"/>
    <cellStyle name="常规 2 3 3 4" xfId="8808"/>
    <cellStyle name="Calc Percent (1) 2" xfId="8809"/>
    <cellStyle name="Calc Percent (2)" xfId="8810"/>
    <cellStyle name="常规 2 3 8 4" xfId="8811"/>
    <cellStyle name="Calc Percent (2) 2" xfId="8812"/>
    <cellStyle name="好_1财务费用 10_明细表 2" xfId="8813"/>
    <cellStyle name="好_1财务费用 3_明细表" xfId="8814"/>
    <cellStyle name="Calc Units (0)" xfId="8815"/>
    <cellStyle name="好_1财务费用 3_明细表 2" xfId="8816"/>
    <cellStyle name="Calc Units (0) 2" xfId="8817"/>
    <cellStyle name="Calc Units (1)" xfId="8818"/>
    <cellStyle name="强调文字颜色 5 3 2 3" xfId="8819"/>
    <cellStyle name="差_1货币资金 2 2 3" xfId="8820"/>
    <cellStyle name="Calc Units (1) 2" xfId="8821"/>
    <cellStyle name="Calc Units (2)" xfId="8822"/>
    <cellStyle name="Calc Units (2) 2" xfId="8823"/>
    <cellStyle name="Normal 12 3" xfId="8824"/>
    <cellStyle name="Calculation" xfId="8825"/>
    <cellStyle name="Calculation 2" xfId="8826"/>
    <cellStyle name="Calculation 2 2" xfId="8827"/>
    <cellStyle name="Calculation 3" xfId="8828"/>
    <cellStyle name="category 2" xfId="8829"/>
    <cellStyle name="Euro 2" xfId="8830"/>
    <cellStyle name="category 3" xfId="8831"/>
    <cellStyle name="Euro 3" xfId="8832"/>
    <cellStyle name="category 4" xfId="8833"/>
    <cellStyle name="Change A&amp;ll" xfId="8834"/>
    <cellStyle name="Change A&amp;ll 2" xfId="8835"/>
    <cellStyle name="差_G-应收账款 9 3" xfId="8836"/>
    <cellStyle name="Change A&amp;ll 3" xfId="8837"/>
    <cellStyle name="差_G-应收账款 9 4" xfId="8838"/>
    <cellStyle name="Date Short 2" xfId="8839"/>
    <cellStyle name="Normal 8 2 2" xfId="8840"/>
    <cellStyle name="Change A&amp;ll 4" xfId="8841"/>
    <cellStyle name="Normal 8 2 3" xfId="8842"/>
    <cellStyle name="Change A&amp;ll 5" xfId="8843"/>
    <cellStyle name="常规 5 15 2 2" xfId="8844"/>
    <cellStyle name="常规 5 20 2 2" xfId="8845"/>
    <cellStyle name="Change A&amp;ll 6" xfId="8846"/>
    <cellStyle name="Check Cell" xfId="8847"/>
    <cellStyle name="差_交易性金融资产" xfId="8848"/>
    <cellStyle name="Check Cell 2" xfId="8849"/>
    <cellStyle name="差_交易性金融资产 2" xfId="8850"/>
    <cellStyle name="Check Cell 2 2" xfId="8851"/>
    <cellStyle name="Col Heads" xfId="8852"/>
    <cellStyle name="好_资本到位及工商情况 5" xfId="8853"/>
    <cellStyle name="Col Heads 2" xfId="8854"/>
    <cellStyle name="好_19-无形资产（空白模板） 6_附注表一（财务报表）" xfId="8855"/>
    <cellStyle name="Col Heads 3" xfId="8856"/>
    <cellStyle name="Col Heads 6" xfId="8857"/>
    <cellStyle name="Col Heads 7" xfId="8858"/>
    <cellStyle name="好_1资产减值损失 5 2 3" xfId="8859"/>
    <cellStyle name="差_专项应付款 9 2 3" xfId="8860"/>
    <cellStyle name="Collegamento ipertestuale" xfId="8861"/>
    <cellStyle name="Collegamento ipertestuale 2" xfId="8862"/>
    <cellStyle name="好_52-销售费用（空白模板） 2 4" xfId="8863"/>
    <cellStyle name="ColLevel_0" xfId="8864"/>
    <cellStyle name="PrePop Units (1) 2" xfId="8865"/>
    <cellStyle name="Column | Headings" xfId="8866"/>
    <cellStyle name="Normal - Style1 2 6 3" xfId="8867"/>
    <cellStyle name="Column | Headings 2" xfId="8868"/>
    <cellStyle name="常规 5 2 12 3" xfId="8869"/>
    <cellStyle name="COST1 3" xfId="8870"/>
    <cellStyle name="Column$Headings" xfId="8871"/>
    <cellStyle name="超链接 2 19 3" xfId="8872"/>
    <cellStyle name="Column$Headings 2" xfId="8873"/>
    <cellStyle name="Column_Title" xfId="8874"/>
    <cellStyle name="差_53-管理费用（空白模板） 2" xfId="8875"/>
    <cellStyle name="Comma  - Style1" xfId="8876"/>
    <cellStyle name="差_53-管理费用（空白模板） 2 2 2" xfId="8877"/>
    <cellStyle name="差_19-无形资产（空白模板） 29" xfId="8878"/>
    <cellStyle name="差_19-无形资产（空白模板） 34" xfId="8879"/>
    <cellStyle name="Comma  - Style1 2 2" xfId="8880"/>
    <cellStyle name="差_53-管理费用（空白模板） 2 2 3" xfId="8881"/>
    <cellStyle name="Comma  - Style1 2 3" xfId="8882"/>
    <cellStyle name="Comma  - Style1 3 2" xfId="8883"/>
    <cellStyle name="PSDec 2" xfId="8884"/>
    <cellStyle name="Comma  - Style1 5" xfId="8885"/>
    <cellStyle name="Comma  - Style1 6" xfId="8886"/>
    <cellStyle name="好_银行函证结果汇总表_明细表 6" xfId="8887"/>
    <cellStyle name="好_专项应付款 15_明细表 3" xfId="8888"/>
    <cellStyle name="好_15-固定资产（空白模板） 10 3" xfId="8889"/>
    <cellStyle name="Comma  - Style1_函证结果汇总表" xfId="8890"/>
    <cellStyle name="差_53-管理费用（空白模板） 3 2" xfId="8891"/>
    <cellStyle name="Comma  - Style2 2" xfId="8892"/>
    <cellStyle name="Comma  - Style2 2 2" xfId="8893"/>
    <cellStyle name="Comma  - Style2 2 3" xfId="8894"/>
    <cellStyle name="差_53-管理费用（空白模板） 3 3" xfId="8895"/>
    <cellStyle name="Comma  - Style2 3" xfId="8896"/>
    <cellStyle name="Comma  - Style2 3 2" xfId="8897"/>
    <cellStyle name="Comma  - Style2 4" xfId="8898"/>
    <cellStyle name="Comma  - Style2 5" xfId="8899"/>
    <cellStyle name="Euro 2 2" xfId="8900"/>
    <cellStyle name="Comma  - Style2 6" xfId="8901"/>
    <cellStyle name="好_1资产减值损失 13_明细表 5" xfId="8902"/>
    <cellStyle name="Comma  - Style2_函证结果汇总表" xfId="8903"/>
    <cellStyle name="Comma  - Style3 2" xfId="8904"/>
    <cellStyle name="Comma  - Style3 3" xfId="8905"/>
    <cellStyle name="Comma  - Style3 3 2" xfId="8906"/>
    <cellStyle name="Comma  - Style3 4" xfId="8907"/>
    <cellStyle name="Euro 10 2" xfId="8908"/>
    <cellStyle name="Comma  - Style3 5" xfId="8909"/>
    <cellStyle name="Euro 10 3" xfId="8910"/>
    <cellStyle name="Euro 3 2" xfId="8911"/>
    <cellStyle name="Comma  - Style3 6" xfId="8912"/>
    <cellStyle name="Euro 10 4" xfId="8913"/>
    <cellStyle name="Comma  - Style3_函证结果汇总表" xfId="8914"/>
    <cellStyle name="差_复件 固定资产 9_明细表 4" xfId="8915"/>
    <cellStyle name="差_53-管理费用（空白模板） 5" xfId="8916"/>
    <cellStyle name="Comma  - Style4" xfId="8917"/>
    <cellStyle name="好_固定资产明细 6" xfId="8918"/>
    <cellStyle name="Comma  - Style4 2" xfId="8919"/>
    <cellStyle name="Normal - Style1 3" xfId="8920"/>
    <cellStyle name="Comma  - Style4 2 2" xfId="8921"/>
    <cellStyle name="Normal - Style1 4" xfId="8922"/>
    <cellStyle name="Comma  - Style4 2 3" xfId="8923"/>
    <cellStyle name="Comma  - Style4 3" xfId="8924"/>
    <cellStyle name="Comma  - Style4 3 2" xfId="8925"/>
    <cellStyle name="Comma  - Style4 4" xfId="8926"/>
    <cellStyle name="Euro 11 2" xfId="8927"/>
    <cellStyle name="好_1营业收入_3固定资产" xfId="8928"/>
    <cellStyle name="Comma  - Style4 5" xfId="8929"/>
    <cellStyle name="Euro 11 3" xfId="8930"/>
    <cellStyle name="Euro 4 2" xfId="8931"/>
    <cellStyle name="Comma  - Style4 6" xfId="8932"/>
    <cellStyle name="差_复件 固定资产 9_明细表 5" xfId="8933"/>
    <cellStyle name="常规 3 18_附注表一（财务报表）" xfId="8934"/>
    <cellStyle name="常规 3 23_附注表一（财务报表）" xfId="8935"/>
    <cellStyle name="Comma  - Style5" xfId="8936"/>
    <cellStyle name="Comma  - Style5 2 2" xfId="8937"/>
    <cellStyle name="Comma  - Style5 2 3" xfId="8938"/>
    <cellStyle name="Comma  - Style5 3 2" xfId="8939"/>
    <cellStyle name="Comma  - Style5 4" xfId="8940"/>
    <cellStyle name="Euro 12 2" xfId="8941"/>
    <cellStyle name="Currency$[2] 7" xfId="8942"/>
    <cellStyle name="Comma  - Style5 5" xfId="8943"/>
    <cellStyle name="Euro 5 2" xfId="8944"/>
    <cellStyle name="Comma  - Style5 6" xfId="8945"/>
    <cellStyle name="差_58-营业外收入（空白模板） 3" xfId="8946"/>
    <cellStyle name="Comma  - Style5_函证结果汇总表" xfId="8947"/>
    <cellStyle name="Comma  - Style6" xfId="8948"/>
    <cellStyle name="Comma  - Style6 2 2" xfId="8949"/>
    <cellStyle name="Comma  - Style6 2 3" xfId="8950"/>
    <cellStyle name="差_短期借款 7_明细表" xfId="8951"/>
    <cellStyle name="Comma  - Style6 3" xfId="8952"/>
    <cellStyle name="差_短期借款 7_明细表 2" xfId="8953"/>
    <cellStyle name="Comma  - Style6 3 2" xfId="8954"/>
    <cellStyle name="Comma  - Style6 4" xfId="8955"/>
    <cellStyle name="Euro 13 2" xfId="8956"/>
    <cellStyle name="Comma  - Style6 5" xfId="8957"/>
    <cellStyle name="Euro 6 2" xfId="8958"/>
    <cellStyle name="Comma  - Style6 6" xfId="8959"/>
    <cellStyle name="Comma  - Style6_函证结果汇总表" xfId="8960"/>
    <cellStyle name="Comma  - Style7" xfId="8961"/>
    <cellStyle name="Comma  - Style7 2" xfId="8962"/>
    <cellStyle name="好_预收款项 11_明细表 4" xfId="8963"/>
    <cellStyle name="Comma  - Style7 2 2" xfId="8964"/>
    <cellStyle name="好_预收款项 11_明细表 5" xfId="8965"/>
    <cellStyle name="好_54-财务费用（空白模板） 8_明细表 2" xfId="8966"/>
    <cellStyle name="Comma  - Style7 2 3" xfId="8967"/>
    <cellStyle name="好_1财务费用 2 4" xfId="8968"/>
    <cellStyle name="Comma  - Style7 3 2" xfId="8969"/>
    <cellStyle name="好_19-无形资产（空白模板）_应收账款 2" xfId="8970"/>
    <cellStyle name="千位分隔 3 8 2 4" xfId="8971"/>
    <cellStyle name="超链接 2 10" xfId="8972"/>
    <cellStyle name="Comma  - Style7 5" xfId="8973"/>
    <cellStyle name="千位分隔 3 8 2 5" xfId="8974"/>
    <cellStyle name="Euro 7 2" xfId="8975"/>
    <cellStyle name="超链接 2 11" xfId="8976"/>
    <cellStyle name="Comma  - Style7 6" xfId="8977"/>
    <cellStyle name="Comma  - Style7_函证结果汇总表" xfId="8978"/>
    <cellStyle name="Comma  - Style8" xfId="8979"/>
    <cellStyle name="差_明细表_1 2" xfId="8980"/>
    <cellStyle name="Comma  - Style8 2" xfId="8981"/>
    <cellStyle name="Comma  - Style8 2 2" xfId="8982"/>
    <cellStyle name="Comma  - Style8 3" xfId="8983"/>
    <cellStyle name="Comma  - Style8 3 2" xfId="8984"/>
    <cellStyle name="差_G-应收账款 5" xfId="8985"/>
    <cellStyle name="Comma  - Style8 4" xfId="8986"/>
    <cellStyle name="Euro 15 2" xfId="8987"/>
    <cellStyle name="Euro 20 2" xfId="8988"/>
    <cellStyle name="Comma  - Style8 5" xfId="8989"/>
    <cellStyle name="Euro 20 3" xfId="8990"/>
    <cellStyle name="Euro 8 2" xfId="8991"/>
    <cellStyle name="Comma  - Style8 6" xfId="8992"/>
    <cellStyle name="Comma  - Style8_函证结果汇总表" xfId="8993"/>
    <cellStyle name="Comma [0]" xfId="8994"/>
    <cellStyle name="常规 3 11 2 3" xfId="8995"/>
    <cellStyle name="Comma [0] 10" xfId="8996"/>
    <cellStyle name="Comma [0] 11" xfId="8997"/>
    <cellStyle name="Comma [0] 2" xfId="8998"/>
    <cellStyle name="Comma [0] 2 2" xfId="8999"/>
    <cellStyle name="好_1长期应付款" xfId="9000"/>
    <cellStyle name="货币 2 4 2 5" xfId="9001"/>
    <cellStyle name="差_30-应付账款（空白模板） 8" xfId="9002"/>
    <cellStyle name="Comma [0] 2 2 2" xfId="9003"/>
    <cellStyle name="好_1长期应付款 2" xfId="9004"/>
    <cellStyle name="差_30-应付账款（空白模板） 8 2" xfId="9005"/>
    <cellStyle name="差_30-应付账款（空白模板） 9" xfId="9006"/>
    <cellStyle name="Comma [0] 2 3" xfId="9007"/>
    <cellStyle name="Comma [0] 5" xfId="9008"/>
    <cellStyle name="好_专项应付款 2 2 2 2" xfId="9009"/>
    <cellStyle name="Currency,0" xfId="9010"/>
    <cellStyle name="Comma [0] 6" xfId="9011"/>
    <cellStyle name="SAPBEXHLevel3X 2" xfId="9012"/>
    <cellStyle name="Comma [0] 7" xfId="9013"/>
    <cellStyle name="SAPBEXHLevel3X 3" xfId="9014"/>
    <cellStyle name="Currency,2" xfId="9015"/>
    <cellStyle name="Comma [0] 8" xfId="9016"/>
    <cellStyle name="差_6-应收利息（空白模板） 5 3" xfId="9017"/>
    <cellStyle name="Comma [0]_ SG&amp;A Bridge " xfId="9018"/>
    <cellStyle name="Comma [00]" xfId="9019"/>
    <cellStyle name="Comma [00] 2" xfId="9020"/>
    <cellStyle name="常规 3 5 10" xfId="9021"/>
    <cellStyle name="Comma [4]" xfId="9022"/>
    <cellStyle name="Comma [4] 2" xfId="9023"/>
    <cellStyle name="Comma 10 2 2" xfId="9024"/>
    <cellStyle name="Comma 11" xfId="9025"/>
    <cellStyle name="Comma 11 2" xfId="9026"/>
    <cellStyle name="Comma 12" xfId="9027"/>
    <cellStyle name="Comma 12 2" xfId="9028"/>
    <cellStyle name="Comma 12 2 2" xfId="9029"/>
    <cellStyle name="Comma 12 3" xfId="9030"/>
    <cellStyle name="常规 11 6 2 3" xfId="9031"/>
    <cellStyle name="Comma 12 3 2" xfId="9032"/>
    <cellStyle name="Comma 12 4" xfId="9033"/>
    <cellStyle name="Comma 12 5" xfId="9034"/>
    <cellStyle name="好_无形资产 9_明细表" xfId="9035"/>
    <cellStyle name="Comma 12 6" xfId="9036"/>
    <cellStyle name="Comma 12 7" xfId="9037"/>
    <cellStyle name="Comma 13" xfId="9038"/>
    <cellStyle name="Comma 13 4" xfId="9039"/>
    <cellStyle name="Comma 13 5" xfId="9040"/>
    <cellStyle name="Comma 13 6" xfId="9041"/>
    <cellStyle name="Comma 14" xfId="9042"/>
    <cellStyle name="Comma 14 2" xfId="9043"/>
    <cellStyle name="常规 3 3 2 2 2 10" xfId="9044"/>
    <cellStyle name="Comma 14 3" xfId="9045"/>
    <cellStyle name="常规 3 3 2 2 2 11" xfId="9046"/>
    <cellStyle name="Comma 14 4" xfId="9047"/>
    <cellStyle name="好_复件 固定资产 9_附注表一（财务报表）" xfId="9048"/>
    <cellStyle name="好_ZA0货币资金审定表  10_明细表" xfId="9049"/>
    <cellStyle name="常规 3 3 2 2 2 12" xfId="9050"/>
    <cellStyle name="Comma 14 5" xfId="9051"/>
    <cellStyle name="常规 3 3 2 2 2 13" xfId="9052"/>
    <cellStyle name="Comma 14 6" xfId="9053"/>
    <cellStyle name="Comma 15 3" xfId="9054"/>
    <cellStyle name="Comma 15 4" xfId="9055"/>
    <cellStyle name="Comma 15 5" xfId="9056"/>
    <cellStyle name="好_15-固定资产（空白模板） 12 2 2" xfId="9057"/>
    <cellStyle name="Comma 15 6" xfId="9058"/>
    <cellStyle name="好_1管理费用 5" xfId="9059"/>
    <cellStyle name="Comma 16 2" xfId="9060"/>
    <cellStyle name="Comma 21 2" xfId="9061"/>
    <cellStyle name="Comma 16 3" xfId="9062"/>
    <cellStyle name="超链接 3 28" xfId="9063"/>
    <cellStyle name="超链接 3 33" xfId="9064"/>
    <cellStyle name="差_ZG应收保费 2 2 3" xfId="9065"/>
    <cellStyle name="Comma 16 3 2" xfId="9066"/>
    <cellStyle name="Comma 17" xfId="9067"/>
    <cellStyle name="Comma 22" xfId="9068"/>
    <cellStyle name="Comma 17 2" xfId="9069"/>
    <cellStyle name="Comma 22 2" xfId="9070"/>
    <cellStyle name="Comma 18" xfId="9071"/>
    <cellStyle name="Comma 23" xfId="9072"/>
    <cellStyle name="Comma 18 2" xfId="9073"/>
    <cellStyle name="Comma 23 2" xfId="9074"/>
    <cellStyle name="Comma 19" xfId="9075"/>
    <cellStyle name="Comma 24" xfId="9076"/>
    <cellStyle name="好_G-应收账款 4 2 5" xfId="9077"/>
    <cellStyle name="Comma 19 2" xfId="9078"/>
    <cellStyle name="Comma 2" xfId="9079"/>
    <cellStyle name="常规 2 3 11 2 2" xfId="9080"/>
    <cellStyle name="好_固定资产 7_明细表 2" xfId="9081"/>
    <cellStyle name="好_1应付职工薪酬 2 3" xfId="9082"/>
    <cellStyle name="Comma 2 2" xfId="9083"/>
    <cellStyle name="Comma 2 2 10" xfId="9084"/>
    <cellStyle name="Comma 2 2 10 2" xfId="9085"/>
    <cellStyle name="Comma 2 2 2" xfId="9086"/>
    <cellStyle name="好_2应收账款 2 2" xfId="9087"/>
    <cellStyle name="Comma 2 2 3" xfId="9088"/>
    <cellStyle name="好_2应收账款 2 2 2" xfId="9089"/>
    <cellStyle name="差_复件 固定资产 4_明细表" xfId="9090"/>
    <cellStyle name="Comma 2 2 3 2" xfId="9091"/>
    <cellStyle name="Comma 2 2 3 3" xfId="9092"/>
    <cellStyle name="Comma 2 2 3 4" xfId="9093"/>
    <cellStyle name="Comma 2 2 3 5" xfId="9094"/>
    <cellStyle name="差_货币资金 2 2" xfId="9095"/>
    <cellStyle name="Comma 2 2 3 6" xfId="9096"/>
    <cellStyle name="好_2应收账款 2 3" xfId="9097"/>
    <cellStyle name="Comma 2 2 4" xfId="9098"/>
    <cellStyle name="货币 2 4_附注表一（财务报表）" xfId="9099"/>
    <cellStyle name="好_1应付职工薪酬 2 4" xfId="9100"/>
    <cellStyle name="Comma 2 3" xfId="9101"/>
    <cellStyle name="Comma 2 3 2" xfId="9102"/>
    <cellStyle name="差_大信底稿目录 10 3" xfId="9103"/>
    <cellStyle name="Comma 2 3 2 2" xfId="9104"/>
    <cellStyle name="差_1专项应付款 7 3" xfId="9105"/>
    <cellStyle name="好_2应收账款 3 2" xfId="9106"/>
    <cellStyle name="Comma 2 3 3" xfId="9107"/>
    <cellStyle name="差_大信底稿目录 10 4" xfId="9108"/>
    <cellStyle name="差_复件 固定资产 5_明细表" xfId="9109"/>
    <cellStyle name="Comma 2 3 3 2" xfId="9110"/>
    <cellStyle name="差_1专项应付款 8 3" xfId="9111"/>
    <cellStyle name="Comma 2 3 4" xfId="9112"/>
    <cellStyle name="差_预收款项 4 2 4" xfId="9113"/>
    <cellStyle name="Comma 2 3 4 2" xfId="9114"/>
    <cellStyle name="差_1专项应付款 9 3" xfId="9115"/>
    <cellStyle name="Comma 2 3 5" xfId="9116"/>
    <cellStyle name="好_短期借款 2" xfId="9117"/>
    <cellStyle name="Comma 2 4" xfId="9118"/>
    <cellStyle name="好_短期借款 2 2" xfId="9119"/>
    <cellStyle name="Comma 2 4 2" xfId="9120"/>
    <cellStyle name="差_大信底稿目录 11 3" xfId="9121"/>
    <cellStyle name="好_短期借款 2 2 2" xfId="9122"/>
    <cellStyle name="好_4-应收账款（空白模板） 10 2 5" xfId="9123"/>
    <cellStyle name="Comma 2 4 2 2" xfId="9124"/>
    <cellStyle name="好_短期借款 2 2 3" xfId="9125"/>
    <cellStyle name="Comma 2 4 2 3" xfId="9126"/>
    <cellStyle name="好_短期借款 2 3" xfId="9127"/>
    <cellStyle name="Comma 2 4 3" xfId="9128"/>
    <cellStyle name="好_短期借款 3 2" xfId="9129"/>
    <cellStyle name="超链接 2 6 2 4" xfId="9130"/>
    <cellStyle name="Comma 2 5 2" xfId="9131"/>
    <cellStyle name="差_大信底稿目录 12 3" xfId="9132"/>
    <cellStyle name="好_短期借款 3 4" xfId="9133"/>
    <cellStyle name="Comma 2 5 4" xfId="9134"/>
    <cellStyle name="好_短期借款 3 5" xfId="9135"/>
    <cellStyle name="Comma 2 5 5" xfId="9136"/>
    <cellStyle name="Comma 2 5 6" xfId="9137"/>
    <cellStyle name="Comma 2 5 7" xfId="9138"/>
    <cellStyle name="Comma,0 2 2" xfId="9139"/>
    <cellStyle name="好_短期借款 4" xfId="9140"/>
    <cellStyle name="Comma 2 6" xfId="9141"/>
    <cellStyle name="好_短期借款 4 2" xfId="9142"/>
    <cellStyle name="Comma 2 6 2" xfId="9143"/>
    <cellStyle name="差_大信底稿目录 13 3" xfId="9144"/>
    <cellStyle name="好_短期借款 5" xfId="9145"/>
    <cellStyle name="Comma 2 7" xfId="9146"/>
    <cellStyle name="常规_51-营业税金及附加（空白模板） 2" xfId="9147"/>
    <cellStyle name="Comma 2_销售返利变动-ＦＬＸ" xfId="9148"/>
    <cellStyle name="Comma 22 3" xfId="9149"/>
    <cellStyle name="Comma 23 3" xfId="9150"/>
    <cellStyle name="Comma 25" xfId="9151"/>
    <cellStyle name="Comma 26" xfId="9152"/>
    <cellStyle name="Comma 3" xfId="9153"/>
    <cellStyle name="常规 2 3 11 2 3" xfId="9154"/>
    <cellStyle name="好_固定资产 7_明细表 3" xfId="9155"/>
    <cellStyle name="好_1应付职工薪酬 3 3" xfId="9156"/>
    <cellStyle name="好_财务费用_明细表 3" xfId="9157"/>
    <cellStyle name="Comma 3 2" xfId="9158"/>
    <cellStyle name="常规 7 2" xfId="9159"/>
    <cellStyle name="Comma 3 2 3" xfId="9160"/>
    <cellStyle name="好_1固定资产_明细表" xfId="9161"/>
    <cellStyle name="Comma 3 3 2 2" xfId="9162"/>
    <cellStyle name="Comma 4" xfId="9163"/>
    <cellStyle name="常规 2 3 11 2 4" xfId="9164"/>
    <cellStyle name="好_固定资产 7_明细表 4" xfId="9165"/>
    <cellStyle name="好_1应付职工薪酬 4 3" xfId="9166"/>
    <cellStyle name="Comma 4 2" xfId="9167"/>
    <cellStyle name="样式 1 11" xfId="9168"/>
    <cellStyle name="好_应收账款期末审定表 6" xfId="9169"/>
    <cellStyle name="Comma 4 2 2" xfId="9170"/>
    <cellStyle name="Comma 4 3" xfId="9171"/>
    <cellStyle name="常规 2 3 14" xfId="9172"/>
    <cellStyle name="Comma 4 3 2" xfId="9173"/>
    <cellStyle name="Comma 4 4" xfId="9174"/>
    <cellStyle name="Comma 5" xfId="9175"/>
    <cellStyle name="常规 2 3 11 2 5" xfId="9176"/>
    <cellStyle name="好_固定资产 7_明细表 5" xfId="9177"/>
    <cellStyle name="Comma 5 2" xfId="9178"/>
    <cellStyle name="Comma 5 2 2" xfId="9179"/>
    <cellStyle name="Comma 5 2 2 2" xfId="9180"/>
    <cellStyle name="Comma 5 2 3" xfId="9181"/>
    <cellStyle name="Comma 5 3" xfId="9182"/>
    <cellStyle name="Comma 5 3 2" xfId="9183"/>
    <cellStyle name="Comma 5 3 2 2" xfId="9184"/>
    <cellStyle name="Comma 5 3 3" xfId="9185"/>
    <cellStyle name="Comma 5 4" xfId="9186"/>
    <cellStyle name="Comma 5 4 2" xfId="9187"/>
    <cellStyle name="Comma 5 5" xfId="9188"/>
    <cellStyle name="超链接 2 9 2 4" xfId="9189"/>
    <cellStyle name="Comma 5 5 2" xfId="9190"/>
    <cellStyle name="好_资产减值损失 11 2 5" xfId="9191"/>
    <cellStyle name="差_51-营业税金及附加（空白模板）_明细表_1" xfId="9192"/>
    <cellStyle name="Comma 6" xfId="9193"/>
    <cellStyle name="Comma 6 2 2" xfId="9194"/>
    <cellStyle name="好_递延所得税资产 - 复制 4 2" xfId="9195"/>
    <cellStyle name="差_应收账款 3 4" xfId="9196"/>
    <cellStyle name="Comma 6 2 2 3" xfId="9197"/>
    <cellStyle name="Comma 6 2 3" xfId="9198"/>
    <cellStyle name="Comma 6 3" xfId="9199"/>
    <cellStyle name="Comma 6 3 2" xfId="9200"/>
    <cellStyle name="Comma 6 4" xfId="9201"/>
    <cellStyle name="Comma 7" xfId="9202"/>
    <cellStyle name="Comma 7 2" xfId="9203"/>
    <cellStyle name="Comma 7 2 2 2" xfId="9204"/>
    <cellStyle name="差_G-应收账款 7" xfId="9205"/>
    <cellStyle name="Comma 7 2 3" xfId="9206"/>
    <cellStyle name="Comma 7 3" xfId="9207"/>
    <cellStyle name="Comma 7 5" xfId="9208"/>
    <cellStyle name="Comma 8" xfId="9209"/>
    <cellStyle name="Comma 8 2" xfId="9210"/>
    <cellStyle name="Comma 9" xfId="9211"/>
    <cellStyle name="常规 3 3 14" xfId="9212"/>
    <cellStyle name="差_30-应付账款（空白模板） 12_明细表" xfId="9213"/>
    <cellStyle name="Comma 9 3 2" xfId="9214"/>
    <cellStyle name="comma zerodec" xfId="9215"/>
    <cellStyle name="好_无形资产 12 2 3" xfId="9216"/>
    <cellStyle name="Comma,0" xfId="9217"/>
    <cellStyle name="Comma,0 2" xfId="9218"/>
    <cellStyle name="Comma,0 3" xfId="9219"/>
    <cellStyle name="Comma,0 4" xfId="9220"/>
    <cellStyle name="Comma,0 5" xfId="9221"/>
    <cellStyle name="Comma,0 6" xfId="9222"/>
    <cellStyle name="好_营业收入 2 2 2 2" xfId="9223"/>
    <cellStyle name="好_19-无形资产（空白模板） 17 2" xfId="9224"/>
    <cellStyle name="Comma,1 2 2" xfId="9225"/>
    <cellStyle name="好_营业收入 2 2 3" xfId="9226"/>
    <cellStyle name="好_19-无形资产（空白模板） 18" xfId="9227"/>
    <cellStyle name="好_19-无形资产（空白模板） 23" xfId="9228"/>
    <cellStyle name="Comma,1 3" xfId="9229"/>
    <cellStyle name="好_营业收入 2 2 4" xfId="9230"/>
    <cellStyle name="好_19-无形资产（空白模板） 19" xfId="9231"/>
    <cellStyle name="好_19-无形资产（空白模板） 24" xfId="9232"/>
    <cellStyle name="Comma,1 4" xfId="9233"/>
    <cellStyle name="好_营业收入 2 2 5" xfId="9234"/>
    <cellStyle name="好_19-无形资产（空白模板） 25" xfId="9235"/>
    <cellStyle name="好_19-无形资产（空白模板） 30" xfId="9236"/>
    <cellStyle name="Comma,1 5" xfId="9237"/>
    <cellStyle name="好_营业收入 2 2 6" xfId="9238"/>
    <cellStyle name="好_19-无形资产（空白模板） 26" xfId="9239"/>
    <cellStyle name="好_19-无形资产（空白模板） 31" xfId="9240"/>
    <cellStyle name="Comma,1 6" xfId="9241"/>
    <cellStyle name="好_营业收入 2 3" xfId="9242"/>
    <cellStyle name="差_49-营业收入（空白模板） 4 2" xfId="9243"/>
    <cellStyle name="Comma,2" xfId="9244"/>
    <cellStyle name="好_营业收入 2 3 2" xfId="9245"/>
    <cellStyle name="差_49-营业收入（空白模板） 4 2 2" xfId="9246"/>
    <cellStyle name="Comma,2 2" xfId="9247"/>
    <cellStyle name="Comma,2 2 2" xfId="9248"/>
    <cellStyle name="好_51-营业税金及附加（空白模板） 2_明细表 2" xfId="9249"/>
    <cellStyle name="好_营业收入 2 3 3" xfId="9250"/>
    <cellStyle name="差_49-营业收入（空白模板） 4 2 3" xfId="9251"/>
    <cellStyle name="Comma,2 3" xfId="9252"/>
    <cellStyle name="好_51-营业税金及附加（空白模板） 2_明细表 3" xfId="9253"/>
    <cellStyle name="Comma,2 4" xfId="9254"/>
    <cellStyle name="好_51-营业税金及附加（空白模板） 2_明细表 4" xfId="9255"/>
    <cellStyle name="Comma,2 5" xfId="9256"/>
    <cellStyle name="Comma,2 6" xfId="9257"/>
    <cellStyle name="好_54-财务费用（空白模板） 12 2 2" xfId="9258"/>
    <cellStyle name="好_51-营业税金及附加（空白模板） 2_明细表 5" xfId="9259"/>
    <cellStyle name="差_55-资产减值损失（空白模板） 10 2" xfId="9260"/>
    <cellStyle name="百分比 2 2 10" xfId="9261"/>
    <cellStyle name="Comma[0]" xfId="9262"/>
    <cellStyle name="差_55-资产减值损失（空白模板） 10 2 2" xfId="9263"/>
    <cellStyle name="百分比 2 2 10 2" xfId="9264"/>
    <cellStyle name="SAPBEXstdData 7" xfId="9265"/>
    <cellStyle name="Comma[0] 2" xfId="9266"/>
    <cellStyle name="Comma[0] 2 2" xfId="9267"/>
    <cellStyle name="Comma[0] 2 3" xfId="9268"/>
    <cellStyle name="Comma[0] 2 6" xfId="9269"/>
    <cellStyle name="差_55-资产减值损失（空白模板） 10 2 3" xfId="9270"/>
    <cellStyle name="百分比 2 2 10 3" xfId="9271"/>
    <cellStyle name="Comma[0] 3" xfId="9272"/>
    <cellStyle name="差_55-资产减值损失（空白模板） 9 2" xfId="9273"/>
    <cellStyle name="百分比 2 2 10 4" xfId="9274"/>
    <cellStyle name="Comma[0] 4" xfId="9275"/>
    <cellStyle name="差_55-资产减值损失（空白模板） 9 4" xfId="9276"/>
    <cellStyle name="Comma[0] 6" xfId="9277"/>
    <cellStyle name="好_营业外支出 2 2 2" xfId="9278"/>
    <cellStyle name="Comma[0] 7" xfId="9279"/>
    <cellStyle name="Comma[2]" xfId="9280"/>
    <cellStyle name="好_1营业收入 15 2 4" xfId="9281"/>
    <cellStyle name="常规 5 7 3" xfId="9282"/>
    <cellStyle name="常规 5 7 3 2" xfId="9283"/>
    <cellStyle name="Comma[2] 2" xfId="9284"/>
    <cellStyle name="Comma[2] 3" xfId="9285"/>
    <cellStyle name="Comma[2] 4" xfId="9286"/>
    <cellStyle name="Comma[2] 5" xfId="9287"/>
    <cellStyle name="好_函证结果汇总表 2" xfId="9288"/>
    <cellStyle name="Comma[2] 6" xfId="9289"/>
    <cellStyle name="好_函证结果汇总表 3" xfId="9290"/>
    <cellStyle name="Comma[2] 7" xfId="9291"/>
    <cellStyle name="好_51-营业税金及附加（空白模板） 6 5" xfId="9292"/>
    <cellStyle name="常规 9 3 6" xfId="9293"/>
    <cellStyle name="Comma_ SG&amp;A Bridge " xfId="9294"/>
    <cellStyle name="好_1应收账款_明细表 3" xfId="9295"/>
    <cellStyle name="Comma0" xfId="9296"/>
    <cellStyle name="好_1短期借款 16 2 2" xfId="9297"/>
    <cellStyle name="差_49-营业收入（空白模板） 13" xfId="9298"/>
    <cellStyle name="Comma0 - Modelo1" xfId="9299"/>
    <cellStyle name="Comma0 - Modelo1 2" xfId="9300"/>
    <cellStyle name="好_附注" xfId="9301"/>
    <cellStyle name="好_1所得税费用 10" xfId="9302"/>
    <cellStyle name="Comma0 - Style1" xfId="9303"/>
    <cellStyle name="好_51-营业税金及附加（空白模板）_明细表_1" xfId="9304"/>
    <cellStyle name="好_附注 2" xfId="9305"/>
    <cellStyle name="好_1所得税费用 10 2" xfId="9306"/>
    <cellStyle name="Comma0 - Style1 2" xfId="9307"/>
    <cellStyle name="差_49-营业收入（空白模板） 13 2" xfId="9308"/>
    <cellStyle name="Comma0 2" xfId="9309"/>
    <cellStyle name="Comma1 - Modelo2" xfId="9310"/>
    <cellStyle name="comma-d" xfId="9311"/>
    <cellStyle name="Controls" xfId="9312"/>
    <cellStyle name="Controls 2" xfId="9313"/>
    <cellStyle name="常规 5 5" xfId="9314"/>
    <cellStyle name="Copied 2" xfId="9315"/>
    <cellStyle name="常规 5 6" xfId="9316"/>
    <cellStyle name="Copied 3" xfId="9317"/>
    <cellStyle name="常规 5 7" xfId="9318"/>
    <cellStyle name="Copied 4" xfId="9319"/>
    <cellStyle name="好_55-资产减值损失（空白模板） 10 2 2" xfId="9320"/>
    <cellStyle name="常规 5 2 12" xfId="9321"/>
    <cellStyle name="COST1" xfId="9322"/>
    <cellStyle name="常规 5 2 12 2" xfId="9323"/>
    <cellStyle name="常规 2 3 16_附注表一（财务报表）" xfId="9324"/>
    <cellStyle name="常规 2 3 21_附注表一（财务报表）" xfId="9325"/>
    <cellStyle name="COST1 2" xfId="9326"/>
    <cellStyle name="COST1 4" xfId="9327"/>
    <cellStyle name="常规 50 2 4" xfId="9328"/>
    <cellStyle name="Curren - Style2" xfId="9329"/>
    <cellStyle name="Curren - Style2 2" xfId="9330"/>
    <cellStyle name="Currency [0]" xfId="9331"/>
    <cellStyle name="Currency [0] 2" xfId="9332"/>
    <cellStyle name="差_短期借款 11_明细表 5" xfId="9333"/>
    <cellStyle name="Currency [0]_ SG&amp;A Bridge " xfId="9334"/>
    <cellStyle name="Currency [00]" xfId="9335"/>
    <cellStyle name="Currency [00] 2" xfId="9336"/>
    <cellStyle name="Currency 2 2" xfId="9337"/>
    <cellStyle name="Currency 3" xfId="9338"/>
    <cellStyle name="Currency 3 2" xfId="9339"/>
    <cellStyle name="差_32-应付职工薪酬(空白模板) 3 2" xfId="9340"/>
    <cellStyle name="Currency 4" xfId="9341"/>
    <cellStyle name="好_4-应收账款（空白模板） 2_明细表 5" xfId="9342"/>
    <cellStyle name="好_33-应交税费（空白模板） 2 2 3" xfId="9343"/>
    <cellStyle name="差_无形资产 14_明细表 3" xfId="9344"/>
    <cellStyle name="差_32-应付职工薪酬(空白模板) 3 2 2" xfId="9345"/>
    <cellStyle name="Currency 4 2" xfId="9346"/>
    <cellStyle name="差_51-营业税金及附加（空白模板） 13 3" xfId="9347"/>
    <cellStyle name="Currency$[0]" xfId="9348"/>
    <cellStyle name="百分比 5" xfId="9349"/>
    <cellStyle name="Currency$[0] 2" xfId="9350"/>
    <cellStyle name="好_49-营业收入（空白模板） 13_明细表 4" xfId="9351"/>
    <cellStyle name="百分比 5 2" xfId="9352"/>
    <cellStyle name="常规 5 28" xfId="9353"/>
    <cellStyle name="常规 5 33" xfId="9354"/>
    <cellStyle name="Currency$[0] 2 2" xfId="9355"/>
    <cellStyle name="好_49-营业收入（空白模板） 13_明细表 5" xfId="9356"/>
    <cellStyle name="百分比 5 3" xfId="9357"/>
    <cellStyle name="常规 5 29" xfId="9358"/>
    <cellStyle name="常规 5 34" xfId="9359"/>
    <cellStyle name="Currency$[0] 2 3" xfId="9360"/>
    <cellStyle name="百分比 5 4" xfId="9361"/>
    <cellStyle name="常规 5 35" xfId="9362"/>
    <cellStyle name="常规 5 40" xfId="9363"/>
    <cellStyle name="Currency$[0] 2 4" xfId="9364"/>
    <cellStyle name="百分比 5 5" xfId="9365"/>
    <cellStyle name="常规 5 36" xfId="9366"/>
    <cellStyle name="Currency$[0] 2 5" xfId="9367"/>
    <cellStyle name="百分比 5 6" xfId="9368"/>
    <cellStyle name="常规 18 2" xfId="9369"/>
    <cellStyle name="常规 5 37" xfId="9370"/>
    <cellStyle name="常规 11 3 2 2 2" xfId="9371"/>
    <cellStyle name="Currency$[0] 2 6" xfId="9372"/>
    <cellStyle name="百分比 6" xfId="9373"/>
    <cellStyle name="Currency$[0] 3" xfId="9374"/>
    <cellStyle name="百分比 9" xfId="9375"/>
    <cellStyle name="Currency$[0] 6" xfId="9376"/>
    <cellStyle name="Currency$[0] 7" xfId="9377"/>
    <cellStyle name="好_无形资产 2 6" xfId="9378"/>
    <cellStyle name="Currency$[2]" xfId="9379"/>
    <cellStyle name="Moneda_10 AVERIAS MASIVAS + ANT" xfId="9380"/>
    <cellStyle name="Currency$[2] 2 2" xfId="9381"/>
    <cellStyle name="Currency$[2] 2 4" xfId="9382"/>
    <cellStyle name="Currency$[2] 2 5" xfId="9383"/>
    <cellStyle name="Currency$[2] 2 6" xfId="9384"/>
    <cellStyle name="Currency,0 2" xfId="9385"/>
    <cellStyle name="Currency,0 2 2" xfId="9386"/>
    <cellStyle name="差_19-无形资产（空白模板） 12 2" xfId="9387"/>
    <cellStyle name="Currency,0 3" xfId="9388"/>
    <cellStyle name="差_19-无形资产（空白模板） 12 3" xfId="9389"/>
    <cellStyle name="Currency,0 4" xfId="9390"/>
    <cellStyle name="Currency,0 5" xfId="9391"/>
    <cellStyle name="Currency,0 6" xfId="9392"/>
    <cellStyle name="好_54-财务费用（空白模板） 17 2 3" xfId="9393"/>
    <cellStyle name="SAPBEXHLevel3X 3 2" xfId="9394"/>
    <cellStyle name="Currency,2 2" xfId="9395"/>
    <cellStyle name="Currency,2 2 2" xfId="9396"/>
    <cellStyle name="好_40-专项应付款(空白模板) 5 2 3" xfId="9397"/>
    <cellStyle name="好_54-财务费用（空白模板） 17 2 5" xfId="9398"/>
    <cellStyle name="差_19-无形资产（空白模板） 14 3" xfId="9399"/>
    <cellStyle name="Currency,2 4" xfId="9400"/>
    <cellStyle name="好_40-专项应付款(空白模板) 5 2 4" xfId="9401"/>
    <cellStyle name="Note 2 2" xfId="9402"/>
    <cellStyle name="Currency,2 5" xfId="9403"/>
    <cellStyle name="好_54-财务费用（空白模板） 9 2 2" xfId="9404"/>
    <cellStyle name="好_40-专项应付款(空白模板) 5 2 5" xfId="9405"/>
    <cellStyle name="Note 2 3" xfId="9406"/>
    <cellStyle name="Currency,2 6" xfId="9407"/>
    <cellStyle name="计算 3 2 2" xfId="9408"/>
    <cellStyle name="Currency\[0]" xfId="9409"/>
    <cellStyle name="好_ZE买入返售金融证券 3 3" xfId="9410"/>
    <cellStyle name="Currency\[0] 2" xfId="9411"/>
    <cellStyle name="Currency\[0] 2 2" xfId="9412"/>
    <cellStyle name="Currency\[0] 2 3" xfId="9413"/>
    <cellStyle name="好_底稿设置宏 11 2 2" xfId="9414"/>
    <cellStyle name="Currency\[0] 2 4" xfId="9415"/>
    <cellStyle name="好_底稿设置宏 11 2 3" xfId="9416"/>
    <cellStyle name="Text Indent A 2" xfId="9417"/>
    <cellStyle name="Currency\[0] 2 5" xfId="9418"/>
    <cellStyle name="好_底稿设置宏 11 2 4" xfId="9419"/>
    <cellStyle name="Currency\[0] 2 6" xfId="9420"/>
    <cellStyle name="差_无形资产 4_附注表一（财务报表）" xfId="9421"/>
    <cellStyle name="Currency\[0] 3" xfId="9422"/>
    <cellStyle name="常规 2 2 4 2 12 2" xfId="9423"/>
    <cellStyle name="e 2" xfId="9424"/>
    <cellStyle name="Currency\[0] 4" xfId="9425"/>
    <cellStyle name="Currency\[0] 5" xfId="9426"/>
    <cellStyle name="Currency\[0] 6" xfId="9427"/>
    <cellStyle name="Currency\[0] 7" xfId="9428"/>
    <cellStyle name="好_30-应付账款（空白模板） 8" xfId="9429"/>
    <cellStyle name="差_31-预收账款（空白模板） 2 2" xfId="9430"/>
    <cellStyle name="Currency_ SG&amp;A Bridge " xfId="9431"/>
    <cellStyle name="Currency0" xfId="9432"/>
    <cellStyle name="Currency0 2" xfId="9433"/>
    <cellStyle name="好_应收账款 2 5" xfId="9434"/>
    <cellStyle name="Currency1" xfId="9435"/>
    <cellStyle name="Currency1 2" xfId="9436"/>
    <cellStyle name="好_应收账款 3 5" xfId="9437"/>
    <cellStyle name="差_盈余公积 3 2" xfId="9438"/>
    <cellStyle name="Date" xfId="9439"/>
    <cellStyle name="超链接 3 19 3" xfId="9440"/>
    <cellStyle name="Date 2" xfId="9441"/>
    <cellStyle name="Date 2 2" xfId="9442"/>
    <cellStyle name="Date 3" xfId="9443"/>
    <cellStyle name="Date Short" xfId="9444"/>
    <cellStyle name="Date_ A1-货币资金审定表" xfId="9445"/>
    <cellStyle name="常规 2 3 12 2 5" xfId="9446"/>
    <cellStyle name="好_资产减值损失 12 2 4" xfId="9447"/>
    <cellStyle name="Datum" xfId="9448"/>
    <cellStyle name="常规 2 3 12 2 2" xfId="9449"/>
    <cellStyle name="Debit" xfId="9450"/>
    <cellStyle name="Dezimal (4)" xfId="9451"/>
    <cellStyle name="好_预收款项 9 2 5" xfId="9452"/>
    <cellStyle name="好_专项应付款 9 2 4" xfId="9453"/>
    <cellStyle name="好_预收款项 6_明细表 3" xfId="9454"/>
    <cellStyle name="Dezimal (6)" xfId="9455"/>
    <cellStyle name="Dezimal_BAM Invcap" xfId="9456"/>
    <cellStyle name="Dia" xfId="9457"/>
    <cellStyle name="千位分隔 30 2 2 3" xfId="9458"/>
    <cellStyle name="Dia 2" xfId="9459"/>
    <cellStyle name="Dollar (zero dec)" xfId="9460"/>
    <cellStyle name="常规 6 10 4 2" xfId="9461"/>
    <cellStyle name="常规 2 2 4 2 12" xfId="9462"/>
    <cellStyle name="e" xfId="9463"/>
    <cellStyle name="E&amp;Y House" xfId="9464"/>
    <cellStyle name="常规 3 3 3 2 3" xfId="9465"/>
    <cellStyle name="E&amp;Y House 2" xfId="9466"/>
    <cellStyle name="好_1资产减值损失 25" xfId="9467"/>
    <cellStyle name="好_1资产减值损失 30" xfId="9468"/>
    <cellStyle name="常规 2 2 2 2 2 2 2 2 6" xfId="9469"/>
    <cellStyle name="e_20050630 TB" xfId="9470"/>
    <cellStyle name="Percent[0]" xfId="9471"/>
    <cellStyle name="e_Copy of Segment - Capex" xfId="9472"/>
    <cellStyle name="超链接 2 9 4" xfId="9473"/>
    <cellStyle name="差_底稿设置宏 10 2 4" xfId="9474"/>
    <cellStyle name="Percent[0] 2" xfId="9475"/>
    <cellStyle name="e_Copy of Segment - Capex 2" xfId="9476"/>
    <cellStyle name="好_15-固定资产（空白模板） 11 2 3" xfId="9477"/>
    <cellStyle name="百分比 2 2 9 2 2" xfId="9478"/>
    <cellStyle name="e_CTE FJ 2003" xfId="9479"/>
    <cellStyle name="e_CTE FJ 2003 2" xfId="9480"/>
    <cellStyle name="e_CTE FJ 2005 2" xfId="9481"/>
    <cellStyle name="e_CTE FJ 2005.PC (version 2)" xfId="9482"/>
    <cellStyle name="常规 3 3 2 6 5" xfId="9483"/>
    <cellStyle name="Normal 2 2 3 3" xfId="9484"/>
    <cellStyle name="e_CTE FJ 2005.PC (version 2) 2" xfId="9485"/>
    <cellStyle name="e_CTE FJ 2005.PC (version 4.2)" xfId="9486"/>
    <cellStyle name="e_CTE FJ 2005.PC (version 4.2) 2" xfId="9487"/>
    <cellStyle name="e_CTE FJ 2005.PC (version 4.2)_1" xfId="9488"/>
    <cellStyle name="好_1固定资产 9_附注表一（财务报表）" xfId="9489"/>
    <cellStyle name="e_CTE FJ 2005.PC (version 4.2)_1 2" xfId="9490"/>
    <cellStyle name="差_投资收益 2 2" xfId="9491"/>
    <cellStyle name="e_CTE FJ 2005.PC (version 6 1)" xfId="9492"/>
    <cellStyle name="e_CTE FJ 2005.PC (version 6 1) 2" xfId="9493"/>
    <cellStyle name="好_41-预计负债（空白模板） 2" xfId="9494"/>
    <cellStyle name="e_CTE FJ 2005.PC (version 6 1)_1" xfId="9495"/>
    <cellStyle name="e_CTE FJ 2005v4.1" xfId="9496"/>
    <cellStyle name="常规 5 2 12_附注表一（财务报表）" xfId="9497"/>
    <cellStyle name="差_1短期借款 3" xfId="9498"/>
    <cellStyle name="e_CTE FJ 2005v4.1 2" xfId="9499"/>
    <cellStyle name="常规 9 7 4" xfId="9500"/>
    <cellStyle name="e_CTE FJ 2005v6 1" xfId="9501"/>
    <cellStyle name="常规 9 7 4 2" xfId="9502"/>
    <cellStyle name="常规 3 28 2 3" xfId="9503"/>
    <cellStyle name="e_CTE FJ 2005v6 1 2" xfId="9504"/>
    <cellStyle name="好_1销售费用 2 2 2" xfId="9505"/>
    <cellStyle name="e_CTE FJ 2006.MW" xfId="9506"/>
    <cellStyle name="e_CTE FJ 2006.MW 2" xfId="9507"/>
    <cellStyle name="e_CTE FJ consol TB_30.06.2006.v9" xfId="9508"/>
    <cellStyle name="e_CTE FJ consol TB_30.06.2006.v9 2" xfId="9509"/>
    <cellStyle name="好_4-应收账款（空白模板） 6 2 2" xfId="9510"/>
    <cellStyle name="e_CTE FJ consol TB_30.06.2006.v9_1" xfId="9511"/>
    <cellStyle name="常规 3 2 18_附注表一（财务报表）" xfId="9512"/>
    <cellStyle name="常规 3 2 23_附注表一（财务报表）" xfId="9513"/>
    <cellStyle name="常规 2 2 2 2 4 2" xfId="9514"/>
    <cellStyle name="e_CTE FJ consol_30.06.2006" xfId="9515"/>
    <cellStyle name="好_1资产减值损失 18 2" xfId="9516"/>
    <cellStyle name="e_Sheet1" xfId="9517"/>
    <cellStyle name="e_Sheet1 2" xfId="9518"/>
    <cellStyle name="e_TB CTE FJ 02-1" xfId="9519"/>
    <cellStyle name="好_49-营业收入（空白模板） 5 2 3" xfId="9520"/>
    <cellStyle name="差_4-应收账款（空白模板） 14 3" xfId="9521"/>
    <cellStyle name="e_TB CTE FJ 02-1 2" xfId="9522"/>
    <cellStyle name="e_TB CTE FJ 33" xfId="9523"/>
    <cellStyle name="e_TB CTE FJ 33 2" xfId="9524"/>
    <cellStyle name="好_4-应收账款（空白模板） 4_附注表一（财务报表）" xfId="9525"/>
    <cellStyle name="常规 3 5 7 2 2" xfId="9526"/>
    <cellStyle name="Emphasis 1" xfId="9527"/>
    <cellStyle name="好_营业税金及附加" xfId="9528"/>
    <cellStyle name="常规 3 5 7 2 3" xfId="9529"/>
    <cellStyle name="Emphasis 2" xfId="9530"/>
    <cellStyle name="好_预收款项 7_明细表 2" xfId="9531"/>
    <cellStyle name="常规 3 5 7 2 4" xfId="9532"/>
    <cellStyle name="Emphasis 3" xfId="9533"/>
    <cellStyle name="Encabez1" xfId="9534"/>
    <cellStyle name="好_固定资产 10 3" xfId="9535"/>
    <cellStyle name="Encabez1 2" xfId="9536"/>
    <cellStyle name="Encabez2" xfId="9537"/>
    <cellStyle name="好_固定资产 11 3" xfId="9538"/>
    <cellStyle name="Encabez2 2" xfId="9539"/>
    <cellStyle name="常规 2 3 16 2" xfId="9540"/>
    <cellStyle name="常规 2 3 21 2" xfId="9541"/>
    <cellStyle name="差_大信底稿目录 2 4" xfId="9542"/>
    <cellStyle name="Enter Currency (0)" xfId="9543"/>
    <cellStyle name="好_财务费用 2_明细表 3" xfId="9544"/>
    <cellStyle name="好_资产负债类底稿模版 2_明细表 3" xfId="9545"/>
    <cellStyle name="好_1固定资产 4_附注表一（财务报表）" xfId="9546"/>
    <cellStyle name="常规 2 3 16 2 2" xfId="9547"/>
    <cellStyle name="常规 2 3 21 2 2" xfId="9548"/>
    <cellStyle name="Enter Currency (0) 2" xfId="9549"/>
    <cellStyle name="差_22-长期待摊费用（空白模板） 6 2" xfId="9550"/>
    <cellStyle name="好_应交税费 5" xfId="9551"/>
    <cellStyle name="常规 5 2 10" xfId="9552"/>
    <cellStyle name="Enter Currency (2)" xfId="9553"/>
    <cellStyle name="Enter Currency (2) 2" xfId="9554"/>
    <cellStyle name="好_1固定资产 13 2 4" xfId="9555"/>
    <cellStyle name="常规 5 2 10 2" xfId="9556"/>
    <cellStyle name="Enter Units (0)" xfId="9557"/>
    <cellStyle name="Enter Units (0) 2" xfId="9558"/>
    <cellStyle name="常规 6 3 6" xfId="9559"/>
    <cellStyle name="Enter Units (1)" xfId="9560"/>
    <cellStyle name="Enter Units (1) 2" xfId="9561"/>
    <cellStyle name="差_审定表 2 2" xfId="9562"/>
    <cellStyle name="Enter Units (2)" xfId="9563"/>
    <cellStyle name="差_资产负债类底稿模版 6_明细表 4" xfId="9564"/>
    <cellStyle name="Enter Units (2) 2" xfId="9565"/>
    <cellStyle name="好_无形资产 8 2" xfId="9566"/>
    <cellStyle name="Entered" xfId="9567"/>
    <cellStyle name="好_无形资产 8 2 2" xfId="9568"/>
    <cellStyle name="Entered 2" xfId="9569"/>
    <cellStyle name="好_无形资产 8 2 3" xfId="9570"/>
    <cellStyle name="Entered 3" xfId="9571"/>
    <cellStyle name="好_无形资产 8 2 4" xfId="9572"/>
    <cellStyle name="好_往来款项函证结果汇总表" xfId="9573"/>
    <cellStyle name="Entered 4" xfId="9574"/>
    <cellStyle name="entry" xfId="9575"/>
    <cellStyle name="百分比 3 3 6" xfId="9576"/>
    <cellStyle name="entry 2" xfId="9577"/>
    <cellStyle name="百分比 3 3 7" xfId="9578"/>
    <cellStyle name="entry 3" xfId="9579"/>
    <cellStyle name="entry 4" xfId="9580"/>
    <cellStyle name="entry box" xfId="9581"/>
    <cellStyle name="好_复件 固定资产 10_明细表 3" xfId="9582"/>
    <cellStyle name="entry box 2" xfId="9583"/>
    <cellStyle name="entry box 2 2" xfId="9584"/>
    <cellStyle name="Euro" xfId="9585"/>
    <cellStyle name="Euro 10" xfId="9586"/>
    <cellStyle name="Euro 10 2 2" xfId="9587"/>
    <cellStyle name="Euro 10 2 3" xfId="9588"/>
    <cellStyle name="Euro 10 3 2" xfId="9589"/>
    <cellStyle name="Input [yellow] 3 2" xfId="9590"/>
    <cellStyle name="Euro 11" xfId="9591"/>
    <cellStyle name="Euro 12" xfId="9592"/>
    <cellStyle name="Euro 13" xfId="9593"/>
    <cellStyle name="Euro 15" xfId="9594"/>
    <cellStyle name="Euro 20" xfId="9595"/>
    <cellStyle name="Euro 16" xfId="9596"/>
    <cellStyle name="Euro 21" xfId="9597"/>
    <cellStyle name="好_15-固定资产（空白模板） 6_明细表 5" xfId="9598"/>
    <cellStyle name="Euro 16 2" xfId="9599"/>
    <cellStyle name="Euro 21 2" xfId="9600"/>
    <cellStyle name="Euro 17" xfId="9601"/>
    <cellStyle name="Euro 22" xfId="9602"/>
    <cellStyle name="差_1专项应付款 11_明细表" xfId="9603"/>
    <cellStyle name="Euro 17 2" xfId="9604"/>
    <cellStyle name="Euro 22 2" xfId="9605"/>
    <cellStyle name="Euro 18" xfId="9606"/>
    <cellStyle name="Euro 23" xfId="9607"/>
    <cellStyle name="Euro 18 2" xfId="9608"/>
    <cellStyle name="Euro 23 2" xfId="9609"/>
    <cellStyle name="Euro 19" xfId="9610"/>
    <cellStyle name="Euro 24" xfId="9611"/>
    <cellStyle name="常规_2-交易性金融资产（空白模板） 2" xfId="9612"/>
    <cellStyle name="Euro 19 2" xfId="9613"/>
    <cellStyle name="t]_x000d__x000a_color schemes=默认 Windows_x000d__x000a__x000d__x000a_[color schemes]_x000d__x000a_Arizona=804000,FFFFFF,FFFFFF,0,FFFFFF,0,808040,C0C0C0,FFFFF" xfId="9614"/>
    <cellStyle name="Percent [2]" xfId="9615"/>
    <cellStyle name="Euro 2 10" xfId="9616"/>
    <cellStyle name="好_50-营业成本（空白模板） 9_明细表 3" xfId="9617"/>
    <cellStyle name="Euro 2 12" xfId="9618"/>
    <cellStyle name="好_应收账款 2 3 2" xfId="9619"/>
    <cellStyle name="好_50-营业成本（空白模板） 9_明细表 4" xfId="9620"/>
    <cellStyle name="Euro 2 13" xfId="9621"/>
    <cellStyle name="好_50-营业成本（空白模板） 9_明细表 5" xfId="9622"/>
    <cellStyle name="常规 49 3 2" xfId="9623"/>
    <cellStyle name="Euro 2 14" xfId="9624"/>
    <cellStyle name="Euro 2 2 2" xfId="9625"/>
    <cellStyle name="常规 6 7 7" xfId="9626"/>
    <cellStyle name="Euro 2 2 3 2" xfId="9627"/>
    <cellStyle name="Euro 2 2 4" xfId="9628"/>
    <cellStyle name="Euro 2 2 5" xfId="9629"/>
    <cellStyle name="Euro 2 3" xfId="9630"/>
    <cellStyle name="Euro 2 3 2" xfId="9631"/>
    <cellStyle name="常规 7 6 7" xfId="9632"/>
    <cellStyle name="Euro 2 3 2 2" xfId="9633"/>
    <cellStyle name="Euro 2 3 3" xfId="9634"/>
    <cellStyle name="Normal 10 3" xfId="9635"/>
    <cellStyle name="好_49-营业收入（空白模板） 5" xfId="9636"/>
    <cellStyle name="常规 7 7 7" xfId="9637"/>
    <cellStyle name="Euro 2 3 3 2" xfId="9638"/>
    <cellStyle name="Euro 2 3 4" xfId="9639"/>
    <cellStyle name="Euro 2 4" xfId="9640"/>
    <cellStyle name="Euro 2 4 2" xfId="9641"/>
    <cellStyle name="好_G2 Turnover Kaizhou" xfId="9642"/>
    <cellStyle name="Euro 2 4 2 2" xfId="9643"/>
    <cellStyle name="Euro 2 4 3" xfId="9644"/>
    <cellStyle name="Euro 2 4 4" xfId="9645"/>
    <cellStyle name="Euro 2 5" xfId="9646"/>
    <cellStyle name="Euro 2 5 2" xfId="9647"/>
    <cellStyle name="常规 9 6 7" xfId="9648"/>
    <cellStyle name="Euro 2 5 2 2" xfId="9649"/>
    <cellStyle name="差_19-无形资产（空白模板） 4 2 2" xfId="9650"/>
    <cellStyle name="Euro 2 5 3" xfId="9651"/>
    <cellStyle name="差_19-无形资产（空白模板） 4 2 3" xfId="9652"/>
    <cellStyle name="Euro 2 5 4" xfId="9653"/>
    <cellStyle name="Euro 2 6" xfId="9654"/>
    <cellStyle name="Euro 2 6 2" xfId="9655"/>
    <cellStyle name="Euro 2 6 2 2" xfId="9656"/>
    <cellStyle name="Euro 2 6 3" xfId="9657"/>
    <cellStyle name="标题 1 8" xfId="9658"/>
    <cellStyle name="Euro 2 6 3 2" xfId="9659"/>
    <cellStyle name="Euro 2 6 4" xfId="9660"/>
    <cellStyle name="Euro 2 7" xfId="9661"/>
    <cellStyle name="好_ZA0货币资金审定表  10_明细表 3" xfId="9662"/>
    <cellStyle name="Euro 2 7 2" xfId="9663"/>
    <cellStyle name="差__dxn_temp空白表页 12_明细表" xfId="9664"/>
    <cellStyle name="Euro 2 8" xfId="9665"/>
    <cellStyle name="好_银行函证结果汇总表 7_明细表 4" xfId="9666"/>
    <cellStyle name="Euro 2 8 2" xfId="9667"/>
    <cellStyle name="Euro 2 9" xfId="9668"/>
    <cellStyle name="Euro 21 3" xfId="9669"/>
    <cellStyle name="Euro 25" xfId="9670"/>
    <cellStyle name="Euro 30" xfId="9671"/>
    <cellStyle name="Euro 26" xfId="9672"/>
    <cellStyle name="Euro 31" xfId="9673"/>
    <cellStyle name="Euro 27" xfId="9674"/>
    <cellStyle name="Euro 32" xfId="9675"/>
    <cellStyle name="Euro 3 2 2" xfId="9676"/>
    <cellStyle name="Euro 3 3 2" xfId="9677"/>
    <cellStyle name="差_1递延所得税资产" xfId="9678"/>
    <cellStyle name="Euro 3 4" xfId="9679"/>
    <cellStyle name="好_52-销售费用（空白模板）" xfId="9680"/>
    <cellStyle name="Euro 3 5" xfId="9681"/>
    <cellStyle name="Euro 4" xfId="9682"/>
    <cellStyle name="好_1管理费用 3 3" xfId="9683"/>
    <cellStyle name="Euro 4 2 2" xfId="9684"/>
    <cellStyle name="Euro 4 3" xfId="9685"/>
    <cellStyle name="Euro 4 3 2" xfId="9686"/>
    <cellStyle name="Euro 4 4" xfId="9687"/>
    <cellStyle name="Euro 5" xfId="9688"/>
    <cellStyle name="Euro 5 2 2" xfId="9689"/>
    <cellStyle name="Euro 5 2 3" xfId="9690"/>
    <cellStyle name="Euro 5 3" xfId="9691"/>
    <cellStyle name="Euro 5 3 2" xfId="9692"/>
    <cellStyle name="Euro 5 4" xfId="9693"/>
    <cellStyle name="Euro 6" xfId="9694"/>
    <cellStyle name="好_27-短期借款(空白模板) 6" xfId="9695"/>
    <cellStyle name="常规 3 3 2 18" xfId="9696"/>
    <cellStyle name="Euro 6 2 2" xfId="9697"/>
    <cellStyle name="好_27-短期借款(空白模板) 7" xfId="9698"/>
    <cellStyle name="常规 3 3 2 19" xfId="9699"/>
    <cellStyle name="Euro 6 2 3" xfId="9700"/>
    <cellStyle name="好_复件 固定资产 2 2 4" xfId="9701"/>
    <cellStyle name="Euro 6 3 2" xfId="9702"/>
    <cellStyle name="Euro 6 4" xfId="9703"/>
    <cellStyle name="Euro 7" xfId="9704"/>
    <cellStyle name="好_1财务费用 5 4" xfId="9705"/>
    <cellStyle name="Euro 7 2 2" xfId="9706"/>
    <cellStyle name="超链接 2 11 2" xfId="9707"/>
    <cellStyle name="好_1财务费用 5 5" xfId="9708"/>
    <cellStyle name="Euro 7 2 3" xfId="9709"/>
    <cellStyle name="超链接 2 11 3" xfId="9710"/>
    <cellStyle name="Euro 7 3" xfId="9711"/>
    <cellStyle name="超链接 2 12" xfId="9712"/>
    <cellStyle name="Euro 7 4" xfId="9713"/>
    <cellStyle name="超链接 2 13" xfId="9714"/>
    <cellStyle name="Euro 8" xfId="9715"/>
    <cellStyle name="好__dxn_temp货币资金" xfId="9716"/>
    <cellStyle name="Euro 8 2 2" xfId="9717"/>
    <cellStyle name="百分比 2 4 2 2 2" xfId="9718"/>
    <cellStyle name="Euro 8 2 3" xfId="9719"/>
    <cellStyle name="Euro 8 3" xfId="9720"/>
    <cellStyle name="好_复件 固定资产 4 2 4" xfId="9721"/>
    <cellStyle name="Euro 8 3 2" xfId="9722"/>
    <cellStyle name="差_27-短期借款(空白模板) 13_明细表" xfId="9723"/>
    <cellStyle name="Euro 8 4" xfId="9724"/>
    <cellStyle name="Euro 9" xfId="9725"/>
    <cellStyle name="Euro 9 2" xfId="9726"/>
    <cellStyle name="好_19-无形资产（空白模板） 4" xfId="9727"/>
    <cellStyle name="好_1营业收入 14_附注表一（财务报表）" xfId="9728"/>
    <cellStyle name="Euro 9 2 2" xfId="9729"/>
    <cellStyle name="百分比 2 4 3 2 2" xfId="9730"/>
    <cellStyle name="好_19-无形资产（空白模板） 5" xfId="9731"/>
    <cellStyle name="Euro 9 2 3" xfId="9732"/>
    <cellStyle name="Euro 9 3" xfId="9733"/>
    <cellStyle name="好_复件 固定资产 5 2 4" xfId="9734"/>
    <cellStyle name="Euro 9 3 2" xfId="9735"/>
    <cellStyle name="Euro 9 4" xfId="9736"/>
    <cellStyle name="好_51-营业税金及附加（空白模板） 9_附注表一（财务报表）" xfId="9737"/>
    <cellStyle name="Euro_Spreadsheet" xfId="9738"/>
    <cellStyle name="好_短期借款 14_明细表 2" xfId="9739"/>
    <cellStyle name="SAPBEXfilterItem 3" xfId="9740"/>
    <cellStyle name="explanation" xfId="9741"/>
    <cellStyle name="explanation 2" xfId="9742"/>
    <cellStyle name="Explanatory Text" xfId="9743"/>
    <cellStyle name="好_F4应付账款" xfId="9744"/>
    <cellStyle name="Explanatory Text 2" xfId="9745"/>
    <cellStyle name="好_F4应付账款 2" xfId="9746"/>
    <cellStyle name="Explanatory Text 2 2" xfId="9747"/>
    <cellStyle name="Explanatory Text 3" xfId="9748"/>
    <cellStyle name="差_51-营业税金及附加（空白模板） 3 3" xfId="9749"/>
    <cellStyle name="EY House" xfId="9750"/>
    <cellStyle name="好_1预收款项 12_明细表" xfId="9751"/>
    <cellStyle name="标题 4 2 3 4" xfId="9752"/>
    <cellStyle name="EY House 2" xfId="9753"/>
    <cellStyle name="e鯪" xfId="9754"/>
    <cellStyle name="好_1专项应付款 16 2" xfId="9755"/>
    <cellStyle name="e鯪9" xfId="9756"/>
    <cellStyle name="e鯪9Y_x000b_" xfId="9757"/>
    <cellStyle name="好_30-应付账款（空白模板） 14 2 2" xfId="9758"/>
    <cellStyle name="e鯪9Y_x000b_ 2" xfId="9759"/>
    <cellStyle name="差_56-公允价值损益变动（空白模板） 7" xfId="9760"/>
    <cellStyle name="e鯪9Y_x000b_ 2 2" xfId="9761"/>
    <cellStyle name="e鯪9Y_x000b_ 3 2" xfId="9762"/>
    <cellStyle name="e鯪9Y_x000b_ 4" xfId="9763"/>
    <cellStyle name="差_1固定资产 6 2" xfId="9764"/>
    <cellStyle name="e鯪9Y_x000b__091231.FLX.O.Payable" xfId="9765"/>
    <cellStyle name="好_应付账款 6" xfId="9766"/>
    <cellStyle name="e鯪9Y_20050630 TB" xfId="9767"/>
    <cellStyle name="百分比 4 8 2" xfId="9768"/>
    <cellStyle name="好_19-无形资产（空白模板） 6_明细表 3" xfId="9769"/>
    <cellStyle name="F2" xfId="9770"/>
    <cellStyle name="差_49-营业收入（空白模板） 6_明细表" xfId="9771"/>
    <cellStyle name="F2 2" xfId="9772"/>
    <cellStyle name="好_19-无形资产（空白模板） 6_明细表 4" xfId="9773"/>
    <cellStyle name="F3" xfId="9774"/>
    <cellStyle name="差_dxn底稿目录 6_明细表" xfId="9775"/>
    <cellStyle name="常规 5 28 4" xfId="9776"/>
    <cellStyle name="F3 2" xfId="9777"/>
    <cellStyle name="好_19-无形资产（空白模板） 6_明细表 5" xfId="9778"/>
    <cellStyle name="好_1固定资产 3_明细表" xfId="9779"/>
    <cellStyle name="F4" xfId="9780"/>
    <cellStyle name="好_营业收入 12 2 5" xfId="9781"/>
    <cellStyle name="好_1固定资产 3_明细表 2" xfId="9782"/>
    <cellStyle name="F4 2" xfId="9783"/>
    <cellStyle name="F5" xfId="9784"/>
    <cellStyle name="常规 3 3 5 2 2" xfId="9785"/>
    <cellStyle name="F5 2" xfId="9786"/>
    <cellStyle name="F6" xfId="9787"/>
    <cellStyle name="常规 3 3 5 2 3" xfId="9788"/>
    <cellStyle name="F6 2" xfId="9789"/>
    <cellStyle name="F7" xfId="9790"/>
    <cellStyle name="常规 3 3 5 2 4" xfId="9791"/>
    <cellStyle name="常规 11 3 2 2 2 4" xfId="9792"/>
    <cellStyle name="F7 2" xfId="9793"/>
    <cellStyle name="F8" xfId="9794"/>
    <cellStyle name="常规 3 3 5 2 5" xfId="9795"/>
    <cellStyle name="好_资产负债标准底稿 16" xfId="9796"/>
    <cellStyle name="好_资产负债标准底稿 21" xfId="9797"/>
    <cellStyle name="F8 2" xfId="9798"/>
    <cellStyle name="差_预付款项_附注表一（财务报表）" xfId="9799"/>
    <cellStyle name="Fijo" xfId="9800"/>
    <cellStyle name="Fijo 2" xfId="9801"/>
    <cellStyle name="SAPBEXaggDataEmph 5 3" xfId="9802"/>
    <cellStyle name="Financiero" xfId="9803"/>
    <cellStyle name="輔色3 3" xfId="9804"/>
    <cellStyle name="Financiero 2" xfId="9805"/>
    <cellStyle name="好_模板_1" xfId="9806"/>
    <cellStyle name="Fixed" xfId="9807"/>
    <cellStyle name="差_1专项应付款 3 3" xfId="9808"/>
    <cellStyle name="Format Number Column 2" xfId="9809"/>
    <cellStyle name="GAR" xfId="9810"/>
    <cellStyle name="GAR 2" xfId="9811"/>
    <cellStyle name="千位分隔 11 2 2 2" xfId="9812"/>
    <cellStyle name="好_1预收款项 3 2 3" xfId="9813"/>
    <cellStyle name="常规 2 3 2 8 2 5" xfId="9814"/>
    <cellStyle name="好_1应付职工薪酬 2 2 2" xfId="9815"/>
    <cellStyle name="gcd" xfId="9816"/>
    <cellStyle name="gcd 2" xfId="9817"/>
    <cellStyle name="gcd 2 2" xfId="9818"/>
    <cellStyle name="好_ZA0货币资金审定表  2 2 5" xfId="9819"/>
    <cellStyle name="差_专项应付款_明细表 2 4" xfId="9820"/>
    <cellStyle name="gcd 2 2 2" xfId="9821"/>
    <cellStyle name="好_31-预收账款（空白模板） 17 2 2" xfId="9822"/>
    <cellStyle name="gcd 2 3" xfId="9823"/>
    <cellStyle name="gcd 3" xfId="9824"/>
    <cellStyle name="gcd 3 2" xfId="9825"/>
    <cellStyle name="gcd 4" xfId="9826"/>
    <cellStyle name="gcd 4 2" xfId="9827"/>
    <cellStyle name="好_底稿设置宏 12_明细表 2" xfId="9828"/>
    <cellStyle name="gcd 5" xfId="9829"/>
    <cellStyle name="Good" xfId="9830"/>
    <cellStyle name="Good 2" xfId="9831"/>
    <cellStyle name="Good 2 2" xfId="9832"/>
    <cellStyle name="好_管理费用 2 2" xfId="9833"/>
    <cellStyle name="Good 3" xfId="9834"/>
    <cellStyle name="常规 3 4_附注表一（财务报表）" xfId="9835"/>
    <cellStyle name="Grey" xfId="9836"/>
    <cellStyle name="差_27-短期借款(空白模板) 5 2" xfId="9837"/>
    <cellStyle name="Grey 2 2" xfId="9838"/>
    <cellStyle name="好_FA 短期借款 2 2 2" xfId="9839"/>
    <cellStyle name="差_27-短期借款(空白模板) 6" xfId="9840"/>
    <cellStyle name="常规 2 2 2 13_附注表一（财务报表）" xfId="9841"/>
    <cellStyle name="Grey 3" xfId="9842"/>
    <cellStyle name="差_27-短期借款(空白模板) 6 2" xfId="9843"/>
    <cellStyle name="Grey 3 2" xfId="9844"/>
    <cellStyle name="好_FA 短期借款 2 2 3" xfId="9845"/>
    <cellStyle name="差_27-短期借款(空白模板) 7" xfId="9846"/>
    <cellStyle name="Grey 4" xfId="9847"/>
    <cellStyle name="差_27-短期借款(空白模板) 8" xfId="9848"/>
    <cellStyle name="Grey 5" xfId="9849"/>
    <cellStyle name="差_Book1" xfId="9850"/>
    <cellStyle name="好_固定资产 2_附注表一（财务报表）" xfId="9851"/>
    <cellStyle name="好_1预收款项 7_附注表一（财务报表）" xfId="9852"/>
    <cellStyle name="差_27-短期借款(空白模板) 9" xfId="9853"/>
    <cellStyle name="Grey 6" xfId="9854"/>
    <cellStyle name="HEADER" xfId="9855"/>
    <cellStyle name="超链接 2 27" xfId="9856"/>
    <cellStyle name="超链接 2 32" xfId="9857"/>
    <cellStyle name="HEADER 2" xfId="9858"/>
    <cellStyle name="超链接 2 28" xfId="9859"/>
    <cellStyle name="超链接 2 33" xfId="9860"/>
    <cellStyle name="HEADER 3" xfId="9861"/>
    <cellStyle name="超链接 2 29" xfId="9862"/>
    <cellStyle name="超链接 2 34" xfId="9863"/>
    <cellStyle name="HEADER 4" xfId="9864"/>
    <cellStyle name="Header1" xfId="9865"/>
    <cellStyle name="Header1 2" xfId="9866"/>
    <cellStyle name="Header1 3" xfId="9867"/>
    <cellStyle name="好__dxn_temp空白表页 8 2 2" xfId="9868"/>
    <cellStyle name="Header1 4" xfId="9869"/>
    <cellStyle name="Header2" xfId="9870"/>
    <cellStyle name="差_无形资产 2 2 3" xfId="9871"/>
    <cellStyle name="Header2 2" xfId="9872"/>
    <cellStyle name="好_1财务费用 14 2 3" xfId="9873"/>
    <cellStyle name="常规 4 18 2 4" xfId="9874"/>
    <cellStyle name="常规 4 23 2 4" xfId="9875"/>
    <cellStyle name="Header2 2 2" xfId="9876"/>
    <cellStyle name="Header2 2 2 2" xfId="9877"/>
    <cellStyle name="好_1财务费用 14 2 4" xfId="9878"/>
    <cellStyle name="常规 4 18 2 5" xfId="9879"/>
    <cellStyle name="常规 4 23 2 5" xfId="9880"/>
    <cellStyle name="Header2 2 3" xfId="9881"/>
    <cellStyle name="好_1财务费用 14 2 5" xfId="9882"/>
    <cellStyle name="Header2 2 4" xfId="9883"/>
    <cellStyle name="差_无形资产 2 2 4" xfId="9884"/>
    <cellStyle name="Header2 3" xfId="9885"/>
    <cellStyle name="Header2 3 2" xfId="9886"/>
    <cellStyle name="Header2 3 3" xfId="9887"/>
    <cellStyle name="差_无形资产 2 2 5" xfId="9888"/>
    <cellStyle name="Header2 4" xfId="9889"/>
    <cellStyle name="Header2 4 2" xfId="9890"/>
    <cellStyle name="Header2 4 3" xfId="9891"/>
    <cellStyle name="差_无形资产 2 2 6" xfId="9892"/>
    <cellStyle name="Header2 5" xfId="9893"/>
    <cellStyle name="Header2 5 2" xfId="9894"/>
    <cellStyle name="好_19-无形资产（空白模板）_明细表" xfId="9895"/>
    <cellStyle name="Header2 5 3" xfId="9896"/>
    <cellStyle name="Header2 6" xfId="9897"/>
    <cellStyle name="Heading" xfId="9898"/>
    <cellStyle name="注释 9 2" xfId="9899"/>
    <cellStyle name="Heading 1" xfId="9900"/>
    <cellStyle name="Heading 1 2" xfId="9901"/>
    <cellStyle name="Heading 1 2 2" xfId="9902"/>
    <cellStyle name="Heading 1 3" xfId="9903"/>
    <cellStyle name="注释 9 3" xfId="9904"/>
    <cellStyle name="Heading 2" xfId="9905"/>
    <cellStyle name="Heading 2 2" xfId="9906"/>
    <cellStyle name="Heading 2 2 2" xfId="9907"/>
    <cellStyle name="Heading 2 3" xfId="9908"/>
    <cellStyle name="Heading 3" xfId="9909"/>
    <cellStyle name="Heading 3 2" xfId="9910"/>
    <cellStyle name="好_49-营业收入（空白模板）_财务费用" xfId="9911"/>
    <cellStyle name="Heading 3 2 2" xfId="9912"/>
    <cellStyle name="Heading 3 3" xfId="9913"/>
    <cellStyle name="好_货币资金 岳华 2 2 2" xfId="9914"/>
    <cellStyle name="好_35-应付股利（空白模板） 3 2" xfId="9915"/>
    <cellStyle name="Heading 4" xfId="9916"/>
    <cellStyle name="Heading 4 2" xfId="9917"/>
    <cellStyle name="好_19-无形资产（空白模板） 2_明细表 3" xfId="9918"/>
    <cellStyle name="Heading 4 2 2" xfId="9919"/>
    <cellStyle name="Heading 4 3" xfId="9920"/>
    <cellStyle name="Heading 5" xfId="9921"/>
    <cellStyle name="差_G-应收账款 12_明细表" xfId="9922"/>
    <cellStyle name="差_19-无形资产（空白模板） 7 2 3" xfId="9923"/>
    <cellStyle name="Heading1" xfId="9924"/>
    <cellStyle name="Heading1 2" xfId="9925"/>
    <cellStyle name="Heading2" xfId="9926"/>
    <cellStyle name="Heading2 2" xfId="9927"/>
    <cellStyle name="hhh" xfId="9928"/>
    <cellStyle name="Hipervínculo" xfId="9929"/>
    <cellStyle name="好_资产负债标准底稿_大信底稿目录 11 2 5" xfId="9930"/>
    <cellStyle name="好_应付账款 2 2" xfId="9931"/>
    <cellStyle name="差_大信底稿目录 4 2 2" xfId="9932"/>
    <cellStyle name="好_财务费用 4" xfId="9933"/>
    <cellStyle name="好_应付账款 2 2 2" xfId="9934"/>
    <cellStyle name="好_财务费用 4 2" xfId="9935"/>
    <cellStyle name="Hipervínculo 2" xfId="9936"/>
    <cellStyle name="Hipervínculo visitado" xfId="9937"/>
    <cellStyle name="Hipervínculo visitado 2" xfId="9938"/>
    <cellStyle name="好_复件 固定资产 14 2" xfId="9939"/>
    <cellStyle name="好_15-固定资产（空白模板） 2 2 3" xfId="9940"/>
    <cellStyle name="Hipervínculo_95" xfId="9941"/>
    <cellStyle name="常规 2 2 2 9 2" xfId="9942"/>
    <cellStyle name="好_40-专项应付款(空白模板) 5 4" xfId="9943"/>
    <cellStyle name="差_50-营业成本（空白模板）_固定资产" xfId="9944"/>
    <cellStyle name="差_19-无形资产（空白模板） 16" xfId="9945"/>
    <cellStyle name="差_19-无形资产（空白模板） 21" xfId="9946"/>
    <cellStyle name="Normal 7 2 2" xfId="9947"/>
    <cellStyle name="Hyperlink 2" xfId="9948"/>
    <cellStyle name="Hyperlink_AheadBehind.xls Chart 23" xfId="9949"/>
    <cellStyle name="imp-pr-item" xfId="9950"/>
    <cellStyle name="好_水量统计 2" xfId="9951"/>
    <cellStyle name="好_27-短期借款(空白模板) 4_附注表一（财务报表）" xfId="9952"/>
    <cellStyle name="imp-pr-item 2" xfId="9953"/>
    <cellStyle name="Input" xfId="9954"/>
    <cellStyle name="好_应收利息 9 2 3" xfId="9955"/>
    <cellStyle name="差_复件 固定资产 10_附注表一（财务报表）" xfId="9956"/>
    <cellStyle name="Input [yellow]" xfId="9957"/>
    <cellStyle name="Input [yellow] 2" xfId="9958"/>
    <cellStyle name="好_资产负债标准底稿 10 4" xfId="9959"/>
    <cellStyle name="好_15-固定资产（空白模板）_附注表一（财务报表）" xfId="9960"/>
    <cellStyle name="Input [yellow] 2 2" xfId="9961"/>
    <cellStyle name="Input [yellow] 2 3" xfId="9962"/>
    <cellStyle name="Input [yellow] 3" xfId="9963"/>
    <cellStyle name="Input [yellow] 4" xfId="9964"/>
    <cellStyle name="Input [yellow] 4 2" xfId="9965"/>
    <cellStyle name="差_5.2-特别风险应对底稿 2" xfId="9966"/>
    <cellStyle name="Input [yellow] 5" xfId="9967"/>
    <cellStyle name="差_5.2-特别风险应对底稿 3" xfId="9968"/>
    <cellStyle name="Input [yellow] 6" xfId="9969"/>
    <cellStyle name="差_1短期借款_明细表" xfId="9970"/>
    <cellStyle name="pricing 2" xfId="9971"/>
    <cellStyle name="Input [yellow]_Spreadsheet" xfId="9972"/>
    <cellStyle name="Input 2" xfId="9973"/>
    <cellStyle name="好_营业收入_明细表 3" xfId="9974"/>
    <cellStyle name="Input 2 2" xfId="9975"/>
    <cellStyle name="Input 3" xfId="9976"/>
    <cellStyle name="Normal - Style1 4 7" xfId="9977"/>
    <cellStyle name="好_ZA0货币资金审定表  4 2 6" xfId="9978"/>
    <cellStyle name="常规 2 3 2 4_附注表一（财务报表）" xfId="9979"/>
    <cellStyle name="Input Cells" xfId="9980"/>
    <cellStyle name="Input Cells 2" xfId="9981"/>
    <cellStyle name="百分比 2 2 13 3" xfId="9982"/>
    <cellStyle name="Input Cells 2 2" xfId="9983"/>
    <cellStyle name="Input_2006年实质性测试-lijiang" xfId="9984"/>
    <cellStyle name="标题 2 2 3 5" xfId="9985"/>
    <cellStyle name="好_49-营业收入（空白模板） 2 2 4" xfId="9986"/>
    <cellStyle name="International" xfId="9987"/>
    <cellStyle name="International 2" xfId="9988"/>
    <cellStyle name="jktitle" xfId="9989"/>
    <cellStyle name="jktitle 2" xfId="9990"/>
    <cellStyle name="Jun" xfId="9991"/>
    <cellStyle name="好_短期借款 6 2" xfId="9992"/>
    <cellStyle name="好_55-资产减值损失（空白模板） 8" xfId="9993"/>
    <cellStyle name="差_大信底稿目录 15 3" xfId="9994"/>
    <cellStyle name="KJBT" xfId="9995"/>
    <cellStyle name="KJBT 2" xfId="9996"/>
    <cellStyle name="KJML" xfId="9997"/>
    <cellStyle name="差_应收账款期末审定表" xfId="9998"/>
    <cellStyle name="KJML 2" xfId="9999"/>
    <cellStyle name="差_应收账款期末审定表 2" xfId="10000"/>
    <cellStyle name="KJML 2 2" xfId="10001"/>
    <cellStyle name="KJML 3" xfId="10002"/>
    <cellStyle name="好__dxn_temp空白表页 8_明细表" xfId="10003"/>
    <cellStyle name="差_鲁亚2011.12全年年报资料汇总 4" xfId="10004"/>
    <cellStyle name="KPMG Heading 2" xfId="10005"/>
    <cellStyle name="好__dxn_temp空白表页 8_明细表 2" xfId="10006"/>
    <cellStyle name="KPMG Heading 2 2" xfId="10007"/>
    <cellStyle name="好_ZA0货币资金审定表  12 2 2" xfId="10008"/>
    <cellStyle name="差_鲁亚2011.12全年年报资料汇总 5" xfId="10009"/>
    <cellStyle name="KPMG Heading 3" xfId="10010"/>
    <cellStyle name="好_ZA0货币资金审定表  12 2 3" xfId="10011"/>
    <cellStyle name="差_鲁亚2011.12全年年报资料汇总 6" xfId="10012"/>
    <cellStyle name="KPMG Heading 4" xfId="10013"/>
    <cellStyle name="差_底稿设置宏 18" xfId="10014"/>
    <cellStyle name="差_底稿设置宏 23" xfId="10015"/>
    <cellStyle name="KPMG Heading 4 2" xfId="10016"/>
    <cellStyle name="KPMG Normal" xfId="10017"/>
    <cellStyle name="KPMG Normal 2" xfId="10018"/>
    <cellStyle name="KPMG Normal Text" xfId="10019"/>
    <cellStyle name="差_1专项应付款 3" xfId="10020"/>
    <cellStyle name="KPMG Normal Text 2" xfId="10021"/>
    <cellStyle name="KPMG Normal_070731.Press Metal (Hubei).D5.G&amp;A expenses.v" xfId="10022"/>
    <cellStyle name="left" xfId="10023"/>
    <cellStyle name="left 2" xfId="10024"/>
    <cellStyle name="left 2 2" xfId="10025"/>
    <cellStyle name="好_固定资产 13_附注表一（财务报表）" xfId="10026"/>
    <cellStyle name="Line Item" xfId="10027"/>
    <cellStyle name="Line Item 2" xfId="10028"/>
    <cellStyle name="Lines Fill" xfId="10029"/>
    <cellStyle name="好_专项应付款 8_明细表 5" xfId="10030"/>
    <cellStyle name="好_1专项应付款 29" xfId="10031"/>
    <cellStyle name="好_1专项应付款 34" xfId="10032"/>
    <cellStyle name="Lines Fill 2" xfId="10033"/>
    <cellStyle name="超链接 2 2 2" xfId="10034"/>
    <cellStyle name="差_底稿设置宏 4 2 4" xfId="10035"/>
    <cellStyle name="Link Currency (0)" xfId="10036"/>
    <cellStyle name="好_31-预收账款（空白模板）_明细表 2 4" xfId="10037"/>
    <cellStyle name="超链接 2 2 2 2" xfId="10038"/>
    <cellStyle name="Link Currency (0) 2" xfId="10039"/>
    <cellStyle name="好_应收利息 18 5" xfId="10040"/>
    <cellStyle name="Link Currency (2)" xfId="10041"/>
    <cellStyle name="Link Currency (2) 2" xfId="10042"/>
    <cellStyle name="Link Units (0)" xfId="10043"/>
    <cellStyle name="隨後的超連結" xfId="10044"/>
    <cellStyle name="好_1预收款项 16 2 5" xfId="10045"/>
    <cellStyle name="常规 4 4 5 3" xfId="10046"/>
    <cellStyle name="Link Units (0) 2" xfId="10047"/>
    <cellStyle name="Link Units (1)" xfId="10048"/>
    <cellStyle name="差_大信底稿目录 7_明细表 5" xfId="10049"/>
    <cellStyle name="好_底稿设置宏 6 2 6" xfId="10050"/>
    <cellStyle name="Link Units (1) 2" xfId="10051"/>
    <cellStyle name="差_短期借款 6 2 6" xfId="10052"/>
    <cellStyle name="Link Units (2)" xfId="10053"/>
    <cellStyle name="Link Units (2) 2" xfId="10054"/>
    <cellStyle name="Linked Cell" xfId="10055"/>
    <cellStyle name="好_50-营业成本（空白模板） 4 2 4" xfId="10056"/>
    <cellStyle name="Linked Cell 2" xfId="10057"/>
    <cellStyle name="差_底稿设置宏 14_明细表 3" xfId="10058"/>
    <cellStyle name="Linked Cell 2 2" xfId="10059"/>
    <cellStyle name="好_底稿设置宏 9 2" xfId="10060"/>
    <cellStyle name="Linked Cell 3" xfId="10061"/>
    <cellStyle name="差__dxn_temp空白表页_明细表_1" xfId="10062"/>
    <cellStyle name="Linked Cells" xfId="10063"/>
    <cellStyle name="Linked Cells 2 2" xfId="10064"/>
    <cellStyle name="Linked Cells 3" xfId="10065"/>
    <cellStyle name="Migliaia (0)_98.9" xfId="10066"/>
    <cellStyle name="好_ZG应收保费 4" xfId="10067"/>
    <cellStyle name="好_31-预收账款（空白模板） 12 2 4" xfId="10068"/>
    <cellStyle name="差_其他应收款 2 5" xfId="10069"/>
    <cellStyle name="Migliaia_98.9" xfId="10070"/>
    <cellStyle name="好_40-专项应付款(空白模板) 3" xfId="10071"/>
    <cellStyle name="Millares [0]_10 AVERIAS MASIVAS + ANT" xfId="10072"/>
    <cellStyle name="Millares_10 AVERIAS MASIVAS + ANT" xfId="10073"/>
    <cellStyle name="Milliers [0]_!!!GO" xfId="10074"/>
    <cellStyle name="好_1专项应付款 2 4" xfId="10075"/>
    <cellStyle name="Milliers_!!!GO" xfId="10076"/>
    <cellStyle name="Model" xfId="10077"/>
    <cellStyle name="好__dxn_temp空白表页 16" xfId="10078"/>
    <cellStyle name="好__dxn_temp空白表页 21" xfId="10079"/>
    <cellStyle name="好_15-固定资产（空白模板） 2 3" xfId="10080"/>
    <cellStyle name="Model 2" xfId="10081"/>
    <cellStyle name="好__dxn_temp空白表页 16 2" xfId="10082"/>
    <cellStyle name="好_15-固定资产（空白模板） 2 4" xfId="10083"/>
    <cellStyle name="Model 3" xfId="10084"/>
    <cellStyle name="好__dxn_temp空白表页 16 3" xfId="10085"/>
    <cellStyle name="Model 4" xfId="10086"/>
    <cellStyle name="好__dxn_temp空白表页 16 4" xfId="10087"/>
    <cellStyle name="Moeda [0]_aola" xfId="10088"/>
    <cellStyle name="Moeda_aola" xfId="10089"/>
    <cellStyle name="差_60-所得税费用（空白模板） 5 2" xfId="10090"/>
    <cellStyle name="Moneda [0]_10 AVERIAS MASIVAS + ANT" xfId="10091"/>
    <cellStyle name="差_31-预收账款（空白模板） 8 2 3" xfId="10092"/>
    <cellStyle name="好_60-所得税费用（空白模板） 9 2" xfId="10093"/>
    <cellStyle name="Monétaire [0]_!!!GO" xfId="10094"/>
    <cellStyle name="Monétaire_!!!GO" xfId="10095"/>
    <cellStyle name="差_预收款项 10_明细表 4" xfId="10096"/>
    <cellStyle name="Monetario" xfId="10097"/>
    <cellStyle name="Monetario 2" xfId="10098"/>
    <cellStyle name="section 2" xfId="10099"/>
    <cellStyle name="Mon閠aire [0]_!!!GO" xfId="10100"/>
    <cellStyle name="Mon閠aire_!!!GO" xfId="10101"/>
    <cellStyle name="好_底稿设置宏 9_明细表" xfId="10102"/>
    <cellStyle name="Neutral" xfId="10103"/>
    <cellStyle name="好_底稿设置宏 9_明细表 2" xfId="10104"/>
    <cellStyle name="标题 2 2 6" xfId="10105"/>
    <cellStyle name="Neutral 2" xfId="10106"/>
    <cellStyle name="Neutral 2 2" xfId="10107"/>
    <cellStyle name="好_底稿设置宏 9_明细表 3" xfId="10108"/>
    <cellStyle name="强调文字颜色 4 2 3 3 5" xfId="10109"/>
    <cellStyle name="常规 36 3 2" xfId="10110"/>
    <cellStyle name="标题 2 2 7" xfId="10111"/>
    <cellStyle name="Neutral 3" xfId="10112"/>
    <cellStyle name="差_FJ其他应付款 2 2 2" xfId="10113"/>
    <cellStyle name="New Times Roman" xfId="10114"/>
    <cellStyle name="差_49-营业收入（空白模板） 11" xfId="10115"/>
    <cellStyle name="New Times Roman 2" xfId="10116"/>
    <cellStyle name="好_1应收账款_明细表 2" xfId="10117"/>
    <cellStyle name="好_1营业收入 2_明细表" xfId="10118"/>
    <cellStyle name="差_49-营业收入（空白模板） 12" xfId="10119"/>
    <cellStyle name="New Times Roman 3" xfId="10120"/>
    <cellStyle name="千位分隔 4 2 11 2 3" xfId="10121"/>
    <cellStyle name="NewStyle" xfId="10122"/>
    <cellStyle name="NewStyle 2" xfId="10123"/>
    <cellStyle name="好_短期借款 9 2 3" xfId="10124"/>
    <cellStyle name="好_2009 聊城final PBC V3 4" xfId="10125"/>
    <cellStyle name="no dec 2" xfId="10126"/>
    <cellStyle name="好_短期借款 9 2 4" xfId="10127"/>
    <cellStyle name="好_存货函证结果汇总表 4 2" xfId="10128"/>
    <cellStyle name="好_2009 聊城final PBC V3 5" xfId="10129"/>
    <cellStyle name="no dec 3" xfId="10130"/>
    <cellStyle name="Non défini" xfId="10131"/>
    <cellStyle name="好_1专项应付款 14_明细表 5" xfId="10132"/>
    <cellStyle name="千位分隔 2 3 2 2 7 2" xfId="10133"/>
    <cellStyle name="Norm੎੎" xfId="10134"/>
    <cellStyle name="千位分隔 2 3 2 2 7 2 2" xfId="10135"/>
    <cellStyle name="Norm੎੎ 2" xfId="10136"/>
    <cellStyle name="Normal - Style1 2 6 4" xfId="10137"/>
    <cellStyle name="Norm੎੎ 2 2" xfId="10138"/>
    <cellStyle name="好_54-财务费用（空白模板） 2 3 3" xfId="10139"/>
    <cellStyle name="Norm੎੎ 2 2 2" xfId="10140"/>
    <cellStyle name="好_大信底稿目录 11_附注表一（财务报表）" xfId="10141"/>
    <cellStyle name="好__dxn_temp空白表页 16 2 2" xfId="10142"/>
    <cellStyle name="Norm੎੎ 2 3" xfId="10143"/>
    <cellStyle name="千位分隔 2 3 2 2 7 2 3" xfId="10144"/>
    <cellStyle name="Norm੎੎ 3" xfId="10145"/>
    <cellStyle name="常规 2 2 16 2 5" xfId="10146"/>
    <cellStyle name="常规 2 2 21 2 5" xfId="10147"/>
    <cellStyle name="差_复件 固定资产 6_明细表 2" xfId="10148"/>
    <cellStyle name="Norm੎੎_0912.NH.K.Inventory.K5" xfId="10149"/>
    <cellStyle name="常规 3 2 8 4" xfId="10150"/>
    <cellStyle name="常规 2 17 3" xfId="10151"/>
    <cellStyle name="常规 2 22 3" xfId="10152"/>
    <cellStyle name="Normal" xfId="10153"/>
    <cellStyle name="Normal - Style1 10" xfId="10154"/>
    <cellStyle name="Normal - Style1 10 2" xfId="10155"/>
    <cellStyle name="Normal - Style1 10 2 2" xfId="10156"/>
    <cellStyle name="好_50-营业成本（空白模板） 14 2 2" xfId="10157"/>
    <cellStyle name="Normal - Style1 10 2 3" xfId="10158"/>
    <cellStyle name="Normal - Style1 10_明细表" xfId="10159"/>
    <cellStyle name="Normal - Style1 11" xfId="10160"/>
    <cellStyle name="Normal - Style1 11 2" xfId="10161"/>
    <cellStyle name="Special" xfId="10162"/>
    <cellStyle name="Normal - Style1 11 3" xfId="10163"/>
    <cellStyle name="常规 3 2 9 3" xfId="10164"/>
    <cellStyle name="Normal - Style1 11_明细表" xfId="10165"/>
    <cellStyle name="常规 2 18 2" xfId="10166"/>
    <cellStyle name="常规 2 23 2" xfId="10167"/>
    <cellStyle name="Normal - Style1 12" xfId="10168"/>
    <cellStyle name="Normal - Style1 12 2" xfId="10169"/>
    <cellStyle name="Normal - Style1 12 3" xfId="10170"/>
    <cellStyle name="好_应收利息_明细表_1 5" xfId="10171"/>
    <cellStyle name="Normal - Style1 12_明细表" xfId="10172"/>
    <cellStyle name="好_1资产减值损失 12_明细表 5" xfId="10173"/>
    <cellStyle name="常规 3 3 9 3" xfId="10174"/>
    <cellStyle name="Normal - Style1 13" xfId="10175"/>
    <cellStyle name="Normal - Style1 13 2" xfId="10176"/>
    <cellStyle name="Normal - Style1 13_明细表" xfId="10177"/>
    <cellStyle name="Normal - Style1 14" xfId="10178"/>
    <cellStyle name="标题 3 10" xfId="10179"/>
    <cellStyle name="Normal - Style1 14 2" xfId="10180"/>
    <cellStyle name="Normal - Style1 14 3" xfId="10181"/>
    <cellStyle name="常规 3 5 9 3" xfId="10182"/>
    <cellStyle name="差_1固定资产 5 2" xfId="10183"/>
    <cellStyle name="Normal - Style1 14_明细表" xfId="10184"/>
    <cellStyle name="Normal - Style1 15" xfId="10185"/>
    <cellStyle name="Normal - Style1 20" xfId="10186"/>
    <cellStyle name="Normal - Style1 15 2" xfId="10187"/>
    <cellStyle name="Normal - Style1 20 2" xfId="10188"/>
    <cellStyle name="Normal - Style1 15 3" xfId="10189"/>
    <cellStyle name="Normal - Style1 20 3" xfId="10190"/>
    <cellStyle name="Normal - Style1 15_明细表" xfId="10191"/>
    <cellStyle name="Normal - Style1 20_明细表" xfId="10192"/>
    <cellStyle name="Normal - Style1 16" xfId="10193"/>
    <cellStyle name="Normal - Style1 21" xfId="10194"/>
    <cellStyle name="Normal - Style1 16 2" xfId="10195"/>
    <cellStyle name="Normal - Style1 21 2" xfId="10196"/>
    <cellStyle name="Normal - Style1 16 3" xfId="10197"/>
    <cellStyle name="Normal - Style1 21 3" xfId="10198"/>
    <cellStyle name="Normal - Style1 16_明细表" xfId="10199"/>
    <cellStyle name="Normal - Style1 21_明细表" xfId="10200"/>
    <cellStyle name="常规 3 18 2" xfId="10201"/>
    <cellStyle name="常规 3 23 2" xfId="10202"/>
    <cellStyle name="Normal - Style1 17 2" xfId="10203"/>
    <cellStyle name="Normal - Style1 22 2" xfId="10204"/>
    <cellStyle name="常规 2" xfId="10205"/>
    <cellStyle name="Normal - Style1 17 3" xfId="10206"/>
    <cellStyle name="Normal - Style1 22 3" xfId="10207"/>
    <cellStyle name="常规 3" xfId="10208"/>
    <cellStyle name="Normal - Style1 17_明细表" xfId="10209"/>
    <cellStyle name="Normal - Style1 22_明细表" xfId="10210"/>
    <cellStyle name="Normal - Style1 18" xfId="10211"/>
    <cellStyle name="Normal - Style1 23" xfId="10212"/>
    <cellStyle name="Normal - Style1 18 2" xfId="10213"/>
    <cellStyle name="Normal - Style1 23 2" xfId="10214"/>
    <cellStyle name="Normal - Style1 18 3" xfId="10215"/>
    <cellStyle name="Normal - Style1 18_明细表" xfId="10216"/>
    <cellStyle name="Normal - Style1 19" xfId="10217"/>
    <cellStyle name="Normal - Style1 24" xfId="10218"/>
    <cellStyle name="好_无形资产 10_明细表 3" xfId="10219"/>
    <cellStyle name="差_底稿设置宏 5_明细表" xfId="10220"/>
    <cellStyle name="标题 4 10" xfId="10221"/>
    <cellStyle name="Normal - Style1 19 2" xfId="10222"/>
    <cellStyle name="Normal - Style1 24 2" xfId="10223"/>
    <cellStyle name="好_无形资产 10_明细表 4" xfId="10224"/>
    <cellStyle name="Normal - Style1 19 3" xfId="10225"/>
    <cellStyle name="Normal - Style1 19_明细表" xfId="10226"/>
    <cellStyle name="好_长期应收款 3" xfId="10227"/>
    <cellStyle name="好_1预收款项 29" xfId="10228"/>
    <cellStyle name="好_1预收款项 34" xfId="10229"/>
    <cellStyle name="标题 1 2 5 2" xfId="10230"/>
    <cellStyle name="Normal - Style1 2 10" xfId="10231"/>
    <cellStyle name="Normal - Style1 2 10 2" xfId="10232"/>
    <cellStyle name="差_固定资产 8 2" xfId="10233"/>
    <cellStyle name="SAPBEXstdItem 5" xfId="10234"/>
    <cellStyle name="Normal - Style1 2 10_明细表" xfId="10235"/>
    <cellStyle name="差_15-固定资产（空白模板） 12" xfId="10236"/>
    <cellStyle name="Normal - Style1 2 11 2" xfId="10237"/>
    <cellStyle name="差_15-固定资产（空白模板） 13" xfId="10238"/>
    <cellStyle name="Normal - Style1 2 11 3" xfId="10239"/>
    <cellStyle name="Normal - Style1 2 11_明细表" xfId="10240"/>
    <cellStyle name="Normal - Style1 2 12" xfId="10241"/>
    <cellStyle name="Normal - Style1 2 12 2" xfId="10242"/>
    <cellStyle name="Normal - Style1 2 12 3" xfId="10243"/>
    <cellStyle name="好_明细表_明细表 5" xfId="10244"/>
    <cellStyle name="Normal - Style1 2 12_明细表" xfId="10245"/>
    <cellStyle name="差_控制测试过程2" xfId="10246"/>
    <cellStyle name="Normal - Style1 2 13" xfId="10247"/>
    <cellStyle name="好_资产负债标准底稿 6 2 3" xfId="10248"/>
    <cellStyle name="差_控制测试过程2 2" xfId="10249"/>
    <cellStyle name="Normal - Style1 2 13 2" xfId="10250"/>
    <cellStyle name="好_资产负债标准底稿 6 2 4" xfId="10251"/>
    <cellStyle name="Normal - Style1 2 13 3" xfId="10252"/>
    <cellStyle name="Normal - Style1 2 13_明细表" xfId="10253"/>
    <cellStyle name="SAPBEXformats" xfId="10254"/>
    <cellStyle name="Normal - Style1 2 14" xfId="10255"/>
    <cellStyle name="好_资产负债标准底稿 6 3 3" xfId="10256"/>
    <cellStyle name="Normal - Style1 2 14 2" xfId="10257"/>
    <cellStyle name="常规 5 2 13 2 4" xfId="10258"/>
    <cellStyle name="SAPBEXformats 2" xfId="10259"/>
    <cellStyle name="Normal - Style1 2 14_明细表" xfId="10260"/>
    <cellStyle name="差_短期借款 17 2" xfId="10261"/>
    <cellStyle name="Normal - Style1 2 15" xfId="10262"/>
    <cellStyle name="Normal - Style1 2 20" xfId="10263"/>
    <cellStyle name="Normal - Style1 2 15 2" xfId="10264"/>
    <cellStyle name="Normal - Style1 2 20 2" xfId="10265"/>
    <cellStyle name="Normal - Style1 2 15 3" xfId="10266"/>
    <cellStyle name="Normal - Style1 2 15_明细表" xfId="10267"/>
    <cellStyle name="好_1财务费用_附注表一（财务报表）" xfId="10268"/>
    <cellStyle name="差_短期借款 17 3" xfId="10269"/>
    <cellStyle name="Normal - Style1 2 16" xfId="10270"/>
    <cellStyle name="Normal - Style1 2 21" xfId="10271"/>
    <cellStyle name="Normal - Style1 2 16 3" xfId="10272"/>
    <cellStyle name="Normal - Style1 2 16_明细表" xfId="10273"/>
    <cellStyle name="常规 3 2 2 2 5 2" xfId="10274"/>
    <cellStyle name="差_短期借款 17 4" xfId="10275"/>
    <cellStyle name="Normal - Style1 2 17" xfId="10276"/>
    <cellStyle name="Normal - Style1 2 22" xfId="10277"/>
    <cellStyle name="好_51-营业税金及附加（空白模板） 5" xfId="10278"/>
    <cellStyle name="超链接 3 5_附注表一（财务报表）" xfId="10279"/>
    <cellStyle name="Normal - Style1 2 17 2" xfId="10280"/>
    <cellStyle name="好_51-营业税金及附加（空白模板） 6" xfId="10281"/>
    <cellStyle name="Normal - Style1 2 17 3" xfId="10282"/>
    <cellStyle name="差_资产减值损失 2" xfId="10283"/>
    <cellStyle name="Normal - Style1 2 17_明细表" xfId="10284"/>
    <cellStyle name="差_短期借款 17 5" xfId="10285"/>
    <cellStyle name="Normal - Style1 2 18" xfId="10286"/>
    <cellStyle name="Normal - Style1 2 23" xfId="10287"/>
    <cellStyle name="Normal - Style1 2 18 2" xfId="10288"/>
    <cellStyle name="好 7 2" xfId="10289"/>
    <cellStyle name="Normal - Style1 2 18_明细表" xfId="10290"/>
    <cellStyle name="好_复件 固定资产 5_明细表 2" xfId="10291"/>
    <cellStyle name="好_底稿设置宏_大信底稿目录_明细表 2 2" xfId="10292"/>
    <cellStyle name="Normal - Style1 2 19" xfId="10293"/>
    <cellStyle name="Normal - Style1 2 24" xfId="10294"/>
    <cellStyle name="Normal - Style1 2 19 2" xfId="10295"/>
    <cellStyle name="Normal - Style1 2 2" xfId="10296"/>
    <cellStyle name="Normal - Style1 2 2 2" xfId="10297"/>
    <cellStyle name="常规 2 3 7 2 6" xfId="10298"/>
    <cellStyle name="Normal - Style1 2 2 2 2" xfId="10299"/>
    <cellStyle name="好_专项应付款 14_明细表" xfId="10300"/>
    <cellStyle name="Normal - Style1 2 2 2 2 2" xfId="10301"/>
    <cellStyle name="常规 2 3 6_附注表一（财务报表）" xfId="10302"/>
    <cellStyle name="Normal - Style1 2 2 2 3 2" xfId="10303"/>
    <cellStyle name="Normal - Style1 2 2 2 3 3" xfId="10304"/>
    <cellStyle name="Normal - Style1 2 2 2 4 2" xfId="10305"/>
    <cellStyle name="Normal - Style1 2 2 2 4 3" xfId="10306"/>
    <cellStyle name="Normal - Style1 2 2 2 5 2" xfId="10307"/>
    <cellStyle name="Normal - Style1 2 2 2 5 3" xfId="10308"/>
    <cellStyle name="Normal - Style1 2 2 4" xfId="10309"/>
    <cellStyle name="Normal - Style1 2 2 5" xfId="10310"/>
    <cellStyle name="好_复件 固定资产 11 2" xfId="10311"/>
    <cellStyle name="差_资产负债类底稿模版 9_附注表一（财务报表）" xfId="10312"/>
    <cellStyle name="常规 2 2 2 6 2" xfId="10313"/>
    <cellStyle name="Normal - Style1 2 2 6" xfId="10314"/>
    <cellStyle name="好_复件 固定资产 11 3" xfId="10315"/>
    <cellStyle name="常规 2 2 2 6 3" xfId="10316"/>
    <cellStyle name="常规 2 10" xfId="10317"/>
    <cellStyle name="Normal - Style1 2 2 7" xfId="10318"/>
    <cellStyle name="常规 2 2 2 6 5" xfId="10319"/>
    <cellStyle name="常规 2 12" xfId="10320"/>
    <cellStyle name="Normal - Style1 2 2 9" xfId="10321"/>
    <cellStyle name="好_专项应付款 17 2 3" xfId="10322"/>
    <cellStyle name="差_12-长期应收款（空白模板） 2 2" xfId="10323"/>
    <cellStyle name="Normal - Style1 2 2_明细表" xfId="10324"/>
    <cellStyle name="好_复件 固定资产 5_明细表 3" xfId="10325"/>
    <cellStyle name="好_底稿设置宏_大信底稿目录_明细表 2 3" xfId="10326"/>
    <cellStyle name="Normal - Style1 2 25" xfId="10327"/>
    <cellStyle name="好_复件 固定资产 5_明细表 4" xfId="10328"/>
    <cellStyle name="好_底稿设置宏_大信底稿目录_明细表 2 4" xfId="10329"/>
    <cellStyle name="好_30-应付账款（空白模板） 9_明细表 2" xfId="10330"/>
    <cellStyle name="Normal - Style1 2 26" xfId="10331"/>
    <cellStyle name="好_复件 固定资产 5_明细表 5" xfId="10332"/>
    <cellStyle name="好_底稿设置宏_大信底稿目录_明细表 2 5" xfId="10333"/>
    <cellStyle name="样式 1_Z4-100应收账款明细审定表" xfId="10334"/>
    <cellStyle name="好_30-应付账款（空白模板） 9_明细表 3" xfId="10335"/>
    <cellStyle name="Normal - Style1 2 27" xfId="10336"/>
    <cellStyle name="好_30-应付账款（空白模板） 9_明细表 4" xfId="10337"/>
    <cellStyle name="Normal - Style1 2 28" xfId="10338"/>
    <cellStyle name="好_30-应付账款（空白模板） 9_明细表 5" xfId="10339"/>
    <cellStyle name="Normal - Style1 2 29" xfId="10340"/>
    <cellStyle name="好_营业收入 6_明细表 2" xfId="10341"/>
    <cellStyle name="Normal - Style1 2 3" xfId="10342"/>
    <cellStyle name="常规 2 45" xfId="10343"/>
    <cellStyle name="常规 2 50" xfId="10344"/>
    <cellStyle name="Normal - Style1 2 3 2" xfId="10345"/>
    <cellStyle name="常规 2 46" xfId="10346"/>
    <cellStyle name="常规 2 51" xfId="10347"/>
    <cellStyle name="差_19-无形资产（空白模板）_3固定资产 2" xfId="10348"/>
    <cellStyle name="Normal - Style1 2 3 3" xfId="10349"/>
    <cellStyle name="Normal - Style1 2 3 3 2" xfId="10350"/>
    <cellStyle name="常规 2 47" xfId="10351"/>
    <cellStyle name="常规 2 52" xfId="10352"/>
    <cellStyle name="Normal - Style1 2 3 4" xfId="10353"/>
    <cellStyle name="Normal - Style1 2 3_明细表" xfId="10354"/>
    <cellStyle name="差__dxn_tempA空白表页" xfId="10355"/>
    <cellStyle name="好_营业收入 6_明细表 3" xfId="10356"/>
    <cellStyle name="Normal - Style1 2 4" xfId="10357"/>
    <cellStyle name="差_15-固定资产（空白模板） 9" xfId="10358"/>
    <cellStyle name="Normal - Style1 2 4 2" xfId="10359"/>
    <cellStyle name="差_15-固定资产（空白模板） 9 2" xfId="10360"/>
    <cellStyle name="Normal - Style1 2 4 2 2" xfId="10361"/>
    <cellStyle name="Normal - Style1 2 4 3" xfId="10362"/>
    <cellStyle name="Normal - Style1 2 4 3 2" xfId="10363"/>
    <cellStyle name="常规_46-资本公积（空白模板） 2" xfId="10364"/>
    <cellStyle name="Normal - Style1 2 4_明细表" xfId="10365"/>
    <cellStyle name="好_营业收入 6_明细表 4" xfId="10366"/>
    <cellStyle name="Normal - Style1 2 5" xfId="10367"/>
    <cellStyle name="Normal - Style1 2 5 2" xfId="10368"/>
    <cellStyle name="好_资产负债标准底稿 4 6" xfId="10369"/>
    <cellStyle name="好_51-营业税金及附加（空白模板） 17" xfId="10370"/>
    <cellStyle name="好_51-营业税金及附加（空白模板） 22" xfId="10371"/>
    <cellStyle name="好_4-应收账款（空白模板） 9 3" xfId="10372"/>
    <cellStyle name="Normal - Style1 2 5 2 2" xfId="10373"/>
    <cellStyle name="Normal - Style1 2 5 3" xfId="10374"/>
    <cellStyle name="好_资产负债标准底稿 5 6" xfId="10375"/>
    <cellStyle name="Normal - Style1 2 5 3 2" xfId="10376"/>
    <cellStyle name="Normal - Style1 2 5_明细表" xfId="10377"/>
    <cellStyle name="好_营业收入 6_明细表 5" xfId="10378"/>
    <cellStyle name="Normal - Style1 2 6" xfId="10379"/>
    <cellStyle name="Normal - Style1 2 6 2" xfId="10380"/>
    <cellStyle name="千位分隔 2 8 4" xfId="10381"/>
    <cellStyle name="Normal - Style1 2 6 2 2" xfId="10382"/>
    <cellStyle name="好_54-财务费用（空白模板） 2 2 3" xfId="10383"/>
    <cellStyle name="千位分隔 2 9 4" xfId="10384"/>
    <cellStyle name="Normal - Style1 2 6 3 2" xfId="10385"/>
    <cellStyle name="Normal - Style1 2 6_明细表" xfId="10386"/>
    <cellStyle name="Normal - Style1 2 7" xfId="10387"/>
    <cellStyle name="Normal - Style1 2 7 2" xfId="10388"/>
    <cellStyle name="Normal - Style1 2 7 3" xfId="10389"/>
    <cellStyle name="差_60-所得税费用（空白模板） 6" xfId="10390"/>
    <cellStyle name="差_预收款项 2_附注表一（财务报表）" xfId="10391"/>
    <cellStyle name="Normal - Style1 2 7_明细表" xfId="10392"/>
    <cellStyle name="差_资产负债标准底稿 10_明细表" xfId="10393"/>
    <cellStyle name="差_51-营业税金及附加（空白模板） 6 2 2" xfId="10394"/>
    <cellStyle name="Normal - Style1 2 8" xfId="10395"/>
    <cellStyle name="好_资本公积 - 复制 2 3" xfId="10396"/>
    <cellStyle name="常规 3 45" xfId="10397"/>
    <cellStyle name="常规 3 50" xfId="10398"/>
    <cellStyle name="好_54-财务费用（空白模板） 11" xfId="10399"/>
    <cellStyle name="常规 6 2 2 6" xfId="10400"/>
    <cellStyle name="差_资产负债标准底稿 10_明细表 2" xfId="10401"/>
    <cellStyle name="Normal - Style1 2 8 2" xfId="10402"/>
    <cellStyle name="常规 3 46" xfId="10403"/>
    <cellStyle name="常规 3 51" xfId="10404"/>
    <cellStyle name="好_54-财务费用（空白模板） 12" xfId="10405"/>
    <cellStyle name="常规 6 2 2 7" xfId="10406"/>
    <cellStyle name="差_资产负债标准底稿 10_明细表 3" xfId="10407"/>
    <cellStyle name="Normal - Style1 2 8 3" xfId="10408"/>
    <cellStyle name="Normal - Style1 2 8_明细表" xfId="10409"/>
    <cellStyle name="好_大信底稿目录 8 2" xfId="10410"/>
    <cellStyle name="好_资本公积 - 复制 3 3" xfId="10411"/>
    <cellStyle name="差_28-交易性金融负债（空白模板） 4" xfId="10412"/>
    <cellStyle name="常规 6 2 3 6" xfId="10413"/>
    <cellStyle name="Normal - Style1 2 9 2" xfId="10414"/>
    <cellStyle name="好_55-资产减值损失（空白模板） 5_明细表 5" xfId="10415"/>
    <cellStyle name="Normal - Style1 2 9_明细表" xfId="10416"/>
    <cellStyle name="好_1应收账款 3 3" xfId="10417"/>
    <cellStyle name="常规 3 4 2 8" xfId="10418"/>
    <cellStyle name="Normal - Style1 2_Spreadsheet" xfId="10419"/>
    <cellStyle name="Normal - Style1 25" xfId="10420"/>
    <cellStyle name="Normal - Style1 30" xfId="10421"/>
    <cellStyle name="Normal - Style1 26" xfId="10422"/>
    <cellStyle name="Normal - Style1 31" xfId="10423"/>
    <cellStyle name="Normal - Style1 27" xfId="10424"/>
    <cellStyle name="Normal - Style1 32" xfId="10425"/>
    <cellStyle name="Normal - Style1 28" xfId="10426"/>
    <cellStyle name="Normal - Style1 33" xfId="10427"/>
    <cellStyle name="好_无形资产 12 2" xfId="10428"/>
    <cellStyle name="常规 3 5 2 6 8" xfId="10429"/>
    <cellStyle name="差_专项应付款 14 2 2" xfId="10430"/>
    <cellStyle name="Normal - Style1 3 10" xfId="10431"/>
    <cellStyle name="常规 9 4_附注表一（财务报表）" xfId="10432"/>
    <cellStyle name="差_专项应付款 14 2 3" xfId="10433"/>
    <cellStyle name="Normal - Style1 3 11" xfId="10434"/>
    <cellStyle name="Normal - Style1 3 2" xfId="10435"/>
    <cellStyle name="Normal - Style1 3 2 3" xfId="10436"/>
    <cellStyle name="Normal - Style1 3 2_明细表" xfId="10437"/>
    <cellStyle name="Normal - Style1 3 3" xfId="10438"/>
    <cellStyle name="常规 38 5" xfId="10439"/>
    <cellStyle name="Normal - Style1 3 3 2" xfId="10440"/>
    <cellStyle name="Normal - Style1 3 3 3" xfId="10441"/>
    <cellStyle name="好_55-资产减值损失（空白模板） 10 3" xfId="10442"/>
    <cellStyle name="Normal - Style1 3 3_明细表" xfId="10443"/>
    <cellStyle name="Percent [2]P" xfId="10444"/>
    <cellStyle name="Normal - Style1 3 4" xfId="10445"/>
    <cellStyle name="常规 39 5" xfId="10446"/>
    <cellStyle name="Percent [2]P 2" xfId="10447"/>
    <cellStyle name="Normal - Style1 3 4 2" xfId="10448"/>
    <cellStyle name="Percent [2]P 3" xfId="10449"/>
    <cellStyle name="Normal - Style1 3 4 3" xfId="10450"/>
    <cellStyle name="Normal - Style1 3 4_明细表" xfId="10451"/>
    <cellStyle name="Normal - Style1 3 5" xfId="10452"/>
    <cellStyle name="常规 50 5" xfId="10453"/>
    <cellStyle name="Normal - Style1 3 5 2" xfId="10454"/>
    <cellStyle name="Normal - Style1 3 5 3" xfId="10455"/>
    <cellStyle name="好_27-短期借款(空白模板) 8 4" xfId="10456"/>
    <cellStyle name="Normal - Style1 3 5_明细表" xfId="10457"/>
    <cellStyle name="Normal - Style1 3 6" xfId="10458"/>
    <cellStyle name="Normal - Style1 3 6 3" xfId="10459"/>
    <cellStyle name="好_ZY-递延所得税资产 5 3" xfId="10460"/>
    <cellStyle name="s]_x000d__x000a_;load=C:\WINDOWS\NUMBER9\HAWKEYE.EXE C:\CSTAR20\CSTAR20.EXE_x000d__x000a_run=_x000d__x000a_Beep=yes_x000d__x000a_NullPort=None_x000d__x000a_BorderWidth=3_x000d__x000a_CursorBl" xfId="10461"/>
    <cellStyle name="Normal - Style1 3 6_明细表" xfId="10462"/>
    <cellStyle name="好_实收资本(股本)" xfId="10463"/>
    <cellStyle name="Normal - Style1 3 7" xfId="10464"/>
    <cellStyle name="常规 47 5" xfId="10465"/>
    <cellStyle name="好_实收资本(股本) 2" xfId="10466"/>
    <cellStyle name="Normal - Style1 3 7 2" xfId="10467"/>
    <cellStyle name="Normal - Style1 3 8" xfId="10468"/>
    <cellStyle name="Normal - Style1 35" xfId="10469"/>
    <cellStyle name="Normal - Style1 36" xfId="10470"/>
    <cellStyle name="好_1营业收入 6_明细表 2" xfId="10471"/>
    <cellStyle name="Normal - Style1 37" xfId="10472"/>
    <cellStyle name="好_1营业收入 6_明细表 3" xfId="10473"/>
    <cellStyle name="Normal - Style1 38" xfId="10474"/>
    <cellStyle name="好_应收利息 13 2" xfId="10475"/>
    <cellStyle name="好_1营业收入 6_明细表 4" xfId="10476"/>
    <cellStyle name="Normal - Style1 39" xfId="10477"/>
    <cellStyle name="Normal - Style1 4 2 3" xfId="10478"/>
    <cellStyle name="Normal - Style1 4 4" xfId="10479"/>
    <cellStyle name="好_ZA0货币资金审定表  4 2 3" xfId="10480"/>
    <cellStyle name="Normal - Style1 4 5" xfId="10481"/>
    <cellStyle name="好_ZA0货币资金审定表  4 2 4" xfId="10482"/>
    <cellStyle name="Normal - Style1 4 6" xfId="10483"/>
    <cellStyle name="好_ZA0货币资金审定表  4 2 5" xfId="10484"/>
    <cellStyle name="Normal - Style1 4_明细表" xfId="10485"/>
    <cellStyle name="Normal - Style1 5 2" xfId="10486"/>
    <cellStyle name="Normal - Style1 5 2 2" xfId="10487"/>
    <cellStyle name="常规 9 3 3 2 3 2" xfId="10488"/>
    <cellStyle name="Normal - Style1 5 2 3" xfId="10489"/>
    <cellStyle name="Normal - Style1 5 3" xfId="10490"/>
    <cellStyle name="好_ZA0货币资金审定表  4 3 2" xfId="10491"/>
    <cellStyle name="Normal - Style1 5 3 2" xfId="10492"/>
    <cellStyle name="常规 37" xfId="10493"/>
    <cellStyle name="常规 42" xfId="10494"/>
    <cellStyle name="Normal - Style1 5 5" xfId="10495"/>
    <cellStyle name="Normal - Style1 5 6" xfId="10496"/>
    <cellStyle name="好_短期借款 10_明细表 3" xfId="10497"/>
    <cellStyle name="差_账项明细表 2 2" xfId="10498"/>
    <cellStyle name="Normal - Style1 5_明细表" xfId="10499"/>
    <cellStyle name="Normal - Style1 6 2" xfId="10500"/>
    <cellStyle name="Normal - Style1 6 2 2" xfId="10501"/>
    <cellStyle name="好_1应收票据 2" xfId="10502"/>
    <cellStyle name="Normal - Style1 6 2 3" xfId="10503"/>
    <cellStyle name="Normal - Style1 6_明细表" xfId="10504"/>
    <cellStyle name="Normal - Style1 7 2" xfId="10505"/>
    <cellStyle name="千位分隔 7 15" xfId="10506"/>
    <cellStyle name="差_专项应付款 17" xfId="10507"/>
    <cellStyle name="差_专项应付款 22" xfId="10508"/>
    <cellStyle name="Normal - Style1 7 2 2" xfId="10509"/>
    <cellStyle name="千位分隔 7 16" xfId="10510"/>
    <cellStyle name="差_专项应付款 18" xfId="10511"/>
    <cellStyle name="差_专项应付款 23" xfId="10512"/>
    <cellStyle name="Normal - Style1 7 2 3" xfId="10513"/>
    <cellStyle name="好_银行函证结果汇总表_财务费用" xfId="10514"/>
    <cellStyle name="Normal - Style1 7 5" xfId="10515"/>
    <cellStyle name="Normal - Style1 7 6" xfId="10516"/>
    <cellStyle name="Normal - Style1 7_明细表" xfId="10517"/>
    <cellStyle name="Normal - Style1 8 2" xfId="10518"/>
    <cellStyle name="好_G-应收账款 2 4" xfId="10519"/>
    <cellStyle name="Normal - Style1 8 2 2" xfId="10520"/>
    <cellStyle name="好_G-应收账款 2 5" xfId="10521"/>
    <cellStyle name="Normal - Style1 8 2 3" xfId="10522"/>
    <cellStyle name="好_G-应收账款 3 4" xfId="10523"/>
    <cellStyle name="好_31-预收账款（空白模板） 12_明细表" xfId="10524"/>
    <cellStyle name="Normal - Style1 8 3 2" xfId="10525"/>
    <cellStyle name="Normal - Style1 8 5" xfId="10526"/>
    <cellStyle name="Normal - Style1 8 6" xfId="10527"/>
    <cellStyle name="Normal - Style1 8_明细表" xfId="10528"/>
    <cellStyle name="Normal - Style1 9 2" xfId="10529"/>
    <cellStyle name="Normal - Style1 9 2 2" xfId="10530"/>
    <cellStyle name="Normal - Style1 9 2 3" xfId="10531"/>
    <cellStyle name="好_31-预收账款（空白模板） 13_明细表" xfId="10532"/>
    <cellStyle name="Normal - Style1 9 3 2" xfId="10533"/>
    <cellStyle name="Normal - Style1 9 4" xfId="10534"/>
    <cellStyle name="Normal - Style1 9_明细表" xfId="10535"/>
    <cellStyle name="好_固定资产 8_明细表 2" xfId="10536"/>
    <cellStyle name="SAPBEXexcGood1 5 2" xfId="10537"/>
    <cellStyle name="常规 2 5 2 7 2 2" xfId="10538"/>
    <cellStyle name="Normal - Style1__dxn_temp替代测试表(二)-借方金额检查模板" xfId="10539"/>
    <cellStyle name="Normal 10 4" xfId="10540"/>
    <cellStyle name="好_49-营业收入（空白模板） 6" xfId="10541"/>
    <cellStyle name="常规 7 8 6" xfId="10542"/>
    <cellStyle name="Normal 11 2" xfId="10543"/>
    <cellStyle name="差_ZA0货币资金审定表  9" xfId="10544"/>
    <cellStyle name="差_4-应收账款（空白模板） 10" xfId="10545"/>
    <cellStyle name="好_递延所得税负债 - 复制 4 2" xfId="10546"/>
    <cellStyle name="Normal 11 2 3" xfId="10547"/>
    <cellStyle name="差_ZA0货币资金审定表  9 3" xfId="10548"/>
    <cellStyle name="差_4-应收账款（空白模板） 10 3" xfId="10549"/>
    <cellStyle name="常规 7 8 7" xfId="10550"/>
    <cellStyle name="差_4-应收账款（空白模板） 11" xfId="10551"/>
    <cellStyle name="Normal 11 3" xfId="10552"/>
    <cellStyle name="差_4-应收账款（空白模板） 12" xfId="10553"/>
    <cellStyle name="Normal 11 4" xfId="10554"/>
    <cellStyle name="差_4-应收账款（空白模板） 13" xfId="10555"/>
    <cellStyle name="Normal 11 5" xfId="10556"/>
    <cellStyle name="好_所得税费用 10 2" xfId="10557"/>
    <cellStyle name="差_4-应收账款（空白模板） 14" xfId="10558"/>
    <cellStyle name="Normal 11 6" xfId="10559"/>
    <cellStyle name="差_4-应收账款（空白模板） 15" xfId="10560"/>
    <cellStyle name="差_4-应收账款（空白模板） 20" xfId="10561"/>
    <cellStyle name="Normal 11 7" xfId="10562"/>
    <cellStyle name="Normal 12 2 6" xfId="10563"/>
    <cellStyle name="好_1专项应付款 9 2 2" xfId="10564"/>
    <cellStyle name="常规 175 3 2 2" xfId="10565"/>
    <cellStyle name="常规 180 3 2 2" xfId="10566"/>
    <cellStyle name="Normal 12 4" xfId="10567"/>
    <cellStyle name="好_1专项应付款 9 2 3" xfId="10568"/>
    <cellStyle name="常规 175 3 2 3" xfId="10569"/>
    <cellStyle name="常规 180 3 2 3" xfId="10570"/>
    <cellStyle name="Normal 12 5" xfId="10571"/>
    <cellStyle name="好_1专项应付款 9 2 4" xfId="10572"/>
    <cellStyle name="Normal 12 6" xfId="10573"/>
    <cellStyle name="好_1专项应付款 9 2 5" xfId="10574"/>
    <cellStyle name="SAPBEXstdItemX 2" xfId="10575"/>
    <cellStyle name="Normal 12 7" xfId="10576"/>
    <cellStyle name="标题 15" xfId="10577"/>
    <cellStyle name="Normal 13" xfId="10578"/>
    <cellStyle name="Normal 13 2" xfId="10579"/>
    <cellStyle name="Normal 13 2 2" xfId="10580"/>
    <cellStyle name="好_明细表_附注表一（财务报表）" xfId="10581"/>
    <cellStyle name="Normal 13 3" xfId="10582"/>
    <cellStyle name="好_Z11其它流动资产 2 2" xfId="10583"/>
    <cellStyle name="Normal 13 4" xfId="10584"/>
    <cellStyle name="好_Z11其它流动资产 2 3" xfId="10585"/>
    <cellStyle name="好_48-未分配利润（空白模板）_明细表 2" xfId="10586"/>
    <cellStyle name="Normal 13 5" xfId="10587"/>
    <cellStyle name="好_48-未分配利润（空白模板）_明细表 3" xfId="10588"/>
    <cellStyle name="Normal 13 6" xfId="10589"/>
    <cellStyle name="好_48-未分配利润（空白模板）_明细表 4" xfId="10590"/>
    <cellStyle name="Normal 13 7" xfId="10591"/>
    <cellStyle name="好_ZA0货币资金审定表  16 2 2" xfId="10592"/>
    <cellStyle name="差_营业收入_明细表" xfId="10593"/>
    <cellStyle name="Normal 14" xfId="10594"/>
    <cellStyle name="差_营业收入_明细表 2" xfId="10595"/>
    <cellStyle name="Normal 14 2" xfId="10596"/>
    <cellStyle name="差_营业收入_明细表 3" xfId="10597"/>
    <cellStyle name="差_51-营业税金及附加（空白模板） 6_明细表" xfId="10598"/>
    <cellStyle name="Normal 14 3" xfId="10599"/>
    <cellStyle name="差_营业收入_明细表 4" xfId="10600"/>
    <cellStyle name="好_Z11其它流动资产 3 2" xfId="10601"/>
    <cellStyle name="Normal 14 4" xfId="10602"/>
    <cellStyle name="好_ZA0货币资金审定表  16 2 3" xfId="10603"/>
    <cellStyle name="Normal 15" xfId="10604"/>
    <cellStyle name="Normal 20" xfId="10605"/>
    <cellStyle name="好_1专项应付款 5_明细表" xfId="10606"/>
    <cellStyle name="好_55-资产减值损失（空白模板） 6 2 4" xfId="10607"/>
    <cellStyle name="Normal 15 2" xfId="10608"/>
    <cellStyle name="Normal 20 2" xfId="10609"/>
    <cellStyle name="好_1专项应付款 5_明细表 2" xfId="10610"/>
    <cellStyle name="差_20-开发支出（空白模板）" xfId="10611"/>
    <cellStyle name="好_55-资产减值损失（空白模板） 6 2 5" xfId="10612"/>
    <cellStyle name="Normal 15 3" xfId="10613"/>
    <cellStyle name="Normal 20 3" xfId="10614"/>
    <cellStyle name="好_1专项应付款 5_明细表 3" xfId="10615"/>
    <cellStyle name="好_Z11其它流动资产 4 2" xfId="10616"/>
    <cellStyle name="好_55-资产减值损失（空白模板） 6 2 6" xfId="10617"/>
    <cellStyle name="Normal 15 4" xfId="10618"/>
    <cellStyle name="Normal 20 4" xfId="10619"/>
    <cellStyle name="好_1专项应付款 5_明细表 4" xfId="10620"/>
    <cellStyle name="差_无形资产_明细表_1 2" xfId="10621"/>
    <cellStyle name="好_Z11其它流动资产 4 3" xfId="10622"/>
    <cellStyle name="Normal 15 5" xfId="10623"/>
    <cellStyle name="Normal 20 5" xfId="10624"/>
    <cellStyle name="好_1专项应付款 5_明细表 5" xfId="10625"/>
    <cellStyle name="差_无形资产_明细表_1 3" xfId="10626"/>
    <cellStyle name="差_无形资产_明细表_1 4" xfId="10627"/>
    <cellStyle name="Normal 15 6" xfId="10628"/>
    <cellStyle name="Normal 20 6" xfId="10629"/>
    <cellStyle name="好_ZA0货币资金审定表  16 2 4" xfId="10630"/>
    <cellStyle name="Normal 16" xfId="10631"/>
    <cellStyle name="Normal 21" xfId="10632"/>
    <cellStyle name="Normal 16 2" xfId="10633"/>
    <cellStyle name="Normal 21 2" xfId="10634"/>
    <cellStyle name="Normal 16 3" xfId="10635"/>
    <cellStyle name="Normal 21 3" xfId="10636"/>
    <cellStyle name="好_Z11其它流动资产 5 2" xfId="10637"/>
    <cellStyle name="Normal 16 4" xfId="10638"/>
    <cellStyle name="Normal 21 4" xfId="10639"/>
    <cellStyle name="好_Z11其它流动资产 5 3" xfId="10640"/>
    <cellStyle name="Normal 16 5" xfId="10641"/>
    <cellStyle name="Normal 21 5" xfId="10642"/>
    <cellStyle name="Normal 16 6" xfId="10643"/>
    <cellStyle name="Normal 21 6" xfId="10644"/>
    <cellStyle name="好_ZA0货币资金审定表  16 2 5" xfId="10645"/>
    <cellStyle name="好_60-所得税费用（空白模板）" xfId="10646"/>
    <cellStyle name="Normal 17" xfId="10647"/>
    <cellStyle name="Normal 22" xfId="10648"/>
    <cellStyle name="好_60-所得税费用（空白模板） 2" xfId="10649"/>
    <cellStyle name="Normal 17 2" xfId="10650"/>
    <cellStyle name="Normal 22 2" xfId="10651"/>
    <cellStyle name="差_Sheet1_明细表" xfId="10652"/>
    <cellStyle name="Normal 18" xfId="10653"/>
    <cellStyle name="Normal 23" xfId="10654"/>
    <cellStyle name="好_无形资产 4_明细表" xfId="10655"/>
    <cellStyle name="差_实收资本审定表" xfId="10656"/>
    <cellStyle name="Normal 18 2" xfId="10657"/>
    <cellStyle name="Normal 23 2" xfId="10658"/>
    <cellStyle name="Normal 19" xfId="10659"/>
    <cellStyle name="Normal 24" xfId="10660"/>
    <cellStyle name="Normal 19 2" xfId="10661"/>
    <cellStyle name="Normal 24 2" xfId="10662"/>
    <cellStyle name="Normal 19 4" xfId="10663"/>
    <cellStyle name="Normal 24 4" xfId="10664"/>
    <cellStyle name="Normal 19 5" xfId="10665"/>
    <cellStyle name="Normal 24 5" xfId="10666"/>
    <cellStyle name="Normal 19 6" xfId="10667"/>
    <cellStyle name="好_1预收款项 13 2 3" xfId="10668"/>
    <cellStyle name="Normal 2" xfId="10669"/>
    <cellStyle name="Normal 2 2" xfId="10670"/>
    <cellStyle name="Normal 2 2 2" xfId="10671"/>
    <cellStyle name="好_资产负债标准底稿 16 5" xfId="10672"/>
    <cellStyle name="好_27-短期借款(空白模板) 19" xfId="10673"/>
    <cellStyle name="好_27-短期借款(空白模板) 24" xfId="10674"/>
    <cellStyle name="常规 3 3 2 5 4" xfId="10675"/>
    <cellStyle name="SAPBEXexcBad7" xfId="10676"/>
    <cellStyle name="Normal 2 2 2 2" xfId="10677"/>
    <cellStyle name="SAPBEXexcBad7 2" xfId="10678"/>
    <cellStyle name="Normal 2 2 2 2 2" xfId="10679"/>
    <cellStyle name="Normal 2 2 3" xfId="10680"/>
    <cellStyle name="好_资产负债标准底稿 17 5" xfId="10681"/>
    <cellStyle name="常规 3 3 2 6 4" xfId="10682"/>
    <cellStyle name="Normal 2 2 3 2" xfId="10683"/>
    <cellStyle name="好_资产负债类底稿模版_附注表一（财务报表）" xfId="10684"/>
    <cellStyle name="好_银行函证结果汇总表 3 4" xfId="10685"/>
    <cellStyle name="好_财务费用_附注表一（财务报表）" xfId="10686"/>
    <cellStyle name="Normal 2 2 3 2 2" xfId="10687"/>
    <cellStyle name="Normal 2 2 4" xfId="10688"/>
    <cellStyle name="好_货币资金 2 4" xfId="10689"/>
    <cellStyle name="常规 3 3 2 7 4" xfId="10690"/>
    <cellStyle name="Normal 2 2 4 2" xfId="10691"/>
    <cellStyle name="常规 3 2 8 3 2" xfId="10692"/>
    <cellStyle name="常规 3 2 14_附注表一（财务报表）" xfId="10693"/>
    <cellStyle name="常规 2 17 2 2" xfId="10694"/>
    <cellStyle name="常规 2 22 2 2" xfId="10695"/>
    <cellStyle name="Normal 2 2 5" xfId="10696"/>
    <cellStyle name="常规 3 2 8 3 3" xfId="10697"/>
    <cellStyle name="常规 2 17 2 3" xfId="10698"/>
    <cellStyle name="常规 2 22 2 3" xfId="10699"/>
    <cellStyle name="Normal 2 2 6" xfId="10700"/>
    <cellStyle name="Normal 2 2 7" xfId="10701"/>
    <cellStyle name="好_资本公积 3 2" xfId="10702"/>
    <cellStyle name="常规 2 17 2 4" xfId="10703"/>
    <cellStyle name="常规 2 22 2 4" xfId="10704"/>
    <cellStyle name="常规 2 17 2 5" xfId="10705"/>
    <cellStyle name="常规 2 22 2 5" xfId="10706"/>
    <cellStyle name="Normal 2 2 8" xfId="10707"/>
    <cellStyle name="Normal 2 2 9" xfId="10708"/>
    <cellStyle name="差_8-其他应收款（空白模板） 2 4" xfId="10709"/>
    <cellStyle name="Normal 2 3 2" xfId="10710"/>
    <cellStyle name="差_8-其他应收款（空白模板） 2 5" xfId="10711"/>
    <cellStyle name="Normal 2 3 3" xfId="10712"/>
    <cellStyle name="Normal 2 3 3 2" xfId="10713"/>
    <cellStyle name="Normal 2 3 4" xfId="10714"/>
    <cellStyle name="好_1预收款项 13 2 2" xfId="10715"/>
    <cellStyle name="常规 2 2 11 2 3" xfId="10716"/>
    <cellStyle name="好_固定资产 2_明细表 3" xfId="10717"/>
    <cellStyle name="常规 9 4 3 5 2" xfId="10718"/>
    <cellStyle name="好_1预收款项 7_明细表 3" xfId="10719"/>
    <cellStyle name="常规 2 3 2 2 4 2" xfId="10720"/>
    <cellStyle name="Normal 2 4" xfId="10721"/>
    <cellStyle name="常规 2 3 2 2 4 2 2" xfId="10722"/>
    <cellStyle name="Normal 2 4 2" xfId="10723"/>
    <cellStyle name="Normal 2 4 2 2" xfId="10724"/>
    <cellStyle name="常规 2 3 2 2 4 2 3" xfId="10725"/>
    <cellStyle name="Normal 2 4 3" xfId="10726"/>
    <cellStyle name="Normal 2 4 3 2" xfId="10727"/>
    <cellStyle name="Normal 2 4 3 3" xfId="10728"/>
    <cellStyle name="常规 9 4 4 3 2" xfId="10729"/>
    <cellStyle name="Normal 2 4 3 4" xfId="10730"/>
    <cellStyle name="差_6-应收利息（空白模板） 2 2" xfId="10731"/>
    <cellStyle name="常规 2 3 2 3 2 2" xfId="10732"/>
    <cellStyle name="常规 9 4 4 3 3" xfId="10733"/>
    <cellStyle name="Normal 2 4 3 5" xfId="10734"/>
    <cellStyle name="差_6-应收利息（空白模板） 2 3" xfId="10735"/>
    <cellStyle name="常规 2 3 2 3 2 3" xfId="10736"/>
    <cellStyle name="Normal 2 4 3 6" xfId="10737"/>
    <cellStyle name="常规 2 3 2 3 2 4" xfId="10738"/>
    <cellStyle name="常规 2 3 2 2 4 2 4" xfId="10739"/>
    <cellStyle name="Normal 2 4 4" xfId="10740"/>
    <cellStyle name="常规 3 3 2 2 2 4 2 2" xfId="10741"/>
    <cellStyle name="常规 2 3 2 2 4 2 5" xfId="10742"/>
    <cellStyle name="Normal 2 4 5" xfId="10743"/>
    <cellStyle name="Normal 2 4 6" xfId="10744"/>
    <cellStyle name="好_54-财务费用（空白模板）_明细表 2 2" xfId="10745"/>
    <cellStyle name="常规 3 3 2 2 2 4 2 3" xfId="10746"/>
    <cellStyle name="Normal 2 4 7" xfId="10747"/>
    <cellStyle name="好_54-财务费用（空白模板）_明细表 2 3" xfId="10748"/>
    <cellStyle name="好__dxn_temp空白表页 10_明细表" xfId="10749"/>
    <cellStyle name="常规 3 3 2 2 2 4 2 4" xfId="10750"/>
    <cellStyle name="Normal 2 4 8" xfId="10751"/>
    <cellStyle name="好_54-财务费用（空白模板）_明细表 2 4" xfId="10752"/>
    <cellStyle name="常规 3 3 2 2 2 4 2 5" xfId="10753"/>
    <cellStyle name="常规 2 2 11 2 4" xfId="10754"/>
    <cellStyle name="好_固定资产 2_明细表 4" xfId="10755"/>
    <cellStyle name="常规 9 4 3 5 3" xfId="10756"/>
    <cellStyle name="好_1预收款项 7_明细表 4" xfId="10757"/>
    <cellStyle name="常规 2 3 2 2 4 3" xfId="10758"/>
    <cellStyle name="Normal 2 5" xfId="10759"/>
    <cellStyle name="好_40-专项应付款(空白模板) 7_附注表一（财务报表）" xfId="10760"/>
    <cellStyle name="常规 2 2 4 2 8" xfId="10761"/>
    <cellStyle name="差_8-其他应收款（空白模板） 4 4" xfId="10762"/>
    <cellStyle name="Normal 2 5 2" xfId="10763"/>
    <cellStyle name="Normal 2 5 2 2" xfId="10764"/>
    <cellStyle name="常规 2 3 2 2 2 2 15" xfId="10765"/>
    <cellStyle name="Normal 2 5_Spreadsheet" xfId="10766"/>
    <cellStyle name="常规 2 2 11 2 5" xfId="10767"/>
    <cellStyle name="好_固定资产 2_明细表 5" xfId="10768"/>
    <cellStyle name="好_1预收款项 7_明细表 5" xfId="10769"/>
    <cellStyle name="Normal 2 6" xfId="10770"/>
    <cellStyle name="差_资产负债类底稿模版 12_明细表 4" xfId="10771"/>
    <cellStyle name="Normal 2 6 2" xfId="10772"/>
    <cellStyle name="Normal 2 7" xfId="10773"/>
    <cellStyle name="Normal 2 7 2" xfId="10774"/>
    <cellStyle name="Normal 2 8" xfId="10775"/>
    <cellStyle name="好_60-所得税费用（空白模板） 3" xfId="10776"/>
    <cellStyle name="Normal 22 3" xfId="10777"/>
    <cellStyle name="好_60-所得税费用（空白模板） 4" xfId="10778"/>
    <cellStyle name="Normal 22 4" xfId="10779"/>
    <cellStyle name="好_60-所得税费用（空白模板） 5" xfId="10780"/>
    <cellStyle name="Normal 22 5" xfId="10781"/>
    <cellStyle name="好_60-所得税费用（空白模板） 6" xfId="10782"/>
    <cellStyle name="Normal 22 6" xfId="10783"/>
    <cellStyle name="Normal 23 4" xfId="10784"/>
    <cellStyle name="Normal 23 5" xfId="10785"/>
    <cellStyle name="Normal 25" xfId="10786"/>
    <cellStyle name="Normal 25 2" xfId="10787"/>
    <cellStyle name="好_6-应收利息（空白模板） 3 2 4" xfId="10788"/>
    <cellStyle name="Normal 25 3" xfId="10789"/>
    <cellStyle name="好_6-应收利息（空白模板） 3 2 5" xfId="10790"/>
    <cellStyle name="Normal 25 4" xfId="10791"/>
    <cellStyle name="常规 2 5 2 4_附注表一（财务报表）" xfId="10792"/>
    <cellStyle name="Normal 25 5" xfId="10793"/>
    <cellStyle name="Normal 28" xfId="10794"/>
    <cellStyle name="Normal 3 2" xfId="10795"/>
    <cellStyle name="Normal 3 2 2" xfId="10796"/>
    <cellStyle name="好_无形资产 9_附注表一（财务报表）" xfId="10797"/>
    <cellStyle name="Normal 3 2 2 2" xfId="10798"/>
    <cellStyle name="Normal 3 2 2 3" xfId="10799"/>
    <cellStyle name="好_27-短期借款(空白模板) 10 2 2" xfId="10800"/>
    <cellStyle name="常规 9 5 2 2 2" xfId="10801"/>
    <cellStyle name="Normal 3 2 2 4" xfId="10802"/>
    <cellStyle name="好_27-短期借款(空白模板) 10 2 3" xfId="10803"/>
    <cellStyle name="常规 9 5 2 2 3" xfId="10804"/>
    <cellStyle name="Normal 3 2 2 5" xfId="10805"/>
    <cellStyle name="好_27-短期借款(空白模板) 10 2 5" xfId="10806"/>
    <cellStyle name="常规 9 5 2 2 5" xfId="10807"/>
    <cellStyle name="Normal 3 2 2 7" xfId="10808"/>
    <cellStyle name="好_4-应收账款（空白模板） 14_明细表 2" xfId="10809"/>
    <cellStyle name="常规 47 2 2 2" xfId="10810"/>
    <cellStyle name="Normal 3 2 3" xfId="10811"/>
    <cellStyle name="常规 2 2 11 3 2" xfId="10812"/>
    <cellStyle name="Normal 3 3" xfId="10813"/>
    <cellStyle name="Normal 3 3 2" xfId="10814"/>
    <cellStyle name="Normal 3 3 2 2" xfId="10815"/>
    <cellStyle name="常规 2 3 2 2 5 3" xfId="10816"/>
    <cellStyle name="Normal 3 5" xfId="10817"/>
    <cellStyle name="好_FJ其他应付款 3 2" xfId="10818"/>
    <cellStyle name="Normal 3_Spreadsheet" xfId="10819"/>
    <cellStyle name="好_1营业收入 4 2 6" xfId="10820"/>
    <cellStyle name="差_ZL长期应收款 2" xfId="10821"/>
    <cellStyle name="SAPBEXHLevel1X 3" xfId="10822"/>
    <cellStyle name="Normal 34" xfId="10823"/>
    <cellStyle name="Normal 34 2" xfId="10824"/>
    <cellStyle name="好_1预收款项 13 2 5" xfId="10825"/>
    <cellStyle name="Normal 4" xfId="10826"/>
    <cellStyle name="Normal 4 2" xfId="10827"/>
    <cellStyle name="好__dxn_temp空白表页 3_明细表 5" xfId="10828"/>
    <cellStyle name="差_明细表_应收账款期末审定表 6" xfId="10829"/>
    <cellStyle name="Normal 4 2 2" xfId="10830"/>
    <cellStyle name="常规 3 5 2 5 4" xfId="10831"/>
    <cellStyle name="Normal 4 2 2 2" xfId="10832"/>
    <cellStyle name="差_14-投资性房地产（空白模板）" xfId="10833"/>
    <cellStyle name="Normal 4 2 2 2 2" xfId="10834"/>
    <cellStyle name="Normal 4 2 2 2 3" xfId="10835"/>
    <cellStyle name="Normal 4 2 2 2 4" xfId="10836"/>
    <cellStyle name="Normal 4 2 2 2 5" xfId="10837"/>
    <cellStyle name="常规 3 5 2 5 5" xfId="10838"/>
    <cellStyle name="Normal 4 2 2 3" xfId="10839"/>
    <cellStyle name="常规 3 5 2 5 7" xfId="10840"/>
    <cellStyle name="Normal 4 2 2 5" xfId="10841"/>
    <cellStyle name="常规 3 5 2 5 8" xfId="10842"/>
    <cellStyle name="Normal 4 2 2 6" xfId="10843"/>
    <cellStyle name="Normal 4 2 2 7" xfId="10844"/>
    <cellStyle name="Normal 4 2 3" xfId="10845"/>
    <cellStyle name="常规 5 11 2 2" xfId="10846"/>
    <cellStyle name="差_资产负债标准底稿 10 2 2" xfId="10847"/>
    <cellStyle name="Normal 4 2 4" xfId="10848"/>
    <cellStyle name="Normal 4 2_Spreadsheet" xfId="10849"/>
    <cellStyle name="Normal 4 3" xfId="10850"/>
    <cellStyle name="好_底稿设置宏 7_明细表 5" xfId="10851"/>
    <cellStyle name="Normal 4 3 2" xfId="10852"/>
    <cellStyle name="Normal 4 3 3" xfId="10853"/>
    <cellStyle name="常规 2 2 2 3 3 3" xfId="10854"/>
    <cellStyle name="Normal 4 3_明细表" xfId="10855"/>
    <cellStyle name="常规 2 3 2 2 6 2" xfId="10856"/>
    <cellStyle name="Normal 4 4" xfId="10857"/>
    <cellStyle name="常规 2 3 2 2 6 2 2" xfId="10858"/>
    <cellStyle name="Normal 4 4 2" xfId="10859"/>
    <cellStyle name="Normal 4 4_明细表" xfId="10860"/>
    <cellStyle name="好_49-营业收入（空白模板） 12_明细表 2" xfId="10861"/>
    <cellStyle name="常规 2 2 2 4 3 3" xfId="10862"/>
    <cellStyle name="好_应收账款_附注表一（财务报表）" xfId="10863"/>
    <cellStyle name="常规 2 3 2 2 6 3" xfId="10864"/>
    <cellStyle name="Normal 4 5" xfId="10865"/>
    <cellStyle name="好_银行函证结果汇总表 13 2 5" xfId="10866"/>
    <cellStyle name="Normal 4_Spreadsheet" xfId="10867"/>
    <cellStyle name="Normal 5" xfId="10868"/>
    <cellStyle name="好_应收利息 7_明细表" xfId="10869"/>
    <cellStyle name="好_G-应收账款 3_明细表 4" xfId="10870"/>
    <cellStyle name="Normal 5 2" xfId="10871"/>
    <cellStyle name="好_应收利息 7_明细表 2" xfId="10872"/>
    <cellStyle name="Normal 5 2 2" xfId="10873"/>
    <cellStyle name="好_大信底稿目录 5 4" xfId="10874"/>
    <cellStyle name="Normal 5 2 2 2" xfId="10875"/>
    <cellStyle name="输出 2 4 4" xfId="10876"/>
    <cellStyle name="好_Sheet1 7 2" xfId="10877"/>
    <cellStyle name="Normal 5 2 2 2 3" xfId="10878"/>
    <cellStyle name="常规 2 3 2" xfId="10879"/>
    <cellStyle name="输出 2 4 5" xfId="10880"/>
    <cellStyle name="好_Sheet1 7 3" xfId="10881"/>
    <cellStyle name="Normal 5 2 2 2 4" xfId="10882"/>
    <cellStyle name="常规 2 3 3" xfId="10883"/>
    <cellStyle name="Normal 5 2 2 2 5" xfId="10884"/>
    <cellStyle name="常规 2 3 4" xfId="10885"/>
    <cellStyle name="t_HVAC Equipment (3)" xfId="10886"/>
    <cellStyle name="好_大信底稿目录 5 5" xfId="10887"/>
    <cellStyle name="Normal 5 2 2 3" xfId="10888"/>
    <cellStyle name="Normal 5 2 2 4" xfId="10889"/>
    <cellStyle name="好_1营业收入 12 2" xfId="10890"/>
    <cellStyle name="Normal 5 2 2 6" xfId="10891"/>
    <cellStyle name="好_1营业收入 12 3" xfId="10892"/>
    <cellStyle name="Normal 5 2 2 7" xfId="10893"/>
    <cellStyle name="好_应收利息 7_明细表 3" xfId="10894"/>
    <cellStyle name="Normal 5 2 3" xfId="10895"/>
    <cellStyle name="好_应收利息 7_明细表 4" xfId="10896"/>
    <cellStyle name="千位分隔 26 2" xfId="10897"/>
    <cellStyle name="常规 5 12 2 2" xfId="10898"/>
    <cellStyle name="差_资产负债标准底稿 11 2 2" xfId="10899"/>
    <cellStyle name="Normal 5 2 4" xfId="10900"/>
    <cellStyle name="好_应收利息 7_明细表 5" xfId="10901"/>
    <cellStyle name="千位分隔 26 3" xfId="10902"/>
    <cellStyle name="常规 5 12 2 3" xfId="10903"/>
    <cellStyle name="常规 2 25 2 2" xfId="10904"/>
    <cellStyle name="差_资产负债标准底稿 11 2 3" xfId="10905"/>
    <cellStyle name="Normal 5 2 5" xfId="10906"/>
    <cellStyle name="千位分隔 26 4" xfId="10907"/>
    <cellStyle name="常规 5 12 2 4" xfId="10908"/>
    <cellStyle name="常规 4 4 4 2" xfId="10909"/>
    <cellStyle name="常规 2 25 2 3" xfId="10910"/>
    <cellStyle name="差_资产负债标准底稿 11 2 4" xfId="10911"/>
    <cellStyle name="Normal 5 2 6" xfId="10912"/>
    <cellStyle name="千位分隔 26 5" xfId="10913"/>
    <cellStyle name="常规 5 12 2 5" xfId="10914"/>
    <cellStyle name="常规 4 4 4 3" xfId="10915"/>
    <cellStyle name="常规 2 25 2 4" xfId="10916"/>
    <cellStyle name="差_资产负债标准底稿 11 2 5" xfId="10917"/>
    <cellStyle name="Normal 5 2 7" xfId="10918"/>
    <cellStyle name="好_G-应收账款 3_明细表 5" xfId="10919"/>
    <cellStyle name="Normal 5 3" xfId="10920"/>
    <cellStyle name="Normal 5 3 2" xfId="10921"/>
    <cellStyle name="差_预收款项 9_明细表 2" xfId="10922"/>
    <cellStyle name="Normal 5 3 3" xfId="10923"/>
    <cellStyle name="Normal 5 3 4" xfId="10924"/>
    <cellStyle name="好_1预收款项 16 2 2" xfId="10925"/>
    <cellStyle name="差_预收款项 9_明细表 3" xfId="10926"/>
    <cellStyle name="Normal 5 3 5" xfId="10927"/>
    <cellStyle name="好_1预收款项 16 2 3" xfId="10928"/>
    <cellStyle name="差_预收款项 9_明细表 4" xfId="10929"/>
    <cellStyle name="Normal 5 3 6" xfId="10930"/>
    <cellStyle name="好_1预收款项 16 2 4" xfId="10931"/>
    <cellStyle name="常规 4 4 5 2" xfId="10932"/>
    <cellStyle name="差_预收款项 9_明细表 5" xfId="10933"/>
    <cellStyle name="常规 2 3 2 2 7 2" xfId="10934"/>
    <cellStyle name="Normal 5 4" xfId="10935"/>
    <cellStyle name="常规 2 3 2 2 7 2 2" xfId="10936"/>
    <cellStyle name="差_30-应付账款（空白模板）_明细表" xfId="10937"/>
    <cellStyle name="Normal 5 4 2" xfId="10938"/>
    <cellStyle name="Normal 5_Spreadsheet" xfId="10939"/>
    <cellStyle name="Normal 6" xfId="10940"/>
    <cellStyle name="Normal 6 2 2 2" xfId="10941"/>
    <cellStyle name="好_实收资本(股本) 2 2 2" xfId="10942"/>
    <cellStyle name="差_复件 固定资产 5_附注表一（财务报表）" xfId="10943"/>
    <cellStyle name="Normal 6 2 3" xfId="10944"/>
    <cellStyle name="Normal 6 3 2" xfId="10945"/>
    <cellStyle name="Normal 6 3 2 2" xfId="10946"/>
    <cellStyle name="Normal 6 3 2 3" xfId="10947"/>
    <cellStyle name="好_31-预收账款（空白模板） 2_明细表 3" xfId="10948"/>
    <cellStyle name="Normal 6 3 2_明细表" xfId="10949"/>
    <cellStyle name="Normal 6 3 3" xfId="10950"/>
    <cellStyle name="Normal 7" xfId="10951"/>
    <cellStyle name="差_模板 2 3" xfId="10952"/>
    <cellStyle name="Normal 7 2" xfId="10953"/>
    <cellStyle name="差_50-营业成本（空白模板）_固定资产 2" xfId="10954"/>
    <cellStyle name="差_19-无形资产（空白模板） 16 2" xfId="10955"/>
    <cellStyle name="Normal 7 2 2 2" xfId="10956"/>
    <cellStyle name="SAPBEXHLevel3X 5 3" xfId="10957"/>
    <cellStyle name="差_模板 2 4" xfId="10958"/>
    <cellStyle name="Normal 7 3" xfId="10959"/>
    <cellStyle name="好_40-专项应付款(空白模板) 6 4" xfId="10960"/>
    <cellStyle name="Normal 7 3 2" xfId="10961"/>
    <cellStyle name="好_底稿设置宏_大信底稿目录 11_明细表 2" xfId="10962"/>
    <cellStyle name="常规 2 3 2 2 9 2" xfId="10963"/>
    <cellStyle name="Normal 7 4" xfId="10964"/>
    <cellStyle name="好_底稿设置宏_大信底稿目录 11_明细表 3" xfId="10965"/>
    <cellStyle name="Normal 7 5" xfId="10966"/>
    <cellStyle name="好_底稿设置宏_大信底稿目录 11_明细表 4" xfId="10967"/>
    <cellStyle name="Normal 7 6" xfId="10968"/>
    <cellStyle name="好_底稿设置宏_大信底稿目录 11_明细表 5" xfId="10969"/>
    <cellStyle name="Normal 7 7" xfId="10970"/>
    <cellStyle name="好__dxn_temp空白表页 4 2" xfId="10971"/>
    <cellStyle name="Normal 7 8" xfId="10972"/>
    <cellStyle name="Normal 8" xfId="10973"/>
    <cellStyle name="差_模板 3 3" xfId="10974"/>
    <cellStyle name="Normal 8 2" xfId="10975"/>
    <cellStyle name="好_Sheet1 2 7" xfId="10976"/>
    <cellStyle name="差_底稿设置宏 13 2 5" xfId="10977"/>
    <cellStyle name="Normal 8 2 2 2" xfId="10978"/>
    <cellStyle name="Normal 8 3" xfId="10979"/>
    <cellStyle name="SAPBEXtitle 2 2" xfId="10980"/>
    <cellStyle name="Normal 8 4" xfId="10981"/>
    <cellStyle name="Normal 8 5" xfId="10982"/>
    <cellStyle name="Normal 8 6" xfId="10983"/>
    <cellStyle name="差_底稿设置宏 14_明细表" xfId="10984"/>
    <cellStyle name="Normal 8 7" xfId="10985"/>
    <cellStyle name="好_1损益类底稿模版" xfId="10986"/>
    <cellStyle name="Normal 9" xfId="10987"/>
    <cellStyle name="差_模板 4 3" xfId="10988"/>
    <cellStyle name="Normal 9 2" xfId="10989"/>
    <cellStyle name="Normal 9 2 2" xfId="10990"/>
    <cellStyle name="Normal 9 3" xfId="10991"/>
    <cellStyle name="Normal 9 3 2" xfId="10992"/>
    <cellStyle name="Normal 9 4" xfId="10993"/>
    <cellStyle name="Normal_ SG&amp;A Bridge " xfId="10994"/>
    <cellStyle name="Normal1" xfId="10995"/>
    <cellStyle name="好_40-专项应付款(空白模板) 16 4" xfId="10996"/>
    <cellStyle name="Normale_BGT" xfId="10997"/>
    <cellStyle name="Note" xfId="10998"/>
    <cellStyle name="差_货币资金 岳华 2 3" xfId="10999"/>
    <cellStyle name="千位分隔 9 9" xfId="11000"/>
    <cellStyle name="Note 2" xfId="11001"/>
    <cellStyle name="Note 3" xfId="11002"/>
    <cellStyle name="超链接 3 8 2 2" xfId="11003"/>
    <cellStyle name="Œ…‹æØ‚è [0.00]_PLDT" xfId="11004"/>
    <cellStyle name="差_审计分组-1218定稿 2" xfId="11005"/>
    <cellStyle name="Œ…‹æØ‚è_PLDT" xfId="11006"/>
    <cellStyle name="oft Excel]_x000d__x000a_Comment=open=/f ‚ðw’è‚·‚é‚ÆAƒ†[ƒU[’è‹`ŠÖ”‚ðŠÖ”“\‚è•t‚¯‚Ìˆê——‚É“o˜^‚·‚é‚±‚Æ‚ª‚Å‚«‚Ü‚·B_x000d__x000a_Maximized" xfId="11007"/>
    <cellStyle name="oft Excel]_x000d__x000a_Comment=open=/f ‚ðw’è‚·‚é‚ÆAƒ†[ƒU[’è‹`ŠÖ”‚ðŠÖ”“\‚è•t‚¯‚Ìˆê——‚É“o˜^‚·‚é‚±‚Æ‚ª‚Å‚«‚Ü‚·B_x000d__x000a_Maximized 2" xfId="11008"/>
    <cellStyle name="oft Excel]_x000d__x000a_Comment=The open=/f lines load custom functions into the Paste Function list._x000d__x000a_Maximized=3_x000d__x000a_Basics=1_x000d__x000a_A 2" xfId="11009"/>
    <cellStyle name="好_1财务费用 13 2 2" xfId="11010"/>
    <cellStyle name="常规 4 17 2 3" xfId="11011"/>
    <cellStyle name="常规 4 22 2 3" xfId="11012"/>
    <cellStyle name="Output" xfId="11013"/>
    <cellStyle name="Output 2" xfId="11014"/>
    <cellStyle name="百分比 2 3 3 2 3" xfId="11015"/>
    <cellStyle name="Output 2 2" xfId="11016"/>
    <cellStyle name="Output 3" xfId="11017"/>
    <cellStyle name="好_55-资产减值损失（空白模板） 5_明细表 3" xfId="11018"/>
    <cellStyle name="Output Amounts" xfId="11019"/>
    <cellStyle name="差_持有至到期投资 4" xfId="11020"/>
    <cellStyle name="Output Amounts 2" xfId="11021"/>
    <cellStyle name="Output Column Headings" xfId="11022"/>
    <cellStyle name="好_资产负债标准底稿 10 2 2" xfId="11023"/>
    <cellStyle name="好_1长期借款 2" xfId="11024"/>
    <cellStyle name="好_27-短期借款(空白模板) 8_明细表 4" xfId="11025"/>
    <cellStyle name="好_1固定资产 7 2 5" xfId="11026"/>
    <cellStyle name="好_1长期借款 2 2" xfId="11027"/>
    <cellStyle name="Output Column Headings 2" xfId="11028"/>
    <cellStyle name="Output Line Items" xfId="11029"/>
    <cellStyle name="Output Line Items 2" xfId="11030"/>
    <cellStyle name="差_底稿设置宏 4 5" xfId="11031"/>
    <cellStyle name="Output Report Heading" xfId="11032"/>
    <cellStyle name="常规 3 3 2 4 3 4" xfId="11033"/>
    <cellStyle name="常规 2 3 2 9 3" xfId="11034"/>
    <cellStyle name="Output Report Heading 2" xfId="11035"/>
    <cellStyle name="Output Report Title" xfId="11036"/>
    <cellStyle name="差_ZL长期应收款 3 3" xfId="11037"/>
    <cellStyle name="好_资产负债标准底稿_大信底稿目录 8_明细表 5" xfId="11038"/>
    <cellStyle name="SAPBEXHLevel1X 4 3" xfId="11039"/>
    <cellStyle name="常规 2 5 2 5 2 5" xfId="11040"/>
    <cellStyle name="Output Report Title 2" xfId="11041"/>
    <cellStyle name="百分比 10 4" xfId="11042"/>
    <cellStyle name="SAPBEXexcGood3 3 3" xfId="11043"/>
    <cellStyle name="per.style" xfId="11044"/>
    <cellStyle name="常规 2 5 4 2 3" xfId="11045"/>
    <cellStyle name="per.style 2" xfId="11046"/>
    <cellStyle name="标题 2 2 3 8" xfId="11047"/>
    <cellStyle name="Percent [0%]" xfId="11048"/>
    <cellStyle name="Percent [0%] 2" xfId="11049"/>
    <cellStyle name="Percent [0.00%]" xfId="11050"/>
    <cellStyle name="Percent [0.00%] 2" xfId="11051"/>
    <cellStyle name="Percent [00]" xfId="11052"/>
    <cellStyle name="好_41-预计负债（空白模板） 3" xfId="11053"/>
    <cellStyle name="Percent [00] 2" xfId="11054"/>
    <cellStyle name="t]_x000d__x000a_color schemes=默认 Windows_x000d__x000a__x000d__x000a_[color schemes]_x000d__x000a_Arizona=804000,FFFFFF,FFFFFF,0,FFFFFF,0,808040,C0C0C0,FFFFF 2" xfId="11055"/>
    <cellStyle name="Percent [2] 2" xfId="11056"/>
    <cellStyle name="t]_x000d__x000a_color schemes=默认 Windows_x000d__x000a__x000d__x000a_[color schemes]_x000d__x000a_Arizona=804000,FFFFFF,FFFFFF,0,FFFFFF,0,808040,C0C0C0,FFFFF 3" xfId="11057"/>
    <cellStyle name="Percent [2] 3" xfId="11058"/>
    <cellStyle name="差_4-应收账款（空白模板） 9 3" xfId="11059"/>
    <cellStyle name="Percent [2] 3 2" xfId="11060"/>
    <cellStyle name="Percent [2] 4" xfId="11061"/>
    <cellStyle name="常规 3 5 2 5 3 2" xfId="11062"/>
    <cellStyle name="Percent [2] 5" xfId="11063"/>
    <cellStyle name="常规 3 5 2 5 3 3" xfId="11064"/>
    <cellStyle name="Percent [2] 6" xfId="11065"/>
    <cellStyle name="Percent [2]P 10" xfId="11066"/>
    <cellStyle name="Percent [2]P 11" xfId="11067"/>
    <cellStyle name="好_ZA0货币资金审定表  4_明细表" xfId="11068"/>
    <cellStyle name="Percent [2]P 12" xfId="11069"/>
    <cellStyle name="Percent [2]P 13" xfId="11070"/>
    <cellStyle name="好_55-资产减值损失（空白模板） 6 3 2" xfId="11071"/>
    <cellStyle name="Percent [2]P 14" xfId="11072"/>
    <cellStyle name="Percent [2]P 15" xfId="11073"/>
    <cellStyle name="Percent [2]P 4" xfId="11074"/>
    <cellStyle name="Percent [2]P 5" xfId="11075"/>
    <cellStyle name="公司标准表 2 4" xfId="11076"/>
    <cellStyle name="Percent [2]P 8" xfId="11077"/>
    <cellStyle name="Percent 10" xfId="11078"/>
    <cellStyle name="常规_59-营业外支出（空白模板） 2" xfId="11079"/>
    <cellStyle name="差__dxn_temp货币资金-截止测试 3" xfId="11080"/>
    <cellStyle name="SAPBEXaggItemX 4 3" xfId="11081"/>
    <cellStyle name="Percent 10 2" xfId="11082"/>
    <cellStyle name="Percent 11" xfId="11083"/>
    <cellStyle name="SAPBEXaggItemX 5 3" xfId="11084"/>
    <cellStyle name="Percent 11 2" xfId="11085"/>
    <cellStyle name="Percent 12 2" xfId="11086"/>
    <cellStyle name="Percent 12 3" xfId="11087"/>
    <cellStyle name="Percent 12 5" xfId="11088"/>
    <cellStyle name="Percent 12 6" xfId="11089"/>
    <cellStyle name="Percent 13" xfId="11090"/>
    <cellStyle name="Percent 13 2" xfId="11091"/>
    <cellStyle name="Percent 13 3" xfId="11092"/>
    <cellStyle name="Percent 13 4" xfId="11093"/>
    <cellStyle name="差_底稿设置宏_明细表_1 2" xfId="11094"/>
    <cellStyle name="Percent 13 5" xfId="11095"/>
    <cellStyle name="差_底稿设置宏_明细表_1 3" xfId="11096"/>
    <cellStyle name="Percent 13 6" xfId="11097"/>
    <cellStyle name="差_底稿设置宏_明细表_1 4" xfId="11098"/>
    <cellStyle name="Percent 14" xfId="11099"/>
    <cellStyle name="Percent 14 2" xfId="11100"/>
    <cellStyle name="Percent 14 3" xfId="11101"/>
    <cellStyle name="Percent 14 4" xfId="11102"/>
    <cellStyle name="好_应付职工薪酬" xfId="11103"/>
    <cellStyle name="Percent 14 5" xfId="11104"/>
    <cellStyle name="Percent 14 6" xfId="11105"/>
    <cellStyle name="Percent 15" xfId="11106"/>
    <cellStyle name="Percent 20" xfId="11107"/>
    <cellStyle name="Percent 15 2" xfId="11108"/>
    <cellStyle name="Percent 20 2" xfId="11109"/>
    <cellStyle name="Percent 15 3" xfId="11110"/>
    <cellStyle name="Percent 15 4" xfId="11111"/>
    <cellStyle name="Percent 15 5" xfId="11112"/>
    <cellStyle name="Percent 15 6" xfId="11113"/>
    <cellStyle name="Percent 16" xfId="11114"/>
    <cellStyle name="Percent 21" xfId="11115"/>
    <cellStyle name="Percent 17" xfId="11116"/>
    <cellStyle name="好_4-应收账款（空白模板） 17 2" xfId="11117"/>
    <cellStyle name="常规 3 15 2 2" xfId="11118"/>
    <cellStyle name="常规 3 20 2 2" xfId="11119"/>
    <cellStyle name="常规 2 7_附注表一（财务报表）" xfId="11120"/>
    <cellStyle name="好_预收款项 6_附注表一（财务报表）" xfId="11121"/>
    <cellStyle name="Percent 17 2" xfId="11122"/>
    <cellStyle name="好_4-应收账款（空白模板） 17 2 2" xfId="11123"/>
    <cellStyle name="常规 3 15 2 4" xfId="11124"/>
    <cellStyle name="常规 3 20 2 4" xfId="11125"/>
    <cellStyle name="好_51-营业税金及附加（空白模板） 2 3 3" xfId="11126"/>
    <cellStyle name="Percent 19" xfId="11127"/>
    <cellStyle name="好_4-应收账款（空白模板） 17 4" xfId="11128"/>
    <cellStyle name="Percent 19 2" xfId="11129"/>
    <cellStyle name="Percent 2" xfId="11130"/>
    <cellStyle name="Percent 2 2" xfId="11131"/>
    <cellStyle name="差_往来款项函证结果汇总表 3" xfId="11132"/>
    <cellStyle name="Percent 2 2 2" xfId="11133"/>
    <cellStyle name="差_往来款项函证结果汇总表 3 2" xfId="11134"/>
    <cellStyle name="Percent 2 2 2 2" xfId="11135"/>
    <cellStyle name="差_往来款项函证结果汇总表 4" xfId="11136"/>
    <cellStyle name="Percent 2 2 3" xfId="11137"/>
    <cellStyle name="Percent 2 2 3 2" xfId="11138"/>
    <cellStyle name="Percent 2 2 4" xfId="11139"/>
    <cellStyle name="差_底稿设置宏 10" xfId="11140"/>
    <cellStyle name="Percent 2 3 2" xfId="11141"/>
    <cellStyle name="Percent 2 3 2 2" xfId="11142"/>
    <cellStyle name="差_1固定资产 9" xfId="11143"/>
    <cellStyle name="Percent 2 3 3" xfId="11144"/>
    <cellStyle name="Percent 2 4 3" xfId="11145"/>
    <cellStyle name="Percent 2 4 4" xfId="11146"/>
    <cellStyle name="Percent 2 4 5" xfId="11147"/>
    <cellStyle name="Percent 2 4 6" xfId="11148"/>
    <cellStyle name="好_31-预收账款（空白模板）_明细表 2 2" xfId="11149"/>
    <cellStyle name="Percent 2 4 7" xfId="11150"/>
    <cellStyle name="Percent 2 5" xfId="11151"/>
    <cellStyle name="好_QD 未分配利润" xfId="11152"/>
    <cellStyle name="差_Spreadsheet" xfId="11153"/>
    <cellStyle name="Percent 2 6" xfId="11154"/>
    <cellStyle name="Percent 2 7" xfId="11155"/>
    <cellStyle name="Percent 2 8" xfId="11156"/>
    <cellStyle name="Percent 2 9" xfId="11157"/>
    <cellStyle name="Percent 3" xfId="11158"/>
    <cellStyle name="Percent 3 2" xfId="11159"/>
    <cellStyle name="Percent 3 2 2" xfId="11160"/>
    <cellStyle name="好_期初余额查验" xfId="11161"/>
    <cellStyle name="Percent 3 3" xfId="11162"/>
    <cellStyle name="好_期初余额查验 2" xfId="11163"/>
    <cellStyle name="Percent 3 3 2" xfId="11164"/>
    <cellStyle name="Percent 3 4" xfId="11165"/>
    <cellStyle name="Percent 4" xfId="11166"/>
    <cellStyle name="Subtotal" xfId="11167"/>
    <cellStyle name="Percent 4 2 3" xfId="11168"/>
    <cellStyle name="好_短期借款 12_明细表 5" xfId="11169"/>
    <cellStyle name="差_短期借款 11 2 2" xfId="11170"/>
    <cellStyle name="Percent 4 3" xfId="11171"/>
    <cellStyle name="Percent 4 3 2" xfId="11172"/>
    <cellStyle name="差_短期借款 11 2 3" xfId="11173"/>
    <cellStyle name="Percent 4 4" xfId="11174"/>
    <cellStyle name="常规 2 2 2 2 2 5" xfId="11175"/>
    <cellStyle name="Percent 4 4 2" xfId="11176"/>
    <cellStyle name="差_短期借款 11 2 4" xfId="11177"/>
    <cellStyle name="Percent 4 5" xfId="11178"/>
    <cellStyle name="Percent 4 5 2" xfId="11179"/>
    <cellStyle name="差_短期借款 11 2 5" xfId="11180"/>
    <cellStyle name="差_大信底稿目录 8_明细表" xfId="11181"/>
    <cellStyle name="Percent 4 6" xfId="11182"/>
    <cellStyle name="Percent 5 2 2" xfId="11183"/>
    <cellStyle name="Percent 5 3" xfId="11184"/>
    <cellStyle name="好_4-应收账款（空白模板） 5 2 3" xfId="11185"/>
    <cellStyle name="Percent 6" xfId="11186"/>
    <cellStyle name="好_4-应收账款（空白模板） 5 3" xfId="11187"/>
    <cellStyle name="Percent 6 2" xfId="11188"/>
    <cellStyle name="好_4-应收账款（空白模板） 5 3 2" xfId="11189"/>
    <cellStyle name="好_复件 固定资产 11_明细表 4" xfId="11190"/>
    <cellStyle name="Percent 6 2 2" xfId="11191"/>
    <cellStyle name="Percent 6 3" xfId="11192"/>
    <cellStyle name="Percent 7" xfId="11193"/>
    <cellStyle name="好_4-应收账款（空白模板） 5 4" xfId="11194"/>
    <cellStyle name="Percent 8" xfId="11195"/>
    <cellStyle name="好_4-应收账款（空白模板） 5 5" xfId="11196"/>
    <cellStyle name="Percent 8 2" xfId="11197"/>
    <cellStyle name="好_大信底稿目录 8_明细表 5" xfId="11198"/>
    <cellStyle name="好_往来款项函证结果汇总表_明细表 3" xfId="11199"/>
    <cellStyle name="Percent 8 2 2" xfId="11200"/>
    <cellStyle name="Percent 8 3" xfId="11201"/>
    <cellStyle name="好_49-营业收入（空白模板） 12 2" xfId="11202"/>
    <cellStyle name="常规 2 2 14_附注表一（财务报表）" xfId="11203"/>
    <cellStyle name="标题 4 2 2 2" xfId="11204"/>
    <cellStyle name="Percent 8 4" xfId="11205"/>
    <cellStyle name="好_50-营业成本（空白模板） 4 3 2" xfId="11206"/>
    <cellStyle name="Percent 9" xfId="11207"/>
    <cellStyle name="好_40-专项应付款(空白模板) 17 2 3" xfId="11208"/>
    <cellStyle name="Percent 9 2" xfId="11209"/>
    <cellStyle name="好_货币资金 8" xfId="11210"/>
    <cellStyle name="Percent[0] 2 2" xfId="11211"/>
    <cellStyle name="好_货币资金 9" xfId="11212"/>
    <cellStyle name="Percent[0] 2 3" xfId="11213"/>
    <cellStyle name="Percent[0] 2 4" xfId="11214"/>
    <cellStyle name="差_ZA0货币资金审定表  2 2" xfId="11215"/>
    <cellStyle name="Percent[0] 2 5" xfId="11216"/>
    <cellStyle name="差_底稿设置宏 10 2 5" xfId="11217"/>
    <cellStyle name="Percent[0] 3" xfId="11218"/>
    <cellStyle name="Percent[0] 4" xfId="11219"/>
    <cellStyle name="Percent[0] 6" xfId="11220"/>
    <cellStyle name="好_ZA货币资金 2 2 3" xfId="11221"/>
    <cellStyle name="Percent[0] 7" xfId="11222"/>
    <cellStyle name="Percent[2]" xfId="11223"/>
    <cellStyle name="好_应收利息 16 2 4" xfId="11224"/>
    <cellStyle name="Percent[2] 2" xfId="11225"/>
    <cellStyle name="Percent[2] 2 2" xfId="11226"/>
    <cellStyle name="Percent[2] 2 3" xfId="11227"/>
    <cellStyle name="Percent[2] 2 4" xfId="11228"/>
    <cellStyle name="Percent[2] 2 6" xfId="11229"/>
    <cellStyle name="Percent[2] 3" xfId="11230"/>
    <cellStyle name="Percent[2] 4" xfId="11231"/>
    <cellStyle name="Percent[2] 5" xfId="11232"/>
    <cellStyle name="Percent[2] 6" xfId="11233"/>
    <cellStyle name="Percent[2] 7" xfId="11234"/>
    <cellStyle name="标题 2 2 5 2" xfId="11235"/>
    <cellStyle name="好_1资产减值损失 7 2 5" xfId="11236"/>
    <cellStyle name="Percent_!!!GO" xfId="11237"/>
    <cellStyle name="Porcentaje 2" xfId="11238"/>
    <cellStyle name="常规 5 2 5" xfId="11239"/>
    <cellStyle name="Pourcentage_pldt" xfId="11240"/>
    <cellStyle name="差_49-营业收入（空白模板） 9 2 3" xfId="11241"/>
    <cellStyle name="好_资产负债标准底稿 10_明细表 2" xfId="11242"/>
    <cellStyle name="Prefilled" xfId="11243"/>
    <cellStyle name="Prefilled 2" xfId="11244"/>
    <cellStyle name="样式 1 2 2" xfId="11245"/>
    <cellStyle name="差_1-销售与收款循环 3" xfId="11246"/>
    <cellStyle name="Prefilled 2 2" xfId="11247"/>
    <cellStyle name="样式 1 2 3" xfId="11248"/>
    <cellStyle name="差_1-销售与收款循环 4" xfId="11249"/>
    <cellStyle name="Prefilled 2 3" xfId="11250"/>
    <cellStyle name="好_资产减值损失 4 4" xfId="11251"/>
    <cellStyle name="差_大信底稿目录 3_明细表" xfId="11252"/>
    <cellStyle name="Prefilled 3" xfId="11253"/>
    <cellStyle name="好_资产减值损失 4 4 2" xfId="11254"/>
    <cellStyle name="差_大信底稿目录 3_明细表 2" xfId="11255"/>
    <cellStyle name="Prefilled 3 2" xfId="11256"/>
    <cellStyle name="差_大信底稿目录 3_明细表 3" xfId="11257"/>
    <cellStyle name="Prefilled 3 3" xfId="11258"/>
    <cellStyle name="Prefilled 4" xfId="11259"/>
    <cellStyle name="Prefilled 4 2" xfId="11260"/>
    <cellStyle name="好_G-应收账款 2 2" xfId="11261"/>
    <cellStyle name="Prefilled 4 3" xfId="11262"/>
    <cellStyle name="Prefilled 5" xfId="11263"/>
    <cellStyle name="Prefilled 6" xfId="11264"/>
    <cellStyle name="差_无形资产 4 4" xfId="11265"/>
    <cellStyle name="Preisliste 2" xfId="11266"/>
    <cellStyle name="好_50-营业成本（空白模板）_3固定资产 2" xfId="11267"/>
    <cellStyle name="超链接 2 12 2 5" xfId="11268"/>
    <cellStyle name="PrePop Currency (0) 2" xfId="11269"/>
    <cellStyle name="SAPBEXstdItem 7" xfId="11270"/>
    <cellStyle name="PrePop Currency (2)" xfId="11271"/>
    <cellStyle name="好_5.2-特别风险应对底稿 2" xfId="11272"/>
    <cellStyle name="PrePop Units (2)" xfId="11273"/>
    <cellStyle name="PrePop Units (2) 2" xfId="11274"/>
    <cellStyle name="price" xfId="11275"/>
    <cellStyle name="price 2" xfId="11276"/>
    <cellStyle name="pricing" xfId="11277"/>
    <cellStyle name="Prozent_HP PLotter_open" xfId="11278"/>
    <cellStyle name="PSChar" xfId="11279"/>
    <cellStyle name="好_递延所得税资产 - 复制 2 3" xfId="11280"/>
    <cellStyle name="差_1预收款项 9 2 3" xfId="11281"/>
    <cellStyle name="PSChar 2" xfId="11282"/>
    <cellStyle name="PSChar 3" xfId="11283"/>
    <cellStyle name="好_资产减值损失 8 2 5" xfId="11284"/>
    <cellStyle name="好_15-固定资产（空白模板） 6_明细表 2" xfId="11285"/>
    <cellStyle name="PSChar 4" xfId="11286"/>
    <cellStyle name="好_预收款项 13_附注表一（财务报表）" xfId="11287"/>
    <cellStyle name="PSDate" xfId="11288"/>
    <cellStyle name="好_资产负债标准底稿 3 2 5" xfId="11289"/>
    <cellStyle name="差_1预收款项 17" xfId="11290"/>
    <cellStyle name="差_1预收款项 22" xfId="11291"/>
    <cellStyle name="PSDate 2" xfId="11292"/>
    <cellStyle name="PSDec" xfId="11293"/>
    <cellStyle name="PSHeading" xfId="11294"/>
    <cellStyle name="常规 2 5 3 2 5" xfId="11295"/>
    <cellStyle name="PSHeading 2" xfId="11296"/>
    <cellStyle name="PSHeading 3" xfId="11297"/>
    <cellStyle name="PSHeading 4" xfId="11298"/>
    <cellStyle name="SAPBEXresDataEmph 3 2" xfId="11299"/>
    <cellStyle name="PSInt" xfId="11300"/>
    <cellStyle name="好_预收款项 16 4" xfId="11301"/>
    <cellStyle name="PSInt 2" xfId="11302"/>
    <cellStyle name="好_1专项应付款 4 2" xfId="11303"/>
    <cellStyle name="差_ZH其他应收款 2 4" xfId="11304"/>
    <cellStyle name="PSSpacer" xfId="11305"/>
    <cellStyle name="好_1专项应付款 4 2 2" xfId="11306"/>
    <cellStyle name="SAPBEXaggItem 6" xfId="11307"/>
    <cellStyle name="PSSpacer 2" xfId="11308"/>
    <cellStyle name="好_短期借款 10 2" xfId="11309"/>
    <cellStyle name="好_1营业收入_明细表 2 4" xfId="11310"/>
    <cellStyle name="pwstyle" xfId="11311"/>
    <cellStyle name="好_现金与银行存款ZA" xfId="11312"/>
    <cellStyle name="好_短期借款 10 2 2" xfId="11313"/>
    <cellStyle name="pwstyle 2" xfId="11314"/>
    <cellStyle name="Red" xfId="11315"/>
    <cellStyle name="差_预收款项 5_明细表 4" xfId="11316"/>
    <cellStyle name="revised" xfId="11317"/>
    <cellStyle name="revised 2" xfId="11318"/>
    <cellStyle name="revised 2 2" xfId="11319"/>
    <cellStyle name="revised 4" xfId="11320"/>
    <cellStyle name="revised 5" xfId="11321"/>
    <cellStyle name="revised 6" xfId="11322"/>
    <cellStyle name="差_1预收款项 6" xfId="11323"/>
    <cellStyle name="好__dxn_temp空白表页 7 2 2" xfId="11324"/>
    <cellStyle name="好_无形资产 10 3" xfId="11325"/>
    <cellStyle name="RevList" xfId="11326"/>
    <cellStyle name="差_1预收款项 6 2" xfId="11327"/>
    <cellStyle name="RevList 2" xfId="11328"/>
    <cellStyle name="差_1预收款项 6 3" xfId="11329"/>
    <cellStyle name="RevList 3" xfId="11330"/>
    <cellStyle name="常规 3 19 2 4" xfId="11331"/>
    <cellStyle name="常规 3 24 2 4" xfId="11332"/>
    <cellStyle name="RM" xfId="11333"/>
    <cellStyle name="RM 2" xfId="11334"/>
    <cellStyle name="row_def_array" xfId="11335"/>
    <cellStyle name="RowLevel_0" xfId="11336"/>
    <cellStyle name="好_4-应收账款（空白模板） 4_明细表" xfId="11337"/>
    <cellStyle name="常规 3 8 3" xfId="11338"/>
    <cellStyle name="s]_x000d__x000a_;load=C:\WINDOWS\NUMBER9\HAWKEYE.EXE C:\CSTAR20\CSTAR20.EXE_x000d__x000a_run=_x000d__x000a_Beep=yes_x000d__x000a_NullPort=None_x000d__x000a_BorderWidth=3_x000d__x000a_CursorBl 2" xfId="11339"/>
    <cellStyle name="差_ZD应收账款 2 2 2" xfId="11340"/>
    <cellStyle name="s]_x000d__x000a_spooler=yes_x000d__x000a_load=c:\windows\number9\hawkeye.exe c:\cstar20\cstar20.exe_x000d__x000a_run=_x000d__x000a_Beep=yes_x000d__x000a_NullPort=None_x000d__x000a_BorderWidth" xfId="11341"/>
    <cellStyle name="s]_x000d__x000a_spooler=yes_x000d__x000a_load=c:\windows\number9\hawkeye.exe c:\cstar20\cstar20.exe_x000d__x000a_run=_x000d__x000a_Beep=yes_x000d__x000a_NullPort=None_x000d__x000a_BorderWidth 2" xfId="11342"/>
    <cellStyle name="好_附注表(二)" xfId="11343"/>
    <cellStyle name="常规 2 6 7" xfId="11344"/>
    <cellStyle name="s]_x000d__x000a_spooler=yes_x000d__x000a_load=mbtn.exe_x000d__x000a_run=_x000d__x000a_Beep=yes_x000d__x000a_NullPort=None_x000d__x000a_BorderWidth=1_x000d__x000a_CursorBlinkRate=522_x000d__x000a_DoubleClickSpeed=740" xfId="11345"/>
    <cellStyle name="常规 3 2 4 2 5" xfId="11346"/>
    <cellStyle name="常规 6 12 3" xfId="11347"/>
    <cellStyle name="SAPBEXaggData" xfId="11348"/>
    <cellStyle name="常规 6 12 3 2" xfId="11349"/>
    <cellStyle name="SAPBEXaggData 2" xfId="11350"/>
    <cellStyle name="SAPBEXaggData 2 2" xfId="11351"/>
    <cellStyle name="SAPBEXaggData 2 3" xfId="11352"/>
    <cellStyle name="好_49-营业收入（空白模板）_明细表 2 2" xfId="11353"/>
    <cellStyle name="常规 6 12 3 3" xfId="11354"/>
    <cellStyle name="SAPBEXaggData 3" xfId="11355"/>
    <cellStyle name="SAPBEXaggData 3 2" xfId="11356"/>
    <cellStyle name="SAPBEXaggData 3 3" xfId="11357"/>
    <cellStyle name="好_49-营业收入（空白模板）_明细表 2 3" xfId="11358"/>
    <cellStyle name="常规 9 4 5 2" xfId="11359"/>
    <cellStyle name="SAPBEXaggData 4" xfId="11360"/>
    <cellStyle name="常规 9 4 5 2 2" xfId="11361"/>
    <cellStyle name="标题 3 2 2_附注表一（财务报表）" xfId="11362"/>
    <cellStyle name="SAPBEXaggData 4 2" xfId="11363"/>
    <cellStyle name="常规 9 4 5 2 3" xfId="11364"/>
    <cellStyle name="SAPBEXaggData 4 3" xfId="11365"/>
    <cellStyle name="常规 9 4 5 3 2" xfId="11366"/>
    <cellStyle name="常规 2 3 2 4 2 2" xfId="11367"/>
    <cellStyle name="SAPBEXaggData 5 2" xfId="11368"/>
    <cellStyle name="常规 9 4 5 3 3" xfId="11369"/>
    <cellStyle name="常规 2 3 2 4 2 3" xfId="11370"/>
    <cellStyle name="SAPBEXaggData 5 3" xfId="11371"/>
    <cellStyle name="好_49-营业收入（空白模板）_明细表 2 5" xfId="11372"/>
    <cellStyle name="常规 9 4 5 4" xfId="11373"/>
    <cellStyle name="SAPBEXaggData 6" xfId="11374"/>
    <cellStyle name="SAPBEXaggDataEmph" xfId="11375"/>
    <cellStyle name="好_40-专项应付款(空白模板) 6_明细表" xfId="11376"/>
    <cellStyle name="SAPBEXaggDataEmph 2" xfId="11377"/>
    <cellStyle name="好_40-专项应付款(空白模板) 6_明细表 2" xfId="11378"/>
    <cellStyle name="SAPBEXaggDataEmph 2 2" xfId="11379"/>
    <cellStyle name="好_40-专项应付款(空白模板) 6_明细表 3" xfId="11380"/>
    <cellStyle name="SAPBEXaggDataEmph 2 3" xfId="11381"/>
    <cellStyle name="SAPBEXaggDataEmph 3" xfId="11382"/>
    <cellStyle name="SAPBEXaggDataEmph 3 3" xfId="11383"/>
    <cellStyle name="SAPBEXaggDataEmph 6" xfId="11384"/>
    <cellStyle name="SAPBEXaggDataEmph 7" xfId="11385"/>
    <cellStyle name="SAPBEXaggItem" xfId="11386"/>
    <cellStyle name="常规 2 9 4" xfId="11387"/>
    <cellStyle name="SAPBEXaggItem 2" xfId="11388"/>
    <cellStyle name="SAPBEXaggItem 2 2" xfId="11389"/>
    <cellStyle name="SAPBEXaggItem 2 3" xfId="11390"/>
    <cellStyle name="常规 2 9 5" xfId="11391"/>
    <cellStyle name="SAPBEXaggItem 3" xfId="11392"/>
    <cellStyle name="好_附注表(二) 2 3" xfId="11393"/>
    <cellStyle name="SAPBEXaggItem 3 2" xfId="11394"/>
    <cellStyle name="SAPBEXaggItem 3 3" xfId="11395"/>
    <cellStyle name="常规 2 9 6" xfId="11396"/>
    <cellStyle name="SAPBEXaggItem 4" xfId="11397"/>
    <cellStyle name="常规 2 9 6 2" xfId="11398"/>
    <cellStyle name="差_底稿设置宏 6 2 3" xfId="11399"/>
    <cellStyle name="SAPBEXaggItem 4 2" xfId="11400"/>
    <cellStyle name="差_32-应付职工薪酬(空白模板) 9" xfId="11401"/>
    <cellStyle name="超链接 4 2 2" xfId="11402"/>
    <cellStyle name="常规 2 9 6 3" xfId="11403"/>
    <cellStyle name="差_底稿设置宏 6 2 4" xfId="11404"/>
    <cellStyle name="SAPBEXaggItem 4 3" xfId="11405"/>
    <cellStyle name="常规 2 9 7" xfId="11406"/>
    <cellStyle name="SAPBEXaggItem 5" xfId="11407"/>
    <cellStyle name="常规 2 9 7 2" xfId="11408"/>
    <cellStyle name="SAPBEXaggItem 5 2" xfId="11409"/>
    <cellStyle name="超链接 4 3 2" xfId="11410"/>
    <cellStyle name="常规 2 9 7 3" xfId="11411"/>
    <cellStyle name="SAPBEXaggItem 5 3" xfId="11412"/>
    <cellStyle name="好_财务费用 9_明细表" xfId="11413"/>
    <cellStyle name="好_1专项应付款 4 2 3" xfId="11414"/>
    <cellStyle name="SAPBEXaggItem 7" xfId="11415"/>
    <cellStyle name="差_39-长期应付款（空白模板） 3" xfId="11416"/>
    <cellStyle name="SAPBEXaggItemX" xfId="11417"/>
    <cellStyle name="差_39-长期应付款（空白模板） 3 2" xfId="11418"/>
    <cellStyle name="SAPBEXaggItemX 2" xfId="11419"/>
    <cellStyle name="差_财务费用000" xfId="11420"/>
    <cellStyle name="SAPBEXaggItemX 2 2" xfId="11421"/>
    <cellStyle name="SAPBEXaggItemX 2 3" xfId="11422"/>
    <cellStyle name="SAPBEXaggItemX 3" xfId="11423"/>
    <cellStyle name="好_财务费用 5 2 3" xfId="11424"/>
    <cellStyle name="好_资产负债类底稿模版 5 2 3" xfId="11425"/>
    <cellStyle name="SAPBEXaggItemX 3 2" xfId="11426"/>
    <cellStyle name="好_财务费用 5 2 4" xfId="11427"/>
    <cellStyle name="好_资产负债类底稿模版 5 2 4" xfId="11428"/>
    <cellStyle name="SAPBEXaggItemX 3 3" xfId="11429"/>
    <cellStyle name="差__dxn_temp货币资金-截止测试" xfId="11430"/>
    <cellStyle name="SAPBEXaggItemX 4" xfId="11431"/>
    <cellStyle name="差__dxn_temp货币资金-截止测试 2" xfId="11432"/>
    <cellStyle name="好_资产负债类底稿模版 5 3 3" xfId="11433"/>
    <cellStyle name="SAPBEXaggItemX 4 2" xfId="11434"/>
    <cellStyle name="SAPBEXaggItemX 5" xfId="11435"/>
    <cellStyle name="SAPBEXaggItemX 5 2" xfId="11436"/>
    <cellStyle name="SAPBEXaggItemX 7" xfId="11437"/>
    <cellStyle name="常规 2 3 24 3 2" xfId="11438"/>
    <cellStyle name="常规 2 4 2 9 3" xfId="11439"/>
    <cellStyle name="SAPBEXchaText" xfId="11440"/>
    <cellStyle name="SAPBEXchaText 2" xfId="11441"/>
    <cellStyle name="SAPBEXchaText 2 2" xfId="11442"/>
    <cellStyle name="SAPBEXchaText 3" xfId="11443"/>
    <cellStyle name="SAPBEXchaText 4" xfId="11444"/>
    <cellStyle name="SAPBEXchaText 5" xfId="11445"/>
    <cellStyle name="SAPBEXchaText 6" xfId="11446"/>
    <cellStyle name="SAPBEXexcBad7 2 2" xfId="11447"/>
    <cellStyle name="SAPBEXexcBad7 2 3" xfId="11448"/>
    <cellStyle name="SAPBEXexcBad7 3" xfId="11449"/>
    <cellStyle name="SAPBEXexcBad7 3 2" xfId="11450"/>
    <cellStyle name="SAPBEXexcBad7 3 3" xfId="11451"/>
    <cellStyle name="SAPBEXexcBad7 4" xfId="11452"/>
    <cellStyle name="SAPBEXexcBad7 4 2" xfId="11453"/>
    <cellStyle name="SAPBEXexcBad7 4 3" xfId="11454"/>
    <cellStyle name="SAPBEXexcBad7 5 3" xfId="11455"/>
    <cellStyle name="SAPBEXexcBad7 6" xfId="11456"/>
    <cellStyle name="SAPBEXexcBad7 7" xfId="11457"/>
    <cellStyle name="常规 2 2 2 2 6 2" xfId="11458"/>
    <cellStyle name="好_资产负债标准底稿 16 6" xfId="11459"/>
    <cellStyle name="好_27-短期借款(空白模板) 25" xfId="11460"/>
    <cellStyle name="好_27-短期借款(空白模板) 30" xfId="11461"/>
    <cellStyle name="常规 3 3 2 5 5" xfId="11462"/>
    <cellStyle name="SAPBEXexcBad8" xfId="11463"/>
    <cellStyle name="SAPBEXexcBad8 2" xfId="11464"/>
    <cellStyle name="SAPBEXexcBad8 2 2" xfId="11465"/>
    <cellStyle name="SAPBEXexcBad8 2 3" xfId="11466"/>
    <cellStyle name="SAPBEXexcBad8 3" xfId="11467"/>
    <cellStyle name="SAPBEXexcBad8 3 2" xfId="11468"/>
    <cellStyle name="SAPBEXexcBad8 3 3" xfId="11469"/>
    <cellStyle name="SAPBEXexcBad8 4" xfId="11470"/>
    <cellStyle name="差_4-应收账款（空白模板） 2 6" xfId="11471"/>
    <cellStyle name="SAPBEXexcBad8 4 2" xfId="11472"/>
    <cellStyle name="差__dxn_temp货币资金-保险柜检查记录表 2" xfId="11473"/>
    <cellStyle name="SAPBEXexcBad8 5" xfId="11474"/>
    <cellStyle name="SAPBEXexcBad8 5 2" xfId="11475"/>
    <cellStyle name="SAPBEXexcBad8 5 3" xfId="11476"/>
    <cellStyle name="差__dxn_temp货币资金-保险柜检查记录表 3" xfId="11477"/>
    <cellStyle name="SAPBEXexcBad8 6" xfId="11478"/>
    <cellStyle name="SAPBEXexcBad8 7" xfId="11479"/>
    <cellStyle name="常规 2 2 2 2 7 2" xfId="11480"/>
    <cellStyle name="好_27-短期借款(空白模板) 26" xfId="11481"/>
    <cellStyle name="好_27-短期借款(空白模板) 31" xfId="11482"/>
    <cellStyle name="常规 3 3 2 5 6" xfId="11483"/>
    <cellStyle name="常规 9 4 2 2 2" xfId="11484"/>
    <cellStyle name="SAPBEXexcBad9" xfId="11485"/>
    <cellStyle name="常规 9 4 2 2 2 2 3" xfId="11486"/>
    <cellStyle name="SAPBEXexcBad9 2 3" xfId="11487"/>
    <cellStyle name="常规 9 4 2 2 2 3" xfId="11488"/>
    <cellStyle name="SAPBEXexcBad9 3" xfId="11489"/>
    <cellStyle name="常规 9 4 2 2 2 3 2" xfId="11490"/>
    <cellStyle name="SAPBEXexcBad9 3 2" xfId="11491"/>
    <cellStyle name="常规 9 4 2 2 2 3 3" xfId="11492"/>
    <cellStyle name="SAPBEXexcBad9 3 3" xfId="11493"/>
    <cellStyle name="好_30-应付账款（空白模板） 7" xfId="11494"/>
    <cellStyle name="SAPBEXexcBad9 5 3" xfId="11495"/>
    <cellStyle name="SAPBEXexcCritical4" xfId="11496"/>
    <cellStyle name="差_复件 固定资产 14 3" xfId="11497"/>
    <cellStyle name="SAPBEXexcCritical4 2 3" xfId="11498"/>
    <cellStyle name="差_复件 固定资产 15" xfId="11499"/>
    <cellStyle name="SAPBEXexcCritical4 3" xfId="11500"/>
    <cellStyle name="SAPBEXexcCritical4 3 2" xfId="11501"/>
    <cellStyle name="SAPBEXexcCritical4 3 3" xfId="11502"/>
    <cellStyle name="SAPBEXexcCritical4 4" xfId="11503"/>
    <cellStyle name="好_银行函证结果汇总表 12_附注表一（财务报表）" xfId="11504"/>
    <cellStyle name="SAPBEXexcCritical4 4 2" xfId="11505"/>
    <cellStyle name="SAPBEXexcCritical4 4 3" xfId="11506"/>
    <cellStyle name="SAPBEXexcCritical4 5" xfId="11507"/>
    <cellStyle name="SAPBEXexcCritical4 5 2" xfId="11508"/>
    <cellStyle name="好_QB资本公积 2 2" xfId="11509"/>
    <cellStyle name="SAPBEXexcCritical4 5 3" xfId="11510"/>
    <cellStyle name="SAPBEXexcCritical4 6" xfId="11511"/>
    <cellStyle name="SAPBEXexcCritical4 7" xfId="11512"/>
    <cellStyle name="SAPBEXexcCritical5" xfId="11513"/>
    <cellStyle name="好_49-营业收入（空白模板）_明细表_1 5" xfId="11514"/>
    <cellStyle name="SAPBEXexcCritical5 2 3" xfId="11515"/>
    <cellStyle name="SAPBEXexcCritical5 3 3" xfId="11516"/>
    <cellStyle name="SAPBEXexcCritical5 4" xfId="11517"/>
    <cellStyle name="差_32-应付职工薪酬(空白模板) 2 2 3" xfId="11518"/>
    <cellStyle name="SAPBEXexcCritical5 4 2" xfId="11519"/>
    <cellStyle name="SAPBEXexcCritical5 4 3" xfId="11520"/>
    <cellStyle name="SAPBEXexcCritical5 5" xfId="11521"/>
    <cellStyle name="SAPBEXexcCritical5 5 2" xfId="11522"/>
    <cellStyle name="SAPBEXexcCritical5 5 3" xfId="11523"/>
    <cellStyle name="SAPBEXexcCritical5 6" xfId="11524"/>
    <cellStyle name="SAPBEXexcCritical5 7" xfId="11525"/>
    <cellStyle name="SAPBEXexcCritical6" xfId="11526"/>
    <cellStyle name="SAPBEXexcCritical6 2" xfId="11527"/>
    <cellStyle name="SAPBEXexcCritical6 2 2" xfId="11528"/>
    <cellStyle name="SAPBEXexcCritical6 2 3" xfId="11529"/>
    <cellStyle name="SAPBEXexcCritical6 3" xfId="11530"/>
    <cellStyle name="SAPBEXexcCritical6 3 2" xfId="11531"/>
    <cellStyle name="SAPBEXexcCritical6 3 3" xfId="11532"/>
    <cellStyle name="SAPBEXexcCritical6 4" xfId="11533"/>
    <cellStyle name="好_33-应交税费（空白模板） 2 2 4" xfId="11534"/>
    <cellStyle name="差_无形资产 14_明细表 4" xfId="11535"/>
    <cellStyle name="差_32-应付职工薪酬(空白模板) 3 2 3" xfId="11536"/>
    <cellStyle name="SAPBEXexcCritical6 4 2" xfId="11537"/>
    <cellStyle name="好_33-应交税费（空白模板） 2 2 5" xfId="11538"/>
    <cellStyle name="差_无形资产 14_明细表 5" xfId="11539"/>
    <cellStyle name="SAPBEXexcCritical6 4 3" xfId="11540"/>
    <cellStyle name="SAPBEXexcCritical6 5" xfId="11541"/>
    <cellStyle name="SAPBEXexcCritical6 5 2" xfId="11542"/>
    <cellStyle name="SAPBEXexcCritical6 5 3" xfId="11543"/>
    <cellStyle name="SAPBEXexcCritical6 6" xfId="11544"/>
    <cellStyle name="SAPBEXexcCritical6 7" xfId="11545"/>
    <cellStyle name="好_1固定资产 11 3" xfId="11546"/>
    <cellStyle name="SAPBEXexcGood1" xfId="11547"/>
    <cellStyle name="SAPBEXexcGood1 2 3" xfId="11548"/>
    <cellStyle name="SAPBEXexcGood1 3" xfId="11549"/>
    <cellStyle name="常规 2 5 2 3 2 4" xfId="11550"/>
    <cellStyle name="SAPBEXexcGood1 3 2" xfId="11551"/>
    <cellStyle name="常规 2 5 2 3 2 5" xfId="11552"/>
    <cellStyle name="SAPBEXexcGood1 3 3" xfId="11553"/>
    <cellStyle name="警告文字 5" xfId="11554"/>
    <cellStyle name="SAPBEXexcGood1 4 2" xfId="11555"/>
    <cellStyle name="警告文字 6" xfId="11556"/>
    <cellStyle name="SAPBEXexcGood1 4 3" xfId="11557"/>
    <cellStyle name="好_固定资产 8_明细表" xfId="11558"/>
    <cellStyle name="SAPBEXexcGood1 5" xfId="11559"/>
    <cellStyle name="好_固定资产 8_明细表 3" xfId="11560"/>
    <cellStyle name="SAPBEXexcGood1 5 3" xfId="11561"/>
    <cellStyle name="SAPBEXexcGood1 6" xfId="11562"/>
    <cellStyle name="SAPBEXexcGood1 7" xfId="11563"/>
    <cellStyle name="超链接 4 2 2 2" xfId="11564"/>
    <cellStyle name="SAPBEXexcGood2" xfId="11565"/>
    <cellStyle name="SAPBEXexcGood2 2" xfId="11566"/>
    <cellStyle name="SAPBEXexcGood2 2 2" xfId="11567"/>
    <cellStyle name="差_ZL长期应收款 2 2 2" xfId="11568"/>
    <cellStyle name="SAPBEXexcGood2 2 3" xfId="11569"/>
    <cellStyle name="SAPBEXexcGood2 3" xfId="11570"/>
    <cellStyle name="常规 2 5 2 4 2 4" xfId="11571"/>
    <cellStyle name="差_应收账款期末审定表 2 5" xfId="11572"/>
    <cellStyle name="SAPBEXexcGood2 3 2" xfId="11573"/>
    <cellStyle name="常规 2 5 2 4 2 5" xfId="11574"/>
    <cellStyle name="SAPBEXexcGood2 3 3" xfId="11575"/>
    <cellStyle name="常规 3 2 2 2 16 2" xfId="11576"/>
    <cellStyle name="SAPBEXexcGood2 4" xfId="11577"/>
    <cellStyle name="SAPBEXexcGood2 4 2" xfId="11578"/>
    <cellStyle name="SAPBEXexcGood2 4 3" xfId="11579"/>
    <cellStyle name="SAPBEXexcGood2 5" xfId="11580"/>
    <cellStyle name="好_54-财务费用（空白模板）_明细表 4" xfId="11581"/>
    <cellStyle name="SAPBEXexcGood2 5 2" xfId="11582"/>
    <cellStyle name="好_54-财务费用（空白模板）_明细表 5" xfId="11583"/>
    <cellStyle name="SAPBEXexcGood2 5 3" xfId="11584"/>
    <cellStyle name="SAPBEXexcGood2 6" xfId="11585"/>
    <cellStyle name="百分比 5 2 2" xfId="11586"/>
    <cellStyle name="常规 5 28 2" xfId="11587"/>
    <cellStyle name="SAPBEXexcGood2 7" xfId="11588"/>
    <cellStyle name="超链接 4 2 2 3" xfId="11589"/>
    <cellStyle name="SAPBEXexcGood3" xfId="11590"/>
    <cellStyle name="百分比 2 2 2 7" xfId="11591"/>
    <cellStyle name="SAPBEXexcGood3 2" xfId="11592"/>
    <cellStyle name="差_60-所得税费用（空白模板） 10" xfId="11593"/>
    <cellStyle name="百分比 2 2 2 7 2" xfId="11594"/>
    <cellStyle name="SAPBEXexcGood3 2 2" xfId="11595"/>
    <cellStyle name="差_60-所得税费用（空白模板） 11" xfId="11596"/>
    <cellStyle name="SAPBEXexcGood3 2 3" xfId="11597"/>
    <cellStyle name="百分比 2 2 2 8" xfId="11598"/>
    <cellStyle name="SAPBEXexcGood3 3" xfId="11599"/>
    <cellStyle name="常规 2 5 2 5 2 4" xfId="11600"/>
    <cellStyle name="百分比 2 2 2 8 2" xfId="11601"/>
    <cellStyle name="百分比 10 3" xfId="11602"/>
    <cellStyle name="SAPBEXexcGood3 3 2" xfId="11603"/>
    <cellStyle name="百分比 2 2 2 9" xfId="11604"/>
    <cellStyle name="SAPBEXexcGood3 4" xfId="11605"/>
    <cellStyle name="百分比 2 2 2 9 2" xfId="11606"/>
    <cellStyle name="百分比 11 3" xfId="11607"/>
    <cellStyle name="SAPBEXexcGood3 4 2" xfId="11608"/>
    <cellStyle name="百分比 11 4" xfId="11609"/>
    <cellStyle name="SAPBEXexcGood3 4 3" xfId="11610"/>
    <cellStyle name="SAPBEXexcGood3 5 3" xfId="11611"/>
    <cellStyle name="好_营业收入 12 2 2" xfId="11612"/>
    <cellStyle name="SAPBEXexcGood3 6" xfId="11613"/>
    <cellStyle name="好_营业收入 12 2 3" xfId="11614"/>
    <cellStyle name="百分比 5 3 2" xfId="11615"/>
    <cellStyle name="SAPBEXexcGood3 7" xfId="11616"/>
    <cellStyle name="SAPBEXfilterDrill" xfId="11617"/>
    <cellStyle name="SAPBEXfilterDrill 2" xfId="11618"/>
    <cellStyle name="SAPBEXfilterDrill 2 2" xfId="11619"/>
    <cellStyle name="SAPBEXfilterDrill 3" xfId="11620"/>
    <cellStyle name="SAPBEXfilterDrill 4" xfId="11621"/>
    <cellStyle name="SAPBEXfilterDrill 5" xfId="11622"/>
    <cellStyle name="SAPBEXfilterDrill 6" xfId="11623"/>
    <cellStyle name="好_递延所得税负债 - 复制 2 2 2" xfId="11624"/>
    <cellStyle name="SAPBEXfilterItem" xfId="11625"/>
    <cellStyle name="SAPBEXfilterItem 2" xfId="11626"/>
    <cellStyle name="SAPBEXfilterItem 2 2" xfId="11627"/>
    <cellStyle name="好_短期借款 14_明细表 3" xfId="11628"/>
    <cellStyle name="SAPBEXfilterItem 4" xfId="11629"/>
    <cellStyle name="输出 6 2" xfId="11630"/>
    <cellStyle name="好_短期借款 14_明细表 4" xfId="11631"/>
    <cellStyle name="SAPBEXfilterItem 5" xfId="11632"/>
    <cellStyle name="好_短期借款 14_明细表 5" xfId="11633"/>
    <cellStyle name="SAPBEXfilterItem 6" xfId="11634"/>
    <cellStyle name="SAPBEXfilterText" xfId="11635"/>
    <cellStyle name="SAPBEXfilterText 2" xfId="11636"/>
    <cellStyle name="SAPBEXfilterText 2 2" xfId="11637"/>
    <cellStyle name="SAPBEXfilterText 3" xfId="11638"/>
    <cellStyle name="SAPBEXfilterText 4" xfId="11639"/>
    <cellStyle name="SAPBEXfilterText 5" xfId="11640"/>
    <cellStyle name="SAPBEXfilterText 6" xfId="11641"/>
    <cellStyle name="常规 6 2 4" xfId="11642"/>
    <cellStyle name="SAPBEXformats 2 3" xfId="11643"/>
    <cellStyle name="常规 6 3 4" xfId="11644"/>
    <cellStyle name="SAPBEXformats 3 3" xfId="11645"/>
    <cellStyle name="好_50-营业成本（空白模板） 5_明细表 2" xfId="11646"/>
    <cellStyle name="SAPBEXformats 4" xfId="11647"/>
    <cellStyle name="常规 6 4 3" xfId="11648"/>
    <cellStyle name="SAPBEXformats 4 2" xfId="11649"/>
    <cellStyle name="常规 6 4 4" xfId="11650"/>
    <cellStyle name="SAPBEXformats 4 3" xfId="11651"/>
    <cellStyle name="好_50-营业成本（空白模板） 5_明细表 3" xfId="11652"/>
    <cellStyle name="SAPBEXformats 5" xfId="11653"/>
    <cellStyle name="好_资产负债标准底稿 2_明细表" xfId="11654"/>
    <cellStyle name="常规 6 5 3" xfId="11655"/>
    <cellStyle name="SAPBEXformats 5 2" xfId="11656"/>
    <cellStyle name="常规 6 5 4" xfId="11657"/>
    <cellStyle name="SAPBEXformats 5 3" xfId="11658"/>
    <cellStyle name="好_50-营业成本（空白模板） 5_明细表 4" xfId="11659"/>
    <cellStyle name="SAPBEXformats 6" xfId="11660"/>
    <cellStyle name="好_50-营业成本（空白模板） 5_明细表 5" xfId="11661"/>
    <cellStyle name="SAPBEXformats 7" xfId="11662"/>
    <cellStyle name="差_30-应付账款（空白模板） 5 2 2" xfId="11663"/>
    <cellStyle name="SAPBEXheaderItem" xfId="11664"/>
    <cellStyle name="好_1营业成本 10" xfId="11665"/>
    <cellStyle name="中等 3" xfId="11666"/>
    <cellStyle name="SAPBEXheaderItem 2" xfId="11667"/>
    <cellStyle name="SAPBEXheaderItem 2 2" xfId="11668"/>
    <cellStyle name="好_1营业成本 11" xfId="11669"/>
    <cellStyle name="中等 4" xfId="11670"/>
    <cellStyle name="SAPBEXheaderItem 3" xfId="11671"/>
    <cellStyle name="好_1营业成本 12" xfId="11672"/>
    <cellStyle name="中等 5" xfId="11673"/>
    <cellStyle name="SAPBEXheaderItem 4" xfId="11674"/>
    <cellStyle name="好_1营业成本 13" xfId="11675"/>
    <cellStyle name="中等 6" xfId="11676"/>
    <cellStyle name="SAPBEXheaderItem 5" xfId="11677"/>
    <cellStyle name="好_1营业成本 14" xfId="11678"/>
    <cellStyle name="好_1固定资产 13_明细表 2" xfId="11679"/>
    <cellStyle name="SAPBEXheaderItem 6" xfId="11680"/>
    <cellStyle name="SAPBEXheaderText 2 2" xfId="11681"/>
    <cellStyle name="差_30-应付账款（空白模板） 14_明细表" xfId="11682"/>
    <cellStyle name="SAPBEXheaderText 4" xfId="11683"/>
    <cellStyle name="好_无形资产 10" xfId="11684"/>
    <cellStyle name="SAPBEXheaderText 5" xfId="11685"/>
    <cellStyle name="好_财务费用_3固定资产 2" xfId="11686"/>
    <cellStyle name="差_31-预收账款（空白模板） 6 2 3" xfId="11687"/>
    <cellStyle name="SAPBEXHLevel0" xfId="11688"/>
    <cellStyle name="好_专项应付款 12" xfId="11689"/>
    <cellStyle name="SAPBEXHLevel0 2" xfId="11690"/>
    <cellStyle name="好_专项应付款 12 2" xfId="11691"/>
    <cellStyle name="SAPBEXHLevel0 2 2" xfId="11692"/>
    <cellStyle name="差_1专项应付款 2 2 3" xfId="11693"/>
    <cellStyle name="好_专项应付款 12 3" xfId="11694"/>
    <cellStyle name="SAPBEXHLevel0 2 3" xfId="11695"/>
    <cellStyle name="好_专项应付款 13" xfId="11696"/>
    <cellStyle name="SAPBEXHLevel0 3" xfId="11697"/>
    <cellStyle name="好_专项应付款 13 3" xfId="11698"/>
    <cellStyle name="SAPBEXHLevel0 3 3" xfId="11699"/>
    <cellStyle name="好_资产负债标准底稿 8_明细表 5" xfId="11700"/>
    <cellStyle name="好_专项应付款 14 2" xfId="11701"/>
    <cellStyle name="SAPBEXHLevel0 4 2" xfId="11702"/>
    <cellStyle name="好_专项应付款 14 3" xfId="11703"/>
    <cellStyle name="SAPBEXHLevel0 4 3" xfId="11704"/>
    <cellStyle name="好_专项应付款 15" xfId="11705"/>
    <cellStyle name="好_专项应付款 20" xfId="11706"/>
    <cellStyle name="SAPBEXHLevel0 5" xfId="11707"/>
    <cellStyle name="好_专项应付款 15 2" xfId="11708"/>
    <cellStyle name="SAPBEXHLevel0 5 2" xfId="11709"/>
    <cellStyle name="好_专项应付款 15 3" xfId="11710"/>
    <cellStyle name="SAPBEXHLevel0 5 3" xfId="11711"/>
    <cellStyle name="好_专项应付款 16" xfId="11712"/>
    <cellStyle name="好_专项应付款 21" xfId="11713"/>
    <cellStyle name="SAPBEXHLevel0 6" xfId="11714"/>
    <cellStyle name="好_专项应付款 17" xfId="11715"/>
    <cellStyle name="好_专项应付款 22" xfId="11716"/>
    <cellStyle name="SAPBEXHLevel0 7" xfId="11717"/>
    <cellStyle name="好_营业成本 2 2" xfId="11718"/>
    <cellStyle name="好_51-营业税金及附加（空白模板） 8" xfId="11719"/>
    <cellStyle name="SAPBEXHLevel0X" xfId="11720"/>
    <cellStyle name="好_51-营业税金及附加（空白模板） 8 2" xfId="11721"/>
    <cellStyle name="好_资产负债标准底稿 5_明细表" xfId="11722"/>
    <cellStyle name="好_营业成本 2 2 2" xfId="11723"/>
    <cellStyle name="好_27-短期借款(空白模板) 11" xfId="11724"/>
    <cellStyle name="SAPBEXHLevel0X 2" xfId="11725"/>
    <cellStyle name="常规 9 5 3" xfId="11726"/>
    <cellStyle name="好_30-应付账款（空白模板） 3_附注表一（财务报表）" xfId="11727"/>
    <cellStyle name="好_51-营业税金及附加（空白模板） 8 2 2" xfId="11728"/>
    <cellStyle name="好_资产负债标准底稿 5_明细表 2" xfId="11729"/>
    <cellStyle name="SAPBEXHLevel0X 2 2" xfId="11730"/>
    <cellStyle name="常规 9 5 3 2" xfId="11731"/>
    <cellStyle name="好_50-营业成本（空白模板）_明细表 2 5" xfId="11732"/>
    <cellStyle name="好_27-短期借款(空白模板) 11 2" xfId="11733"/>
    <cellStyle name="好_19-无形资产（空白模板） 2 2 3" xfId="11734"/>
    <cellStyle name="好_51-营业税金及附加（空白模板） 8 2 3" xfId="11735"/>
    <cellStyle name="好_资产负债标准底稿 5_明细表 3" xfId="11736"/>
    <cellStyle name="好_27-短期借款(空白模板) 11 3" xfId="11737"/>
    <cellStyle name="好_19-无形资产（空白模板） 2 2 4" xfId="11738"/>
    <cellStyle name="SAPBEXHLevel0X 2 3" xfId="11739"/>
    <cellStyle name="常规 9 5 3 3" xfId="11740"/>
    <cellStyle name="常规 2 3 3 2 2" xfId="11741"/>
    <cellStyle name="好_营业成本 2 2 3" xfId="11742"/>
    <cellStyle name="好_51-营业税金及附加（空白模板） 8 3" xfId="11743"/>
    <cellStyle name="好_27-短期借款(空白模板) 12" xfId="11744"/>
    <cellStyle name="SAPBEXHLevel0X 3" xfId="11745"/>
    <cellStyle name="常规 9 5 4" xfId="11746"/>
    <cellStyle name="好_27-短期借款(空白模板) 12 3" xfId="11747"/>
    <cellStyle name="SAPBEXHLevel0X 3 3" xfId="11748"/>
    <cellStyle name="常规 9 5 4 3" xfId="11749"/>
    <cellStyle name="常规 3 26 2 4" xfId="11750"/>
    <cellStyle name="常规 2 3 3 3 2" xfId="11751"/>
    <cellStyle name="好_51-营业税金及附加（空白模板） 8 4" xfId="11752"/>
    <cellStyle name="好_27-短期借款(空白模板) 13" xfId="11753"/>
    <cellStyle name="SAPBEXHLevel0X 4" xfId="11754"/>
    <cellStyle name="常规 9 5 5" xfId="11755"/>
    <cellStyle name="好_27-短期借款(空白模板) 13 2" xfId="11756"/>
    <cellStyle name="SAPBEXHLevel0X 4 2" xfId="11757"/>
    <cellStyle name="常规 9 5 5 2" xfId="11758"/>
    <cellStyle name="好_27-短期借款(空白模板) 13 3" xfId="11759"/>
    <cellStyle name="SAPBEXHLevel0X 4 3" xfId="11760"/>
    <cellStyle name="常规 9 5 5 3" xfId="11761"/>
    <cellStyle name="好_27-短期借款(空白模板) 14" xfId="11762"/>
    <cellStyle name="SAPBEXHLevel0X 5" xfId="11763"/>
    <cellStyle name="常规 9 5 6" xfId="11764"/>
    <cellStyle name="好_27-短期借款(空白模板) 14 2" xfId="11765"/>
    <cellStyle name="SAPBEXHLevel0X 5 2" xfId="11766"/>
    <cellStyle name="常规 9 5 6 2" xfId="11767"/>
    <cellStyle name="好_27-短期借款(空白模板) 14 3" xfId="11768"/>
    <cellStyle name="SAPBEXHLevel0X 5 3" xfId="11769"/>
    <cellStyle name="常规 9 5 6 3" xfId="11770"/>
    <cellStyle name="好_27-短期借款(空白模板) 15" xfId="11771"/>
    <cellStyle name="好_27-短期借款(空白模板) 20" xfId="11772"/>
    <cellStyle name="SAPBEXHLevel0X 6" xfId="11773"/>
    <cellStyle name="常规 9 5 7" xfId="11774"/>
    <cellStyle name="好_资产负债标准底稿 16 2" xfId="11775"/>
    <cellStyle name="好_27-短期借款(空白模板) 16" xfId="11776"/>
    <cellStyle name="好_27-短期借款(空白模板) 21" xfId="11777"/>
    <cellStyle name="SAPBEXHLevel0X 7" xfId="11778"/>
    <cellStyle name="常规 9 5 8" xfId="11779"/>
    <cellStyle name="差__dxn_temp替代测试表(二)-借方金额检查模板 2" xfId="11780"/>
    <cellStyle name="SAPBEXHLevel1" xfId="11781"/>
    <cellStyle name="SAPBEXHLevel1 2" xfId="11782"/>
    <cellStyle name="好_短期借款 15 5" xfId="11783"/>
    <cellStyle name="SAPBEXHLevel1 2 2" xfId="11784"/>
    <cellStyle name="差_1专项应付款 3 2 3" xfId="11785"/>
    <cellStyle name="好_短期借款 15 6" xfId="11786"/>
    <cellStyle name="SAPBEXHLevel1 2 3" xfId="11787"/>
    <cellStyle name="SAPBEXHLevel1 3" xfId="11788"/>
    <cellStyle name="好_短期借款 16 5" xfId="11789"/>
    <cellStyle name="SAPBEXHLevel1 3 2" xfId="11790"/>
    <cellStyle name="好_短期借款 16 6" xfId="11791"/>
    <cellStyle name="常规 2 4 3 10" xfId="11792"/>
    <cellStyle name="SAPBEXHLevel1 3 3" xfId="11793"/>
    <cellStyle name="SAPBEXHLevel1 4" xfId="11794"/>
    <cellStyle name="好_短期借款 17 5" xfId="11795"/>
    <cellStyle name="SAPBEXHLevel1 4 2" xfId="11796"/>
    <cellStyle name="SAPBEXHLevel1 4 3" xfId="11797"/>
    <cellStyle name="SAPBEXHLevel1 5" xfId="11798"/>
    <cellStyle name="差_FK长期借款 6" xfId="11799"/>
    <cellStyle name="SAPBEXHLevel1 5 2" xfId="11800"/>
    <cellStyle name="差_FK长期借款 7" xfId="11801"/>
    <cellStyle name="SAPBEXHLevel1 5 3" xfId="11802"/>
    <cellStyle name="SAPBEXHLevel1 6" xfId="11803"/>
    <cellStyle name="好_51-营业税金及附加（空白模板）_应收账款 2" xfId="11804"/>
    <cellStyle name="SAPBEXHLevel1 7" xfId="11805"/>
    <cellStyle name="千位分隔 4 4 3 3" xfId="11806"/>
    <cellStyle name="好_19-无形资产（空白模板） 7 2 3" xfId="11807"/>
    <cellStyle name="SAPBEXHLevel1X 2 2" xfId="11808"/>
    <cellStyle name="好_19-无形资产（空白模板） 7 2 4" xfId="11809"/>
    <cellStyle name="常规 2 3 8 2 2" xfId="11810"/>
    <cellStyle name="SAPBEXHLevel1X 2 3" xfId="11811"/>
    <cellStyle name="差_ZL长期应收款 2 2" xfId="11812"/>
    <cellStyle name="SAPBEXHLevel1X 3 2" xfId="11813"/>
    <cellStyle name="差_ZL长期应收款 2 3" xfId="11814"/>
    <cellStyle name="常规 2 3 8 3 2" xfId="11815"/>
    <cellStyle name="SAPBEXHLevel1X 3 3" xfId="11816"/>
    <cellStyle name="好_FJ其他应付款 3 3" xfId="11817"/>
    <cellStyle name="差_ZL长期应收款 3" xfId="11818"/>
    <cellStyle name="SAPBEXHLevel1X 4" xfId="11819"/>
    <cellStyle name="差_ZL长期应收款 3 2" xfId="11820"/>
    <cellStyle name="好_资产负债标准底稿_大信底稿目录 8_明细表 4" xfId="11821"/>
    <cellStyle name="SAPBEXHLevel1X 4 2" xfId="11822"/>
    <cellStyle name="差_ZL长期应收款 4" xfId="11823"/>
    <cellStyle name="SAPBEXHLevel1X 5" xfId="11824"/>
    <cellStyle name="差_ZL长期应收款 4 2" xfId="11825"/>
    <cellStyle name="SAPBEXHLevel1X 5 2" xfId="11826"/>
    <cellStyle name="差_ZL长期应收款 4 3" xfId="11827"/>
    <cellStyle name="SAPBEXHLevel1X 5 3" xfId="11828"/>
    <cellStyle name="差_ZL长期应收款 5" xfId="11829"/>
    <cellStyle name="SAPBEXHLevel1X 6" xfId="11830"/>
    <cellStyle name="SAPBEXHLevel1X 7" xfId="11831"/>
    <cellStyle name="差__dxn_temp替代测试表(二)-借方金额检查模板 3" xfId="11832"/>
    <cellStyle name="SAPBEXHLevel2" xfId="11833"/>
    <cellStyle name="SAPBEXHLevel2 2" xfId="11834"/>
    <cellStyle name="SAPBEXHLevel2 2 2" xfId="11835"/>
    <cellStyle name="差_1专项应付款 4 2 3" xfId="11836"/>
    <cellStyle name="SAPBEXHLevel2 2 3" xfId="11837"/>
    <cellStyle name="SAPBEXHLevel2 3" xfId="11838"/>
    <cellStyle name="SAPBEXHLevel2 3 2" xfId="11839"/>
    <cellStyle name="SAPBEXHLevel2 3 3" xfId="11840"/>
    <cellStyle name="SAPBEXHLevel2 4" xfId="11841"/>
    <cellStyle name="常规 3 3 2 10 2 2" xfId="11842"/>
    <cellStyle name="SAPBEXHLevel2 4 2" xfId="11843"/>
    <cellStyle name="千位分隔 2 3 2 10 2" xfId="11844"/>
    <cellStyle name="SAPBEXHLevel2 4 3" xfId="11845"/>
    <cellStyle name="SAPBEXHLevel2 5" xfId="11846"/>
    <cellStyle name="常规 3 3 2 10 2 3" xfId="11847"/>
    <cellStyle name="SAPBEXHLevel2 5 2" xfId="11848"/>
    <cellStyle name="好_营业收入_明细表 2 2" xfId="11849"/>
    <cellStyle name="千位分隔 2 3 2 11 2" xfId="11850"/>
    <cellStyle name="SAPBEXHLevel2 5 3" xfId="11851"/>
    <cellStyle name="好_51-营业税金及附加（空白模板） 15_明细表 5" xfId="11852"/>
    <cellStyle name="SAPBEXHLevel2X" xfId="11853"/>
    <cellStyle name="SAPBEXHLevel2X 2" xfId="11854"/>
    <cellStyle name="好_19-无形资产（空白模板） 28" xfId="11855"/>
    <cellStyle name="好_19-无形资产（空白模板） 33" xfId="11856"/>
    <cellStyle name="SAPBEXHLevel2X 2 3" xfId="11857"/>
    <cellStyle name="SAPBEXHLevel2X 3" xfId="11858"/>
    <cellStyle name="好_54-财务费用（空白模板） 12 2 3" xfId="11859"/>
    <cellStyle name="SAPBEXHLevel2X 3 2" xfId="11860"/>
    <cellStyle name="好_54-财务费用（空白模板） 12 2 4" xfId="11861"/>
    <cellStyle name="SAPBEXHLevel2X 3 3" xfId="11862"/>
    <cellStyle name="SAPBEXHLevel2X 4" xfId="11863"/>
    <cellStyle name="SAPBEXHLevel2X 4 2" xfId="11864"/>
    <cellStyle name="好_1财务费用 3 2 5" xfId="11865"/>
    <cellStyle name="SAPBEXHLevel2X 4 3" xfId="11866"/>
    <cellStyle name="好_1财务费用 3 2 6" xfId="11867"/>
    <cellStyle name="好_Z14-长期应收款（函证汇总表样本） 2" xfId="11868"/>
    <cellStyle name="好_无形资产 6_明细表" xfId="11869"/>
    <cellStyle name="SAPBEXHLevel2X 5" xfId="11870"/>
    <cellStyle name="好_无形资产 6_明细表 2" xfId="11871"/>
    <cellStyle name="SAPBEXHLevel2X 5 2" xfId="11872"/>
    <cellStyle name="SAPBEXHLevel2X 6" xfId="11873"/>
    <cellStyle name="SAPBEXHLevel2X 7" xfId="11874"/>
    <cellStyle name="SAPBEXHLevel3" xfId="11875"/>
    <cellStyle name="千位分隔 2 3 4 5" xfId="11876"/>
    <cellStyle name="好_54-财务费用（空白模板）_固定资产" xfId="11877"/>
    <cellStyle name="SAPBEXHLevel3 2" xfId="11878"/>
    <cellStyle name="好_存货函证结果汇总表 4" xfId="11879"/>
    <cellStyle name="好_54-财务费用（空白模板）_固定资产 2" xfId="11880"/>
    <cellStyle name="SAPBEXHLevel3 2 2" xfId="11881"/>
    <cellStyle name="差_1专项应付款 5 2 3" xfId="11882"/>
    <cellStyle name="好_存货函证结果汇总表 5" xfId="11883"/>
    <cellStyle name="SAPBEXHLevel3 2 3" xfId="11884"/>
    <cellStyle name="千位分隔 2 3 4 6" xfId="11885"/>
    <cellStyle name="好_银行函证结果汇总表 8 2 2" xfId="11886"/>
    <cellStyle name="SAPBEXHLevel3 3" xfId="11887"/>
    <cellStyle name="SAPBEXHLevel3 3 2" xfId="11888"/>
    <cellStyle name="SAPBEXHLevel3 3 3" xfId="11889"/>
    <cellStyle name="千位分隔 2 3 4 7" xfId="11890"/>
    <cellStyle name="好_银行函证结果汇总表 8 2 3" xfId="11891"/>
    <cellStyle name="SAPBEXHLevel3 4" xfId="11892"/>
    <cellStyle name="SAPBEXHLevel3 4 2" xfId="11893"/>
    <cellStyle name="好_银行函证结果汇总表 8 2 4" xfId="11894"/>
    <cellStyle name="SAPBEXHLevel3 5" xfId="11895"/>
    <cellStyle name="SAPBEXHLevel3 5 2" xfId="11896"/>
    <cellStyle name="SAPBEXHLevel3 5 3" xfId="11897"/>
    <cellStyle name="SAPBEXHLevel3X" xfId="11898"/>
    <cellStyle name="好_40-专项应付款(空白模板) 5 3 2" xfId="11899"/>
    <cellStyle name="差_19-无形资产（空白模板） 15 2" xfId="11900"/>
    <cellStyle name="SAPBEXHLevel3X 4 3" xfId="11901"/>
    <cellStyle name="常规_19-无形资产（空白模板）" xfId="11902"/>
    <cellStyle name="SAPBEXHLevel3X 5" xfId="11903"/>
    <cellStyle name="SAPBEXHLevel3X 6" xfId="11904"/>
    <cellStyle name="Sheet Head 2" xfId="11905"/>
    <cellStyle name="SAPBEXHLevel3X 7" xfId="11906"/>
    <cellStyle name="SAPBEXresData" xfId="11907"/>
    <cellStyle name="好_4-应收账款（空白模板） 2 2 4" xfId="11908"/>
    <cellStyle name="常规 6 7 3 3" xfId="11909"/>
    <cellStyle name="SAPBEXresData 2" xfId="11910"/>
    <cellStyle name="差_底稿设置宏_明细表" xfId="11911"/>
    <cellStyle name="SAPBEXresData 2 2" xfId="11912"/>
    <cellStyle name="SAPBEXresData 2 3" xfId="11913"/>
    <cellStyle name="煦弇[0]_9807sf啎呾 (4)" xfId="11914"/>
    <cellStyle name="SAPBEXresData 3" xfId="11915"/>
    <cellStyle name="SAPBEXresData 3 2" xfId="11916"/>
    <cellStyle name="SAPBEXresData 3 3" xfId="11917"/>
    <cellStyle name="SAPBEXresData 4" xfId="11918"/>
    <cellStyle name="好_ZA0货币资金审定表  4_明细表 3" xfId="11919"/>
    <cellStyle name="SAPBEXresData 4 2" xfId="11920"/>
    <cellStyle name="好_ZA0货币资金审定表  4_明细表 4" xfId="11921"/>
    <cellStyle name="SAPBEXresData 4 3" xfId="11922"/>
    <cellStyle name="SAPBEXresData 5" xfId="11923"/>
    <cellStyle name="SAPBEXresData 5 2" xfId="11924"/>
    <cellStyle name="SAPBEXresData 5 3" xfId="11925"/>
    <cellStyle name="SAPBEXresData 6" xfId="11926"/>
    <cellStyle name="SAPBEXresData 7" xfId="11927"/>
    <cellStyle name="常规 5 13" xfId="11928"/>
    <cellStyle name="差_资产负债标准底稿 12" xfId="11929"/>
    <cellStyle name="差_大信底稿目录 16 2 4" xfId="11930"/>
    <cellStyle name="SAPBEXresDataEmph" xfId="11931"/>
    <cellStyle name="常规 5 13 2" xfId="11932"/>
    <cellStyle name="差_资产负债标准底稿 12 2" xfId="11933"/>
    <cellStyle name="SAPBEXresDataEmph 2" xfId="11934"/>
    <cellStyle name="好_实收资本(股本) 2 2 3" xfId="11935"/>
    <cellStyle name="常规 5 13 2 2" xfId="11936"/>
    <cellStyle name="差_资产负债标准底稿 12 2 2" xfId="11937"/>
    <cellStyle name="SAPBEXresDataEmph 2 2" xfId="11938"/>
    <cellStyle name="SAPBEXresDataEmph 3" xfId="11939"/>
    <cellStyle name="好_1预收款项 17 2" xfId="11940"/>
    <cellStyle name="常规 5 13 3" xfId="11941"/>
    <cellStyle name="差_资产负债标准底稿 12 3" xfId="11942"/>
    <cellStyle name="SAPBEXresDataEmph 3 3" xfId="11943"/>
    <cellStyle name="SAPBEXresDataEmph 4" xfId="11944"/>
    <cellStyle name="好_1预收款项 17 3" xfId="11945"/>
    <cellStyle name="常规 2 3 2 2 8 2 4" xfId="11946"/>
    <cellStyle name="SAPBEXresDataEmph 4 2" xfId="11947"/>
    <cellStyle name="SAPBEXresDataEmph 5" xfId="11948"/>
    <cellStyle name="好_1预收款项 17 4" xfId="11949"/>
    <cellStyle name="好_1营业收入 2 3" xfId="11950"/>
    <cellStyle name="SAPBEXresDataEmph 5 2" xfId="11951"/>
    <cellStyle name="好_1营业收入 2 4" xfId="11952"/>
    <cellStyle name="SAPBEXresDataEmph 5 3" xfId="11953"/>
    <cellStyle name="SAPBEXresDataEmph 6" xfId="11954"/>
    <cellStyle name="好_1预收款项 17 5" xfId="11955"/>
    <cellStyle name="好_9-存货（空白模板） 2" xfId="11956"/>
    <cellStyle name="SAPBEXresDataEmph 7" xfId="11957"/>
    <cellStyle name="好_9-存货（空白模板） 3" xfId="11958"/>
    <cellStyle name="SAPBEXresItem" xfId="11959"/>
    <cellStyle name="SAPBEXresItem 2" xfId="11960"/>
    <cellStyle name="SAPBEXresItem 2 2" xfId="11961"/>
    <cellStyle name="SAPBEXresItem 2 3" xfId="11962"/>
    <cellStyle name="好 2 2 8" xfId="11963"/>
    <cellStyle name="title 3" xfId="11964"/>
    <cellStyle name="SAPBEXresItem 3 2" xfId="11965"/>
    <cellStyle name="好_1短期借款 2 2 2 2" xfId="11966"/>
    <cellStyle name="好 2 2 9" xfId="11967"/>
    <cellStyle name="title 4" xfId="11968"/>
    <cellStyle name="SAPBEXresItem 3 3" xfId="11969"/>
    <cellStyle name="SAPBEXresItem 4" xfId="11970"/>
    <cellStyle name="好 2 3 8" xfId="11971"/>
    <cellStyle name="SAPBEXresItem 4 2" xfId="11972"/>
    <cellStyle name="SAPBEXresItem 4 3" xfId="11973"/>
    <cellStyle name="SAPBEXresItem 5" xfId="11974"/>
    <cellStyle name="好_1固定资产 4_明细表" xfId="11975"/>
    <cellStyle name="SAPBEXresItem 5 2" xfId="11976"/>
    <cellStyle name="常规 3 3 6 2 2" xfId="11977"/>
    <cellStyle name="SAPBEXresItem 5 3" xfId="11978"/>
    <cellStyle name="好_固定资产 11 2" xfId="11979"/>
    <cellStyle name="SAPBEXresItem 7" xfId="11980"/>
    <cellStyle name="SAPBEXresItemX 2 2" xfId="11981"/>
    <cellStyle name="常规 3 3 2 10" xfId="11982"/>
    <cellStyle name="SAPBEXresItemX 2 3" xfId="11983"/>
    <cellStyle name="SAPBEXresItemX 3" xfId="11984"/>
    <cellStyle name="SAPBEXresItemX 3 2" xfId="11985"/>
    <cellStyle name="好_货币资金 10" xfId="11986"/>
    <cellStyle name="好_55-资产减值损失（空白模板） 10_附注表一（财务报表）" xfId="11987"/>
    <cellStyle name="SAPBEXresItemX 3 3" xfId="11988"/>
    <cellStyle name="SAPBEXresItemX 4" xfId="11989"/>
    <cellStyle name="好_22-长期待摊费用（空白模板） 2 5" xfId="11990"/>
    <cellStyle name="SAPBEXresItemX 4 2" xfId="11991"/>
    <cellStyle name="好_22-长期待摊费用（空白模板） 2 6" xfId="11992"/>
    <cellStyle name="好__dxn_temp空白表页 9 2 2" xfId="11993"/>
    <cellStyle name="SAPBEXresItemX 4 3" xfId="11994"/>
    <cellStyle name="SAPBEXresItemX 5" xfId="11995"/>
    <cellStyle name="差_无形资产 3 2 4" xfId="11996"/>
    <cellStyle name="好_22-长期待摊费用（空白模板） 3 5" xfId="11997"/>
    <cellStyle name="SAPBEXresItemX 5 2" xfId="11998"/>
    <cellStyle name="差_无形资产 3 2 5" xfId="11999"/>
    <cellStyle name="好_22-长期待摊费用（空白模板） 3 6" xfId="12000"/>
    <cellStyle name="SAPBEXresItemX 5 3" xfId="12001"/>
    <cellStyle name="SAPBEXresItemX 6" xfId="12002"/>
    <cellStyle name="SAPBEXresItemX 7" xfId="12003"/>
    <cellStyle name="SAPBEXstdData 2 2" xfId="12004"/>
    <cellStyle name="SAPBEXstdData 2 3" xfId="12005"/>
    <cellStyle name="SAPBEXstdData 3" xfId="12006"/>
    <cellStyle name="SAPBEXstdData 3 2" xfId="12007"/>
    <cellStyle name="SAPBEXstdData 3 3" xfId="12008"/>
    <cellStyle name="SAPBEXstdData 4" xfId="12009"/>
    <cellStyle name="SAPBEXstdData 4 2" xfId="12010"/>
    <cellStyle name="SAPBEXstdData 4 3" xfId="12011"/>
    <cellStyle name="SAPBEXstdData 5" xfId="12012"/>
    <cellStyle name="SAPBEXstdData 5 2" xfId="12013"/>
    <cellStyle name="SAPBEXstdData 5 3" xfId="12014"/>
    <cellStyle name="SAPBEXstdData 6" xfId="12015"/>
    <cellStyle name="常规 3 3 2 2 2 2_附注表一（财务报表）" xfId="12016"/>
    <cellStyle name="SAPBEXstdDataEmph" xfId="12017"/>
    <cellStyle name="SAPBEXstdDataEmph 2" xfId="12018"/>
    <cellStyle name="常规 3 3 2 3 3 4" xfId="12019"/>
    <cellStyle name="SAPBEXstdDataEmph 2 2" xfId="12020"/>
    <cellStyle name="百分比 3 8 2" xfId="12021"/>
    <cellStyle name="SAPBEXstdDataEmph 3" xfId="12022"/>
    <cellStyle name="SAPBEXstdDataEmph 3 2" xfId="12023"/>
    <cellStyle name="SAPBEXstdDataEmph 3 3" xfId="12024"/>
    <cellStyle name="百分比 3 8 3" xfId="12025"/>
    <cellStyle name="SAPBEXstdDataEmph 4" xfId="12026"/>
    <cellStyle name="SAPBEXstdDataEmph 4 2" xfId="12027"/>
    <cellStyle name="SAPBEXstdDataEmph 4 3" xfId="12028"/>
    <cellStyle name="百分比 3 8 5" xfId="12029"/>
    <cellStyle name="SAPBEXstdDataEmph 6" xfId="12030"/>
    <cellStyle name="SAPBEXstdItem" xfId="12031"/>
    <cellStyle name="SAPBEXstdItem 2" xfId="12032"/>
    <cellStyle name="常规 2 2 2 29" xfId="12033"/>
    <cellStyle name="常规 2 2 2 34" xfId="12034"/>
    <cellStyle name="SAPBEXstdItem 2 2" xfId="12035"/>
    <cellStyle name="SAPBEXstdItem 2 3" xfId="12036"/>
    <cellStyle name="SAPBEXstdItem 3" xfId="12037"/>
    <cellStyle name="SAPBEXstdItem 3 3" xfId="12038"/>
    <cellStyle name="SAPBEXstdItem 4" xfId="12039"/>
    <cellStyle name="好_资产负债类底稿模版_大信底稿目录 8_明细表 2" xfId="12040"/>
    <cellStyle name="好_27-短期借款(空白模板) 5 2 5" xfId="12041"/>
    <cellStyle name="SAPBEXstdItem 4 2" xfId="12042"/>
    <cellStyle name="好_资产负债类底稿模版_大信底稿目录 8_明细表 3" xfId="12043"/>
    <cellStyle name="好_27-短期借款(空白模板) 5 2 6" xfId="12044"/>
    <cellStyle name="SAPBEXstdItem 4 3" xfId="12045"/>
    <cellStyle name="差_固定资产 8 2 2" xfId="12046"/>
    <cellStyle name="SAPBEXstdItem 5 2" xfId="12047"/>
    <cellStyle name="差_固定资产 8 2 3" xfId="12048"/>
    <cellStyle name="SAPBEXstdItem 5 3" xfId="12049"/>
    <cellStyle name="差_固定资产 8 3" xfId="12050"/>
    <cellStyle name="SAPBEXstdItem 6" xfId="12051"/>
    <cellStyle name="SAPBEXstdItemX 2 2" xfId="12052"/>
    <cellStyle name="好_4-应收账款（空白模板） 11_明细表 2" xfId="12053"/>
    <cellStyle name="常规 39 2 2 2" xfId="12054"/>
    <cellStyle name="SAPBEXstdItemX 2 3" xfId="12055"/>
    <cellStyle name="SAPBEXstdItemX 3" xfId="12056"/>
    <cellStyle name="好_1营业收入 9_明细表 3" xfId="12057"/>
    <cellStyle name="SAPBEXstdItemX 3 2" xfId="12058"/>
    <cellStyle name="好_1营业收入 9_明细表 4" xfId="12059"/>
    <cellStyle name="SAPBEXstdItemX 3 3" xfId="12060"/>
    <cellStyle name="SAPBEXstdItemX 4" xfId="12061"/>
    <cellStyle name="好_40-专项应付款(空白模板) 15_附注表一（财务报表）" xfId="12062"/>
    <cellStyle name="差_管理费用 2 2" xfId="12063"/>
    <cellStyle name="好_ZA0货币资金审定表 _货币资金" xfId="12064"/>
    <cellStyle name="差_管理费用 2 2 2" xfId="12065"/>
    <cellStyle name="SAPBEXstdItemX 4 2" xfId="12066"/>
    <cellStyle name="差_管理费用 2 3" xfId="12067"/>
    <cellStyle name="SAPBEXstdItemX 5" xfId="12068"/>
    <cellStyle name="好_函证结果汇总表 5" xfId="12069"/>
    <cellStyle name="SAPBEXstdItemX 5 2" xfId="12070"/>
    <cellStyle name="好_短期借款 3_明细表 2" xfId="12071"/>
    <cellStyle name="好_函证结果汇总表 6" xfId="12072"/>
    <cellStyle name="SAPBEXstdItemX 5 3" xfId="12073"/>
    <cellStyle name="差_管理费用 2 4" xfId="12074"/>
    <cellStyle name="SAPBEXstdItemX 6" xfId="12075"/>
    <cellStyle name="SAPBEXstdItemX 7" xfId="12076"/>
    <cellStyle name="SAPBEXtitle" xfId="12077"/>
    <cellStyle name="SAPBEXtitle 2" xfId="12078"/>
    <cellStyle name="差_30-应付账款（空白模板） 8_明细表" xfId="12079"/>
    <cellStyle name="SAPBEXtitle 3" xfId="12080"/>
    <cellStyle name="百分比 10 2 2" xfId="12081"/>
    <cellStyle name="SAPBEXtitle 4" xfId="12082"/>
    <cellStyle name="SAPBEXtitle 5" xfId="12083"/>
    <cellStyle name="好_银行函证结果汇总表 10_明细表 4" xfId="12084"/>
    <cellStyle name="SAPBEXundefined" xfId="12085"/>
    <cellStyle name="好_存货 - 复制 4" xfId="12086"/>
    <cellStyle name="SAPBEXundefined 2" xfId="12087"/>
    <cellStyle name="SAPBEXundefined 2 2" xfId="12088"/>
    <cellStyle name="好_存货 - 复制 5" xfId="12089"/>
    <cellStyle name="SAPBEXundefined 3" xfId="12090"/>
    <cellStyle name="SAPBEXundefined 3 2" xfId="12091"/>
    <cellStyle name="SAPBEXundefined 4" xfId="12092"/>
    <cellStyle name="SAPBEXundefined 4 2" xfId="12093"/>
    <cellStyle name="SAPBEXundefined 5" xfId="12094"/>
    <cellStyle name="SAPBEXundefined 5 2" xfId="12095"/>
    <cellStyle name="SAPBEXundefined 6" xfId="12096"/>
    <cellStyle name="SAPBEXundefined 7" xfId="12097"/>
    <cellStyle name="SAPOutput" xfId="12098"/>
    <cellStyle name="SAPOutput 2" xfId="12099"/>
    <cellStyle name="好_专项应付款 7 4" xfId="12100"/>
    <cellStyle name="常规 178 5" xfId="12101"/>
    <cellStyle name="section" xfId="12102"/>
    <cellStyle name="section 3" xfId="12103"/>
    <cellStyle name="section 4" xfId="12104"/>
    <cellStyle name="Separador de milhares [0]_Person" xfId="12105"/>
    <cellStyle name="好_27-短期借款(空白模板) 13 2 4" xfId="12106"/>
    <cellStyle name="Separador de milhares_Person" xfId="12107"/>
    <cellStyle name="百分比 2 2 7 4" xfId="12108"/>
    <cellStyle name="Sheet Head" xfId="12109"/>
    <cellStyle name="差_复件 固定资产 10 2 5" xfId="12110"/>
    <cellStyle name="Sheet Title" xfId="12111"/>
    <cellStyle name="百分比 4 3 6" xfId="12112"/>
    <cellStyle name="Sheet Title 2" xfId="12113"/>
    <cellStyle name="simpletitle" xfId="12114"/>
    <cellStyle name="sjdiuxhfudis" xfId="12115"/>
    <cellStyle name="好_大信底稿目录 6 2 5" xfId="12116"/>
    <cellStyle name="sjdiuxhfudis 2" xfId="12117"/>
    <cellStyle name="好_9管理费用 3" xfId="12118"/>
    <cellStyle name="好_55-资产减值损失（空白模板） 8_明细表 4" xfId="12119"/>
    <cellStyle name="差_15-固定资产（空白模板） 11 3" xfId="12120"/>
    <cellStyle name="SOR" xfId="12121"/>
    <cellStyle name="好_19-无形资产（空白模板）_明细表 3" xfId="12122"/>
    <cellStyle name="SOR 2" xfId="12123"/>
    <cellStyle name="超链接 2 5 5" xfId="12124"/>
    <cellStyle name="SOR 2 2" xfId="12125"/>
    <cellStyle name="好_19-无形资产（空白模板）_明细表 4" xfId="12126"/>
    <cellStyle name="SOR 3" xfId="12127"/>
    <cellStyle name="差_G-应收账款 6 2" xfId="12128"/>
    <cellStyle name="好_49-营业收入（空白模板） 13_附注表一（财务报表）" xfId="12129"/>
    <cellStyle name="好_19-无形资产（空白模板）_明细表 5" xfId="12130"/>
    <cellStyle name="SOR 4" xfId="12131"/>
    <cellStyle name="差_G-应收账款 6 3" xfId="12132"/>
    <cellStyle name="标题 4 2 3_附注表一（财务报表）" xfId="12133"/>
    <cellStyle name="SOR 4 2" xfId="12134"/>
    <cellStyle name="sstot" xfId="12135"/>
    <cellStyle name="sstot 2" xfId="12136"/>
    <cellStyle name="Standaard_KKKKK" xfId="12137"/>
    <cellStyle name="Standard_AQ10MW&amp;MW_S_MAT_07" xfId="12138"/>
    <cellStyle name="style" xfId="12139"/>
    <cellStyle name="差_30-应付账款（空白模板） 10" xfId="12140"/>
    <cellStyle name="Style 1" xfId="12141"/>
    <cellStyle name="常规 9 4 3 3 2 3" xfId="12142"/>
    <cellStyle name="常规 2 3 2 2 2 2 3" xfId="12143"/>
    <cellStyle name="差_30-应付账款（空白模板） 10 2" xfId="12144"/>
    <cellStyle name="Style 1 2" xfId="12145"/>
    <cellStyle name="差_30-应付账款（空白模板） 10 2 2" xfId="12146"/>
    <cellStyle name="Style 1 2 2" xfId="12147"/>
    <cellStyle name="常规 2 3 2 2 2 2 4" xfId="12148"/>
    <cellStyle name="差_30-应付账款（空白模板） 10 3" xfId="12149"/>
    <cellStyle name="Style 1 3" xfId="12150"/>
    <cellStyle name="Style 1 3 2" xfId="12151"/>
    <cellStyle name="常规 3 3 2 2 2 2 2 2" xfId="12152"/>
    <cellStyle name="常规 3 2 6 5 2" xfId="12153"/>
    <cellStyle name="常规 2 3 2 2 2 2 5" xfId="12154"/>
    <cellStyle name="差_30-应付账款（空白模板） 10 4" xfId="12155"/>
    <cellStyle name="Style 1 4" xfId="12156"/>
    <cellStyle name="Style 1_091231.FLX.Capital Commitment" xfId="12157"/>
    <cellStyle name="好_1营业收入 4_明细表" xfId="12158"/>
    <cellStyle name="常规 5 3 2 4" xfId="12159"/>
    <cellStyle name="差_30-应付账款（空白模板） 11" xfId="12160"/>
    <cellStyle name="style 2" xfId="12161"/>
    <cellStyle name="常规 2 3 2 2 2 3 3" xfId="12162"/>
    <cellStyle name="差_1短期借款 11" xfId="12163"/>
    <cellStyle name="常规 2 2 2 2 9" xfId="12164"/>
    <cellStyle name="差_30-应付账款（空白模板） 11 2" xfId="12165"/>
    <cellStyle name="style 2 2" xfId="12166"/>
    <cellStyle name="差_30-应付账款（空白模板） 11 3" xfId="12167"/>
    <cellStyle name="差_1短期借款 12" xfId="12168"/>
    <cellStyle name="style 2 3" xfId="12169"/>
    <cellStyle name="style 4" xfId="12170"/>
    <cellStyle name="差_Z6应收利息 2" xfId="12171"/>
    <cellStyle name="差_30-应付账款（空白模板） 13" xfId="12172"/>
    <cellStyle name="style1" xfId="12173"/>
    <cellStyle name="style1 2" xfId="12174"/>
    <cellStyle name="差_专项应付款 5_明细表" xfId="12175"/>
    <cellStyle name="好_固定资产循环7-1 2 2 2" xfId="12176"/>
    <cellStyle name="style2" xfId="12177"/>
    <cellStyle name="差_专项应付款 5_明细表 2" xfId="12178"/>
    <cellStyle name="style2 2" xfId="12179"/>
    <cellStyle name="差_专项应付款 5_明细表 3" xfId="12180"/>
    <cellStyle name="style2 3" xfId="12181"/>
    <cellStyle name="好_ZA0货币资金审定表  10 4" xfId="12182"/>
    <cellStyle name="subhead" xfId="12183"/>
    <cellStyle name="subhead 3" xfId="12184"/>
    <cellStyle name="subhead 4" xfId="12185"/>
    <cellStyle name="常规 2 4 2 13" xfId="12186"/>
    <cellStyle name="Subtotal 2" xfId="12187"/>
    <cellStyle name="常规 2 2 12 3 2" xfId="12188"/>
    <cellStyle name="t" xfId="12189"/>
    <cellStyle name="t 2" xfId="12190"/>
    <cellStyle name="差_50-营业成本（空白模板）_货币资金" xfId="12191"/>
    <cellStyle name="常规 2 2 2 17 2 2" xfId="12192"/>
    <cellStyle name="t]_x000d__x000a_color schemes=Windows Default_x000d__x000a__x000d__x000a_[color schemes]_x000d__x000a_Arizona=804000,FFFFFF,FFFFFF,0,FFFFFF,0,808040,C0C0C0,FF" xfId="12193"/>
    <cellStyle name="差_50-营业成本（空白模板）_货币资金 2" xfId="12194"/>
    <cellStyle name="t]_x000d__x000a_color schemes=Windows Default_x000d__x000a__x000d__x000a_[color schemes]_x000d__x000a_Arizona=804000,FFFFFF,FFFFFF,0,FFFFFF,0,808040,C0C0C0,FF 2" xfId="12195"/>
    <cellStyle name="常规 2 3 4 2" xfId="12196"/>
    <cellStyle name="t_HVAC Equipment (3) 2" xfId="12197"/>
    <cellStyle name="标题 3 2 2 11" xfId="12198"/>
    <cellStyle name="Text Indent A" xfId="12199"/>
    <cellStyle name="Text Indent B" xfId="12200"/>
    <cellStyle name="Text Indent B 2" xfId="12201"/>
    <cellStyle name="Text Indent C" xfId="12202"/>
    <cellStyle name="好_55-资产减值损失（空白模板） 10 2 5" xfId="12203"/>
    <cellStyle name="þ_x001d_ðK_x000c_Fý_x001b__x000d_9ýU_x0001_Ð_x0008_¦)_x0007__x0001__x0001_" xfId="12204"/>
    <cellStyle name="常规 5 2 15" xfId="12205"/>
    <cellStyle name="常规 5 2 20" xfId="12206"/>
    <cellStyle name="þ_x001d_ðK_x000c_Fý_x001b__x000d_9ýU_x0001_Ð_x0008_¦)_x0007__x0001__x0001_ 2" xfId="12207"/>
    <cellStyle name="Thousands" xfId="12208"/>
    <cellStyle name="Thousands 2" xfId="12209"/>
    <cellStyle name="差_资产负债标准底稿 9_明细表 5" xfId="12210"/>
    <cellStyle name="好_1公允价值变动损益" xfId="12211"/>
    <cellStyle name="差_资产负债标准底稿 4" xfId="12212"/>
    <cellStyle name="百分比 15" xfId="12213"/>
    <cellStyle name="times" xfId="12214"/>
    <cellStyle name="好_1公允价值变动损益 2" xfId="12215"/>
    <cellStyle name="常规 5 4 7" xfId="12216"/>
    <cellStyle name="差_资产负债标准底稿 4 2" xfId="12217"/>
    <cellStyle name="times 2" xfId="12218"/>
    <cellStyle name="Times New Roman" xfId="12219"/>
    <cellStyle name="好_财务费用 4_明细表 4" xfId="12220"/>
    <cellStyle name="常规 3 2 2 2 11" xfId="12221"/>
    <cellStyle name="好_资产负债类底稿模版 4_明细表 4" xfId="12222"/>
    <cellStyle name="Times New Roman 2" xfId="12223"/>
    <cellStyle name="差_固定资产循环7-1 2 3" xfId="12224"/>
    <cellStyle name="好 2 2 7" xfId="12225"/>
    <cellStyle name="title 2" xfId="12226"/>
    <cellStyle name="Title 2 2" xfId="12227"/>
    <cellStyle name="title 2 3" xfId="12228"/>
    <cellStyle name="好_1财务费用 11_明细表 2" xfId="12229"/>
    <cellStyle name="title 2 4" xfId="12230"/>
    <cellStyle name="title 5" xfId="12231"/>
    <cellStyle name="差_1营业外收入 2" xfId="12232"/>
    <cellStyle name="title 6" xfId="12233"/>
    <cellStyle name="差_1营业外收入 3" xfId="12234"/>
    <cellStyle name="title 7" xfId="12235"/>
    <cellStyle name="好_应收账款 2 2 2" xfId="12236"/>
    <cellStyle name="Total" xfId="12237"/>
    <cellStyle name="差_营业收入 12" xfId="12238"/>
    <cellStyle name="Total 2" xfId="12239"/>
    <cellStyle name="Total 2 2" xfId="12240"/>
    <cellStyle name="差_营业收入 13" xfId="12241"/>
    <cellStyle name="Total 3" xfId="12242"/>
    <cellStyle name="Tusental_pldt" xfId="12243"/>
    <cellStyle name="好_1专项应付款 8 4" xfId="12244"/>
    <cellStyle name="常规 175 2 4" xfId="12245"/>
    <cellStyle name="常规 180 2 4" xfId="12246"/>
    <cellStyle name="Unprotect" xfId="12247"/>
    <cellStyle name="Unprotect 2" xfId="12248"/>
    <cellStyle name="Valuta (0)_98.9" xfId="12249"/>
    <cellStyle name="差_货币资金 3 3" xfId="12250"/>
    <cellStyle name="Valuta_98.9" xfId="12251"/>
    <cellStyle name="Währung [0]_BAM Invcap" xfId="12252"/>
    <cellStyle name="好_1营业收入 9 2 5" xfId="12253"/>
    <cellStyle name="Währung_BAM Invcap" xfId="12254"/>
    <cellStyle name="差_Book2 2 2 3" xfId="12255"/>
    <cellStyle name="Wahrung_RESULTS" xfId="12256"/>
    <cellStyle name="差_51-营业税金及附加（空白模板） 3 4" xfId="12257"/>
    <cellStyle name="Warning Text" xfId="12258"/>
    <cellStyle name="Warning Text 2" xfId="12259"/>
    <cellStyle name="常规 3 4 2 6" xfId="12260"/>
    <cellStyle name="Warning Text 2 2" xfId="12261"/>
    <cellStyle name="wrap 2" xfId="12262"/>
    <cellStyle name="好_1营业收入 5 2 6" xfId="12263"/>
    <cellStyle name="标题 4 5" xfId="12264"/>
    <cellStyle name="标题 4 5 2" xfId="12265"/>
    <cellStyle name="wrap 2 2" xfId="12266"/>
    <cellStyle name="W鋒rung [0]_laroux" xfId="12267"/>
    <cellStyle name="好_30-应付账款（空白模板）_明细表 4" xfId="12268"/>
    <cellStyle name="W鋒rung_laroux" xfId="12269"/>
    <cellStyle name="W呼rung [0]_laroux" xfId="12270"/>
    <cellStyle name="W呼rung_laroux" xfId="12271"/>
    <cellStyle name="好_1财务费用 9_明细表 4" xfId="12272"/>
    <cellStyle name="常规 9 3 5 5" xfId="12273"/>
    <cellStyle name="xj" xfId="12274"/>
    <cellStyle name="千位分隔 7 2 2 3" xfId="12275"/>
    <cellStyle name="常规 9 3 5 5 2" xfId="12276"/>
    <cellStyle name="xj 2" xfId="12277"/>
    <cellStyle name="Zhengnan" xfId="12278"/>
    <cellStyle name="好_1短期借款 2_明细表 2" xfId="12279"/>
    <cellStyle name="差_预收款项 8_明细表" xfId="12280"/>
    <cellStyle name="好_G-应收账款 4_明细表" xfId="12281"/>
    <cellStyle name="差_55-资产减值损失（空白模板） 5 2" xfId="12282"/>
    <cellStyle name="パーセント_laroux" xfId="12283"/>
    <cellStyle name="_!" xfId="12284"/>
    <cellStyle name="标题 5 9" xfId="12285"/>
    <cellStyle name="だ[0]_PLDT" xfId="12286"/>
    <cellStyle name="だ_PLDT" xfId="12287"/>
    <cellStyle name="千位分隔 3 6 2 2 2" xfId="12288"/>
    <cellStyle name="だ[0]_PLDT" xfId="12289"/>
    <cellStyle name="好_固定资产明细 5" xfId="12290"/>
    <cellStyle name="だ_laroux" xfId="12291"/>
    <cellStyle name="だ筳[0]_PERSONAL" xfId="12292"/>
    <cellStyle name="差_54-财务费用（空白模板）_3固定资产" xfId="12293"/>
    <cellStyle name="だ筳_PERSONAL" xfId="12294"/>
    <cellStyle name="籵_9409GZST" xfId="12295"/>
    <cellStyle name="煦弇_9807sf啎呾 (4)" xfId="12296"/>
    <cellStyle name="弇_laroux" xfId="12297"/>
    <cellStyle name="货币 2 12 2 4" xfId="12298"/>
    <cellStyle name="差_30-应付账款（空白模板） 19" xfId="12299"/>
    <cellStyle name="差_30-应付账款（空白模板） 24" xfId="12300"/>
    <cellStyle name="弇煦路[0]_PERSONAL" xfId="12301"/>
    <cellStyle name="常规 2 3 19" xfId="12302"/>
    <cellStyle name="常规 2 3 24" xfId="12303"/>
    <cellStyle name="差_货币资金 天职 4" xfId="12304"/>
    <cellStyle name="弇煦路_PERSONAL" xfId="12305"/>
    <cellStyle name="百分比 10" xfId="12306"/>
    <cellStyle name="常规 2 5 2 5 2 3" xfId="12307"/>
    <cellStyle name="百分比 10 2" xfId="12308"/>
    <cellStyle name="百分比 10 5" xfId="12309"/>
    <cellStyle name="好_期初余额查验 5" xfId="12310"/>
    <cellStyle name="百分比 10 5 2" xfId="12311"/>
    <cellStyle name="百分比 10 5 3" xfId="12312"/>
    <cellStyle name="百分比 10 6" xfId="12313"/>
    <cellStyle name="百分比 10 7" xfId="12314"/>
    <cellStyle name="百分比 11 10" xfId="12315"/>
    <cellStyle name="百分比 11 11" xfId="12316"/>
    <cellStyle name="百分比 11 2" xfId="12317"/>
    <cellStyle name="差_短期借款_明细表 2 3" xfId="12318"/>
    <cellStyle name="百分比 11 2 2" xfId="12319"/>
    <cellStyle name="百分比 11 5" xfId="12320"/>
    <cellStyle name="百分比 11 6" xfId="12321"/>
    <cellStyle name="百分比 11 7" xfId="12322"/>
    <cellStyle name="好_50-营业成本（空白模板） 3_明细表 2" xfId="12323"/>
    <cellStyle name="百分比 11 8" xfId="12324"/>
    <cellStyle name="好_50-营业成本（空白模板） 3_明细表 3" xfId="12325"/>
    <cellStyle name="百分比 11 9" xfId="12326"/>
    <cellStyle name="好_50-营业成本（空白模板） 3_明细表 4" xfId="12327"/>
    <cellStyle name="百分比 12" xfId="12328"/>
    <cellStyle name="百分比 12 2" xfId="12329"/>
    <cellStyle name="百分比 12 2 2" xfId="12330"/>
    <cellStyle name="好_54-财务费用（空白模板） 10_明细表 3" xfId="12331"/>
    <cellStyle name="百分比 12 2 2 2" xfId="12332"/>
    <cellStyle name="常规 3 5 2 7 3 5" xfId="12333"/>
    <cellStyle name="好_54-财务费用（空白模板） 10_明细表 4" xfId="12334"/>
    <cellStyle name="百分比 12 2 2 3" xfId="12335"/>
    <cellStyle name="百分比 12 2 3" xfId="12336"/>
    <cellStyle name="百分比 12 2 4" xfId="12337"/>
    <cellStyle name="差_资产负债标准底稿 2" xfId="12338"/>
    <cellStyle name="百分比 13" xfId="12339"/>
    <cellStyle name="百分比 13 2" xfId="12340"/>
    <cellStyle name="常规 5 2 7" xfId="12341"/>
    <cellStyle name="差_资产负债标准底稿 2 2" xfId="12342"/>
    <cellStyle name="好_短期借款 7_明细表 5" xfId="12343"/>
    <cellStyle name="百分比 13 2 2" xfId="12344"/>
    <cellStyle name="常规 5 2 7 2" xfId="12345"/>
    <cellStyle name="差_资产负债标准底稿 2 2 2" xfId="12346"/>
    <cellStyle name="好_底稿设置宏_大信底稿目录 6 2 2" xfId="12347"/>
    <cellStyle name="好_54-财务费用（空白模板） 11_明细表 4" xfId="12348"/>
    <cellStyle name="百分比 13 2 2 3" xfId="12349"/>
    <cellStyle name="常规 5 2 7 2 3" xfId="12350"/>
    <cellStyle name="差_1持有至到期投资" xfId="12351"/>
    <cellStyle name="百分比 13 2 3" xfId="12352"/>
    <cellStyle name="差_其他应收款" xfId="12353"/>
    <cellStyle name="常规 5 2 7 3" xfId="12354"/>
    <cellStyle name="差_资产负债标准底稿 2 2 3" xfId="12355"/>
    <cellStyle name="差_资产负债标准底稿 2 2 4" xfId="12356"/>
    <cellStyle name="百分比 13 2 4" xfId="12357"/>
    <cellStyle name="差_FG应交税费" xfId="12358"/>
    <cellStyle name="差_资产负债标准底稿 3" xfId="12359"/>
    <cellStyle name="百分比 14" xfId="12360"/>
    <cellStyle name="差_资产负债标准底稿 5" xfId="12361"/>
    <cellStyle name="百分比 16" xfId="12362"/>
    <cellStyle name="好_4-应收账款（空白模板） 6 3 2" xfId="12363"/>
    <cellStyle name="百分比 2" xfId="12364"/>
    <cellStyle name="百分比 2 10" xfId="12365"/>
    <cellStyle name="百分比 2 10 2" xfId="12366"/>
    <cellStyle name="百分比 2 10 2 2" xfId="12367"/>
    <cellStyle name="好_54-财务费用（空白模板） 15_明细表 4" xfId="12368"/>
    <cellStyle name="百分比 2 10 2 3" xfId="12369"/>
    <cellStyle name="好_54-财务费用（空白模板） 15_明细表 5" xfId="12370"/>
    <cellStyle name="百分比 2 10 3 2" xfId="12371"/>
    <cellStyle name="好_投资收益" xfId="12372"/>
    <cellStyle name="百分比 2 10 3 3" xfId="12373"/>
    <cellStyle name="百分比 2 10 4" xfId="12374"/>
    <cellStyle name="百分比 2 11" xfId="12375"/>
    <cellStyle name="百分比 2 11 2" xfId="12376"/>
    <cellStyle name="百分比 2 11 2 2" xfId="12377"/>
    <cellStyle name="差_固定资产 2_明细表" xfId="12378"/>
    <cellStyle name="百分比 2 11 2 3" xfId="12379"/>
    <cellStyle name="百分比 2 11 3" xfId="12380"/>
    <cellStyle name="百分比 2 11 3 2" xfId="12381"/>
    <cellStyle name="百分比 2 11 3 3" xfId="12382"/>
    <cellStyle name="百分比 2 11 4" xfId="12383"/>
    <cellStyle name="百分比 2 12" xfId="12384"/>
    <cellStyle name="百分比 2 12 2" xfId="12385"/>
    <cellStyle name="百分比 2 12 2 2" xfId="12386"/>
    <cellStyle name="百分比 2 12 3" xfId="12387"/>
    <cellStyle name="百分比 2 12 3 2" xfId="12388"/>
    <cellStyle name="百分比 2 12 4" xfId="12389"/>
    <cellStyle name="百分比 2 13" xfId="12390"/>
    <cellStyle name="百分比 2 13 2" xfId="12391"/>
    <cellStyle name="百分比 2 13 2 2" xfId="12392"/>
    <cellStyle name="百分比 2 13 3" xfId="12393"/>
    <cellStyle name="百分比 2 13 4" xfId="12394"/>
    <cellStyle name="百分比 2 14" xfId="12395"/>
    <cellStyle name="好_5-预付款项（空白模板）_附注表一（财务报表）" xfId="12396"/>
    <cellStyle name="百分比 2 14 2" xfId="12397"/>
    <cellStyle name="百分比 2 14 2 2" xfId="12398"/>
    <cellStyle name="百分比 2 14 3" xfId="12399"/>
    <cellStyle name="百分比 2 14 4" xfId="12400"/>
    <cellStyle name="百分比 2 15" xfId="12401"/>
    <cellStyle name="百分比 2 20" xfId="12402"/>
    <cellStyle name="百分比 2 15 2" xfId="12403"/>
    <cellStyle name="好_可供出售金融资产 2 2" xfId="12404"/>
    <cellStyle name="好_1资产减值损失_Book2" xfId="12405"/>
    <cellStyle name="百分比 2 15 3" xfId="12406"/>
    <cellStyle name="百分比 2 16" xfId="12407"/>
    <cellStyle name="百分比 2 21" xfId="12408"/>
    <cellStyle name="百分比 2 16 2" xfId="12409"/>
    <cellStyle name="百分比 2 16 4" xfId="12410"/>
    <cellStyle name="百分比 2 16 5" xfId="12411"/>
    <cellStyle name="好_55-资产减值损失（空白模板）_明细表_1 3" xfId="12412"/>
    <cellStyle name="百分比 2 18" xfId="12413"/>
    <cellStyle name="百分比 2 23" xfId="12414"/>
    <cellStyle name="好_55-资产减值损失（空白模板）_明细表_1 4" xfId="12415"/>
    <cellStyle name="百分比 2 19" xfId="12416"/>
    <cellStyle name="百分比 2 24" xfId="12417"/>
    <cellStyle name="好_复件 固定资产 12_明细表 4" xfId="12418"/>
    <cellStyle name="百分比 2 2" xfId="12419"/>
    <cellStyle name="差_55-资产减值损失（空白模板） 10 3" xfId="12420"/>
    <cellStyle name="百分比 2 2 11" xfId="12421"/>
    <cellStyle name="常规 2 11_附注表一（财务报表）" xfId="12422"/>
    <cellStyle name="百分比 2 2 11 2" xfId="12423"/>
    <cellStyle name="百分比 2 2 11 4" xfId="12424"/>
    <cellStyle name="差_55-资产减值损失（空白模板） 10 4" xfId="12425"/>
    <cellStyle name="百分比 2 2 12" xfId="12426"/>
    <cellStyle name="百分比 2 2 12 2" xfId="12427"/>
    <cellStyle name="百分比 2 2 12 3" xfId="12428"/>
    <cellStyle name="百分比 2 2 14" xfId="12429"/>
    <cellStyle name="百分比 2 2 14 2" xfId="12430"/>
    <cellStyle name="百分比 2 2 14 3" xfId="12431"/>
    <cellStyle name="好_预收款项 12 2" xfId="12432"/>
    <cellStyle name="百分比 2 2 15" xfId="12433"/>
    <cellStyle name="百分比 2 2 20" xfId="12434"/>
    <cellStyle name="常规 3 12 2 2" xfId="12435"/>
    <cellStyle name="好_预收款项 12 2 2" xfId="12436"/>
    <cellStyle name="差_4-应收账款（空白模板） 4" xfId="12437"/>
    <cellStyle name="百分比 2 2 15 2" xfId="12438"/>
    <cellStyle name="好_51-营业税金及附加（空白模板） 7_明细表" xfId="12439"/>
    <cellStyle name="好_预收款项 12 2 3" xfId="12440"/>
    <cellStyle name="差_4-应收账款（空白模板） 5" xfId="12441"/>
    <cellStyle name="百分比 2 2 15 3" xfId="12442"/>
    <cellStyle name="好_预收款项 12 3" xfId="12443"/>
    <cellStyle name="百分比 2 2 16" xfId="12444"/>
    <cellStyle name="百分比 2 2 21" xfId="12445"/>
    <cellStyle name="常规 3 12 2 3" xfId="12446"/>
    <cellStyle name="好_55-资产减值损失（空白模板）_3固定资产 2" xfId="12447"/>
    <cellStyle name="百分比 2 2 17" xfId="12448"/>
    <cellStyle name="百分比 2 2 22" xfId="12449"/>
    <cellStyle name="好_1营业收入 15 2 2" xfId="12450"/>
    <cellStyle name="百分比 2 2 18" xfId="12451"/>
    <cellStyle name="百分比 2 2 23" xfId="12452"/>
    <cellStyle name="好_1营业收入 15 2 3" xfId="12453"/>
    <cellStyle name="常规 5 7 2" xfId="12454"/>
    <cellStyle name="百分比 2 2 19" xfId="12455"/>
    <cellStyle name="百分比 2 2 2" xfId="12456"/>
    <cellStyle name="百分比 2 2 2 10" xfId="12457"/>
    <cellStyle name="好_1专项应付款_明细表_1 3" xfId="12458"/>
    <cellStyle name="百分比 2 2 2 10 2" xfId="12459"/>
    <cellStyle name="好_15-固定资产（空白模板） 12_明细表" xfId="12460"/>
    <cellStyle name="百分比 2 2 2 11" xfId="12461"/>
    <cellStyle name="好_其他应收款检查表" xfId="12462"/>
    <cellStyle name="百分比 2 2 2 12" xfId="12463"/>
    <cellStyle name="差_无形资产 10_明细表" xfId="12464"/>
    <cellStyle name="百分比 2 2 2 13" xfId="12465"/>
    <cellStyle name="百分比 2 2 2 14" xfId="12466"/>
    <cellStyle name="百分比 2 2 2 15" xfId="12467"/>
    <cellStyle name="百分比 2 2 2 2 2" xfId="12468"/>
    <cellStyle name="好_49-营业收入（空白模板） 8" xfId="12469"/>
    <cellStyle name="百分比 2 2 2 2 2 2" xfId="12470"/>
    <cellStyle name="好_49-营业收入（空白模板） 9" xfId="12471"/>
    <cellStyle name="百分比 2 2 2 2 2 3" xfId="12472"/>
    <cellStyle name="百分比 2 2 2 2 3" xfId="12473"/>
    <cellStyle name="好_所得税费用 10" xfId="12474"/>
    <cellStyle name="百分比 2 2 2 3 2" xfId="12475"/>
    <cellStyle name="好_15-固定资产（空白模板） 5" xfId="12476"/>
    <cellStyle name="百分比 2 2 2 3 2 2" xfId="12477"/>
    <cellStyle name="好_15-固定资产（空白模板） 5 2" xfId="12478"/>
    <cellStyle name="百分比 2 2 2 3 3" xfId="12479"/>
    <cellStyle name="好_15-固定资产（空白模板） 6" xfId="12480"/>
    <cellStyle name="百分比 2 2 2 4 2" xfId="12481"/>
    <cellStyle name="百分比 2 2 2 4 3" xfId="12482"/>
    <cellStyle name="百分比 2 2 2 5 2" xfId="12483"/>
    <cellStyle name="百分比 2 2 2 5 3" xfId="12484"/>
    <cellStyle name="好_底稿设置宏 9_附注表一（财务报表）" xfId="12485"/>
    <cellStyle name="百分比 2 2 2 6" xfId="12486"/>
    <cellStyle name="百分比 2 2 2 6 2" xfId="12487"/>
    <cellStyle name="百分比 2 2 3" xfId="12488"/>
    <cellStyle name="百分比 2 2 3 2 2" xfId="12489"/>
    <cellStyle name="好_FG应交税费" xfId="12490"/>
    <cellStyle name="百分比 2 2 3 2 3" xfId="12491"/>
    <cellStyle name="百分比 2 2 3 4 2" xfId="12492"/>
    <cellStyle name="好_10-可供出售金融资产（空白模板） 2 2" xfId="12493"/>
    <cellStyle name="百分比 2 2 3 5" xfId="12494"/>
    <cellStyle name="好_10-可供出售金融资产（空白模板） 3" xfId="12495"/>
    <cellStyle name="百分比 2 2 3 6" xfId="12496"/>
    <cellStyle name="好_10-可供出售金融资产（空白模板） 4" xfId="12497"/>
    <cellStyle name="百分比 2 2 4" xfId="12498"/>
    <cellStyle name="差_dxn底稿目录 3_明细表" xfId="12499"/>
    <cellStyle name="差_54-财务费用（空白模板） 16 2" xfId="12500"/>
    <cellStyle name="百分比 2 2 4 2" xfId="12501"/>
    <cellStyle name="百分比 2 2 4 2 2" xfId="12502"/>
    <cellStyle name="好_15-固定资产（空白模板） 11_明细表 2" xfId="12503"/>
    <cellStyle name="差_5-预付款项（空白模板）_明细表" xfId="12504"/>
    <cellStyle name="百分比 2 2 4 2 3" xfId="12505"/>
    <cellStyle name="百分比 2 2 4 3" xfId="12506"/>
    <cellStyle name="百分比 2 2 4 3 2" xfId="12507"/>
    <cellStyle name="差_40-专项应付款(空白模板) 4 2 2" xfId="12508"/>
    <cellStyle name="百分比 2 2 4 4" xfId="12509"/>
    <cellStyle name="差_40-专项应付款(空白模板) 4 2 3" xfId="12510"/>
    <cellStyle name="百分比 2 2 4 5" xfId="12511"/>
    <cellStyle name="百分比 2 2 4 6" xfId="12512"/>
    <cellStyle name="百分比 2 2 5" xfId="12513"/>
    <cellStyle name="百分比 2 2 5 2" xfId="12514"/>
    <cellStyle name="好_应交税费 - 复制" xfId="12515"/>
    <cellStyle name="百分比 2 2 5 2 2" xfId="12516"/>
    <cellStyle name="好_应交税费 - 复制 2" xfId="12517"/>
    <cellStyle name="百分比 2 2 5 2 3" xfId="12518"/>
    <cellStyle name="好_应交税费 - 复制 3" xfId="12519"/>
    <cellStyle name="百分比 2 2 5 3" xfId="12520"/>
    <cellStyle name="百分比 2 2 5 3 2" xfId="12521"/>
    <cellStyle name="常规 3 2 28 2 2 3" xfId="12522"/>
    <cellStyle name="百分比 2 2 5 5" xfId="12523"/>
    <cellStyle name="好_30-应付账款（空白模板） 10 2" xfId="12524"/>
    <cellStyle name="常规 3 2 28 2 2 4" xfId="12525"/>
    <cellStyle name="百分比 2 2 5 6" xfId="12526"/>
    <cellStyle name="好_30-应付账款（空白模板） 10 3" xfId="12527"/>
    <cellStyle name="常规 3 2 28 2 2 5" xfId="12528"/>
    <cellStyle name="百分比 2 2 5 7" xfId="12529"/>
    <cellStyle name="好_1财务费用 2_明细表" xfId="12530"/>
    <cellStyle name="百分比 2 2 6" xfId="12531"/>
    <cellStyle name="百分比 2 2 6 10" xfId="12532"/>
    <cellStyle name="百分比 2 2 6 11" xfId="12533"/>
    <cellStyle name="百分比 2 2 6 12" xfId="12534"/>
    <cellStyle name="好_1财务费用 2_明细表 2" xfId="12535"/>
    <cellStyle name="百分比 2 2 6 2" xfId="12536"/>
    <cellStyle name="好_资本到位及工商情况 3 3" xfId="12537"/>
    <cellStyle name="百分比 2 2 6 2 2" xfId="12538"/>
    <cellStyle name="好_1财务费用 2_明细表 3" xfId="12539"/>
    <cellStyle name="百分比 2 2 6 3" xfId="12540"/>
    <cellStyle name="好_资本到位及工商情况 4 3" xfId="12541"/>
    <cellStyle name="百分比 2 2 6 3 2" xfId="12542"/>
    <cellStyle name="好_1财务费用 2_明细表 4" xfId="12543"/>
    <cellStyle name="百分比 2 2 6 4" xfId="12544"/>
    <cellStyle name="好_1财务费用 2_明细表 5" xfId="12545"/>
    <cellStyle name="百分比 2 2 6 5" xfId="12546"/>
    <cellStyle name="好_30-应付账款（空白模板） 11 2" xfId="12547"/>
    <cellStyle name="百分比 2 2 6 6" xfId="12548"/>
    <cellStyle name="好_30-应付账款（空白模板） 11 3" xfId="12549"/>
    <cellStyle name="百分比 2 2 6 7" xfId="12550"/>
    <cellStyle name="好_资产负债标准底稿 11" xfId="12551"/>
    <cellStyle name="百分比 2 2 6 9" xfId="12552"/>
    <cellStyle name="百分比 2 2 7" xfId="12553"/>
    <cellStyle name="好_15-固定资产（空白模板） 13_明细表" xfId="12554"/>
    <cellStyle name="百分比 2 2 7 11" xfId="12555"/>
    <cellStyle name="百分比 2 2 7 12" xfId="12556"/>
    <cellStyle name="百分比 2 2 7 2" xfId="12557"/>
    <cellStyle name="百分比 2 2 7 2 3" xfId="12558"/>
    <cellStyle name="差_1预收款项 13_明细表" xfId="12559"/>
    <cellStyle name="百分比 2 2 7 3" xfId="12560"/>
    <cellStyle name="差_1预收款项 6_明细表" xfId="12561"/>
    <cellStyle name="百分比 2 2 7 5" xfId="12562"/>
    <cellStyle name="好_30-应付账款（空白模板） 12 2" xfId="12563"/>
    <cellStyle name="百分比 2 2 7 6" xfId="12564"/>
    <cellStyle name="好_30-应付账款（空白模板） 12 3" xfId="12565"/>
    <cellStyle name="百分比 2 2 7 7" xfId="12566"/>
    <cellStyle name="百分比 2 2 7 8" xfId="12567"/>
    <cellStyle name="百分比 2 2 7 9" xfId="12568"/>
    <cellStyle name="百分比 2 2 8" xfId="12569"/>
    <cellStyle name="百分比 2 2 8 2" xfId="12570"/>
    <cellStyle name="好_15-固定资产（空白模板） 10 2 3" xfId="12571"/>
    <cellStyle name="百分比 2 2 8 2 2" xfId="12572"/>
    <cellStyle name="好_15-固定资产（空白模板） 10 2 4" xfId="12573"/>
    <cellStyle name="好__dxn_temp空白表页 12_附注表一（财务报表）" xfId="12574"/>
    <cellStyle name="百分比 2 2 8 2 3" xfId="12575"/>
    <cellStyle name="好_底稿设置宏_大信底稿目录 7 2 2" xfId="12576"/>
    <cellStyle name="常规 5 2 8 2 3" xfId="12577"/>
    <cellStyle name="百分比 2 2 8 4" xfId="12578"/>
    <cellStyle name="好_底稿设置宏_大信底稿目录 7 2 3" xfId="12579"/>
    <cellStyle name="常规 5 2 8 2 4" xfId="12580"/>
    <cellStyle name="百分比 2 2 8 5" xfId="12581"/>
    <cellStyle name="好_底稿设置宏_大信底稿目录 7 2 4" xfId="12582"/>
    <cellStyle name="常规 5 2 8 2 5" xfId="12583"/>
    <cellStyle name="好_30-应付账款（空白模板） 13 2" xfId="12584"/>
    <cellStyle name="百分比 2 2 8 6" xfId="12585"/>
    <cellStyle name="好_底稿设置宏_大信底稿目录 7 2 5" xfId="12586"/>
    <cellStyle name="好_30-应付账款（空白模板） 13 3" xfId="12587"/>
    <cellStyle name="百分比 2 2 8 7" xfId="12588"/>
    <cellStyle name="百分比 2 2 9" xfId="12589"/>
    <cellStyle name="百分比 2 2 9 2" xfId="12590"/>
    <cellStyle name="好_15-固定资产（空白模板） 11 2 4" xfId="12591"/>
    <cellStyle name="百分比 2 2 9 2 3" xfId="12592"/>
    <cellStyle name="百分比 2 2 9 3" xfId="12593"/>
    <cellStyle name="百分比 2 2 9 4" xfId="12594"/>
    <cellStyle name="好_55-资产减值损失（空白模板）_明细表_1 5" xfId="12595"/>
    <cellStyle name="百分比 2 25" xfId="12596"/>
    <cellStyle name="百分比 2 26" xfId="12597"/>
    <cellStyle name="好_复件 固定资产 12_明细表 5" xfId="12598"/>
    <cellStyle name="百分比 2 3" xfId="12599"/>
    <cellStyle name="百分比 2 3 10 3" xfId="12600"/>
    <cellStyle name="差_G-应收账款 5_明细表" xfId="12601"/>
    <cellStyle name="百分比 2 3 11" xfId="12602"/>
    <cellStyle name="百分比 2 3 11 2" xfId="12603"/>
    <cellStyle name="百分比 2 3 11 3" xfId="12604"/>
    <cellStyle name="百分比 2 3 12" xfId="12605"/>
    <cellStyle name="好_55-资产减值损失（空白模板） 6_明细表 2" xfId="12606"/>
    <cellStyle name="差_54-财务费用（空白模板） 5 2 2" xfId="12607"/>
    <cellStyle name="好_31-预收账款（空白模板） 6_明细表" xfId="12608"/>
    <cellStyle name="百分比 2 3 13" xfId="12609"/>
    <cellStyle name="好_55-资产减值损失（空白模板） 6_明细表 3" xfId="12610"/>
    <cellStyle name="好_51-营业税金及附加（空白模板） 11 2 2" xfId="12611"/>
    <cellStyle name="差_54-财务费用（空白模板） 5 2 3" xfId="12612"/>
    <cellStyle name="差_存货 3 2" xfId="12613"/>
    <cellStyle name="百分比 2 3 14" xfId="12614"/>
    <cellStyle name="好_55-资产减值损失（空白模板） 6_明细表 4" xfId="12615"/>
    <cellStyle name="好_51-营业税金及附加（空白模板） 11 2 3" xfId="12616"/>
    <cellStyle name="好_54-财务费用（空白模板） 5_明细表 5" xfId="12617"/>
    <cellStyle name="百分比 2 3 2" xfId="12618"/>
    <cellStyle name="百分比 2 3 2 10" xfId="12619"/>
    <cellStyle name="百分比 2 3 2 12" xfId="12620"/>
    <cellStyle name="差_应收账款 6 2" xfId="12621"/>
    <cellStyle name="差_ZD应收账款 2" xfId="12622"/>
    <cellStyle name="百分比 2 3 2 2 2" xfId="12623"/>
    <cellStyle name="差_ZD应收账款 2 2" xfId="12624"/>
    <cellStyle name="百分比 2 3 2 2 2 2" xfId="12625"/>
    <cellStyle name="差_ZD应收账款 2 3" xfId="12626"/>
    <cellStyle name="百分比 2 3 2 2 2 3" xfId="12627"/>
    <cellStyle name="差_应收账款 6 3" xfId="12628"/>
    <cellStyle name="差_ZD应收账款 3" xfId="12629"/>
    <cellStyle name="百分比 2 3 2 2 3" xfId="12630"/>
    <cellStyle name="好_4-应收账款（空白模板） 7" xfId="12631"/>
    <cellStyle name="差_4-应收账款（空白模板） 5 2 3" xfId="12632"/>
    <cellStyle name="常规 3 7_附注表一（财务报表）" xfId="12633"/>
    <cellStyle name="差_ZD应收账款 3 2" xfId="12634"/>
    <cellStyle name="百分比 2 3 2 2 3 2" xfId="12635"/>
    <cellStyle name="好_4-应收账款（空白模板） 8" xfId="12636"/>
    <cellStyle name="差_ZD应收账款 3 3" xfId="12637"/>
    <cellStyle name="百分比 2 3 2 2 3 3" xfId="12638"/>
    <cellStyle name="差_ZD应收账款 4" xfId="12639"/>
    <cellStyle name="百分比 2 3 2 2 4" xfId="12640"/>
    <cellStyle name="差_ZD应收账款 4 2" xfId="12641"/>
    <cellStyle name="常规 3 5 2 2 3 4" xfId="12642"/>
    <cellStyle name="百分比 2 3 2 2 4 2" xfId="12643"/>
    <cellStyle name="差_ZD应收账款 4 3" xfId="12644"/>
    <cellStyle name="常规 3 5 2 2 3 5" xfId="12645"/>
    <cellStyle name="差_49-营业收入（空白模板） 10 2" xfId="12646"/>
    <cellStyle name="百分比 2 3 2 2 4 3" xfId="12647"/>
    <cellStyle name="差_ZD应收账款 5 3" xfId="12648"/>
    <cellStyle name="差_49-营业收入（空白模板） 11 2" xfId="12649"/>
    <cellStyle name="百分比 2 3 2 2 5 3" xfId="12650"/>
    <cellStyle name="百分比 2 3 2 2 6" xfId="12651"/>
    <cellStyle name="百分比 2 3 2 2 7" xfId="12652"/>
    <cellStyle name="好__dxn_temp空白表页 10 2 5" xfId="12653"/>
    <cellStyle name="差_应收账款 7" xfId="12654"/>
    <cellStyle name="百分比 2 3 2 3" xfId="12655"/>
    <cellStyle name="差_应收账款 7 2" xfId="12656"/>
    <cellStyle name="百分比 2 3 2 3 2" xfId="12657"/>
    <cellStyle name="差_应收账款 7 3" xfId="12658"/>
    <cellStyle name="百分比 2 3 2 3 3" xfId="12659"/>
    <cellStyle name="差_应收账款 8" xfId="12660"/>
    <cellStyle name="百分比 2 3 2 4" xfId="12661"/>
    <cellStyle name="差_应收账款 8 2" xfId="12662"/>
    <cellStyle name="百分比 2 3 2 4 2" xfId="12663"/>
    <cellStyle name="差_应收账款 8 3" xfId="12664"/>
    <cellStyle name="百分比 2 3 2 4 3" xfId="12665"/>
    <cellStyle name="差_应收账款 9" xfId="12666"/>
    <cellStyle name="差_复件 固定资产 7 2" xfId="12667"/>
    <cellStyle name="百分比 2 3 2 5" xfId="12668"/>
    <cellStyle name="差_应收账款 9 2" xfId="12669"/>
    <cellStyle name="差_复件 固定资产 7 2 2" xfId="12670"/>
    <cellStyle name="百分比 2 3 2 5 2" xfId="12671"/>
    <cellStyle name="差_应收账款 9 3" xfId="12672"/>
    <cellStyle name="差_复件 固定资产 7 2 3" xfId="12673"/>
    <cellStyle name="百分比 2 3 2 5 3" xfId="12674"/>
    <cellStyle name="差_复件 固定资产 7 3" xfId="12675"/>
    <cellStyle name="百分比 2 3 2 6" xfId="12676"/>
    <cellStyle name="好_银行函证结果汇总表 2_附注表一（财务报表）" xfId="12677"/>
    <cellStyle name="百分比 2 3 2 6 2" xfId="12678"/>
    <cellStyle name="好_2应收账款" xfId="12679"/>
    <cellStyle name="百分比 2 3 2 6 3" xfId="12680"/>
    <cellStyle name="好_长期应付款 2" xfId="12681"/>
    <cellStyle name="百分比 2 3 2 7" xfId="12682"/>
    <cellStyle name="好_长期应付款 2 2" xfId="12683"/>
    <cellStyle name="百分比 2 3 2 7 2" xfId="12684"/>
    <cellStyle name="差_资产负债类底稿模版 13_附注表一（财务报表）" xfId="12685"/>
    <cellStyle name="好_长期应付款 2 3" xfId="12686"/>
    <cellStyle name="百分比 2 3 2 7 3" xfId="12687"/>
    <cellStyle name="好_长期应付款 3" xfId="12688"/>
    <cellStyle name="百分比 2 3 2 8" xfId="12689"/>
    <cellStyle name="好_长期应付款 4" xfId="12690"/>
    <cellStyle name="百分比 2 3 2 9" xfId="12691"/>
    <cellStyle name="百分比 2 3 3 10" xfId="12692"/>
    <cellStyle name="好_1可供出售金融资产 2" xfId="12693"/>
    <cellStyle name="百分比 2 3 3 11" xfId="12694"/>
    <cellStyle name="差_54-财务费用（空白模板） 10 4" xfId="12695"/>
    <cellStyle name="百分比 2 3 3 2 2" xfId="12696"/>
    <cellStyle name="百分比 2 3 3 3" xfId="12697"/>
    <cellStyle name="百分比 2 3 3 3 2" xfId="12698"/>
    <cellStyle name="百分比 2 3 3 4" xfId="12699"/>
    <cellStyle name="超级链接 2" xfId="12700"/>
    <cellStyle name="差_复件 固定资产 8 2" xfId="12701"/>
    <cellStyle name="百分比 2 3 3 5" xfId="12702"/>
    <cellStyle name="超级链接 3" xfId="12703"/>
    <cellStyle name="差_复件 固定资产 8 3" xfId="12704"/>
    <cellStyle name="百分比 2 3 3 6" xfId="12705"/>
    <cellStyle name="超级链接 5" xfId="12706"/>
    <cellStyle name="百分比 2 3 3 8" xfId="12707"/>
    <cellStyle name="超级链接 6" xfId="12708"/>
    <cellStyle name="百分比 2 3 3 9" xfId="12709"/>
    <cellStyle name="百分比 2 3 4" xfId="12710"/>
    <cellStyle name="好_1营业收入 10_明细表 4" xfId="12711"/>
    <cellStyle name="百分比 2 3 4 2" xfId="12712"/>
    <cellStyle name="百分比 2 3 4 2 2" xfId="12713"/>
    <cellStyle name="好_15-固定资产（空白模板） 12_明细表 2" xfId="12714"/>
    <cellStyle name="百分比 2 3 4 2 3" xfId="12715"/>
    <cellStyle name="好_1营业收入 10_明细表 5" xfId="12716"/>
    <cellStyle name="百分比 2 3 4 3" xfId="12717"/>
    <cellStyle name="百分比 2 3 4 3 2" xfId="12718"/>
    <cellStyle name="差_40-专项应付款(空白模板) 5 2 2" xfId="12719"/>
    <cellStyle name="百分比 2 3 4 4" xfId="12720"/>
    <cellStyle name="百分比 2 3 5 2" xfId="12721"/>
    <cellStyle name="百分比 2 3 5 3" xfId="12722"/>
    <cellStyle name="好_1短期借款 9 4" xfId="12723"/>
    <cellStyle name="百分比 2 3 5 3 2" xfId="12724"/>
    <cellStyle name="超链接 2 2_城开三相符-牛-合并" xfId="12725"/>
    <cellStyle name="百分比 2 3 6" xfId="12726"/>
    <cellStyle name="百分比 2 3 6 2" xfId="12727"/>
    <cellStyle name="百分比 2 3 6 2 2" xfId="12728"/>
    <cellStyle name="百分比 2 3 6 3" xfId="12729"/>
    <cellStyle name="百分比 2 3 6 3 2" xfId="12730"/>
    <cellStyle name="百分比 2 3 7" xfId="12731"/>
    <cellStyle name="百分比 2 3 7 2" xfId="12732"/>
    <cellStyle name="常规 5 2 9 2 2" xfId="12733"/>
    <cellStyle name="百分比 2 3 8 3" xfId="12734"/>
    <cellStyle name="差_1专项应付款 2" xfId="12735"/>
    <cellStyle name="百分比 2 3 9" xfId="12736"/>
    <cellStyle name="差_1专项应付款 2 2" xfId="12737"/>
    <cellStyle name="百分比 2 3 9 2" xfId="12738"/>
    <cellStyle name="差_1专项应付款 2 3" xfId="12739"/>
    <cellStyle name="百分比 2 3 9 3" xfId="12740"/>
    <cellStyle name="百分比 2 4" xfId="12741"/>
    <cellStyle name="差_资产负债类底稿模版 11 2 3" xfId="12742"/>
    <cellStyle name="百分比 2 4 2" xfId="12743"/>
    <cellStyle name="百分比 2 4 2 10" xfId="12744"/>
    <cellStyle name="百分比 2 4 2 11" xfId="12745"/>
    <cellStyle name="差_无形资产 10" xfId="12746"/>
    <cellStyle name="百分比 2 4 2 12" xfId="12747"/>
    <cellStyle name="好__dxn_temp空白表页 11 2 4" xfId="12748"/>
    <cellStyle name="百分比 2 4 2 2" xfId="12749"/>
    <cellStyle name="百分比 2 4 2 2 3" xfId="12750"/>
    <cellStyle name="好__dxn_temp空白表页 11 2 5" xfId="12751"/>
    <cellStyle name="百分比 2 4 2 3" xfId="12752"/>
    <cellStyle name="好_复件 固定资产 4 2 5" xfId="12753"/>
    <cellStyle name="百分比 2 4 2 3 2" xfId="12754"/>
    <cellStyle name="百分比 2 4 2 3 3" xfId="12755"/>
    <cellStyle name="百分比 2 4 2 4" xfId="12756"/>
    <cellStyle name="百分比 2 4 2 5" xfId="12757"/>
    <cellStyle name="百分比 2 4 2 6" xfId="12758"/>
    <cellStyle name="百分比 2 4 2 7" xfId="12759"/>
    <cellStyle name="百分比 2 4 2 8" xfId="12760"/>
    <cellStyle name="常规 5 2 13 2" xfId="12761"/>
    <cellStyle name="百分比 2 4 2 9" xfId="12762"/>
    <cellStyle name="百分比 2 4 3" xfId="12763"/>
    <cellStyle name="好_银行函证结果汇总表 13_附注表一（财务报表）" xfId="12764"/>
    <cellStyle name="好_底稿设置宏 14_明细表 2" xfId="12765"/>
    <cellStyle name="差_资产负债类底稿模版 11 2 4" xfId="12766"/>
    <cellStyle name="百分比 2 4 3 2" xfId="12767"/>
    <cellStyle name="百分比 2 4 3 2 3" xfId="12768"/>
    <cellStyle name="好_19-无形资产（空白模板） 6" xfId="12769"/>
    <cellStyle name="百分比 2 4 3 3" xfId="12770"/>
    <cellStyle name="好_复件 固定资产 5 2 5" xfId="12771"/>
    <cellStyle name="百分比 2 4 3 3 2" xfId="12772"/>
    <cellStyle name="百分比 2 4 3 4" xfId="12773"/>
    <cellStyle name="好_底稿设置宏 14_明细表 3" xfId="12774"/>
    <cellStyle name="差_资产负债类底稿模版 11 2 5" xfId="12775"/>
    <cellStyle name="百分比 2 4 4" xfId="12776"/>
    <cellStyle name="百分比 2 4 4 2" xfId="12777"/>
    <cellStyle name="百分比 2 4 4 2 2" xfId="12778"/>
    <cellStyle name="百分比 2 4 4 3" xfId="12779"/>
    <cellStyle name="好_复件 固定资产 6 2 5" xfId="12780"/>
    <cellStyle name="百分比 2 4 4 3 2" xfId="12781"/>
    <cellStyle name="差_40-专项应付款(空白模板) 6 2 2" xfId="12782"/>
    <cellStyle name="百分比 2 4 4 4" xfId="12783"/>
    <cellStyle name="好_底稿设置宏 14_明细表 4" xfId="12784"/>
    <cellStyle name="百分比 2 4 5" xfId="12785"/>
    <cellStyle name="百分比 2 4 5 2" xfId="12786"/>
    <cellStyle name="差_预收款项 13_附注表一（财务报表）" xfId="12787"/>
    <cellStyle name="百分比 2 4 5 3" xfId="12788"/>
    <cellStyle name="好_复件 固定资产 7 2 5" xfId="12789"/>
    <cellStyle name="差_1预收款项 2 3" xfId="12790"/>
    <cellStyle name="百分比 2 4 5 3 2" xfId="12791"/>
    <cellStyle name="百分比 2 4 5 4" xfId="12792"/>
    <cellStyle name="好_底稿设置宏 14_明细表 5" xfId="12793"/>
    <cellStyle name="百分比 2 4 6" xfId="12794"/>
    <cellStyle name="百分比 2 4 6 2" xfId="12795"/>
    <cellStyle name="超链接 3 11 3" xfId="12796"/>
    <cellStyle name="百分比 2 4 6 2 2" xfId="12797"/>
    <cellStyle name="百分比 2 4 6 3" xfId="12798"/>
    <cellStyle name="好_复件 固定资产 8 2 5" xfId="12799"/>
    <cellStyle name="超链接 3 12 3" xfId="12800"/>
    <cellStyle name="百分比 2 4 6 3 2" xfId="12801"/>
    <cellStyle name="百分比 2 4 7" xfId="12802"/>
    <cellStyle name="百分比 2 4 7 2" xfId="12803"/>
    <cellStyle name="好_财务费用 12_明细表 2" xfId="12804"/>
    <cellStyle name="百分比 2 4 7 3" xfId="12805"/>
    <cellStyle name="常规 172 2 2" xfId="12806"/>
    <cellStyle name="百分比 2 4 8" xfId="12807"/>
    <cellStyle name="常规 172 2 2 2" xfId="12808"/>
    <cellStyle name="百分比 2 4 8 2" xfId="12809"/>
    <cellStyle name="常规 6 2 9 2" xfId="12810"/>
    <cellStyle name="百分比 2 5" xfId="12811"/>
    <cellStyle name="百分比 2 5 2" xfId="12812"/>
    <cellStyle name="好_固定资产 9 3" xfId="12813"/>
    <cellStyle name="好__dxn_temp空白表页 12 2 4" xfId="12814"/>
    <cellStyle name="百分比 2 5 2 2" xfId="12815"/>
    <cellStyle name="好__dxn_temp空白表页 12 2 5" xfId="12816"/>
    <cellStyle name="常规 2 2 2 4 2 2 2" xfId="12817"/>
    <cellStyle name="百分比 2 5 2 3" xfId="12818"/>
    <cellStyle name="差_预收款项 3_附注表一（财务报表）" xfId="12819"/>
    <cellStyle name="百分比 2 5 2 4" xfId="12820"/>
    <cellStyle name="百分比 2 5 2 5" xfId="12821"/>
    <cellStyle name="百分比 2 5 3" xfId="12822"/>
    <cellStyle name="百分比 2 5 3 2" xfId="12823"/>
    <cellStyle name="百分比 2 5 4" xfId="12824"/>
    <cellStyle name="百分比 2 5 5" xfId="12825"/>
    <cellStyle name="百分比 2 5 6" xfId="12826"/>
    <cellStyle name="百分比 2 6" xfId="12827"/>
    <cellStyle name="常规 15 2" xfId="12828"/>
    <cellStyle name="常规 20 2" xfId="12829"/>
    <cellStyle name="百分比 2 6 2" xfId="12830"/>
    <cellStyle name="常规 15 2 2" xfId="12831"/>
    <cellStyle name="常规 20 2 2" xfId="12832"/>
    <cellStyle name="好_55-资产减值损失（空白模板） 25" xfId="12833"/>
    <cellStyle name="好_55-资产减值损失（空白模板） 30" xfId="12834"/>
    <cellStyle name="好__dxn_temp空白表页 13 2 4" xfId="12835"/>
    <cellStyle name="百分比 2 6 2 2" xfId="12836"/>
    <cellStyle name="好_55-资产减值损失（空白模板） 26" xfId="12837"/>
    <cellStyle name="好_55-资产减值损失（空白模板） 31" xfId="12838"/>
    <cellStyle name="好__dxn_temp空白表页 13 2 5" xfId="12839"/>
    <cellStyle name="百分比 2 6 2 3" xfId="12840"/>
    <cellStyle name="百分比 2 6 3" xfId="12841"/>
    <cellStyle name="常规 15 2 3" xfId="12842"/>
    <cellStyle name="常规 20 2 3" xfId="12843"/>
    <cellStyle name="百分比 2 6 3 2" xfId="12844"/>
    <cellStyle name="百分比 2 6 3 3" xfId="12845"/>
    <cellStyle name="百分比 2 6 4" xfId="12846"/>
    <cellStyle name="常规 15 2 4" xfId="12847"/>
    <cellStyle name="常规 20 2 4" xfId="12848"/>
    <cellStyle name="常规 2 2 4 2 2 2 2" xfId="12849"/>
    <cellStyle name="百分比 2 6 5" xfId="12850"/>
    <cellStyle name="常规 15 2 5" xfId="12851"/>
    <cellStyle name="常规 20 2 5" xfId="12852"/>
    <cellStyle name="百分比 2 6 6" xfId="12853"/>
    <cellStyle name="百分比 2 6 7" xfId="12854"/>
    <cellStyle name="百分比 2 6 8" xfId="12855"/>
    <cellStyle name="百分比 2 7" xfId="12856"/>
    <cellStyle name="常规 15 3" xfId="12857"/>
    <cellStyle name="百分比 2 7 2" xfId="12858"/>
    <cellStyle name="好_1资产减值损失 12 3" xfId="12859"/>
    <cellStyle name="好__dxn_temp空白表页 14 2 4" xfId="12860"/>
    <cellStyle name="百分比 2 7 2 2" xfId="12861"/>
    <cellStyle name="好__dxn_temp空白表页 14 2 5" xfId="12862"/>
    <cellStyle name="百分比 2 7 2 3" xfId="12863"/>
    <cellStyle name="差_预收款项 15 2 2" xfId="12864"/>
    <cellStyle name="百分比 2 7 3" xfId="12865"/>
    <cellStyle name="好_1资产减值损失 13 3" xfId="12866"/>
    <cellStyle name="百分比 2 7 3 2" xfId="12867"/>
    <cellStyle name="百分比 2 7 3 3" xfId="12868"/>
    <cellStyle name="差_预收款项 15 2 3" xfId="12869"/>
    <cellStyle name="百分比 2 7 4" xfId="12870"/>
    <cellStyle name="差_预收款项 15 2 4" xfId="12871"/>
    <cellStyle name="百分比 2 7 5" xfId="12872"/>
    <cellStyle name="差_预收款项 15 2 5" xfId="12873"/>
    <cellStyle name="百分比 2 7 6" xfId="12874"/>
    <cellStyle name="百分比 2 8" xfId="12875"/>
    <cellStyle name="常规 15 4" xfId="12876"/>
    <cellStyle name="百分比 2 8 2" xfId="12877"/>
    <cellStyle name="好__dxn_temp空白表页 15 2 4" xfId="12878"/>
    <cellStyle name="百分比 2 8 2 2" xfId="12879"/>
    <cellStyle name="好__dxn_temp空白表页 15 2 5" xfId="12880"/>
    <cellStyle name="百分比 2 8 2 3" xfId="12881"/>
    <cellStyle name="百分比 2 8 3" xfId="12882"/>
    <cellStyle name="百分比 2 8 3 2" xfId="12883"/>
    <cellStyle name="百分比 2 8 3 3" xfId="12884"/>
    <cellStyle name="百分比 2 8 4" xfId="12885"/>
    <cellStyle name="百分比 2 8 5" xfId="12886"/>
    <cellStyle name="千位分隔 9 6 2 4" xfId="12887"/>
    <cellStyle name="好_资产负债标准底稿_大信底稿目录 13_附注表一（财务报表）" xfId="12888"/>
    <cellStyle name="百分比 2 9" xfId="12889"/>
    <cellStyle name="常规 15 5" xfId="12890"/>
    <cellStyle name="差_审计分组-1218定稿_明细表 3" xfId="12891"/>
    <cellStyle name="百分比 2 9 2" xfId="12892"/>
    <cellStyle name="好__dxn_temp空白表页 16 2 4" xfId="12893"/>
    <cellStyle name="百分比 2 9 2 2" xfId="12894"/>
    <cellStyle name="好__dxn_temp空白表页 16 2 5" xfId="12895"/>
    <cellStyle name="百分比 2 9 2 3" xfId="12896"/>
    <cellStyle name="常规 3 11" xfId="12897"/>
    <cellStyle name="百分比 2 9 3 3" xfId="12898"/>
    <cellStyle name="百分比 3" xfId="12899"/>
    <cellStyle name="百分比 3 10" xfId="12900"/>
    <cellStyle name="好_ZA0货币资金审定表  9 2 2" xfId="12901"/>
    <cellStyle name="差_模板 3" xfId="12902"/>
    <cellStyle name="百分比 3 11" xfId="12903"/>
    <cellStyle name="好_ZA0货币资金审定表  9 2 3" xfId="12904"/>
    <cellStyle name="差_模板 4" xfId="12905"/>
    <cellStyle name="百分比 3 12" xfId="12906"/>
    <cellStyle name="好_ZA0货币资金审定表  9 2 4" xfId="12907"/>
    <cellStyle name="差_模板 5" xfId="12908"/>
    <cellStyle name="百分比 3 13" xfId="12909"/>
    <cellStyle name="好_ZA0货币资金审定表  9 2 5" xfId="12910"/>
    <cellStyle name="好_无形资产 12_明细表 4" xfId="12911"/>
    <cellStyle name="好_56-公允价值损益变动（空白模板） 2" xfId="12912"/>
    <cellStyle name="百分比 3 17" xfId="12913"/>
    <cellStyle name="百分比 3 22" xfId="12914"/>
    <cellStyle name="好_无形资产 12_明细表 5" xfId="12915"/>
    <cellStyle name="好_56-公允价值损益变动（空白模板） 3" xfId="12916"/>
    <cellStyle name="百分比 3 18" xfId="12917"/>
    <cellStyle name="百分比 3 23" xfId="12918"/>
    <cellStyle name="好_56-公允价值损益变动（空白模板） 4" xfId="12919"/>
    <cellStyle name="百分比 3 19" xfId="12920"/>
    <cellStyle name="好_30-应付账款（空白模板） 2_明细表 4" xfId="12921"/>
    <cellStyle name="差_专项应付款 4 2 4" xfId="12922"/>
    <cellStyle name="差_Z11其它流动资产 3" xfId="12923"/>
    <cellStyle name="百分比 3 2" xfId="12924"/>
    <cellStyle name="差_Z11其它流动资产 3 2" xfId="12925"/>
    <cellStyle name="百分比 3 2 2" xfId="12926"/>
    <cellStyle name="百分比 3 2 4" xfId="12927"/>
    <cellStyle name="差_dxn底稿目录 4_明细表" xfId="12928"/>
    <cellStyle name="百分比 3 2 5" xfId="12929"/>
    <cellStyle name="百分比 3 2 5 2" xfId="12930"/>
    <cellStyle name="百分比 3 2 5 3" xfId="12931"/>
    <cellStyle name="好_30-应付账款（空白模板） 2_明细表 5" xfId="12932"/>
    <cellStyle name="差_专项应付款 4 2 5" xfId="12933"/>
    <cellStyle name="差_Z11其它流动资产 4" xfId="12934"/>
    <cellStyle name="百分比 3 3" xfId="12935"/>
    <cellStyle name="差_Z11其它流动资产 4 2" xfId="12936"/>
    <cellStyle name="好_营业收入 10 2 3" xfId="12937"/>
    <cellStyle name="百分比 3 3 2" xfId="12938"/>
    <cellStyle name="百分比 3 3 2 2" xfId="12939"/>
    <cellStyle name="差_Z11其它流动资产 4 3" xfId="12940"/>
    <cellStyle name="好_营业收入 10 2 4" xfId="12941"/>
    <cellStyle name="百分比 3 3 3" xfId="12942"/>
    <cellStyle name="好_营业收入 10 2 5" xfId="12943"/>
    <cellStyle name="百分比 3 3 4" xfId="12944"/>
    <cellStyle name="百分比 3 3 5" xfId="12945"/>
    <cellStyle name="差_Z11其它流动资产 5" xfId="12946"/>
    <cellStyle name="百分比 3 4" xfId="12947"/>
    <cellStyle name="差_资产负债类底稿模版 12 2 3" xfId="12948"/>
    <cellStyle name="差_Z11其它流动资产 5 2" xfId="12949"/>
    <cellStyle name="百分比 3 4 2" xfId="12950"/>
    <cellStyle name="差_资产负债类底稿模版 12 2 4" xfId="12951"/>
    <cellStyle name="差_Z11其它流动资产 5 3" xfId="12952"/>
    <cellStyle name="百分比 3 4 3" xfId="12953"/>
    <cellStyle name="差_资产负债类底稿模版 12 2 5" xfId="12954"/>
    <cellStyle name="百分比 3 4 4" xfId="12955"/>
    <cellStyle name="百分比 3 4 5" xfId="12956"/>
    <cellStyle name="好_33-应交税费（空白模板）_明细表" xfId="12957"/>
    <cellStyle name="百分比 3 4 6" xfId="12958"/>
    <cellStyle name="差_Z11其它流动资产 6" xfId="12959"/>
    <cellStyle name="百分比 3 5" xfId="12960"/>
    <cellStyle name="百分比 3 5 2" xfId="12961"/>
    <cellStyle name="百分比 3 5 3" xfId="12962"/>
    <cellStyle name="百分比 3 5 4" xfId="12963"/>
    <cellStyle name="百分比 3 6" xfId="12964"/>
    <cellStyle name="常规 16 2" xfId="12965"/>
    <cellStyle name="常规 21 2" xfId="12966"/>
    <cellStyle name="差_Z11其它流动资产 7" xfId="12967"/>
    <cellStyle name="百分比 3 6 2" xfId="12968"/>
    <cellStyle name="常规 16 2 2" xfId="12969"/>
    <cellStyle name="标题 8" xfId="12970"/>
    <cellStyle name="百分比 3 6 3" xfId="12971"/>
    <cellStyle name="常规 16 2 3" xfId="12972"/>
    <cellStyle name="标题 9" xfId="12973"/>
    <cellStyle name="百分比 3 6 4" xfId="12974"/>
    <cellStyle name="常规 16 2 4" xfId="12975"/>
    <cellStyle name="百分比 3 6 5" xfId="12976"/>
    <cellStyle name="常规 16 2 5" xfId="12977"/>
    <cellStyle name="百分比 3 7" xfId="12978"/>
    <cellStyle name="常规 16 3" xfId="12979"/>
    <cellStyle name="百分比 3 7 2" xfId="12980"/>
    <cellStyle name="常规 16 3 2" xfId="12981"/>
    <cellStyle name="百分比 3 7 3" xfId="12982"/>
    <cellStyle name="常规 16 3 3" xfId="12983"/>
    <cellStyle name="差_预收款项 16 2 2" xfId="12984"/>
    <cellStyle name="百分比 3 7 4" xfId="12985"/>
    <cellStyle name="常规 16 3 4" xfId="12986"/>
    <cellStyle name="差_预收款项 16 2 3" xfId="12987"/>
    <cellStyle name="百分比 3 7 5" xfId="12988"/>
    <cellStyle name="常规 16 3 5" xfId="12989"/>
    <cellStyle name="差_预收款项 16 2 4" xfId="12990"/>
    <cellStyle name="百分比 3 8" xfId="12991"/>
    <cellStyle name="常规 16 4" xfId="12992"/>
    <cellStyle name="好_6-应收利息（空白模板）_明细表_1" xfId="12993"/>
    <cellStyle name="百分比 3 9" xfId="12994"/>
    <cellStyle name="百分比 4" xfId="12995"/>
    <cellStyle name="好_1专项应付款 7_明细表 4" xfId="12996"/>
    <cellStyle name="百分比 4 10" xfId="12997"/>
    <cellStyle name="百分比 4 12" xfId="12998"/>
    <cellStyle name="好_1存货 2 2" xfId="12999"/>
    <cellStyle name="百分比 4 13" xfId="13000"/>
    <cellStyle name="好_1存货 2 3" xfId="13001"/>
    <cellStyle name="百分比 4 14" xfId="13002"/>
    <cellStyle name="百分比 4 15" xfId="13003"/>
    <cellStyle name="百分比 4 20" xfId="13004"/>
    <cellStyle name="好_财务费用_财务费用" xfId="13005"/>
    <cellStyle name="百分比 4 16" xfId="13006"/>
    <cellStyle name="百分比 4 21" xfId="13007"/>
    <cellStyle name="百分比 4 17" xfId="13008"/>
    <cellStyle name="百分比 4 22" xfId="13009"/>
    <cellStyle name="百分比 4 18" xfId="13010"/>
    <cellStyle name="百分比 4 23" xfId="13011"/>
    <cellStyle name="好_1财务费用_明细表 2" xfId="13012"/>
    <cellStyle name="百分比 4 19" xfId="13013"/>
    <cellStyle name="百分比 4 24" xfId="13014"/>
    <cellStyle name="好_1营业外支出 2 2 3" xfId="13015"/>
    <cellStyle name="百分比 4 2" xfId="13016"/>
    <cellStyle name="百分比 4 2 2" xfId="13017"/>
    <cellStyle name="百分比 4 2 3" xfId="13018"/>
    <cellStyle name="百分比 4 2 4" xfId="13019"/>
    <cellStyle name="差_dxn底稿目录 5_明细表" xfId="13020"/>
    <cellStyle name="百分比 4 2 5" xfId="13021"/>
    <cellStyle name="百分比 4 3" xfId="13022"/>
    <cellStyle name="好_营业收入 11 2 3" xfId="13023"/>
    <cellStyle name="差_明细表_明细表 5" xfId="13024"/>
    <cellStyle name="百分比 4 3 2" xfId="13025"/>
    <cellStyle name="好_营业收入 11 2 4" xfId="13026"/>
    <cellStyle name="常规_60-所得税费用（空白模板） 2" xfId="13027"/>
    <cellStyle name="差_1财务费用" xfId="13028"/>
    <cellStyle name="百分比 4 3 3" xfId="13029"/>
    <cellStyle name="百分比 4 3 5" xfId="13030"/>
    <cellStyle name="百分比 4 4" xfId="13031"/>
    <cellStyle name="差_资产负债类底稿模版 13 2 3" xfId="13032"/>
    <cellStyle name="百分比 4 4 2" xfId="13033"/>
    <cellStyle name="差_资产负债类底稿模版 13 2 4" xfId="13034"/>
    <cellStyle name="百分比 4 4 3" xfId="13035"/>
    <cellStyle name="差_资产负债类底稿模版 13 2 5" xfId="13036"/>
    <cellStyle name="百分比 4 4 4" xfId="13037"/>
    <cellStyle name="好_财务费用 4_明细表 2" xfId="13038"/>
    <cellStyle name="百分比 4 4 5" xfId="13039"/>
    <cellStyle name="百分比 4 5" xfId="13040"/>
    <cellStyle name="百分比 4 5 2" xfId="13041"/>
    <cellStyle name="百分比 4 5 2 2" xfId="13042"/>
    <cellStyle name="差_2009年6月30日资产负债表 2" xfId="13043"/>
    <cellStyle name="好_模板" xfId="13044"/>
    <cellStyle name="百分比 4 5 3" xfId="13045"/>
    <cellStyle name="百分比 4 5 4" xfId="13046"/>
    <cellStyle name="好_持有至到期投资—TZ 2" xfId="13047"/>
    <cellStyle name="差_2009年6月30日资产负债表 3" xfId="13048"/>
    <cellStyle name="百分比 4 5 5" xfId="13049"/>
    <cellStyle name="差_固定资产循环7-1 3 2" xfId="13050"/>
    <cellStyle name="好_程序表模版 2 2" xfId="13051"/>
    <cellStyle name="百分比 4 5 6" xfId="13052"/>
    <cellStyle name="百分比 4 6" xfId="13053"/>
    <cellStyle name="常规 17 2" xfId="13054"/>
    <cellStyle name="百分比 4 6 2" xfId="13055"/>
    <cellStyle name="常规 17 2 2" xfId="13056"/>
    <cellStyle name="差_大信底稿目录 2 6" xfId="13057"/>
    <cellStyle name="百分比 4 6 3" xfId="13058"/>
    <cellStyle name="常规 17 2 3" xfId="13059"/>
    <cellStyle name="百分比 4 6 4" xfId="13060"/>
    <cellStyle name="常规 17 2 4" xfId="13061"/>
    <cellStyle name="常规 11 3 2 3 2 2 2" xfId="13062"/>
    <cellStyle name="百分比 4 6 6" xfId="13063"/>
    <cellStyle name="百分比 4 7" xfId="13064"/>
    <cellStyle name="常规 17 3" xfId="13065"/>
    <cellStyle name="常规 13 3 2 2" xfId="13066"/>
    <cellStyle name="百分比 4 7 2" xfId="13067"/>
    <cellStyle name="常规 17 3 2" xfId="13068"/>
    <cellStyle name="差_货币资金 天职 2 4" xfId="13069"/>
    <cellStyle name="百分比 4 7 3" xfId="13070"/>
    <cellStyle name="常规 17 3 3" xfId="13071"/>
    <cellStyle name="百分比 4 7 4" xfId="13072"/>
    <cellStyle name="百分比 4 7 5" xfId="13073"/>
    <cellStyle name="百分比 4 8" xfId="13074"/>
    <cellStyle name="常规 17 4" xfId="13075"/>
    <cellStyle name="好_应付账款 7" xfId="13076"/>
    <cellStyle name="百分比 4 8 3" xfId="13077"/>
    <cellStyle name="百分比 4 8 4" xfId="13078"/>
    <cellStyle name="百分比 4 8 5" xfId="13079"/>
    <cellStyle name="超链接 3 6 2 2" xfId="13080"/>
    <cellStyle name="百分比 4 9" xfId="13081"/>
    <cellStyle name="常规 17 5" xfId="13082"/>
    <cellStyle name="百分比 5 2 3" xfId="13083"/>
    <cellStyle name="常规 5 28 3" xfId="13084"/>
    <cellStyle name="百分比 5 7" xfId="13085"/>
    <cellStyle name="常规 18 3" xfId="13086"/>
    <cellStyle name="常规 5 38" xfId="13087"/>
    <cellStyle name="常规 11 3 2 2 3" xfId="13088"/>
    <cellStyle name="百分比 6 2" xfId="13089"/>
    <cellStyle name="百分比 6 3" xfId="13090"/>
    <cellStyle name="百分比 6 4" xfId="13091"/>
    <cellStyle name="百分比 6 5" xfId="13092"/>
    <cellStyle name="百分比 6 6" xfId="13093"/>
    <cellStyle name="常规 19 2" xfId="13094"/>
    <cellStyle name="常规 24 2" xfId="13095"/>
    <cellStyle name="常规 11 3 2 3 2" xfId="13096"/>
    <cellStyle name="百分比 7 2" xfId="13097"/>
    <cellStyle name="好_预收款项 4_明细表 5" xfId="13098"/>
    <cellStyle name="差_未审报表" xfId="13099"/>
    <cellStyle name="差_递延所得税资产 4" xfId="13100"/>
    <cellStyle name="差_未审报表 2" xfId="13101"/>
    <cellStyle name="百分比 7 2 2" xfId="13102"/>
    <cellStyle name="百分比 7 2 3" xfId="13103"/>
    <cellStyle name="好_1资产减值损失 5_附注表一（财务报表）" xfId="13104"/>
    <cellStyle name="差_专项应付款 9_附注表一（财务报表）" xfId="13105"/>
    <cellStyle name="差_未审报表 3" xfId="13106"/>
    <cellStyle name="百分比 7 3" xfId="13107"/>
    <cellStyle name="百分比 7 4" xfId="13108"/>
    <cellStyle name="百分比 8 2" xfId="13109"/>
    <cellStyle name="好_专项应付款 4_明细表 5" xfId="13110"/>
    <cellStyle name="百分比 8 2 2" xfId="13111"/>
    <cellStyle name="百分比 8 2 3" xfId="13112"/>
    <cellStyle name="差_1短期借款 9_明细表" xfId="13113"/>
    <cellStyle name="百分比 8 3" xfId="13114"/>
    <cellStyle name="好_2011.12全年年报资料汇总(樣本) 6" xfId="13115"/>
    <cellStyle name="差_短期借款 2 3" xfId="13116"/>
    <cellStyle name="百分比 9 2" xfId="13117"/>
    <cellStyle name="百分比 9 2 2" xfId="13118"/>
    <cellStyle name="百分比 9 2 3" xfId="13119"/>
    <cellStyle name="差_短期借款 2 5" xfId="13120"/>
    <cellStyle name="千位分隔 2 3 6 2 2" xfId="13121"/>
    <cellStyle name="百分比 9 4" xfId="13122"/>
    <cellStyle name="好_财务费用 16 3" xfId="13123"/>
    <cellStyle name="捠壿 [0.00]_PRODUCT DETAIL Q1" xfId="13124"/>
    <cellStyle name="捠壿_PRODUCT DETAIL Q1" xfId="13125"/>
    <cellStyle name="常规 3 2 29" xfId="13126"/>
    <cellStyle name="常规 3 2 34" xfId="13127"/>
    <cellStyle name="備註" xfId="13128"/>
    <cellStyle name="常规 3 2 29 2" xfId="13129"/>
    <cellStyle name="差_短期借款 5_明细表" xfId="13130"/>
    <cellStyle name="備註 2" xfId="13131"/>
    <cellStyle name="常规 3 2 29 3" xfId="13132"/>
    <cellStyle name="備註 3" xfId="13133"/>
    <cellStyle name="常规 3 2 29 4" xfId="13134"/>
    <cellStyle name="備註 4" xfId="13135"/>
    <cellStyle name="常规 3 2 29 5" xfId="13136"/>
    <cellStyle name="備註 5" xfId="13137"/>
    <cellStyle name="常规 3 2 29 6" xfId="13138"/>
    <cellStyle name="備註 6" xfId="13139"/>
    <cellStyle name="閉撰蟈諉" xfId="13140"/>
    <cellStyle name="常规_交易性金融资产 2" xfId="13141"/>
    <cellStyle name="差_应付职工薪酬 13" xfId="13142"/>
    <cellStyle name="閉撰蟈諉 2" xfId="13143"/>
    <cellStyle name="编号" xfId="13144"/>
    <cellStyle name="好_预收款项 8 2 4" xfId="13145"/>
    <cellStyle name="好_专项应付款 8 2 3" xfId="13146"/>
    <cellStyle name="常规 179 3 3" xfId="13147"/>
    <cellStyle name="编号 2" xfId="13148"/>
    <cellStyle name="好_应收利息 12 2 2" xfId="13149"/>
    <cellStyle name="标题 1 10" xfId="13150"/>
    <cellStyle name="标题 1 2" xfId="13151"/>
    <cellStyle name="常规 3 17 2 5" xfId="13152"/>
    <cellStyle name="常规 3 22 2 5" xfId="13153"/>
    <cellStyle name="好_应收利息 8 2 3" xfId="13154"/>
    <cellStyle name="标题 1 2 10" xfId="13155"/>
    <cellStyle name="好_应收利息 8 2 4" xfId="13156"/>
    <cellStyle name="标题 1 2 11" xfId="13157"/>
    <cellStyle name="好_应收利息 8 2 5" xfId="13158"/>
    <cellStyle name="标题 1 2 12" xfId="13159"/>
    <cellStyle name="标题 1 2 2" xfId="13160"/>
    <cellStyle name="好_预收款项 6 2 4" xfId="13161"/>
    <cellStyle name="好_专项应付款 6 2 3" xfId="13162"/>
    <cellStyle name="常规 177 3 3" xfId="13163"/>
    <cellStyle name="常规 182 3 3" xfId="13164"/>
    <cellStyle name="标题 1 2 2 10" xfId="13165"/>
    <cellStyle name="好_预收款项 6 2 5" xfId="13166"/>
    <cellStyle name="好_专项应付款 6 2 4" xfId="13167"/>
    <cellStyle name="常规 182 3 4" xfId="13168"/>
    <cellStyle name="标题 1 2 2 11" xfId="13169"/>
    <cellStyle name="好_1短期借款 9 2 5" xfId="13170"/>
    <cellStyle name="标题 1 2 2 2" xfId="13171"/>
    <cellStyle name="好_底稿设置宏 14_明细表" xfId="13172"/>
    <cellStyle name="标题 1 2 2 7" xfId="13173"/>
    <cellStyle name="标题 1 2 2 8" xfId="13174"/>
    <cellStyle name="标题 1 2 2 9" xfId="13175"/>
    <cellStyle name="标题 1 2 3" xfId="13176"/>
    <cellStyle name="标题 1 2 3 2" xfId="13177"/>
    <cellStyle name="标题 1 2 3 3" xfId="13178"/>
    <cellStyle name="标题 1 2 3 4" xfId="13179"/>
    <cellStyle name="标题 1 2 3 6" xfId="13180"/>
    <cellStyle name="标题 1 2 3 7" xfId="13181"/>
    <cellStyle name="标题 1 2 3_附注表一（财务报表）" xfId="13182"/>
    <cellStyle name="标题 1 2 4" xfId="13183"/>
    <cellStyle name="标题 1 2 5" xfId="13184"/>
    <cellStyle name="标题 1 2 6" xfId="13185"/>
    <cellStyle name="强调文字颜色 4 2 2 3 5" xfId="13186"/>
    <cellStyle name="常规 35 3 2" xfId="13187"/>
    <cellStyle name="标题 1 2 7" xfId="13188"/>
    <cellStyle name="好_资产负债标准底稿 12_明细表 4" xfId="13189"/>
    <cellStyle name="标题 1 2 7 2" xfId="13190"/>
    <cellStyle name="常规 35 3 3" xfId="13191"/>
    <cellStyle name="标题 1 2 8" xfId="13192"/>
    <cellStyle name="标题 1 2 9" xfId="13193"/>
    <cellStyle name="标题 1 2_Spreadsheet" xfId="13194"/>
    <cellStyle name="差_报表层次重要性水平 8 2" xfId="13195"/>
    <cellStyle name="标题 1 3" xfId="13196"/>
    <cellStyle name="标题 1 3 2 2" xfId="13197"/>
    <cellStyle name="标题 1 3 3" xfId="13198"/>
    <cellStyle name="差_报表层次重要性水平 8 3" xfId="13199"/>
    <cellStyle name="标题 1 4" xfId="13200"/>
    <cellStyle name="常规 4 15" xfId="13201"/>
    <cellStyle name="常规 4 20" xfId="13202"/>
    <cellStyle name="标题 1 4 2" xfId="13203"/>
    <cellStyle name="标题 1 5" xfId="13204"/>
    <cellStyle name="好_32-应付职工薪酬(空白模板) 6" xfId="13205"/>
    <cellStyle name="标题 1 5 2" xfId="13206"/>
    <cellStyle name="标题 1 6" xfId="13207"/>
    <cellStyle name="标题 1 7" xfId="13208"/>
    <cellStyle name="标题 1 9" xfId="13209"/>
    <cellStyle name="好_盈余公积 5 3" xfId="13210"/>
    <cellStyle name="标题 10" xfId="13211"/>
    <cellStyle name="标题 11" xfId="13212"/>
    <cellStyle name="标题 2 10" xfId="13213"/>
    <cellStyle name="标题 2 2" xfId="13214"/>
    <cellStyle name="好_1其他应付款 2 4" xfId="13215"/>
    <cellStyle name="标题 2 2 2" xfId="13216"/>
    <cellStyle name="好_往来款项函证结果汇总表 2 5" xfId="13217"/>
    <cellStyle name="标题 2 2 2 10" xfId="13218"/>
    <cellStyle name="标题 2 2 2 11" xfId="13219"/>
    <cellStyle name="标题 2 2 2 2" xfId="13220"/>
    <cellStyle name="标题 2 2 2 3" xfId="13221"/>
    <cellStyle name="标题 2 2 2 4" xfId="13222"/>
    <cellStyle name="标题 2 2 2 5" xfId="13223"/>
    <cellStyle name="标题 2 2 2 6" xfId="13224"/>
    <cellStyle name="差_货币资金 2 5" xfId="13225"/>
    <cellStyle name="标题 2 2 2_附注表一（财务报表）" xfId="13226"/>
    <cellStyle name="好_1其他应付款 2 5" xfId="13227"/>
    <cellStyle name="标题 2 2 3" xfId="13228"/>
    <cellStyle name="标题 2 2 3 2" xfId="13229"/>
    <cellStyle name="标题 2 2 3 3" xfId="13230"/>
    <cellStyle name="标题 2 2 3 4" xfId="13231"/>
    <cellStyle name="标题 2 2 3 6" xfId="13232"/>
    <cellStyle name="标题 2 2 3 7" xfId="13233"/>
    <cellStyle name="标题 2 2 3_附注表一（财务报表）" xfId="13234"/>
    <cellStyle name="标题 2 2 4" xfId="13235"/>
    <cellStyle name="标题 2 2 5" xfId="13236"/>
    <cellStyle name="好_资产负债标准底稿 13_明细表 4" xfId="13237"/>
    <cellStyle name="标题 2 2 7 2" xfId="13238"/>
    <cellStyle name="好_底稿设置宏 9_明细表 4" xfId="13239"/>
    <cellStyle name="常规 36 3 3" xfId="13240"/>
    <cellStyle name="标题 2 2 8" xfId="13241"/>
    <cellStyle name="好_底稿设置宏 9_明细表 5" xfId="13242"/>
    <cellStyle name="标题 2 2 9" xfId="13243"/>
    <cellStyle name="标题 2 2_Spreadsheet" xfId="13244"/>
    <cellStyle name="差_报表层次重要性水平 9 2" xfId="13245"/>
    <cellStyle name="标题 2 3" xfId="13246"/>
    <cellStyle name="标题 2 3 3" xfId="13247"/>
    <cellStyle name="差_预收款项 14_附注表一（财务报表）" xfId="13248"/>
    <cellStyle name="差_报表层次重要性水平 9 3" xfId="13249"/>
    <cellStyle name="标题 2 4" xfId="13250"/>
    <cellStyle name="标题 2 4 2" xfId="13251"/>
    <cellStyle name="标题 2 5" xfId="13252"/>
    <cellStyle name="标题 2 5 2" xfId="13253"/>
    <cellStyle name="标题 2 6" xfId="13254"/>
    <cellStyle name="常规 2 2 2 17 2 5" xfId="13255"/>
    <cellStyle name="标题 2 6 2" xfId="13256"/>
    <cellStyle name="好_55-资产减值损失（空白模板） 2_明细表 2" xfId="13257"/>
    <cellStyle name="标题 2 7" xfId="13258"/>
    <cellStyle name="好_55-资产减值损失（空白模板） 2_明细表 3" xfId="13259"/>
    <cellStyle name="标题 2 8" xfId="13260"/>
    <cellStyle name="好_55-资产减值损失（空白模板） 2_明细表 4" xfId="13261"/>
    <cellStyle name="标题 2 9" xfId="13262"/>
    <cellStyle name="标题 3 2" xfId="13263"/>
    <cellStyle name="标题 3 2 10" xfId="13264"/>
    <cellStyle name="标题 3 2 11" xfId="13265"/>
    <cellStyle name="标题 3 2 12" xfId="13266"/>
    <cellStyle name="标题 3 2 2" xfId="13267"/>
    <cellStyle name="标题 3 2 2 10" xfId="13268"/>
    <cellStyle name="标题 3 2 2 2" xfId="13269"/>
    <cellStyle name="标题 3 2 2 3" xfId="13270"/>
    <cellStyle name="好_19-无形资产（空白模板） 10" xfId="13271"/>
    <cellStyle name="标题 3 2 2 4" xfId="13272"/>
    <cellStyle name="好_19-无形资产（空白模板） 11" xfId="13273"/>
    <cellStyle name="标题 3 2 2 8" xfId="13274"/>
    <cellStyle name="好_19-无形资产（空白模板） 15" xfId="13275"/>
    <cellStyle name="好_19-无形资产（空白模板） 20" xfId="13276"/>
    <cellStyle name="标题 3 2 2 9" xfId="13277"/>
    <cellStyle name="好_19-无形资产（空白模板） 16" xfId="13278"/>
    <cellStyle name="好_19-无形资产（空白模板） 21" xfId="13279"/>
    <cellStyle name="好_1资产减值损失_附注表一（财务报表）" xfId="13280"/>
    <cellStyle name="差_现金流量表关联方 3" xfId="13281"/>
    <cellStyle name="标题 3 2 3 2" xfId="13282"/>
    <cellStyle name="标题 3 2 3 3" xfId="13283"/>
    <cellStyle name="标题 3 2 3 4" xfId="13284"/>
    <cellStyle name="好_固定资产 6 2 4" xfId="13285"/>
    <cellStyle name="标题 3 2 3 8" xfId="13286"/>
    <cellStyle name="标题 3 2 4" xfId="13287"/>
    <cellStyle name="标题 3 2 4 2" xfId="13288"/>
    <cellStyle name="好_55-资产减值损失（空白模板）_货币资金" xfId="13289"/>
    <cellStyle name="标题 3 2 5" xfId="13290"/>
    <cellStyle name="好_55-资产减值损失（空白模板）_货币资金 2" xfId="13291"/>
    <cellStyle name="标题 3 2 5 2" xfId="13292"/>
    <cellStyle name="标题 3 2 6" xfId="13293"/>
    <cellStyle name="常规 37 3 2" xfId="13294"/>
    <cellStyle name="标题 3 2 7" xfId="13295"/>
    <cellStyle name="好_资产负债标准底稿 14_明细表 4" xfId="13296"/>
    <cellStyle name="好_1财务费用" xfId="13297"/>
    <cellStyle name="标题 3 2 7 2" xfId="13298"/>
    <cellStyle name="常规 37 3 3" xfId="13299"/>
    <cellStyle name="标题 3 2 8" xfId="13300"/>
    <cellStyle name="标题 3 2 9" xfId="13301"/>
    <cellStyle name="常规 2 8 2 3" xfId="13302"/>
    <cellStyle name="标题 3 2_Spreadsheet" xfId="13303"/>
    <cellStyle name="标题 3 3 2" xfId="13304"/>
    <cellStyle name="标题 3 3 2 2" xfId="13305"/>
    <cellStyle name="标题 3 3 3" xfId="13306"/>
    <cellStyle name="标题 3 4" xfId="13307"/>
    <cellStyle name="标题 3 4 2" xfId="13308"/>
    <cellStyle name="标题 3 5" xfId="13309"/>
    <cellStyle name="标题 3 5 2" xfId="13310"/>
    <cellStyle name="好_首阳山实质性测试底稿-负债类" xfId="13311"/>
    <cellStyle name="标题 3 6" xfId="13312"/>
    <cellStyle name="标题 3 6 2" xfId="13313"/>
    <cellStyle name="标题 3 7" xfId="13314"/>
    <cellStyle name="标题 3 8" xfId="13315"/>
    <cellStyle name="好_Z4应收账款 2" xfId="13316"/>
    <cellStyle name="标题 3 9" xfId="13317"/>
    <cellStyle name="好_Z4应收账款 3" xfId="13318"/>
    <cellStyle name="好_1营业收入 5 2 3" xfId="13319"/>
    <cellStyle name="标题 4 2" xfId="13320"/>
    <cellStyle name="好_底稿设置宏_明细表_1 4" xfId="13321"/>
    <cellStyle name="标题 4 2 10" xfId="13322"/>
    <cellStyle name="好_底稿设置宏_明细表_1 5" xfId="13323"/>
    <cellStyle name="标题 4 2 11" xfId="13324"/>
    <cellStyle name="标题 4 2 12" xfId="13325"/>
    <cellStyle name="好_49-营业收入（空白模板） 12" xfId="13326"/>
    <cellStyle name="标题 4 2 2" xfId="13327"/>
    <cellStyle name="好_资产负债标准底稿 2_明细表 2" xfId="13328"/>
    <cellStyle name="常规 6 5 3 2" xfId="13329"/>
    <cellStyle name="标题 4 2 2 10" xfId="13330"/>
    <cellStyle name="好_资产负债标准底稿 2_明细表 3" xfId="13331"/>
    <cellStyle name="标题 4 2 2 11" xfId="13332"/>
    <cellStyle name="好_1营业收入 2_附注表一（财务报表）" xfId="13333"/>
    <cellStyle name="常规 6 5 3 3" xfId="13334"/>
    <cellStyle name="差_51-营业税金及附加（空白模板） 3 2 2" xfId="13335"/>
    <cellStyle name="标题 4 2 2 4" xfId="13336"/>
    <cellStyle name="标题 4 2 2 6" xfId="13337"/>
    <cellStyle name="标题 4 2 2 7" xfId="13338"/>
    <cellStyle name="标题 4 2 2 8" xfId="13339"/>
    <cellStyle name="标题 4 2 2 9" xfId="13340"/>
    <cellStyle name="好_49-营业收入（空白模板） 12_附注表一（财务报表）" xfId="13341"/>
    <cellStyle name="差_50-营业成本（空白模板）_3固定资产" xfId="13342"/>
    <cellStyle name="标题 4 2 2_附注表一（财务报表）" xfId="13343"/>
    <cellStyle name="好_49-营业收入（空白模板） 13" xfId="13344"/>
    <cellStyle name="标题 4 2 3" xfId="13345"/>
    <cellStyle name="好_49-营业收入（空白模板） 13 2" xfId="13346"/>
    <cellStyle name="好_40-专项应付款(空白模板) 17 2 5" xfId="13347"/>
    <cellStyle name="标题 4 2 3 2" xfId="13348"/>
    <cellStyle name="好_49-营业收入（空白模板） 13 3" xfId="13349"/>
    <cellStyle name="标题 4 2 3 3" xfId="13350"/>
    <cellStyle name="标题 4 2 3 6" xfId="13351"/>
    <cellStyle name="标题 4 2 3 7" xfId="13352"/>
    <cellStyle name="千位分隔 3 2 2 3 2 2" xfId="13353"/>
    <cellStyle name="标题 4 2 3 8" xfId="13354"/>
    <cellStyle name="好_49-营业收入（空白模板） 14" xfId="13355"/>
    <cellStyle name="标题 4 2 4" xfId="13356"/>
    <cellStyle name="好_49-营业收入（空白模板） 14 2" xfId="13357"/>
    <cellStyle name="常规 5 11_附注表一（财务报表）" xfId="13358"/>
    <cellStyle name="差_资产负债标准底稿 10_附注表一（财务报表）" xfId="13359"/>
    <cellStyle name="标题 4 2 4 2" xfId="13360"/>
    <cellStyle name="好_49-营业收入（空白模板） 15 2" xfId="13361"/>
    <cellStyle name="标题 4 2 5 2" xfId="13362"/>
    <cellStyle name="好_49-营业收入（空白模板） 16" xfId="13363"/>
    <cellStyle name="好_49-营业收入（空白模板） 21" xfId="13364"/>
    <cellStyle name="标题 4 2 6" xfId="13365"/>
    <cellStyle name="好_49-营业收入（空白模板） 17 2" xfId="13366"/>
    <cellStyle name="标题 4 2 7 2" xfId="13367"/>
    <cellStyle name="好_49-营业收入（空白模板） 19" xfId="13368"/>
    <cellStyle name="好_49-营业收入（空白模板） 24" xfId="13369"/>
    <cellStyle name="标题 4 2 9" xfId="13370"/>
    <cellStyle name="标题 4 2_Spreadsheet" xfId="13371"/>
    <cellStyle name="好_1营业收入 5 2 4" xfId="13372"/>
    <cellStyle name="标题 4 3" xfId="13373"/>
    <cellStyle name="标题 4 3 2" xfId="13374"/>
    <cellStyle name="标题 4 3 2 2" xfId="13375"/>
    <cellStyle name="标题 4 3 3" xfId="13376"/>
    <cellStyle name="好_1营业收入 5 2 5" xfId="13377"/>
    <cellStyle name="标题 4 4" xfId="13378"/>
    <cellStyle name="标题 4 4 2" xfId="13379"/>
    <cellStyle name="标题 4 6" xfId="13380"/>
    <cellStyle name="差_ZA0货币资金审定表  12" xfId="13381"/>
    <cellStyle name="标题 4 6 2" xfId="13382"/>
    <cellStyle name="好_营业收入 13_附注表一（财务报表）" xfId="13383"/>
    <cellStyle name="标题 4 7" xfId="13384"/>
    <cellStyle name="标题 4 8" xfId="13385"/>
    <cellStyle name="标题 4 9" xfId="13386"/>
    <cellStyle name="标题 5" xfId="13387"/>
    <cellStyle name="标题 5 10" xfId="13388"/>
    <cellStyle name="标题 5 11" xfId="13389"/>
    <cellStyle name="标题 5 12" xfId="13390"/>
    <cellStyle name="好_资产负债标准底稿 12 2 4" xfId="13391"/>
    <cellStyle name="好 2_Spreadsheet" xfId="13392"/>
    <cellStyle name="标题 5 2" xfId="13393"/>
    <cellStyle name="标题 5 2 10" xfId="13394"/>
    <cellStyle name="标题 5 2 11" xfId="13395"/>
    <cellStyle name="标题 5 2 2" xfId="13396"/>
    <cellStyle name="标题 5 2 3" xfId="13397"/>
    <cellStyle name="好_1应付职工薪酬 2" xfId="13398"/>
    <cellStyle name="标题 5 2 4" xfId="13399"/>
    <cellStyle name="好_1应付职工薪酬 3" xfId="13400"/>
    <cellStyle name="好_财务费用_明细表" xfId="13401"/>
    <cellStyle name="标题 5 2 5" xfId="13402"/>
    <cellStyle name="好_1应付职工薪酬 4" xfId="13403"/>
    <cellStyle name="标题 5 2 6" xfId="13404"/>
    <cellStyle name="好_1应付职工薪酬 5" xfId="13405"/>
    <cellStyle name="常规 39 3 2" xfId="13406"/>
    <cellStyle name="标题 5 2 7" xfId="13407"/>
    <cellStyle name="好_1应付职工薪酬 6" xfId="13408"/>
    <cellStyle name="常规 39 3 3" xfId="13409"/>
    <cellStyle name="标题 5 2 8" xfId="13410"/>
    <cellStyle name="好_1应付职工薪酬 7" xfId="13411"/>
    <cellStyle name="标题 5 2 9" xfId="13412"/>
    <cellStyle name="标题 5 2_附注表一（财务报表）" xfId="13413"/>
    <cellStyle name="标题 5 3 2" xfId="13414"/>
    <cellStyle name="标题 5 3 3" xfId="13415"/>
    <cellStyle name="差_复件 固定资产 3_明细表 2" xfId="13416"/>
    <cellStyle name="标题 5 3 4" xfId="13417"/>
    <cellStyle name="差_复件 固定资产 3_明细表 3" xfId="13418"/>
    <cellStyle name="标题 5 3 5" xfId="13419"/>
    <cellStyle name="差_复件 固定资产 3_明细表 4" xfId="13420"/>
    <cellStyle name="标题 5 3 6" xfId="13421"/>
    <cellStyle name="常规 3 3 10_附注表一（财务报表）" xfId="13422"/>
    <cellStyle name="千位分隔 12 6" xfId="13423"/>
    <cellStyle name="差_预收款项 6_明细表" xfId="13424"/>
    <cellStyle name="标题 5 3 8" xfId="13425"/>
    <cellStyle name="好_50-营业成本（空白模板） 3 3" xfId="13426"/>
    <cellStyle name="好_10针对持续经营的调查问卷 2" xfId="13427"/>
    <cellStyle name="标题 5 3_附注表一（财务报表）" xfId="13428"/>
    <cellStyle name="标题 5 4" xfId="13429"/>
    <cellStyle name="标题 5 4 2" xfId="13430"/>
    <cellStyle name="标题 5 5" xfId="13431"/>
    <cellStyle name="标题 5 5 2" xfId="13432"/>
    <cellStyle name="标题 5 6" xfId="13433"/>
    <cellStyle name="标题 5 7" xfId="13434"/>
    <cellStyle name="标题 5 7 2" xfId="13435"/>
    <cellStyle name="标题 5_Spreadsheet" xfId="13436"/>
    <cellStyle name="标题 6 2" xfId="13437"/>
    <cellStyle name="常规 2 2 8 5" xfId="13438"/>
    <cellStyle name="标题 6 2 2" xfId="13439"/>
    <cellStyle name="标题 6 3" xfId="13440"/>
    <cellStyle name="标题 7" xfId="13441"/>
    <cellStyle name="标题 7 2" xfId="13442"/>
    <cellStyle name="常规 16 2 2 2" xfId="13443"/>
    <cellStyle name="标题 8 2" xfId="13444"/>
    <cellStyle name="标题 9 2" xfId="13445"/>
    <cellStyle name="标题1" xfId="13446"/>
    <cellStyle name="标题1 2" xfId="13447"/>
    <cellStyle name="好_账项明细表 2" xfId="13448"/>
    <cellStyle name="昗弨_BOOKSHIP" xfId="13449"/>
    <cellStyle name="差_固定资产 9 2 2" xfId="13450"/>
    <cellStyle name="標題" xfId="13451"/>
    <cellStyle name="標題 1" xfId="13452"/>
    <cellStyle name="好_底稿设置宏_大信底稿目录 14" xfId="13453"/>
    <cellStyle name="標題 1 2" xfId="13454"/>
    <cellStyle name="好_底稿设置宏_大信底稿目录 14 2" xfId="13455"/>
    <cellStyle name="標題 1 3" xfId="13456"/>
    <cellStyle name="好_底稿设置宏_大信底稿目录 14 3" xfId="13457"/>
    <cellStyle name="標題 1 4" xfId="13458"/>
    <cellStyle name="好_底稿设置宏_大信底稿目录 14 4" xfId="13459"/>
    <cellStyle name="好_17-工程物资（空白模板）" xfId="13460"/>
    <cellStyle name="標題 1 5" xfId="13461"/>
    <cellStyle name="好_底稿设置宏_大信底稿目录 14 5" xfId="13462"/>
    <cellStyle name="標題 1 6" xfId="13463"/>
    <cellStyle name="好_19-无形资产（空白模板） 3 3 2" xfId="13464"/>
    <cellStyle name="好_底稿设置宏_大信底稿目录 14 6" xfId="13465"/>
    <cellStyle name="常规 3 27 2 2" xfId="13466"/>
    <cellStyle name="好_账项明细表 2 2" xfId="13467"/>
    <cellStyle name="標題 2" xfId="13468"/>
    <cellStyle name="好_底稿设置宏_大信底稿目录 15" xfId="13469"/>
    <cellStyle name="好_底稿设置宏_大信底稿目录 20" xfId="13470"/>
    <cellStyle name="好_账项明细表 2 2 2" xfId="13471"/>
    <cellStyle name="標題 2 2" xfId="13472"/>
    <cellStyle name="好_底稿设置宏_大信底稿目录 15 2" xfId="13473"/>
    <cellStyle name="好_大信底稿目录 28" xfId="13474"/>
    <cellStyle name="好_大信底稿目录 33" xfId="13475"/>
    <cellStyle name="好_账项明细表 2 2 3" xfId="13476"/>
    <cellStyle name="標題 2 3" xfId="13477"/>
    <cellStyle name="好_底稿设置宏_大信底稿目录 15 3" xfId="13478"/>
    <cellStyle name="好_大信底稿目录 29" xfId="13479"/>
    <cellStyle name="好_大信底稿目录 34" xfId="13480"/>
    <cellStyle name="標題 2 4" xfId="13481"/>
    <cellStyle name="好_底稿设置宏_大信底稿目录 15 4" xfId="13482"/>
    <cellStyle name="差_预收款项_明细表 2" xfId="13483"/>
    <cellStyle name="標題 2 5" xfId="13484"/>
    <cellStyle name="好_底稿设置宏_大信底稿目录 15 5" xfId="13485"/>
    <cellStyle name="差_预收款项_明细表 3" xfId="13486"/>
    <cellStyle name="標題 2 6" xfId="13487"/>
    <cellStyle name="好_底稿设置宏_大信底稿目录 15 6" xfId="13488"/>
    <cellStyle name="差_预收款项_明细表 4" xfId="13489"/>
    <cellStyle name="好_账项明细表 2 3" xfId="13490"/>
    <cellStyle name="標題 3" xfId="13491"/>
    <cellStyle name="好_底稿设置宏_大信底稿目录 16" xfId="13492"/>
    <cellStyle name="好_底稿设置宏_大信底稿目录 21" xfId="13493"/>
    <cellStyle name="好_固定资产 12_明细表 5" xfId="13494"/>
    <cellStyle name="標題 3 2" xfId="13495"/>
    <cellStyle name="好_底稿设置宏_大信底稿目录 16 2" xfId="13496"/>
    <cellStyle name="標題 3 3" xfId="13497"/>
    <cellStyle name="好_底稿设置宏_大信底稿目录 16 3" xfId="13498"/>
    <cellStyle name="標題 3 4" xfId="13499"/>
    <cellStyle name="好_底稿设置宏_大信底稿目录 16 4" xfId="13500"/>
    <cellStyle name="標題 3 5" xfId="13501"/>
    <cellStyle name="好_底稿设置宏_大信底稿目录 16 5" xfId="13502"/>
    <cellStyle name="標題 3 6" xfId="13503"/>
    <cellStyle name="好_账项明细表 2 4" xfId="13504"/>
    <cellStyle name="標題 4" xfId="13505"/>
    <cellStyle name="好_底稿设置宏_大信底稿目录 17" xfId="13506"/>
    <cellStyle name="好_底稿设置宏_大信底稿目录 22" xfId="13507"/>
    <cellStyle name="標題 4 2" xfId="13508"/>
    <cellStyle name="標題 4 3" xfId="13509"/>
    <cellStyle name="標題 4 4" xfId="13510"/>
    <cellStyle name="標題 4 5" xfId="13511"/>
    <cellStyle name="標題 4 6" xfId="13512"/>
    <cellStyle name="標題 5" xfId="13513"/>
    <cellStyle name="好_底稿设置宏_大信底稿目录 18" xfId="13514"/>
    <cellStyle name="好_底稿设置宏_大信底稿目录 23" xfId="13515"/>
    <cellStyle name="好_22-长期待摊费用（空白模板）_明细表 2 2" xfId="13516"/>
    <cellStyle name="標題 6" xfId="13517"/>
    <cellStyle name="好_底稿设置宏_大信底稿目录 19" xfId="13518"/>
    <cellStyle name="好_底稿设置宏_大信底稿目录 24" xfId="13519"/>
    <cellStyle name="好_22-长期待摊费用（空白模板）_明细表 2 3" xfId="13520"/>
    <cellStyle name="標題 7" xfId="13521"/>
    <cellStyle name="好_底稿设置宏_大信底稿目录 25" xfId="13522"/>
    <cellStyle name="好_底稿设置宏_大信底稿目录 30" xfId="13523"/>
    <cellStyle name="好_22-长期待摊费用（空白模板）_明细表 2 4" xfId="13524"/>
    <cellStyle name="標題 8" xfId="13525"/>
    <cellStyle name="好_底稿设置宏_大信底稿目录 26" xfId="13526"/>
    <cellStyle name="好_底稿设置宏_大信底稿目录 31" xfId="13527"/>
    <cellStyle name="好_22-长期待摊费用（空白模板）_明细表 2 5" xfId="13528"/>
    <cellStyle name="差_未分配利润" xfId="13529"/>
    <cellStyle name="好_营业收入 8 2 2" xfId="13530"/>
    <cellStyle name="標題 9" xfId="13531"/>
    <cellStyle name="好_底稿设置宏_大信底稿目录 27" xfId="13532"/>
    <cellStyle name="好_底稿设置宏_大信底稿目录 32" xfId="13533"/>
    <cellStyle name="好_4-应收账款（空白模板） 12_附注表一（财务报表）" xfId="13534"/>
    <cellStyle name="表头1" xfId="13535"/>
    <cellStyle name="千位分隔 3 2 24" xfId="13536"/>
    <cellStyle name="千位分隔 3 2 19" xfId="13537"/>
    <cellStyle name="標題_G2 Turnover Kaizhou" xfId="13538"/>
    <cellStyle name="標準_１０" xfId="13539"/>
    <cellStyle name="好_1预收款项 2 2 5" xfId="13540"/>
    <cellStyle name="差_54-财务费用（空白模板） 8 4" xfId="13541"/>
    <cellStyle name="好_31-预收账款（空白模板） 15_明细表 5" xfId="13542"/>
    <cellStyle name="好_复件 固定资产_明细表 4" xfId="13543"/>
    <cellStyle name="表标题 2" xfId="13544"/>
    <cellStyle name="表标题 2 2" xfId="13545"/>
    <cellStyle name="好_财务费用 14_明细表" xfId="13546"/>
    <cellStyle name="差_账项明细表" xfId="13547"/>
    <cellStyle name="表标题 2 3" xfId="13548"/>
    <cellStyle name="好_复件 固定资产_明细表 5" xfId="13549"/>
    <cellStyle name="表标题 3" xfId="13550"/>
    <cellStyle name="好_49-营业收入（空白模板） 12 2 3" xfId="13551"/>
    <cellStyle name="表标题 3 2" xfId="13552"/>
    <cellStyle name="表标题 4" xfId="13553"/>
    <cellStyle name="表标题 5" xfId="13554"/>
    <cellStyle name="好_55-资产减值损失（空白模板） 3_附注表一（财务报表）" xfId="13555"/>
    <cellStyle name="常规 3 3 2 3 3 2" xfId="13556"/>
    <cellStyle name="表头" xfId="13557"/>
    <cellStyle name="常规 13 7" xfId="13558"/>
    <cellStyle name="捗_!" xfId="13559"/>
    <cellStyle name="差_无形资产 3 3" xfId="13560"/>
    <cellStyle name="部门" xfId="13561"/>
    <cellStyle name="好_22-长期待摊费用（空白模板） 4 3" xfId="13562"/>
    <cellStyle name="部门 2" xfId="13563"/>
    <cellStyle name="超链接 2 3 6" xfId="13564"/>
    <cellStyle name="好_无形资产 18 5" xfId="13565"/>
    <cellStyle name="差 10" xfId="13566"/>
    <cellStyle name="差 2" xfId="13567"/>
    <cellStyle name="常规 6 12 2 2" xfId="13568"/>
    <cellStyle name="差 2 10" xfId="13569"/>
    <cellStyle name="好_底稿设置宏_大信底稿目录 9_附注表一（财务报表）" xfId="13570"/>
    <cellStyle name="常规 6 12 2 3" xfId="13571"/>
    <cellStyle name="常规 3 25 2 2" xfId="13572"/>
    <cellStyle name="差 2 11" xfId="13573"/>
    <cellStyle name="常规 9 4 4 2" xfId="13574"/>
    <cellStyle name="常规 3 25 2 3" xfId="13575"/>
    <cellStyle name="差 2 12" xfId="13576"/>
    <cellStyle name="超链接 3 18 2 4" xfId="13577"/>
    <cellStyle name="超链接 3 23 2 4" xfId="13578"/>
    <cellStyle name="常规 9 4 10" xfId="13579"/>
    <cellStyle name="差 2 2" xfId="13580"/>
    <cellStyle name="差_51-营业税金及附加（空白模板）_应收账款 2" xfId="13581"/>
    <cellStyle name="差 2 2 10" xfId="13582"/>
    <cellStyle name="差 2 2 11" xfId="13583"/>
    <cellStyle name="差 2 2 2" xfId="13584"/>
    <cellStyle name="好_资产负债标准底稿 9_明细表 5" xfId="13585"/>
    <cellStyle name="差 2 2 2 2" xfId="13586"/>
    <cellStyle name="差 2 2 2 3" xfId="13587"/>
    <cellStyle name="差 2 2 3" xfId="13588"/>
    <cellStyle name="差 2 2 4" xfId="13589"/>
    <cellStyle name="差 2 2 5" xfId="13590"/>
    <cellStyle name="好_27-短期借款(空白模板) 14_附注表一（财务报表）" xfId="13591"/>
    <cellStyle name="差 2 2 6" xfId="13592"/>
    <cellStyle name="常规 10 2 3 2 2" xfId="13593"/>
    <cellStyle name="差_附件3存货监盘" xfId="13594"/>
    <cellStyle name="差 2 2 8" xfId="13595"/>
    <cellStyle name="千位分隔 3 2 14 3" xfId="13596"/>
    <cellStyle name="常规 3 5 5 2" xfId="13597"/>
    <cellStyle name="常规 10 2 3 2 3" xfId="13598"/>
    <cellStyle name="差 2 2 9" xfId="13599"/>
    <cellStyle name="差 2 2_附注表一（财务报表）" xfId="13600"/>
    <cellStyle name="超链接 3 18 2 5" xfId="13601"/>
    <cellStyle name="超链接 3 23 2 5" xfId="13602"/>
    <cellStyle name="差 2 3" xfId="13603"/>
    <cellStyle name="差 2 3 2" xfId="13604"/>
    <cellStyle name="千位分隔 2 4 2 8" xfId="13605"/>
    <cellStyle name="差_专项应付款_明细表_1" xfId="13606"/>
    <cellStyle name="差 2 3 3" xfId="13607"/>
    <cellStyle name="差 2 3 4" xfId="13608"/>
    <cellStyle name="好_未分配利润" xfId="13609"/>
    <cellStyle name="差 2 3 5" xfId="13610"/>
    <cellStyle name="差 2 3 6" xfId="13611"/>
    <cellStyle name="好_1短期借款 4 2 2" xfId="13612"/>
    <cellStyle name="差 2 3 7" xfId="13613"/>
    <cellStyle name="好_1短期借款 4 2 3" xfId="13614"/>
    <cellStyle name="常规 10 2 3 3 2" xfId="13615"/>
    <cellStyle name="差 2 3 8" xfId="13616"/>
    <cellStyle name="差 2 3_附注表一（财务报表）" xfId="13617"/>
    <cellStyle name="常规 3 3 2 11 2 2" xfId="13618"/>
    <cellStyle name="差 2 4 2" xfId="13619"/>
    <cellStyle name="差 2 5" xfId="13620"/>
    <cellStyle name="好_银行函证结果汇总表 9 2 3" xfId="13621"/>
    <cellStyle name="差 2 5 2" xfId="13622"/>
    <cellStyle name="好_1应付账款 3 2" xfId="13623"/>
    <cellStyle name="差 2 6" xfId="13624"/>
    <cellStyle name="差 2 7" xfId="13625"/>
    <cellStyle name="差 2 7 2" xfId="13626"/>
    <cellStyle name="差 2 8" xfId="13627"/>
    <cellStyle name="好_短期借款" xfId="13628"/>
    <cellStyle name="差 2 9" xfId="13629"/>
    <cellStyle name="差_复件 固定资产 6 2" xfId="13630"/>
    <cellStyle name="差 2_Spreadsheet" xfId="13631"/>
    <cellStyle name="差 3 2" xfId="13632"/>
    <cellStyle name="差 3 2 2" xfId="13633"/>
    <cellStyle name="差 3 2 3" xfId="13634"/>
    <cellStyle name="差 3 3" xfId="13635"/>
    <cellStyle name="差 3 4" xfId="13636"/>
    <cellStyle name="差 3_明细表" xfId="13637"/>
    <cellStyle name="差_应收账款 4 3" xfId="13638"/>
    <cellStyle name="差 4" xfId="13639"/>
    <cellStyle name="差_底稿设置宏 10_明细表 4" xfId="13640"/>
    <cellStyle name="差_4-应收账款（空白模板） 3 2 3" xfId="13641"/>
    <cellStyle name="差 4 2" xfId="13642"/>
    <cellStyle name="好__dxn_temp空白表页" xfId="13643"/>
    <cellStyle name="差 4 2 2" xfId="13644"/>
    <cellStyle name="好_40-专项应付款(空白模板) 7_明细表 2" xfId="13645"/>
    <cellStyle name="差 4 2 3" xfId="13646"/>
    <cellStyle name="差_底稿设置宏 10_明细表 5" xfId="13647"/>
    <cellStyle name="差 4 3" xfId="13648"/>
    <cellStyle name="常规 3 3 2 13 2" xfId="13649"/>
    <cellStyle name="差 4 4" xfId="13650"/>
    <cellStyle name="好_递延所得税资产 - 复制 5 2" xfId="13651"/>
    <cellStyle name="差_应收账款 4 4" xfId="13652"/>
    <cellStyle name="差 5" xfId="13653"/>
    <cellStyle name="差 5 2" xfId="13654"/>
    <cellStyle name="差 5 2 2" xfId="13655"/>
    <cellStyle name="差 5 2 3" xfId="13656"/>
    <cellStyle name="差 5 3" xfId="13657"/>
    <cellStyle name="好_27-短期借款(空白模板) 2 2" xfId="13658"/>
    <cellStyle name="差 5 4" xfId="13659"/>
    <cellStyle name="好_递延所得税资产 - 复制 5 3" xfId="13660"/>
    <cellStyle name="差_应收账款 4 5" xfId="13661"/>
    <cellStyle name="差 6" xfId="13662"/>
    <cellStyle name="差 6 2" xfId="13663"/>
    <cellStyle name="好_1可供出售金融资产 4" xfId="13664"/>
    <cellStyle name="差 6 2 2" xfId="13665"/>
    <cellStyle name="差 6 2 3" xfId="13666"/>
    <cellStyle name="差 6 3" xfId="13667"/>
    <cellStyle name="差 8" xfId="13668"/>
    <cellStyle name="差 8 2" xfId="13669"/>
    <cellStyle name="常规 2 2 2 2 10" xfId="13670"/>
    <cellStyle name="好_G-应收账款 7_附注表一（财务报表）" xfId="13671"/>
    <cellStyle name="差 8 3" xfId="13672"/>
    <cellStyle name="差 9" xfId="13673"/>
    <cellStyle name="差 9 2" xfId="13674"/>
    <cellStyle name="常规 2 2 2 4 2 11" xfId="13675"/>
    <cellStyle name="差__dxn_tempA空白表页 2" xfId="13676"/>
    <cellStyle name="差__dxn_tempA空白表页 2 2" xfId="13677"/>
    <cellStyle name="差__dxn_tempA空白表页 2 3" xfId="13678"/>
    <cellStyle name="差__dxn_tempA空白表页 3" xfId="13679"/>
    <cellStyle name="差__dxn_tempA空白表页 4" xfId="13680"/>
    <cellStyle name="好_27-短期借款(空白模板) 7_明细表" xfId="13681"/>
    <cellStyle name="差__dxn_tempA空白表页 5" xfId="13682"/>
    <cellStyle name="差__dxn_tempA空白表页 6" xfId="13683"/>
    <cellStyle name="差_短期借款_明细表_1 3" xfId="13684"/>
    <cellStyle name="差__dxn_temp货币资金" xfId="13685"/>
    <cellStyle name="差_31-预收账款（空白模板） 3_明细表" xfId="13686"/>
    <cellStyle name="差__dxn_temp货币资金 2" xfId="13687"/>
    <cellStyle name="差__dxn_temp货币资金-保险柜检查记录表" xfId="13688"/>
    <cellStyle name="差__dxn_temp检查情况表模版" xfId="13689"/>
    <cellStyle name="差__dxn_temp检查情况表模版 2" xfId="13690"/>
    <cellStyle name="差__dxn_temp空白表页 10" xfId="13691"/>
    <cellStyle name="差__dxn_temp空白表页 10 2" xfId="13692"/>
    <cellStyle name="差_1应付职工薪酬 2 2 3" xfId="13693"/>
    <cellStyle name="差__dxn_temp空白表页 10 2 2" xfId="13694"/>
    <cellStyle name="超链接 2 4 3 2" xfId="13695"/>
    <cellStyle name="差__dxn_temp空白表页 10 3" xfId="13696"/>
    <cellStyle name="差__dxn_temp空白表页 10_明细表" xfId="13697"/>
    <cellStyle name="差__dxn_temp空白表页 11" xfId="13698"/>
    <cellStyle name="差__dxn_temp空白表页 11 2" xfId="13699"/>
    <cellStyle name="差__dxn_temp空白表页 11 3" xfId="13700"/>
    <cellStyle name="差__dxn_temp空白表页 11_明细表" xfId="13701"/>
    <cellStyle name="差__dxn_temp空白表页 12" xfId="13702"/>
    <cellStyle name="差__dxn_temp空白表页 12 2" xfId="13703"/>
    <cellStyle name="差__dxn_temp空白表页 12 3" xfId="13704"/>
    <cellStyle name="差__dxn_temp空白表页 13" xfId="13705"/>
    <cellStyle name="差__dxn_temp空白表页 13 2" xfId="13706"/>
    <cellStyle name="差__dxn_temp空白表页 13 3" xfId="13707"/>
    <cellStyle name="差__dxn_temp空白表页 13_明细表" xfId="13708"/>
    <cellStyle name="差__dxn_temp空白表页 14" xfId="13709"/>
    <cellStyle name="差__dxn_temp空白表页 14 2" xfId="13710"/>
    <cellStyle name="差__dxn_temp空白表页 14 3" xfId="13711"/>
    <cellStyle name="差__dxn_temp空白表页 14_明细表" xfId="13712"/>
    <cellStyle name="差__dxn_temp空白表页 15" xfId="13713"/>
    <cellStyle name="差__dxn_temp空白表页 20" xfId="13714"/>
    <cellStyle name="差_复件 固定资产 10_明细表 4" xfId="13715"/>
    <cellStyle name="差__dxn_temp空白表页 15 2" xfId="13716"/>
    <cellStyle name="差__dxn_temp空白表页 17" xfId="13717"/>
    <cellStyle name="差__dxn_temp空白表页 22" xfId="13718"/>
    <cellStyle name="差__dxn_temp空白表页 18" xfId="13719"/>
    <cellStyle name="差__dxn_temp空白表页 23" xfId="13720"/>
    <cellStyle name="超链接 2 3 2 2" xfId="13721"/>
    <cellStyle name="差__dxn_temp空白表页 19" xfId="13722"/>
    <cellStyle name="差__dxn_temp空白表页 24" xfId="13723"/>
    <cellStyle name="常规 3 2 12 3 2" xfId="13724"/>
    <cellStyle name="差__dxn_temp空白表页 2" xfId="13725"/>
    <cellStyle name="差__dxn_temp空白表页 2 2 2" xfId="13726"/>
    <cellStyle name="好_60-所得税费用（空白模板） 7 2" xfId="13727"/>
    <cellStyle name="差__dxn_temp空白表页 2 2 3" xfId="13728"/>
    <cellStyle name="差__dxn_temp空白表页 2_明细表" xfId="13729"/>
    <cellStyle name="超链接 2 3 2 3" xfId="13730"/>
    <cellStyle name="差__dxn_temp空白表页 25" xfId="13731"/>
    <cellStyle name="差__dxn_temp空白表页 30" xfId="13732"/>
    <cellStyle name="超链接 2 3 2 5" xfId="13733"/>
    <cellStyle name="差__dxn_temp空白表页 27" xfId="13734"/>
    <cellStyle name="差__dxn_temp空白表页 32" xfId="13735"/>
    <cellStyle name="好_1应收票据 2 2" xfId="13736"/>
    <cellStyle name="差__dxn_temp空白表页 28" xfId="13737"/>
    <cellStyle name="差__dxn_temp空白表页 33" xfId="13738"/>
    <cellStyle name="差__dxn_temp空白表页 29" xfId="13739"/>
    <cellStyle name="差__dxn_temp空白表页 34" xfId="13740"/>
    <cellStyle name="常规 3 2 12 3 3" xfId="13741"/>
    <cellStyle name="差_预收款项 4_附注表一（财务报表）" xfId="13742"/>
    <cellStyle name="差__dxn_temp空白表页 3" xfId="13743"/>
    <cellStyle name="差_专项应付款 2 2" xfId="13744"/>
    <cellStyle name="差__dxn_temp空白表页 3 2 3" xfId="13745"/>
    <cellStyle name="差__dxn_temp空白表页 3_明细表" xfId="13746"/>
    <cellStyle name="好_49-营业收入（空白模板） 3 2 2" xfId="13747"/>
    <cellStyle name="差__dxn_temp空白表页 4" xfId="13748"/>
    <cellStyle name="差__dxn_temp空白表页 4 2 2" xfId="13749"/>
    <cellStyle name="差__dxn_temp空白表页 4 2 3" xfId="13750"/>
    <cellStyle name="常规 2 2 2 2 2 2 2 8" xfId="13751"/>
    <cellStyle name="常规 2 10 4 3" xfId="13752"/>
    <cellStyle name="差__dxn_temp空白表页 4_明细表" xfId="13753"/>
    <cellStyle name="好_49-营业收入（空白模板） 3 2 3" xfId="13754"/>
    <cellStyle name="差__dxn_temp空白表页 5" xfId="13755"/>
    <cellStyle name="差__dxn_temp空白表页 5 2 2" xfId="13756"/>
    <cellStyle name="差__dxn_temp空白表页 5 2 3" xfId="13757"/>
    <cellStyle name="常规 3 2 2 5 3" xfId="13758"/>
    <cellStyle name="常规 2 11 4 3" xfId="13759"/>
    <cellStyle name="差__dxn_temp空白表页 5_明细表" xfId="13760"/>
    <cellStyle name="好_49-营业收入（空白模板） 3 2 4" xfId="13761"/>
    <cellStyle name="差__dxn_temp空白表页 6" xfId="13762"/>
    <cellStyle name="好_1长期应收款 2" xfId="13763"/>
    <cellStyle name="差_51-营业税金及附加（空白模板）_明细表 2" xfId="13764"/>
    <cellStyle name="差__dxn_temp空白表页 6 2 2" xfId="13765"/>
    <cellStyle name="差_FA 短期借款 3 2" xfId="13766"/>
    <cellStyle name="好_1长期应收款 3" xfId="13767"/>
    <cellStyle name="差__dxn_temp空白表页 6 2 3" xfId="13768"/>
    <cellStyle name="常规 3 2 3 5 3" xfId="13769"/>
    <cellStyle name="差__dxn_temp空白表页 6_明细表" xfId="13770"/>
    <cellStyle name="好_49-营业收入（空白模板） 3 2 5" xfId="13771"/>
    <cellStyle name="差__dxn_temp空白表页 7" xfId="13772"/>
    <cellStyle name="差__dxn_temp空白表页 7 2" xfId="13773"/>
    <cellStyle name="差__dxn_temp空白表页 7 2 2" xfId="13774"/>
    <cellStyle name="差__dxn_temp空白表页 7 2 3" xfId="13775"/>
    <cellStyle name="差__dxn_temp空白表页 7 3" xfId="13776"/>
    <cellStyle name="差__dxn_temp空白表页 7 4" xfId="13777"/>
    <cellStyle name="常规 3 2 4 5 3" xfId="13778"/>
    <cellStyle name="差__dxn_temp空白表页 7_明细表" xfId="13779"/>
    <cellStyle name="好_49-营业收入（空白模板） 3 2 6" xfId="13780"/>
    <cellStyle name="差__dxn_temp空白表页 8" xfId="13781"/>
    <cellStyle name="差__dxn_temp空白表页 8 2" xfId="13782"/>
    <cellStyle name="差__dxn_temp空白表页 8 2 2" xfId="13783"/>
    <cellStyle name="差__dxn_temp空白表页 8 2 3" xfId="13784"/>
    <cellStyle name="差__dxn_temp空白表页 8 3" xfId="13785"/>
    <cellStyle name="差__dxn_temp空白表页 8 4" xfId="13786"/>
    <cellStyle name="常规 3 2 5 5 3" xfId="13787"/>
    <cellStyle name="差__dxn_temp空白表页 8_明细表" xfId="13788"/>
    <cellStyle name="差_大信底稿目录 10_明细表" xfId="13789"/>
    <cellStyle name="差__dxn_temp空白表页 9" xfId="13790"/>
    <cellStyle name="差_1预收款项 2 2 3" xfId="13791"/>
    <cellStyle name="差__dxn_temp空白表页 9 2" xfId="13792"/>
    <cellStyle name="差__dxn_temp空白表页 9 2 2" xfId="13793"/>
    <cellStyle name="差__dxn_temp空白表页 9 2 3" xfId="13794"/>
    <cellStyle name="好_G-应收账款 6_明细表" xfId="13795"/>
    <cellStyle name="差__dxn_temp空白表页 9 3" xfId="13796"/>
    <cellStyle name="差__dxn_temp空白表页 9 4" xfId="13797"/>
    <cellStyle name="常规 3 3 2 2 2 2 2 3" xfId="13798"/>
    <cellStyle name="常规 3 2 6 5 3" xfId="13799"/>
    <cellStyle name="常规 2 3 2 2 2 2 6" xfId="13800"/>
    <cellStyle name="差__dxn_temp空白表页 9_明细表" xfId="13801"/>
    <cellStyle name="差__dxn_temp空白表页_明细表 2" xfId="13802"/>
    <cellStyle name="差__dxn_temp替代测试表(二)-借方金额检查模板" xfId="13803"/>
    <cellStyle name="差__dxn_temp替代测试表(一)-期后收款情况模板 2" xfId="13804"/>
    <cellStyle name="差__dxn_temp替代测试表(一)-期后收款情况模板 3" xfId="13805"/>
    <cellStyle name="差_03-附件2-辞退福利表（11.11）" xfId="13806"/>
    <cellStyle name="好_应收利息 5 2 4" xfId="13807"/>
    <cellStyle name="常规 3 3 15 5" xfId="13808"/>
    <cellStyle name="差_04-06 东营 Appendix4 TBJA.0411.v17 2" xfId="13809"/>
    <cellStyle name="好_资产负债标准底稿 4 3 3" xfId="13810"/>
    <cellStyle name="好_51-营业税金及附加（空白模板） 14 3" xfId="13811"/>
    <cellStyle name="常规 5 2 11 2 4" xfId="13812"/>
    <cellStyle name="差_10存货 2" xfId="13813"/>
    <cellStyle name="差_10存货 2 2 3" xfId="13814"/>
    <cellStyle name="差_1所得税费用 4 2" xfId="13815"/>
    <cellStyle name="差_10存货 2 3" xfId="13816"/>
    <cellStyle name="好_1应收利息" xfId="13817"/>
    <cellStyle name="差_10存货 2 4" xfId="13818"/>
    <cellStyle name="常规 5 2 11 2 5" xfId="13819"/>
    <cellStyle name="差_10存货 3" xfId="13820"/>
    <cellStyle name="差_10存货 3 2" xfId="13821"/>
    <cellStyle name="好_应收利息 2 6" xfId="13822"/>
    <cellStyle name="差_10存货 4" xfId="13823"/>
    <cellStyle name="千位分隔 3 2 12_附注表一（财务报表）" xfId="13824"/>
    <cellStyle name="差_10存货 5" xfId="13825"/>
    <cellStyle name="好_存货 3 2 2" xfId="13826"/>
    <cellStyle name="好_1短期借款 15 6" xfId="13827"/>
    <cellStyle name="輔色4" xfId="13828"/>
    <cellStyle name="常规 9 4 7 2" xfId="13829"/>
    <cellStyle name="差_10-可供出售金融资产（空白模板）" xfId="13830"/>
    <cellStyle name="輔色4 2" xfId="13831"/>
    <cellStyle name="差_10-可供出售金融资产（空白模板） 2" xfId="13832"/>
    <cellStyle name="差_10-可供出售金融资产（空白模板） 2 2" xfId="13833"/>
    <cellStyle name="輔色4 3" xfId="13834"/>
    <cellStyle name="差_10-可供出售金融资产（空白模板） 3" xfId="13835"/>
    <cellStyle name="差_10-可供出售金融资产（空白模板） 3 2" xfId="13836"/>
    <cellStyle name="輔色4 4" xfId="13837"/>
    <cellStyle name="差_10-可供出售金融资产（空白模板） 4" xfId="13838"/>
    <cellStyle name="好_银行函证结果汇总表 2_明细表 4" xfId="13839"/>
    <cellStyle name="差_22-长期待摊费用（空白模板） 2" xfId="13840"/>
    <cellStyle name="差_10针对持续经营的调查问卷" xfId="13841"/>
    <cellStyle name="差_22-长期待摊费用（空白模板） 2 2" xfId="13842"/>
    <cellStyle name="差_10针对持续经营的调查问卷 2" xfId="13843"/>
    <cellStyle name="差_10针对持续经营的调查问卷 2 2" xfId="13844"/>
    <cellStyle name="好_应收账款期末审定表 2 2" xfId="13845"/>
    <cellStyle name="差_10针对持续经营的调查问卷 2 3" xfId="13846"/>
    <cellStyle name="差_22-长期待摊费用（空白模板） 2 3" xfId="13847"/>
    <cellStyle name="差_10针对持续经营的调查问卷 3" xfId="13848"/>
    <cellStyle name="差_10针对持续经营的调查问卷 4" xfId="13849"/>
    <cellStyle name="好__dxn_temp空白表页 7_明细表 2" xfId="13850"/>
    <cellStyle name="差_111其他流动资产 2" xfId="13851"/>
    <cellStyle name="好__dxn_temp空白表页 7_明细表 3" xfId="13852"/>
    <cellStyle name="差_111其他流动资产 3" xfId="13853"/>
    <cellStyle name="差_19-无形资产（空白模板） 6 2" xfId="13854"/>
    <cellStyle name="差_111损益类底稿模版" xfId="13855"/>
    <cellStyle name="差_无形资产_明细表" xfId="13856"/>
    <cellStyle name="差_11-持有至到期投资（空白模板）" xfId="13857"/>
    <cellStyle name="好_31-预收账款（空白模板） 3 5" xfId="13858"/>
    <cellStyle name="差_无形资产_明细表 2" xfId="13859"/>
    <cellStyle name="差_11-持有至到期投资（空白模板） 2" xfId="13860"/>
    <cellStyle name="差_无形资产_明细表 2 2" xfId="13861"/>
    <cellStyle name="差_11-持有至到期投资（空白模板） 2 2" xfId="13862"/>
    <cellStyle name="差_无形资产_明细表 3" xfId="13863"/>
    <cellStyle name="差_11-持有至到期投资（空白模板） 3" xfId="13864"/>
    <cellStyle name="差_11-持有至到期投资（空白模板） 3 2" xfId="13865"/>
    <cellStyle name="差_无形资产_明细表 4" xfId="13866"/>
    <cellStyle name="差_11-持有至到期投资（空白模板） 4" xfId="13867"/>
    <cellStyle name="好_底稿设置宏_大信底稿目录 6_明细表 5" xfId="13868"/>
    <cellStyle name="差_12-长期应收款（空白模板）" xfId="13869"/>
    <cellStyle name="差_12-长期应收款（空白模板） 2" xfId="13870"/>
    <cellStyle name="差_12-长期应收款（空白模板） 3 2" xfId="13871"/>
    <cellStyle name="差_13-长期股权投资（空白模板） 2" xfId="13872"/>
    <cellStyle name="差_14-投资性房地产（空白模板） 2" xfId="13873"/>
    <cellStyle name="差_15-固定资产（空白模板）" xfId="13874"/>
    <cellStyle name="差_15-固定资产（空白模板） 10" xfId="13875"/>
    <cellStyle name="差_15-固定资产（空白模板） 10 2" xfId="13876"/>
    <cellStyle name="差_15-固定资产（空白模板） 10 3" xfId="13877"/>
    <cellStyle name="好_9管理费用" xfId="13878"/>
    <cellStyle name="差_15-固定资产（空白模板） 11" xfId="13879"/>
    <cellStyle name="好_大信底稿目录 6 2 4" xfId="13880"/>
    <cellStyle name="好_9管理费用 2" xfId="13881"/>
    <cellStyle name="好_55-资产减值损失（空白模板） 8_明细表 3" xfId="13882"/>
    <cellStyle name="差_15-固定资产（空白模板） 11 2" xfId="13883"/>
    <cellStyle name="常规 3 2 3" xfId="13884"/>
    <cellStyle name="差_15-固定资产（空白模板） 12 2" xfId="13885"/>
    <cellStyle name="常规 3 2 4" xfId="13886"/>
    <cellStyle name="差_15-固定资产（空白模板） 12 3" xfId="13887"/>
    <cellStyle name="差_15-固定资产（空白模板） 14" xfId="13888"/>
    <cellStyle name="差_G-应收账款 2_明细表" xfId="13889"/>
    <cellStyle name="差_15-固定资产（空白模板） 2" xfId="13890"/>
    <cellStyle name="差_15-固定资产（空白模板） 2 2" xfId="13891"/>
    <cellStyle name="差_专项应付款_明细表 3" xfId="13892"/>
    <cellStyle name="差_15-固定资产（空白模板） 2 2 2" xfId="13893"/>
    <cellStyle name="差_专项应付款_明细表 4" xfId="13894"/>
    <cellStyle name="常规 5 7 4 2" xfId="13895"/>
    <cellStyle name="差_短期借款 12_明细表 2" xfId="13896"/>
    <cellStyle name="差_15-固定资产（空白模板） 2 2 3" xfId="13897"/>
    <cellStyle name="差_15-固定资产（空白模板） 2 3" xfId="13898"/>
    <cellStyle name="超链接 2 7_附注表一（财务报表）" xfId="13899"/>
    <cellStyle name="差_15-固定资产（空白模板） 2 4" xfId="13900"/>
    <cellStyle name="差_15-固定资产（空白模板） 2_明细表" xfId="13901"/>
    <cellStyle name="好_底稿设置宏_大信底稿目录 6_明细表" xfId="13902"/>
    <cellStyle name="差_15-固定资产（空白模板） 3" xfId="13903"/>
    <cellStyle name="好_底稿设置宏_大信底稿目录 6_明细表 2" xfId="13904"/>
    <cellStyle name="差_15-固定资产（空白模板） 3 2" xfId="13905"/>
    <cellStyle name="好_底稿设置宏_大信底稿目录 6_明细表 3" xfId="13906"/>
    <cellStyle name="差_15-固定资产（空白模板） 3 3" xfId="13907"/>
    <cellStyle name="差_15-固定资产（空白模板） 3_明细表" xfId="13908"/>
    <cellStyle name="差_15-固定资产（空白模板） 4" xfId="13909"/>
    <cellStyle name="差_15-固定资产（空白模板） 4 2" xfId="13910"/>
    <cellStyle name="差_15-固定资产（空白模板） 4 3" xfId="13911"/>
    <cellStyle name="差_15-固定资产（空白模板） 4_明细表" xfId="13912"/>
    <cellStyle name="差_15-固定资产（空白模板） 5" xfId="13913"/>
    <cellStyle name="差_15-固定资产（空白模板） 5 2" xfId="13914"/>
    <cellStyle name="好_黄金项目组审计人员通讯录_明细表 2" xfId="13915"/>
    <cellStyle name="差_15-固定资产（空白模板） 5 3" xfId="13916"/>
    <cellStyle name="差_15-固定资产（空白模板） 6" xfId="13917"/>
    <cellStyle name="差_15-固定资产（空白模板） 6 2" xfId="13918"/>
    <cellStyle name="差_15-固定资产（空白模板） 6 3" xfId="13919"/>
    <cellStyle name="差_15-固定资产（空白模板） 6_明细表" xfId="13920"/>
    <cellStyle name="差_15-固定资产（空白模板） 7" xfId="13921"/>
    <cellStyle name="差_ZD应收账款 2 2 3" xfId="13922"/>
    <cellStyle name="差_15-固定资产（空白模板） 7 2" xfId="13923"/>
    <cellStyle name="差_15-固定资产（空白模板） 7 3" xfId="13924"/>
    <cellStyle name="好_31-预收账款（空白模板） 8 2" xfId="13925"/>
    <cellStyle name="好_1资产减值损失 5_明细表 2" xfId="13926"/>
    <cellStyle name="差_专项应付款 9_明细表 2" xfId="13927"/>
    <cellStyle name="差_15-固定资产（空白模板） 7_明细表" xfId="13928"/>
    <cellStyle name="差_15-固定资产（空白模板） 8" xfId="13929"/>
    <cellStyle name="差_复件 固定资产 2_明细表 5" xfId="13930"/>
    <cellStyle name="差_15-固定资产（空白模板） 8 2" xfId="13931"/>
    <cellStyle name="差_15-固定资产（空白模板） 8 3" xfId="13932"/>
    <cellStyle name="差_15-固定资产（空白模板） 9_明细表" xfId="13933"/>
    <cellStyle name="好_营业外收入 3 3" xfId="13934"/>
    <cellStyle name="差_15-固定资产（空白模板）_明细表" xfId="13935"/>
    <cellStyle name="差_16-在建工程（空白模板）" xfId="13936"/>
    <cellStyle name="差_16-在建工程（空白模板） 2" xfId="13937"/>
    <cellStyle name="差_16-在建工程（空白模板） 2 2" xfId="13938"/>
    <cellStyle name="好_G-应收账款 12_明细表 3" xfId="13939"/>
    <cellStyle name="差_16-在建工程（空白模板） 3" xfId="13940"/>
    <cellStyle name="好_实收资本(股本) 2 4" xfId="13941"/>
    <cellStyle name="差_16-在建工程（空白模板） 3 2" xfId="13942"/>
    <cellStyle name="好_FC 应付票据" xfId="13943"/>
    <cellStyle name="差_16-在建工程（空白模板） 4" xfId="13944"/>
    <cellStyle name="好_FC 应付票据 2" xfId="13945"/>
    <cellStyle name="差_16-在建工程（空白模板） 4 2" xfId="13946"/>
    <cellStyle name="好_FE 预收款项" xfId="13947"/>
    <cellStyle name="差_16-在建工程（空白模板） 5" xfId="13948"/>
    <cellStyle name="好_FE 预收款项 2" xfId="13949"/>
    <cellStyle name="差_16-在建工程（空白模板） 5 2" xfId="13950"/>
    <cellStyle name="差_17-工程物资（空白模板）" xfId="13951"/>
    <cellStyle name="差_17-工程物资（空白模板） 2" xfId="13952"/>
    <cellStyle name="超链接 3 4 2" xfId="13953"/>
    <cellStyle name="差_SA保险业务收入 2 2" xfId="13954"/>
    <cellStyle name="差_19-无形资产（空白模板）" xfId="13955"/>
    <cellStyle name="差_19-无形资产（空白模板）_明细表_1" xfId="13956"/>
    <cellStyle name="差_19-无形资产（空白模板） 10 2" xfId="13957"/>
    <cellStyle name="千位分隔 27 2 2 2" xfId="13958"/>
    <cellStyle name="差_19-无形资产（空白模板） 10 3" xfId="13959"/>
    <cellStyle name="千位分隔 27 2 2 3" xfId="13960"/>
    <cellStyle name="差_19-无形资产（空白模板） 10 4" xfId="13961"/>
    <cellStyle name="常规 2 2 2 2 2 2 16" xfId="13962"/>
    <cellStyle name="差_19-无形资产（空白模板） 11" xfId="13963"/>
    <cellStyle name="差_19-无形资产（空白模板） 11 2" xfId="13964"/>
    <cellStyle name="差_19-无形资产（空白模板） 11 3" xfId="13965"/>
    <cellStyle name="常规 2 5 2 5" xfId="13966"/>
    <cellStyle name="差_19-无形资产（空白模板） 11_明细表" xfId="13967"/>
    <cellStyle name="差_19-无形资产（空白模板） 12_明细表" xfId="13968"/>
    <cellStyle name="好_40-专项应付款(空白模板) 26" xfId="13969"/>
    <cellStyle name="好_40-专项应付款(空白模板) 31" xfId="13970"/>
    <cellStyle name="好_1交易性金融负债 3 2" xfId="13971"/>
    <cellStyle name="常规 2 6 2 5" xfId="13972"/>
    <cellStyle name="差_19-无形资产（空白模板） 13" xfId="13973"/>
    <cellStyle name="差_19-无形资产（空白模板） 13 3" xfId="13974"/>
    <cellStyle name="好_无形资产 13 3" xfId="13975"/>
    <cellStyle name="常规 2 7 2 5" xfId="13976"/>
    <cellStyle name="差_19-无形资产（空白模板） 13_明细表" xfId="13977"/>
    <cellStyle name="差_19-无形资产（空白模板） 14_明细表" xfId="13978"/>
    <cellStyle name="好_4-应收账款（空白模板） 2_附注表一（财务报表）" xfId="13979"/>
    <cellStyle name="常规 2 8 2 5" xfId="13980"/>
    <cellStyle name="好_40-专项应付款(空白模板) 5 3" xfId="13981"/>
    <cellStyle name="差_19-无形资产（空白模板） 15" xfId="13982"/>
    <cellStyle name="差_19-无形资产（空白模板） 20" xfId="13983"/>
    <cellStyle name="常规 5 14 2 2" xfId="13984"/>
    <cellStyle name="差_资产负债标准底稿 13 2 2" xfId="13985"/>
    <cellStyle name="差_19-无形资产（空白模板） 18" xfId="13986"/>
    <cellStyle name="差_19-无形资产（空白模板） 23" xfId="13987"/>
    <cellStyle name="常规 5 14 2 3" xfId="13988"/>
    <cellStyle name="差_19-无形资产（空白模板） 19" xfId="13989"/>
    <cellStyle name="差_19-无形资产（空白模板） 24" xfId="13990"/>
    <cellStyle name="常规 2 27 2 2" xfId="13991"/>
    <cellStyle name="差_资产负债标准底稿 13 2 3" xfId="13992"/>
    <cellStyle name="超链接 3 4 2 2" xfId="13993"/>
    <cellStyle name="常规 2 2 2 2 2 2 3" xfId="13994"/>
    <cellStyle name="差_19-无形资产（空白模板） 2" xfId="13995"/>
    <cellStyle name="常规 2 2 2 2 2 2 3 2" xfId="13996"/>
    <cellStyle name="差_19-无形资产（空白模板） 2 2" xfId="13997"/>
    <cellStyle name="常规 11 6 2 5" xfId="13998"/>
    <cellStyle name="差_19-无形资产（空白模板） 2 2 2" xfId="13999"/>
    <cellStyle name="好_预收款项 14_附注表一（财务报表）" xfId="14000"/>
    <cellStyle name="常规 2 2 2 2 2 2 3 3" xfId="14001"/>
    <cellStyle name="差_19-无形资产（空白模板） 2 3" xfId="14002"/>
    <cellStyle name="差_19-无形资产（空白模板） 2 4" xfId="14003"/>
    <cellStyle name="差_19-无形资产（空白模板） 2 5" xfId="14004"/>
    <cellStyle name="好__dxn_temp替代测试表(二)-借方金额检查模板" xfId="14005"/>
    <cellStyle name="差_19-无形资产（空白模板） 2 6" xfId="14006"/>
    <cellStyle name="输出 2 3 4" xfId="14007"/>
    <cellStyle name="好_Sheet1 6 2" xfId="14008"/>
    <cellStyle name="常规 2 2 2" xfId="14009"/>
    <cellStyle name="差_19-无形资产（空白模板） 2_明细表" xfId="14010"/>
    <cellStyle name="常规 5 14 2 5" xfId="14011"/>
    <cellStyle name="常规 4 6 4 3" xfId="14012"/>
    <cellStyle name="差_19-无形资产（空白模板） 26" xfId="14013"/>
    <cellStyle name="差_19-无形资产（空白模板） 31" xfId="14014"/>
    <cellStyle name="常规 2 27 2 4" xfId="14015"/>
    <cellStyle name="差_资产负债标准底稿 13 2 5" xfId="14016"/>
    <cellStyle name="差_1其他应收款 4 3" xfId="14017"/>
    <cellStyle name="差_19-无形资产（空白模板） 27" xfId="14018"/>
    <cellStyle name="差_19-无形资产（空白模板） 32" xfId="14019"/>
    <cellStyle name="常规 2 27 2 5" xfId="14020"/>
    <cellStyle name="差_1其他应收款 4 4" xfId="14021"/>
    <cellStyle name="差_19-无形资产（空白模板） 28" xfId="14022"/>
    <cellStyle name="差_19-无形资产（空白模板） 33" xfId="14023"/>
    <cellStyle name="超链接 3 4 2 3" xfId="14024"/>
    <cellStyle name="常规 2 2 2 2 2 2 4" xfId="14025"/>
    <cellStyle name="差_19-无形资产（空白模板） 3" xfId="14026"/>
    <cellStyle name="好_30-应付账款（空白模板）_明细表_1 3" xfId="14027"/>
    <cellStyle name="常规 2 2 2 2 2 2 4 2" xfId="14028"/>
    <cellStyle name="差_19-无形资产（空白模板） 3 2" xfId="14029"/>
    <cellStyle name="差_19-无形资产（空白模板） 3 2 2" xfId="14030"/>
    <cellStyle name="差_19-无形资产（空白模板） 3 2 3" xfId="14031"/>
    <cellStyle name="好_30-应付账款（空白模板）_明细表_1 4" xfId="14032"/>
    <cellStyle name="常规 2 2 2 2 2 2 4 3" xfId="14033"/>
    <cellStyle name="差_19-无形资产（空白模板） 3 3" xfId="14034"/>
    <cellStyle name="好_30-应付账款（空白模板）_明细表_1 5" xfId="14035"/>
    <cellStyle name="好_10存货 2 2" xfId="14036"/>
    <cellStyle name="差_无形资产 5_明细表 2" xfId="14037"/>
    <cellStyle name="差_19-无形资产（空白模板） 3 4" xfId="14038"/>
    <cellStyle name="好_10存货 2 3" xfId="14039"/>
    <cellStyle name="差_无形资产 5_明细表 3" xfId="14040"/>
    <cellStyle name="差_19-无形资产（空白模板） 3 5" xfId="14041"/>
    <cellStyle name="常规 3 2 2" xfId="14042"/>
    <cellStyle name="差_19-无形资产（空白模板） 3_明细表" xfId="14043"/>
    <cellStyle name="超链接 3 4 2 4" xfId="14044"/>
    <cellStyle name="常规 2 2 2 2 2 2 5" xfId="14045"/>
    <cellStyle name="差_19-无形资产（空白模板） 4" xfId="14046"/>
    <cellStyle name="常规 2 2 2 2 2 2 5 2" xfId="14047"/>
    <cellStyle name="差_19-无形资产（空白模板） 4 2" xfId="14048"/>
    <cellStyle name="常规 2 2 2 2 2 2 5 3" xfId="14049"/>
    <cellStyle name="差_19-无形资产（空白模板） 4 3" xfId="14050"/>
    <cellStyle name="好_10存货 3 2" xfId="14051"/>
    <cellStyle name="差_19-无形资产（空白模板） 4 4" xfId="14052"/>
    <cellStyle name="好_10存货 3 3" xfId="14053"/>
    <cellStyle name="差_19-无形资产（空白模板） 4 5" xfId="14054"/>
    <cellStyle name="常规 4 2 2" xfId="14055"/>
    <cellStyle name="好_FJ 其他应付款 3 3" xfId="14056"/>
    <cellStyle name="差_19-无形资产（空白模板） 4_明细表" xfId="14057"/>
    <cellStyle name="超链接 3 4 2 5" xfId="14058"/>
    <cellStyle name="常规 2 2 2 2 2 2 6" xfId="14059"/>
    <cellStyle name="差_19-无形资产（空白模板） 5" xfId="14060"/>
    <cellStyle name="常规 2 2 2 2 2 2 6 2" xfId="14061"/>
    <cellStyle name="差_19-无形资产（空白模板） 5 2" xfId="14062"/>
    <cellStyle name="差_19-无形资产（空白模板） 5 2 2" xfId="14063"/>
    <cellStyle name="好_52-销售费用（空白模板） 3" xfId="14064"/>
    <cellStyle name="差_19-无形资产（空白模板） 5 2 3" xfId="14065"/>
    <cellStyle name="好_52-销售费用（空白模板） 4" xfId="14066"/>
    <cellStyle name="差_G-应收账款 10_明细表" xfId="14067"/>
    <cellStyle name="差_19-无形资产（空白模板） 5 3" xfId="14068"/>
    <cellStyle name="好_1财务费用_明细表 5" xfId="14069"/>
    <cellStyle name="常规 5 2 2" xfId="14070"/>
    <cellStyle name="差_19-无形资产（空白模板） 5_明细表" xfId="14071"/>
    <cellStyle name="常规 2 2 2 2 2 2 7" xfId="14072"/>
    <cellStyle name="差_19-无形资产（空白模板） 6" xfId="14073"/>
    <cellStyle name="超链接 3 35" xfId="14074"/>
    <cellStyle name="差_19-无形资产（空白模板） 6 2 2" xfId="14075"/>
    <cellStyle name="超链接 3 36" xfId="14076"/>
    <cellStyle name="差_G-应收账款 11_明细表" xfId="14077"/>
    <cellStyle name="差_19-无形资产（空白模板） 6 2 3" xfId="14078"/>
    <cellStyle name="差_19-无形资产（空白模板） 6 3" xfId="14079"/>
    <cellStyle name="差_19-无形资产（空白模板） 6 4" xfId="14080"/>
    <cellStyle name="常规 6 2 2" xfId="14081"/>
    <cellStyle name="差_19-无形资产（空白模板） 6_明细表" xfId="14082"/>
    <cellStyle name="常规 2 2 2 2 2 2 8" xfId="14083"/>
    <cellStyle name="差_19-无形资产（空白模板） 7" xfId="14084"/>
    <cellStyle name="好_应收利息 14_明细表 5" xfId="14085"/>
    <cellStyle name="差_19-无形资产（空白模板） 7 3" xfId="14086"/>
    <cellStyle name="好_1固定资产 13 2 2" xfId="14087"/>
    <cellStyle name="差_19-无形资产（空白模板） 7 4" xfId="14088"/>
    <cellStyle name="常规 7 2 2" xfId="14089"/>
    <cellStyle name="差_19-无形资产（空白模板） 7_明细表" xfId="14090"/>
    <cellStyle name="常规 2 2 2 2 2 2 9" xfId="14091"/>
    <cellStyle name="差_19-无形资产（空白模板） 8" xfId="14092"/>
    <cellStyle name="好_1固定资产 3" xfId="14093"/>
    <cellStyle name="差_19-无形资产（空白模板） 8 2" xfId="14094"/>
    <cellStyle name="好_1固定资产 3 2" xfId="14095"/>
    <cellStyle name="差_19-无形资产（空白模板） 8 2 2" xfId="14096"/>
    <cellStyle name="好_51-营业税金及附加（空白模板） 10 2" xfId="14097"/>
    <cellStyle name="好_1固定资产 3 3" xfId="14098"/>
    <cellStyle name="差_G-应收账款 13_明细表" xfId="14099"/>
    <cellStyle name="差_19-无形资产（空白模板） 8 2 3" xfId="14100"/>
    <cellStyle name="好_1固定资产 4" xfId="14101"/>
    <cellStyle name="差_存货" xfId="14102"/>
    <cellStyle name="差_19-无形资产（空白模板） 8 3" xfId="14103"/>
    <cellStyle name="好_1固定资产 5" xfId="14104"/>
    <cellStyle name="差_19-无形资产（空白模板） 8 4" xfId="14105"/>
    <cellStyle name="差_19-无形资产（空白模板） 9" xfId="14106"/>
    <cellStyle name="差_19-无形资产（空白模板） 9 2" xfId="14107"/>
    <cellStyle name="超链接 2 14 3" xfId="14108"/>
    <cellStyle name="差_51-营业税金及附加（空白模板） 11" xfId="14109"/>
    <cellStyle name="差_19-无形资产（空白模板） 9 2 2" xfId="14110"/>
    <cellStyle name="差_G-应收账款 14_明细表" xfId="14111"/>
    <cellStyle name="差_51-营业税金及附加（空白模板） 12" xfId="14112"/>
    <cellStyle name="差_19-无形资产（空白模板） 9 2 3" xfId="14113"/>
    <cellStyle name="差_19-无形资产（空白模板） 9 3" xfId="14114"/>
    <cellStyle name="差_19-无形资产（空白模板） 9 4" xfId="14115"/>
    <cellStyle name="好_短期借款 10 4" xfId="14116"/>
    <cellStyle name="差_19-无形资产（空白模板）_3固定资产" xfId="14117"/>
    <cellStyle name="好_资产减值损失 7_附注表一（财务报表）" xfId="14118"/>
    <cellStyle name="差_19-无形资产（空白模板）_Book2" xfId="14119"/>
    <cellStyle name="常规 3 3 2 6 7" xfId="14120"/>
    <cellStyle name="常规 9 4 2 3 3" xfId="14121"/>
    <cellStyle name="差_40-专项应付款(空白模板) 10" xfId="14122"/>
    <cellStyle name="好_银行函证结果汇总表 6 4" xfId="14123"/>
    <cellStyle name="差_40-专项应付款(空白模板) 10 2" xfId="14124"/>
    <cellStyle name="好_31-预收账款（空白模板） 17" xfId="14125"/>
    <cellStyle name="好_31-预收账款（空白模板） 22" xfId="14126"/>
    <cellStyle name="差_19-无形资产（空白模板）_Book2 2" xfId="14127"/>
    <cellStyle name="常规 9 4 2 3 3 2" xfId="14128"/>
    <cellStyle name="计算 2 11" xfId="14129"/>
    <cellStyle name="好_1递延所得税资产 3" xfId="14130"/>
    <cellStyle name="差_19-无形资产（空白模板）_财务费用" xfId="14131"/>
    <cellStyle name="差_19-无形资产（空白模板）_固定资产" xfId="14132"/>
    <cellStyle name="差_19-无形资产（空白模板）_固定资产 2" xfId="14133"/>
    <cellStyle name="常规 5 7 5" xfId="14134"/>
    <cellStyle name="差_19-无形资产（空白模板）_货币资金" xfId="14135"/>
    <cellStyle name="好_1其他应收款 6" xfId="14136"/>
    <cellStyle name="差_19-无形资产（空白模板）_货币资金 2" xfId="14137"/>
    <cellStyle name="差_无形资产 3 2 3" xfId="14138"/>
    <cellStyle name="好_22-长期待摊费用（空白模板） 3 4" xfId="14139"/>
    <cellStyle name="差_19-无形资产（空白模板）_应收账款" xfId="14140"/>
    <cellStyle name="差_19-无形资产（空白模板）_应收账款 2" xfId="14141"/>
    <cellStyle name="常规 2 4 2 2 4" xfId="14142"/>
    <cellStyle name="差_1持有至到期投资 3" xfId="14143"/>
    <cellStyle name="常规 2 4 2 2 4 2" xfId="14144"/>
    <cellStyle name="差_短期借款 11_附注表一（财务报表）" xfId="14145"/>
    <cellStyle name="千位分隔 2 3 3 11" xfId="14146"/>
    <cellStyle name="差_1持有至到期投资 3 2" xfId="14147"/>
    <cellStyle name="常规 2 4 2 2 5" xfId="14148"/>
    <cellStyle name="差_1持有至到期投资 4" xfId="14149"/>
    <cellStyle name="差_1递延所得税负债" xfId="14150"/>
    <cellStyle name="差_1递延所得税负债 2" xfId="14151"/>
    <cellStyle name="差_1递延所得税负债 2 2" xfId="14152"/>
    <cellStyle name="差_1递延所得税负债 3" xfId="14153"/>
    <cellStyle name="差_1递延所得税负债 4" xfId="14154"/>
    <cellStyle name="差_1递延所得税资产 2" xfId="14155"/>
    <cellStyle name="差_1递延所得税资产 3" xfId="14156"/>
    <cellStyle name="好_1预收款项 10 4" xfId="14157"/>
    <cellStyle name="差_1递延所得税资产 3 2" xfId="14158"/>
    <cellStyle name="好_1其他应付款" xfId="14159"/>
    <cellStyle name="差_无形资产 7_明细表 3" xfId="14160"/>
    <cellStyle name="差_1短期借款" xfId="14161"/>
    <cellStyle name="常规 2 3 2 2 2 3 2" xfId="14162"/>
    <cellStyle name="差_1短期借款 10" xfId="14163"/>
    <cellStyle name="常规 2 2 2 2 8" xfId="14164"/>
    <cellStyle name="差_1短期借款 10 2 3" xfId="14165"/>
    <cellStyle name="常规 2 3 2 2 2 3 2 3" xfId="14166"/>
    <cellStyle name="差_1短期借款 10 3" xfId="14167"/>
    <cellStyle name="常规 2 2 2 2 8 3" xfId="14168"/>
    <cellStyle name="常规 2 3 2 2 2 3 2 4" xfId="14169"/>
    <cellStyle name="差_1短期借款 10 4" xfId="14170"/>
    <cellStyle name="差_1短期借款 10_明细表" xfId="14171"/>
    <cellStyle name="超链接 4 2 5" xfId="14172"/>
    <cellStyle name="差_1短期借款 11 2" xfId="14173"/>
    <cellStyle name="常规 2 2 2 2 9 2" xfId="14174"/>
    <cellStyle name="差_1短期借款 11 3" xfId="14175"/>
    <cellStyle name="常规 2 2 2 2 9 3" xfId="14176"/>
    <cellStyle name="常规 3 2 28 3 2" xfId="14177"/>
    <cellStyle name="差_40-专项应付款(空白模板) 5 3" xfId="14178"/>
    <cellStyle name="差_1短期借款 11_明细表" xfId="14179"/>
    <cellStyle name="差_1短期借款 12 2" xfId="14180"/>
    <cellStyle name="差_1短期借款 12 3" xfId="14181"/>
    <cellStyle name="差_1短期借款 12_明细表" xfId="14182"/>
    <cellStyle name="常规 3 2 6 6 2" xfId="14183"/>
    <cellStyle name="差_1短期借款 13" xfId="14184"/>
    <cellStyle name="差_1短期借款 13 2" xfId="14185"/>
    <cellStyle name="差_1短期借款 13 3" xfId="14186"/>
    <cellStyle name="好_50-营业成本（空白模板） 11_明细表" xfId="14187"/>
    <cellStyle name="差_1短期借款 13_明细表" xfId="14188"/>
    <cellStyle name="常规 3 2 6 6 3" xfId="14189"/>
    <cellStyle name="差_1短期借款 14" xfId="14190"/>
    <cellStyle name="差_1短期借款 14 2" xfId="14191"/>
    <cellStyle name="好_其他应收款_明细表 4" xfId="14192"/>
    <cellStyle name="好_1递延所得税负债 4" xfId="14193"/>
    <cellStyle name="差_1短期借款 14_明细表" xfId="14194"/>
    <cellStyle name="差_1短期借款 15" xfId="14195"/>
    <cellStyle name="差_1短期借款 20" xfId="14196"/>
    <cellStyle name="差_1短期借款 15 2" xfId="14197"/>
    <cellStyle name="常规 3 2_盈余公积 2" xfId="14198"/>
    <cellStyle name="差_1短期借款 16" xfId="14199"/>
    <cellStyle name="差_1短期借款 21" xfId="14200"/>
    <cellStyle name="差_1短期借款 16 2" xfId="14201"/>
    <cellStyle name="差_1短期借款 17" xfId="14202"/>
    <cellStyle name="差_1短期借款 22" xfId="14203"/>
    <cellStyle name="差_1短期借款 18" xfId="14204"/>
    <cellStyle name="差_1短期借款 23" xfId="14205"/>
    <cellStyle name="差_1短期借款 19" xfId="14206"/>
    <cellStyle name="差_1短期借款 24" xfId="14207"/>
    <cellStyle name="差_1短期借款 2" xfId="14208"/>
    <cellStyle name="好_预付款项_明细表 5" xfId="14209"/>
    <cellStyle name="差_1短期借款 2 2" xfId="14210"/>
    <cellStyle name="差_1短期借款 2 2 2" xfId="14211"/>
    <cellStyle name="差_1短期借款 2 2 3" xfId="14212"/>
    <cellStyle name="差_资产负债标准底稿 5_明细表" xfId="14213"/>
    <cellStyle name="好_4-应收账款（空白模板） 2_明细表" xfId="14214"/>
    <cellStyle name="差_1短期借款 2 3" xfId="14215"/>
    <cellStyle name="差_1短期借款 2 4" xfId="14216"/>
    <cellStyle name="差_1短期借款 2 5" xfId="14217"/>
    <cellStyle name="差_1短期借款 2 6" xfId="14218"/>
    <cellStyle name="好_1专项应付款_明细表 6" xfId="14219"/>
    <cellStyle name="差_1短期借款 2_明细表" xfId="14220"/>
    <cellStyle name="差_1短期借款 25" xfId="14221"/>
    <cellStyle name="差_1短期借款 30" xfId="14222"/>
    <cellStyle name="差_1短期借款 26" xfId="14223"/>
    <cellStyle name="差_1短期借款 31" xfId="14224"/>
    <cellStyle name="差_1短期借款 27" xfId="14225"/>
    <cellStyle name="差_1短期借款 32" xfId="14226"/>
    <cellStyle name="差_1短期借款 29" xfId="14227"/>
    <cellStyle name="差_1短期借款 34" xfId="14228"/>
    <cellStyle name="差_1短期借款 3 2" xfId="14229"/>
    <cellStyle name="常规 2 2 2 2 17" xfId="14230"/>
    <cellStyle name="常规 2 2 2 2 22" xfId="14231"/>
    <cellStyle name="差_1短期借款 3 2 2" xfId="14232"/>
    <cellStyle name="差_1短期借款 3 2 3" xfId="14233"/>
    <cellStyle name="差_资产负债标准底稿 6_明细表" xfId="14234"/>
    <cellStyle name="差_1短期借款 3 5" xfId="14235"/>
    <cellStyle name="常规 2 2 2 2 25" xfId="14236"/>
    <cellStyle name="差_1短期借款 3_明细表" xfId="14237"/>
    <cellStyle name="好_40-专项应付款(空白模板) 12 3" xfId="14238"/>
    <cellStyle name="差_1短期借款 4" xfId="14239"/>
    <cellStyle name="差_1短期借款 4 2" xfId="14240"/>
    <cellStyle name="差_1短期借款 4 2 2" xfId="14241"/>
    <cellStyle name="差_1短期借款 4 2 3" xfId="14242"/>
    <cellStyle name="差_资产负债标准底稿 7_明细表" xfId="14243"/>
    <cellStyle name="差_无形资产 4 2 2" xfId="14244"/>
    <cellStyle name="差_1短期借款 4 3" xfId="14245"/>
    <cellStyle name="好_1短期借款_明细表 2" xfId="14246"/>
    <cellStyle name="差_无形资产 4 2 3" xfId="14247"/>
    <cellStyle name="差_1短期借款 4 4" xfId="14248"/>
    <cellStyle name="差_1短期借款 4_明细表" xfId="14249"/>
    <cellStyle name="常规 3 2 2 3 8" xfId="14250"/>
    <cellStyle name="差_大信底稿目录 28" xfId="14251"/>
    <cellStyle name="差_大信底稿目录 33" xfId="14252"/>
    <cellStyle name="差_1短期借款 5" xfId="14253"/>
    <cellStyle name="差_1短期借款 5 2 2" xfId="14254"/>
    <cellStyle name="差_1短期借款 5 2 3" xfId="14255"/>
    <cellStyle name="差_资产负债标准底稿 8_明细表" xfId="14256"/>
    <cellStyle name="差_51-营业税金及附加（空白模板） 29" xfId="14257"/>
    <cellStyle name="差_51-营业税金及附加（空白模板） 34" xfId="14258"/>
    <cellStyle name="差_1短期借款 5 3" xfId="14259"/>
    <cellStyle name="差_1短期借款 5 4" xfId="14260"/>
    <cellStyle name="差_资产负债标准底稿 5_明细表 5" xfId="14261"/>
    <cellStyle name="差_1短期借款 5_明细表" xfId="14262"/>
    <cellStyle name="差_1短期借款 6" xfId="14263"/>
    <cellStyle name="好_40-专项应付款(空白模板) 14_明细表" xfId="14264"/>
    <cellStyle name="差_1短期借款 6 2" xfId="14265"/>
    <cellStyle name="好_40-专项应付款(空白模板) 14_明细表 2" xfId="14266"/>
    <cellStyle name="差_1短期借款 6 2 2" xfId="14267"/>
    <cellStyle name="好_40-专项应付款(空白模板) 14_明细表 3" xfId="14268"/>
    <cellStyle name="差_1短期借款 6 2 3" xfId="14269"/>
    <cellStyle name="差_资产负债标准底稿 9_明细表" xfId="14270"/>
    <cellStyle name="差_1短期借款 6 3" xfId="14271"/>
    <cellStyle name="差_1短期借款 6 4" xfId="14272"/>
    <cellStyle name="差_1短期借款 6_明细表" xfId="14273"/>
    <cellStyle name="差_1短期借款 7" xfId="14274"/>
    <cellStyle name="差_1短期借款 7 2" xfId="14275"/>
    <cellStyle name="差_1短期借款 7 2 2" xfId="14276"/>
    <cellStyle name="好_1营业收入 15 2" xfId="14277"/>
    <cellStyle name="差_1短期借款 7 2 3" xfId="14278"/>
    <cellStyle name="常规 2 2 9_附注表一（财务报表）" xfId="14279"/>
    <cellStyle name="差_1短期借款 7 3" xfId="14280"/>
    <cellStyle name="差_应付职工薪酬 2 2 2" xfId="14281"/>
    <cellStyle name="差_1短期借款 7 4" xfId="14282"/>
    <cellStyle name="差_1短期借款 8" xfId="14283"/>
    <cellStyle name="好_固定资产 5_明细表 4" xfId="14284"/>
    <cellStyle name="差_1短期借款 8 2 2" xfId="14285"/>
    <cellStyle name="好_固定资产 5_明细表 5" xfId="14286"/>
    <cellStyle name="差_1短期借款 8 2 3" xfId="14287"/>
    <cellStyle name="差_1短期借款 8 3" xfId="14288"/>
    <cellStyle name="差_1短期借款 8 4" xfId="14289"/>
    <cellStyle name="好_ZL长期应收款 2" xfId="14290"/>
    <cellStyle name="差_1短期借款 8_明细表" xfId="14291"/>
    <cellStyle name="差_1短期借款 9" xfId="14292"/>
    <cellStyle name="差_1短期借款 9 2" xfId="14293"/>
    <cellStyle name="差_1短期借款 9 2 2" xfId="14294"/>
    <cellStyle name="差_1短期借款 9 2 3" xfId="14295"/>
    <cellStyle name="差_1短期借款 9 3" xfId="14296"/>
    <cellStyle name="常规 2 5 2 3_附注表一（财务报表）" xfId="14297"/>
    <cellStyle name="差_1短期借款 9 4" xfId="14298"/>
    <cellStyle name="差_1公允价值变动损益" xfId="14299"/>
    <cellStyle name="差_1公允价值变动损益 2 2" xfId="14300"/>
    <cellStyle name="差_1公允价值变动损益 3 2" xfId="14301"/>
    <cellStyle name="千位分隔 2 9_附注表一（财务报表）" xfId="14302"/>
    <cellStyle name="好_1营业收入 6 2 6" xfId="14303"/>
    <cellStyle name="差_1固定资产 10 3" xfId="14304"/>
    <cellStyle name="差_1固定资产 10_明细表" xfId="14305"/>
    <cellStyle name="好_应收利息 7 2 4" xfId="14306"/>
    <cellStyle name="差_1固定资产 11" xfId="14307"/>
    <cellStyle name="差_1固定资产 11 2" xfId="14308"/>
    <cellStyle name="差_1固定资产 11 3" xfId="14309"/>
    <cellStyle name="货币 2 4" xfId="14310"/>
    <cellStyle name="差_1固定资产 11_明细表" xfId="14311"/>
    <cellStyle name="好_应收利息 7 2 5" xfId="14312"/>
    <cellStyle name="差_1固定资产 12" xfId="14313"/>
    <cellStyle name="差_1固定资产 12 2" xfId="14314"/>
    <cellStyle name="常规 3 3 2 2 2 6" xfId="14315"/>
    <cellStyle name="差_1固定资产 12 3" xfId="14316"/>
    <cellStyle name="常规 3 3 2 2 2 7" xfId="14317"/>
    <cellStyle name="好_30-应付账款（空白模板） 9 2" xfId="14318"/>
    <cellStyle name="好_资产减值损失_明细表 6" xfId="14319"/>
    <cellStyle name="差_1固定资产 12_明细表" xfId="14320"/>
    <cellStyle name="差_1固定资产 13" xfId="14321"/>
    <cellStyle name="差_1固定资产 13 2" xfId="14322"/>
    <cellStyle name="差_1固定资产 13 3" xfId="14323"/>
    <cellStyle name="差_1固定资产 13_明细表" xfId="14324"/>
    <cellStyle name="差_1固定资产 14" xfId="14325"/>
    <cellStyle name="差_1固定资产 15" xfId="14326"/>
    <cellStyle name="差_1固定资产 2" xfId="14327"/>
    <cellStyle name="好_1短期借款 4 2 5" xfId="14328"/>
    <cellStyle name="常规 3 5 6 3" xfId="14329"/>
    <cellStyle name="差_1固定资产 2 2" xfId="14330"/>
    <cellStyle name="好_1短期借款 4 2 6" xfId="14331"/>
    <cellStyle name="差_1固定资产 2 3" xfId="14332"/>
    <cellStyle name="好_资产减值损失 14 3" xfId="14333"/>
    <cellStyle name="常规 2 3 36" xfId="14334"/>
    <cellStyle name="差_1固定资产 2_明细表" xfId="14335"/>
    <cellStyle name="差_1固定资产 3" xfId="14336"/>
    <cellStyle name="好_G-应收账款 14 2 5" xfId="14337"/>
    <cellStyle name="千位分隔 3 2 21 4" xfId="14338"/>
    <cellStyle name="常规 3 5 7 3" xfId="14339"/>
    <cellStyle name="差_1固定资产 3 2" xfId="14340"/>
    <cellStyle name="千位分隔 3 2 21 5" xfId="14341"/>
    <cellStyle name="好_40-专项应付款(空白模板) 2 2 2 2" xfId="14342"/>
    <cellStyle name="差_1固定资产 3 3" xfId="14343"/>
    <cellStyle name="差_1固定资产 3_明细表" xfId="14344"/>
    <cellStyle name="差_1固定资产 4" xfId="14345"/>
    <cellStyle name="差_1固定资产 4 2" xfId="14346"/>
    <cellStyle name="差_1固定资产 4 3" xfId="14347"/>
    <cellStyle name="差_1固定资产 4_明细表" xfId="14348"/>
    <cellStyle name="差_1固定资产 5" xfId="14349"/>
    <cellStyle name="常规 3 5 9 4" xfId="14350"/>
    <cellStyle name="差_1固定资产 5 3" xfId="14351"/>
    <cellStyle name="差_资产负债类底稿模版 13" xfId="14352"/>
    <cellStyle name="差_1固定资产 5_明细表" xfId="14353"/>
    <cellStyle name="差_1固定资产 6" xfId="14354"/>
    <cellStyle name="差_1固定资产 6 3" xfId="14355"/>
    <cellStyle name="差_1固定资产 6_明细表" xfId="14356"/>
    <cellStyle name="差_1固定资产 7" xfId="14357"/>
    <cellStyle name="好_51-营业税金及附加（空白模板） 4_明细表 4" xfId="14358"/>
    <cellStyle name="差_1固定资产 7 2" xfId="14359"/>
    <cellStyle name="好_51-营业税金及附加（空白模板） 4_明细表 5" xfId="14360"/>
    <cellStyle name="差_1固定资产 7 3" xfId="14361"/>
    <cellStyle name="差_1固定资产 7_明细表" xfId="14362"/>
    <cellStyle name="差_1固定资产 8" xfId="14363"/>
    <cellStyle name="好_1财务费用 6_附注表一（财务报表）" xfId="14364"/>
    <cellStyle name="常规 2 3 2 12 5" xfId="14365"/>
    <cellStyle name="差_1固定资产 8 2" xfId="14366"/>
    <cellStyle name="差_1固定资产 8 3" xfId="14367"/>
    <cellStyle name="差_1固定资产 9 2" xfId="14368"/>
    <cellStyle name="差_1固定资产 9 3" xfId="14369"/>
    <cellStyle name="好_无形资产 26" xfId="14370"/>
    <cellStyle name="好_无形资产 31" xfId="14371"/>
    <cellStyle name="差_明细表 2 2" xfId="14372"/>
    <cellStyle name="差_1固定资产 9_明细表" xfId="14373"/>
    <cellStyle name="差_1固定资产_明细表" xfId="14374"/>
    <cellStyle name="差_1货币资金" xfId="14375"/>
    <cellStyle name="好__dxn_temp空白表页 6_明细表" xfId="14376"/>
    <cellStyle name="差_1货币资金 10" xfId="14377"/>
    <cellStyle name="差_1货币资金 11" xfId="14378"/>
    <cellStyle name="差_1货币资金 12" xfId="14379"/>
    <cellStyle name="差_1货币资金 13" xfId="14380"/>
    <cellStyle name="好_递延所得税负债 - 复制 2 2 3" xfId="14381"/>
    <cellStyle name="强调文字颜色 5 3" xfId="14382"/>
    <cellStyle name="差_1货币资金 2" xfId="14383"/>
    <cellStyle name="好__dxn_temp空白表页 6_明细表 2" xfId="14384"/>
    <cellStyle name="好_资产负债标准底稿_大信底稿目录 10_明细表 4" xfId="14385"/>
    <cellStyle name="强调文字颜色 5 3 2" xfId="14386"/>
    <cellStyle name="差_1货币资金 2 2" xfId="14387"/>
    <cellStyle name="强调文字颜色 5 3 2 2" xfId="14388"/>
    <cellStyle name="差_1货币资金 2 2 2" xfId="14389"/>
    <cellStyle name="好_资产负债标准底稿_大信底稿目录 10_明细表 5" xfId="14390"/>
    <cellStyle name="强调文字颜色 5 3 3" xfId="14391"/>
    <cellStyle name="差_1货币资金 2 3" xfId="14392"/>
    <cellStyle name="差_资产负债标准底稿 7_附注表一（财务报表）" xfId="14393"/>
    <cellStyle name="强调文字颜色 5 3 4" xfId="14394"/>
    <cellStyle name="差_1货币资金 2 4" xfId="14395"/>
    <cellStyle name="强调文字颜色 5 4" xfId="14396"/>
    <cellStyle name="差_1货币资金 3" xfId="14397"/>
    <cellStyle name="好__dxn_temp空白表页 6_明细表 3" xfId="14398"/>
    <cellStyle name="差_固定资产 2_明细表 3" xfId="14399"/>
    <cellStyle name="强调文字颜色 5 4 2" xfId="14400"/>
    <cellStyle name="差_1货币资金 3 2" xfId="14401"/>
    <cellStyle name="差_固定资产 2_明细表 4" xfId="14402"/>
    <cellStyle name="强调文字颜色 5 4 3" xfId="14403"/>
    <cellStyle name="差_1货币资金 3 3" xfId="14404"/>
    <cellStyle name="强调文字颜色 5 5" xfId="14405"/>
    <cellStyle name="差_1货币资金 4" xfId="14406"/>
    <cellStyle name="好__dxn_temp空白表页 6_明细表 4" xfId="14407"/>
    <cellStyle name="样式 1 2 4" xfId="14408"/>
    <cellStyle name="差_1-销售与收款循环 5" xfId="14409"/>
    <cellStyle name="强调文字颜色 5 5 2" xfId="14410"/>
    <cellStyle name="差_1货币资金 4 2" xfId="14411"/>
    <cellStyle name="强调文字颜色 5 7" xfId="14412"/>
    <cellStyle name="差_1货币资金 6" xfId="14413"/>
    <cellStyle name="强调文字颜色 5 8" xfId="14414"/>
    <cellStyle name="差_1货币资金 7" xfId="14415"/>
    <cellStyle name="强调文字颜色 5 9" xfId="14416"/>
    <cellStyle name="差_1货币资金 8" xfId="14417"/>
    <cellStyle name="常规 7 3 4 2" xfId="14418"/>
    <cellStyle name="差_1货币资金 9" xfId="14419"/>
    <cellStyle name="差_1交易性金融资产" xfId="14420"/>
    <cellStyle name="常规 3 9 3" xfId="14421"/>
    <cellStyle name="差_明细表 6" xfId="14422"/>
    <cellStyle name="差_1交易性金融资产 2" xfId="14423"/>
    <cellStyle name="常规 3 9 3 2" xfId="14424"/>
    <cellStyle name="差_1交易性金融资产 2 2" xfId="14425"/>
    <cellStyle name="好_FG  应交税费" xfId="14426"/>
    <cellStyle name="差_1交易性金融资产 3" xfId="14427"/>
    <cellStyle name="好_47-盈余公积（空白模板） 2 2" xfId="14428"/>
    <cellStyle name="常规 3 9 4" xfId="14429"/>
    <cellStyle name="好_FG  应交税费 2" xfId="14430"/>
    <cellStyle name="差_1交易性金融资产 3 2" xfId="14431"/>
    <cellStyle name="常规 3 9 5" xfId="14432"/>
    <cellStyle name="差_1交易性金融资产 4" xfId="14433"/>
    <cellStyle name="差_1可供出售金融资产" xfId="14434"/>
    <cellStyle name="差_1可供出售金融资产 2" xfId="14435"/>
    <cellStyle name="差_1可供出售金融资产 2 2" xfId="14436"/>
    <cellStyle name="差_1可供出售金融资产 3 2" xfId="14437"/>
    <cellStyle name="差_1可供出售金融资产 4" xfId="14438"/>
    <cellStyle name="差_1-了解被审计单位及其环境（不包括内控）" xfId="14439"/>
    <cellStyle name="好_4-应收账款（空白模板） 12 2" xfId="14440"/>
    <cellStyle name="差_1-了解被审计单位及其环境（不包括内控） 2" xfId="14441"/>
    <cellStyle name="好_4-应收账款（空白模板） 12 2 2" xfId="14442"/>
    <cellStyle name="好_资产负债类底稿模版 15 4" xfId="14443"/>
    <cellStyle name="好_19-无形资产（空白模板） 14 2 3" xfId="14444"/>
    <cellStyle name="超链接 3 7 2 5" xfId="14445"/>
    <cellStyle name="差_1其他流动资产 3" xfId="14446"/>
    <cellStyle name="差_1其他应付款" xfId="14447"/>
    <cellStyle name="差_1其他应付款 2" xfId="14448"/>
    <cellStyle name="差_1其他应付款 3" xfId="14449"/>
    <cellStyle name="差_1其他应付款 4" xfId="14450"/>
    <cellStyle name="差_1其他应付款_明细表" xfId="14451"/>
    <cellStyle name="常规 101" xfId="14452"/>
    <cellStyle name="常规 4 6" xfId="14453"/>
    <cellStyle name="差_1其他应收款" xfId="14454"/>
    <cellStyle name="常规 4 6 2" xfId="14455"/>
    <cellStyle name="差_1其他应收款 2" xfId="14456"/>
    <cellStyle name="常规 4 6 2 2" xfId="14457"/>
    <cellStyle name="差_1其他应收款 2 2" xfId="14458"/>
    <cellStyle name="常规 4 6 2 2 2" xfId="14459"/>
    <cellStyle name="差_1其他应收款 2 2 2" xfId="14460"/>
    <cellStyle name="常规 4 6 2 3" xfId="14461"/>
    <cellStyle name="差_1其他应收款 2 3" xfId="14462"/>
    <cellStyle name="常规 4 6 2 4" xfId="14463"/>
    <cellStyle name="差_1其他应收款 2 4" xfId="14464"/>
    <cellStyle name="常规 4 6 2 5" xfId="14465"/>
    <cellStyle name="差_1其他应收款 2 5" xfId="14466"/>
    <cellStyle name="常规 4 6 3" xfId="14467"/>
    <cellStyle name="差_1其他应收款 3" xfId="14468"/>
    <cellStyle name="常规 4 6 3 2" xfId="14469"/>
    <cellStyle name="差_1其他应收款 3 2" xfId="14470"/>
    <cellStyle name="差_1其他应收款 3 2 2" xfId="14471"/>
    <cellStyle name="常规 4 6 3 3" xfId="14472"/>
    <cellStyle name="常规 2 10 10" xfId="14473"/>
    <cellStyle name="差_1其他应收款 3 3" xfId="14474"/>
    <cellStyle name="差_1其他应收款 3 3 2" xfId="14475"/>
    <cellStyle name="常规 4 6 4" xfId="14476"/>
    <cellStyle name="差_1其他应收款 4" xfId="14477"/>
    <cellStyle name="常规 4 6 5" xfId="14478"/>
    <cellStyle name="差_1其他应收款 5" xfId="14479"/>
    <cellStyle name="常规 4 6 6" xfId="14480"/>
    <cellStyle name="差_1其他应收款 6" xfId="14481"/>
    <cellStyle name="好_营业成本 2 4" xfId="14482"/>
    <cellStyle name="差_1其他应收款_明细表" xfId="14483"/>
    <cellStyle name="常规 2 2 2 3 2 4" xfId="14484"/>
    <cellStyle name="差_1损益类底稿模版" xfId="14485"/>
    <cellStyle name="好_55-资产减值损失（空白模板） 3_明细表 5" xfId="14486"/>
    <cellStyle name="差_1所得税费用" xfId="14487"/>
    <cellStyle name="常规 6 3 3 5" xfId="14488"/>
    <cellStyle name="常规 49 4" xfId="14489"/>
    <cellStyle name="差_1所得税费用 10" xfId="14490"/>
    <cellStyle name="差_1所得税费用 10 2" xfId="14491"/>
    <cellStyle name="常规 49 5" xfId="14492"/>
    <cellStyle name="差_1所得税费用 11" xfId="14493"/>
    <cellStyle name="差_1所得税费用 2" xfId="14494"/>
    <cellStyle name="好_27-短期借款(空白模板) 8_明细表" xfId="14495"/>
    <cellStyle name="差_1所得税费用 2 2" xfId="14496"/>
    <cellStyle name="好_27-短期借款(空白模板) 8_明细表 2" xfId="14497"/>
    <cellStyle name="好_54-财务费用（空白模板） 2_明细表 5" xfId="14498"/>
    <cellStyle name="好_明细表_应收账款期末审定表 6" xfId="14499"/>
    <cellStyle name="强调文字颜色 3 2 4 6" xfId="14500"/>
    <cellStyle name="好_1固定资产 7 2 3" xfId="14501"/>
    <cellStyle name="差_1所得税费用 3" xfId="14502"/>
    <cellStyle name="好_51-营业税金及附加（空白模板） 14 2 3" xfId="14503"/>
    <cellStyle name="差_1所得税费用 3 2" xfId="14504"/>
    <cellStyle name="差_1所得税费用 4" xfId="14505"/>
    <cellStyle name="差_1所得税费用 5 2" xfId="14506"/>
    <cellStyle name="差_1所得税费用 6" xfId="14507"/>
    <cellStyle name="好_底稿设置宏_大信底稿目录 14 2 4" xfId="14508"/>
    <cellStyle name="差_1所得税费用 6 2" xfId="14509"/>
    <cellStyle name="千位分隔 9 3 2 3" xfId="14510"/>
    <cellStyle name="好_专项应付款_明细表_1 2" xfId="14511"/>
    <cellStyle name="差_1所得税费用 7" xfId="14512"/>
    <cellStyle name="差_1所得税费用 7 2" xfId="14513"/>
    <cellStyle name="千位分隔 9 3 2 4" xfId="14514"/>
    <cellStyle name="好_专项应付款_明细表_1 3" xfId="14515"/>
    <cellStyle name="差_1所得税费用 8" xfId="14516"/>
    <cellStyle name="差_1所得税费用 8 2" xfId="14517"/>
    <cellStyle name="千位分隔 9 3 2 5" xfId="14518"/>
    <cellStyle name="好_财务费用 12 2" xfId="14519"/>
    <cellStyle name="好_专项应付款_明细表_1 4" xfId="14520"/>
    <cellStyle name="差_1所得税费用 9" xfId="14521"/>
    <cellStyle name="好_财务费用 12 2 2" xfId="14522"/>
    <cellStyle name="差_1所得税费用 9 2" xfId="14523"/>
    <cellStyle name="差_1投资收益 2" xfId="14524"/>
    <cellStyle name="差_1投资收益 3" xfId="14525"/>
    <cellStyle name="好_公允价值变动损益 3" xfId="14526"/>
    <cellStyle name="差_1投资收益 3 2" xfId="14527"/>
    <cellStyle name="差_1投资收益 4" xfId="14528"/>
    <cellStyle name="差_1-销售与收款循环" xfId="14529"/>
    <cellStyle name="差_1-销售与收款循环 2" xfId="14530"/>
    <cellStyle name="差_1-销售与收款循环 2 2 3" xfId="14531"/>
    <cellStyle name="差_专项应付款 16 2 5" xfId="14532"/>
    <cellStyle name="样式 1 2 2 2" xfId="14533"/>
    <cellStyle name="差_1-销售与收款循环 3 2" xfId="14534"/>
    <cellStyle name="好_ZA0货币资金审定表 _明细表 2 2" xfId="14535"/>
    <cellStyle name="样式 1 2 2 3" xfId="14536"/>
    <cellStyle name="差_1-销售与收款循环 3 3" xfId="14537"/>
    <cellStyle name="差_FK长期借款 2 2 3" xfId="14538"/>
    <cellStyle name="差_1营业收入" xfId="14539"/>
    <cellStyle name="差_1营业收入 10" xfId="14540"/>
    <cellStyle name="好_1短期借款 13 2 3" xfId="14541"/>
    <cellStyle name="差_1营业收入 12" xfId="14542"/>
    <cellStyle name="好_1短期借款 13 2 4" xfId="14543"/>
    <cellStyle name="差_无形资产 7_明细表" xfId="14544"/>
    <cellStyle name="差_1营业收入 13" xfId="14545"/>
    <cellStyle name="好_1短期借款 13 2 5" xfId="14546"/>
    <cellStyle name="差_1营业收入 14" xfId="14547"/>
    <cellStyle name="差_1营业收入 15" xfId="14548"/>
    <cellStyle name="好_ZA0货币资金审定表  5 2 4" xfId="14549"/>
    <cellStyle name="差_1营业收入 2" xfId="14550"/>
    <cellStyle name="差_1营业收入 2 2" xfId="14551"/>
    <cellStyle name="好_ZA0货币资金审定表  5 2 5" xfId="14552"/>
    <cellStyle name="差_ZA0货币资金审定表  14 2" xfId="14553"/>
    <cellStyle name="差_1营业收入 3" xfId="14554"/>
    <cellStyle name="差_未分配利润 4" xfId="14555"/>
    <cellStyle name="差_1营业收入 3 2" xfId="14556"/>
    <cellStyle name="好_ZA0货币资金审定表  5 2 6" xfId="14557"/>
    <cellStyle name="差_ZA0货币资金审定表  14 3" xfId="14558"/>
    <cellStyle name="差_1营业收入 4" xfId="14559"/>
    <cellStyle name="差_S4-1营业税金及附加审定表" xfId="14560"/>
    <cellStyle name="差_1营业收入 5" xfId="14561"/>
    <cellStyle name="差_1营业收入 7" xfId="14562"/>
    <cellStyle name="常规 3 3 17 2" xfId="14563"/>
    <cellStyle name="差_1营业收入 8" xfId="14564"/>
    <cellStyle name="常规 3 3 17 3" xfId="14565"/>
    <cellStyle name="差_1营业收入 9" xfId="14566"/>
    <cellStyle name="差_1营业外收入" xfId="14567"/>
    <cellStyle name="常规 2 2 4 3 3" xfId="14568"/>
    <cellStyle name="常规 15 13" xfId="14569"/>
    <cellStyle name="差_1营业外收入 2 2" xfId="14570"/>
    <cellStyle name="好_1短期借款 14_附注表一（财务报表）" xfId="14571"/>
    <cellStyle name="差_1营业外收入 3 2" xfId="14572"/>
    <cellStyle name="好_底稿设置宏_大信底稿目录 8_明细表" xfId="14573"/>
    <cellStyle name="差_1营业外支出" xfId="14574"/>
    <cellStyle name="好_底稿设置宏_大信底稿目录 8_明细表 2" xfId="14575"/>
    <cellStyle name="好_1专项应付款 10 2 4" xfId="14576"/>
    <cellStyle name="差_1营业外支出 2" xfId="14577"/>
    <cellStyle name="差_1营业外支出 2 2" xfId="14578"/>
    <cellStyle name="好_G-应收账款 10_明细表" xfId="14579"/>
    <cellStyle name="差_1营业外支出 2 2 2" xfId="14580"/>
    <cellStyle name="差_1营业外支出 2 3" xfId="14581"/>
    <cellStyle name="好_底稿设置宏_大信底稿目录 8_明细表 3" xfId="14582"/>
    <cellStyle name="好_1专项应付款 10 2 5" xfId="14583"/>
    <cellStyle name="差_1营业外支出 3" xfId="14584"/>
    <cellStyle name="差_1营业外支出 3 2" xfId="14585"/>
    <cellStyle name="好_G-应收账款 5 2 4" xfId="14586"/>
    <cellStyle name="好_底稿设置宏_大信底稿目录 8_明细表 4" xfId="14587"/>
    <cellStyle name="差_1营业外支出 4" xfId="14588"/>
    <cellStyle name="好_31-预收账款（空白模板） 2_附注表一（财务报表）" xfId="14589"/>
    <cellStyle name="好_底稿设置宏_大信底稿目录 8_明细表 5" xfId="14590"/>
    <cellStyle name="差_1营业外支出 5" xfId="14591"/>
    <cellStyle name="常规 2 2 28" xfId="14592"/>
    <cellStyle name="常规 2 2 33" xfId="14593"/>
    <cellStyle name="差_1应付账款" xfId="14594"/>
    <cellStyle name="差_1应付账款 2" xfId="14595"/>
    <cellStyle name="差_1应付账款 3" xfId="14596"/>
    <cellStyle name="差_1应付账款 4" xfId="14597"/>
    <cellStyle name="差_1应付职工薪酬" xfId="14598"/>
    <cellStyle name="差_1应付职工薪酬 10" xfId="14599"/>
    <cellStyle name="好_营业收入 3 3 2" xfId="14600"/>
    <cellStyle name="差_49-营业收入（空白模板） 5 2 2" xfId="14601"/>
    <cellStyle name="好_50-营业成本（空白模板） 2_附注表一（财务报表）" xfId="14602"/>
    <cellStyle name="差_49-营业收入（空白模板） 5 2 3" xfId="14603"/>
    <cellStyle name="差_1应付职工薪酬 11" xfId="14604"/>
    <cellStyle name="差_1应付职工薪酬 12" xfId="14605"/>
    <cellStyle name="好_ZD 应收账款 3 2" xfId="14606"/>
    <cellStyle name="差_31-预收账款（空白模板） 16 2" xfId="14607"/>
    <cellStyle name="差_1应付职工薪酬 13" xfId="14608"/>
    <cellStyle name="好_ZD 应收账款 3 3" xfId="14609"/>
    <cellStyle name="好_54-财务费用（空白模板） 13 2 2" xfId="14610"/>
    <cellStyle name="差_1应付职工薪酬 14" xfId="14611"/>
    <cellStyle name="好_54-财务费用（空白模板） 13 2 3" xfId="14612"/>
    <cellStyle name="差_1应付职工薪酬 15" xfId="14613"/>
    <cellStyle name="差_1应付职工薪酬 20" xfId="14614"/>
    <cellStyle name="好_54-财务费用（空白模板） 13 2 4" xfId="14615"/>
    <cellStyle name="差_1应付职工薪酬 16" xfId="14616"/>
    <cellStyle name="差_1应付职工薪酬 21" xfId="14617"/>
    <cellStyle name="好_54-财务费用（空白模板） 13 2 5" xfId="14618"/>
    <cellStyle name="差_1应付职工薪酬 17" xfId="14619"/>
    <cellStyle name="差_1应付职工薪酬 22" xfId="14620"/>
    <cellStyle name="差_1应付职工薪酬 18" xfId="14621"/>
    <cellStyle name="差_1应付职工薪酬 23" xfId="14622"/>
    <cellStyle name="好_54-财务费用（空白模板） 5 2 2" xfId="14623"/>
    <cellStyle name="差_1应付职工薪酬 19" xfId="14624"/>
    <cellStyle name="差_1应付职工薪酬 24" xfId="14625"/>
    <cellStyle name="差_1应付职工薪酬 2" xfId="14626"/>
    <cellStyle name="差_1应付职工薪酬 2 3" xfId="14627"/>
    <cellStyle name="差_1应付职工薪酬 2 4" xfId="14628"/>
    <cellStyle name="好_54-财务费用（空白模板） 5 2 3" xfId="14629"/>
    <cellStyle name="差_1应付职工薪酬 25" xfId="14630"/>
    <cellStyle name="差_1应付职工薪酬 30" xfId="14631"/>
    <cellStyle name="好_54-财务费用（空白模板） 5 2 4" xfId="14632"/>
    <cellStyle name="差_1应付职工薪酬 26" xfId="14633"/>
    <cellStyle name="差_1应付职工薪酬 31" xfId="14634"/>
    <cellStyle name="好_54-财务费用（空白模板） 5 2 5" xfId="14635"/>
    <cellStyle name="常规 3 8 2 10" xfId="14636"/>
    <cellStyle name="差_1应付职工薪酬 27" xfId="14637"/>
    <cellStyle name="差_1应付职工薪酬 32" xfId="14638"/>
    <cellStyle name="好_54-财务费用（空白模板） 5 2 6" xfId="14639"/>
    <cellStyle name="常规 3 8 2 11" xfId="14640"/>
    <cellStyle name="差_1应付职工薪酬 28" xfId="14641"/>
    <cellStyle name="差_1应付职工薪酬 33" xfId="14642"/>
    <cellStyle name="差_1应付职工薪酬 29" xfId="14643"/>
    <cellStyle name="差_1应付职工薪酬 3" xfId="14644"/>
    <cellStyle name="差_1应付职工薪酬 3 2" xfId="14645"/>
    <cellStyle name="常规 36 3" xfId="14646"/>
    <cellStyle name="差_1应付职工薪酬 3 2 2" xfId="14647"/>
    <cellStyle name="常规 36 4" xfId="14648"/>
    <cellStyle name="差_1应付职工薪酬 3 2 3" xfId="14649"/>
    <cellStyle name="差_1应付职工薪酬 3 3" xfId="14650"/>
    <cellStyle name="差_1应付职工薪酬 3 4" xfId="14651"/>
    <cellStyle name="好_复件 固定资产 8_明细表" xfId="14652"/>
    <cellStyle name="好__dxn_tempA空白表页 2" xfId="14653"/>
    <cellStyle name="差_1应付职工薪酬 4" xfId="14654"/>
    <cellStyle name="好_无形资产 2_明细表 5" xfId="14655"/>
    <cellStyle name="好_复件 固定资产 8_明细表 2" xfId="14656"/>
    <cellStyle name="好__dxn_tempA空白表页 2 2" xfId="14657"/>
    <cellStyle name="差_1应付职工薪酬 4 2" xfId="14658"/>
    <cellStyle name="好_复件 固定资产 8_明细表 3" xfId="14659"/>
    <cellStyle name="好__dxn_tempA空白表页 2 3" xfId="14660"/>
    <cellStyle name="差_1应付职工薪酬 4 3" xfId="14661"/>
    <cellStyle name="好__dxn_tempA空白表页 3" xfId="14662"/>
    <cellStyle name="差_1应付职工薪酬 5" xfId="14663"/>
    <cellStyle name="好__dxn_tempA空白表页 4" xfId="14664"/>
    <cellStyle name="差_1应付职工薪酬 6" xfId="14665"/>
    <cellStyle name="好__dxn_tempA空白表页 5" xfId="14666"/>
    <cellStyle name="好 3 2 2" xfId="14667"/>
    <cellStyle name="差_1应付职工薪酬 7" xfId="14668"/>
    <cellStyle name="好__dxn_tempA空白表页 6" xfId="14669"/>
    <cellStyle name="好 3 2 3" xfId="14670"/>
    <cellStyle name="差_1应付职工薪酬 8" xfId="14671"/>
    <cellStyle name="好_1财务费用 12 2" xfId="14672"/>
    <cellStyle name="好 3 2 4" xfId="14673"/>
    <cellStyle name="差_1应付职工薪酬 9" xfId="14674"/>
    <cellStyle name="差_40-专项应付款(空白模板) 3 3" xfId="14675"/>
    <cellStyle name="差_1应收股利" xfId="14676"/>
    <cellStyle name="好_Sheet1 6" xfId="14677"/>
    <cellStyle name="常规 2 2" xfId="14678"/>
    <cellStyle name="差_1应收利息" xfId="14679"/>
    <cellStyle name="差_1应收票据 2 2" xfId="14680"/>
    <cellStyle name="差_1应收票据 3" xfId="14681"/>
    <cellStyle name="常规_17-工程物资（空白模板） 2" xfId="14682"/>
    <cellStyle name="差_1应收票据 3 2" xfId="14683"/>
    <cellStyle name="好_应付账款 4 4" xfId="14684"/>
    <cellStyle name="常规 2 3 18 2 4" xfId="14685"/>
    <cellStyle name="常规 2 3 23 2 4" xfId="14686"/>
    <cellStyle name="差_1应收账款" xfId="14687"/>
    <cellStyle name="好_营业收入 10_明细表" xfId="14688"/>
    <cellStyle name="差_1应收账款 2" xfId="14689"/>
    <cellStyle name="好_营业收入 10_明细表 2" xfId="14690"/>
    <cellStyle name="差_1应收账款 2 2" xfId="14691"/>
    <cellStyle name="好_营业收入 10_明细表 3" xfId="14692"/>
    <cellStyle name="差_1应收账款 2 3" xfId="14693"/>
    <cellStyle name="差_1应收账款 3" xfId="14694"/>
    <cellStyle name="差_1应收账款 3 2" xfId="14695"/>
    <cellStyle name="好_专项应付款 4_明细表" xfId="14696"/>
    <cellStyle name="差_1应收账款 3 3" xfId="14697"/>
    <cellStyle name="差_1应收账款 4" xfId="14698"/>
    <cellStyle name="好_资本公积 3" xfId="14699"/>
    <cellStyle name="差_1应收账款 4 2" xfId="14700"/>
    <cellStyle name="好_资本公积 4" xfId="14701"/>
    <cellStyle name="差_1应收账款 4 3" xfId="14702"/>
    <cellStyle name="差_1应收账款 5" xfId="14703"/>
    <cellStyle name="差_1应收账款 6" xfId="14704"/>
    <cellStyle name="差_1应收账款 6 2" xfId="14705"/>
    <cellStyle name="差_1应收账款 6 3" xfId="14706"/>
    <cellStyle name="差_1应收账款 7" xfId="14707"/>
    <cellStyle name="差_1应收账款 8" xfId="14708"/>
    <cellStyle name="差_FM长期应付款 4 3" xfId="14709"/>
    <cellStyle name="差_FA短期借款 4 2" xfId="14710"/>
    <cellStyle name="差_1应收账款_明细表_1" xfId="14711"/>
    <cellStyle name="差_1预付款项 2" xfId="14712"/>
    <cellStyle name="差_1预付款项 2 2" xfId="14713"/>
    <cellStyle name="好_资产负债标准底稿_大信底稿目录 12 2 2" xfId="14714"/>
    <cellStyle name="差_1预付款项 2 3" xfId="14715"/>
    <cellStyle name="差_1预付款项 3" xfId="14716"/>
    <cellStyle name="差_1预付款项 3 2" xfId="14717"/>
    <cellStyle name="差_1预付款项 4" xfId="14718"/>
    <cellStyle name="常规 2 10 4 2 3" xfId="14719"/>
    <cellStyle name="差_1预付款项_明细表" xfId="14720"/>
    <cellStyle name="差_1预收款项" xfId="14721"/>
    <cellStyle name="差_1预收款项 10 2" xfId="14722"/>
    <cellStyle name="好_预收款项 16" xfId="14723"/>
    <cellStyle name="好_预收款项 21" xfId="14724"/>
    <cellStyle name="常规 3 12 6" xfId="14725"/>
    <cellStyle name="常规 2 3 2 2 2 2 2 14" xfId="14726"/>
    <cellStyle name="差_1预收款项 10 2 2" xfId="14727"/>
    <cellStyle name="好_预收款项 17" xfId="14728"/>
    <cellStyle name="好_预收款项 22" xfId="14729"/>
    <cellStyle name="常规 3 12 7" xfId="14730"/>
    <cellStyle name="常规 2 3 2 2 2 2 2 15" xfId="14731"/>
    <cellStyle name="差_1预收款项 10 2 3" xfId="14732"/>
    <cellStyle name="差_1预收款项 10 3" xfId="14733"/>
    <cellStyle name="差_1预收款项 10 4" xfId="14734"/>
    <cellStyle name="差_1预收款项 10_明细表" xfId="14735"/>
    <cellStyle name="好_1短期借款 5_附注表一（财务报表）" xfId="14736"/>
    <cellStyle name="差_1预收款项 11 2" xfId="14737"/>
    <cellStyle name="差_1预收款项 11 3" xfId="14738"/>
    <cellStyle name="差_1预收款项 11_明细表" xfId="14739"/>
    <cellStyle name="差_专项应付款 12_附注表一（财务报表）" xfId="14740"/>
    <cellStyle name="差_1预收款项 12" xfId="14741"/>
    <cellStyle name="똿뗦먛귟_PRODUCT DETAIL Q1" xfId="14742"/>
    <cellStyle name="差_1预收款项 12 2" xfId="14743"/>
    <cellStyle name="差_1预收款项 12 3" xfId="14744"/>
    <cellStyle name="差_1预收款项 12_明细表" xfId="14745"/>
    <cellStyle name="差_1预收款项 13" xfId="14746"/>
    <cellStyle name="差_1预收款项 13 2" xfId="14747"/>
    <cellStyle name="差_1预收款项 13 3" xfId="14748"/>
    <cellStyle name="好_资产负债标准底稿 3 2 2" xfId="14749"/>
    <cellStyle name="差_1预收款项 14" xfId="14750"/>
    <cellStyle name="差_1预收款项 14 2" xfId="14751"/>
    <cellStyle name="差_1预收款项 14 3" xfId="14752"/>
    <cellStyle name="好_资产负债标准底稿 3 2 3" xfId="14753"/>
    <cellStyle name="差_1预收款项 15" xfId="14754"/>
    <cellStyle name="差_1预收款项 20" xfId="14755"/>
    <cellStyle name="差_1预收款项 15 2" xfId="14756"/>
    <cellStyle name="好_资产负债标准底稿 3 2 4" xfId="14757"/>
    <cellStyle name="差_1预收款项 16" xfId="14758"/>
    <cellStyle name="差_1预收款项 21" xfId="14759"/>
    <cellStyle name="差_1预收款项 16 2" xfId="14760"/>
    <cellStyle name="好_资产负债标准底稿 3 2 6" xfId="14761"/>
    <cellStyle name="差_1预收款项 18" xfId="14762"/>
    <cellStyle name="差_1预收款项 23" xfId="14763"/>
    <cellStyle name="差_1预收款项 19" xfId="14764"/>
    <cellStyle name="差_1预收款项 24" xfId="14765"/>
    <cellStyle name="差_1预收款项 2" xfId="14766"/>
    <cellStyle name="好_复件 固定资产 7 2 4" xfId="14767"/>
    <cellStyle name="差_1预收款项 2 2" xfId="14768"/>
    <cellStyle name="差_1预收款项 2 2 2" xfId="14769"/>
    <cellStyle name="差_1预收款项 2 4" xfId="14770"/>
    <cellStyle name="差_1预收款项 2 5" xfId="14771"/>
    <cellStyle name="好_银行函证结果汇总表 10_明细表 2" xfId="14772"/>
    <cellStyle name="差_1预收款项 2 6" xfId="14773"/>
    <cellStyle name="差_55-资产减值损失（空白模板） 12 2" xfId="14774"/>
    <cellStyle name="货币 2 11" xfId="14775"/>
    <cellStyle name="差_1预收款项 2_明细表" xfId="14776"/>
    <cellStyle name="好_55-资产减值损失（空白模板） 12 2" xfId="14777"/>
    <cellStyle name="差_1预收款项 25" xfId="14778"/>
    <cellStyle name="差_1预收款项 30" xfId="14779"/>
    <cellStyle name="好_55-资产减值损失（空白模板） 12 3" xfId="14780"/>
    <cellStyle name="差_1预收款项 26" xfId="14781"/>
    <cellStyle name="差_1预收款项 31" xfId="14782"/>
    <cellStyle name="差_1预收款项 27" xfId="14783"/>
    <cellStyle name="差_1预收款项 32" xfId="14784"/>
    <cellStyle name="差_1预收款项 28" xfId="14785"/>
    <cellStyle name="差_1预收款项 33" xfId="14786"/>
    <cellStyle name="差_1预收款项 29" xfId="14787"/>
    <cellStyle name="差_1预收款项 34" xfId="14788"/>
    <cellStyle name="差_1预收款项 3" xfId="14789"/>
    <cellStyle name="好 2 3 3 3" xfId="14790"/>
    <cellStyle name="差_1预收款项 3 2" xfId="14791"/>
    <cellStyle name="差_1预收款项 3 2 2" xfId="14792"/>
    <cellStyle name="好_预收款项 18" xfId="14793"/>
    <cellStyle name="好_预收款项 23" xfId="14794"/>
    <cellStyle name="常规 3 12 8" xfId="14795"/>
    <cellStyle name="常规 2 3 2 2 2 2 2 16" xfId="14796"/>
    <cellStyle name="差_1预收款项 3 2 3" xfId="14797"/>
    <cellStyle name="好_预收款项 19" xfId="14798"/>
    <cellStyle name="好_预收款项 24" xfId="14799"/>
    <cellStyle name="好 2 3 3 4" xfId="14800"/>
    <cellStyle name="差_1预收款项 3 3" xfId="14801"/>
    <cellStyle name="好 2 3 3 5" xfId="14802"/>
    <cellStyle name="差_1预收款项 3 4" xfId="14803"/>
    <cellStyle name="差_1预收款项 3 5" xfId="14804"/>
    <cellStyle name="差_1预收款项 3_明细表" xfId="14805"/>
    <cellStyle name="差_其他应收款 3 3 2" xfId="14806"/>
    <cellStyle name="差_1预收款项 4" xfId="14807"/>
    <cellStyle name="差_1预收款项 4 2" xfId="14808"/>
    <cellStyle name="差_1预收款项 4 2 2" xfId="14809"/>
    <cellStyle name="差_1预收款项 4 2 3" xfId="14810"/>
    <cellStyle name="差_1预收款项 4 3" xfId="14811"/>
    <cellStyle name="差_1预收款项 4_明细表" xfId="14812"/>
    <cellStyle name="差_1预收款项 5" xfId="14813"/>
    <cellStyle name="好_无形资产 10 2" xfId="14814"/>
    <cellStyle name="差_1预收款项 5 2" xfId="14815"/>
    <cellStyle name="好_无形资产 10 2 2" xfId="14816"/>
    <cellStyle name="差_1预收款项 5 2 2" xfId="14817"/>
    <cellStyle name="差_1预收款项 5 2 3" xfId="14818"/>
    <cellStyle name="差_1预收款项 5 3" xfId="14819"/>
    <cellStyle name="好_无形资产 10 2 3" xfId="14820"/>
    <cellStyle name="差_1预收款项 5 4" xfId="14821"/>
    <cellStyle name="好_无形资产 10 2 4" xfId="14822"/>
    <cellStyle name="差_1预收款项 5_明细表" xfId="14823"/>
    <cellStyle name="差_1预收款项 6 2 3" xfId="14824"/>
    <cellStyle name="差_1预收款项 6 4" xfId="14825"/>
    <cellStyle name="差_1预收款项 7" xfId="14826"/>
    <cellStyle name="好__dxn_temp空白表页 7 2 3" xfId="14827"/>
    <cellStyle name="好_无形资产 10 4" xfId="14828"/>
    <cellStyle name="差_1专项应付款 26" xfId="14829"/>
    <cellStyle name="差_1专项应付款 31" xfId="14830"/>
    <cellStyle name="差_1预收款项 7 2" xfId="14831"/>
    <cellStyle name="差_1预收款项 7 2 2" xfId="14832"/>
    <cellStyle name="差_1专项应付款 27" xfId="14833"/>
    <cellStyle name="差_1专项应付款 32" xfId="14834"/>
    <cellStyle name="差_1预收款项 7 3" xfId="14835"/>
    <cellStyle name="好_资产负债标准底稿 9 2 2" xfId="14836"/>
    <cellStyle name="差_1专项应付款 28" xfId="14837"/>
    <cellStyle name="差_1专项应付款 33" xfId="14838"/>
    <cellStyle name="差_1预收款项 7 4" xfId="14839"/>
    <cellStyle name="差_1预收款项 7_明细表" xfId="14840"/>
    <cellStyle name="差_1预收款项 8" xfId="14841"/>
    <cellStyle name="好__dxn_temp空白表页 7 2 4" xfId="14842"/>
    <cellStyle name="差_1预收款项 8 2" xfId="14843"/>
    <cellStyle name="差_1预收款项 8 2 2" xfId="14844"/>
    <cellStyle name="差_1预收款项 8 2 3" xfId="14845"/>
    <cellStyle name="差_1预收款项 8 3" xfId="14846"/>
    <cellStyle name="好_资产负债标准底稿 9 3 2" xfId="14847"/>
    <cellStyle name="差_1预收款项 8 4" xfId="14848"/>
    <cellStyle name="好_财务费用 12_明细表 4" xfId="14849"/>
    <cellStyle name="差_1预收款项 8_明细表" xfId="14850"/>
    <cellStyle name="好_递延所得税资产 - 复制" xfId="14851"/>
    <cellStyle name="差_1预收款项 9" xfId="14852"/>
    <cellStyle name="好__dxn_temp空白表页 7 2 5" xfId="14853"/>
    <cellStyle name="好_财务费用 5_明细表" xfId="14854"/>
    <cellStyle name="好_递延所得税资产 - 复制 2" xfId="14855"/>
    <cellStyle name="差_1预收款项 9 2" xfId="14856"/>
    <cellStyle name="好_财务费用 5_明细表 2" xfId="14857"/>
    <cellStyle name="好_递延所得税资产 - 复制 2 2" xfId="14858"/>
    <cellStyle name="差_1预收款项 9 2 2" xfId="14859"/>
    <cellStyle name="好_递延所得税资产 - 复制 3" xfId="14860"/>
    <cellStyle name="差_1预收款项 9 3" xfId="14861"/>
    <cellStyle name="好_财务费用 5_明细表 3" xfId="14862"/>
    <cellStyle name="好_递延所得税资产 - 复制 4" xfId="14863"/>
    <cellStyle name="差_1预收款项 9 4" xfId="14864"/>
    <cellStyle name="好_财务费用 5_明细表 4" xfId="14865"/>
    <cellStyle name="千位分隔 3 2 10 2 2" xfId="14866"/>
    <cellStyle name="好_19-无形资产（空白模板）_附注表一（财务报表）" xfId="14867"/>
    <cellStyle name="好_111其他流动资产" xfId="14868"/>
    <cellStyle name="差_1预收款项 9_明细表" xfId="14869"/>
    <cellStyle name="常规 3 3 2 2 10 7" xfId="14870"/>
    <cellStyle name="差_1预收款项_明细表" xfId="14871"/>
    <cellStyle name="常规 13 13" xfId="14872"/>
    <cellStyle name="差_资产负债类底稿模版 3_附注表一（财务报表）" xfId="14873"/>
    <cellStyle name="差_1预收款项_明细表 2" xfId="14874"/>
    <cellStyle name="好_应收利息 9 2 5" xfId="14875"/>
    <cellStyle name="差_1预收款项_明细表_1" xfId="14876"/>
    <cellStyle name="差_1长期借款" xfId="14877"/>
    <cellStyle name="差_1长期借款 2" xfId="14878"/>
    <cellStyle name="差_1长期借款 2 2" xfId="14879"/>
    <cellStyle name="常规 2 2 17 2 3" xfId="14880"/>
    <cellStyle name="常规 2 2 22 2 3" xfId="14881"/>
    <cellStyle name="差_50-营业成本（空白模板） 10_明细表" xfId="14882"/>
    <cellStyle name="差_1长期应付款" xfId="14883"/>
    <cellStyle name="差_1长期应付款 2" xfId="14884"/>
    <cellStyle name="差_1长期应付款 2 2" xfId="14885"/>
    <cellStyle name="好_56-公允价值损益变动（空白模板） 6 2" xfId="14886"/>
    <cellStyle name="差_1长期应付款 3" xfId="14887"/>
    <cellStyle name="常规 7 2 6" xfId="14888"/>
    <cellStyle name="差_1长期应付款 3 2" xfId="14889"/>
    <cellStyle name="差_1长期应付款 4" xfId="14890"/>
    <cellStyle name="好_1营业收入 15_明细表" xfId="14891"/>
    <cellStyle name="差_1长期应收款" xfId="14892"/>
    <cellStyle name="好_54-财务费用（空白模板）_明细表_1 5" xfId="14893"/>
    <cellStyle name="好_1营业收入 15_明细表 2" xfId="14894"/>
    <cellStyle name="差_1长期应收款 2" xfId="14895"/>
    <cellStyle name="差_1长期应收款 2 2" xfId="14896"/>
    <cellStyle name="好_1营业收入 15_明细表 3" xfId="14897"/>
    <cellStyle name="好_1管理费用 2 2 2" xfId="14898"/>
    <cellStyle name="差_1长期应收款 3" xfId="14899"/>
    <cellStyle name="好_1营业收入 15_明细表 4" xfId="14900"/>
    <cellStyle name="好_1管理费用 2 2 3" xfId="14901"/>
    <cellStyle name="差_1长期应收款 4" xfId="14902"/>
    <cellStyle name="差_1专项应付款" xfId="14903"/>
    <cellStyle name="差_1专项应付款 10" xfId="14904"/>
    <cellStyle name="差_1专项应付款 10 2" xfId="14905"/>
    <cellStyle name="好_49-营业收入（空白模板） 2 2 6" xfId="14906"/>
    <cellStyle name="差_1专项应付款 10 2 3" xfId="14907"/>
    <cellStyle name="差_1专项应付款 10 3" xfId="14908"/>
    <cellStyle name="差_1专项应付款 10_明细表" xfId="14909"/>
    <cellStyle name="差_1专项应付款 11" xfId="14910"/>
    <cellStyle name="好_55-资产减值损失（空白模板） 4 3 2" xfId="14911"/>
    <cellStyle name="常规 11 2 8" xfId="14912"/>
    <cellStyle name="差_1专项应付款 11 2" xfId="14913"/>
    <cellStyle name="常规 11 2 9" xfId="14914"/>
    <cellStyle name="差_1专项应付款 11 3" xfId="14915"/>
    <cellStyle name="差_专项应付款 4_附注表一（财务报表）" xfId="14916"/>
    <cellStyle name="差_1专项应付款 12" xfId="14917"/>
    <cellStyle name="差_1专项应付款 12 2" xfId="14918"/>
    <cellStyle name="差_1专项应付款 12 3" xfId="14919"/>
    <cellStyle name="差_1专项应付款 12_明细表" xfId="14920"/>
    <cellStyle name="差_1专项应付款 13" xfId="14921"/>
    <cellStyle name="差_1专项应付款 13 2" xfId="14922"/>
    <cellStyle name="好_营业收入 5_明细表 4" xfId="14923"/>
    <cellStyle name="差_1专项应付款 13 3" xfId="14924"/>
    <cellStyle name="好_营业收入 5_明细表 5" xfId="14925"/>
    <cellStyle name="差_1专项应付款 13_明细表" xfId="14926"/>
    <cellStyle name="差_1专项应付款 14" xfId="14927"/>
    <cellStyle name="差_1专项应付款 14 2" xfId="14928"/>
    <cellStyle name="差_1专项应付款 14 3" xfId="14929"/>
    <cellStyle name="差_1专项应付款 15" xfId="14930"/>
    <cellStyle name="差_1专项应付款 20" xfId="14931"/>
    <cellStyle name="差_1专项应付款 15 2" xfId="14932"/>
    <cellStyle name="差_1专项应付款 16" xfId="14933"/>
    <cellStyle name="差_1专项应付款 21" xfId="14934"/>
    <cellStyle name="常规 2 2 2 2 2 16" xfId="14935"/>
    <cellStyle name="常规 2 2 2 2 2 21" xfId="14936"/>
    <cellStyle name="差_1专项应付款 16 2" xfId="14937"/>
    <cellStyle name="差_1专项应付款 17" xfId="14938"/>
    <cellStyle name="差_1专项应付款 22" xfId="14939"/>
    <cellStyle name="差_1专项应付款 18" xfId="14940"/>
    <cellStyle name="差_1专项应付款 23" xfId="14941"/>
    <cellStyle name="差_1专项应付款 19" xfId="14942"/>
    <cellStyle name="差_1专项应付款 24" xfId="14943"/>
    <cellStyle name="差_1专项应付款 2 2 2" xfId="14944"/>
    <cellStyle name="差_1专项应付款 2 4" xfId="14945"/>
    <cellStyle name="常规 2 2 3 2 2 2 2" xfId="14946"/>
    <cellStyle name="常规 2 27_附注表一（财务报表）" xfId="14947"/>
    <cellStyle name="差_1专项应付款 2 5" xfId="14948"/>
    <cellStyle name="常规 2 2 3 2 2 2 3" xfId="14949"/>
    <cellStyle name="差_1专项应付款 2 6" xfId="14950"/>
    <cellStyle name="差_1专项应付款 2_明细表" xfId="14951"/>
    <cellStyle name="好_资产负债标准底稿 9 2 3" xfId="14952"/>
    <cellStyle name="差_1专项应付款 29" xfId="14953"/>
    <cellStyle name="差_1专项应付款 34" xfId="14954"/>
    <cellStyle name="差_1专项应付款 3 2" xfId="14955"/>
    <cellStyle name="好_短期借款 15 4" xfId="14956"/>
    <cellStyle name="差_1专项应付款 3 2 2" xfId="14957"/>
    <cellStyle name="常规 2 2 2 10 2 2" xfId="14958"/>
    <cellStyle name="差_1专项应付款 3 4" xfId="14959"/>
    <cellStyle name="常规 2 2 3 2 2 3 2" xfId="14960"/>
    <cellStyle name="常规 2 2 2 10 2 3" xfId="14961"/>
    <cellStyle name="差_1专项应付款 3 5" xfId="14962"/>
    <cellStyle name="差_1专项应付款 4" xfId="14963"/>
    <cellStyle name="差_1专项应付款 4 2" xfId="14964"/>
    <cellStyle name="差_1专项应付款 4 2 2" xfId="14965"/>
    <cellStyle name="差_1专项应付款 4 3" xfId="14966"/>
    <cellStyle name="差_1专项应付款 4 4" xfId="14967"/>
    <cellStyle name="差_1专项应付款 4_明细表" xfId="14968"/>
    <cellStyle name="差_1专项应付款 5" xfId="14969"/>
    <cellStyle name="差_1专项应付款 5 2" xfId="14970"/>
    <cellStyle name="差_40-专项应付款(空白模板) 2_明细表" xfId="14971"/>
    <cellStyle name="好_存货函证结果汇总表 3" xfId="14972"/>
    <cellStyle name="差_1专项应付款 5 2 2" xfId="14973"/>
    <cellStyle name="差_1专项应付款 5 3" xfId="14974"/>
    <cellStyle name="差_1专项应付款 5 4" xfId="14975"/>
    <cellStyle name="差_1专项应付款 6" xfId="14976"/>
    <cellStyle name="差_1专项应付款 6 2" xfId="14977"/>
    <cellStyle name="好_应收利息 10_明细表 4" xfId="14978"/>
    <cellStyle name="差_40-专项应付款(空白模板) 3_明细表" xfId="14979"/>
    <cellStyle name="差_1专项应付款 6 2 2" xfId="14980"/>
    <cellStyle name="好_应收利息 10_明细表 5" xfId="14981"/>
    <cellStyle name="差_1专项应付款 6 2 3" xfId="14982"/>
    <cellStyle name="差_1专项应付款 6 3" xfId="14983"/>
    <cellStyle name="差_大信底稿目录 10 2 2" xfId="14984"/>
    <cellStyle name="差_1专项应付款 6_明细表" xfId="14985"/>
    <cellStyle name="差_1专项应付款 7" xfId="14986"/>
    <cellStyle name="差_短期借款 5 4" xfId="14987"/>
    <cellStyle name="差_40-专项应付款(空白模板) 4_明细表" xfId="14988"/>
    <cellStyle name="差_1专项应付款 7 2 2" xfId="14989"/>
    <cellStyle name="差_1专项应付款 7 4" xfId="14990"/>
    <cellStyle name="差_1专项应付款 7_明细表" xfId="14991"/>
    <cellStyle name="差_1专项应付款 8" xfId="14992"/>
    <cellStyle name="差_1专项应付款 8 2" xfId="14993"/>
    <cellStyle name="差_40-专项应付款(空白模板) 5_明细表" xfId="14994"/>
    <cellStyle name="差_1专项应付款 8 2 2" xfId="14995"/>
    <cellStyle name="差_1专项应付款 8 2 3" xfId="14996"/>
    <cellStyle name="差_1专项应付款 8 4" xfId="14997"/>
    <cellStyle name="差_1专项应付款 8_明细表" xfId="14998"/>
    <cellStyle name="差_1专项应付款 9" xfId="14999"/>
    <cellStyle name="差_预收款项 4 2 3" xfId="15000"/>
    <cellStyle name="差_1专项应付款 9 2" xfId="15001"/>
    <cellStyle name="差_1专项应付款 9 2 3" xfId="15002"/>
    <cellStyle name="差_预收款项 4 2 5" xfId="15003"/>
    <cellStyle name="差_1专项应付款 9 4" xfId="15004"/>
    <cellStyle name="差_1专项应付款 9_明细表" xfId="15005"/>
    <cellStyle name="差_短期借款 7 2 4" xfId="15006"/>
    <cellStyle name="差_1专项应付款_明细表" xfId="15007"/>
    <cellStyle name="好_底稿设置宏 14 2 5" xfId="15008"/>
    <cellStyle name="好_50-营业成本（空白模板） 6" xfId="15009"/>
    <cellStyle name="差_1专项应付款_明细表_1" xfId="15010"/>
    <cellStyle name="差_1资本公积 2" xfId="15011"/>
    <cellStyle name="差_1资本公积 2 2" xfId="15012"/>
    <cellStyle name="差_1资本公积 3" xfId="15013"/>
    <cellStyle name="差_1资本公积 3 2" xfId="15014"/>
    <cellStyle name="差_1资本公积 4" xfId="15015"/>
    <cellStyle name="差_1资产负债类底稿模版" xfId="15016"/>
    <cellStyle name="差_1资产减值损失" xfId="15017"/>
    <cellStyle name="常规 4 26" xfId="15018"/>
    <cellStyle name="常规 4 31" xfId="15019"/>
    <cellStyle name="差_FD 应付账款 3 2" xfId="15020"/>
    <cellStyle name="差_1资产减值损失 2" xfId="15021"/>
    <cellStyle name="常规 4 26 2" xfId="15022"/>
    <cellStyle name="差_1资产减值损失 2 2" xfId="15023"/>
    <cellStyle name="好_1财务费用 17 2 2" xfId="15024"/>
    <cellStyle name="常规 9 5 2 7 2" xfId="15025"/>
    <cellStyle name="差_1资产减值损失 2 3" xfId="15026"/>
    <cellStyle name="差_1资产减值损失 3" xfId="15027"/>
    <cellStyle name="差_1资产减值损失 3 2" xfId="15028"/>
    <cellStyle name="差_1资产减值损失 4" xfId="15029"/>
    <cellStyle name="差_2007 4 19 Qingdao Appendix4 TBJA" xfId="15030"/>
    <cellStyle name="差_2007 4 19 Qingdao Appendix4 TBJA 2" xfId="15031"/>
    <cellStyle name="好_应收利息 11_附注表一（财务报表）" xfId="15032"/>
    <cellStyle name="差_2009 聊城final PBC V3" xfId="15033"/>
    <cellStyle name="好_底稿设置宏_大信底稿目录 6_明细表 4" xfId="15034"/>
    <cellStyle name="差_2009 聊城final PBC V3 2" xfId="15035"/>
    <cellStyle name="差_2009年6月30日资产负债表" xfId="15036"/>
    <cellStyle name="差_2009年6月30日资产负债表 2 2" xfId="15037"/>
    <cellStyle name="好_模板 2" xfId="15038"/>
    <cellStyle name="差_2011.12全年年报资料汇总(樣本)" xfId="15039"/>
    <cellStyle name="差_2011.12全年年报资料汇总(樣本) 2" xfId="15040"/>
    <cellStyle name="常规 2 2 13" xfId="15041"/>
    <cellStyle name="好_1应付职工薪酬 17" xfId="15042"/>
    <cellStyle name="好_1应付职工薪酬 22" xfId="15043"/>
    <cellStyle name="差_20-开发支出（空白模板） 2" xfId="15044"/>
    <cellStyle name="差_21-商誉（空白模板） 2" xfId="15045"/>
    <cellStyle name="好_1资产减值损失_明细表 2 4" xfId="15046"/>
    <cellStyle name="差_22-长期待摊费用（空白模板）" xfId="15047"/>
    <cellStyle name="好_银行函证结果汇总表 2_明细表 5" xfId="15048"/>
    <cellStyle name="差_22-长期待摊费用（空白模板） 3" xfId="15049"/>
    <cellStyle name="差_22-长期待摊费用（空白模板） 3 2" xfId="15050"/>
    <cellStyle name="差_22-长期待摊费用（空白模板） 3 3" xfId="15051"/>
    <cellStyle name="差_22-长期待摊费用（空白模板） 4" xfId="15052"/>
    <cellStyle name="常规 174 2 4" xfId="15053"/>
    <cellStyle name="常规 3 2 2 2 14" xfId="15054"/>
    <cellStyle name="差_22-长期待摊费用（空白模板） 4 2" xfId="15055"/>
    <cellStyle name="常规 3 2 2 2 15" xfId="15056"/>
    <cellStyle name="差_22-长期待摊费用（空白模板） 4 3" xfId="15057"/>
    <cellStyle name="差_22-长期待摊费用（空白模板） 5" xfId="15058"/>
    <cellStyle name="好_预收款项 3 2 5" xfId="15059"/>
    <cellStyle name="好_专项应付款 3 2 4" xfId="15060"/>
    <cellStyle name="差_22-长期待摊费用（空白模板） 5 2" xfId="15061"/>
    <cellStyle name="好_1资产减值损失 16 2 2" xfId="15062"/>
    <cellStyle name="差_22-长期待摊费用（空白模板） 6" xfId="15063"/>
    <cellStyle name="常规 5 2 11" xfId="15064"/>
    <cellStyle name="差_22-长期待摊费用（空白模板） 6 3" xfId="15065"/>
    <cellStyle name="好_1资产减值损失 16 2 3" xfId="15066"/>
    <cellStyle name="差_22-长期待摊费用（空白模板） 7" xfId="15067"/>
    <cellStyle name="好_1资产减值损失 16 2 4" xfId="15068"/>
    <cellStyle name="差_资产负债类底稿模版 7 2 2" xfId="15069"/>
    <cellStyle name="差_22-长期待摊费用（空白模板） 8" xfId="15070"/>
    <cellStyle name="常规 9 4 3 3 2 2" xfId="15071"/>
    <cellStyle name="常规 2 3 2 2 2 2 2" xfId="15072"/>
    <cellStyle name="差_22-长期待摊费用（空白模板）_明细表" xfId="15073"/>
    <cellStyle name="常规 2 3 2 2 2 2 2 2" xfId="15074"/>
    <cellStyle name="差_22-长期待摊费用（空白模板）_明细表 2" xfId="15075"/>
    <cellStyle name="好_54-财务费用（空白模板） 5_附注表一（财务报表）" xfId="15076"/>
    <cellStyle name="差_22-长期待摊费用（空白模板）_明细表_1" xfId="15077"/>
    <cellStyle name="好_16-在建工程（空白模板） 2" xfId="15078"/>
    <cellStyle name="差_27-短期借款(空白模板)" xfId="15079"/>
    <cellStyle name="好_G-应收账款 13 3" xfId="15080"/>
    <cellStyle name="好_1短期借款 3 4" xfId="15081"/>
    <cellStyle name="差_27-短期借款(空白模板) 10" xfId="15082"/>
    <cellStyle name="差_27-短期借款(空白模板) 10 2 2" xfId="15083"/>
    <cellStyle name="常规 2 2 9 2 5" xfId="15084"/>
    <cellStyle name="差_27-短期借款(空白模板) 10_明细表" xfId="15085"/>
    <cellStyle name="好_1短期借款 3 5" xfId="15086"/>
    <cellStyle name="差_27-短期借款(空白模板) 11" xfId="15087"/>
    <cellStyle name="常规 3 5 2 3_附注表一（财务报表）" xfId="15088"/>
    <cellStyle name="差_27-短期借款(空白模板) 11 3" xfId="15089"/>
    <cellStyle name="差_27-短期借款(空白模板) 11_明细表" xfId="15090"/>
    <cellStyle name="差_27-短期借款(空白模板) 12" xfId="15091"/>
    <cellStyle name="差_27-短期借款(空白模板) 12 2" xfId="15092"/>
    <cellStyle name="差_应付账款_明细表 2" xfId="15093"/>
    <cellStyle name="差_27-短期借款(空白模板) 12 3" xfId="15094"/>
    <cellStyle name="差_27-短期借款(空白模板) 12_明细表" xfId="15095"/>
    <cellStyle name="差_27-短期借款(空白模板) 13" xfId="15096"/>
    <cellStyle name="好_51-营业税金及附加（空白模板） 12_附注表一（财务报表）" xfId="15097"/>
    <cellStyle name="好_1所得税费用 12" xfId="15098"/>
    <cellStyle name="差_27-短期借款(空白模板) 13 2" xfId="15099"/>
    <cellStyle name="差_27-短期借款(空白模板) 13 3" xfId="15100"/>
    <cellStyle name="差_27-短期借款(空白模板) 14" xfId="15101"/>
    <cellStyle name="差_27-短期借款(空白模板) 14 2" xfId="15102"/>
    <cellStyle name="差_27-短期借款(空白模板) 14 3" xfId="15103"/>
    <cellStyle name="好_49-营业收入（空白模板） 7_明细表 2" xfId="15104"/>
    <cellStyle name="差_27-短期借款(空白模板) 14_明细表" xfId="15105"/>
    <cellStyle name="差_27-短期借款(空白模板) 15" xfId="15106"/>
    <cellStyle name="差_27-短期借款(空白模板) 20" xfId="15107"/>
    <cellStyle name="差_27-短期借款(空白模板) 15 2" xfId="15108"/>
    <cellStyle name="差_27-短期借款(空白模板) 16" xfId="15109"/>
    <cellStyle name="差_27-短期借款(空白模板) 21" xfId="15110"/>
    <cellStyle name="差_27-短期借款(空白模板) 16 2" xfId="15111"/>
    <cellStyle name="差_27-短期借款(空白模板) 17" xfId="15112"/>
    <cellStyle name="差_27-短期借款(空白模板) 22" xfId="15113"/>
    <cellStyle name="差_27-短期借款(空白模板) 18" xfId="15114"/>
    <cellStyle name="差_27-短期借款(空白模板) 23" xfId="15115"/>
    <cellStyle name="差_ZD 应收账款 3 2" xfId="15116"/>
    <cellStyle name="差_27-短期借款(空白模板) 19" xfId="15117"/>
    <cellStyle name="差_27-短期借款(空白模板) 24" xfId="15118"/>
    <cellStyle name="差_27-短期借款(空白模板) 2 2" xfId="15119"/>
    <cellStyle name="常规 2 3 2 2 11_附注表一（财务报表）" xfId="15120"/>
    <cellStyle name="差_27-短期借款(空白模板) 2 2 3" xfId="15121"/>
    <cellStyle name="差_模板 2" xfId="15122"/>
    <cellStyle name="差_27-短期借款(空白模板) 2 3" xfId="15123"/>
    <cellStyle name="差_27-短期借款(空白模板) 2 4" xfId="15124"/>
    <cellStyle name="差_27-短期借款(空白模板) 2 5" xfId="15125"/>
    <cellStyle name="差_27-短期借款(空白模板) 2 6" xfId="15126"/>
    <cellStyle name="常规 3 3 2 3 3 3" xfId="15127"/>
    <cellStyle name="差_27-短期借款(空白模板) 2_明细表" xfId="15128"/>
    <cellStyle name="差_ZD 应收账款 3 3" xfId="15129"/>
    <cellStyle name="差_27-短期借款(空白模板) 25" xfId="15130"/>
    <cellStyle name="差_27-短期借款(空白模板) 30" xfId="15131"/>
    <cellStyle name="差_27-短期借款(空白模板) 28" xfId="15132"/>
    <cellStyle name="差_27-短期借款(空白模板) 33" xfId="15133"/>
    <cellStyle name="好_1短期借款 14 2 4" xfId="15134"/>
    <cellStyle name="差_无形资产 8_明细表" xfId="15135"/>
    <cellStyle name="差_27-短期借款(空白模板) 3 2" xfId="15136"/>
    <cellStyle name="差_无形资产 8_明细表 2" xfId="15137"/>
    <cellStyle name="差_27-短期借款(空白模板) 3 2 2" xfId="15138"/>
    <cellStyle name="差_无形资产 8_明细表 3" xfId="15139"/>
    <cellStyle name="差_27-短期借款(空白模板) 3 2 3" xfId="15140"/>
    <cellStyle name="好_1短期借款 14 2 5" xfId="15141"/>
    <cellStyle name="差_27-短期借款(空白模板) 3 3" xfId="15142"/>
    <cellStyle name="差_27-短期借款(空白模板) 3 4" xfId="15143"/>
    <cellStyle name="差_27-短期借款(空白模板) 3 5" xfId="15144"/>
    <cellStyle name="常规 3 3 2 4 3 3" xfId="15145"/>
    <cellStyle name="常规 2 3 2 9 2" xfId="15146"/>
    <cellStyle name="差_27-短期借款(空白模板) 3_明细表" xfId="15147"/>
    <cellStyle name="差_27-短期借款(空白模板) 4 2" xfId="15148"/>
    <cellStyle name="差_27-短期借款(空白模板) 4 2 2" xfId="15149"/>
    <cellStyle name="差_27-短期借款(空白模板) 4 2 3" xfId="15150"/>
    <cellStyle name="差_27-短期借款(空白模板) 4 3" xfId="15151"/>
    <cellStyle name="差_27-短期借款(空白模板) 4 4" xfId="15152"/>
    <cellStyle name="好_27-短期借款(空白模板) 18 3" xfId="15153"/>
    <cellStyle name="好_19-无形资产（空白模板） 4_明细表 4" xfId="15154"/>
    <cellStyle name="常规 3 3 2 5 3 3" xfId="15155"/>
    <cellStyle name="差_27-短期借款(空白模板) 4_明细表" xfId="15156"/>
    <cellStyle name="差_27-短期借款(空白模板) 5 2 2" xfId="15157"/>
    <cellStyle name="差_27-短期借款(空白模板) 5 2 3" xfId="15158"/>
    <cellStyle name="好_55-资产减值损失（空白模板） 4_明细表" xfId="15159"/>
    <cellStyle name="差_27-短期借款(空白模板) 5 3" xfId="15160"/>
    <cellStyle name="差_资本公积 - 复制 2 2" xfId="15161"/>
    <cellStyle name="好_银行函证结果汇总表 2 5" xfId="15162"/>
    <cellStyle name="常规 3 3 2 6 3 3" xfId="15163"/>
    <cellStyle name="好_FM长期应付款 3 2" xfId="15164"/>
    <cellStyle name="差_27-短期借款(空白模板) 5_明细表" xfId="15165"/>
    <cellStyle name="差_27-短期借款(空白模板) 6 2 2" xfId="15166"/>
    <cellStyle name="差_27-短期借款(空白模板) 6 2 3" xfId="15167"/>
    <cellStyle name="千位分隔 2 4 5 2 2" xfId="15168"/>
    <cellStyle name="差_27-短期借款(空白模板) 6 3" xfId="15169"/>
    <cellStyle name="差_资本公积 - 复制 3 2" xfId="15170"/>
    <cellStyle name="千位分隔 2 4 5 2 3" xfId="15171"/>
    <cellStyle name="差_27-短期借款(空白模板) 6 4" xfId="15172"/>
    <cellStyle name="差_资本公积 - 复制 3 3" xfId="15173"/>
    <cellStyle name="常规 3 3 2 7 3 3" xfId="15174"/>
    <cellStyle name="差_35-应付股利（空白模板） 3 2" xfId="15175"/>
    <cellStyle name="差_27-短期借款(空白模板) 6_明细表" xfId="15176"/>
    <cellStyle name="差_27-短期借款(空白模板) 7 2" xfId="15177"/>
    <cellStyle name="差_投资收益 3" xfId="15178"/>
    <cellStyle name="差_27-短期借款(空白模板) 7 2 2" xfId="15179"/>
    <cellStyle name="差_投资收益 3 2" xfId="15180"/>
    <cellStyle name="差_27-短期借款(空白模板) 7 2 3" xfId="15181"/>
    <cellStyle name="千位分隔 2 4 5 3 2" xfId="15182"/>
    <cellStyle name="差_27-短期借款(空白模板) 7 3" xfId="15183"/>
    <cellStyle name="差_投资收益 4" xfId="15184"/>
    <cellStyle name="差_27-短期借款(空白模板) 7 4" xfId="15185"/>
    <cellStyle name="差_27-短期借款(空白模板) 7_明细表" xfId="15186"/>
    <cellStyle name="常规 2 3 2 5 2 4" xfId="15187"/>
    <cellStyle name="差_27-短期借款(空白模板) 8 2" xfId="15188"/>
    <cellStyle name="差_27-短期借款(空白模板) 8 2 2" xfId="15189"/>
    <cellStyle name="差_27-短期借款(空白模板) 8 2 3" xfId="15190"/>
    <cellStyle name="好_专项应付款 11_附注表一（财务报表）" xfId="15191"/>
    <cellStyle name="差_27-短期借款(空白模板) 8 4" xfId="15192"/>
    <cellStyle name="好_19-无形资产（空白模板） 15_明细表 2" xfId="15193"/>
    <cellStyle name="差_27-短期借款(空白模板) 8_明细表" xfId="15194"/>
    <cellStyle name="好_应收利息 11_明细表 4" xfId="15195"/>
    <cellStyle name="差_Book1 2" xfId="15196"/>
    <cellStyle name="差_27-短期借款(空白模板) 9 2" xfId="15197"/>
    <cellStyle name="好_营业收入 13_明细表 4" xfId="15198"/>
    <cellStyle name="差_27-短期借款(空白模板) 9 2 2" xfId="15199"/>
    <cellStyle name="好_营业收入 13_明细表 5" xfId="15200"/>
    <cellStyle name="差_27-短期借款(空白模板) 9 2 3" xfId="15201"/>
    <cellStyle name="好_应收利息 11_明细表 5" xfId="15202"/>
    <cellStyle name="差_27-短期借款(空白模板) 9 3" xfId="15203"/>
    <cellStyle name="差_27-短期借款(空白模板) 9 4" xfId="15204"/>
    <cellStyle name="差_27-短期借款(空白模板) 9_明细表" xfId="15205"/>
    <cellStyle name="差_27-短期借款(空白模板)_明细表 2" xfId="15206"/>
    <cellStyle name="好_底稿设置宏 26" xfId="15207"/>
    <cellStyle name="好_底稿设置宏 31" xfId="15208"/>
    <cellStyle name="差_27-短期借款(空白模板)_明细表_1" xfId="15209"/>
    <cellStyle name="好_1固定资产 7_明细表 3" xfId="15210"/>
    <cellStyle name="常规 3 2 2 2_附注表一（财务报表）" xfId="15211"/>
    <cellStyle name="差_28-交易性金融负债（空白模板）" xfId="15212"/>
    <cellStyle name="好_财务费用 7_附注表一（财务报表）" xfId="15213"/>
    <cellStyle name="差_28-交易性金融负债（空白模板） 2" xfId="15214"/>
    <cellStyle name="常规 6 2 3 4" xfId="15215"/>
    <cellStyle name="好_50-营业成本（空白模板） 8_明细表 5" xfId="15216"/>
    <cellStyle name="差_28-交易性金融负债（空白模板） 2 2" xfId="15217"/>
    <cellStyle name="好_资本公积 - 复制 3 2" xfId="15218"/>
    <cellStyle name="差_28-交易性金融负债（空白模板） 3" xfId="15219"/>
    <cellStyle name="常规 6 2 3 5" xfId="15220"/>
    <cellStyle name="差_28-交易性金融负债（空白模板） 3 2" xfId="15221"/>
    <cellStyle name="差_29-应付票据（空白模板） 2 2" xfId="15222"/>
    <cellStyle name="差_29-应付票据（空白模板） 3" xfId="15223"/>
    <cellStyle name="好_55-资产减值损失（空白模板） 14 2 4" xfId="15224"/>
    <cellStyle name="差_29-应付票据（空白模板） 3 2" xfId="15225"/>
    <cellStyle name="差_29-应付票据（空白模板） 4" xfId="15226"/>
    <cellStyle name="超链接 3 5 2 2" xfId="15227"/>
    <cellStyle name="差_2-ZI-存货监盘（案例）" xfId="15228"/>
    <cellStyle name="差_2-ZI-存货监盘（案例） 2" xfId="15229"/>
    <cellStyle name="差_2-ZI-存货监盘（案例） 2 2" xfId="15230"/>
    <cellStyle name="常规 2 2 4 3 2" xfId="15231"/>
    <cellStyle name="差_2-ZI-存货监盘（案例） 2 3" xfId="15232"/>
    <cellStyle name="差_2-ZI-存货监盘（案例） 3" xfId="15233"/>
    <cellStyle name="差_2-ZI-存货监盘（案例） 4" xfId="15234"/>
    <cellStyle name="好_短期借款 19" xfId="15235"/>
    <cellStyle name="好_短期借款 24" xfId="15236"/>
    <cellStyle name="差_2-风险评估分析程序" xfId="15237"/>
    <cellStyle name="差_2-风险评估分析程序 2" xfId="15238"/>
    <cellStyle name="好_营业收入 8_明细表" xfId="15239"/>
    <cellStyle name="差_2-风险评估分析程序 3" xfId="15240"/>
    <cellStyle name="差_2-交易性金融资产（空白模板）" xfId="15241"/>
    <cellStyle name="差_2-交易性金融资产（空白模板） 2" xfId="15242"/>
    <cellStyle name="差_2-交易性金融资产（空白模板） 2 2" xfId="15243"/>
    <cellStyle name="好_15-固定资产（空白模板） 2" xfId="15244"/>
    <cellStyle name="差_2-交易性金融资产（空白模板） 2 3" xfId="15245"/>
    <cellStyle name="差_2-交易性金融资产（空白模板） 3" xfId="15246"/>
    <cellStyle name="差_2-交易性金融资产（空白模板） 3 2" xfId="15247"/>
    <cellStyle name="差_2-交易性金融资产（空白模板） 4" xfId="15248"/>
    <cellStyle name="差_2-交易性金融资产（空白模板） 5" xfId="15249"/>
    <cellStyle name="常规 2 3 19 2 4" xfId="15250"/>
    <cellStyle name="常规 2 3 24 2 4" xfId="15251"/>
    <cellStyle name="差_2应收账款" xfId="15252"/>
    <cellStyle name="好_短期借款 11" xfId="15253"/>
    <cellStyle name="差_2应收账款 2" xfId="15254"/>
    <cellStyle name="好_短期借款 11 2" xfId="15255"/>
    <cellStyle name="差_资产负债标准底稿 5_明细表 3" xfId="15256"/>
    <cellStyle name="差_2应收账款 2 2" xfId="15257"/>
    <cellStyle name="好_短期借款 11 2 2" xfId="15258"/>
    <cellStyle name="差_2应收账款 2 2 2" xfId="15259"/>
    <cellStyle name="好_短期借款 11 3" xfId="15260"/>
    <cellStyle name="差_资产负债标准底稿 5_明细表 4" xfId="15261"/>
    <cellStyle name="差_2应收账款 2 3" xfId="15262"/>
    <cellStyle name="好_短期借款 12" xfId="15263"/>
    <cellStyle name="差_2应收账款 3" xfId="15264"/>
    <cellStyle name="好_短期借款 12 2" xfId="15265"/>
    <cellStyle name="好_22-长期待摊费用（空白模板）_明细表_1" xfId="15266"/>
    <cellStyle name="差_2应收账款 3 2" xfId="15267"/>
    <cellStyle name="好_短期借款 13" xfId="15268"/>
    <cellStyle name="好_51-营业税金及附加（空白模板） 6 2 2" xfId="15269"/>
    <cellStyle name="好_40-专项应付款(空白模板) 2_附注表一（财务报表）" xfId="15270"/>
    <cellStyle name="差_2应收账款 4" xfId="15271"/>
    <cellStyle name="常规 9 3 3 2" xfId="15272"/>
    <cellStyle name="好_审计分组-1218定稿 2 2" xfId="15273"/>
    <cellStyle name="好_短期借款 14" xfId="15274"/>
    <cellStyle name="好_51-营业税金及附加（空白模板） 6 2 3" xfId="15275"/>
    <cellStyle name="差_2应收账款 5" xfId="15276"/>
    <cellStyle name="常规 9 3 3 3" xfId="15277"/>
    <cellStyle name="差_30-应付账款（空白模板）" xfId="15278"/>
    <cellStyle name="差_30-应付账款（空白模板） 10 2 3" xfId="15279"/>
    <cellStyle name="差_30-应付账款（空白模板） 11_明细表" xfId="15280"/>
    <cellStyle name="常规 2 3 2 2 2 4 3" xfId="15281"/>
    <cellStyle name="差_30-应付账款（空白模板） 12 2" xfId="15282"/>
    <cellStyle name="好_27-短期借款(空白模板) 3_明细表 2" xfId="15283"/>
    <cellStyle name="差_30-应付账款（空白模板） 12 3" xfId="15284"/>
    <cellStyle name="常规 2 3 2 2 2 5 3" xfId="15285"/>
    <cellStyle name="差_30-应付账款（空白模板） 13 2" xfId="15286"/>
    <cellStyle name="差_Z6应收利息 3" xfId="15287"/>
    <cellStyle name="差_30-应付账款（空白模板） 14" xfId="15288"/>
    <cellStyle name="好_Sheet1 11" xfId="15289"/>
    <cellStyle name="常规 2 3 2 2 2 6 3" xfId="15290"/>
    <cellStyle name="差_30-应付账款（空白模板） 14 2" xfId="15291"/>
    <cellStyle name="好_Sheet1 12" xfId="15292"/>
    <cellStyle name="好_55-资产减值损失（空白模板） 10_明细表" xfId="15293"/>
    <cellStyle name="差_30-应付账款（空白模板） 14 3" xfId="15294"/>
    <cellStyle name="差_Z6应收利息 4" xfId="15295"/>
    <cellStyle name="差_30-应付账款（空白模板） 15" xfId="15296"/>
    <cellStyle name="差_30-应付账款（空白模板） 20" xfId="15297"/>
    <cellStyle name="常规 2 3 2 2 2 7 3" xfId="15298"/>
    <cellStyle name="差_30-应付账款（空白模板） 15 2" xfId="15299"/>
    <cellStyle name="常规 2 16" xfId="15300"/>
    <cellStyle name="常规 2 21" xfId="15301"/>
    <cellStyle name="好_6-应收利息（空白模板）_明细表" xfId="15302"/>
    <cellStyle name="好__dxn_temp空白表页 2_附注表一（财务报表）" xfId="15303"/>
    <cellStyle name="差_30-应付账款（空白模板） 16" xfId="15304"/>
    <cellStyle name="差_30-应付账款（空白模板） 21" xfId="15305"/>
    <cellStyle name="好_6-应收利息（空白模板）_明细表 2" xfId="15306"/>
    <cellStyle name="差_30-应付账款（空白模板） 16 2" xfId="15307"/>
    <cellStyle name="货币 2 12 2 2" xfId="15308"/>
    <cellStyle name="差_30-应付账款（空白模板） 17" xfId="15309"/>
    <cellStyle name="差_30-应付账款（空白模板） 22" xfId="15310"/>
    <cellStyle name="好_31-预收账款（空白模板） 7_附注表一（财务报表）" xfId="15311"/>
    <cellStyle name="货币 2 12 2 3" xfId="15312"/>
    <cellStyle name="差_30-应付账款（空白模板） 18" xfId="15313"/>
    <cellStyle name="差_30-应付账款（空白模板） 23" xfId="15314"/>
    <cellStyle name="差_30-应付账款（空白模板） 2" xfId="15315"/>
    <cellStyle name="好_55-资产减值损失（空白模板） 13" xfId="15316"/>
    <cellStyle name="差_30-应付账款（空白模板） 2 2" xfId="15317"/>
    <cellStyle name="好_55-资产减值损失（空白模板） 13 2" xfId="15318"/>
    <cellStyle name="差_30-应付账款（空白模板） 2 2 2" xfId="15319"/>
    <cellStyle name="好_55-资产减值损失（空白模板） 13 3" xfId="15320"/>
    <cellStyle name="差_30-应付账款（空白模板） 2 2 3" xfId="15321"/>
    <cellStyle name="好_55-资产减值损失（空白模板） 16" xfId="15322"/>
    <cellStyle name="好_55-资产减值损失（空白模板） 21" xfId="15323"/>
    <cellStyle name="差_30-应付账款（空白模板） 2 5" xfId="15324"/>
    <cellStyle name="好_55-资产减值损失（空白模板） 17" xfId="15325"/>
    <cellStyle name="好_55-资产减值损失（空白模板） 22" xfId="15326"/>
    <cellStyle name="差_30-应付账款（空白模板） 2 6" xfId="15327"/>
    <cellStyle name="差_30-应付账款（空白模板） 2_明细表" xfId="15328"/>
    <cellStyle name="常规 3 2 10 2" xfId="15329"/>
    <cellStyle name="货币 2 12 2 5" xfId="15330"/>
    <cellStyle name="差_30-应付账款（空白模板） 25" xfId="15331"/>
    <cellStyle name="差_30-应付账款（空白模板） 30" xfId="15332"/>
    <cellStyle name="常规 3 2 10 3" xfId="15333"/>
    <cellStyle name="差_专项应付款 3_明细表" xfId="15334"/>
    <cellStyle name="差_30-应付账款（空白模板） 26" xfId="15335"/>
    <cellStyle name="差_30-应付账款（空白模板） 31" xfId="15336"/>
    <cellStyle name="常规 3 2 10 4" xfId="15337"/>
    <cellStyle name="差_预收款项 7_明细表 2" xfId="15338"/>
    <cellStyle name="差_30-应付账款（空白模板） 27" xfId="15339"/>
    <cellStyle name="差_30-应付账款（空白模板） 32" xfId="15340"/>
    <cellStyle name="常规 3 2 10 5" xfId="15341"/>
    <cellStyle name="差_预收款项 7_明细表 3" xfId="15342"/>
    <cellStyle name="差_30-应付账款（空白模板） 28" xfId="15343"/>
    <cellStyle name="差_30-应付账款（空白模板） 33" xfId="15344"/>
    <cellStyle name="差_预收款项 7_明细表 4" xfId="15345"/>
    <cellStyle name="差_30-应付账款（空白模板） 29" xfId="15346"/>
    <cellStyle name="差_30-应付账款（空白模板） 34" xfId="15347"/>
    <cellStyle name="差_30-应付账款（空白模板） 3" xfId="15348"/>
    <cellStyle name="强调文字颜色 5 2 3 3 4" xfId="15349"/>
    <cellStyle name="差_30-应付账款（空白模板） 3 2" xfId="15350"/>
    <cellStyle name="差_30-应付账款（空白模板） 3 2 2" xfId="15351"/>
    <cellStyle name="常规 3 3 10 2" xfId="15352"/>
    <cellStyle name="差_30-应付账款（空白模板） 3 2 3" xfId="15353"/>
    <cellStyle name="强调文字颜色 5 2 3 3 5" xfId="15354"/>
    <cellStyle name="差_30-应付账款（空白模板） 3 3" xfId="15355"/>
    <cellStyle name="差_30-应付账款（空白模板） 3 4" xfId="15356"/>
    <cellStyle name="差_30-应付账款（空白模板） 3 5" xfId="15357"/>
    <cellStyle name="常规 2 5 4_附注表一（财务报表）" xfId="15358"/>
    <cellStyle name="差_30-应付账款（空白模板） 3_明细表" xfId="15359"/>
    <cellStyle name="差_30-应付账款（空白模板） 4" xfId="15360"/>
    <cellStyle name="常规 179 2 4" xfId="15361"/>
    <cellStyle name="差_30-应付账款（空白模板） 4 2" xfId="15362"/>
    <cellStyle name="好_控制测试过程2" xfId="15363"/>
    <cellStyle name="好_31-预收账款（空白模板） 6" xfId="15364"/>
    <cellStyle name="差_30-应付账款（空白模板） 4 2 2" xfId="15365"/>
    <cellStyle name="差_30-应付账款（空白模板） 4 4" xfId="15366"/>
    <cellStyle name="好_资产负债标准底稿 17 3" xfId="15367"/>
    <cellStyle name="常规 3 3 2 6 2" xfId="15368"/>
    <cellStyle name="差_30-应付账款（空白模板） 4_明细表" xfId="15369"/>
    <cellStyle name="货币 2 4 2 2" xfId="15370"/>
    <cellStyle name="差_30-应付账款（空白模板） 5" xfId="15371"/>
    <cellStyle name="好_预收款项 8 2 5" xfId="15372"/>
    <cellStyle name="好_专项应付款 8 2 4" xfId="15373"/>
    <cellStyle name="常规 179 3 4" xfId="15374"/>
    <cellStyle name="差_30-应付账款（空白模板） 5 2" xfId="15375"/>
    <cellStyle name="差_30-应付账款（空白模板） 5 2 3" xfId="15376"/>
    <cellStyle name="好_专项应付款 8 2 5" xfId="15377"/>
    <cellStyle name="差_30-应付账款（空白模板） 5 3" xfId="15378"/>
    <cellStyle name="差_30-应付账款（空白模板） 5 4" xfId="15379"/>
    <cellStyle name="差_30-应付账款（空白模板） 5_明细表" xfId="15380"/>
    <cellStyle name="货币 2 4 2 3" xfId="15381"/>
    <cellStyle name="差_30-应付账款（空白模板） 6" xfId="15382"/>
    <cellStyle name="常规 6 2 10" xfId="15383"/>
    <cellStyle name="差_30-应付账款（空白模板） 6 2" xfId="15384"/>
    <cellStyle name="常规 6 2 10 2" xfId="15385"/>
    <cellStyle name="差_30-应付账款（空白模板） 6 2 2" xfId="15386"/>
    <cellStyle name="差_30-应付账款（空白模板） 6 2 3" xfId="15387"/>
    <cellStyle name="常规 6 2 11" xfId="15388"/>
    <cellStyle name="差_30-应付账款（空白模板） 6 3" xfId="15389"/>
    <cellStyle name="好_资产减值损失 11_明细表" xfId="15390"/>
    <cellStyle name="好_55-资产减值损失（空白模板） 15 2 2" xfId="15391"/>
    <cellStyle name="常规 6 2 12" xfId="15392"/>
    <cellStyle name="差_30-应付账款（空白模板） 6 4" xfId="15393"/>
    <cellStyle name="好_52-销售费用（空白模板） 2 2 3" xfId="15394"/>
    <cellStyle name="差_30-应付账款（空白模板） 6_明细表" xfId="15395"/>
    <cellStyle name="货币 2 4 2 4" xfId="15396"/>
    <cellStyle name="差_30-应付账款（空白模板） 7" xfId="15397"/>
    <cellStyle name="差_30-应付账款（空白模板） 7 2" xfId="15398"/>
    <cellStyle name="差_30-应付账款（空白模板） 7 2 2" xfId="15399"/>
    <cellStyle name="好_底稿设置宏_大信底稿目录 10 2 4" xfId="15400"/>
    <cellStyle name="差_30-应付账款（空白模板） 7 3" xfId="15401"/>
    <cellStyle name="好_短期借款 28" xfId="15402"/>
    <cellStyle name="好_短期借款 33" xfId="15403"/>
    <cellStyle name="差_30-应付账款（空白模板） 7_明细表" xfId="15404"/>
    <cellStyle name="差_30-应付账款（空白模板） 8 2 2" xfId="15405"/>
    <cellStyle name="好_底稿设置宏_大信底稿目录 11 2 4" xfId="15406"/>
    <cellStyle name="好_1长期应付款 2 2" xfId="15407"/>
    <cellStyle name="差_30-应付账款（空白模板） 8 2 3" xfId="15408"/>
    <cellStyle name="好_底稿设置宏_大信底稿目录 11 2 5" xfId="15409"/>
    <cellStyle name="好_G-应收账款 7_明细表 2" xfId="15410"/>
    <cellStyle name="好_27-短期借款(空白模板) 14 2 2" xfId="15411"/>
    <cellStyle name="好_1长期应付款 3" xfId="15412"/>
    <cellStyle name="差_30-应付账款（空白模板） 8 3" xfId="15413"/>
    <cellStyle name="好_27-短期借款(空白模板) 14 2 3" xfId="15414"/>
    <cellStyle name="差_30-应付账款（空白模板） 8 4" xfId="15415"/>
    <cellStyle name="好_1资产负债类底稿模版" xfId="15416"/>
    <cellStyle name="好_1长期应付款 4" xfId="15417"/>
    <cellStyle name="差_30-应付账款（空白模板） 9_明细表" xfId="15418"/>
    <cellStyle name="差_短期借款_明细表 2 2" xfId="15419"/>
    <cellStyle name="差_底稿设置宏 9_明细表 5" xfId="15420"/>
    <cellStyle name="差_30-应付账款（空白模板）_明细表 2" xfId="15421"/>
    <cellStyle name="好_52-销售费用（空白模板） 3 2" xfId="15422"/>
    <cellStyle name="差_30-应付账款（空白模板）_明细表_1" xfId="15423"/>
    <cellStyle name="差_31-预收账款（空白模板） 10" xfId="15424"/>
    <cellStyle name="差_31-预收账款（空白模板） 10 2" xfId="15425"/>
    <cellStyle name="差_31-预收账款（空白模板） 10 2 2" xfId="15426"/>
    <cellStyle name="差_31-预收账款（空白模板） 10 2 3" xfId="15427"/>
    <cellStyle name="差_31-预收账款（空白模板） 10 3" xfId="15428"/>
    <cellStyle name="差_31-预收账款（空白模板） 10 4" xfId="15429"/>
    <cellStyle name="差_预收款项 12_明细表 4" xfId="15430"/>
    <cellStyle name="差_31-预收账款（空白模板） 10_明细表" xfId="15431"/>
    <cellStyle name="好_1资产减值损失_应收账款 2" xfId="15432"/>
    <cellStyle name="差_31-预收账款（空白模板） 11" xfId="15433"/>
    <cellStyle name="差_31-预收账款（空白模板） 11 2" xfId="15434"/>
    <cellStyle name="差_31-预收账款（空白模板） 11 3" xfId="15435"/>
    <cellStyle name="差_31-预收账款（空白模板） 12" xfId="15436"/>
    <cellStyle name="好_企业需填明细表(中瑞岳华）" xfId="15437"/>
    <cellStyle name="常规 2 14_附注表一（财务报表）" xfId="15438"/>
    <cellStyle name="好_资产负债标准底稿_大信底稿目录 2 2 6" xfId="15439"/>
    <cellStyle name="常规 3 3 2 5_附注表一（财务报表）" xfId="15440"/>
    <cellStyle name="差_31-预收账款（空白模板） 12 2" xfId="15441"/>
    <cellStyle name="差_31-预收账款（空白模板） 12 3" xfId="15442"/>
    <cellStyle name="差_31-预收账款（空白模板） 12_明细表" xfId="15443"/>
    <cellStyle name="差_31-预收账款（空白模板） 13" xfId="15444"/>
    <cellStyle name="差_31-预收账款（空白模板） 13 2" xfId="15445"/>
    <cellStyle name="差_31-预收账款（空白模板） 13 3" xfId="15446"/>
    <cellStyle name="差_31-预收账款（空白模板） 14" xfId="15447"/>
    <cellStyle name="差_31-预收账款（空白模板） 14 2" xfId="15448"/>
    <cellStyle name="好_1实收资本(股本) 4" xfId="15449"/>
    <cellStyle name="差_31-预收账款（空白模板） 14 3" xfId="15450"/>
    <cellStyle name="差_31-预收账款（空白模板） 14_明细表" xfId="15451"/>
    <cellStyle name="好_营业收入 17 2 2" xfId="15452"/>
    <cellStyle name="好_ZD 应收账款 2" xfId="15453"/>
    <cellStyle name="差_31-预收账款（空白模板） 15" xfId="15454"/>
    <cellStyle name="差_31-预收账款（空白模板） 20" xfId="15455"/>
    <cellStyle name="好_营业收入 3 2 5" xfId="15456"/>
    <cellStyle name="好_ZD 应收账款 2 2" xfId="15457"/>
    <cellStyle name="差_31-预收账款（空白模板） 15 2" xfId="15458"/>
    <cellStyle name="好_营业收入 17 2 3" xfId="15459"/>
    <cellStyle name="好_ZD 应收账款 3" xfId="15460"/>
    <cellStyle name="差_31-预收账款（空白模板） 16" xfId="15461"/>
    <cellStyle name="差_31-预收账款（空白模板） 21" xfId="15462"/>
    <cellStyle name="好_29-应付票据（空白模板） 2" xfId="15463"/>
    <cellStyle name="好_营业收入 17 2 4" xfId="15464"/>
    <cellStyle name="好_ZD 应收账款 4" xfId="15465"/>
    <cellStyle name="好_33-应交税费（空白模板） 2_附注表一（财务报表）" xfId="15466"/>
    <cellStyle name="差_31-预收账款（空白模板） 17" xfId="15467"/>
    <cellStyle name="差_31-预收账款（空白模板） 22" xfId="15468"/>
    <cellStyle name="好_29-应付票据（空白模板） 3" xfId="15469"/>
    <cellStyle name="好_营业收入 17 2 5" xfId="15470"/>
    <cellStyle name="好_ZD 应收账款 5" xfId="15471"/>
    <cellStyle name="差_31-预收账款（空白模板） 18" xfId="15472"/>
    <cellStyle name="差_31-预收账款（空白模板） 23" xfId="15473"/>
    <cellStyle name="好_ZD 应收账款 6" xfId="15474"/>
    <cellStyle name="好_29-应付票据（空白模板） 4" xfId="15475"/>
    <cellStyle name="差_31-预收账款（空白模板） 19" xfId="15476"/>
    <cellStyle name="差_31-预收账款（空白模板） 24" xfId="15477"/>
    <cellStyle name="好_30-应付账款（空白模板） 8 2" xfId="15478"/>
    <cellStyle name="差_31-预收账款（空白模板） 2 2 2" xfId="15479"/>
    <cellStyle name="好_30-应付账款（空白模板） 8 3" xfId="15480"/>
    <cellStyle name="差_31-预收账款（空白模板） 2 2 3" xfId="15481"/>
    <cellStyle name="好_专项应付款 3_附注表一（财务报表）" xfId="15482"/>
    <cellStyle name="好_30-应付账款（空白模板） 9" xfId="15483"/>
    <cellStyle name="差_31-预收账款（空白模板） 2 3" xfId="15484"/>
    <cellStyle name="差_31-预收账款（空白模板） 2 4" xfId="15485"/>
    <cellStyle name="差_31-预收账款（空白模板） 2 5" xfId="15486"/>
    <cellStyle name="差_31-预收账款（空白模板） 2 6" xfId="15487"/>
    <cellStyle name="差_31-预收账款（空白模板） 2_明细表" xfId="15488"/>
    <cellStyle name="好_ZD 应收账款 7" xfId="15489"/>
    <cellStyle name="差_31-预收账款（空白模板） 25" xfId="15490"/>
    <cellStyle name="差_31-预收账款（空白模板） 30" xfId="15491"/>
    <cellStyle name="差_31-预收账款（空白模板） 27" xfId="15492"/>
    <cellStyle name="差_31-预收账款（空白模板） 32" xfId="15493"/>
    <cellStyle name="差_31-预收账款（空白模板） 28" xfId="15494"/>
    <cellStyle name="差_31-预收账款（空白模板） 33" xfId="15495"/>
    <cellStyle name="差_31-预收账款（空白模板） 29" xfId="15496"/>
    <cellStyle name="差_31-预收账款（空白模板） 34" xfId="15497"/>
    <cellStyle name="好_49-营业收入（空白模板） 15_明细表 2" xfId="15498"/>
    <cellStyle name="差_31-预收账款（空白模板） 3" xfId="15499"/>
    <cellStyle name="差_31-预收账款（空白模板） 3 2" xfId="15500"/>
    <cellStyle name="好_1资产减值损失 9 3" xfId="15501"/>
    <cellStyle name="差_31-预收账款（空白模板） 3 2 2" xfId="15502"/>
    <cellStyle name="好_1资产减值损失 9 4" xfId="15503"/>
    <cellStyle name="审计调整分录" xfId="15504"/>
    <cellStyle name="差_31-预收账款（空白模板） 3 2 3" xfId="15505"/>
    <cellStyle name="差_31-预收账款（空白模板） 3 3" xfId="15506"/>
    <cellStyle name="差_31-预收账款（空白模板） 3 4" xfId="15507"/>
    <cellStyle name="差_31-预收账款（空白模板） 3 5" xfId="15508"/>
    <cellStyle name="差_31-预收账款（空白模板） 4" xfId="15509"/>
    <cellStyle name="差_31-预收账款（空白模板） 4 2" xfId="15510"/>
    <cellStyle name="差_31-预收账款（空白模板） 4 2 2" xfId="15511"/>
    <cellStyle name="差_31-预收账款（空白模板） 4 2 3" xfId="15512"/>
    <cellStyle name="差_31-预收账款（空白模板） 4 3" xfId="15513"/>
    <cellStyle name="差_31-预收账款（空白模板） 4 4" xfId="15514"/>
    <cellStyle name="差_31-预收账款（空白模板） 4_明细表" xfId="15515"/>
    <cellStyle name="好_G-应收账款 3_附注表一（财务报表）" xfId="15516"/>
    <cellStyle name="差_31-预收账款（空白模板） 5 2 2" xfId="15517"/>
    <cellStyle name="差_31-预收账款（空白模板） 5 2 3" xfId="15518"/>
    <cellStyle name="差_31-预收账款（空白模板） 5 3" xfId="15519"/>
    <cellStyle name="差_31-预收账款（空白模板） 5 4" xfId="15520"/>
    <cellStyle name="好_19-无形资产（空白模板） 7_明细表 2" xfId="15521"/>
    <cellStyle name="差_31-预收账款（空白模板） 5_明细表" xfId="15522"/>
    <cellStyle name="差_31-预收账款（空白模板） 6" xfId="15523"/>
    <cellStyle name="差_31-预收账款（空白模板） 6 2" xfId="15524"/>
    <cellStyle name="差_31-预收账款（空白模板） 6 2 2" xfId="15525"/>
    <cellStyle name="差_31-预收账款（空白模板） 6 3" xfId="15526"/>
    <cellStyle name="差_31-预收账款（空白模板） 6 4" xfId="15527"/>
    <cellStyle name="差_31-预收账款（空白模板） 7" xfId="15528"/>
    <cellStyle name="差_31-预收账款（空白模板） 7 2" xfId="15529"/>
    <cellStyle name="差_31-预收账款（空白模板） 7 2 2" xfId="15530"/>
    <cellStyle name="差_31-预收账款（空白模板） 7 2 3" xfId="15531"/>
    <cellStyle name="差_31-预收账款（空白模板） 7 3" xfId="15532"/>
    <cellStyle name="差_31-预收账款（空白模板） 7 4" xfId="15533"/>
    <cellStyle name="差_31-预收账款（空白模板） 7_明细表" xfId="15534"/>
    <cellStyle name="差_31-预收账款（空白模板） 8" xfId="15535"/>
    <cellStyle name="差_31-预收账款（空白模板） 8 2" xfId="15536"/>
    <cellStyle name="差_31-预收账款（空白模板） 8 2 2" xfId="15537"/>
    <cellStyle name="差_短期借款 2_明细表" xfId="15538"/>
    <cellStyle name="差_31-预收账款（空白模板） 8 3" xfId="15539"/>
    <cellStyle name="差_31-预收账款（空白模板） 8 4" xfId="15540"/>
    <cellStyle name="超链接 3 8" xfId="15541"/>
    <cellStyle name="差_31-预收账款（空白模板） 8_明细表" xfId="15542"/>
    <cellStyle name="常规 3 2 3 7 2" xfId="15543"/>
    <cellStyle name="差_31-预收账款（空白模板） 9" xfId="15544"/>
    <cellStyle name="差_复件 固定资产_附注表一（财务报表）" xfId="15545"/>
    <cellStyle name="差_31-预收账款（空白模板） 9 2" xfId="15546"/>
    <cellStyle name="差_31-预收账款（空白模板） 9 2 2" xfId="15547"/>
    <cellStyle name="差_31-预收账款（空白模板） 9 2 3" xfId="15548"/>
    <cellStyle name="好_54-财务费用（空白模板） 3_明细表 2" xfId="15549"/>
    <cellStyle name="差_31-预收账款（空白模板） 9 3" xfId="15550"/>
    <cellStyle name="差_31-预收账款（空白模板） 9 4" xfId="15551"/>
    <cellStyle name="差_营业收入 10" xfId="15552"/>
    <cellStyle name="差_31-预收账款（空白模板） 9_明细表" xfId="15553"/>
    <cellStyle name="差_31-预收账款（空白模板）_明细表_1" xfId="15554"/>
    <cellStyle name="好_持有至到期投资 2" xfId="15555"/>
    <cellStyle name="差_3-2 进一步审计程序-采购与付款循环" xfId="15556"/>
    <cellStyle name="差_3-2 进一步审计程序-采购与付款循环 2" xfId="15557"/>
    <cellStyle name="差_3-2 进一步审计程序-采购与付款循环 2 2" xfId="15558"/>
    <cellStyle name="差_3-2 进一步审计程序-采购与付款循环 3" xfId="15559"/>
    <cellStyle name="好_G-应收账款_附注表一（财务报表）" xfId="15560"/>
    <cellStyle name="差_3-2 进一步审计程序-采购与付款循环 3 2" xfId="15561"/>
    <cellStyle name="差_3-2 进一步审计程序-采购与付款循环 4" xfId="15562"/>
    <cellStyle name="常规 2 5 2 4 2" xfId="15563"/>
    <cellStyle name="差_32-应付职工薪酬(空白模板) 10" xfId="15564"/>
    <cellStyle name="好_30-应付账款（空白模板） 13 2 2" xfId="15565"/>
    <cellStyle name="差_32-应付职工薪酬(空白模板) 11" xfId="15566"/>
    <cellStyle name="好_30-应付账款（空白模板） 13 2 3" xfId="15567"/>
    <cellStyle name="好_54-财务费用（空白模板）_明细表" xfId="15568"/>
    <cellStyle name="差_32-应付职工薪酬(空白模板) 12" xfId="15569"/>
    <cellStyle name="好_56-公允价值损益变动（空白模板） 3 2" xfId="15570"/>
    <cellStyle name="好_30-应付账款（空白模板） 13 2 4" xfId="15571"/>
    <cellStyle name="差_32-应付职工薪酬(空白模板) 13" xfId="15572"/>
    <cellStyle name="好_56-公允价值损益变动（空白模板） 3 3" xfId="15573"/>
    <cellStyle name="好_30-应付账款（空白模板） 13 2 5" xfId="15574"/>
    <cellStyle name="差_50-营业成本（空白模板） 6_明细表" xfId="15575"/>
    <cellStyle name="差_32-应付职工薪酬(空白模板) 14" xfId="15576"/>
    <cellStyle name="差_32-应付职工薪酬(空白模板) 15" xfId="15577"/>
    <cellStyle name="差_32-应付职工薪酬(空白模板) 20" xfId="15578"/>
    <cellStyle name="好_盈余公积 2 2" xfId="15579"/>
    <cellStyle name="好_资产负债标准底稿 2 3 2 2" xfId="15580"/>
    <cellStyle name="差_32-应付职工薪酬(空白模板) 17" xfId="15581"/>
    <cellStyle name="差_32-应付职工薪酬(空白模板) 22" xfId="15582"/>
    <cellStyle name="好_盈余公积 2 4" xfId="15583"/>
    <cellStyle name="差_32-应付职工薪酬(空白模板) 18" xfId="15584"/>
    <cellStyle name="差_32-应付职工薪酬(空白模板) 23" xfId="15585"/>
    <cellStyle name="差_32-应付职工薪酬(空白模板) 19" xfId="15586"/>
    <cellStyle name="差_32-应付职工薪酬(空白模板) 24" xfId="15587"/>
    <cellStyle name="差_预收款项_明细表 2 3" xfId="15588"/>
    <cellStyle name="差_32-应付职工薪酬(空白模板) 2 2" xfId="15589"/>
    <cellStyle name="常规 2 5 2 7_附注表一（财务报表）" xfId="15590"/>
    <cellStyle name="差_32-应付职工薪酬(空白模板) 2 2 2" xfId="15591"/>
    <cellStyle name="差_预收款项_明细表 2 4" xfId="15592"/>
    <cellStyle name="差_32-应付职工薪酬(空白模板) 2 3" xfId="15593"/>
    <cellStyle name="差_预收款项_明细表 2 5" xfId="15594"/>
    <cellStyle name="差_32-应付职工薪酬(空白模板) 2 4" xfId="15595"/>
    <cellStyle name="差_32-应付职工薪酬(空白模板) 25" xfId="15596"/>
    <cellStyle name="差_32-应付职工薪酬(空白模板) 30" xfId="15597"/>
    <cellStyle name="差_32-应付职工薪酬(空白模板) 26" xfId="15598"/>
    <cellStyle name="差_32-应付职工薪酬(空白模板) 31" xfId="15599"/>
    <cellStyle name="差_32-应付职工薪酬(空白模板) 27" xfId="15600"/>
    <cellStyle name="差_32-应付职工薪酬(空白模板) 32" xfId="15601"/>
    <cellStyle name="差_32-应付职工薪酬(空白模板) 28" xfId="15602"/>
    <cellStyle name="差_32-应付职工薪酬(空白模板) 33" xfId="15603"/>
    <cellStyle name="差_32-应付职工薪酬(空白模板) 29" xfId="15604"/>
    <cellStyle name="好_财务费用 13 2 2" xfId="15605"/>
    <cellStyle name="好_资产负债类底稿模版 13 2 2" xfId="15606"/>
    <cellStyle name="差_32-应付职工薪酬(空白模板) 3 3" xfId="15607"/>
    <cellStyle name="常规 3 3 11 2" xfId="15608"/>
    <cellStyle name="差_32-应付职工薪酬(空白模板) 4" xfId="15609"/>
    <cellStyle name="常规 3 3 11 2 2" xfId="15610"/>
    <cellStyle name="差_32-应付职工薪酬(空白模板) 4 2" xfId="15611"/>
    <cellStyle name="常规 3 3 11 2 3" xfId="15612"/>
    <cellStyle name="差_32-应付职工薪酬(空白模板) 4 3" xfId="15613"/>
    <cellStyle name="常规 3 3 11 3" xfId="15614"/>
    <cellStyle name="差_32-应付职工薪酬(空白模板) 5" xfId="15615"/>
    <cellStyle name="差_32-应付职工薪酬(空白模板) 6" xfId="15616"/>
    <cellStyle name="差_32-应付职工薪酬(空白模板) 7" xfId="15617"/>
    <cellStyle name="差_底稿设置宏 6 2 2" xfId="15618"/>
    <cellStyle name="差_32-应付职工薪酬(空白模板) 8" xfId="15619"/>
    <cellStyle name="差_3-3 进一步审计程序-存货与生产循环" xfId="15620"/>
    <cellStyle name="差_3-3 进一步审计程序-存货与生产循环 2" xfId="15621"/>
    <cellStyle name="差_无形资产 8_明细表 4" xfId="15622"/>
    <cellStyle name="差_3-3 进一步审计程序-存货与生产循环 2 2" xfId="15623"/>
    <cellStyle name="好_预收款项 6 3 2" xfId="15624"/>
    <cellStyle name="常规 3 4 4 3 2" xfId="15625"/>
    <cellStyle name="差_3-3 进一步审计程序-存货与生产循环 3" xfId="15626"/>
    <cellStyle name="差_3-3 进一步审计程序-存货与生产循环 3 2" xfId="15627"/>
    <cellStyle name="好_专项应付款 6 3 2" xfId="15628"/>
    <cellStyle name="常规 182 4 2" xfId="15629"/>
    <cellStyle name="差_3-3 进一步审计程序-存货与生产循环 4" xfId="15630"/>
    <cellStyle name="好_专项应付款 6 3 3" xfId="15631"/>
    <cellStyle name="常规 182 4 3" xfId="15632"/>
    <cellStyle name="差_3-3 进一步审计程序-存货与生产循环 5" xfId="15633"/>
    <cellStyle name="差_33-应交税费（空白模板）" xfId="15634"/>
    <cellStyle name="好_15-固定资产（空白模板）_明细表 2" xfId="15635"/>
    <cellStyle name="差_33-应交税费（空白模板） 2" xfId="15636"/>
    <cellStyle name="差_33-应交税费（空白模板） 2 2" xfId="15637"/>
    <cellStyle name="差_33-应交税费（空白模板） 2 3" xfId="15638"/>
    <cellStyle name="差_33-应交税费（空白模板） 2_明细表" xfId="15639"/>
    <cellStyle name="差_51-营业税金及附加（空白模板） 3 5" xfId="15640"/>
    <cellStyle name="差_33-应交税费（空白模板） 3" xfId="15641"/>
    <cellStyle name="好_1专项应付款 2_明细表 2" xfId="15642"/>
    <cellStyle name="好_27-短期借款(空白模板) 12 2 4" xfId="15643"/>
    <cellStyle name="差_33-应交税费（空白模板） 3 2" xfId="15644"/>
    <cellStyle name="好_1资产减值损失 3_明细表 3" xfId="15645"/>
    <cellStyle name="常规 9 5 4 2 4" xfId="15646"/>
    <cellStyle name="差_专项应付款 7_明细表 3" xfId="15647"/>
    <cellStyle name="差_33-应交税费（空白模板） 4" xfId="15648"/>
    <cellStyle name="好_1专项应付款 2_明细表 3" xfId="15649"/>
    <cellStyle name="差_33-应交税费（空白模板） 5" xfId="15650"/>
    <cellStyle name="好_1专项应付款 2_明细表 4" xfId="15651"/>
    <cellStyle name="常规 15" xfId="15652"/>
    <cellStyle name="常规 20" xfId="15653"/>
    <cellStyle name="差_33-应交税费（空白模板）_明细表" xfId="15654"/>
    <cellStyle name="差_35-应付股利（空白模板）" xfId="15655"/>
    <cellStyle name="好_专项应付款 10 2 3" xfId="15656"/>
    <cellStyle name="常规 3 2 16 2 4" xfId="15657"/>
    <cellStyle name="常规 3 2 21 2 4" xfId="15658"/>
    <cellStyle name="差_35-应付股利（空白模板） 2" xfId="15659"/>
    <cellStyle name="差_35-应付股利（空白模板） 2 2" xfId="15660"/>
    <cellStyle name="好_货币资金 2 2 3" xfId="15661"/>
    <cellStyle name="常规 3 2 16 2 5" xfId="15662"/>
    <cellStyle name="常规 3 2 21 2 5" xfId="15663"/>
    <cellStyle name="差_35-应付股利（空白模板） 3" xfId="15664"/>
    <cellStyle name="差_35-应付股利（空白模板） 4" xfId="15665"/>
    <cellStyle name="差_37-长期借款（空白模板）" xfId="15666"/>
    <cellStyle name="差_实地观察模板 2" xfId="15667"/>
    <cellStyle name="差_37-长期借款（空白模板） 3" xfId="15668"/>
    <cellStyle name="差_实地观察模板 2 2" xfId="15669"/>
    <cellStyle name="注释 2 8" xfId="15670"/>
    <cellStyle name="差_37-长期借款（空白模板） 3 2" xfId="15671"/>
    <cellStyle name="差_实地观察模板 3" xfId="15672"/>
    <cellStyle name="差_37-长期借款（空白模板） 4" xfId="15673"/>
    <cellStyle name="差_大信底稿目录 2_明细表 2" xfId="15674"/>
    <cellStyle name="差_38-应付债券（空白模板）" xfId="15675"/>
    <cellStyle name="好_大信底稿目录 8_附注表一（财务报表）" xfId="15676"/>
    <cellStyle name="差_38-应付债券（空白模板） 2 2" xfId="15677"/>
    <cellStyle name="好_1资产减值损失 9_明细表 5" xfId="15678"/>
    <cellStyle name="差_38-应付债券（空白模板） 3 2" xfId="15679"/>
    <cellStyle name="差_38-应付债券（空白模板） 4" xfId="15680"/>
    <cellStyle name="差_50-营业成本（空白模板） 26" xfId="15681"/>
    <cellStyle name="差_50-营业成本（空白模板） 31" xfId="15682"/>
    <cellStyle name="差_39-长期应付款（空白模板）" xfId="15683"/>
    <cellStyle name="差_39-长期应付款（空白模板） 2" xfId="15684"/>
    <cellStyle name="差_39-长期应付款（空白模板） 2 2" xfId="15685"/>
    <cellStyle name="差_39-长期应付款（空白模板） 4" xfId="15686"/>
    <cellStyle name="差_3-应收票据（空白模板）" xfId="15687"/>
    <cellStyle name="差_资产负债标准底稿 3_明细表 3" xfId="15688"/>
    <cellStyle name="差_3-应收票据（空白模板） 2" xfId="15689"/>
    <cellStyle name="差_资产负债标准底稿 3_明细表 4" xfId="15690"/>
    <cellStyle name="差_3-应收票据（空白模板） 3" xfId="15691"/>
    <cellStyle name="差_3-应收票据（空白模板） 3 2" xfId="15692"/>
    <cellStyle name="差_资产负债标准底稿 3_明细表 5" xfId="15693"/>
    <cellStyle name="差_3-应收票据（空白模板） 4" xfId="15694"/>
    <cellStyle name="差_40-专项应付款(空白模板)" xfId="15695"/>
    <cellStyle name="差_40-专项应付款(空白模板) 10 2 3" xfId="15696"/>
    <cellStyle name="好_31-预收账款（空白模板） 17 3" xfId="15697"/>
    <cellStyle name="好_银行函证结果汇总表 6 5" xfId="15698"/>
    <cellStyle name="差_40-专项应付款(空白模板) 10 3" xfId="15699"/>
    <cellStyle name="好_31-预收账款（空白模板） 18" xfId="15700"/>
    <cellStyle name="好_31-预收账款（空白模板） 23" xfId="15701"/>
    <cellStyle name="常规 9 4 2 3 3 3" xfId="15702"/>
    <cellStyle name="差_40-专项应付款(空白模板) 10 4" xfId="15703"/>
    <cellStyle name="好_31-预收账款（空白模板） 19" xfId="15704"/>
    <cellStyle name="好_31-预收账款（空白模板） 24" xfId="15705"/>
    <cellStyle name="差_40-专项应付款(空白模板) 10_明细表" xfId="15706"/>
    <cellStyle name="常规 3 3 2 6 8" xfId="15707"/>
    <cellStyle name="常规 9 4 2 3 4" xfId="15708"/>
    <cellStyle name="差_40-专项应付款(空白模板) 11" xfId="15709"/>
    <cellStyle name="好_银行函证结果汇总表 7 4" xfId="15710"/>
    <cellStyle name="好_银行函证结果汇总表 3 2 6" xfId="15711"/>
    <cellStyle name="常规 9 4 2 3 4 2" xfId="15712"/>
    <cellStyle name="差_40-专项应付款(空白模板) 11 2" xfId="15713"/>
    <cellStyle name="常规 9 4 2 3 4 3" xfId="15714"/>
    <cellStyle name="差_40-专项应付款(空白模板) 11 3" xfId="15715"/>
    <cellStyle name="差_40-专项应付款(空白模板) 11_明细表" xfId="15716"/>
    <cellStyle name="常规 9 4 2 3 5" xfId="15717"/>
    <cellStyle name="差_40-专项应付款(空白模板) 12" xfId="15718"/>
    <cellStyle name="好_银行函证结果汇总表 8 4" xfId="15719"/>
    <cellStyle name="差_40-专项应付款(空白模板) 12 2" xfId="15720"/>
    <cellStyle name="差_40-专项应付款(空白模板) 12 3" xfId="15721"/>
    <cellStyle name="常规 4 10 5" xfId="15722"/>
    <cellStyle name="差_40-专项应付款(空白模板) 12_明细表" xfId="15723"/>
    <cellStyle name="好_银行函证结果汇总表 9 4" xfId="15724"/>
    <cellStyle name="好_1财务费用 5_附注表一（财务报表）" xfId="15725"/>
    <cellStyle name="差_40-专项应付款(空白模板) 13 2" xfId="15726"/>
    <cellStyle name="差_40-专项应付款(空白模板) 13 3" xfId="15727"/>
    <cellStyle name="差_40-专项应付款(空白模板) 13_明细表" xfId="15728"/>
    <cellStyle name="差_40-专项应付款(空白模板) 14" xfId="15729"/>
    <cellStyle name="差_FM长期应付款 3" xfId="15730"/>
    <cellStyle name="差_40-专项应付款(空白模板) 14 2" xfId="15731"/>
    <cellStyle name="差_FM长期应付款 4" xfId="15732"/>
    <cellStyle name="差_40-专项应付款(空白模板) 14 3" xfId="15733"/>
    <cellStyle name="好_山东办2011年1-6月发生但未付费用(1) 6" xfId="15734"/>
    <cellStyle name="差_40-专项应付款(空白模板) 14_明细表" xfId="15735"/>
    <cellStyle name="差_40-专项应付款(空白模板) 15" xfId="15736"/>
    <cellStyle name="差_40-专项应付款(空白模板) 20" xfId="15737"/>
    <cellStyle name="差_40-专项应付款(空白模板) 15 2" xfId="15738"/>
    <cellStyle name="好_大信底稿目录 15 2" xfId="15739"/>
    <cellStyle name="差_40-专项应付款(空白模板) 16" xfId="15740"/>
    <cellStyle name="差_40-专项应付款(空白模板) 21" xfId="15741"/>
    <cellStyle name="好_大信底稿目录 15 3" xfId="15742"/>
    <cellStyle name="差_40-专项应付款(空白模板) 17" xfId="15743"/>
    <cellStyle name="差_40-专项应付款(空白模板) 22" xfId="15744"/>
    <cellStyle name="好_大信底稿目录 15 4" xfId="15745"/>
    <cellStyle name="差_40-专项应付款(空白模板) 18" xfId="15746"/>
    <cellStyle name="差_40-专项应付款(空白模板) 23" xfId="15747"/>
    <cellStyle name="好_大信底稿目录 15 5" xfId="15748"/>
    <cellStyle name="常规 3 16 2 2" xfId="15749"/>
    <cellStyle name="常规 3 21 2 2" xfId="15750"/>
    <cellStyle name="差_40-专项应付款(空白模板) 19" xfId="15751"/>
    <cellStyle name="差_40-专项应付款(空白模板) 24" xfId="15752"/>
    <cellStyle name="好_2-风险评估分析程序" xfId="15753"/>
    <cellStyle name="差_40-专项应付款(空白模板) 2" xfId="15754"/>
    <cellStyle name="好_2-风险评估分析程序 2" xfId="15755"/>
    <cellStyle name="差_40-专项应付款(空白模板) 2 2" xfId="15756"/>
    <cellStyle name="差_40-专项应付款(空白模板) 2 2 2" xfId="15757"/>
    <cellStyle name="差_40-专项应付款(空白模板) 2 2 3" xfId="15758"/>
    <cellStyle name="好_2-风险评估分析程序 3" xfId="15759"/>
    <cellStyle name="差_40-专项应付款(空白模板) 2 3" xfId="15760"/>
    <cellStyle name="差_40-专项应付款(空白模板) 2 4" xfId="15761"/>
    <cellStyle name="好_底稿设置宏_大信底稿目录 5 2" xfId="15762"/>
    <cellStyle name="差_40-专项应付款(空白模板) 2 6" xfId="15763"/>
    <cellStyle name="好_大信底稿目录 15 6" xfId="15764"/>
    <cellStyle name="常规 3 16 2 3" xfId="15765"/>
    <cellStyle name="常规 3 21 2 3" xfId="15766"/>
    <cellStyle name="好_51-营业税金及附加（空白模板） 3 3 2" xfId="15767"/>
    <cellStyle name="差_40-专项应付款(空白模板) 25" xfId="15768"/>
    <cellStyle name="差_40-专项应付款(空白模板) 30" xfId="15769"/>
    <cellStyle name="常规 3 8_附注表一（财务报表）" xfId="15770"/>
    <cellStyle name="好_专项应付款 9_明细表 2" xfId="15771"/>
    <cellStyle name="常规 3 16 2 4" xfId="15772"/>
    <cellStyle name="常规 3 21 2 4" xfId="15773"/>
    <cellStyle name="差_40-专项应付款(空白模板) 26" xfId="15774"/>
    <cellStyle name="差_40-专项应付款(空白模板) 31" xfId="15775"/>
    <cellStyle name="好_专项应付款 9_明细表 3" xfId="15776"/>
    <cellStyle name="常规 3 16 2 5" xfId="15777"/>
    <cellStyle name="常规 3 21 2 5" xfId="15778"/>
    <cellStyle name="差_40-专项应付款(空白模板) 27" xfId="15779"/>
    <cellStyle name="差_40-专项应付款(空白模板) 32" xfId="15780"/>
    <cellStyle name="好_专项应付款 9_明细表 4" xfId="15781"/>
    <cellStyle name="常规 9 7 2" xfId="15782"/>
    <cellStyle name="差_40-专项应付款(空白模板) 28" xfId="15783"/>
    <cellStyle name="差_40-专项应付款(空白模板) 33" xfId="15784"/>
    <cellStyle name="好_专项应付款 9_明细表 5" xfId="15785"/>
    <cellStyle name="常规 9 7 3" xfId="15786"/>
    <cellStyle name="差_40-专项应付款(空白模板) 29" xfId="15787"/>
    <cellStyle name="差_40-专项应付款(空白模板) 34" xfId="15788"/>
    <cellStyle name="差_40-专项应付款(空白模板) 3" xfId="15789"/>
    <cellStyle name="差_40-专项应付款(空白模板) 3 2" xfId="15790"/>
    <cellStyle name="差_40-专项应付款(空白模板) 3 2 2" xfId="15791"/>
    <cellStyle name="差_40-专项应付款(空白模板) 3 2 3" xfId="15792"/>
    <cellStyle name="差_40-专项应付款(空白模板) 3 4" xfId="15793"/>
    <cellStyle name="差_40-专项应付款(空白模板) 3 5" xfId="15794"/>
    <cellStyle name="差_40-专项应付款(空白模板) 4" xfId="15795"/>
    <cellStyle name="差_40-专项应付款(空白模板) 4 2" xfId="15796"/>
    <cellStyle name="常规 3 2 28 2 2" xfId="15797"/>
    <cellStyle name="差_40-专项应付款(空白模板) 4 3" xfId="15798"/>
    <cellStyle name="常规 3 2 28 2 3" xfId="15799"/>
    <cellStyle name="差_40-专项应付款(空白模板) 4 4" xfId="15800"/>
    <cellStyle name="差_40-专项应付款(空白模板) 5" xfId="15801"/>
    <cellStyle name="差_40-专项应付款(空白模板) 5 2" xfId="15802"/>
    <cellStyle name="常规 3 2 28 3 3" xfId="15803"/>
    <cellStyle name="差_40-专项应付款(空白模板) 5 4" xfId="15804"/>
    <cellStyle name="差_40-专项应付款(空白模板) 6 2 3" xfId="15805"/>
    <cellStyle name="差_40-专项应付款(空白模板) 6 3" xfId="15806"/>
    <cellStyle name="差_40-专项应付款(空白模板) 6 4" xfId="15807"/>
    <cellStyle name="差_40-专项应付款(空白模板) 7" xfId="15808"/>
    <cellStyle name="差_40-专项应付款(空白模板) 7 2" xfId="15809"/>
    <cellStyle name="差_40-专项应付款(空白模板) 7 2 2" xfId="15810"/>
    <cellStyle name="差_40-专项应付款(空白模板) 7 2 3" xfId="15811"/>
    <cellStyle name="差_40-专项应付款(空白模板) 7 3" xfId="15812"/>
    <cellStyle name="差_40-专项应付款(空白模板) 7 4" xfId="15813"/>
    <cellStyle name="好_S4-1营业税金及附加审定表 2" xfId="15814"/>
    <cellStyle name="好_50-营业成本（空白模板） 15 3" xfId="15815"/>
    <cellStyle name="好_3-2 进一步审计程序-采购与付款循环 2" xfId="15816"/>
    <cellStyle name="差_40-专项应付款(空白模板) 7_明细表" xfId="15817"/>
    <cellStyle name="差_40-专项应付款(空白模板) 8" xfId="15818"/>
    <cellStyle name="差_40-专项应付款(空白模板) 8 2" xfId="15819"/>
    <cellStyle name="差_40-专项应付款(空白模板) 8 2 2" xfId="15820"/>
    <cellStyle name="差_40-专项应付款(空白模板) 8 2 3" xfId="15821"/>
    <cellStyle name="差_40-专项应付款(空白模板) 8 3" xfId="15822"/>
    <cellStyle name="差_55-资产减值损失（空白模板）_固定资产" xfId="15823"/>
    <cellStyle name="差_40-专项应付款(空白模板) 8 4" xfId="15824"/>
    <cellStyle name="差_40-专项应付款(空白模板) 8_明细表" xfId="15825"/>
    <cellStyle name="差_40-专项应付款(空白模板) 9" xfId="15826"/>
    <cellStyle name="差_40-专项应付款(空白模板) 9 2" xfId="15827"/>
    <cellStyle name="差_40-专项应付款(空白模板) 9 2 2" xfId="15828"/>
    <cellStyle name="差_40-专项应付款(空白模板) 9 2 3" xfId="15829"/>
    <cellStyle name="差_G-应收账款 9 2 2" xfId="15830"/>
    <cellStyle name="差_40-专项应付款(空白模板) 9 3" xfId="15831"/>
    <cellStyle name="差_G-应收账款 9 2 3" xfId="15832"/>
    <cellStyle name="差_40-专项应付款(空白模板) 9 4" xfId="15833"/>
    <cellStyle name="差_40-专项应付款(空白模板) 9_明细表" xfId="15834"/>
    <cellStyle name="常规 2 3 2 2 10 2 3" xfId="15835"/>
    <cellStyle name="差_40-专项应付款(空白模板)_明细表" xfId="15836"/>
    <cellStyle name="差_40-专项应付款(空白模板)_明细表 2" xfId="15837"/>
    <cellStyle name="差_41-预计负债（空白模板） 4" xfId="15838"/>
    <cellStyle name="常规 2 2 15 2 3" xfId="15839"/>
    <cellStyle name="常规 2 2 20 2 3" xfId="15840"/>
    <cellStyle name="差_40-专项应付款(空白模板)_明细表_1" xfId="15841"/>
    <cellStyle name="好_财务费用 17 5" xfId="15842"/>
    <cellStyle name="差_预收款项 7 2 2" xfId="15843"/>
    <cellStyle name="差_41-预计负债（空白模板）" xfId="15844"/>
    <cellStyle name="差_41-预计负债（空白模板） 2" xfId="15845"/>
    <cellStyle name="差_41-预计负债（空白模板） 2 2" xfId="15846"/>
    <cellStyle name="差_41-预计负债（空白模板） 3" xfId="15847"/>
    <cellStyle name="差_41-预计负债（空白模板） 3 2" xfId="15848"/>
    <cellStyle name="差_42-递延所得税负债（空白模板）" xfId="15849"/>
    <cellStyle name="差_42-递延所得税负债（空白模板） 3" xfId="15850"/>
    <cellStyle name="差_42-递延所得税负债（空白模板） 3 2" xfId="15851"/>
    <cellStyle name="差_42-递延所得税负债（空白模板） 4" xfId="15852"/>
    <cellStyle name="差_45-股本（实收资本）（空白模板）" xfId="15853"/>
    <cellStyle name="好_应收账款 5" xfId="15854"/>
    <cellStyle name="好_ZQ工程物资 3" xfId="15855"/>
    <cellStyle name="差_45-股本（实收资本）（空白模板） 2" xfId="15856"/>
    <cellStyle name="好_应收账款 5 2" xfId="15857"/>
    <cellStyle name="好_ZQ工程物资 3 2" xfId="15858"/>
    <cellStyle name="差_45-股本（实收资本）（空白模板） 2 2" xfId="15859"/>
    <cellStyle name="差_46-资本公积（空白模板）" xfId="15860"/>
    <cellStyle name="好_银行函证结果汇总表 11_明细表 4" xfId="15861"/>
    <cellStyle name="差_46-资本公积（空白模板） 3" xfId="15862"/>
    <cellStyle name="差_G-应收账款 27" xfId="15863"/>
    <cellStyle name="差_G-应收账款 32" xfId="15864"/>
    <cellStyle name="差_46-资本公积（空白模板） 3 2" xfId="15865"/>
    <cellStyle name="好_银行函证结果汇总表 11_明细表 5" xfId="15866"/>
    <cellStyle name="好_存货 15 2" xfId="15867"/>
    <cellStyle name="千位分隔 2 2 14 2 2" xfId="15868"/>
    <cellStyle name="差_46-资本公积（空白模板） 4" xfId="15869"/>
    <cellStyle name="差_47-盈余公积（空白模板）" xfId="15870"/>
    <cellStyle name="差_FO预计负债 4 3" xfId="15871"/>
    <cellStyle name="差_47-盈余公积（空白模板） 2" xfId="15872"/>
    <cellStyle name="好_1预收款项 3_明细表" xfId="15873"/>
    <cellStyle name="好_复件 持有至到期投资" xfId="15874"/>
    <cellStyle name="好_其他应收款 3 3 2" xfId="15875"/>
    <cellStyle name="差_47-盈余公积（空白模板） 3" xfId="15876"/>
    <cellStyle name="好_1预收款项 3_明细表 2" xfId="15877"/>
    <cellStyle name="好_复件 持有至到期投资 2" xfId="15878"/>
    <cellStyle name="差_47-盈余公积（空白模板） 3 2" xfId="15879"/>
    <cellStyle name="好_19-无形资产（空白模板） 3 2" xfId="15880"/>
    <cellStyle name="差_47-盈余公积（空白模板） 4" xfId="15881"/>
    <cellStyle name="差_48-未分配利润（空白模板）" xfId="15882"/>
    <cellStyle name="差_48-未分配利润（空白模板） 2" xfId="15883"/>
    <cellStyle name="好_长期借款 3" xfId="15884"/>
    <cellStyle name="差_48-未分配利润（空白模板） 2 2" xfId="15885"/>
    <cellStyle name="差_48-未分配利润（空白模板） 3" xfId="15886"/>
    <cellStyle name="差_48-未分配利润（空白模板） 3 2" xfId="15887"/>
    <cellStyle name="差_48-未分配利润（空白模板） 4" xfId="15888"/>
    <cellStyle name="好_1营业外收入_附注表一（财务报表）" xfId="15889"/>
    <cellStyle name="差_48-未分配利润（空白模板）_明细表" xfId="15890"/>
    <cellStyle name="差_49-营业收入（空白模板）" xfId="15891"/>
    <cellStyle name="差_49-营业收入（空白模板） 10" xfId="15892"/>
    <cellStyle name="差_49-营业收入（空白模板） 10 2 2" xfId="15893"/>
    <cellStyle name="差_49-营业收入（空白模板） 10 2 3" xfId="15894"/>
    <cellStyle name="差_49-营业收入（空白模板） 10 3" xfId="15895"/>
    <cellStyle name="差_49-营业收入（空白模板） 10 4" xfId="15896"/>
    <cellStyle name="好_54-财务费用（空白模板） 2 2" xfId="15897"/>
    <cellStyle name="差_49-营业收入（空白模板） 10_明细表" xfId="15898"/>
    <cellStyle name="差_49-营业收入（空白模板） 11 3" xfId="15899"/>
    <cellStyle name="差_无形资产 9_明细表 4" xfId="15900"/>
    <cellStyle name="差_49-营业收入（空白模板） 11_明细表" xfId="15901"/>
    <cellStyle name="好_1应收账款_明细表 2 2" xfId="15902"/>
    <cellStyle name="好_1营业收入 2_明细表 2" xfId="15903"/>
    <cellStyle name="差_49-营业收入（空白模板） 12 2" xfId="15904"/>
    <cellStyle name="好_49-营业收入（空白模板） 8_明细表" xfId="15905"/>
    <cellStyle name="好_1应收账款_明细表 2 3" xfId="15906"/>
    <cellStyle name="好_1营业收入 2_明细表 3" xfId="15907"/>
    <cellStyle name="差_49-营业收入（空白模板） 12 3" xfId="15908"/>
    <cellStyle name="差_49-营业收入（空白模板） 12_明细表" xfId="15909"/>
    <cellStyle name="差_49-营业收入（空白模板） 13 3" xfId="15910"/>
    <cellStyle name="好_1应收账款_明细表 4" xfId="15911"/>
    <cellStyle name="好_1短期借款 16 2 3" xfId="15912"/>
    <cellStyle name="差_49-营业收入（空白模板） 14" xfId="15913"/>
    <cellStyle name="差_无形资产 2_附注表一（财务报表）" xfId="15914"/>
    <cellStyle name="差_49-营业收入（空白模板） 14 2" xfId="15915"/>
    <cellStyle name="差_49-营业收入（空白模板） 14 3" xfId="15916"/>
    <cellStyle name="差_山东办2011年1-6月发生但未付费用(1) 6" xfId="15917"/>
    <cellStyle name="差_49-营业收入（空白模板） 14_明细表" xfId="15918"/>
    <cellStyle name="好_1应收账款_明细表 5" xfId="15919"/>
    <cellStyle name="好_1短期借款 16 2 4" xfId="15920"/>
    <cellStyle name="差_49-营业收入（空白模板） 15" xfId="15921"/>
    <cellStyle name="差_49-营业收入（空白模板） 20" xfId="15922"/>
    <cellStyle name="差_49-营业收入（空白模板） 15 2" xfId="15923"/>
    <cellStyle name="好_1应收账款_明细表 6" xfId="15924"/>
    <cellStyle name="好_1短期借款 16 2 5" xfId="15925"/>
    <cellStyle name="差_54-财务费用（空白模板） 3 2" xfId="15926"/>
    <cellStyle name="差_49-营业收入（空白模板） 16" xfId="15927"/>
    <cellStyle name="差_49-营业收入（空白模板） 21" xfId="15928"/>
    <cellStyle name="差_54-财务费用（空白模板） 3 2 2" xfId="15929"/>
    <cellStyle name="好_31-预收账款（空白模板） 4_明细表" xfId="15930"/>
    <cellStyle name="差_49-营业收入（空白模板） 16 2" xfId="15931"/>
    <cellStyle name="差_54-财务费用（空白模板） 3 3" xfId="15932"/>
    <cellStyle name="差_49-营业收入（空白模板） 17" xfId="15933"/>
    <cellStyle name="差_49-营业收入（空白模板） 22" xfId="15934"/>
    <cellStyle name="差_54-财务费用（空白模板） 3 4" xfId="15935"/>
    <cellStyle name="差_49-营业收入（空白模板） 18" xfId="15936"/>
    <cellStyle name="差_49-营业收入（空白模板） 23" xfId="15937"/>
    <cellStyle name="好_存货 6 2" xfId="15938"/>
    <cellStyle name="差_54-财务费用（空白模板） 3 5" xfId="15939"/>
    <cellStyle name="差_49-营业收入（空白模板） 19" xfId="15940"/>
    <cellStyle name="差_49-营业收入（空白模板） 24" xfId="15941"/>
    <cellStyle name="好_1资产减值损失 2 3 3" xfId="15942"/>
    <cellStyle name="好_应付票据 5" xfId="15943"/>
    <cellStyle name="差_49-营业收入（空白模板） 2" xfId="15944"/>
    <cellStyle name="好_应付票据 5 2" xfId="15945"/>
    <cellStyle name="差_49-营业收入（空白模板） 2 2" xfId="15946"/>
    <cellStyle name="差_49-营业收入（空白模板） 2 2 2" xfId="15947"/>
    <cellStyle name="好_50-营业成本（空白模板）_应收账款 2" xfId="15948"/>
    <cellStyle name="差_49-营业收入（空白模板） 2 2 3" xfId="15949"/>
    <cellStyle name="好_应付票据 5 3" xfId="15950"/>
    <cellStyle name="差_dxn底稿目录 2 2" xfId="15951"/>
    <cellStyle name="差_49-营业收入（空白模板） 2 3" xfId="15952"/>
    <cellStyle name="差_dxn底稿目录 2 3" xfId="15953"/>
    <cellStyle name="货币 10 2" xfId="15954"/>
    <cellStyle name="差_49-营业收入（空白模板） 2 4" xfId="15955"/>
    <cellStyle name="好_40-专项应付款(空白模板) 5_附注表一（财务报表）" xfId="15956"/>
    <cellStyle name="差_dxn底稿目录 2 4" xfId="15957"/>
    <cellStyle name="差_49-营业收入（空白模板） 2 5" xfId="15958"/>
    <cellStyle name="差_dxn底稿目录 2 5" xfId="15959"/>
    <cellStyle name="差_49-营业收入（空白模板） 2 6" xfId="15960"/>
    <cellStyle name="好_ZA0货币资金审定表  13 3" xfId="15961"/>
    <cellStyle name="好_4-应收账款（空白模板） 7_附注表一（财务报表）" xfId="15962"/>
    <cellStyle name="差_49-营业收入（空白模板） 2_明细表" xfId="15963"/>
    <cellStyle name="差_49-营业收入（空白模板） 25" xfId="15964"/>
    <cellStyle name="差_49-营业收入（空白模板） 30" xfId="15965"/>
    <cellStyle name="差_49-营业收入（空白模板） 26" xfId="15966"/>
    <cellStyle name="差_49-营业收入（空白模板） 31" xfId="15967"/>
    <cellStyle name="差_49-营业收入（空白模板） 27" xfId="15968"/>
    <cellStyle name="差_49-营业收入（空白模板） 32" xfId="15969"/>
    <cellStyle name="差_49-营业收入（空白模板） 28" xfId="15970"/>
    <cellStyle name="差_49-营业收入（空白模板） 33" xfId="15971"/>
    <cellStyle name="差_49-营业收入（空白模板） 29" xfId="15972"/>
    <cellStyle name="差_49-营业收入（空白模板） 34" xfId="15973"/>
    <cellStyle name="好_应付票据 6" xfId="15974"/>
    <cellStyle name="差_49-营业收入（空白模板） 3" xfId="15975"/>
    <cellStyle name="差_49-营业收入（空白模板） 3 2" xfId="15976"/>
    <cellStyle name="差_49-营业收入（空白模板） 3 2 2" xfId="15977"/>
    <cellStyle name="差_基础信息表及表单（江苏国税）0711" xfId="15978"/>
    <cellStyle name="差_49-营业收入（空白模板） 3 2 3" xfId="15979"/>
    <cellStyle name="差_dxn底稿目录 3 3" xfId="15980"/>
    <cellStyle name="差_49-营业收入（空白模板） 3 4" xfId="15981"/>
    <cellStyle name="差_dxn底稿目录 3 4" xfId="15982"/>
    <cellStyle name="差_49-营业收入（空白模板） 3 5" xfId="15983"/>
    <cellStyle name="差_49-营业收入（空白模板） 3_明细表" xfId="15984"/>
    <cellStyle name="差_54-财务费用（空白模板） 15 2" xfId="15985"/>
    <cellStyle name="好_应付票据 7" xfId="15986"/>
    <cellStyle name="差_49-营业收入（空白模板） 4" xfId="15987"/>
    <cellStyle name="好_营业收入 2 4" xfId="15988"/>
    <cellStyle name="差_dxn底稿目录 4 2" xfId="15989"/>
    <cellStyle name="差_49-营业收入（空白模板） 4 3" xfId="15990"/>
    <cellStyle name="好_营业收入 2 5" xfId="15991"/>
    <cellStyle name="差_dxn底稿目录 4 3" xfId="15992"/>
    <cellStyle name="差_49-营业收入（空白模板） 4 4" xfId="15993"/>
    <cellStyle name="好_营业收入 2 6" xfId="15994"/>
    <cellStyle name="差_dxn底稿目录 4 4" xfId="15995"/>
    <cellStyle name="差_49-营业收入（空白模板） 4 5" xfId="15996"/>
    <cellStyle name="差_49-营业收入（空白模板） 4_明细表" xfId="15997"/>
    <cellStyle name="差_49-营业收入（空白模板） 5" xfId="15998"/>
    <cellStyle name="好_营业收入 3 3" xfId="15999"/>
    <cellStyle name="差_49-营业收入（空白模板） 5 2" xfId="16000"/>
    <cellStyle name="好_营业收入 3 4" xfId="16001"/>
    <cellStyle name="差_dxn底稿目录 5 2" xfId="16002"/>
    <cellStyle name="差_49-营业收入（空白模板） 5 3" xfId="16003"/>
    <cellStyle name="好_营业收入 3 5" xfId="16004"/>
    <cellStyle name="差_dxn底稿目录 5 3" xfId="16005"/>
    <cellStyle name="差_49-营业收入（空白模板） 5 4" xfId="16006"/>
    <cellStyle name="差_49-营业收入（空白模板） 5_明细表" xfId="16007"/>
    <cellStyle name="差_49-营业收入（空白模板） 6" xfId="16008"/>
    <cellStyle name="好_营业收入 4 3" xfId="16009"/>
    <cellStyle name="差_49-营业收入（空白模板） 6 2" xfId="16010"/>
    <cellStyle name="好_营业收入 4 3 2" xfId="16011"/>
    <cellStyle name="好_30-应付账款（空白模板） 4 3" xfId="16012"/>
    <cellStyle name="差_49-营业收入（空白模板） 6 2 2" xfId="16013"/>
    <cellStyle name="好_营业收入 4 4" xfId="16014"/>
    <cellStyle name="差_dxn底稿目录 6 2" xfId="16015"/>
    <cellStyle name="差_49-营业收入（空白模板） 6 3" xfId="16016"/>
    <cellStyle name="好_营业收入 4 5" xfId="16017"/>
    <cellStyle name="差_dxn底稿目录 6 3" xfId="16018"/>
    <cellStyle name="差_49-营业收入（空白模板） 6 4" xfId="16019"/>
    <cellStyle name="差_49-营业收入（空白模板） 7" xfId="16020"/>
    <cellStyle name="好_营业收入 5 3" xfId="16021"/>
    <cellStyle name="差_49-营业收入（空白模板） 7 2" xfId="16022"/>
    <cellStyle name="好_1资产减值损失 5 4" xfId="16023"/>
    <cellStyle name="好_营业收入 5 3 2" xfId="16024"/>
    <cellStyle name="差_专项应付款 9 4" xfId="16025"/>
    <cellStyle name="差_49-营业收入（空白模板） 7 2 2" xfId="16026"/>
    <cellStyle name="好_营业收入 5 4" xfId="16027"/>
    <cellStyle name="差_dxn底稿目录 7 2" xfId="16028"/>
    <cellStyle name="差_49-营业收入（空白模板） 7 3" xfId="16029"/>
    <cellStyle name="差_49-营业收入（空白模板） 7_明细表" xfId="16030"/>
    <cellStyle name="差_49-营业收入（空白模板） 8" xfId="16031"/>
    <cellStyle name="好_营业收入 6 3" xfId="16032"/>
    <cellStyle name="差_49-营业收入（空白模板） 8 2" xfId="16033"/>
    <cellStyle name="千位分隔 5 12 3" xfId="16034"/>
    <cellStyle name="好_营业收入 6 3 2" xfId="16035"/>
    <cellStyle name="差_49-营业收入（空白模板） 8 2 2" xfId="16036"/>
    <cellStyle name="好_营业收入 6 4" xfId="16037"/>
    <cellStyle name="差_dxn底稿目录 8 2" xfId="16038"/>
    <cellStyle name="差_49-营业收入（空白模板） 8 3" xfId="16039"/>
    <cellStyle name="好_营业收入 6 5" xfId="16040"/>
    <cellStyle name="差_dxn底稿目录 8 3" xfId="16041"/>
    <cellStyle name="差_49-营业收入（空白模板） 8 4" xfId="16042"/>
    <cellStyle name="差_49-营业收入（空白模板） 8_明细表" xfId="16043"/>
    <cellStyle name="差_49-营业收入（空白模板） 9" xfId="16044"/>
    <cellStyle name="好_营业收入 7 3" xfId="16045"/>
    <cellStyle name="差_49-营业收入（空白模板） 9 2" xfId="16046"/>
    <cellStyle name="差_49-营业收入（空白模板） 9 2 2" xfId="16047"/>
    <cellStyle name="差_dxn底稿目录 9 3" xfId="16048"/>
    <cellStyle name="差_49-营业收入（空白模板） 9 4" xfId="16049"/>
    <cellStyle name="差_49-营业收入（空白模板） 9_明细表" xfId="16050"/>
    <cellStyle name="差_Z19-1审定表" xfId="16051"/>
    <cellStyle name="差_49-营业收入（空白模板）_3固定资产" xfId="16052"/>
    <cellStyle name="好_应付账款 - 复制 4" xfId="16053"/>
    <cellStyle name="差_49-营业收入（空白模板）_3固定资产 2" xfId="16054"/>
    <cellStyle name="差_49-营业收入（空白模板）_Book2" xfId="16055"/>
    <cellStyle name="好_22-长期待摊费用（空白模板）_明细表 3" xfId="16056"/>
    <cellStyle name="差_49-营业收入（空白模板）_Book2 2" xfId="16057"/>
    <cellStyle name="差_49-营业收入（空白模板）_财务费用" xfId="16058"/>
    <cellStyle name="差_49-营业收入（空白模板）_固定资产" xfId="16059"/>
    <cellStyle name="差_复件 固定资产 11_明细表 5" xfId="16060"/>
    <cellStyle name="差_49-营业收入（空白模板）_固定资产 2" xfId="16061"/>
    <cellStyle name="好_1预收款项 11_明细表 2" xfId="16062"/>
    <cellStyle name="好_1营业收入 8 2" xfId="16063"/>
    <cellStyle name="差_49-营业收入（空白模板）_货币资金" xfId="16064"/>
    <cellStyle name="常规 2 3 2 6" xfId="16065"/>
    <cellStyle name="好_1营业收入 8 2 2" xfId="16066"/>
    <cellStyle name="輔色5" xfId="16067"/>
    <cellStyle name="常规 9 4 7 3" xfId="16068"/>
    <cellStyle name="差_49-营业收入（空白模板）_货币资金 2" xfId="16069"/>
    <cellStyle name="常规 2 3 2 6 2" xfId="16070"/>
    <cellStyle name="差_49-营业收入（空白模板）_明细表" xfId="16071"/>
    <cellStyle name="差_49-营业收入（空白模板）_明细表 2" xfId="16072"/>
    <cellStyle name="差_49-营业收入（空白模板）_应收账款" xfId="16073"/>
    <cellStyle name="差_49-营业收入（空白模板）_应收账款 2" xfId="16074"/>
    <cellStyle name="差_4-对环境事项的考虑【定】" xfId="16075"/>
    <cellStyle name="差_4-应收账款（空白模板）" xfId="16076"/>
    <cellStyle name="差_ZA0货币资金审定表  9 2 3" xfId="16077"/>
    <cellStyle name="差_4-应收账款（空白模板） 10 2 3" xfId="16078"/>
    <cellStyle name="好_递延所得税负债 - 复制 4 3" xfId="16079"/>
    <cellStyle name="差_ZA0货币资金审定表  9 4" xfId="16080"/>
    <cellStyle name="差_无形资产 14 2" xfId="16081"/>
    <cellStyle name="差_4-应收账款（空白模板） 10 4" xfId="16082"/>
    <cellStyle name="差_ZA0货币资金审定表  9_明细表" xfId="16083"/>
    <cellStyle name="好_1财务费用 3 2 2" xfId="16084"/>
    <cellStyle name="差_4-应收账款（空白模板） 10_明细表" xfId="16085"/>
    <cellStyle name="好_递延所得税负债 - 复制 5 2" xfId="16086"/>
    <cellStyle name="差_4-应收账款（空白模板） 11 3" xfId="16087"/>
    <cellStyle name="好_1财务费用 4 2 2" xfId="16088"/>
    <cellStyle name="差_4-应收账款（空白模板） 11_明细表" xfId="16089"/>
    <cellStyle name="差_4-应收账款（空白模板） 12_明细表" xfId="16090"/>
    <cellStyle name="好_30-应付账款（空白模板） 5 5" xfId="16091"/>
    <cellStyle name="好_1财务费用 5 2 2" xfId="16092"/>
    <cellStyle name="好_1财务费用 6 2 2" xfId="16093"/>
    <cellStyle name="差_4-应收账款（空白模板） 13_明细表" xfId="16094"/>
    <cellStyle name="好_1营业收入 3_明细表 3" xfId="16095"/>
    <cellStyle name="好_1财务费用 7 2 2" xfId="16096"/>
    <cellStyle name="差_4-应收账款（空白模板） 14_明细表" xfId="16097"/>
    <cellStyle name="好_复件 固定资产 9 2 2" xfId="16098"/>
    <cellStyle name="差_4-应收账款（空白模板） 16" xfId="16099"/>
    <cellStyle name="差_4-应收账款（空白模板） 21" xfId="16100"/>
    <cellStyle name="差_4-应收账款（空白模板） 16 2" xfId="16101"/>
    <cellStyle name="好_复件 固定资产 9 2 3" xfId="16102"/>
    <cellStyle name="差_4-应收账款（空白模板） 17" xfId="16103"/>
    <cellStyle name="差_4-应收账款（空白模板） 22" xfId="16104"/>
    <cellStyle name="好_复件 固定资产 9 2 4" xfId="16105"/>
    <cellStyle name="差_4-应收账款（空白模板） 18" xfId="16106"/>
    <cellStyle name="差_4-应收账款（空白模板） 23" xfId="16107"/>
    <cellStyle name="好_复件 固定资产 9 2 5" xfId="16108"/>
    <cellStyle name="差_4-应收账款（空白模板） 19" xfId="16109"/>
    <cellStyle name="差_4-应收账款（空白模板） 24" xfId="16110"/>
    <cellStyle name="差_4-应收账款（空白模板） 2" xfId="16111"/>
    <cellStyle name="差_4-应收账款（空白模板） 2 2" xfId="16112"/>
    <cellStyle name="差_4-应收账款（空白模板） 2 2 2" xfId="16113"/>
    <cellStyle name="差_4-应收账款（空白模板） 2 2 3" xfId="16114"/>
    <cellStyle name="差_4-应收账款（空白模板） 2 3" xfId="16115"/>
    <cellStyle name="差_4-应收账款（空白模板） 2 4" xfId="16116"/>
    <cellStyle name="差_4-应收账款（空白模板） 2_明细表" xfId="16117"/>
    <cellStyle name="差_4-应收账款（空白模板） 25" xfId="16118"/>
    <cellStyle name="差_4-应收账款（空白模板） 30" xfId="16119"/>
    <cellStyle name="差_4-应收账款（空白模板） 26" xfId="16120"/>
    <cellStyle name="差_4-应收账款（空白模板） 31" xfId="16121"/>
    <cellStyle name="差_4-应收账款（空白模板） 27" xfId="16122"/>
    <cellStyle name="差_4-应收账款（空白模板） 32" xfId="16123"/>
    <cellStyle name="差_4-应收账款（空白模板） 28" xfId="16124"/>
    <cellStyle name="差_4-应收账款（空白模板） 33" xfId="16125"/>
    <cellStyle name="差_4-应收账款（空白模板） 29" xfId="16126"/>
    <cellStyle name="差_4-应收账款（空白模板） 34" xfId="16127"/>
    <cellStyle name="差_4-应收账款（空白模板） 3" xfId="16128"/>
    <cellStyle name="差_ZA0货币资金审定表  27" xfId="16129"/>
    <cellStyle name="差_ZA0货币资金审定表  32" xfId="16130"/>
    <cellStyle name="差_4-应收账款（空白模板） 3 2" xfId="16131"/>
    <cellStyle name="差_底稿设置宏 10_明细表 3" xfId="16132"/>
    <cellStyle name="差_4-应收账款（空白模板） 3 2 2" xfId="16133"/>
    <cellStyle name="差_ZA0货币资金审定表  28" xfId="16134"/>
    <cellStyle name="差_ZA0货币资金审定表  33" xfId="16135"/>
    <cellStyle name="差_4-应收账款（空白模板） 3 3" xfId="16136"/>
    <cellStyle name="差_ZA0货币资金审定表  29" xfId="16137"/>
    <cellStyle name="差_ZA0货币资金审定表  34" xfId="16138"/>
    <cellStyle name="差_4-应收账款（空白模板） 3 4" xfId="16139"/>
    <cellStyle name="差_4-应收账款（空白模板） 3 5" xfId="16140"/>
    <cellStyle name="差_50-营业成本（空白模板） 8 4" xfId="16141"/>
    <cellStyle name="差_4-应收账款（空白模板） 3_明细表" xfId="16142"/>
    <cellStyle name="好_1资产减值损失 3 2 6" xfId="16143"/>
    <cellStyle name="差_4-应收账款（空白模板） 4 2" xfId="16144"/>
    <cellStyle name="常规 2 6_附注表一（财务报表）" xfId="16145"/>
    <cellStyle name="差_G-应收账款 9" xfId="16146"/>
    <cellStyle name="差_4-应收账款（空白模板） 4 2 2" xfId="16147"/>
    <cellStyle name="差_4-应收账款（空白模板） 4 2 3" xfId="16148"/>
    <cellStyle name="差_4-应收账款（空白模板） 4 3" xfId="16149"/>
    <cellStyle name="差_4-应收账款（空白模板） 4 4" xfId="16150"/>
    <cellStyle name="差_4-应收账款（空白模板） 4 5" xfId="16151"/>
    <cellStyle name="差_4-应收账款（空白模板） 4_明细表" xfId="16152"/>
    <cellStyle name="好_51-营业税金及附加（空白模板） 7_明细表 2" xfId="16153"/>
    <cellStyle name="差_4-应收账款（空白模板） 5 2" xfId="16154"/>
    <cellStyle name="好_4-应收账款（空白模板） 6" xfId="16155"/>
    <cellStyle name="差_4-应收账款（空白模板） 5 2 2" xfId="16156"/>
    <cellStyle name="好_51-营业税金及附加（空白模板） 7_明细表 3" xfId="16157"/>
    <cellStyle name="差_4-应收账款（空白模板） 5 3" xfId="16158"/>
    <cellStyle name="好_51-营业税金及附加（空白模板） 7_明细表 4" xfId="16159"/>
    <cellStyle name="差_4-应收账款（空白模板） 5 4" xfId="16160"/>
    <cellStyle name="差_4-应收账款（空白模板） 5_明细表" xfId="16161"/>
    <cellStyle name="差_4-应收账款（空白模板） 6 2 2" xfId="16162"/>
    <cellStyle name="差_4-应收账款（空白模板） 6 2 3" xfId="16163"/>
    <cellStyle name="差_4-应收账款（空白模板） 6 3" xfId="16164"/>
    <cellStyle name="差_4-应收账款（空白模板） 6 4" xfId="16165"/>
    <cellStyle name="好_短期借款 13_附注表一（财务报表）" xfId="16166"/>
    <cellStyle name="差_4-应收账款（空白模板） 6_明细表" xfId="16167"/>
    <cellStyle name="好_1存货 5" xfId="16168"/>
    <cellStyle name="好_1预收款项 13_明细表 4" xfId="16169"/>
    <cellStyle name="差_4-应收账款（空白模板） 7 2" xfId="16170"/>
    <cellStyle name="差_4-应收账款（空白模板） 7 2 2" xfId="16171"/>
    <cellStyle name="差_4-应收账款（空白模板） 7 2 3" xfId="16172"/>
    <cellStyle name="差_55-资产减值损失（空白模板） 10" xfId="16173"/>
    <cellStyle name="差_4-应收账款（空白模板） 7 4" xfId="16174"/>
    <cellStyle name="差_4-应收账款（空白模板） 7_明细表" xfId="16175"/>
    <cellStyle name="差_4-应收账款（空白模板） 8" xfId="16176"/>
    <cellStyle name="好_50-营业成本（空白模板） 10 4" xfId="16177"/>
    <cellStyle name="差_4-应收账款（空白模板） 8 2" xfId="16178"/>
    <cellStyle name="差_4-应收账款（空白模板） 8 2 2" xfId="16179"/>
    <cellStyle name="差_4-应收账款（空白模板） 8 2 3" xfId="16180"/>
    <cellStyle name="差_4-应收账款（空白模板） 8 4" xfId="16181"/>
    <cellStyle name="差_4-应收账款（空白模板） 8_明细表" xfId="16182"/>
    <cellStyle name="好_专项应付款 12 2 2" xfId="16183"/>
    <cellStyle name="差_4-应收账款（空白模板） 9" xfId="16184"/>
    <cellStyle name="好_营业收入 10_附注表一（财务报表）" xfId="16185"/>
    <cellStyle name="差_4-应收账款（空白模板） 9 2" xfId="16186"/>
    <cellStyle name="好_底稿设置宏_大信底稿目录 8_附注表一（财务报表）" xfId="16187"/>
    <cellStyle name="差_4-应收账款（空白模板） 9 2 2" xfId="16188"/>
    <cellStyle name="好_2应收账款 2" xfId="16189"/>
    <cellStyle name="差_4-应收账款（空白模板） 9 2 3" xfId="16190"/>
    <cellStyle name="差_4-应收账款（空白模板） 9 4" xfId="16191"/>
    <cellStyle name="差_4-应收账款（空白模板） 9_明细表" xfId="16192"/>
    <cellStyle name="好_4-应收账款（空白模板） 3_明细表 2" xfId="16193"/>
    <cellStyle name="差_4-应收账款（空白模板）_明细表" xfId="16194"/>
    <cellStyle name="常规 2 8 3 2" xfId="16195"/>
    <cellStyle name="常规 9 5 2 6 3" xfId="16196"/>
    <cellStyle name="差_4-应收账款（空白模板）_明细表 2" xfId="16197"/>
    <cellStyle name="差_4-应收账款（空白模板）_明细表_1" xfId="16198"/>
    <cellStyle name="差_5.2-特别风险应对底稿" xfId="16199"/>
    <cellStyle name="差_50-营业成本（空白模板）" xfId="16200"/>
    <cellStyle name="好_资产负债标准底稿 2 4" xfId="16201"/>
    <cellStyle name="好_1其他流动资产 2" xfId="16202"/>
    <cellStyle name="差_50-营业成本（空白模板） 10" xfId="16203"/>
    <cellStyle name="差_50-营业成本（空白模板） 10 2 3" xfId="16204"/>
    <cellStyle name="差_短期借款 13 2 2" xfId="16205"/>
    <cellStyle name="差_50-营业成本（空白模板） 10 3" xfId="16206"/>
    <cellStyle name="好_资产负债标准底稿 2 5" xfId="16207"/>
    <cellStyle name="好_4-应收账款（空白模板） 7 2" xfId="16208"/>
    <cellStyle name="好_1其他流动资产 3" xfId="16209"/>
    <cellStyle name="差_50-营业成本（空白模板） 11" xfId="16210"/>
    <cellStyle name="好_资产负债标准底稿 2 5 2" xfId="16211"/>
    <cellStyle name="好_4-应收账款（空白模板） 7 2 2" xfId="16212"/>
    <cellStyle name="差_50-营业成本（空白模板） 11 2" xfId="16213"/>
    <cellStyle name="小计 3" xfId="16214"/>
    <cellStyle name="好_应收利息 6_明细表 4" xfId="16215"/>
    <cellStyle name="差_50-营业成本（空白模板） 11_明细表" xfId="16216"/>
    <cellStyle name="好_资产负债标准底稿 2 6" xfId="16217"/>
    <cellStyle name="好_4-应收账款（空白模板） 7 3" xfId="16218"/>
    <cellStyle name="差_50-营业成本（空白模板） 12" xfId="16219"/>
    <cellStyle name="好_40-专项应付款(空白模板) 9_明细表 2" xfId="16220"/>
    <cellStyle name="差_50-营业成本（空白模板） 12 2" xfId="16221"/>
    <cellStyle name="差_50-营业成本（空白模板） 12 3" xfId="16222"/>
    <cellStyle name="好_资产负债标准底稿 2 7" xfId="16223"/>
    <cellStyle name="好_4-应收账款（空白模板） 7 4" xfId="16224"/>
    <cellStyle name="差_50-营业成本（空白模板） 13" xfId="16225"/>
    <cellStyle name="好_40-专项应付款(空白模板) 9_明细表 3" xfId="16226"/>
    <cellStyle name="差_50-营业成本（空白模板） 13 2" xfId="16227"/>
    <cellStyle name="差_50-营业成本（空白模板） 13 3" xfId="16228"/>
    <cellStyle name="常规 2 16_附注表一（财务报表）" xfId="16229"/>
    <cellStyle name="常规 2 21_附注表一（财务报表）" xfId="16230"/>
    <cellStyle name="差_50-营业成本（空白模板） 13_明细表" xfId="16231"/>
    <cellStyle name="差_50-营业成本（空白模板） 14" xfId="16232"/>
    <cellStyle name="好_40-专项应付款(空白模板) 9_明细表 4" xfId="16233"/>
    <cellStyle name="差_50-营业成本（空白模板） 14 2" xfId="16234"/>
    <cellStyle name="差_50-营业成本（空白模板） 14 3" xfId="16235"/>
    <cellStyle name="差_59-营业外支出（空白模板）" xfId="16236"/>
    <cellStyle name="好_无形资产_明细表_1 2" xfId="16237"/>
    <cellStyle name="差_50-营业成本（空白模板） 14_明细表" xfId="16238"/>
    <cellStyle name="差_50-营业成本（空白模板） 15" xfId="16239"/>
    <cellStyle name="差_50-营业成本（空白模板） 20" xfId="16240"/>
    <cellStyle name="好_40-专项应付款(空白模板) 9_明细表 5" xfId="16241"/>
    <cellStyle name="差_50-营业成本（空白模板） 15 2" xfId="16242"/>
    <cellStyle name="差_50-营业成本（空白模板） 17" xfId="16243"/>
    <cellStyle name="差_50-营业成本（空白模板） 22" xfId="16244"/>
    <cellStyle name="差_50-营业成本（空白模板） 18" xfId="16245"/>
    <cellStyle name="差_50-营业成本（空白模板） 23" xfId="16246"/>
    <cellStyle name="差_50-营业成本（空白模板） 19" xfId="16247"/>
    <cellStyle name="差_50-营业成本（空白模板） 24" xfId="16248"/>
    <cellStyle name="差_50-营业成本（空白模板） 2" xfId="16249"/>
    <cellStyle name="差_50-营业成本（空白模板） 2 2" xfId="16250"/>
    <cellStyle name="差_50-营业成本（空白模板） 2 2 2" xfId="16251"/>
    <cellStyle name="差_50-营业成本（空白模板） 2 3" xfId="16252"/>
    <cellStyle name="差_50-营业成本（空白模板） 2 4" xfId="16253"/>
    <cellStyle name="差_50-营业成本（空白模板） 2 5" xfId="16254"/>
    <cellStyle name="好_无形资产 5_明细表" xfId="16255"/>
    <cellStyle name="差_50-营业成本（空白模板） 2 6" xfId="16256"/>
    <cellStyle name="差_50-营业成本（空白模板） 2_明细表" xfId="16257"/>
    <cellStyle name="差_50-营业成本（空白模板） 25" xfId="16258"/>
    <cellStyle name="差_50-营业成本（空白模板） 30" xfId="16259"/>
    <cellStyle name="差_50-营业成本（空白模板） 3" xfId="16260"/>
    <cellStyle name="差_50-营业成本（空白模板） 3 2" xfId="16261"/>
    <cellStyle name="差_50-营业成本（空白模板） 3 3" xfId="16262"/>
    <cellStyle name="差_50-营业成本（空白模板） 3 4" xfId="16263"/>
    <cellStyle name="差_50-营业成本（空白模板） 3 5" xfId="16264"/>
    <cellStyle name="好_30-应付账款（空白模板） 10 2 5" xfId="16265"/>
    <cellStyle name="差_50-营业成本（空白模板） 3_明细表" xfId="16266"/>
    <cellStyle name="差_50-营业成本（空白模板） 4" xfId="16267"/>
    <cellStyle name="好_27-短期借款(空白模板) 2 6" xfId="16268"/>
    <cellStyle name="差_50-营业成本（空白模板） 4 2 3" xfId="16269"/>
    <cellStyle name="壞_G2 Turnover Kaizhou 3" xfId="16270"/>
    <cellStyle name="好_30-应付账款（空白模板） 11 2 5" xfId="16271"/>
    <cellStyle name="差_50-营业成本（空白模板） 4_明细表" xfId="16272"/>
    <cellStyle name="差_50-营业成本（空白模板） 5" xfId="16273"/>
    <cellStyle name="好_33-应交税费（空白模板）_明细表 4" xfId="16274"/>
    <cellStyle name="差_50-营业成本（空白模板） 5 2" xfId="16275"/>
    <cellStyle name="好_应收票据 3" xfId="16276"/>
    <cellStyle name="差_50-营业成本（空白模板） 5 2 2" xfId="16277"/>
    <cellStyle name="好_应收票据 4" xfId="16278"/>
    <cellStyle name="差_50-营业成本（空白模板） 5 2 3" xfId="16279"/>
    <cellStyle name="好_33-应交税费（空白模板）_明细表 5" xfId="16280"/>
    <cellStyle name="差_50-营业成本（空白模板） 5 3" xfId="16281"/>
    <cellStyle name="差_50-营业成本（空白模板） 5 4" xfId="16282"/>
    <cellStyle name="好_所得税费用 8" xfId="16283"/>
    <cellStyle name="好_30-应付账款（空白模板） 12 2 5" xfId="16284"/>
    <cellStyle name="差_50-营业成本（空白模板） 5_明细表" xfId="16285"/>
    <cellStyle name="差_50-营业成本（空白模板） 6 2" xfId="16286"/>
    <cellStyle name="好_财务费用 13_明细表 3" xfId="16287"/>
    <cellStyle name="好_54-财务费用（空白模板） 2 4" xfId="16288"/>
    <cellStyle name="差_50-营业成本（空白模板） 6 2 2" xfId="16289"/>
    <cellStyle name="好_54-财务费用（空白模板） 2 5" xfId="16290"/>
    <cellStyle name="差_dxn底稿目录 10 2" xfId="16291"/>
    <cellStyle name="差_50-营业成本（空白模板） 6 2 3" xfId="16292"/>
    <cellStyle name="差_50-营业成本（空白模板） 6 4" xfId="16293"/>
    <cellStyle name="好_财务费用 13_明细表 5" xfId="16294"/>
    <cellStyle name="差_50-营业成本（空白模板） 7" xfId="16295"/>
    <cellStyle name="差_长期借款 3" xfId="16296"/>
    <cellStyle name="差_50-营业成本（空白模板） 7 2" xfId="16297"/>
    <cellStyle name="差_长期借款 3 2" xfId="16298"/>
    <cellStyle name="差_50-营业成本（空白模板） 7 2 2" xfId="16299"/>
    <cellStyle name="差_50-营业成本（空白模板） 7 2 3" xfId="16300"/>
    <cellStyle name="差_长期借款 4" xfId="16301"/>
    <cellStyle name="差_50-营业成本（空白模板） 7 3" xfId="16302"/>
    <cellStyle name="差_50-营业成本（空白模板） 7 4" xfId="16303"/>
    <cellStyle name="好_30-应付账款（空白模板） 14 2 5" xfId="16304"/>
    <cellStyle name="差_50-营业成本（空白模板） 7_明细表" xfId="16305"/>
    <cellStyle name="差_50-营业成本（空白模板） 8" xfId="16306"/>
    <cellStyle name="好_ZA0货币资金审定表 _明细表 2 4" xfId="16307"/>
    <cellStyle name="差_50-营业成本（空白模板） 8 2" xfId="16308"/>
    <cellStyle name="好_预收款项 11 3" xfId="16309"/>
    <cellStyle name="差_50-营业成本（空白模板） 8 2 2" xfId="16310"/>
    <cellStyle name="差_50-营业成本（空白模板） 8 2 3" xfId="16311"/>
    <cellStyle name="好_ZA0货币资金审定表 _明细表 2 5" xfId="16312"/>
    <cellStyle name="差_50-营业成本（空白模板） 8 3" xfId="16313"/>
    <cellStyle name="好_30-应付账款（空白模板） 15 2 5" xfId="16314"/>
    <cellStyle name="差_50-营业成本（空白模板） 8_明细表" xfId="16315"/>
    <cellStyle name="好_底稿设置宏_明细表 2 4" xfId="16316"/>
    <cellStyle name="差_50-营业成本（空白模板） 9 2 3" xfId="16317"/>
    <cellStyle name="好_ZH其他应收款 4" xfId="16318"/>
    <cellStyle name="好_30-应付账款（空白模板） 16 2 5" xfId="16319"/>
    <cellStyle name="常规 2 3 2 2 5_附注表一（财务报表）" xfId="16320"/>
    <cellStyle name="差_50-营业成本（空白模板） 9_明细表" xfId="16321"/>
    <cellStyle name="好_1资产减值损失 8_明细表 3" xfId="16322"/>
    <cellStyle name="差_50-营业成本（空白模板）_3固定资产 2" xfId="16323"/>
    <cellStyle name="差_50-营业成本（空白模板）_Book2" xfId="16324"/>
    <cellStyle name="差_50-营业成本（空白模板）_Book2 2" xfId="16325"/>
    <cellStyle name="差_50-营业成本（空白模板）_财务费用" xfId="16326"/>
    <cellStyle name="好_1预收款项 3 2 2" xfId="16327"/>
    <cellStyle name="常规 2 3 2 8 2 4" xfId="16328"/>
    <cellStyle name="差_50-营业成本（空白模板）_明细表" xfId="16329"/>
    <cellStyle name="好_54-财务费用（空白模板） 3_明细表 3" xfId="16330"/>
    <cellStyle name="差_50-营业成本（空白模板）_明细表 2" xfId="16331"/>
    <cellStyle name="差_ZH其他应收款 3 3" xfId="16332"/>
    <cellStyle name="差_50-营业成本（空白模板）_明细表_1" xfId="16333"/>
    <cellStyle name="好_复件 固定资产 13_明细表" xfId="16334"/>
    <cellStyle name="好__dxn_temp空白表页_明细表_1" xfId="16335"/>
    <cellStyle name="差_50-营业成本（空白模板）_应收账款 2" xfId="16336"/>
    <cellStyle name="差_51-营业税金及附加（空白模板）" xfId="16337"/>
    <cellStyle name="好_底稿设置宏_大信底稿目录 2 6" xfId="16338"/>
    <cellStyle name="差_51-营业税金及附加（空白模板） 10" xfId="16339"/>
    <cellStyle name="好_1财务费用 8 4" xfId="16340"/>
    <cellStyle name="超链接 2 14 2" xfId="16341"/>
    <cellStyle name="好_G-应收账款 9" xfId="16342"/>
    <cellStyle name="好_1固定资产 3_附注表一（财务报表）" xfId="16343"/>
    <cellStyle name="超链接 2 14 2 2" xfId="16344"/>
    <cellStyle name="差_51-营业税金及附加（空白模板） 10 2" xfId="16345"/>
    <cellStyle name="好_G-应收账款 9 2" xfId="16346"/>
    <cellStyle name="好_4-应收账款（空白模板） 3 2 5" xfId="16347"/>
    <cellStyle name="好_4-应收账款（空白模板） 7_明细表 4" xfId="16348"/>
    <cellStyle name="差_51-营业税金及附加（空白模板） 10 2 2" xfId="16349"/>
    <cellStyle name="好_G-应收账款 9 3" xfId="16350"/>
    <cellStyle name="好_4-应收账款（空白模板） 7_明细表 5" xfId="16351"/>
    <cellStyle name="差_51-营业税金及附加（空白模板） 10 2 3" xfId="16352"/>
    <cellStyle name="超链接 2 14 2 3" xfId="16353"/>
    <cellStyle name="差_51-营业税金及附加（空白模板） 10 3" xfId="16354"/>
    <cellStyle name="超链接 2 14 2 4" xfId="16355"/>
    <cellStyle name="差_51-营业税金及附加（空白模板） 10 4" xfId="16356"/>
    <cellStyle name="货币 3 2 3" xfId="16357"/>
    <cellStyle name="常规 2 8 6" xfId="16358"/>
    <cellStyle name="差_51-营业税金及附加（空白模板） 10_明细表" xfId="16359"/>
    <cellStyle name="差_51-营业税金及附加（空白模板） 11 2" xfId="16360"/>
    <cellStyle name="差_51-营业税金及附加（空白模板） 11 3" xfId="16361"/>
    <cellStyle name="常规 3 8 6" xfId="16362"/>
    <cellStyle name="差_51-营业税金及附加（空白模板） 11_明细表" xfId="16363"/>
    <cellStyle name="差_51-营业税金及附加（空白模板） 12 2" xfId="16364"/>
    <cellStyle name="差_51-营业税金及附加（空白模板） 12 3" xfId="16365"/>
    <cellStyle name="常规 4 8 6" xfId="16366"/>
    <cellStyle name="差_51-营业税金及附加（空白模板） 12_明细表" xfId="16367"/>
    <cellStyle name="差_51-营业税金及附加（空白模板） 14" xfId="16368"/>
    <cellStyle name="差_51-营业税金及附加（空白模板） 14 2" xfId="16369"/>
    <cellStyle name="好_预收款项 13_明细表" xfId="16370"/>
    <cellStyle name="差_51-营业税金及附加（空白模板） 14 3" xfId="16371"/>
    <cellStyle name="常规 6 8 6" xfId="16372"/>
    <cellStyle name="差_51-营业税金及附加（空白模板） 14_明细表" xfId="16373"/>
    <cellStyle name="差_51-营业税金及附加（空白模板） 15" xfId="16374"/>
    <cellStyle name="差_51-营业税金及附加（空白模板） 20" xfId="16375"/>
    <cellStyle name="差_51-营业税金及附加（空白模板） 15 2" xfId="16376"/>
    <cellStyle name="差_51-营业税金及附加（空白模板） 16" xfId="16377"/>
    <cellStyle name="差_51-营业税金及附加（空白模板） 21" xfId="16378"/>
    <cellStyle name="好_27-短期借款(空白模板) 7 2" xfId="16379"/>
    <cellStyle name="差_51-营业税金及附加（空白模板） 17" xfId="16380"/>
    <cellStyle name="差_51-营业税金及附加（空白模板） 22" xfId="16381"/>
    <cellStyle name="好_27-短期借款(空白模板) 7 3" xfId="16382"/>
    <cellStyle name="差_51-营业税金及附加（空白模板） 18" xfId="16383"/>
    <cellStyle name="差_51-营业税金及附加（空白模板） 23" xfId="16384"/>
    <cellStyle name="好_27-短期借款(空白模板) 7 4" xfId="16385"/>
    <cellStyle name="差_51-营业税金及附加（空白模板） 19" xfId="16386"/>
    <cellStyle name="差_51-营业税金及附加（空白模板） 24" xfId="16387"/>
    <cellStyle name="好_27-短期借款(空白模板) 29" xfId="16388"/>
    <cellStyle name="好_27-短期借款(空白模板) 34" xfId="16389"/>
    <cellStyle name="常规 9 4 2 2 5" xfId="16390"/>
    <cellStyle name="差_51-营业税金及附加（空白模板） 2" xfId="16391"/>
    <cellStyle name="常规 9 4 2 2 5 2" xfId="16392"/>
    <cellStyle name="差_51-营业税金及附加（空白模板） 2 2" xfId="16393"/>
    <cellStyle name="好_底稿设置宏 6 5" xfId="16394"/>
    <cellStyle name="差_固定资产 2_附注表一（财务报表）" xfId="16395"/>
    <cellStyle name="差_51-营业税金及附加（空白模板） 2 2 2" xfId="16396"/>
    <cellStyle name="常规 9 4 2 2 5 3" xfId="16397"/>
    <cellStyle name="差_51-营业税金及附加（空白模板） 2 3" xfId="16398"/>
    <cellStyle name="差_51-营业税金及附加（空白模板） 2 4" xfId="16399"/>
    <cellStyle name="差_51-营业税金及附加（空白模板） 2 5" xfId="16400"/>
    <cellStyle name="常规_2003年张杨商店固定资产底稿" xfId="16401"/>
    <cellStyle name="差_51-营业税金及附加（空白模板） 2 6" xfId="16402"/>
    <cellStyle name="差_51-营业税金及附加（空白模板） 2_明细表" xfId="16403"/>
    <cellStyle name="差_51-营业税金及附加（空白模板） 25" xfId="16404"/>
    <cellStyle name="差_51-营业税金及附加（空白模板） 30" xfId="16405"/>
    <cellStyle name="差_51-营业税金及附加（空白模板） 26" xfId="16406"/>
    <cellStyle name="差_51-营业税金及附加（空白模板） 31" xfId="16407"/>
    <cellStyle name="常规 9 4 2 2 6" xfId="16408"/>
    <cellStyle name="差_51-营业税金及附加（空白模板） 3" xfId="16409"/>
    <cellStyle name="常规 3 3 16 3 5" xfId="16410"/>
    <cellStyle name="差_51-营业税金及附加（空白模板） 3 2" xfId="16411"/>
    <cellStyle name="差_51-营业税金及附加（空白模板） 3_明细表" xfId="16412"/>
    <cellStyle name="常规 9 4 2 2 7" xfId="16413"/>
    <cellStyle name="差_51-营业税金及附加（空白模板） 4" xfId="16414"/>
    <cellStyle name="差_51-营业税金及附加（空白模板） 4 2" xfId="16415"/>
    <cellStyle name="差_51-营业税金及附加（空白模板） 4 2 2" xfId="16416"/>
    <cellStyle name="差_51-营业税金及附加（空白模板） 4 4" xfId="16417"/>
    <cellStyle name="差_51-营业税金及附加（空白模板） 4 5" xfId="16418"/>
    <cellStyle name="差_51-营业税金及附加（空白模板） 4_明细表" xfId="16419"/>
    <cellStyle name="差_51-营业税金及附加（空白模板） 5" xfId="16420"/>
    <cellStyle name="差_51-营业税金及附加（空白模板） 5 2" xfId="16421"/>
    <cellStyle name="差_51-营业税金及附加（空白模板） 5 2 2" xfId="16422"/>
    <cellStyle name="好_G-应收账款 6 2 2" xfId="16423"/>
    <cellStyle name="差_51-营业税金及附加（空白模板） 5 3" xfId="16424"/>
    <cellStyle name="好_G-应收账款 6 2 3" xfId="16425"/>
    <cellStyle name="差_51-营业税金及附加（空白模板） 5 4" xfId="16426"/>
    <cellStyle name="差_51-营业税金及附加（空白模板） 5_明细表" xfId="16427"/>
    <cellStyle name="差_51-营业税金及附加（空白模板） 6" xfId="16428"/>
    <cellStyle name="好_大信底稿目录 14 2" xfId="16429"/>
    <cellStyle name="差_51-营业税金及附加（空白模板） 6 2" xfId="16430"/>
    <cellStyle name="好_大信底稿目录 14 2 2" xfId="16431"/>
    <cellStyle name="差_51-营业税金及附加（空白模板） 6 3" xfId="16432"/>
    <cellStyle name="好_大信底稿目录 14 2 3" xfId="16433"/>
    <cellStyle name="好_G-应收账款 6 3 2" xfId="16434"/>
    <cellStyle name="差_51-营业税金及附加（空白模板） 6 4" xfId="16435"/>
    <cellStyle name="好_1短期借款 7_明细表 2" xfId="16436"/>
    <cellStyle name="好_大信底稿目录 14 2 4" xfId="16437"/>
    <cellStyle name="差_51-营业税金及附加（空白模板） 7" xfId="16438"/>
    <cellStyle name="好_大信底稿目录 14 3" xfId="16439"/>
    <cellStyle name="常规_37-长期借款（空白模板） 2" xfId="16440"/>
    <cellStyle name="差_51-营业税金及附加（空白模板） 7 2" xfId="16441"/>
    <cellStyle name="差_资产负债标准底稿 11_明细表" xfId="16442"/>
    <cellStyle name="差_51-营业税金及附加（空白模板） 7 2 2" xfId="16443"/>
    <cellStyle name="差_51-营业税金及附加（空白模板） 7 3" xfId="16444"/>
    <cellStyle name="差_51-营业税金及附加（空白模板） 7 4" xfId="16445"/>
    <cellStyle name="差_51-营业税金及附加（空白模板） 7_明细表" xfId="16446"/>
    <cellStyle name="差_51-营业税金及附加（空白模板） 8" xfId="16447"/>
    <cellStyle name="好_大信底稿目录 14 4" xfId="16448"/>
    <cellStyle name="好_复件 固定资产 9_明细表" xfId="16449"/>
    <cellStyle name="好_底稿设置宏 10 2 4" xfId="16450"/>
    <cellStyle name="差_51-营业税金及附加（空白模板） 8 2" xfId="16451"/>
    <cellStyle name="差_资产负债标准底稿 2_明细表 3" xfId="16452"/>
    <cellStyle name="好_无形资产 3_明细表 5" xfId="16453"/>
    <cellStyle name="差_资产负债标准底稿 12_明细表" xfId="16454"/>
    <cellStyle name="好_复件 固定资产 9_明细表 2" xfId="16455"/>
    <cellStyle name="差_51-营业税金及附加（空白模板） 8 2 2" xfId="16456"/>
    <cellStyle name="好_53-管理费用（空白模板） 3" xfId="16457"/>
    <cellStyle name="好_复件 固定资产 9_明细表 3" xfId="16458"/>
    <cellStyle name="差_51-营业税金及附加（空白模板） 8 2 3" xfId="16459"/>
    <cellStyle name="好_53-管理费用（空白模板） 4" xfId="16460"/>
    <cellStyle name="好_底稿设置宏 10 2 5" xfId="16461"/>
    <cellStyle name="差_51-营业税金及附加（空白模板） 8 3" xfId="16462"/>
    <cellStyle name="差_资产负债标准底稿 2_明细表 4" xfId="16463"/>
    <cellStyle name="常规_21-商誉（空白模板） 2" xfId="16464"/>
    <cellStyle name="差_51-营业税金及附加（空白模板） 8 4" xfId="16465"/>
    <cellStyle name="差_资产负债标准底稿 2_明细表 5" xfId="16466"/>
    <cellStyle name="差_51-营业税金及附加（空白模板） 8_明细表" xfId="16467"/>
    <cellStyle name="差_51-营业税金及附加（空白模板） 9" xfId="16468"/>
    <cellStyle name="好_大信底稿目录 14 5" xfId="16469"/>
    <cellStyle name="好_营业成本 4" xfId="16470"/>
    <cellStyle name="差_51-营业税金及附加（空白模板） 9 2" xfId="16471"/>
    <cellStyle name="好_营业成本 4 2" xfId="16472"/>
    <cellStyle name="差_资产负债标准底稿 13_明细表" xfId="16473"/>
    <cellStyle name="差_51-营业税金及附加（空白模板） 9 2 2" xfId="16474"/>
    <cellStyle name="差_51-营业税金及附加（空白模板） 9 2 3" xfId="16475"/>
    <cellStyle name="好_营业成本 5" xfId="16476"/>
    <cellStyle name="差_51-营业税金及附加（空白模板） 9 3" xfId="16477"/>
    <cellStyle name="差_51-营业税金及附加（空白模板）_3固定资产" xfId="16478"/>
    <cellStyle name="差_51-营业税金及附加（空白模板）_3固定资产 2" xfId="16479"/>
    <cellStyle name="好__dxn_temp空白表页 6 4" xfId="16480"/>
    <cellStyle name="好_1交易性金融负债 2" xfId="16481"/>
    <cellStyle name="差_51-营业税金及附加（空白模板）_Book2" xfId="16482"/>
    <cellStyle name="好_1交易性金融负债 2 2" xfId="16483"/>
    <cellStyle name="差_51-营业税金及附加（空白模板）_Book2 2" xfId="16484"/>
    <cellStyle name="差_51-营业税金及附加（空白模板）_财务费用" xfId="16485"/>
    <cellStyle name="差_51-营业税金及附加（空白模板）_固定资产" xfId="16486"/>
    <cellStyle name="好_ZL长期应收款 5 3" xfId="16487"/>
    <cellStyle name="差_51-营业税金及附加（空白模板）_固定资产 2" xfId="16488"/>
    <cellStyle name="常规 3 3 2 2 4 2 4" xfId="16489"/>
    <cellStyle name="差_ZA货币资金 5 2" xfId="16490"/>
    <cellStyle name="差_51-营业税金及附加（空白模板）_货币资金" xfId="16491"/>
    <cellStyle name="好_27-短期借款(空白模板) 5_明细表 3" xfId="16492"/>
    <cellStyle name="差_51-营业税金及附加（空白模板）_货币资金 2" xfId="16493"/>
    <cellStyle name="差_51-营业税金及附加（空白模板）_应收账款" xfId="16494"/>
    <cellStyle name="差_52-销售费用（空白模板）" xfId="16495"/>
    <cellStyle name="好_资本公积审定表" xfId="16496"/>
    <cellStyle name="差_52-销售费用（空白模板） 2" xfId="16497"/>
    <cellStyle name="常规 3 2 15 2 3" xfId="16498"/>
    <cellStyle name="常规 3 2 20 2 3" xfId="16499"/>
    <cellStyle name="常规 2 2 5 7" xfId="16500"/>
    <cellStyle name="差_52-销售费用（空白模板） 2 2" xfId="16501"/>
    <cellStyle name="常规 46" xfId="16502"/>
    <cellStyle name="常规 51" xfId="16503"/>
    <cellStyle name="差_52-销售费用（空白模板） 2 2 2" xfId="16504"/>
    <cellStyle name="常规 3 2 15 2 4" xfId="16505"/>
    <cellStyle name="常规 3 2 20 2 4" xfId="16506"/>
    <cellStyle name="常规 2 2 5 8" xfId="16507"/>
    <cellStyle name="差_52-销售费用（空白模板） 2 3" xfId="16508"/>
    <cellStyle name="差_52-销售费用（空白模板） 3" xfId="16509"/>
    <cellStyle name="常规 2 2 6 7" xfId="16510"/>
    <cellStyle name="差_52-销售费用（空白模板） 3 2" xfId="16511"/>
    <cellStyle name="差_预收款项 2 2 2" xfId="16512"/>
    <cellStyle name="差_52-销售费用（空白模板） 4" xfId="16513"/>
    <cellStyle name="差_53-4集团外本年累计销售计算表" xfId="16514"/>
    <cellStyle name="好_1财务费用 7 2" xfId="16515"/>
    <cellStyle name="差_53-管理费用（空白模板）" xfId="16516"/>
    <cellStyle name="好_10-ZH 其他应收款 3" xfId="16517"/>
    <cellStyle name="差_54-财务费用（空白模板）" xfId="16518"/>
    <cellStyle name="好_31-预收账款（空白模板） 12_明细表 3" xfId="16519"/>
    <cellStyle name="差_54-财务费用（空白模板） 10" xfId="16520"/>
    <cellStyle name="差_54-财务费用（空白模板） 10 2" xfId="16521"/>
    <cellStyle name="好_49-营业收入（空白模板） 14_明细表" xfId="16522"/>
    <cellStyle name="好_1应收股利 3" xfId="16523"/>
    <cellStyle name="差_54-财务费用（空白模板） 10 2 2" xfId="16524"/>
    <cellStyle name="差_54-财务费用（空白模板） 10_明细表" xfId="16525"/>
    <cellStyle name="好_31-预收账款（空白模板） 12_明细表 4" xfId="16526"/>
    <cellStyle name="差_54-财务费用（空白模板） 11" xfId="16527"/>
    <cellStyle name="好_55-资产减值损失（空白模板） 15_附注表一（财务报表）" xfId="16528"/>
    <cellStyle name="差_54-财务费用（空白模板） 11 2" xfId="16529"/>
    <cellStyle name="差_54-财务费用（空白模板） 11 3" xfId="16530"/>
    <cellStyle name="差_54-财务费用（空白模板） 11_明细表" xfId="16531"/>
    <cellStyle name="好_营业外支出 2 4" xfId="16532"/>
    <cellStyle name="好_31-预收账款（空白模板） 12_明细表 5" xfId="16533"/>
    <cellStyle name="差_54-财务费用（空白模板） 12" xfId="16534"/>
    <cellStyle name="好_8-其他应收款（空白模板） 2 5" xfId="16535"/>
    <cellStyle name="差_54-财务费用（空白模板） 12 2" xfId="16536"/>
    <cellStyle name="差_54-财务费用（空白模板） 12 3" xfId="16537"/>
    <cellStyle name="好_短期借款 15 2" xfId="16538"/>
    <cellStyle name="常规 9 3 3 4 2" xfId="16539"/>
    <cellStyle name="差_54-财务费用（空白模板） 12_明细表" xfId="16540"/>
    <cellStyle name="差_54-财务费用（空白模板） 13" xfId="16541"/>
    <cellStyle name="差_54-财务费用（空白模板） 13 2" xfId="16542"/>
    <cellStyle name="差_54-财务费用（空白模板） 13 3" xfId="16543"/>
    <cellStyle name="差_54-财务费用（空白模板） 13_明细表" xfId="16544"/>
    <cellStyle name="好_货币资金 天职 2 2 2" xfId="16545"/>
    <cellStyle name="差_54-财务费用（空白模板） 14" xfId="16546"/>
    <cellStyle name="差_54-财务费用（空白模板） 14 2" xfId="16547"/>
    <cellStyle name="差_54-财务费用（空白模板） 14 3" xfId="16548"/>
    <cellStyle name="常规 9 3 5 4 2" xfId="16549"/>
    <cellStyle name="差_54-财务费用（空白模板） 14_明细表" xfId="16550"/>
    <cellStyle name="好_货币资金 天职 2 2 3" xfId="16551"/>
    <cellStyle name="差_54-财务费用（空白模板） 15" xfId="16552"/>
    <cellStyle name="差_54-财务费用（空白模板） 20" xfId="16553"/>
    <cellStyle name="差_54-财务费用（空白模板） 16" xfId="16554"/>
    <cellStyle name="差_54-财务费用（空白模板） 21" xfId="16555"/>
    <cellStyle name="差_54-财务费用（空白模板） 17" xfId="16556"/>
    <cellStyle name="差_54-财务费用（空白模板） 22" xfId="16557"/>
    <cellStyle name="差_54-财务费用（空白模板） 18" xfId="16558"/>
    <cellStyle name="差_54-财务费用（空白模板） 23" xfId="16559"/>
    <cellStyle name="差_54-财务费用（空白模板） 19" xfId="16560"/>
    <cellStyle name="差_54-财务费用（空白模板） 24" xfId="16561"/>
    <cellStyle name="好_10-ZH 其他应收款 3 2" xfId="16562"/>
    <cellStyle name="差_54-财务费用（空白模板） 2" xfId="16563"/>
    <cellStyle name="差_54-财务费用（空白模板） 2 2" xfId="16564"/>
    <cellStyle name="差_54-财务费用（空白模板） 2 2 2" xfId="16565"/>
    <cellStyle name="好_31-预收账款（空白模板） 3_明细表" xfId="16566"/>
    <cellStyle name="差_54-财务费用（空白模板） 2 2 3" xfId="16567"/>
    <cellStyle name="差_54-财务费用（空白模板） 2 4" xfId="16568"/>
    <cellStyle name="好_存货 5 2" xfId="16569"/>
    <cellStyle name="差_54-财务费用（空白模板） 2 5" xfId="16570"/>
    <cellStyle name="好_存货 5 3" xfId="16571"/>
    <cellStyle name="好_1专项应付款 9_明细表" xfId="16572"/>
    <cellStyle name="差_54-财务费用（空白模板） 2 6" xfId="16573"/>
    <cellStyle name="好_财务费用" xfId="16574"/>
    <cellStyle name="好_资产负债类底稿模版" xfId="16575"/>
    <cellStyle name="差_54-财务费用（空白模板） 2_明细表" xfId="16576"/>
    <cellStyle name="常规 2 2 4 2 2 2" xfId="16577"/>
    <cellStyle name="差_54-财务费用（空白模板） 25" xfId="16578"/>
    <cellStyle name="差_54-财务费用（空白模板） 30" xfId="16579"/>
    <cellStyle name="常规 2 2 4 2 2 3" xfId="16580"/>
    <cellStyle name="差_54-财务费用（空白模板） 26" xfId="16581"/>
    <cellStyle name="差_54-财务费用（空白模板） 31" xfId="16582"/>
    <cellStyle name="差_54-财务费用（空白模板） 27" xfId="16583"/>
    <cellStyle name="差_54-财务费用（空白模板） 32" xfId="16584"/>
    <cellStyle name="差_固定资产 9_明细表 2" xfId="16585"/>
    <cellStyle name="差_54-财务费用（空白模板） 29" xfId="16586"/>
    <cellStyle name="差_54-财务费用（空白模板） 34" xfId="16587"/>
    <cellStyle name="好_底稿设置宏 7_附注表一（财务报表）" xfId="16588"/>
    <cellStyle name="好_10-ZH 其他应收款 3 3" xfId="16589"/>
    <cellStyle name="差_54-财务费用（空白模板） 3" xfId="16590"/>
    <cellStyle name="差_54-财务费用（空白模板） 3 2 3" xfId="16591"/>
    <cellStyle name="好_1固定资产 10_明细表 5" xfId="16592"/>
    <cellStyle name="差_54-财务费用（空白模板） 3_明细表" xfId="16593"/>
    <cellStyle name="差_54-财务费用（空白模板） 4" xfId="16594"/>
    <cellStyle name="差_54-财务费用（空白模板） 4 2" xfId="16595"/>
    <cellStyle name="差_54-财务费用（空白模板） 4 2 2" xfId="16596"/>
    <cellStyle name="好_31-预收账款（空白模板） 5_明细表" xfId="16597"/>
    <cellStyle name="好_51-营业税金及附加（空白模板） 10 2 2" xfId="16598"/>
    <cellStyle name="差_54-财务费用（空白模板） 4 2 3" xfId="16599"/>
    <cellStyle name="好_50-营业成本（空白模板）_明细表" xfId="16600"/>
    <cellStyle name="差_54-财务费用（空白模板） 4 3" xfId="16601"/>
    <cellStyle name="差_54-财务费用（空白模板） 4 4" xfId="16602"/>
    <cellStyle name="差_54-财务费用（空白模板） 4_明细表" xfId="16603"/>
    <cellStyle name="差_54-财务费用（空白模板） 5" xfId="16604"/>
    <cellStyle name="好_55-资产减值损失（空白模板） 6_明细表" xfId="16605"/>
    <cellStyle name="差_54-财务费用（空白模板） 5 2" xfId="16606"/>
    <cellStyle name="差_54-财务费用（空白模板） 5 3" xfId="16607"/>
    <cellStyle name="差_54-财务费用（空白模板） 5 4" xfId="16608"/>
    <cellStyle name="差_54-财务费用（空白模板） 5_明细表" xfId="16609"/>
    <cellStyle name="差_54-财务费用（空白模板） 6" xfId="16610"/>
    <cellStyle name="差_54-财务费用（空白模板） 6 2" xfId="16611"/>
    <cellStyle name="差_54-财务费用（空白模板） 6 2 2" xfId="16612"/>
    <cellStyle name="好_31-预收账款（空白模板） 7_明细表" xfId="16613"/>
    <cellStyle name="好_51-营业税金及附加（空白模板） 12 2 2" xfId="16614"/>
    <cellStyle name="差_54-财务费用（空白模板） 6 2 3" xfId="16615"/>
    <cellStyle name="差_54-财务费用（空白模板） 6 3" xfId="16616"/>
    <cellStyle name="差_54-财务费用（空白模板） 6 4" xfId="16617"/>
    <cellStyle name="差_54-财务费用（空白模板） 6_明细表" xfId="16618"/>
    <cellStyle name="差_54-财务费用（空白模板） 7" xfId="16619"/>
    <cellStyle name="差_54-财务费用（空白模板） 7 2" xfId="16620"/>
    <cellStyle name="差_54-财务费用（空白模板） 7 2 2" xfId="16621"/>
    <cellStyle name="好_31-预收账款（空白模板） 8_明细表" xfId="16622"/>
    <cellStyle name="好_51-营业税金及附加（空白模板） 13 2 2" xfId="16623"/>
    <cellStyle name="差_54-财务费用（空白模板） 7 2 3" xfId="16624"/>
    <cellStyle name="差_54-财务费用（空白模板） 7 3" xfId="16625"/>
    <cellStyle name="差_54-财务费用（空白模板） 7 4" xfId="16626"/>
    <cellStyle name="差_54-财务费用（空白模板） 7_明细表" xfId="16627"/>
    <cellStyle name="差_54-财务费用（空白模板） 8" xfId="16628"/>
    <cellStyle name="好_1预收款项 2 2 3" xfId="16629"/>
    <cellStyle name="差_54-财务费用（空白模板） 8 2" xfId="16630"/>
    <cellStyle name="常规 2 3 2 7 2 5" xfId="16631"/>
    <cellStyle name="差_54-财务费用（空白模板） 8 2 2" xfId="16632"/>
    <cellStyle name="好_31-预收账款（空白模板） 9_明细表" xfId="16633"/>
    <cellStyle name="好_51-营业税金及附加（空白模板） 14 2 2" xfId="16634"/>
    <cellStyle name="差_54-财务费用（空白模板） 8 2 3" xfId="16635"/>
    <cellStyle name="好_1预收款项 2 2 4" xfId="16636"/>
    <cellStyle name="差_54-财务费用（空白模板） 8 3" xfId="16637"/>
    <cellStyle name="好_4-应收账款（空白模板） 15_明细表 2" xfId="16638"/>
    <cellStyle name="差_54-财务费用（空白模板） 8_明细表" xfId="16639"/>
    <cellStyle name="常规 48 2 2 2" xfId="16640"/>
    <cellStyle name="差_54-财务费用（空白模板） 9" xfId="16641"/>
    <cellStyle name="好_大信底稿目录 25" xfId="16642"/>
    <cellStyle name="好_大信底稿目录 30" xfId="16643"/>
    <cellStyle name="好_1预收款项 2 3 3" xfId="16644"/>
    <cellStyle name="差_54-财务费用（空白模板） 9 2" xfId="16645"/>
    <cellStyle name="差_54-财务费用（空白模板） 9 2 2" xfId="16646"/>
    <cellStyle name="好_51-营业税金及附加（空白模板） 15 2 2" xfId="16647"/>
    <cellStyle name="好_15-固定资产（空白模板） 3_附注表一（财务报表）" xfId="16648"/>
    <cellStyle name="差_54-财务费用（空白模板） 9 2 3" xfId="16649"/>
    <cellStyle name="好_大信底稿目录 26" xfId="16650"/>
    <cellStyle name="好_大信底稿目录 31" xfId="16651"/>
    <cellStyle name="差_54-财务费用（空白模板） 9 3" xfId="16652"/>
    <cellStyle name="好_大信底稿目录 27" xfId="16653"/>
    <cellStyle name="好_大信底稿目录 32" xfId="16654"/>
    <cellStyle name="差_54-财务费用（空白模板） 9 4" xfId="16655"/>
    <cellStyle name="常规 3 3 14_附注表一（财务报表）" xfId="16656"/>
    <cellStyle name="差_底稿设置宏 8 3" xfId="16657"/>
    <cellStyle name="差_54-财务费用（空白模板） 9_明细表" xfId="16658"/>
    <cellStyle name="差_54-财务费用（空白模板）_3固定资产 2" xfId="16659"/>
    <cellStyle name="差_54-财务费用（空白模板）_财务费用" xfId="16660"/>
    <cellStyle name="好_营业收入 5 2 4" xfId="16661"/>
    <cellStyle name="好_1专项应付款 12_明细表" xfId="16662"/>
    <cellStyle name="差_54-财务费用（空白模板）_固定资产" xfId="16663"/>
    <cellStyle name="好_1专项应付款 12_明细表 2" xfId="16664"/>
    <cellStyle name="差_54-财务费用（空白模板）_固定资产 2" xfId="16665"/>
    <cellStyle name="差_54-财务费用（空白模板）_货币资金" xfId="16666"/>
    <cellStyle name="好_1预收款项 6 2 3" xfId="16667"/>
    <cellStyle name="差_54-财务费用（空白模板）_货币资金 2" xfId="16668"/>
    <cellStyle name="好_G-应收账款 15 2 4" xfId="16669"/>
    <cellStyle name="差_54-财务费用（空白模板）_明细表" xfId="16670"/>
    <cellStyle name="差_54-财务费用（空白模板）_明细表 2" xfId="16671"/>
    <cellStyle name="常规 31 3 3" xfId="16672"/>
    <cellStyle name="差_54-财务费用（空白模板）_明细表_1" xfId="16673"/>
    <cellStyle name="差_54-财务费用（空白模板）_应收账款" xfId="16674"/>
    <cellStyle name="好_资产负债标准底稿_大信底稿目录 12_明细表 5" xfId="16675"/>
    <cellStyle name="差_54-财务费用（空白模板）_应收账款 2" xfId="16676"/>
    <cellStyle name="常规 12 7" xfId="16677"/>
    <cellStyle name="好_27-短期借款(空白模板) 17 2 5" xfId="16678"/>
    <cellStyle name="差_55-资产减值损失（空白模板）" xfId="16679"/>
    <cellStyle name="差_55-资产减值损失（空白模板） 11" xfId="16680"/>
    <cellStyle name="差_55-资产减值损失（空白模板） 11 2" xfId="16681"/>
    <cellStyle name="差_55-资产减值损失（空白模板） 11 3" xfId="16682"/>
    <cellStyle name="差_55-资产减值损失（空白模板） 11_明细表" xfId="16683"/>
    <cellStyle name="好_银行函证结果汇总表 10_明细表" xfId="16684"/>
    <cellStyle name="差_55-资产减值损失（空白模板） 12" xfId="16685"/>
    <cellStyle name="好_银行函证结果汇总表 10_明细表 3" xfId="16686"/>
    <cellStyle name="差_55-资产减值损失（空白模板） 12 3" xfId="16687"/>
    <cellStyle name="差_55-资产减值损失（空白模板） 12_明细表" xfId="16688"/>
    <cellStyle name="差_55-资产减值损失（空白模板） 13" xfId="16689"/>
    <cellStyle name="差_55-资产减值损失（空白模板） 13 2" xfId="16690"/>
    <cellStyle name="差_55-资产减值损失（空白模板） 13 3" xfId="16691"/>
    <cellStyle name="差_55-资产减值损失（空白模板） 13_明细表" xfId="16692"/>
    <cellStyle name="差_55-资产减值损失（空白模板） 14" xfId="16693"/>
    <cellStyle name="差_55-资产减值损失（空白模板） 14 2" xfId="16694"/>
    <cellStyle name="差_55-资产减值损失（空白模板） 14 3" xfId="16695"/>
    <cellStyle name="差_55-资产减值损失（空白模板） 14_明细表" xfId="16696"/>
    <cellStyle name="差_55-资产减值损失（空白模板） 15" xfId="16697"/>
    <cellStyle name="差_55-资产减值损失（空白模板） 20" xfId="16698"/>
    <cellStyle name="差_55-资产减值损失（空白模板） 16" xfId="16699"/>
    <cellStyle name="差_55-资产减值损失（空白模板） 21" xfId="16700"/>
    <cellStyle name="差_55-资产减值损失（空白模板） 18" xfId="16701"/>
    <cellStyle name="差_55-资产减值损失（空白模板） 23" xfId="16702"/>
    <cellStyle name="差_55-资产减值损失（空白模板） 19" xfId="16703"/>
    <cellStyle name="差_55-资产减值损失（空白模板） 24" xfId="16704"/>
    <cellStyle name="差_55-资产减值损失（空白模板） 2" xfId="16705"/>
    <cellStyle name="差_55-资产减值损失（空白模板） 2 2 2" xfId="16706"/>
    <cellStyle name="差_55-资产减值损失（空白模板） 2 2 3" xfId="16707"/>
    <cellStyle name="差_55-资产减值损失（空白模板） 2 3" xfId="16708"/>
    <cellStyle name="差_55-资产减值损失（空白模板） 2 4" xfId="16709"/>
    <cellStyle name="好_49-营业收入（空白模板）_应收账款" xfId="16710"/>
    <cellStyle name="好_1-销售与收款循环 2 2 2" xfId="16711"/>
    <cellStyle name="差_55-资产减值损失（空白模板） 2 5" xfId="16712"/>
    <cellStyle name="好_1-销售与收款循环 2 2 3" xfId="16713"/>
    <cellStyle name="差_55-资产减值损失（空白模板） 2 6" xfId="16714"/>
    <cellStyle name="差_55-资产减值损失（空白模板） 2_明细表" xfId="16715"/>
    <cellStyle name="差_55-资产减值损失（空白模板） 26" xfId="16716"/>
    <cellStyle name="差_55-资产减值损失（空白模板） 31" xfId="16717"/>
    <cellStyle name="差_55-资产减值损失（空白模板） 27" xfId="16718"/>
    <cellStyle name="差_55-资产减值损失（空白模板） 32" xfId="16719"/>
    <cellStyle name="差_55-资产减值损失（空白模板） 28" xfId="16720"/>
    <cellStyle name="差_55-资产减值损失（空白模板） 33" xfId="16721"/>
    <cellStyle name="差_55-资产减值损失（空白模板） 29" xfId="16722"/>
    <cellStyle name="差_55-资产减值损失（空白模板） 34" xfId="16723"/>
    <cellStyle name="好_1应收账款 2 6" xfId="16724"/>
    <cellStyle name="差_55-资产减值损失（空白模板） 3 2" xfId="16725"/>
    <cellStyle name="常规 3 2 2 4 11" xfId="16726"/>
    <cellStyle name="差_55-资产减值损失（空白模板） 3 2 2" xfId="16727"/>
    <cellStyle name="常规 3 2 2 4 12" xfId="16728"/>
    <cellStyle name="差_55-资产减值损失（空白模板） 3 2 3" xfId="16729"/>
    <cellStyle name="好_1应收账款 2 7" xfId="16730"/>
    <cellStyle name="差_55-资产减值损失（空白模板） 3 3" xfId="16731"/>
    <cellStyle name="差_55-资产减值损失（空白模板） 3 4" xfId="16732"/>
    <cellStyle name="差_55-资产减值损失（空白模板） 3 5" xfId="16733"/>
    <cellStyle name="差_55-资产减值损失（空白模板） 3_明细表" xfId="16734"/>
    <cellStyle name="差_55-资产减值损失（空白模板） 4" xfId="16735"/>
    <cellStyle name="好_1应收账款 3 6" xfId="16736"/>
    <cellStyle name="差_55-资产减值损失（空白模板） 4 2" xfId="16737"/>
    <cellStyle name="差_55-资产减值损失（空白模板） 4 2 2" xfId="16738"/>
    <cellStyle name="差_55-资产减值损失（空白模板） 4 2 3" xfId="16739"/>
    <cellStyle name="差_55-资产减值损失（空白模板） 4 3" xfId="16740"/>
    <cellStyle name="差_55-资产减值损失（空白模板） 4 4" xfId="16741"/>
    <cellStyle name="差_55-资产减值损失（空白模板） 4 5" xfId="16742"/>
    <cellStyle name="差_55-资产减值损失（空白模板） 4_明细表" xfId="16743"/>
    <cellStyle name="差_55-资产减值损失（空白模板） 5" xfId="16744"/>
    <cellStyle name="好_G-应收账款 4_明细表 2" xfId="16745"/>
    <cellStyle name="差_55-资产减值损失（空白模板） 5 2 2" xfId="16746"/>
    <cellStyle name="好_G-应收账款 4_明细表 3" xfId="16747"/>
    <cellStyle name="差_55-资产减值损失（空白模板） 5 2 3" xfId="16748"/>
    <cellStyle name="差_55-资产减值损失（空白模板） 5 3" xfId="16749"/>
    <cellStyle name="好_在建工程 - 复制 5 3" xfId="16750"/>
    <cellStyle name="差_55-资产减值损失（空白模板） 5_明细表" xfId="16751"/>
    <cellStyle name="差_55-资产减值损失（空白模板） 6" xfId="16752"/>
    <cellStyle name="好_1专项应付款 13 2 5" xfId="16753"/>
    <cellStyle name="差_55-资产减值损失（空白模板） 6 2" xfId="16754"/>
    <cellStyle name="差_55-资产减值损失（空白模板） 6 3" xfId="16755"/>
    <cellStyle name="差_55-资产减值损失（空白模板） 6 4" xfId="16756"/>
    <cellStyle name="好_51-营业税金及附加（空白模板）_货币资金" xfId="16757"/>
    <cellStyle name="差_55-资产减值损失（空白模板） 6_明细表" xfId="16758"/>
    <cellStyle name="差_55-资产减值损失（空白模板） 7" xfId="16759"/>
    <cellStyle name="差_55-资产减值损失（空白模板） 7 2" xfId="16760"/>
    <cellStyle name="差_55-资产减值损失（空白模板） 7 2 2" xfId="16761"/>
    <cellStyle name="差_55-资产减值损失（空白模板） 7 2 3" xfId="16762"/>
    <cellStyle name="差_附注表一（财务报表）_附注表一（财务报表）" xfId="16763"/>
    <cellStyle name="差_55-资产减值损失（空白模板） 7 3" xfId="16764"/>
    <cellStyle name="差_55-资产减值损失（空白模板） 7 4" xfId="16765"/>
    <cellStyle name="差_55-资产减值损失（空白模板） 7_明细表" xfId="16766"/>
    <cellStyle name="差_55-资产减值损失（空白模板） 8" xfId="16767"/>
    <cellStyle name="差_55-资产减值损失（空白模板） 8 2" xfId="16768"/>
    <cellStyle name="差_55-资产减值损失（空白模板） 8 2 2" xfId="16769"/>
    <cellStyle name="差_55-资产减值损失（空白模板） 8 2 3" xfId="16770"/>
    <cellStyle name="差_55-资产减值损失（空白模板） 8 3" xfId="16771"/>
    <cellStyle name="差_55-资产减值损失（空白模板） 8 4" xfId="16772"/>
    <cellStyle name="差_55-资产减值损失（空白模板） 9" xfId="16773"/>
    <cellStyle name="差_55-资产减值损失（空白模板） 9 2 2" xfId="16774"/>
    <cellStyle name="差_55-资产减值损失（空白模板） 9 2 3" xfId="16775"/>
    <cellStyle name="常规 2 3 7 2" xfId="16776"/>
    <cellStyle name="差_55-资产减值损失（空白模板） 9_明细表" xfId="16777"/>
    <cellStyle name="差_55-资产减值损失（空白模板）_3固定资产" xfId="16778"/>
    <cellStyle name="差_55-资产减值损失（空白模板）_3固定资产 2" xfId="16779"/>
    <cellStyle name="差_6-应收利息（空白模板）_明细表_1" xfId="16780"/>
    <cellStyle name="差_55-资产减值损失（空白模板）_财务费用" xfId="16781"/>
    <cellStyle name="常规 2 5 3 4" xfId="16782"/>
    <cellStyle name="差_55-资产减值损失（空白模板）_货币资金" xfId="16783"/>
    <cellStyle name="差_55-资产减值损失（空白模板）_货币资金 2" xfId="16784"/>
    <cellStyle name="差_55-资产减值损失（空白模板）_明细表" xfId="16785"/>
    <cellStyle name="差_首阳山实质性测试底稿-负债类" xfId="16786"/>
    <cellStyle name="差_55-资产减值损失（空白模板）_明细表 2" xfId="16787"/>
    <cellStyle name="差_55-资产减值损失（空白模板）_明细表_1" xfId="16788"/>
    <cellStyle name="差_55-资产减值损失（空白模板）_应收账款" xfId="16789"/>
    <cellStyle name="好_营业收入 14_明细表 3" xfId="16790"/>
    <cellStyle name="差_55-资产减值损失（空白模板）_应收账款 2" xfId="16791"/>
    <cellStyle name="好_底稿设置宏_大信底稿目录 3_明细表" xfId="16792"/>
    <cellStyle name="差_56-公允价值损益变动（空白模板） 10" xfId="16793"/>
    <cellStyle name="好_底稿设置宏_大信底稿目录 3_明细表 2" xfId="16794"/>
    <cellStyle name="差_56-公允价值损益变动（空白模板） 10 2" xfId="16795"/>
    <cellStyle name="千位分隔 2 3 2 9 2" xfId="16796"/>
    <cellStyle name="差_56-公允价值损益变动（空白模板） 11" xfId="16797"/>
    <cellStyle name="差_56-公允价值损益变动（空白模板） 11 2" xfId="16798"/>
    <cellStyle name="好_40-专项应付款(空白模板) 12" xfId="16799"/>
    <cellStyle name="千位分隔 2 3 2 9 3" xfId="16800"/>
    <cellStyle name="差_56-公允价值损益变动（空白模板） 12" xfId="16801"/>
    <cellStyle name="差_56-公允价值损益变动（空白模板） 13" xfId="16802"/>
    <cellStyle name="差_56-公允价值损益变动（空白模板） 2 2" xfId="16803"/>
    <cellStyle name="差_56-公允价值损益变动（空白模板） 2 2 2" xfId="16804"/>
    <cellStyle name="差_56-公允价值损益变动（空白模板） 2 4" xfId="16805"/>
    <cellStyle name="差_固定资产 12_明细表 5" xfId="16806"/>
    <cellStyle name="差_56-公允价值损益变动（空白模板） 3 2" xfId="16807"/>
    <cellStyle name="差_56-公允价值损益变动（空白模板） 4" xfId="16808"/>
    <cellStyle name="差_56-公允价值损益变动（空白模板） 4 2" xfId="16809"/>
    <cellStyle name="好_40-专项应付款(空白模板) 9" xfId="16810"/>
    <cellStyle name="差_56-公允价值损益变动（空白模板） 5" xfId="16811"/>
    <cellStyle name="差_56-公允价值损益变动（空白模板） 5 2" xfId="16812"/>
    <cellStyle name="差_资产负债类底稿模版 8_明细表" xfId="16813"/>
    <cellStyle name="差_56-公允价值损益变动（空白模板） 6" xfId="16814"/>
    <cellStyle name="差_资产负债类底稿模版 8_明细表 2" xfId="16815"/>
    <cellStyle name="差_56-公允价值损益变动（空白模板） 6 2" xfId="16816"/>
    <cellStyle name="差_56-公允价值损益变动（空白模板） 7 2" xfId="16817"/>
    <cellStyle name="差_56-公允价值损益变动（空白模板） 8" xfId="16818"/>
    <cellStyle name="差_56-公允价值损益变动（空白模板） 8 2" xfId="16819"/>
    <cellStyle name="差_57-投资收益（空白模板）" xfId="16820"/>
    <cellStyle name="差_57-投资收益（空白模板） 2" xfId="16821"/>
    <cellStyle name="差_57-投资收益（空白模板） 2 2" xfId="16822"/>
    <cellStyle name="差_57-投资收益（空白模板） 3" xfId="16823"/>
    <cellStyle name="好_专项应付款 14 2 3" xfId="16824"/>
    <cellStyle name="差_57-投资收益（空白模板） 3 2" xfId="16825"/>
    <cellStyle name="差_57-投资收益（空白模板） 4" xfId="16826"/>
    <cellStyle name="差_58-营业外收入（空白模板）" xfId="16827"/>
    <cellStyle name="差_预收款项 16 6" xfId="16828"/>
    <cellStyle name="差_58-营业外收入（空白模板） 2" xfId="16829"/>
    <cellStyle name="差_58-营业外收入（空白模板） 2 2" xfId="16830"/>
    <cellStyle name="好_FM长期应付款 5 3" xfId="16831"/>
    <cellStyle name="差_58-营业外收入（空白模板） 2 2 2" xfId="16832"/>
    <cellStyle name="差_58-营业外收入（空白模板） 2 2 3" xfId="16833"/>
    <cellStyle name="差_58-营业外收入（空白模板） 3 2" xfId="16834"/>
    <cellStyle name="常规 9 4 2 3 2 4" xfId="16835"/>
    <cellStyle name="差_58-营业外收入（空白模板） 4" xfId="16836"/>
    <cellStyle name="好_27-短期借款(空白模板) 2_明细表" xfId="16837"/>
    <cellStyle name="常规 3 4 3 2 2 2" xfId="16838"/>
    <cellStyle name="差_检查情况表 2 2" xfId="16839"/>
    <cellStyle name="差_58-营业外收入（空白模板） 5" xfId="16840"/>
    <cellStyle name="常规 2 4 2 2 3 3" xfId="16841"/>
    <cellStyle name="差_59-营业外支出（空白模板） 2" xfId="16842"/>
    <cellStyle name="差_59-营业外支出（空白模板） 2 2" xfId="16843"/>
    <cellStyle name="差_59-营业外支出（空白模板） 2 2 2" xfId="16844"/>
    <cellStyle name="差_59-营业外支出（空白模板） 2 3" xfId="16845"/>
    <cellStyle name="差_59-营业外支出（空白模板） 3" xfId="16846"/>
    <cellStyle name="差_59-营业外支出（空白模板） 3 2" xfId="16847"/>
    <cellStyle name="好_附注 3" xfId="16848"/>
    <cellStyle name="差_短期借款_附注表一（财务报表）" xfId="16849"/>
    <cellStyle name="差_59-营业外支出（空白模板） 4" xfId="16850"/>
    <cellStyle name="差_59-营业外支出（空白模板） 5" xfId="16851"/>
    <cellStyle name="好_报表层次重要性水平 2" xfId="16852"/>
    <cellStyle name="差_5-预付款项（空白模板）" xfId="16853"/>
    <cellStyle name="差_6、应收帐款 2" xfId="16854"/>
    <cellStyle name="差_60-所得税费用（空白模板）" xfId="16855"/>
    <cellStyle name="差_60-所得税费用（空白模板） 10 2" xfId="16856"/>
    <cellStyle name="差_60-所得税费用（空白模板） 2" xfId="16857"/>
    <cellStyle name="差_60-所得税费用（空白模板） 2 2" xfId="16858"/>
    <cellStyle name="差_60-所得税费用（空白模板） 3" xfId="16859"/>
    <cellStyle name="好_其他应付款 2 3 2" xfId="16860"/>
    <cellStyle name="差_60-所得税费用（空白模板） 3 2" xfId="16861"/>
    <cellStyle name="差_60-所得税费用（空白模板） 4" xfId="16862"/>
    <cellStyle name="差_60-所得税费用（空白模板） 4 2" xfId="16863"/>
    <cellStyle name="差_60-所得税费用（空白模板） 5" xfId="16864"/>
    <cellStyle name="差_短期借款 2_明细表 3" xfId="16865"/>
    <cellStyle name="差_60-所得税费用（空白模板） 6 2" xfId="16866"/>
    <cellStyle name="差_60-所得税费用（空白模板） 7" xfId="16867"/>
    <cellStyle name="差_60-所得税费用（空白模板） 7 2" xfId="16868"/>
    <cellStyle name="差_ZD 应收账款 2 4" xfId="16869"/>
    <cellStyle name="差_60-所得税费用（空白模板） 9" xfId="16870"/>
    <cellStyle name="常规 2 3 2 19" xfId="16871"/>
    <cellStyle name="常规 2 3 2 24" xfId="16872"/>
    <cellStyle name="差_60-所得税费用（空白模板） 9 2" xfId="16873"/>
    <cellStyle name="差_6实地观察经营场所调查问卷" xfId="16874"/>
    <cellStyle name="好_存货 - 复制" xfId="16875"/>
    <cellStyle name="差_6实地观察经营场所调查问卷 2" xfId="16876"/>
    <cellStyle name="好_存货 - 复制 2" xfId="16877"/>
    <cellStyle name="差_6实地观察经营场所调查问卷 2 2" xfId="16878"/>
    <cellStyle name="好_财务费用000 2 2" xfId="16879"/>
    <cellStyle name="差_6实地观察经营场所调查问卷 3" xfId="16880"/>
    <cellStyle name="差_6实地观察经营场所调查问卷 4" xfId="16881"/>
    <cellStyle name="差_6-应收利息（空白模板）" xfId="16882"/>
    <cellStyle name="常规 2 3 2 3" xfId="16883"/>
    <cellStyle name="常规 9 4 4 3" xfId="16884"/>
    <cellStyle name="常规 3 25 2 4" xfId="16885"/>
    <cellStyle name="差_6-应收利息（空白模板） 2" xfId="16886"/>
    <cellStyle name="常规 2 3 2 3 2" xfId="16887"/>
    <cellStyle name="常规 9 4 4 4" xfId="16888"/>
    <cellStyle name="常规 3 25 2 5" xfId="16889"/>
    <cellStyle name="差_6-应收利息（空白模板） 3" xfId="16890"/>
    <cellStyle name="常规 2 3 2 3 3" xfId="16891"/>
    <cellStyle name="常规 9 4 4 4 2" xfId="16892"/>
    <cellStyle name="差_6-应收利息（空白模板） 3 2" xfId="16893"/>
    <cellStyle name="常规 9 4 4 4 3" xfId="16894"/>
    <cellStyle name="差_6-应收利息（空白模板） 3 3" xfId="16895"/>
    <cellStyle name="差_底稿设置宏 9_明细表" xfId="16896"/>
    <cellStyle name="常规 9 4 4 5" xfId="16897"/>
    <cellStyle name="差_6-应收利息（空白模板） 4" xfId="16898"/>
    <cellStyle name="好_50-营业成本（空白模板）_财务费用" xfId="16899"/>
    <cellStyle name="常规 2 2 12 2 3" xfId="16900"/>
    <cellStyle name="差_6-应收利息（空白模板） 4 2" xfId="16901"/>
    <cellStyle name="常规 2 2 12 2 4" xfId="16902"/>
    <cellStyle name="差_6-应收利息（空白模板） 4 3" xfId="16903"/>
    <cellStyle name="常规 9 4 4 6" xfId="16904"/>
    <cellStyle name="差_6-应收利息（空白模板） 5" xfId="16905"/>
    <cellStyle name="常规 2 2 12 3 3" xfId="16906"/>
    <cellStyle name="差_6-应收利息（空白模板） 5 2" xfId="16907"/>
    <cellStyle name="千位分隔 2 4 13" xfId="16908"/>
    <cellStyle name="常规 3 2 3 2 2 2 2" xfId="16909"/>
    <cellStyle name="差_6-应收利息（空白模板） 6" xfId="16910"/>
    <cellStyle name="好__dxn_temp空白表页 10_明细表 4" xfId="16911"/>
    <cellStyle name="差_6-应收利息（空白模板） 6 2" xfId="16912"/>
    <cellStyle name="好__dxn_temp空白表页 10_明细表 5" xfId="16913"/>
    <cellStyle name="差_6-应收利息（空白模板） 6 3" xfId="16914"/>
    <cellStyle name="差_6-应收利息（空白模板） 7" xfId="16915"/>
    <cellStyle name="差_6-应收利息（空白模板） 8" xfId="16916"/>
    <cellStyle name="差_6-应收利息（空白模板）_明细表 2" xfId="16917"/>
    <cellStyle name="好_31-预收账款（空白模板） 9_明细表 2" xfId="16918"/>
    <cellStyle name="常规 3 2 18 3" xfId="16919"/>
    <cellStyle name="常规 3 2 23 3" xfId="16920"/>
    <cellStyle name="差_7-应收股利（空白模板）" xfId="16921"/>
    <cellStyle name="差_7-应收股利（空白模板） 2" xfId="16922"/>
    <cellStyle name="差_7-应收股利（空白模板） 2 2" xfId="16923"/>
    <cellStyle name="差_7-应收股利（空白模板） 3" xfId="16924"/>
    <cellStyle name="差_7-应收股利（空白模板） 3 2" xfId="16925"/>
    <cellStyle name="好_49-营业收入（空白模板） 9 2 2" xfId="16926"/>
    <cellStyle name="差_7-应收股利（空白模板） 4" xfId="16927"/>
    <cellStyle name="差_8-其他应收款（空白模板）" xfId="16928"/>
    <cellStyle name="好__dxn_temp空白表页 7_明细表 4" xfId="16929"/>
    <cellStyle name="差_8-其他应收款（空白模板） 2" xfId="16930"/>
    <cellStyle name="差_8-其他应收款（空白模板） 2 2" xfId="16931"/>
    <cellStyle name="差_8-其他应收款（空白模板） 2 2 2" xfId="16932"/>
    <cellStyle name="差_8-其他应收款（空白模板） 2 3" xfId="16933"/>
    <cellStyle name="好__dxn_temp空白表页 7_明细表 5" xfId="16934"/>
    <cellStyle name="差_8-其他应收款（空白模板） 3" xfId="16935"/>
    <cellStyle name="差_8-其他应收款（空白模板） 3 2" xfId="16936"/>
    <cellStyle name="差_8-其他应收款（空白模板） 3 2 2" xfId="16937"/>
    <cellStyle name="差_8-其他应收款（空白模板） 3 3" xfId="16938"/>
    <cellStyle name="差_8-其他应收款（空白模板） 3 3 2" xfId="16939"/>
    <cellStyle name="常规_32-应付职工薪酬(空白模板) 2" xfId="16940"/>
    <cellStyle name="差_8-其他应收款（空白模板） 4" xfId="16941"/>
    <cellStyle name="常规 2 2 4 2 6" xfId="16942"/>
    <cellStyle name="差_8-其他应收款（空白模板） 4 2" xfId="16943"/>
    <cellStyle name="常规 2 2 4 2 7" xfId="16944"/>
    <cellStyle name="差_8-其他应收款（空白模板） 4 3" xfId="16945"/>
    <cellStyle name="计算 5 2" xfId="16946"/>
    <cellStyle name="差_资产负债类底稿模版 12_明细表" xfId="16947"/>
    <cellStyle name="差_8-其他应收款（空白模板） 5" xfId="16948"/>
    <cellStyle name="差_8-其他应收款（空白模板） 6" xfId="16949"/>
    <cellStyle name="差_8-其他应收款（空白模板）_明细表" xfId="16950"/>
    <cellStyle name="差_9-存货（空白模板） 2" xfId="16951"/>
    <cellStyle name="差_9-存货（空白模板） 2 2" xfId="16952"/>
    <cellStyle name="差_长期应收款" xfId="16953"/>
    <cellStyle name="差_9-存货（空白模板） 2 3" xfId="16954"/>
    <cellStyle name="好_1短期借款 9" xfId="16955"/>
    <cellStyle name="千位分隔[0] 10" xfId="16956"/>
    <cellStyle name="差_9-存货（空白模板） 3 2" xfId="16957"/>
    <cellStyle name="好_56-公允价值损益变动（空白模板） 7 2" xfId="16958"/>
    <cellStyle name="常规 2 5 2 8 5" xfId="16959"/>
    <cellStyle name="差_9管理费用" xfId="16960"/>
    <cellStyle name="差_9管理费用 2 2 2" xfId="16961"/>
    <cellStyle name="差_9管理费用 2 2 3" xfId="16962"/>
    <cellStyle name="差_9管理费用 2 3" xfId="16963"/>
    <cellStyle name="差_9管理费用 2 4" xfId="16964"/>
    <cellStyle name="好_QE 库存股" xfId="16965"/>
    <cellStyle name="差_Book2" xfId="16966"/>
    <cellStyle name="好_QE 库存股 2" xfId="16967"/>
    <cellStyle name="常规 2 2 14 2 5" xfId="16968"/>
    <cellStyle name="差_Book2 2" xfId="16969"/>
    <cellStyle name="好_1投资收益 4" xfId="16970"/>
    <cellStyle name="差_Book2 2 2" xfId="16971"/>
    <cellStyle name="好_31-预收账款（空白模板） 5_明细表 5" xfId="16972"/>
    <cellStyle name="差_Book2 2 2 2" xfId="16973"/>
    <cellStyle name="差_Book2 2 3" xfId="16974"/>
    <cellStyle name="差_Book2 2 4" xfId="16975"/>
    <cellStyle name="差_Book2 3" xfId="16976"/>
    <cellStyle name="差_Book2 3 2" xfId="16977"/>
    <cellStyle name="常规_40-专项应付款(空白模板) 2" xfId="16978"/>
    <cellStyle name="差_Book2 3 3" xfId="16979"/>
    <cellStyle name="差_Book2 4" xfId="16980"/>
    <cellStyle name="好_G-应收账款 3 2 3" xfId="16981"/>
    <cellStyle name="差_dxn底稿目录" xfId="16982"/>
    <cellStyle name="差_dxn底稿目录 10 2 2" xfId="16983"/>
    <cellStyle name="差_dxn底稿目录 10 2 3" xfId="16984"/>
    <cellStyle name="好_54-财务费用（空白模板） 2 6" xfId="16985"/>
    <cellStyle name="差_固定资产 13 2" xfId="16986"/>
    <cellStyle name="差_dxn底稿目录 10 3" xfId="16987"/>
    <cellStyle name="差_dxn底稿目录 10 4" xfId="16988"/>
    <cellStyle name="好_文法2011-2012学年续放款名单(2009年签订贷款合同的" xfId="16989"/>
    <cellStyle name="好_大信底稿目录" xfId="16990"/>
    <cellStyle name="常规 3 6 2" xfId="16991"/>
    <cellStyle name="差_固定资产 13 3" xfId="16992"/>
    <cellStyle name="差_dxn底稿目录 10_明细表" xfId="16993"/>
    <cellStyle name="好_1专项应付款 8_明细表 4" xfId="16994"/>
    <cellStyle name="差_dxn底稿目录 11" xfId="16995"/>
    <cellStyle name="适中 2 2_附注表一（财务报表）" xfId="16996"/>
    <cellStyle name="差_dxn底稿目录 11 3" xfId="16997"/>
    <cellStyle name="好_1营业收入 13 2 2" xfId="16998"/>
    <cellStyle name="差_固定资产 14 2" xfId="16999"/>
    <cellStyle name="差_dxn底稿目录 11_明细表" xfId="17000"/>
    <cellStyle name="差_dxn底稿目录 12" xfId="17001"/>
    <cellStyle name="好_54-财务费用（空白模板） 4 5" xfId="17002"/>
    <cellStyle name="常规 3 10 3 4" xfId="17003"/>
    <cellStyle name="差_dxn底稿目录 12 2" xfId="17004"/>
    <cellStyle name="常规 3 10 3 5" xfId="17005"/>
    <cellStyle name="差_dxn底稿目录 12 3" xfId="17006"/>
    <cellStyle name="好_54-财务费用（空白模板） 5 5" xfId="17007"/>
    <cellStyle name="差_明细表 3" xfId="17008"/>
    <cellStyle name="差_dxn底稿目录 13 2" xfId="17009"/>
    <cellStyle name="差_明细表 4" xfId="17010"/>
    <cellStyle name="差_dxn底稿目录 13 3" xfId="17011"/>
    <cellStyle name="差_dxn底稿目录 13_明细表" xfId="17012"/>
    <cellStyle name="好_54-财务费用（空白模板） 6 5" xfId="17013"/>
    <cellStyle name="差_dxn底稿目录 14 2" xfId="17014"/>
    <cellStyle name="差_无形资产 13_附注表一（财务报表）" xfId="17015"/>
    <cellStyle name="差_dxn底稿目录 14 3" xfId="17016"/>
    <cellStyle name="差_dxn底稿目录 14_明细表" xfId="17017"/>
    <cellStyle name="差_dxn底稿目录 15" xfId="17018"/>
    <cellStyle name="差_dxn底稿目录 20" xfId="17019"/>
    <cellStyle name="差_dxn底稿目录 15 2" xfId="17020"/>
    <cellStyle name="差_dxn底稿目录 16" xfId="17021"/>
    <cellStyle name="差_dxn底稿目录 21" xfId="17022"/>
    <cellStyle name="差_dxn底稿目录 16 2" xfId="17023"/>
    <cellStyle name="常规 4 5 3 3" xfId="17024"/>
    <cellStyle name="差_dxn底稿目录 18" xfId="17025"/>
    <cellStyle name="差_dxn底稿目录 23" xfId="17026"/>
    <cellStyle name="差_dxn底稿目录 19" xfId="17027"/>
    <cellStyle name="差_dxn底稿目录 24" xfId="17028"/>
    <cellStyle name="差_dxn底稿目录 2" xfId="17029"/>
    <cellStyle name="差_dxn底稿目录 2 2 2" xfId="17030"/>
    <cellStyle name="差_资产负债标准底稿 3_附注表一（财务报表）" xfId="17031"/>
    <cellStyle name="差_dxn底稿目录 2 2 3" xfId="17032"/>
    <cellStyle name="差_dxn底稿目录 2 6" xfId="17033"/>
    <cellStyle name="好_ZA0货币资金审定表  14 3" xfId="17034"/>
    <cellStyle name="差_dxn底稿目录 2_明细表" xfId="17035"/>
    <cellStyle name="差_dxn底稿目录 25" xfId="17036"/>
    <cellStyle name="差_dxn底稿目录 30" xfId="17037"/>
    <cellStyle name="差_dxn底稿目录 26" xfId="17038"/>
    <cellStyle name="差_dxn底稿目录 31" xfId="17039"/>
    <cellStyle name="差_dxn底稿目录 27" xfId="17040"/>
    <cellStyle name="差_dxn底稿目录 32" xfId="17041"/>
    <cellStyle name="差_dxn底稿目录 28" xfId="17042"/>
    <cellStyle name="差_dxn底稿目录 33" xfId="17043"/>
    <cellStyle name="差_dxn底稿目录 29" xfId="17044"/>
    <cellStyle name="差_dxn底稿目录 34" xfId="17045"/>
    <cellStyle name="超链接 3 11 2 2" xfId="17046"/>
    <cellStyle name="差_底稿设置宏 4_明细表 2" xfId="17047"/>
    <cellStyle name="差_dxn底稿目录 3 2 2" xfId="17048"/>
    <cellStyle name="差_dxn底稿目录 3 2 3" xfId="17049"/>
    <cellStyle name="好_ZP在建工程 2 2 2" xfId="17050"/>
    <cellStyle name="差_dxn底稿目录 3 5" xfId="17051"/>
    <cellStyle name="差_dxn底稿目录 4" xfId="17052"/>
    <cellStyle name="差_dxn底稿目录 4 2 2" xfId="17053"/>
    <cellStyle name="差_dxn底稿目录 4 2 3" xfId="17054"/>
    <cellStyle name="差_dxn底稿目录 4 5" xfId="17055"/>
    <cellStyle name="差_dxn底稿目录 5" xfId="17056"/>
    <cellStyle name="差_dxn底稿目录 5 2 2" xfId="17057"/>
    <cellStyle name="差_dxn底稿目录 5 2 3" xfId="17058"/>
    <cellStyle name="好_财务费用 6_明细表 2" xfId="17059"/>
    <cellStyle name="差_dxn底稿目录 5 4" xfId="17060"/>
    <cellStyle name="差_dxn底稿目录 6" xfId="17061"/>
    <cellStyle name="好_30-应付账款（空白模板） 5 3" xfId="17062"/>
    <cellStyle name="差_dxn底稿目录 6 2 2" xfId="17063"/>
    <cellStyle name="好_ZA0货币资金审定表 _固定资产" xfId="17064"/>
    <cellStyle name="好_30-应付账款（空白模板） 5 4" xfId="17065"/>
    <cellStyle name="差_dxn底稿目录 6 2 3" xfId="17066"/>
    <cellStyle name="差_dxn底稿目录 7" xfId="17067"/>
    <cellStyle name="好_1资产减值损失 6 4" xfId="17068"/>
    <cellStyle name="差_dxn底稿目录 7 2 2" xfId="17069"/>
    <cellStyle name="好_1资产减值损失 6 5" xfId="17070"/>
    <cellStyle name="差_dxn底稿目录 7 2 3" xfId="17071"/>
    <cellStyle name="好_交易性金融负债 3" xfId="17072"/>
    <cellStyle name="差_dxn底稿目录 7_明细表" xfId="17073"/>
    <cellStyle name="差_dxn底稿目录 8" xfId="17074"/>
    <cellStyle name="差_dxn底稿目录 8 2 2" xfId="17075"/>
    <cellStyle name="好_1营业收入 3_明细表 2" xfId="17076"/>
    <cellStyle name="常规 5 2 2 4 2" xfId="17077"/>
    <cellStyle name="差_dxn底稿目录 8 2 3" xfId="17078"/>
    <cellStyle name="差_dxn底稿目录 8 4" xfId="17079"/>
    <cellStyle name="差_未审报表 4" xfId="17080"/>
    <cellStyle name="差_dxn底稿目录 8_明细表" xfId="17081"/>
    <cellStyle name="差_dxn底稿目录 9" xfId="17082"/>
    <cellStyle name="好_资产负债类底稿模版_大信底稿目录_明细表_1 3" xfId="17083"/>
    <cellStyle name="差_dxn底稿目录 9 2 3" xfId="17084"/>
    <cellStyle name="差_dxn底稿目录 9_明细表" xfId="17085"/>
    <cellStyle name="差_dxn底稿目录_明细表 2" xfId="17086"/>
    <cellStyle name="差_dxn底稿目录_明细表_1" xfId="17087"/>
    <cellStyle name="差_F1短期借款" xfId="17088"/>
    <cellStyle name="差_F4应付账款 2" xfId="17089"/>
    <cellStyle name="好_专项应付款 27" xfId="17090"/>
    <cellStyle name="好_专项应付款 32" xfId="17091"/>
    <cellStyle name="好_预收款项 7 3" xfId="17092"/>
    <cellStyle name="常规 3 4 5 3" xfId="17093"/>
    <cellStyle name="常规 10 2 2 2 4" xfId="17094"/>
    <cellStyle name="差_F4应付账款 2 2" xfId="17095"/>
    <cellStyle name="好_专项应付款 28" xfId="17096"/>
    <cellStyle name="好_专项应付款 33" xfId="17097"/>
    <cellStyle name="好_预收款项 7 4" xfId="17098"/>
    <cellStyle name="常规 3 4 5 4" xfId="17099"/>
    <cellStyle name="差_F4应付账款 2 3" xfId="17100"/>
    <cellStyle name="差_F4应付账款 3" xfId="17101"/>
    <cellStyle name="好_预收款项 8 3" xfId="17102"/>
    <cellStyle name="好_1短期借款 3 2 5" xfId="17103"/>
    <cellStyle name="差_F4应付账款 3 2" xfId="17104"/>
    <cellStyle name="好_预收款项 8 4" xfId="17105"/>
    <cellStyle name="好_1短期借款 3 2 6" xfId="17106"/>
    <cellStyle name="差_F4应付账款 3 3" xfId="17107"/>
    <cellStyle name="差_F4应付账款 4" xfId="17108"/>
    <cellStyle name="差_F4应付账款 5" xfId="17109"/>
    <cellStyle name="差_FA 短期借款 2 2" xfId="17110"/>
    <cellStyle name="差_FA 短期借款 2 2 2" xfId="17111"/>
    <cellStyle name="差_FA 短期借款 2 2 3" xfId="17112"/>
    <cellStyle name="常规 4 4 2 2 2" xfId="17113"/>
    <cellStyle name="差_FA 短期借款 2 3" xfId="17114"/>
    <cellStyle name="好_8-其他应收款（空白模板） 2 2 2" xfId="17115"/>
    <cellStyle name="常规 4 4 2 2 3" xfId="17116"/>
    <cellStyle name="差_FA 短期借款 2 4" xfId="17117"/>
    <cellStyle name="好_应交税费 - 复制 5" xfId="17118"/>
    <cellStyle name="差_FA 短期借款 3" xfId="17119"/>
    <cellStyle name="差_FA 短期借款 3 3" xfId="17120"/>
    <cellStyle name="好_1长期应收款 4" xfId="17121"/>
    <cellStyle name="常规 4 4 2 3 2" xfId="17122"/>
    <cellStyle name="差_FA 短期借款 4" xfId="17123"/>
    <cellStyle name="差_FA 短期借款 4 2" xfId="17124"/>
    <cellStyle name="差_FA 短期借款 4 3" xfId="17125"/>
    <cellStyle name="差_FA 短期借款 5" xfId="17126"/>
    <cellStyle name="好_30-应付账款（空白模板） 5_明细表" xfId="17127"/>
    <cellStyle name="差_FA 短期借款 5 2" xfId="17128"/>
    <cellStyle name="差_FA 短期借款 5 3" xfId="17129"/>
    <cellStyle name="好_1应付账款 4" xfId="17130"/>
    <cellStyle name="差_FA短期借款" xfId="17131"/>
    <cellStyle name="差_FA短期借款 2" xfId="17132"/>
    <cellStyle name="差_FM长期应付款 2 3" xfId="17133"/>
    <cellStyle name="差_FA短期借款 2 2" xfId="17134"/>
    <cellStyle name="好_财务费用 13 3" xfId="17135"/>
    <cellStyle name="好_资产负债类底稿模版 13 3" xfId="17136"/>
    <cellStyle name="差_FA短期借款 2 2 2" xfId="17137"/>
    <cellStyle name="差_FA短期借款 2 2 3" xfId="17138"/>
    <cellStyle name="好_FA 短期借款 4 2" xfId="17139"/>
    <cellStyle name="差_FM长期应付款 2 4" xfId="17140"/>
    <cellStyle name="差_FA短期借款 2 3" xfId="17141"/>
    <cellStyle name="好_FA 短期借款 4 3" xfId="17142"/>
    <cellStyle name="差_FA短期借款 2 4" xfId="17143"/>
    <cellStyle name="好_19-无形资产（空白模板） 14 2" xfId="17144"/>
    <cellStyle name="差_FA短期借款 3" xfId="17145"/>
    <cellStyle name="好_Z6应收利息 4" xfId="17146"/>
    <cellStyle name="差_FM长期应付款 3 3" xfId="17147"/>
    <cellStyle name="差_FA短期借款 3 2" xfId="17148"/>
    <cellStyle name="差_FA短期借款 4" xfId="17149"/>
    <cellStyle name="好_1资产减值损失 10 2 2" xfId="17150"/>
    <cellStyle name="好_财务费用 4_附注表一（财务报表）" xfId="17151"/>
    <cellStyle name="好_资产负债类底稿模版 4_附注表一（财务报表）" xfId="17152"/>
    <cellStyle name="差_FA短期借款 4 3" xfId="17153"/>
    <cellStyle name="差_FA短期借款 5" xfId="17154"/>
    <cellStyle name="千位分隔 2 5 8 7" xfId="17155"/>
    <cellStyle name="差_FM长期应付款 5 3" xfId="17156"/>
    <cellStyle name="千位分隔 12 2 5" xfId="17157"/>
    <cellStyle name="差_FA短期借款 5 2" xfId="17158"/>
    <cellStyle name="千位分隔 12 2 6" xfId="17159"/>
    <cellStyle name="差_FA短期借款 5 3" xfId="17160"/>
    <cellStyle name="差_FA短期借款 7" xfId="17161"/>
    <cellStyle name="差_无形资产 7 2 3" xfId="17162"/>
    <cellStyle name="差_FB 交易性金融负债" xfId="17163"/>
    <cellStyle name="常规 5 18 2 4" xfId="17164"/>
    <cellStyle name="常规 5 23 2 4" xfId="17165"/>
    <cellStyle name="差_FB 交易性金融负债 2" xfId="17166"/>
    <cellStyle name="差_FB 交易性金融负债 2 2" xfId="17167"/>
    <cellStyle name="差_FB 交易性金融负债 2 3" xfId="17168"/>
    <cellStyle name="常规 5 18 2 5" xfId="17169"/>
    <cellStyle name="常规 5 23 2 5" xfId="17170"/>
    <cellStyle name="差_FB 交易性金融负债 3" xfId="17171"/>
    <cellStyle name="差_FB 交易性金融负债 4" xfId="17172"/>
    <cellStyle name="差_FD 应付账款" xfId="17173"/>
    <cellStyle name="好_ZA0货币资金审定表  2_明细表 5" xfId="17174"/>
    <cellStyle name="差_FD 应付账款 2" xfId="17175"/>
    <cellStyle name="好_31-预收账款（空白模板） 14 2 5" xfId="17176"/>
    <cellStyle name="差_预收款项 2_明细表" xfId="17177"/>
    <cellStyle name="差_FD 应付账款 2 2" xfId="17178"/>
    <cellStyle name="常规 2 2 10 4" xfId="17179"/>
    <cellStyle name="差_预收款项 2_明细表 2" xfId="17180"/>
    <cellStyle name="差_FD 应付账款 2 2 2" xfId="17181"/>
    <cellStyle name="常规 2 2 10 5" xfId="17182"/>
    <cellStyle name="差_预收款项 2_明细表 3" xfId="17183"/>
    <cellStyle name="差_FD 应付账款 2 2 3" xfId="17184"/>
    <cellStyle name="差_FD 应付账款 2 3" xfId="17185"/>
    <cellStyle name="差_FD 应付账款 2 4" xfId="17186"/>
    <cellStyle name="差_FD 应付账款 3" xfId="17187"/>
    <cellStyle name="常规 4 27" xfId="17188"/>
    <cellStyle name="常规 4 32" xfId="17189"/>
    <cellStyle name="差_FD 应付账款 3 3" xfId="17190"/>
    <cellStyle name="差_FD 应付账款 4" xfId="17191"/>
    <cellStyle name="差_FD 应付账款 4 2" xfId="17192"/>
    <cellStyle name="差_FD 应付账款 4 3" xfId="17193"/>
    <cellStyle name="好_复件 固定资产 12_明细表" xfId="17194"/>
    <cellStyle name="差_FD 应付账款 5" xfId="17195"/>
    <cellStyle name="好_复件 固定资产 12_明细表 2" xfId="17196"/>
    <cellStyle name="差_FD 应付账款 5 2" xfId="17197"/>
    <cellStyle name="好_复件 固定资产 12_明细表 3" xfId="17198"/>
    <cellStyle name="差_FD 应付账款 5 3" xfId="17199"/>
    <cellStyle name="好_30-应付账款（空白模板） 2_明细表" xfId="17200"/>
    <cellStyle name="差_专项应付款 4 2" xfId="17201"/>
    <cellStyle name="差_FD 应付账款 6" xfId="17202"/>
    <cellStyle name="差_专项应付款 4 3" xfId="17203"/>
    <cellStyle name="差_FD 应付账款 7" xfId="17204"/>
    <cellStyle name="差_FD应付账款" xfId="17205"/>
    <cellStyle name="差_FD应付账款 2 3" xfId="17206"/>
    <cellStyle name="常规 176 2 2" xfId="17207"/>
    <cellStyle name="差_FD应付账款 3" xfId="17208"/>
    <cellStyle name="好_7-应收股利（空白模板） 4" xfId="17209"/>
    <cellStyle name="常规 176 2 2 2" xfId="17210"/>
    <cellStyle name="差_FD应付账款 3 2" xfId="17211"/>
    <cellStyle name="常规 176 2 2 3" xfId="17212"/>
    <cellStyle name="差_FD应付账款 3 3" xfId="17213"/>
    <cellStyle name="常规 176 2 3" xfId="17214"/>
    <cellStyle name="差_FD应付账款 4" xfId="17215"/>
    <cellStyle name="好_明细表 2 3" xfId="17216"/>
    <cellStyle name="差_FE预收款项" xfId="17217"/>
    <cellStyle name="好_ZA0货币资金审定表  15 6" xfId="17218"/>
    <cellStyle name="差_FE预收款项 2" xfId="17219"/>
    <cellStyle name="常规 2 3 2 2 11 2 4" xfId="17220"/>
    <cellStyle name="差_FE预收款项 2 2" xfId="17221"/>
    <cellStyle name="常规 2 3 2 2 11 2 5" xfId="17222"/>
    <cellStyle name="差_FE预收款项 2 3" xfId="17223"/>
    <cellStyle name="差_FE预收款项 3" xfId="17224"/>
    <cellStyle name="差_FE预收款项 3 2" xfId="17225"/>
    <cellStyle name="差_FE预收款项 3 3" xfId="17226"/>
    <cellStyle name="好_50-营业成本（空白模板） 4_明细表 2" xfId="17227"/>
    <cellStyle name="差_FE预收款项 5" xfId="17228"/>
    <cellStyle name="常规 5 3 7" xfId="17229"/>
    <cellStyle name="差_FG应交税费 2" xfId="17230"/>
    <cellStyle name="差_资产负债标准底稿 3 2" xfId="17231"/>
    <cellStyle name="常规 175" xfId="17232"/>
    <cellStyle name="常规 180" xfId="17233"/>
    <cellStyle name="常规 11 3 2 15" xfId="17234"/>
    <cellStyle name="常规 11 3 2 20" xfId="17235"/>
    <cellStyle name="差_FG应交税费 2 2" xfId="17236"/>
    <cellStyle name="差_资产负债标准底稿 3 2 2" xfId="17237"/>
    <cellStyle name="好_27-短期借款(空白模板) 11_明细表 2" xfId="17238"/>
    <cellStyle name="常规 176" xfId="17239"/>
    <cellStyle name="常规 11 3 2 16" xfId="17240"/>
    <cellStyle name="常规 11 3 2 21" xfId="17241"/>
    <cellStyle name="差_FG应交税费 2 3" xfId="17242"/>
    <cellStyle name="差_资产负债标准底稿 3 2 3" xfId="17243"/>
    <cellStyle name="常规 5 3 8" xfId="17244"/>
    <cellStyle name="差_FG应交税费 3" xfId="17245"/>
    <cellStyle name="差_资产负债标准底稿 3 3" xfId="17246"/>
    <cellStyle name="差_短期借款 26" xfId="17247"/>
    <cellStyle name="差_短期借款 31" xfId="17248"/>
    <cellStyle name="差_FG应交税费 3 2" xfId="17249"/>
    <cellStyle name="差_短期借款 27" xfId="17250"/>
    <cellStyle name="差_短期借款 32" xfId="17251"/>
    <cellStyle name="差_FG应交税费 3 3" xfId="17252"/>
    <cellStyle name="常规 5 3 9" xfId="17253"/>
    <cellStyle name="差_FG应交税费 4" xfId="17254"/>
    <cellStyle name="差_FG应交税费 5" xfId="17255"/>
    <cellStyle name="差_FI 应付股利" xfId="17256"/>
    <cellStyle name="好_40-专项应付款(空白模板) 9 3" xfId="17257"/>
    <cellStyle name="差_大信底稿目录 7" xfId="17258"/>
    <cellStyle name="差_FJ 其他应付款" xfId="17259"/>
    <cellStyle name="差_大信底稿目录 7 2" xfId="17260"/>
    <cellStyle name="差_FJ 其他应付款 2" xfId="17261"/>
    <cellStyle name="好_资产负债标准底稿_大信底稿目录 14 2 5" xfId="17262"/>
    <cellStyle name="好_6-应收利息（空白模板） 3 3" xfId="17263"/>
    <cellStyle name="差_大信底稿目录 7 2 2" xfId="17264"/>
    <cellStyle name="差_FJ 其他应付款 2 2" xfId="17265"/>
    <cellStyle name="好_1销售费用 2 3" xfId="17266"/>
    <cellStyle name="差_FJ 其他应付款 2 2 2" xfId="17267"/>
    <cellStyle name="好_1销售费用 2 4" xfId="17268"/>
    <cellStyle name="差_FJ 其他应付款 2 2 3" xfId="17269"/>
    <cellStyle name="好_6-应收利息（空白模板） 3 4" xfId="17270"/>
    <cellStyle name="差_大信底稿目录 7 2 3" xfId="17271"/>
    <cellStyle name="差_FJ 其他应付款 2 3" xfId="17272"/>
    <cellStyle name="好_6-应收利息（空白模板） 3 5" xfId="17273"/>
    <cellStyle name="差_大信底稿目录 7 2 4" xfId="17274"/>
    <cellStyle name="差_FJ 其他应付款 2 4" xfId="17275"/>
    <cellStyle name="差_大信底稿目录 7 3" xfId="17276"/>
    <cellStyle name="差_FJ 其他应付款 3" xfId="17277"/>
    <cellStyle name="好_6-应收利息（空白模板） 4 3" xfId="17278"/>
    <cellStyle name="差_FJ 其他应付款 3 2" xfId="17279"/>
    <cellStyle name="常规 2 3 26 2" xfId="17280"/>
    <cellStyle name="差_大信底稿目录 7 4" xfId="17281"/>
    <cellStyle name="差_FJ 其他应付款 4" xfId="17282"/>
    <cellStyle name="好_6-应收利息（空白模板） 5 3" xfId="17283"/>
    <cellStyle name="差_FJ 其他应付款 4 2" xfId="17284"/>
    <cellStyle name="差_FJ 其他应付款 4 3" xfId="17285"/>
    <cellStyle name="常规 3 2 6 2 2" xfId="17286"/>
    <cellStyle name="差_FJ 其他应付款 5 3" xfId="17287"/>
    <cellStyle name="常规 2 3 26 4" xfId="17288"/>
    <cellStyle name="差_FJ 其他应付款 6" xfId="17289"/>
    <cellStyle name="差_FJ 其他应付款 7" xfId="17290"/>
    <cellStyle name="好_1预收款项 11 2" xfId="17291"/>
    <cellStyle name="常规 2 3 26 5" xfId="17292"/>
    <cellStyle name="常规 9 4 2 4" xfId="17293"/>
    <cellStyle name="差_FJ其他应付款" xfId="17294"/>
    <cellStyle name="常规 3 3 2 7 6" xfId="17295"/>
    <cellStyle name="差_FJ其他应付款 2" xfId="17296"/>
    <cellStyle name="差_FJ其他应付款 2 2" xfId="17297"/>
    <cellStyle name="差_FJ其他应付款 2 2 3" xfId="17298"/>
    <cellStyle name="差_FJ其他应付款 2 3" xfId="17299"/>
    <cellStyle name="好_预收款项 9_附注表一（财务报表）" xfId="17300"/>
    <cellStyle name="常规 3 3 2 7 7" xfId="17301"/>
    <cellStyle name="差_底稿设置宏 7_明细表" xfId="17302"/>
    <cellStyle name="差_FJ其他应付款 3" xfId="17303"/>
    <cellStyle name="差_底稿设置宏 7_明细表 2" xfId="17304"/>
    <cellStyle name="差_FJ其他应付款 3 2" xfId="17305"/>
    <cellStyle name="差_底稿设置宏 7_明细表 3" xfId="17306"/>
    <cellStyle name="差_FJ其他应付款 3 3" xfId="17307"/>
    <cellStyle name="常规 3 3 2 7 8" xfId="17308"/>
    <cellStyle name="差_FJ其他应付款 4" xfId="17309"/>
    <cellStyle name="好_银行函证结果汇总表 4 2 6" xfId="17310"/>
    <cellStyle name="差_FJ其他应付款 4 2" xfId="17311"/>
    <cellStyle name="好_1短期借款 10_明细表" xfId="17312"/>
    <cellStyle name="差_FJ其他应付款 4 3" xfId="17313"/>
    <cellStyle name="差_FJ其他应付款 5" xfId="17314"/>
    <cellStyle name="差_FJ其他应付款 5 2" xfId="17315"/>
    <cellStyle name="差_FJ其他应付款 6" xfId="17316"/>
    <cellStyle name="差_FJ其他应付款 7" xfId="17317"/>
    <cellStyle name="差_FK长期借款" xfId="17318"/>
    <cellStyle name="差_FK长期借款 2" xfId="17319"/>
    <cellStyle name="差_FK长期借款 2 2" xfId="17320"/>
    <cellStyle name="差_FK长期借款 2 2 2" xfId="17321"/>
    <cellStyle name="差_FK长期借款 2 3" xfId="17322"/>
    <cellStyle name="适中 2 3 8" xfId="17323"/>
    <cellStyle name="常规 2 10_11年其他应收款" xfId="17324"/>
    <cellStyle name="差_FK长期借款 3" xfId="17325"/>
    <cellStyle name="差_FK长期借款 3 2" xfId="17326"/>
    <cellStyle name="差_FK长期借款 3 3" xfId="17327"/>
    <cellStyle name="差_FK长期借款 4" xfId="17328"/>
    <cellStyle name="差_FK长期借款 4 2" xfId="17329"/>
    <cellStyle name="差_FK长期借款 4 3" xfId="17330"/>
    <cellStyle name="差_FK长期借款 5" xfId="17331"/>
    <cellStyle name="差_FK长期借款 5 2" xfId="17332"/>
    <cellStyle name="差_FK长期借款 5 3" xfId="17333"/>
    <cellStyle name="差_FM长期应付款" xfId="17334"/>
    <cellStyle name="好_31-预收账款（空白模板） 12_附注表一（财务报表）" xfId="17335"/>
    <cellStyle name="差_FM长期应付款 2" xfId="17336"/>
    <cellStyle name="差_FM长期应付款 2 2" xfId="17337"/>
    <cellStyle name="好_财务费用 12 3" xfId="17338"/>
    <cellStyle name="好_专项应付款_明细表_1 5" xfId="17339"/>
    <cellStyle name="差_FM长期应付款 2 2 2" xfId="17340"/>
    <cellStyle name="差_FM长期应付款 2 2 3" xfId="17341"/>
    <cellStyle name="好_Z6应收利息 3" xfId="17342"/>
    <cellStyle name="差_FM长期应付款 3 2" xfId="17343"/>
    <cellStyle name="好_固定资产 13_明细表" xfId="17344"/>
    <cellStyle name="差_FM长期应付款 4 2" xfId="17345"/>
    <cellStyle name="好_FG应交税费 3 2" xfId="17346"/>
    <cellStyle name="差_FM长期应付款 5" xfId="17347"/>
    <cellStyle name="千位分隔 2 5 8 6" xfId="17348"/>
    <cellStyle name="差_FM长期应付款 5 2" xfId="17349"/>
    <cellStyle name="好_FG应交税费 3 3" xfId="17350"/>
    <cellStyle name="差_FM长期应付款 6" xfId="17351"/>
    <cellStyle name="差_FM长期应付款 7" xfId="17352"/>
    <cellStyle name="好_1资产减值损失 11 2 5" xfId="17353"/>
    <cellStyle name="差_资产负债类底稿模版 2 2 3" xfId="17354"/>
    <cellStyle name="差_FO预计负债 2 2" xfId="17355"/>
    <cellStyle name="好_1所得税费用 7" xfId="17356"/>
    <cellStyle name="差_FO预计负债 2 2 2" xfId="17357"/>
    <cellStyle name="好_1所得税费用 8" xfId="17358"/>
    <cellStyle name="差_FO预计负债 2 2 3" xfId="17359"/>
    <cellStyle name="好_4-应收账款（空白模板） 6_附注表一（财务报表）" xfId="17360"/>
    <cellStyle name="差_资产负债类底稿模版 2 2 4" xfId="17361"/>
    <cellStyle name="差_FO预计负债 2 3" xfId="17362"/>
    <cellStyle name="差_资产负债类底稿模版 2 2 5" xfId="17363"/>
    <cellStyle name="差_FO预计负债 2 4" xfId="17364"/>
    <cellStyle name="差_FO预计负债 3 2" xfId="17365"/>
    <cellStyle name="差_FO预计负债 4 2" xfId="17366"/>
    <cellStyle name="差_FO预计负债 5" xfId="17367"/>
    <cellStyle name="差_FO预计负债 5 2" xfId="17368"/>
    <cellStyle name="差_FO预计负债 5 3" xfId="17369"/>
    <cellStyle name="差_G2 - Sales.091231.v3" xfId="17370"/>
    <cellStyle name="差_资产负债标准底稿 9 2 5" xfId="17371"/>
    <cellStyle name="差_G2 - Sales.091231.v3 2" xfId="17372"/>
    <cellStyle name="差_G-应收账款" xfId="17373"/>
    <cellStyle name="常规 3 2 5 6" xfId="17374"/>
    <cellStyle name="差_G-应收账款 10" xfId="17375"/>
    <cellStyle name="好_1其他应付款 3" xfId="17376"/>
    <cellStyle name="常规 3 2 5 6 2" xfId="17377"/>
    <cellStyle name="差_G-应收账款 10 2" xfId="17378"/>
    <cellStyle name="好_1其他应付款 3 2" xfId="17379"/>
    <cellStyle name="差_G-应收账款 10 2 2" xfId="17380"/>
    <cellStyle name="好_1其他应付款 3 3" xfId="17381"/>
    <cellStyle name="差_G-应收账款 10 2 3" xfId="17382"/>
    <cellStyle name="好_资产负债标准底稿 2_附注表一（财务报表）" xfId="17383"/>
    <cellStyle name="好_1其他应付款 4" xfId="17384"/>
    <cellStyle name="常规 3 2 5 6 3" xfId="17385"/>
    <cellStyle name="差_G-应收账款 10 3" xfId="17386"/>
    <cellStyle name="好_1其他应付款 5" xfId="17387"/>
    <cellStyle name="差_G-应收账款 10 4" xfId="17388"/>
    <cellStyle name="常规 3 2 5 7 2" xfId="17389"/>
    <cellStyle name="差_G-应收账款 11 2" xfId="17390"/>
    <cellStyle name="常规 3 2 5 7 3" xfId="17391"/>
    <cellStyle name="差_G-应收账款 11 3" xfId="17392"/>
    <cellStyle name="差_G-应收账款 12 2" xfId="17393"/>
    <cellStyle name="差_G-应收账款 12 3" xfId="17394"/>
    <cellStyle name="差_G-应收账款 13 2" xfId="17395"/>
    <cellStyle name="差_G-应收账款 13 3" xfId="17396"/>
    <cellStyle name="千位分隔 2 2 8 2 4" xfId="17397"/>
    <cellStyle name="好_51-营业税金及附加（空白模板）_明细表_1 2" xfId="17398"/>
    <cellStyle name="好_附注 2 2" xfId="17399"/>
    <cellStyle name="差_G-应收账款 14" xfId="17400"/>
    <cellStyle name="好_银行函证结果汇总表 13 2 4" xfId="17401"/>
    <cellStyle name="差_G-应收账款 14 3" xfId="17402"/>
    <cellStyle name="千位分隔 2 2 8 2 5" xfId="17403"/>
    <cellStyle name="好_51-营业税金及附加（空白模板）_明细表_1 3" xfId="17404"/>
    <cellStyle name="好_附注 2 3" xfId="17405"/>
    <cellStyle name="差_G-应收账款 15" xfId="17406"/>
    <cellStyle name="差_G-应收账款 20" xfId="17407"/>
    <cellStyle name="差_G-应收账款 15 2" xfId="17408"/>
    <cellStyle name="好_51-营业税金及附加（空白模板）_明细表_1 4" xfId="17409"/>
    <cellStyle name="差_G-应收账款 16" xfId="17410"/>
    <cellStyle name="差_G-应收账款 21" xfId="17411"/>
    <cellStyle name="好_1短期借款 8_明细表 3" xfId="17412"/>
    <cellStyle name="差_G-应收账款 16 2" xfId="17413"/>
    <cellStyle name="好_51-营业税金及附加（空白模板）_明细表_1 5" xfId="17414"/>
    <cellStyle name="差_G-应收账款 17" xfId="17415"/>
    <cellStyle name="差_G-应收账款 22" xfId="17416"/>
    <cellStyle name="常规 3 2 2 5 2 2" xfId="17417"/>
    <cellStyle name="差_G-应收账款 18" xfId="17418"/>
    <cellStyle name="差_G-应收账款 23" xfId="17419"/>
    <cellStyle name="好_15-固定资产（空白模板） 8_明细表 2" xfId="17420"/>
    <cellStyle name="差_G-应收账款 2 2" xfId="17421"/>
    <cellStyle name="好_资产负债标准底稿 8" xfId="17422"/>
    <cellStyle name="差_G-应收账款 2 2 2" xfId="17423"/>
    <cellStyle name="好_资产负债标准底稿 9" xfId="17424"/>
    <cellStyle name="好_31-预收账款（空白模板） 3 2 2" xfId="17425"/>
    <cellStyle name="差_G-应收账款 2 2 3" xfId="17426"/>
    <cellStyle name="好_15-固定资产（空白模板） 8_明细表 3" xfId="17427"/>
    <cellStyle name="差_G-应收账款 2 3" xfId="17428"/>
    <cellStyle name="好_15-固定资产（空白模板） 8_明细表 4" xfId="17429"/>
    <cellStyle name="差_G-应收账款 2 4" xfId="17430"/>
    <cellStyle name="好_15-固定资产（空白模板） 8_明细表 5" xfId="17431"/>
    <cellStyle name="差_G-应收账款 2 5" xfId="17432"/>
    <cellStyle name="差_G-应收账款 2 6" xfId="17433"/>
    <cellStyle name="常规 7 7 2 2" xfId="17434"/>
    <cellStyle name="差_G-应收账款 25" xfId="17435"/>
    <cellStyle name="差_G-应收账款 30" xfId="17436"/>
    <cellStyle name="常规 7 7 2 3" xfId="17437"/>
    <cellStyle name="差_G-应收账款 26" xfId="17438"/>
    <cellStyle name="差_G-应收账款 31" xfId="17439"/>
    <cellStyle name="好_31-预收账款（空白模板） 13 2" xfId="17440"/>
    <cellStyle name="千位分隔[0] 5 2 2 2" xfId="17441"/>
    <cellStyle name="差_G-应收账款 28" xfId="17442"/>
    <cellStyle name="差_G-应收账款 33" xfId="17443"/>
    <cellStyle name="好_31-预收账款（空白模板） 13 3" xfId="17444"/>
    <cellStyle name="差_G-应收账款 29" xfId="17445"/>
    <cellStyle name="差_G-应收账款 34" xfId="17446"/>
    <cellStyle name="好_54-财务费用（空白模板） 2_附注表一（财务报表）" xfId="17447"/>
    <cellStyle name="差_G-应收账款 3 2" xfId="17448"/>
    <cellStyle name="差_G-应收账款 3 2 2" xfId="17449"/>
    <cellStyle name="好_31-预收账款（空白模板） 4 2 2" xfId="17450"/>
    <cellStyle name="差_G-应收账款 3 2 3" xfId="17451"/>
    <cellStyle name="差_G-应收账款 3 3" xfId="17452"/>
    <cellStyle name="差_G-应收账款 3 4" xfId="17453"/>
    <cellStyle name="差_G-应收账款 3 5" xfId="17454"/>
    <cellStyle name="好_39-长期应付款（空白模板）" xfId="17455"/>
    <cellStyle name="差_G-应收账款 3_明细表" xfId="17456"/>
    <cellStyle name="差_G-应收账款 4" xfId="17457"/>
    <cellStyle name="差_G-应收账款 4 2" xfId="17458"/>
    <cellStyle name="好_31-预收账款（空白模板） 5 2 2" xfId="17459"/>
    <cellStyle name="差_G-应收账款 4 2 3" xfId="17460"/>
    <cellStyle name="差_G-应收账款 4 3" xfId="17461"/>
    <cellStyle name="计算 2 10" xfId="17462"/>
    <cellStyle name="好_1递延所得税资产 2" xfId="17463"/>
    <cellStyle name="差_G-应收账款 4 4" xfId="17464"/>
    <cellStyle name="好_应收账款 5 3" xfId="17465"/>
    <cellStyle name="好_ZQ工程物资 3 3" xfId="17466"/>
    <cellStyle name="差_G-应收账款 4_明细表" xfId="17467"/>
    <cellStyle name="差_G-应收账款 5 2" xfId="17468"/>
    <cellStyle name="差_G-应收账款 5 2 2" xfId="17469"/>
    <cellStyle name="好_31-预收账款（空白模板） 6 2 2" xfId="17470"/>
    <cellStyle name="差_G-应收账款 5 2 3" xfId="17471"/>
    <cellStyle name="差_G-应收账款 5 3" xfId="17472"/>
    <cellStyle name="差_G-应收账款 5 4" xfId="17473"/>
    <cellStyle name="差_G-应收账款 6" xfId="17474"/>
    <cellStyle name="好_31-预收账款（空白模板） 7 2 2" xfId="17475"/>
    <cellStyle name="差_G-应收账款 6 2 3" xfId="17476"/>
    <cellStyle name="好_19-无形资产（空白模板）_明细表 6" xfId="17477"/>
    <cellStyle name="差_G-应收账款 6 4" xfId="17478"/>
    <cellStyle name="差_G-应收账款 7 2" xfId="17479"/>
    <cellStyle name="超链接 3 6 5" xfId="17480"/>
    <cellStyle name="差_G-应收账款 7 2 2" xfId="17481"/>
    <cellStyle name="好_31-预收账款（空白模板） 8 2 2" xfId="17482"/>
    <cellStyle name="差_G-应收账款 7 2 3" xfId="17483"/>
    <cellStyle name="差_G-应收账款 7 3" xfId="17484"/>
    <cellStyle name="差_G-应收账款 7 4" xfId="17485"/>
    <cellStyle name="差_G-应收账款 7_明细表" xfId="17486"/>
    <cellStyle name="差_G-应收账款 8" xfId="17487"/>
    <cellStyle name="差_G-应收账款 8 2" xfId="17488"/>
    <cellStyle name="差_G-应收账款 8 2 2" xfId="17489"/>
    <cellStyle name="好_31-预收账款（空白模板） 9 2 2" xfId="17490"/>
    <cellStyle name="差_G-应收账款 8 2 3" xfId="17491"/>
    <cellStyle name="差_G-应收账款 8 4" xfId="17492"/>
    <cellStyle name="差_G-应收账款 8_明细表" xfId="17493"/>
    <cellStyle name="常规 3 3 4_附注表一（财务报表）" xfId="17494"/>
    <cellStyle name="常规 3 2 28 7" xfId="17495"/>
    <cellStyle name="差_G-应收账款 9 2" xfId="17496"/>
    <cellStyle name="好_1长期应收款 2 2" xfId="17497"/>
    <cellStyle name="差_G-应收账款 9_明细表" xfId="17498"/>
    <cellStyle name="差_G-应收账款_明细表" xfId="17499"/>
    <cellStyle name="差_H1000应收账款" xfId="17500"/>
    <cellStyle name="差_QB 资本公积" xfId="17501"/>
    <cellStyle name="差_QB 资本公积 2" xfId="17502"/>
    <cellStyle name="差_QB资本公积" xfId="17503"/>
    <cellStyle name="差_QB资本公积 2" xfId="17504"/>
    <cellStyle name="差_QB资本公积 2 2" xfId="17505"/>
    <cellStyle name="差_QB资本公积 2 3" xfId="17506"/>
    <cellStyle name="差_QB资本公积 3" xfId="17507"/>
    <cellStyle name="差_QB资本公积 3 2" xfId="17508"/>
    <cellStyle name="差_QB资本公积 3 3" xfId="17509"/>
    <cellStyle name="差_Qingdao销售费用 2" xfId="17510"/>
    <cellStyle name="好_58-营业外收入（空白模板） 3" xfId="17511"/>
    <cellStyle name="好_G-应收账款 11_明细表 4" xfId="17512"/>
    <cellStyle name="差_S11-1营业外收入审定表" xfId="17513"/>
    <cellStyle name="差_S11-1营业外收入审定表 2" xfId="17514"/>
    <cellStyle name="常规 29 2 3" xfId="17515"/>
    <cellStyle name="常规 34 2 3" xfId="17516"/>
    <cellStyle name="差_S1-1营业收入审定表" xfId="17517"/>
    <cellStyle name="好_1营业收入 4_明细表 4" xfId="17518"/>
    <cellStyle name="差_S1-1营业收入审定表 2" xfId="17519"/>
    <cellStyle name="千位分隔[0] 7 2" xfId="17520"/>
    <cellStyle name="好_30-应付账款（空白模板） 10_明细表 3" xfId="17521"/>
    <cellStyle name="常规 3 2 2 2 2 8" xfId="17522"/>
    <cellStyle name="差_S4-1营业税金及附加审定表 2" xfId="17523"/>
    <cellStyle name="好_营业收入 15_明细表 4" xfId="17524"/>
    <cellStyle name="差_S4销售费用" xfId="17525"/>
    <cellStyle name="差_S4销售费用 3" xfId="17526"/>
    <cellStyle name="差_SA保险业务收入" xfId="17527"/>
    <cellStyle name="差_SA保险业务收入 2" xfId="17528"/>
    <cellStyle name="好_初步业务活动之首次承接 2 3" xfId="17529"/>
    <cellStyle name="超链接 3 4" xfId="17530"/>
    <cellStyle name="好_Z10一年内到期的非流动资产 3 2" xfId="17531"/>
    <cellStyle name="超链接 3 4 3" xfId="17532"/>
    <cellStyle name="差_SA保险业务收入 2 3" xfId="17533"/>
    <cellStyle name="超链接 3 5" xfId="17534"/>
    <cellStyle name="差_SA保险业务收入 3" xfId="17535"/>
    <cellStyle name="常规 7 7 2 2 2" xfId="17536"/>
    <cellStyle name="超链接 3 6" xfId="17537"/>
    <cellStyle name="差_SA保险业务收入 4" xfId="17538"/>
    <cellStyle name="差_Sheet1" xfId="17539"/>
    <cellStyle name="差_Sheet1 10" xfId="17540"/>
    <cellStyle name="差_Sheet1 11" xfId="17541"/>
    <cellStyle name="差_Sheet1 12" xfId="17542"/>
    <cellStyle name="差_Sheet1 2" xfId="17543"/>
    <cellStyle name="差_Sheet1 2 10" xfId="17544"/>
    <cellStyle name="好_54-财务费用（空白模板） 14_明细表 5" xfId="17545"/>
    <cellStyle name="好_1专项应付款 5 2 5" xfId="17546"/>
    <cellStyle name="差_Sheet1 2 2" xfId="17547"/>
    <cellStyle name="差_Sheet1 2 2 2" xfId="17548"/>
    <cellStyle name="差_Sheet1 2 3" xfId="17549"/>
    <cellStyle name="差_Sheet1 2 4" xfId="17550"/>
    <cellStyle name="好_54-财务费用（空白模板）_3固定资产 2" xfId="17551"/>
    <cellStyle name="差_Sheet1 2 5" xfId="17552"/>
    <cellStyle name="差_Sheet1 2 6" xfId="17553"/>
    <cellStyle name="差_Sheet1 2 7" xfId="17554"/>
    <cellStyle name="好_15-固定资产（空白模板） 2_附注表一（财务报表）" xfId="17555"/>
    <cellStyle name="差_Sheet1 2 8" xfId="17556"/>
    <cellStyle name="差_Sheet1 2 9" xfId="17557"/>
    <cellStyle name="常规 2 2 2 5 2 10" xfId="17558"/>
    <cellStyle name="差_Sheet1 3" xfId="17559"/>
    <cellStyle name="差_Sheet1 3 2" xfId="17560"/>
    <cellStyle name="差_Sheet1 3 3" xfId="17561"/>
    <cellStyle name="差_Sheet1 4 3" xfId="17562"/>
    <cellStyle name="差_Sheet1 5" xfId="17563"/>
    <cellStyle name="差_Sheet1 5 2" xfId="17564"/>
    <cellStyle name="差_Sheet1 6" xfId="17565"/>
    <cellStyle name="差_Sheet1 6 2" xfId="17566"/>
    <cellStyle name="差_Sheet1 6 3" xfId="17567"/>
    <cellStyle name="好_1资产减值损失 15_明细表 2" xfId="17568"/>
    <cellStyle name="差_Sheet1 7" xfId="17569"/>
    <cellStyle name="好_8-其他应收款（空白模板） 3" xfId="17570"/>
    <cellStyle name="好_54-财务费用（空白模板） 6_明细表 5" xfId="17571"/>
    <cellStyle name="差_Sheet1 7 2" xfId="17572"/>
    <cellStyle name="好_8-其他应收款（空白模板） 4" xfId="17573"/>
    <cellStyle name="差_Sheet1 7 3" xfId="17574"/>
    <cellStyle name="好_1资产减值损失 15_明细表 4" xfId="17575"/>
    <cellStyle name="差_Sheet1 9" xfId="17576"/>
    <cellStyle name="差_Sheet1 9 2" xfId="17577"/>
    <cellStyle name="差_Sheet1 9 3" xfId="17578"/>
    <cellStyle name="差_固定资产明细" xfId="17579"/>
    <cellStyle name="差_StartUp" xfId="17580"/>
    <cellStyle name="差_固定资产明细 2" xfId="17581"/>
    <cellStyle name="差_StartUp 2" xfId="17582"/>
    <cellStyle name="常规 5 3 2 5" xfId="17583"/>
    <cellStyle name="差_TOC" xfId="17584"/>
    <cellStyle name="差_TOC 2" xfId="17585"/>
    <cellStyle name="差_Z11其它流动资产" xfId="17586"/>
    <cellStyle name="好_30-应付账款（空白模板） 2_明细表 3" xfId="17587"/>
    <cellStyle name="差_专项应付款 4 2 3" xfId="17588"/>
    <cellStyle name="差_Z11其它流动资产 2" xfId="17589"/>
    <cellStyle name="差_Z11其它流动资产 2 2" xfId="17590"/>
    <cellStyle name="差_Z11其它流动资产 2 3" xfId="17591"/>
    <cellStyle name="好_应收利息 4_附注表一（财务报表）" xfId="17592"/>
    <cellStyle name="差_Z14-长期应收款（函证汇总表样本） 3" xfId="17593"/>
    <cellStyle name="差_Z1货币资金 2" xfId="17594"/>
    <cellStyle name="差_Z1货币资金 3" xfId="17595"/>
    <cellStyle name="差_Z3应收票据" xfId="17596"/>
    <cellStyle name="差_Z4应收账款" xfId="17597"/>
    <cellStyle name="差_Z4应收账款 2" xfId="17598"/>
    <cellStyle name="好_50-营业成本（空白模板） 18 3" xfId="17599"/>
    <cellStyle name="常规 11 4 2 5" xfId="17600"/>
    <cellStyle name="差_Z4应收账款 2 2" xfId="17601"/>
    <cellStyle name="好_50-营业成本（空白模板） 18 4" xfId="17602"/>
    <cellStyle name="差_Z4应收账款 2 3" xfId="17603"/>
    <cellStyle name="差_Z4应收账款 3" xfId="17604"/>
    <cellStyle name="差_Z4应收账款 3 2" xfId="17605"/>
    <cellStyle name="差_Z4应收账款 3 3" xfId="17606"/>
    <cellStyle name="差_Z4应收账款 4" xfId="17607"/>
    <cellStyle name="差_Z4应收账款 5" xfId="17608"/>
    <cellStyle name="差_Z5-300函证结果汇总表" xfId="17609"/>
    <cellStyle name="差_Z6应收利息" xfId="17610"/>
    <cellStyle name="差_Z9存货" xfId="17611"/>
    <cellStyle name="好_51-营业税金及附加（空白模板） 11_明细表 5" xfId="17612"/>
    <cellStyle name="差_底稿设置宏 11_明细表" xfId="17613"/>
    <cellStyle name="差_Z9存货 2" xfId="17614"/>
    <cellStyle name="差_Z9存货 3" xfId="17615"/>
    <cellStyle name="差_ZA0货币资金审定表 " xfId="17616"/>
    <cellStyle name="差_ZA0货币资金审定表  10" xfId="17617"/>
    <cellStyle name="差_ZA0货币资金审定表  10 2" xfId="17618"/>
    <cellStyle name="好_51-营业税金及附加（空白模板） 17 4" xfId="17619"/>
    <cellStyle name="差_ZA0货币资金审定表  10 2 2" xfId="17620"/>
    <cellStyle name="差_ZA0货币资金审定表  10 2 3" xfId="17621"/>
    <cellStyle name="差_ZA0货币资金审定表  10 3" xfId="17622"/>
    <cellStyle name="常规_8-其他应收款（空白模板） 2 2" xfId="17623"/>
    <cellStyle name="好_51-营业税金及附加（空白模板） 17 5" xfId="17624"/>
    <cellStyle name="好_底稿设置宏_大信底稿目录_明细表_1 4" xfId="17625"/>
    <cellStyle name="差_ZA0货币资金审定表  10_明细表" xfId="17626"/>
    <cellStyle name="好_短期借款 5_附注表一（财务报表）" xfId="17627"/>
    <cellStyle name="差_ZA0货币资金审定表  11" xfId="17628"/>
    <cellStyle name="差_ZA0货币资金审定表  11 2" xfId="17629"/>
    <cellStyle name="常规 9 3_附注表一（财务报表）" xfId="17630"/>
    <cellStyle name="好_51-营业税金及附加（空白模板） 18 4" xfId="17631"/>
    <cellStyle name="差_ZA0货币资金审定表  11 3" xfId="17632"/>
    <cellStyle name="好_51-营业税金及附加（空白模板） 18 5" xfId="17633"/>
    <cellStyle name="差_ZA0货币资金审定表  12 2" xfId="17634"/>
    <cellStyle name="差_ZA0货币资金审定表  12 3" xfId="17635"/>
    <cellStyle name="差_ZA0货币资金审定表  12_明细表" xfId="17636"/>
    <cellStyle name="差_ZA0货币资金审定表  13" xfId="17637"/>
    <cellStyle name="差_ZA0货币资金审定表  13 2" xfId="17638"/>
    <cellStyle name="差_ZA0货币资金审定表  13 3" xfId="17639"/>
    <cellStyle name="差_ZA0货币资金审定表  13_明细表" xfId="17640"/>
    <cellStyle name="差_ZA0货币资金审定表  14" xfId="17641"/>
    <cellStyle name="好_G-应收账款 11_明细表 5" xfId="17642"/>
    <cellStyle name="差_ZA0货币资金审定表  14_明细表" xfId="17643"/>
    <cellStyle name="差_ZA0货币资金审定表  15 2" xfId="17644"/>
    <cellStyle name="差_ZA0货币资金审定表  16" xfId="17645"/>
    <cellStyle name="差_ZA0货币资金审定表  21" xfId="17646"/>
    <cellStyle name="好_1专项应付款 5_附注表一（财务报表）" xfId="17647"/>
    <cellStyle name="差_ZA0货币资金审定表  17" xfId="17648"/>
    <cellStyle name="差_ZA0货币资金审定表  22" xfId="17649"/>
    <cellStyle name="好_预付款项 2" xfId="17650"/>
    <cellStyle name="差_ZA0货币资金审定表  18" xfId="17651"/>
    <cellStyle name="差_ZA0货币资金审定表  23" xfId="17652"/>
    <cellStyle name="好_预付款项 3" xfId="17653"/>
    <cellStyle name="差_ZA0货币资金审定表  19" xfId="17654"/>
    <cellStyle name="差_ZA0货币资金审定表  24" xfId="17655"/>
    <cellStyle name="常规 3 14 3 3" xfId="17656"/>
    <cellStyle name="差_ZA0货币资金审定表  2" xfId="17657"/>
    <cellStyle name="好_1货币资金 4" xfId="17658"/>
    <cellStyle name="差_ZA0货币资金审定表  2 2 2" xfId="17659"/>
    <cellStyle name="好_1货币资金 5" xfId="17660"/>
    <cellStyle name="差_ZA0货币资金审定表  2 2 3" xfId="17661"/>
    <cellStyle name="好_1货币资金 6" xfId="17662"/>
    <cellStyle name="差_ZA0货币资金审定表  2 2 4" xfId="17663"/>
    <cellStyle name="差_ZA0货币资金审定表  2 4" xfId="17664"/>
    <cellStyle name="差_ZA0货币资金审定表  2 5" xfId="17665"/>
    <cellStyle name="差_ZA0货币资金审定表  2 6" xfId="17666"/>
    <cellStyle name="常规 7 6" xfId="17667"/>
    <cellStyle name="差_ZA0货币资金审定表  2_明细表" xfId="17668"/>
    <cellStyle name="好_预付款项 4" xfId="17669"/>
    <cellStyle name="差_ZA0货币资金审定表  25" xfId="17670"/>
    <cellStyle name="差_ZA0货币资金审定表  30" xfId="17671"/>
    <cellStyle name="常规 5 2 2 10 2" xfId="17672"/>
    <cellStyle name="差_ZA0货币资金审定表  26" xfId="17673"/>
    <cellStyle name="差_ZA0货币资金审定表  31" xfId="17674"/>
    <cellStyle name="常规 3 14 3 4" xfId="17675"/>
    <cellStyle name="差_ZA0货币资金审定表  3" xfId="17676"/>
    <cellStyle name="差_ZA0货币资金审定表  3 2" xfId="17677"/>
    <cellStyle name="差_模板 5 2" xfId="17678"/>
    <cellStyle name="差_ZA0货币资金审定表  3 2 3" xfId="17679"/>
    <cellStyle name="差_ZA0货币资金审定表  3 3" xfId="17680"/>
    <cellStyle name="差_ZA0货币资金审定表  3 4" xfId="17681"/>
    <cellStyle name="好_30-应付账款（空白模板） 14_明细表" xfId="17682"/>
    <cellStyle name="差_ZA0货币资金审定表  3 5" xfId="17683"/>
    <cellStyle name="差_ZA0货币资金审定表  3_明细表" xfId="17684"/>
    <cellStyle name="常规 3 14 3 5" xfId="17685"/>
    <cellStyle name="差_ZA0货币资金审定表  4" xfId="17686"/>
    <cellStyle name="好_公允价值变动损益 2 3" xfId="17687"/>
    <cellStyle name="差_ZA0货币资金审定表  4 2" xfId="17688"/>
    <cellStyle name="差_ZA0货币资金审定表  4 2 3" xfId="17689"/>
    <cellStyle name="差_ZA0货币资金审定表  4 4" xfId="17690"/>
    <cellStyle name="差_ZA0货币资金审定表  4 5" xfId="17691"/>
    <cellStyle name="差_ZA0货币资金审定表  4_明细表" xfId="17692"/>
    <cellStyle name="常规 7 8 2" xfId="17693"/>
    <cellStyle name="差_ZA0货币资金审定表  5" xfId="17694"/>
    <cellStyle name="好_公允价值变动损益 3 3" xfId="17695"/>
    <cellStyle name="常规 7 8 2 2" xfId="17696"/>
    <cellStyle name="差_ZA0货币资金审定表  5 2" xfId="17697"/>
    <cellStyle name="差_ZA0货币资金审定表  5 2 2" xfId="17698"/>
    <cellStyle name="差_ZA0货币资金审定表  5 2 3" xfId="17699"/>
    <cellStyle name="常规 7 8 2 3" xfId="17700"/>
    <cellStyle name="差_ZA0货币资金审定表  5 3" xfId="17701"/>
    <cellStyle name="差_ZA0货币资金审定表  5 4" xfId="17702"/>
    <cellStyle name="差_无形资产 10 2" xfId="17703"/>
    <cellStyle name="好_应收账款 11" xfId="17704"/>
    <cellStyle name="差_ZA0货币资金审定表  5_明细表" xfId="17705"/>
    <cellStyle name="千位分隔 4 2 5 2 3" xfId="17706"/>
    <cellStyle name="好_4-应收账款（空白模板） 8_明细表" xfId="17707"/>
    <cellStyle name="常规 7 8 3" xfId="17708"/>
    <cellStyle name="差_ZA0货币资金审定表  6" xfId="17709"/>
    <cellStyle name="好_4-应收账款（空白模板） 8_明细表 2" xfId="17710"/>
    <cellStyle name="常规 7 8 3 2" xfId="17711"/>
    <cellStyle name="差_ZA0货币资金审定表  6 2" xfId="17712"/>
    <cellStyle name="常规 2 3 2 2 2 2 2 7" xfId="17713"/>
    <cellStyle name="差_专项应付款 4_明细表 4" xfId="17714"/>
    <cellStyle name="差_ZA0货币资金审定表  6 2 2" xfId="17715"/>
    <cellStyle name="常规 2 3 2 2 2 2 2 8" xfId="17716"/>
    <cellStyle name="差_专项应付款 4_明细表 5" xfId="17717"/>
    <cellStyle name="差_ZA0货币资金审定表  6 2 3" xfId="17718"/>
    <cellStyle name="好_G-应收账款_明细表 2 3" xfId="17719"/>
    <cellStyle name="好_4-应收账款（空白模板） 8_明细表 4" xfId="17720"/>
    <cellStyle name="差_ZA0货币资金审定表  6 4" xfId="17721"/>
    <cellStyle name="差_无形资产 11 2" xfId="17722"/>
    <cellStyle name="差_ZA0货币资金审定表  6_明细表" xfId="17723"/>
    <cellStyle name="常规 7 8 4" xfId="17724"/>
    <cellStyle name="差_ZA0货币资金审定表  7" xfId="17725"/>
    <cellStyle name="差_ZA0货币资金审定表  7 2 2" xfId="17726"/>
    <cellStyle name="差_ZA0货币资金审定表  7 2 3" xfId="17727"/>
    <cellStyle name="差_ZA0货币资金审定表  7_明细表" xfId="17728"/>
    <cellStyle name="常规 7 8 5" xfId="17729"/>
    <cellStyle name="差_ZA0货币资金审定表  8" xfId="17730"/>
    <cellStyle name="差_ZA0货币资金审定表  8 2" xfId="17731"/>
    <cellStyle name="差_ZA0货币资金审定表  8 2 2" xfId="17732"/>
    <cellStyle name="差_ZA0货币资金审定表  8 2 3" xfId="17733"/>
    <cellStyle name="好_递延所得税负债 - 复制 3 2" xfId="17734"/>
    <cellStyle name="差_ZA0货币资金审定表  8 3" xfId="17735"/>
    <cellStyle name="好_递延所得税负债 - 复制 3 3" xfId="17736"/>
    <cellStyle name="差_ZA0货币资金审定表  8 4" xfId="17737"/>
    <cellStyle name="差_无形资产 13 2" xfId="17738"/>
    <cellStyle name="差_ZA0货币资金审定表  8_明细表" xfId="17739"/>
    <cellStyle name="好_1财务费用 2 2 2" xfId="17740"/>
    <cellStyle name="好_货币资金 13" xfId="17741"/>
    <cellStyle name="差_ZA0货币资金审定表 _3固定资产" xfId="17742"/>
    <cellStyle name="差_ZA0货币资金审定表 _3固定资产 2" xfId="17743"/>
    <cellStyle name="好_54-财务费用（空白模板） 17 6" xfId="17744"/>
    <cellStyle name="差_ZA0货币资金审定表 _Book2" xfId="17745"/>
    <cellStyle name="常规 3 8 2 7" xfId="17746"/>
    <cellStyle name="差_ZA0货币资金审定表 _Book2 2" xfId="17747"/>
    <cellStyle name="差_ZA0货币资金审定表 _固定资产" xfId="17748"/>
    <cellStyle name="差_ZA0货币资金审定表 _货币资金" xfId="17749"/>
    <cellStyle name="常规 11 3 2" xfId="17750"/>
    <cellStyle name="差_ZA0货币资金审定表 _明细表" xfId="17751"/>
    <cellStyle name="差_ZA0货币资金审定表 _明细表 2" xfId="17752"/>
    <cellStyle name="常规 18" xfId="17753"/>
    <cellStyle name="常规 23" xfId="17754"/>
    <cellStyle name="常规 11 3 2 2" xfId="17755"/>
    <cellStyle name="差_ZA0货币资金审定表 _应收账款 2" xfId="17756"/>
    <cellStyle name="差_ZA货币资金" xfId="17757"/>
    <cellStyle name="好_1应收账款 4" xfId="17758"/>
    <cellStyle name="差_ZA货币资金 2" xfId="17759"/>
    <cellStyle name="差_ZA货币资金 2 2" xfId="17760"/>
    <cellStyle name="好_1专项应付款 11_明细表 5" xfId="17761"/>
    <cellStyle name="好_1应收账款 4 2" xfId="17762"/>
    <cellStyle name="差_ZA货币资金 2 2 2" xfId="17763"/>
    <cellStyle name="差_ZA货币资金 2 2 3" xfId="17764"/>
    <cellStyle name="好_1应收账款 4 4" xfId="17765"/>
    <cellStyle name="差_ZA货币资金 2 4" xfId="17766"/>
    <cellStyle name="好_1应收账款 5" xfId="17767"/>
    <cellStyle name="差_ZA货币资金 3" xfId="17768"/>
    <cellStyle name="好_1应收账款 5 2" xfId="17769"/>
    <cellStyle name="差_ZA货币资金 3 2" xfId="17770"/>
    <cellStyle name="好_1专项应付款 13 2 2" xfId="17771"/>
    <cellStyle name="好_1应收账款 5 3" xfId="17772"/>
    <cellStyle name="常规 3 2 19_附注表一（财务报表）" xfId="17773"/>
    <cellStyle name="常规 3 2 24_附注表一（财务报表）" xfId="17774"/>
    <cellStyle name="差_ZA货币资金 3 3" xfId="17775"/>
    <cellStyle name="好_管理费用 3 2" xfId="17776"/>
    <cellStyle name="好_1应收账款 6" xfId="17777"/>
    <cellStyle name="差_ZA货币资金 4" xfId="17778"/>
    <cellStyle name="好_1应收账款 6 2" xfId="17779"/>
    <cellStyle name="差_ZA货币资金 4 2" xfId="17780"/>
    <cellStyle name="好_1应收账款 6 3" xfId="17781"/>
    <cellStyle name="差_ZA货币资金 4 3" xfId="17782"/>
    <cellStyle name="好_1应收账款 7" xfId="17783"/>
    <cellStyle name="差_ZA货币资金 5" xfId="17784"/>
    <cellStyle name="常规 3 3 2 2 4 2 5" xfId="17785"/>
    <cellStyle name="差_ZA货币资金 5 3" xfId="17786"/>
    <cellStyle name="差_专项应付款 15 2 4" xfId="17787"/>
    <cellStyle name="差_ZD 应收账款 2" xfId="17788"/>
    <cellStyle name="差_ZD 应收账款 2 2" xfId="17789"/>
    <cellStyle name="差_ZD 应收账款 2 2 2" xfId="17790"/>
    <cellStyle name="差_ZD 应收账款 2 2 3" xfId="17791"/>
    <cellStyle name="差_ZD 应收账款 2 3" xfId="17792"/>
    <cellStyle name="差_专项应付款 15 2 5" xfId="17793"/>
    <cellStyle name="差_ZD 应收账款 3" xfId="17794"/>
    <cellStyle name="差_ZD 应收账款 4" xfId="17795"/>
    <cellStyle name="常规 2 3 2 17" xfId="17796"/>
    <cellStyle name="常规 2 3 2 22" xfId="17797"/>
    <cellStyle name="差_ZD 应收账款 4 2" xfId="17798"/>
    <cellStyle name="常规 2 3 2 18" xfId="17799"/>
    <cellStyle name="常规 2 3 2 23" xfId="17800"/>
    <cellStyle name="差_ZD 应收账款 4 3" xfId="17801"/>
    <cellStyle name="差_ZD 应收账款 5" xfId="17802"/>
    <cellStyle name="差_ZD 应收账款 5 2" xfId="17803"/>
    <cellStyle name="差_ZD 应收账款 5 3" xfId="17804"/>
    <cellStyle name="差_ZD 应收账款 7" xfId="17805"/>
    <cellStyle name="好_1专项应付款 2 2 2 2" xfId="17806"/>
    <cellStyle name="差_ZD应收账款 2 4" xfId="17807"/>
    <cellStyle name="差_ZF应收利息" xfId="17808"/>
    <cellStyle name="差_ZG应收保费" xfId="17809"/>
    <cellStyle name="好_应收利息 12 3" xfId="17810"/>
    <cellStyle name="常规 36 2 2 3" xfId="17811"/>
    <cellStyle name="超链接 3 27" xfId="17812"/>
    <cellStyle name="超链接 3 32" xfId="17813"/>
    <cellStyle name="差_ZG应收保费 2 2 2" xfId="17814"/>
    <cellStyle name="好_无形资产 15_明细表 5" xfId="17815"/>
    <cellStyle name="差_ZG应收保费 2 3" xfId="17816"/>
    <cellStyle name="差_ZG应收保费 2 4" xfId="17817"/>
    <cellStyle name="差_ZG应收保费 3" xfId="17818"/>
    <cellStyle name="差_ZG应收保费 3 2" xfId="17819"/>
    <cellStyle name="差_ZG应收保费 3 3" xfId="17820"/>
    <cellStyle name="好_复件 固定资产 2 4" xfId="17821"/>
    <cellStyle name="差_ZG应收保费 4 2" xfId="17822"/>
    <cellStyle name="差_ZG应收保费 4 3" xfId="17823"/>
    <cellStyle name="差_ZG应收保费 5" xfId="17824"/>
    <cellStyle name="差_复件 固定资产 10 3" xfId="17825"/>
    <cellStyle name="差_固定资产 5 2 4" xfId="17826"/>
    <cellStyle name="差_ZH其他应收款" xfId="17827"/>
    <cellStyle name="差_ZH其他应收款 2" xfId="17828"/>
    <cellStyle name="差_ZH其他应收款 2 2" xfId="17829"/>
    <cellStyle name="常规 2 7 8" xfId="17830"/>
    <cellStyle name="差_ZH其他应收款 2 2 2" xfId="17831"/>
    <cellStyle name="常规 2 7 9" xfId="17832"/>
    <cellStyle name="差_ZH其他应收款 2 2 3" xfId="17833"/>
    <cellStyle name="差_ZH其他应收款 2 3" xfId="17834"/>
    <cellStyle name="差_ZH其他应收款 3" xfId="17835"/>
    <cellStyle name="差_ZH其他应收款 3 2" xfId="17836"/>
    <cellStyle name="差_ZH其他应收款 4" xfId="17837"/>
    <cellStyle name="好_1财务费用 5_明细表" xfId="17838"/>
    <cellStyle name="差_ZH其他应收款 4 2" xfId="17839"/>
    <cellStyle name="差_ZH其他应收款 4 3" xfId="17840"/>
    <cellStyle name="差_ZH其他应收款 5" xfId="17841"/>
    <cellStyle name="好_1固定资产 3_明细表 4" xfId="17842"/>
    <cellStyle name="差_ZH其他应收款 5 2" xfId="17843"/>
    <cellStyle name="好_1固定资产 3_明细表 5" xfId="17844"/>
    <cellStyle name="差_ZH其他应收款 5 3" xfId="17845"/>
    <cellStyle name="差_ZH其他应收款 6" xfId="17846"/>
    <cellStyle name="差_ZH其他应收款 7" xfId="17847"/>
    <cellStyle name="差_ZI存货" xfId="17848"/>
    <cellStyle name="差_ZI存货 2" xfId="17849"/>
    <cellStyle name="好_30-应付账款（空白模板） 4_附注表一（财务报表）" xfId="17850"/>
    <cellStyle name="差_ZI存货 2 3" xfId="17851"/>
    <cellStyle name="差_ZI存货 3" xfId="17852"/>
    <cellStyle name="好_预收款项 2" xfId="17853"/>
    <cellStyle name="差_ZI存货 4" xfId="17854"/>
    <cellStyle name="差_ZL长期应收款 2 2 3" xfId="17855"/>
    <cellStyle name="好_1资产减值损失 8_明细表 2" xfId="17856"/>
    <cellStyle name="差_ZL长期应收款 5 2" xfId="17857"/>
    <cellStyle name="差_ZL长期应收款 5 3" xfId="17858"/>
    <cellStyle name="差_ZO固定资产" xfId="17859"/>
    <cellStyle name="常规 65" xfId="17860"/>
    <cellStyle name="常规 70" xfId="17861"/>
    <cellStyle name="差_ZO固定资产 2" xfId="17862"/>
    <cellStyle name="好_1资产减值损失 15_明细表 5" xfId="17863"/>
    <cellStyle name="差_ZO固定资产 2 2" xfId="17864"/>
    <cellStyle name="差_ZO固定资产 2 3" xfId="17865"/>
    <cellStyle name="常规 66" xfId="17866"/>
    <cellStyle name="常规 71" xfId="17867"/>
    <cellStyle name="差_ZO固定资产 3" xfId="17868"/>
    <cellStyle name="常规 67" xfId="17869"/>
    <cellStyle name="常规 72" xfId="17870"/>
    <cellStyle name="差_ZO固定资产 4" xfId="17871"/>
    <cellStyle name="差_ZP在建工程 2" xfId="17872"/>
    <cellStyle name="差_ZP在建工程 2 2" xfId="17873"/>
    <cellStyle name="差_ZP在建工程 2 2 2" xfId="17874"/>
    <cellStyle name="差_ZP在建工程 2 2 3" xfId="17875"/>
    <cellStyle name="差_ZP在建工程 2 4" xfId="17876"/>
    <cellStyle name="千位分隔 2 3 3 2" xfId="17877"/>
    <cellStyle name="差_ZP在建工程 3" xfId="17878"/>
    <cellStyle name="好_银行函证结果汇总表 2" xfId="17879"/>
    <cellStyle name="千位分隔 2 3 3 2 3" xfId="17880"/>
    <cellStyle name="差_ZP在建工程 3 3" xfId="17881"/>
    <cellStyle name="常规 7 9 3 2" xfId="17882"/>
    <cellStyle name="千位分隔 2 3 3 3" xfId="17883"/>
    <cellStyle name="差_ZP在建工程 4" xfId="17884"/>
    <cellStyle name="差_专项应付款 5_明细表 4" xfId="17885"/>
    <cellStyle name="千位分隔 2 3 3 3 2" xfId="17886"/>
    <cellStyle name="差_ZP在建工程 4 2" xfId="17887"/>
    <cellStyle name="差_专项应付款 5_明细表 5" xfId="17888"/>
    <cellStyle name="千位分隔 2 3 3 3 3" xfId="17889"/>
    <cellStyle name="差_ZP在建工程 4 3" xfId="17890"/>
    <cellStyle name="千位分隔 2 3 3 4" xfId="17891"/>
    <cellStyle name="差_ZP在建工程 5" xfId="17892"/>
    <cellStyle name="千位分隔 2 3 3 4 2" xfId="17893"/>
    <cellStyle name="差_ZP在建工程 5 2" xfId="17894"/>
    <cellStyle name="差_ZP在建工程 5 3" xfId="17895"/>
    <cellStyle name="差_交易性金融资产 3 2" xfId="17896"/>
    <cellStyle name="差_ZQ工程物资" xfId="17897"/>
    <cellStyle name="好_27-短期借款(空白模板) 11_明细表 3" xfId="17898"/>
    <cellStyle name="常规 177" xfId="17899"/>
    <cellStyle name="常规 182" xfId="17900"/>
    <cellStyle name="常规 11 3 2 17" xfId="17901"/>
    <cellStyle name="常规 11 3 2 22" xfId="17902"/>
    <cellStyle name="差_资产负债标准底稿 3 2 4" xfId="17903"/>
    <cellStyle name="差_ZQ工程物资 2" xfId="17904"/>
    <cellStyle name="常规 177 2" xfId="17905"/>
    <cellStyle name="常规 182 2" xfId="17906"/>
    <cellStyle name="差_ZQ工程物资 2 2" xfId="17907"/>
    <cellStyle name="好_专项应付款 6 2" xfId="17908"/>
    <cellStyle name="常规 177 3" xfId="17909"/>
    <cellStyle name="常规 182 3" xfId="17910"/>
    <cellStyle name="差_ZQ工程物资 2 3" xfId="17911"/>
    <cellStyle name="好_27-短期借款(空白模板) 11_明细表 4" xfId="17912"/>
    <cellStyle name="常规 178" xfId="17913"/>
    <cellStyle name="常规 2 3 2 9 2 2" xfId="17914"/>
    <cellStyle name="常规 11 3 2 18" xfId="17915"/>
    <cellStyle name="常规 11 3 2 23" xfId="17916"/>
    <cellStyle name="差_资产负债标准底稿 3 2 5" xfId="17917"/>
    <cellStyle name="差_ZQ工程物资 3" xfId="17918"/>
    <cellStyle name="好_27-短期借款(空白模板) 11_明细表 5" xfId="17919"/>
    <cellStyle name="常规 179" xfId="17920"/>
    <cellStyle name="常规 2 3 2 9 2 3" xfId="17921"/>
    <cellStyle name="常规 11 3 2 19" xfId="17922"/>
    <cellStyle name="差_ZQ工程物资 4" xfId="17923"/>
    <cellStyle name="差_ZU固定资产" xfId="17924"/>
    <cellStyle name="差_ZU固定资产 2" xfId="17925"/>
    <cellStyle name="差_ZU固定资产 2 2" xfId="17926"/>
    <cellStyle name="好 2" xfId="17927"/>
    <cellStyle name="差_ZU固定资产 4" xfId="17928"/>
    <cellStyle name="差_ZY-递延所得税资产" xfId="17929"/>
    <cellStyle name="差_ZY-递延所得税资产 2" xfId="17930"/>
    <cellStyle name="好_1专项应付款 16 3" xfId="17931"/>
    <cellStyle name="差_ZY-递延所得税资产 2 2" xfId="17932"/>
    <cellStyle name="常规 3 14 7" xfId="17933"/>
    <cellStyle name="差_ZY-递延所得税资产 2 2 2" xfId="17934"/>
    <cellStyle name="常规 3 14 8" xfId="17935"/>
    <cellStyle name="千位分隔 10 10" xfId="17936"/>
    <cellStyle name="差_ZY-递延所得税资产 2 2 3" xfId="17937"/>
    <cellStyle name="好_1专项应付款 16 5" xfId="17938"/>
    <cellStyle name="差_ZY-递延所得税资产 2 4" xfId="17939"/>
    <cellStyle name="好_底稿设置宏 4_明细表 2" xfId="17940"/>
    <cellStyle name="差_ZY-递延所得税资产 3" xfId="17941"/>
    <cellStyle name="好_1专项应付款 17 3" xfId="17942"/>
    <cellStyle name="差_ZY-递延所得税资产 3 2" xfId="17943"/>
    <cellStyle name="好_1专项应付款 17 4" xfId="17944"/>
    <cellStyle name="差_ZY-递延所得税资产 3 3" xfId="17945"/>
    <cellStyle name="好_底稿设置宏 4_明细表 3" xfId="17946"/>
    <cellStyle name="差_ZY-递延所得税资产 4" xfId="17947"/>
    <cellStyle name="好_1专项应付款 18 3" xfId="17948"/>
    <cellStyle name="差_ZY-递延所得税资产 4 2" xfId="17949"/>
    <cellStyle name="好_1专项应付款 18 4" xfId="17950"/>
    <cellStyle name="差_ZY-递延所得税资产 4 3" xfId="17951"/>
    <cellStyle name="好_底稿设置宏 4_明细表 4" xfId="17952"/>
    <cellStyle name="差_ZY-递延所得税资产 5" xfId="17953"/>
    <cellStyle name="差_ZY-递延所得税资产 5 2" xfId="17954"/>
    <cellStyle name="差_ZY-递延所得税资产 5 3" xfId="17955"/>
    <cellStyle name="好_可供出售金融资产 4" xfId="17956"/>
    <cellStyle name="超链接 3 7 2 3" xfId="17957"/>
    <cellStyle name="差_报表层次重要性水平 11" xfId="17958"/>
    <cellStyle name="差_报表层次重要性水平 2 2" xfId="17959"/>
    <cellStyle name="差_报表层次重要性水平 3 2" xfId="17960"/>
    <cellStyle name="差_报表层次重要性水平 3 3" xfId="17961"/>
    <cellStyle name="差_报表层次重要性水平 4 2" xfId="17962"/>
    <cellStyle name="好_报表层次重要性水平 8" xfId="17963"/>
    <cellStyle name="好_F7应交税费" xfId="17964"/>
    <cellStyle name="差_报表层次重要性水平 5 2" xfId="17965"/>
    <cellStyle name="好_报表层次重要性水平 9" xfId="17966"/>
    <cellStyle name="差_报表层次重要性水平 5 3" xfId="17967"/>
    <cellStyle name="常规 3 2 2 2 2 2 2 2" xfId="17968"/>
    <cellStyle name="差_应付账款 2 6" xfId="17969"/>
    <cellStyle name="差_报表层次重要性水平 6 2" xfId="17970"/>
    <cellStyle name="好_资产负债标准底稿 6_明细表" xfId="17971"/>
    <cellStyle name="差_报表层次重要性水平 6 3" xfId="17972"/>
    <cellStyle name="好_51-营业税金及附加（空白模板） 4 2 6" xfId="17973"/>
    <cellStyle name="超链接 7" xfId="17974"/>
    <cellStyle name="差_报表层次重要性水平 7 3" xfId="17975"/>
    <cellStyle name="差_报表层次重要性水平_明细表" xfId="17976"/>
    <cellStyle name="差_财务费用" xfId="17977"/>
    <cellStyle name="好_1营业收入_明细表 5" xfId="17978"/>
    <cellStyle name="差_财务费用 2 2 2" xfId="17979"/>
    <cellStyle name="好_1营业收入_明细表 6" xfId="17980"/>
    <cellStyle name="差_财务费用 2 2 3" xfId="17981"/>
    <cellStyle name="常规 9 4 3 4 2" xfId="17982"/>
    <cellStyle name="常规 2 3 2 2 3 2" xfId="17983"/>
    <cellStyle name="差_财务费用 2 3" xfId="17984"/>
    <cellStyle name="常规 9 4 3 4 3" xfId="17985"/>
    <cellStyle name="差_底稿设置宏 8_明细表" xfId="17986"/>
    <cellStyle name="常规 2 3 2 2 3 3" xfId="17987"/>
    <cellStyle name="差_财务费用 2 4" xfId="17988"/>
    <cellStyle name="好_银行函证结果汇总表 13_明细表 5" xfId="17989"/>
    <cellStyle name="常规 2 2 11 3" xfId="17990"/>
    <cellStyle name="差_财务费用 4" xfId="17991"/>
    <cellStyle name="常规 2 2 11 4" xfId="17992"/>
    <cellStyle name="差_财务费用 5" xfId="17993"/>
    <cellStyle name="好_51-营业税金及附加（空白模板） 9_明细表" xfId="17994"/>
    <cellStyle name="好_预收款项 14 2 3" xfId="17995"/>
    <cellStyle name="差_财务费用000 2" xfId="17996"/>
    <cellStyle name="好_51-营业税金及附加（空白模板） 9_明细表 2" xfId="17997"/>
    <cellStyle name="差_财务费用000 2 2" xfId="17998"/>
    <cellStyle name="好_预收款项 14 2 4" xfId="17999"/>
    <cellStyle name="差_财务费用000 3" xfId="18000"/>
    <cellStyle name="常规 2 3 3_附注表一（财务报表）" xfId="18001"/>
    <cellStyle name="常规 2 2 13 2 2" xfId="18002"/>
    <cellStyle name="差_底稿设置宏 13" xfId="18003"/>
    <cellStyle name="差_程序表模版" xfId="18004"/>
    <cellStyle name="差_底稿设置宏 13 2" xfId="18005"/>
    <cellStyle name="差_程序表模版 2" xfId="18006"/>
    <cellStyle name="好_Sheet1 2 4" xfId="18007"/>
    <cellStyle name="差_底稿设置宏 13 2 2" xfId="18008"/>
    <cellStyle name="差_程序表模版 2 2" xfId="18009"/>
    <cellStyle name="差_程序表模版 2 2 2" xfId="18010"/>
    <cellStyle name="好_Sheet1 2 5" xfId="18011"/>
    <cellStyle name="好_资产减值损失 4_明细表" xfId="18012"/>
    <cellStyle name="差_底稿设置宏 13 2 3" xfId="18013"/>
    <cellStyle name="差_程序表模版 2 3" xfId="18014"/>
    <cellStyle name="差_底稿设置宏 13 3" xfId="18015"/>
    <cellStyle name="差_程序表模版 3" xfId="18016"/>
    <cellStyle name="差_程序表模版 4" xfId="18017"/>
    <cellStyle name="好_FD应付账款 4" xfId="18018"/>
    <cellStyle name="差_持有至到期投资" xfId="18019"/>
    <cellStyle name="差_所得税费用 10" xfId="18020"/>
    <cellStyle name="差_持有至到期投资 2" xfId="18021"/>
    <cellStyle name="好_应收利息 8 4" xfId="18022"/>
    <cellStyle name="差_所得税费用 10 2" xfId="18023"/>
    <cellStyle name="差_持有至到期投资 2 2" xfId="18024"/>
    <cellStyle name="差_所得税费用 11" xfId="18025"/>
    <cellStyle name="差_持有至到期投资 3" xfId="18026"/>
    <cellStyle name="好_应收利息 9 4" xfId="18027"/>
    <cellStyle name="差_持有至到期投资 3 2" xfId="18028"/>
    <cellStyle name="差_持有至到期投资 5" xfId="18029"/>
    <cellStyle name="好_42-递延所得税负债（空白模板） 3" xfId="18030"/>
    <cellStyle name="千位分隔 3 2 7 3 3" xfId="18031"/>
    <cellStyle name="差_持有至到期投资—TZ" xfId="18032"/>
    <cellStyle name="好_42-递延所得税负债（空白模板） 3 2" xfId="18033"/>
    <cellStyle name="差_持有至到期投资—TZ 2" xfId="18034"/>
    <cellStyle name="差_初步业务活动之首次承接" xfId="18035"/>
    <cellStyle name="差_初步业务活动之首次承接 2" xfId="18036"/>
    <cellStyle name="差_初步业务活动之首次承接 2 2" xfId="18037"/>
    <cellStyle name="好_银行函证结果汇总表_3固定资产 2" xfId="18038"/>
    <cellStyle name="差_初步业务活动之首次承接 2 3" xfId="18039"/>
    <cellStyle name="差_初步业务活动之首次承接 3" xfId="18040"/>
    <cellStyle name="差_初步业务活动之首次承接 4" xfId="18041"/>
    <cellStyle name="好_1固定资产 4 2" xfId="18042"/>
    <cellStyle name="差_存货 2" xfId="18043"/>
    <cellStyle name="好_1固定资产 4 2 2" xfId="18044"/>
    <cellStyle name="差_存货 2 2" xfId="18045"/>
    <cellStyle name="差_存货 2 2 2" xfId="18046"/>
    <cellStyle name="差_存货 2 2 3" xfId="18047"/>
    <cellStyle name="好_51-营业税金及附加（空白模板） 11 2" xfId="18048"/>
    <cellStyle name="好_1固定资产 4 3" xfId="18049"/>
    <cellStyle name="差_存货 3" xfId="18050"/>
    <cellStyle name="好_51-营业税金及附加（空白模板） 11 3" xfId="18051"/>
    <cellStyle name="差_存货 4" xfId="18052"/>
    <cellStyle name="差_存货 5" xfId="18053"/>
    <cellStyle name="好_1预收款项 3 4" xfId="18054"/>
    <cellStyle name="差_预收款项 5 2 4" xfId="18055"/>
    <cellStyle name="差_大信底稿目录 10" xfId="18056"/>
    <cellStyle name="差_大信底稿目录 10 2" xfId="18057"/>
    <cellStyle name="常规 2 2 17 2 5" xfId="18058"/>
    <cellStyle name="常规 2 2 22 2 5" xfId="18059"/>
    <cellStyle name="好_1预收款项 3 5" xfId="18060"/>
    <cellStyle name="差_预收款项 5 2 5" xfId="18061"/>
    <cellStyle name="差_大信底稿目录 11" xfId="18062"/>
    <cellStyle name="差_大信底稿目录 11 2" xfId="18063"/>
    <cellStyle name="差_大信底稿目录 12" xfId="18064"/>
    <cellStyle name="超链接 2 6 2 3" xfId="18065"/>
    <cellStyle name="差_大信底稿目录 12 2" xfId="18066"/>
    <cellStyle name="差_大信底稿目录 13_明细表" xfId="18067"/>
    <cellStyle name="差_大信底稿目录 14" xfId="18068"/>
    <cellStyle name="差_大信底稿目录 14 2" xfId="18069"/>
    <cellStyle name="好_短期借款 5 2" xfId="18070"/>
    <cellStyle name="差_大信底稿目录 14 3" xfId="18071"/>
    <cellStyle name="差_大信底稿目录 14_明细表" xfId="18072"/>
    <cellStyle name="差_大信底稿目录 15" xfId="18073"/>
    <cellStyle name="差_大信底稿目录 20" xfId="18074"/>
    <cellStyle name="好_55-资产减值损失（空白模板） 7" xfId="18075"/>
    <cellStyle name="差_大信底稿目录 15 2" xfId="18076"/>
    <cellStyle name="好_55-资产减值损失（空白模板） 7 3" xfId="18077"/>
    <cellStyle name="差_大信底稿目录 15 2 3" xfId="18078"/>
    <cellStyle name="好_55-资产减值损失（空白模板） 7 4" xfId="18079"/>
    <cellStyle name="差_大信底稿目录 15 2 4" xfId="18080"/>
    <cellStyle name="好_短期借款 6 3" xfId="18081"/>
    <cellStyle name="好_55-资产减值损失（空白模板） 9" xfId="18082"/>
    <cellStyle name="差_大信底稿目录 15 4" xfId="18083"/>
    <cellStyle name="好_短期借款 6 4" xfId="18084"/>
    <cellStyle name="差_大信底稿目录 15 5" xfId="18085"/>
    <cellStyle name="好_短期借款 6 5" xfId="18086"/>
    <cellStyle name="差_大信底稿目录 15 6" xfId="18087"/>
    <cellStyle name="差_大信底稿目录 16" xfId="18088"/>
    <cellStyle name="差_大信底稿目录 21" xfId="18089"/>
    <cellStyle name="差_大信底稿目录 16 2" xfId="18090"/>
    <cellStyle name="常规 5 11" xfId="18091"/>
    <cellStyle name="差_资产负债标准底稿 10" xfId="18092"/>
    <cellStyle name="差_大信底稿目录 16 2 2" xfId="18093"/>
    <cellStyle name="常规 5 12" xfId="18094"/>
    <cellStyle name="差_资产负债标准底稿 11" xfId="18095"/>
    <cellStyle name="差_大信底稿目录 16 2 3" xfId="18096"/>
    <cellStyle name="常规 5 14" xfId="18097"/>
    <cellStyle name="差_资产负债标准底稿 13" xfId="18098"/>
    <cellStyle name="差_大信底稿目录 16 2 5" xfId="18099"/>
    <cellStyle name="好_短期借款 7 2" xfId="18100"/>
    <cellStyle name="差_大信底稿目录 16 3" xfId="18101"/>
    <cellStyle name="好_短期借款 7 3" xfId="18102"/>
    <cellStyle name="差_大信底稿目录 16 4" xfId="18103"/>
    <cellStyle name="好_短期借款 7 4" xfId="18104"/>
    <cellStyle name="差_大信底稿目录 16 5" xfId="18105"/>
    <cellStyle name="差_大信底稿目录 16 6" xfId="18106"/>
    <cellStyle name="常规 3 2 2 3 2" xfId="18107"/>
    <cellStyle name="常规 2 11 2 2" xfId="18108"/>
    <cellStyle name="差_大信底稿目录 17" xfId="18109"/>
    <cellStyle name="差_大信底稿目录 22" xfId="18110"/>
    <cellStyle name="好_51-营业税金及附加（空白模板）_明细表" xfId="18111"/>
    <cellStyle name="常规 3 2 2 3 2 2" xfId="18112"/>
    <cellStyle name="差_专项应付款 13_明细表 4" xfId="18113"/>
    <cellStyle name="差_大信底稿目录 17 2" xfId="18114"/>
    <cellStyle name="好_短期借款 8 2" xfId="18115"/>
    <cellStyle name="常规 3 2 2 3 2 3" xfId="18116"/>
    <cellStyle name="差_专项应付款 13_明细表 5" xfId="18117"/>
    <cellStyle name="差_大信底稿目录 17 3" xfId="18118"/>
    <cellStyle name="好_短期借款 8 3" xfId="18119"/>
    <cellStyle name="常规 7 5 2 2" xfId="18120"/>
    <cellStyle name="常规 3 2 2 3 2 4" xfId="18121"/>
    <cellStyle name="差_大信底稿目录 17 4" xfId="18122"/>
    <cellStyle name="好_短期借款 8 4" xfId="18123"/>
    <cellStyle name="常规 7 5 2 3" xfId="18124"/>
    <cellStyle name="常规 3 2 2 3 2 5" xfId="18125"/>
    <cellStyle name="差_大信底稿目录 17 5" xfId="18126"/>
    <cellStyle name="好_往来款项函证结果汇总表 2 2 2" xfId="18127"/>
    <cellStyle name="常规 3 2 2 3 3" xfId="18128"/>
    <cellStyle name="好_FF 应付职工薪酬 2" xfId="18129"/>
    <cellStyle name="常规 2 11 2 3" xfId="18130"/>
    <cellStyle name="差_大信底稿目录 18" xfId="18131"/>
    <cellStyle name="差_大信底稿目录 23" xfId="18132"/>
    <cellStyle name="常规 3 2 2 3 4" xfId="18133"/>
    <cellStyle name="常规 2 11 2 4" xfId="18134"/>
    <cellStyle name="差_大信底稿目录 19" xfId="18135"/>
    <cellStyle name="差_大信底稿目录 24" xfId="18136"/>
    <cellStyle name="常规 2 2 9 3 2" xfId="18137"/>
    <cellStyle name="差_大信底稿目录 2" xfId="18138"/>
    <cellStyle name="差_大信底稿目录 2 2" xfId="18139"/>
    <cellStyle name="差_大信底稿目录 2 2 2" xfId="18140"/>
    <cellStyle name="差_大信底稿目录 2 2 4" xfId="18141"/>
    <cellStyle name="差_其他应付款 4 2" xfId="18142"/>
    <cellStyle name="好_20-开发支出（空白模板）" xfId="18143"/>
    <cellStyle name="差_大信底稿目录 2 2 5" xfId="18144"/>
    <cellStyle name="差_其他应付款 4 3" xfId="18145"/>
    <cellStyle name="差_大信底稿目录 2 2 6" xfId="18146"/>
    <cellStyle name="差_大信底稿目录 2 3" xfId="18147"/>
    <cellStyle name="差_大信底稿目录 2_附注表一（财务报表）" xfId="18148"/>
    <cellStyle name="差_大信底稿目录 2_明细表" xfId="18149"/>
    <cellStyle name="好_销售返利变动-ＦＬＸ 2" xfId="18150"/>
    <cellStyle name="差_大信底稿目录 2_明细表 3" xfId="18151"/>
    <cellStyle name="好_10-ZH 其他应收款 2 2" xfId="18152"/>
    <cellStyle name="差_盈余公积审定表" xfId="18153"/>
    <cellStyle name="好_销售返利变动-ＦＬＸ 3" xfId="18154"/>
    <cellStyle name="好_大信底稿目录 9_明细表 2" xfId="18155"/>
    <cellStyle name="差_大信底稿目录 2_明细表 4" xfId="18156"/>
    <cellStyle name="好_10-ZH 其他应收款 2 3" xfId="18157"/>
    <cellStyle name="好_销售返利变动-ＦＬＸ 4" xfId="18158"/>
    <cellStyle name="好_大信底稿目录 9_明细表 3" xfId="18159"/>
    <cellStyle name="差_大信底稿目录 2_明细表 5" xfId="18160"/>
    <cellStyle name="好_10-ZH 其他应收款 2 4" xfId="18161"/>
    <cellStyle name="常规 3 2 2 3 5" xfId="18162"/>
    <cellStyle name="常规 2 11 2 5" xfId="18163"/>
    <cellStyle name="差_资产减值损失" xfId="18164"/>
    <cellStyle name="差_大信底稿目录 25" xfId="18165"/>
    <cellStyle name="差_大信底稿目录 30" xfId="18166"/>
    <cellStyle name="常规 3 2 2 3 6" xfId="18167"/>
    <cellStyle name="差_大信底稿目录 26" xfId="18168"/>
    <cellStyle name="差_大信底稿目录 31" xfId="18169"/>
    <cellStyle name="常规 3 2 2 3 7" xfId="18170"/>
    <cellStyle name="差_大信底稿目录 27" xfId="18171"/>
    <cellStyle name="差_大信底稿目录 32" xfId="18172"/>
    <cellStyle name="常规 3 2 2 3 9" xfId="18173"/>
    <cellStyle name="差_大信底稿目录 29" xfId="18174"/>
    <cellStyle name="差_大信底稿目录 34" xfId="18175"/>
    <cellStyle name="好_资产负债标准底稿_大信底稿目录 10 2 5" xfId="18176"/>
    <cellStyle name="差_大信底稿目录 3 2 2" xfId="18177"/>
    <cellStyle name="好_FK长期借款" xfId="18178"/>
    <cellStyle name="差_大信底稿目录 3 2 3" xfId="18179"/>
    <cellStyle name="差_大信底稿目录 3 2 4" xfId="18180"/>
    <cellStyle name="差_大信底稿目录 3 2 5" xfId="18181"/>
    <cellStyle name="差_大信底稿目录 3 2 6" xfId="18182"/>
    <cellStyle name="差_大信底稿目录 3 3" xfId="18183"/>
    <cellStyle name="常规 2 3 17 2" xfId="18184"/>
    <cellStyle name="常规 2 3 22 2" xfId="18185"/>
    <cellStyle name="差_货币资金 天职 2 2" xfId="18186"/>
    <cellStyle name="差_大信底稿目录 3 4" xfId="18187"/>
    <cellStyle name="好_1财务费用_财务费用" xfId="18188"/>
    <cellStyle name="常规 2 3 17 3" xfId="18189"/>
    <cellStyle name="差_货币资金 天职 2 3" xfId="18190"/>
    <cellStyle name="差_大信底稿目录 3 5" xfId="18191"/>
    <cellStyle name="差_大信底稿目录 3_附注表一（财务报表）" xfId="18192"/>
    <cellStyle name="差_大信底稿目录 3_明细表 5" xfId="18193"/>
    <cellStyle name="好_应付账款" xfId="18194"/>
    <cellStyle name="差_大信底稿目录 4" xfId="18195"/>
    <cellStyle name="好_应付账款 2" xfId="18196"/>
    <cellStyle name="差_大信底稿目录 4 2" xfId="18197"/>
    <cellStyle name="好_应付账款 2 3" xfId="18198"/>
    <cellStyle name="差_大信底稿目录 4 2 3" xfId="18199"/>
    <cellStyle name="好_财务费用 5" xfId="18200"/>
    <cellStyle name="好_应付账款 2 4" xfId="18201"/>
    <cellStyle name="差_大信底稿目录 4 2 4" xfId="18202"/>
    <cellStyle name="好_财务费用 6" xfId="18203"/>
    <cellStyle name="好_应付账款 2 5" xfId="18204"/>
    <cellStyle name="差_大信底稿目录 4 2 5" xfId="18205"/>
    <cellStyle name="好_财务费用 7" xfId="18206"/>
    <cellStyle name="好_应付账款 2 6" xfId="18207"/>
    <cellStyle name="差_大信底稿目录 4 2 6" xfId="18208"/>
    <cellStyle name="好_财务费用 8" xfId="18209"/>
    <cellStyle name="好_应付账款 3" xfId="18210"/>
    <cellStyle name="差_大信底稿目录 4 3" xfId="18211"/>
    <cellStyle name="好_应付账款 5" xfId="18212"/>
    <cellStyle name="常规 2 3 18 3" xfId="18213"/>
    <cellStyle name="差_大信底稿目录 4 5" xfId="18214"/>
    <cellStyle name="好_应付账款_附注表一（财务报表）" xfId="18215"/>
    <cellStyle name="差_大信底稿目录 4_附注表一（财务报表）" xfId="18216"/>
    <cellStyle name="好_应付账款_明细表 3" xfId="18217"/>
    <cellStyle name="差_大信底稿目录 4_明细表 3" xfId="18218"/>
    <cellStyle name="好_应付账款_明细表 4" xfId="18219"/>
    <cellStyle name="差_大信底稿目录 4_明细表 4" xfId="18220"/>
    <cellStyle name="好_应付账款_明细表 5" xfId="18221"/>
    <cellStyle name="差_大信底稿目录 4_明细表 5" xfId="18222"/>
    <cellStyle name="差_大信底稿目录 5" xfId="18223"/>
    <cellStyle name="好_底稿设置宏_大信底稿目录 6 2 6" xfId="18224"/>
    <cellStyle name="好_大信底稿目录_明细表 5" xfId="18225"/>
    <cellStyle name="差_大信底稿目录 5 2" xfId="18226"/>
    <cellStyle name="好_资产负债标准底稿_大信底稿目录 12 2 5" xfId="18227"/>
    <cellStyle name="差_大信底稿目录 5 2 2" xfId="18228"/>
    <cellStyle name="差_大信底稿目录 5 2 3" xfId="18229"/>
    <cellStyle name="差_大信底稿目录 5 2 4" xfId="18230"/>
    <cellStyle name="差_大信底稿目录 5 2 5" xfId="18231"/>
    <cellStyle name="差_大信底稿目录 5_附注表一（财务报表）" xfId="18232"/>
    <cellStyle name="好_40-专项应付款(空白模板) 11 2 2" xfId="18233"/>
    <cellStyle name="千位分隔[0] 4 2 2 2" xfId="18234"/>
    <cellStyle name="好_1专项应付款 10_附注表一（财务报表）" xfId="18235"/>
    <cellStyle name="差_大信底稿目录 5_明细表" xfId="18236"/>
    <cellStyle name="差_大信底稿目录 5_明细表 2" xfId="18237"/>
    <cellStyle name="差_大信底稿目录 5_明细表 4" xfId="18238"/>
    <cellStyle name="差_大信底稿目录 5_明细表 5" xfId="18239"/>
    <cellStyle name="好_40-专项应付款(空白模板) 9 2" xfId="18240"/>
    <cellStyle name="差_大信底稿目录 6" xfId="18241"/>
    <cellStyle name="好_40-专项应付款(空白模板) 9 2 2" xfId="18242"/>
    <cellStyle name="差_大信底稿目录 6 2" xfId="18243"/>
    <cellStyle name="好_资产负债标准底稿_大信底稿目录 13 2 5" xfId="18244"/>
    <cellStyle name="差_大信底稿目录 6 2 2" xfId="18245"/>
    <cellStyle name="差_大信底稿目录 6 2 3" xfId="18246"/>
    <cellStyle name="常规 2 2 26_附注表一（财务报表）" xfId="18247"/>
    <cellStyle name="差_大信底稿目录 6 2 4" xfId="18248"/>
    <cellStyle name="常规 2 2 3 2 2 2" xfId="18249"/>
    <cellStyle name="差_大信底稿目录 6 2 5" xfId="18250"/>
    <cellStyle name="常规 2 2 3 2 2 3" xfId="18251"/>
    <cellStyle name="差_大信底稿目录 6 2 6" xfId="18252"/>
    <cellStyle name="好_30-应付账款（空白模板） 14_附注表一（财务报表）" xfId="18253"/>
    <cellStyle name="好_40-专项应付款(空白模板) 9 2 3" xfId="18254"/>
    <cellStyle name="差_大信底稿目录 6 3" xfId="18255"/>
    <cellStyle name="好_40-专项应付款(空白模板) 9 2 4" xfId="18256"/>
    <cellStyle name="常规 2 3 25 2" xfId="18257"/>
    <cellStyle name="差_大信底稿目录 6 4" xfId="18258"/>
    <cellStyle name="差_大信底稿目录 6_附注表一（财务报表）" xfId="18259"/>
    <cellStyle name="好_银行函证结果汇总表 2 2 2 2" xfId="18260"/>
    <cellStyle name="差_大信底稿目录 6_明细表" xfId="18261"/>
    <cellStyle name="好_G-应收账款 8 3" xfId="18262"/>
    <cellStyle name="差_应收利息" xfId="18263"/>
    <cellStyle name="差_大信底稿目录 6_明细表 2" xfId="18264"/>
    <cellStyle name="差_大信底稿目录 6_明细表 3" xfId="18265"/>
    <cellStyle name="常规 4 2 2 2 4 2" xfId="18266"/>
    <cellStyle name="差_大信底稿目录 6_明细表 4" xfId="18267"/>
    <cellStyle name="常规 4 2 2 2 4 3" xfId="18268"/>
    <cellStyle name="好_应付账款 - 复制 4 2" xfId="18269"/>
    <cellStyle name="差_大信底稿目录 6_明细表 5" xfId="18270"/>
    <cellStyle name="好_Spreadsheet 2" xfId="18271"/>
    <cellStyle name="好_6-应收利息（空白模板） 3 6" xfId="18272"/>
    <cellStyle name="常规 2 2 3 3 2 2" xfId="18273"/>
    <cellStyle name="差_大信底稿目录 7 2 5" xfId="18274"/>
    <cellStyle name="好_实地观察模板 2 2" xfId="18275"/>
    <cellStyle name="差_大信底稿目录 7_附注表一（财务报表）" xfId="18276"/>
    <cellStyle name="好_底稿设置宏 2 5" xfId="18277"/>
    <cellStyle name="差_短期借款 10 2 5" xfId="18278"/>
    <cellStyle name="差_大信底稿目录 7_明细表" xfId="18279"/>
    <cellStyle name="差_大信底稿目录 7_明细表 2" xfId="18280"/>
    <cellStyle name="差_大信底稿目录 7_明细表 3" xfId="18281"/>
    <cellStyle name="差_大信底稿目录 7_明细表 4" xfId="18282"/>
    <cellStyle name="常规 3 2 2 10" xfId="18283"/>
    <cellStyle name="好_40-专项应付款(空白模板) 9 4" xfId="18284"/>
    <cellStyle name="差_大信底稿目录 8" xfId="18285"/>
    <cellStyle name="强调文字颜色 4 2 2 9" xfId="18286"/>
    <cellStyle name="常规 3 2 2 10 2" xfId="18287"/>
    <cellStyle name="差_大信底稿目录 8 2" xfId="18288"/>
    <cellStyle name="好_资产负债标准底稿_大信底稿目录 15 2 5" xfId="18289"/>
    <cellStyle name="差_大信底稿目录 8 2 2" xfId="18290"/>
    <cellStyle name="差_大信底稿目录 8 2 3" xfId="18291"/>
    <cellStyle name="差_大信底稿目录 8 2 4" xfId="18292"/>
    <cellStyle name="常规 2 2 3 4 2 2" xfId="18293"/>
    <cellStyle name="差_大信底稿目录 8 2 5" xfId="18294"/>
    <cellStyle name="差_大信底稿目录 8 4" xfId="18295"/>
    <cellStyle name="好_QB 资本公积 2" xfId="18296"/>
    <cellStyle name="常规 3 2 2 10 4" xfId="18297"/>
    <cellStyle name="差_大信底稿目录 8_明细表 2" xfId="18298"/>
    <cellStyle name="差_大信底稿目录 8_明细表 3" xfId="18299"/>
    <cellStyle name="差_专项应付款 14_明细表" xfId="18300"/>
    <cellStyle name="差_大信底稿目录 8_明细表 4" xfId="18301"/>
    <cellStyle name="差_大信底稿目录 8_明细表 5" xfId="18302"/>
    <cellStyle name="常规 3 2 2 11" xfId="18303"/>
    <cellStyle name="差_大信底稿目录 9" xfId="18304"/>
    <cellStyle name="常规 3 2 2 11 2" xfId="18305"/>
    <cellStyle name="差_大信底稿目录 9 2" xfId="18306"/>
    <cellStyle name="差_大信底稿目录 9 2 2" xfId="18307"/>
    <cellStyle name="好_1短期借款 12_明细表 2" xfId="18308"/>
    <cellStyle name="差_大信底稿目录 9 2 3" xfId="18309"/>
    <cellStyle name="好_1短期借款 12_明细表 3" xfId="18310"/>
    <cellStyle name="差_大信底稿目录 9 2 4" xfId="18311"/>
    <cellStyle name="好_4-应收账款（空白模板） 14_附注表一（财务报表）" xfId="18312"/>
    <cellStyle name="常规 2 2 3 5 2 2" xfId="18313"/>
    <cellStyle name="好_1短期借款 12_明细表 4" xfId="18314"/>
    <cellStyle name="差_大信底稿目录 9 2 5" xfId="18315"/>
    <cellStyle name="差_大信底稿目录 9 3" xfId="18316"/>
    <cellStyle name="差_短期借款 12 2 5" xfId="18317"/>
    <cellStyle name="差_大信底稿目录 9_明细表" xfId="18318"/>
    <cellStyle name="差_大信底稿目录 9_明细表 2" xfId="18319"/>
    <cellStyle name="差_大信底稿目录 9_明细表 3" xfId="18320"/>
    <cellStyle name="差_大信底稿目录 9_明细表 4" xfId="18321"/>
    <cellStyle name="差_大信底稿目录_明细表 2 2" xfId="18322"/>
    <cellStyle name="差_大信底稿目录_明细表 2 3" xfId="18323"/>
    <cellStyle name="差_大信底稿目录_明细表 2 4" xfId="18324"/>
    <cellStyle name="差_大信底稿目录_明细表 2 5" xfId="18325"/>
    <cellStyle name="好_底稿设置宏 8_明细表 4" xfId="18326"/>
    <cellStyle name="差_大信底稿目录_明细表 3" xfId="18327"/>
    <cellStyle name="好_底稿设置宏 8_明细表 5" xfId="18328"/>
    <cellStyle name="差_大信底稿目录_明细表 4" xfId="18329"/>
    <cellStyle name="差_底稿设置宏 9 2" xfId="18330"/>
    <cellStyle name="差_大信底稿目录_明细表 5" xfId="18331"/>
    <cellStyle name="差_底稿设置宏 9 3" xfId="18332"/>
    <cellStyle name="差_大信底稿目录_明细表 6" xfId="18333"/>
    <cellStyle name="差_底稿设置宏 9 4" xfId="18334"/>
    <cellStyle name="好_1预付款项 3 2" xfId="18335"/>
    <cellStyle name="常规 7 6 3 3" xfId="18336"/>
    <cellStyle name="差_大信底稿目录_明细表_1" xfId="18337"/>
    <cellStyle name="差_大信底稿目录_明细表_1 2" xfId="18338"/>
    <cellStyle name="差_大信底稿目录_明细表_1 3" xfId="18339"/>
    <cellStyle name="差_大信底稿目录_明细表_1 4" xfId="18340"/>
    <cellStyle name="差_大信底稿目录_明细表_1 5" xfId="18341"/>
    <cellStyle name="千位分隔 15 2 2" xfId="18342"/>
    <cellStyle name="差_底稿设置宏" xfId="18343"/>
    <cellStyle name="超链接 2 9" xfId="18344"/>
    <cellStyle name="差_底稿设置宏 10 2" xfId="18345"/>
    <cellStyle name="好_12-长期应收款（空白模板） 3" xfId="18346"/>
    <cellStyle name="超链接 2 9 2" xfId="18347"/>
    <cellStyle name="差_底稿设置宏 10 2 2" xfId="18348"/>
    <cellStyle name="好_12-长期应收款（空白模板） 4" xfId="18349"/>
    <cellStyle name="超链接 2 9 3" xfId="18350"/>
    <cellStyle name="差_底稿设置宏 10 2 3" xfId="18351"/>
    <cellStyle name="差_底稿设置宏 10 3" xfId="18352"/>
    <cellStyle name="差_底稿设置宏 10_附注表一（财务报表）" xfId="18353"/>
    <cellStyle name="差_底稿设置宏 10_明细表" xfId="18354"/>
    <cellStyle name="好_1固定资产 4_明细表 5" xfId="18355"/>
    <cellStyle name="差_底稿设置宏 10_明细表 2" xfId="18356"/>
    <cellStyle name="差_底稿设置宏 11" xfId="18357"/>
    <cellStyle name="超链接 3 9" xfId="18358"/>
    <cellStyle name="差_底稿设置宏 11 2" xfId="18359"/>
    <cellStyle name="超链接 3 9 2" xfId="18360"/>
    <cellStyle name="差_底稿设置宏 11 2 2" xfId="18361"/>
    <cellStyle name="超链接 3 9 3" xfId="18362"/>
    <cellStyle name="好_资产减值损失 2_明细表" xfId="18363"/>
    <cellStyle name="差_底稿设置宏 11 2 3" xfId="18364"/>
    <cellStyle name="超链接 3 9 4" xfId="18365"/>
    <cellStyle name="差_底稿设置宏 11 2 4" xfId="18366"/>
    <cellStyle name="差_底稿设置宏 11 2 5" xfId="18367"/>
    <cellStyle name="差_底稿设置宏 11 3" xfId="18368"/>
    <cellStyle name="差_底稿设置宏 11_明细表 2" xfId="18369"/>
    <cellStyle name="差_底稿设置宏 11_明细表 3" xfId="18370"/>
    <cellStyle name="好_30-应付账款（空白模板） 2 2" xfId="18371"/>
    <cellStyle name="差_底稿设置宏 11_明细表 4" xfId="18372"/>
    <cellStyle name="好_30-应付账款（空白模板） 2 3" xfId="18373"/>
    <cellStyle name="差_底稿设置宏 11_明细表 5" xfId="18374"/>
    <cellStyle name="好_30-应付账款（空白模板） 2 4" xfId="18375"/>
    <cellStyle name="差_底稿设置宏 12" xfId="18376"/>
    <cellStyle name="常规 29 2 4" xfId="18377"/>
    <cellStyle name="常规 34 2 4" xfId="18378"/>
    <cellStyle name="差_底稿设置宏 12 2" xfId="18379"/>
    <cellStyle name="差_底稿设置宏 12 2 2" xfId="18380"/>
    <cellStyle name="好_资产减值损失 3_明细表" xfId="18381"/>
    <cellStyle name="差_底稿设置宏 12 2 3" xfId="18382"/>
    <cellStyle name="差_底稿设置宏 12 2 4" xfId="18383"/>
    <cellStyle name="差_底稿设置宏 12 2 5" xfId="18384"/>
    <cellStyle name="差_底稿设置宏 12 3" xfId="18385"/>
    <cellStyle name="差_底稿设置宏 12_明细表 2" xfId="18386"/>
    <cellStyle name="差_底稿设置宏 12_明细表 3" xfId="18387"/>
    <cellStyle name="差_底稿设置宏 12_明细表 4" xfId="18388"/>
    <cellStyle name="差_底稿设置宏 12_明细表 5" xfId="18389"/>
    <cellStyle name="好_Sheet1 2 6" xfId="18390"/>
    <cellStyle name="差_底稿设置宏 13 2 4" xfId="18391"/>
    <cellStyle name="差_底稿设置宏 13_附注表一（财务报表）" xfId="18392"/>
    <cellStyle name="差_固定资产 4 3" xfId="18393"/>
    <cellStyle name="差_底稿设置宏 13_明细表" xfId="18394"/>
    <cellStyle name="差_底稿设置宏 13_明细表 2" xfId="18395"/>
    <cellStyle name="差_底稿设置宏 13_明细表 3" xfId="18396"/>
    <cellStyle name="差_底稿设置宏 13_明细表 4" xfId="18397"/>
    <cellStyle name="差_底稿设置宏 13_明细表 5" xfId="18398"/>
    <cellStyle name="差_底稿设置宏 14 2" xfId="18399"/>
    <cellStyle name="好_资产减值损失 5_明细表" xfId="18400"/>
    <cellStyle name="差_底稿设置宏 14 2 3" xfId="18401"/>
    <cellStyle name="差_底稿设置宏 14 2 4" xfId="18402"/>
    <cellStyle name="差_底稿设置宏 14 2 5" xfId="18403"/>
    <cellStyle name="差_底稿设置宏 14 3" xfId="18404"/>
    <cellStyle name="差_底稿设置宏 14_附注表一（财务报表）" xfId="18405"/>
    <cellStyle name="差_底稿设置宏 14_明细表 2" xfId="18406"/>
    <cellStyle name="差_底稿设置宏 14_明细表 4" xfId="18407"/>
    <cellStyle name="差_底稿设置宏 14_明细表 5" xfId="18408"/>
    <cellStyle name="常规 2 2 13 2 4" xfId="18409"/>
    <cellStyle name="差_底稿设置宏 15" xfId="18410"/>
    <cellStyle name="差_底稿设置宏 20" xfId="18411"/>
    <cellStyle name="好_资产减值损失 6_明细表" xfId="18412"/>
    <cellStyle name="差_底稿设置宏 15 2 3" xfId="18413"/>
    <cellStyle name="差_无形资产_货币资金 2" xfId="18414"/>
    <cellStyle name="差_底稿设置宏 15 2 4" xfId="18415"/>
    <cellStyle name="好_往来款项函证结果汇总表 6" xfId="18416"/>
    <cellStyle name="差_底稿设置宏 15 3" xfId="18417"/>
    <cellStyle name="好_往来款项函证结果汇总表 7" xfId="18418"/>
    <cellStyle name="差_底稿设置宏 15 4" xfId="18419"/>
    <cellStyle name="差_底稿设置宏 15 5" xfId="18420"/>
    <cellStyle name="差_底稿设置宏 15 6" xfId="18421"/>
    <cellStyle name="常规 2 2 13 2 5" xfId="18422"/>
    <cellStyle name="差_底稿设置宏 16" xfId="18423"/>
    <cellStyle name="差_底稿设置宏 21" xfId="18424"/>
    <cellStyle name="差_底稿设置宏 16 2" xfId="18425"/>
    <cellStyle name="差_底稿设置宏 16 2 4" xfId="18426"/>
    <cellStyle name="差_底稿设置宏 16 2 5" xfId="18427"/>
    <cellStyle name="差_底稿设置宏 16 3" xfId="18428"/>
    <cellStyle name="好_1资产减值损失_固定资产 2" xfId="18429"/>
    <cellStyle name="差_底稿设置宏 16 4" xfId="18430"/>
    <cellStyle name="差_底稿设置宏 16 5" xfId="18431"/>
    <cellStyle name="差_底稿设置宏 16 6" xfId="18432"/>
    <cellStyle name="差_底稿设置宏 17" xfId="18433"/>
    <cellStyle name="差_底稿设置宏 22" xfId="18434"/>
    <cellStyle name="差_底稿设置宏 17 2" xfId="18435"/>
    <cellStyle name="差_底稿设置宏 17 3" xfId="18436"/>
    <cellStyle name="差_底稿设置宏 17 4" xfId="18437"/>
    <cellStyle name="差_底稿设置宏 17 5" xfId="18438"/>
    <cellStyle name="差_底稿设置宏 19" xfId="18439"/>
    <cellStyle name="差_底稿设置宏 24" xfId="18440"/>
    <cellStyle name="差_底稿设置宏 2" xfId="18441"/>
    <cellStyle name="差_底稿设置宏 2 2" xfId="18442"/>
    <cellStyle name="好_15-固定资产（空白模板） 14 3" xfId="18443"/>
    <cellStyle name="差_底稿设置宏 2 2 2" xfId="18444"/>
    <cellStyle name="好_15-固定资产（空白模板） 14 4" xfId="18445"/>
    <cellStyle name="常规 2 5 6 2" xfId="18446"/>
    <cellStyle name="差_底稿设置宏 2 2 3" xfId="18447"/>
    <cellStyle name="好_15-固定资产（空白模板） 14 5" xfId="18448"/>
    <cellStyle name="常规 2 5 6 3" xfId="18449"/>
    <cellStyle name="差_底稿设置宏 2 2 4" xfId="18450"/>
    <cellStyle name="常规 2 5 6 4" xfId="18451"/>
    <cellStyle name="差_底稿设置宏 2 2 5" xfId="18452"/>
    <cellStyle name="差_底稿设置宏 2 2 6" xfId="18453"/>
    <cellStyle name="差_底稿设置宏 2 4" xfId="18454"/>
    <cellStyle name="差_底稿设置宏 2 5" xfId="18455"/>
    <cellStyle name="差_底稿设置宏 2 6" xfId="18456"/>
    <cellStyle name="好_ZA0货币资金审定表  2 3 2" xfId="18457"/>
    <cellStyle name="差_底稿设置宏 2_附注表一（财务报表）" xfId="18458"/>
    <cellStyle name="常规 13 14" xfId="18459"/>
    <cellStyle name="差_底稿设置宏 2_明细表" xfId="18460"/>
    <cellStyle name="差_底稿设置宏 2_明细表 2" xfId="18461"/>
    <cellStyle name="差_底稿设置宏 2_明细表 3" xfId="18462"/>
    <cellStyle name="好_银行函证结果汇总表 7_明细表 2" xfId="18463"/>
    <cellStyle name="差_底稿设置宏 2_明细表 4" xfId="18464"/>
    <cellStyle name="好_银行函证结果汇总表 7_明细表 3" xfId="18465"/>
    <cellStyle name="差_底稿设置宏 2_明细表 5" xfId="18466"/>
    <cellStyle name="差_底稿设置宏 25" xfId="18467"/>
    <cellStyle name="差_底稿设置宏 30" xfId="18468"/>
    <cellStyle name="差_底稿设置宏 26" xfId="18469"/>
    <cellStyle name="差_底稿设置宏 31" xfId="18470"/>
    <cellStyle name="差_底稿设置宏 27" xfId="18471"/>
    <cellStyle name="差_底稿设置宏 32" xfId="18472"/>
    <cellStyle name="常规 6 11 4 3" xfId="18473"/>
    <cellStyle name="差_底稿设置宏 29" xfId="18474"/>
    <cellStyle name="差_底稿设置宏 34" xfId="18475"/>
    <cellStyle name="差_底稿设置宏 3" xfId="18476"/>
    <cellStyle name="差_底稿设置宏 3 2" xfId="18477"/>
    <cellStyle name="差_底稿设置宏 3 2 2" xfId="18478"/>
    <cellStyle name="差_底稿设置宏 3 3" xfId="18479"/>
    <cellStyle name="差_底稿设置宏 3 4" xfId="18480"/>
    <cellStyle name="差_底稿设置宏 3 5" xfId="18481"/>
    <cellStyle name="差_底稿设置宏 3_明细表" xfId="18482"/>
    <cellStyle name="差_底稿设置宏 3_明细表 2" xfId="18483"/>
    <cellStyle name="差_底稿设置宏 3_明细表 3" xfId="18484"/>
    <cellStyle name="好_G-应收账款 5_明细表" xfId="18485"/>
    <cellStyle name="好_银行函证结果汇总表 8_明细表 2" xfId="18486"/>
    <cellStyle name="差_底稿设置宏 3_明细表 4" xfId="18487"/>
    <cellStyle name="好_银行函证结果汇总表 8_明细表 3" xfId="18488"/>
    <cellStyle name="差_底稿设置宏 3_明细表 5" xfId="18489"/>
    <cellStyle name="差_底稿设置宏 4" xfId="18490"/>
    <cellStyle name="好_营业收入 4_附注表一（财务报表）" xfId="18491"/>
    <cellStyle name="差_底稿设置宏 4 2" xfId="18492"/>
    <cellStyle name="差_底稿设置宏 4 2 2" xfId="18493"/>
    <cellStyle name="差_底稿设置宏 4 2 3" xfId="18494"/>
    <cellStyle name="超链接 2 2 3" xfId="18495"/>
    <cellStyle name="好_无形资产 17 2" xfId="18496"/>
    <cellStyle name="差_底稿设置宏 4 2 5" xfId="18497"/>
    <cellStyle name="超链接 2 2 4" xfId="18498"/>
    <cellStyle name="好_无形资产 17 3" xfId="18499"/>
    <cellStyle name="差_底稿设置宏 4 2 6" xfId="18500"/>
    <cellStyle name="差_底稿设置宏 4 3" xfId="18501"/>
    <cellStyle name="好_27-短期借款(空白模板) 9_附注表一（财务报表）" xfId="18502"/>
    <cellStyle name="差_底稿设置宏 4 4" xfId="18503"/>
    <cellStyle name="差_底稿设置宏 4_附注表一（财务报表）" xfId="18504"/>
    <cellStyle name="超链接 3 11 2" xfId="18505"/>
    <cellStyle name="差_底稿设置宏 4_明细表" xfId="18506"/>
    <cellStyle name="超链接 3 11 2 3" xfId="18507"/>
    <cellStyle name="差_底稿设置宏 4_明细表 3" xfId="18508"/>
    <cellStyle name="好_银行函证结果汇总表 9_明细表 2" xfId="18509"/>
    <cellStyle name="超链接 3 11 2 4" xfId="18510"/>
    <cellStyle name="差_底稿设置宏 4_明细表 4" xfId="18511"/>
    <cellStyle name="好_银行函证结果汇总表 9_明细表 3" xfId="18512"/>
    <cellStyle name="超链接 3 11 2 5" xfId="18513"/>
    <cellStyle name="差_底稿设置宏 4_明细表 5" xfId="18514"/>
    <cellStyle name="常规 2__dxn_temp货币资金-保险柜检查记录表" xfId="18515"/>
    <cellStyle name="差_底稿设置宏 5" xfId="18516"/>
    <cellStyle name="差_应付职工薪酬 29" xfId="18517"/>
    <cellStyle name="差_底稿设置宏 5 2" xfId="18518"/>
    <cellStyle name="差_底稿设置宏 5 3" xfId="18519"/>
    <cellStyle name="常规 2 19_附注表一（财务报表）" xfId="18520"/>
    <cellStyle name="常规 2 24_附注表一（财务报表）" xfId="18521"/>
    <cellStyle name="差_底稿设置宏 5_附注表一（财务报表）" xfId="18522"/>
    <cellStyle name="差_底稿设置宏 5_明细表 2" xfId="18523"/>
    <cellStyle name="差_底稿设置宏 5_明细表 3" xfId="18524"/>
    <cellStyle name="差_底稿设置宏 5_明细表 4" xfId="18525"/>
    <cellStyle name="差_底稿设置宏 5_明细表 5" xfId="18526"/>
    <cellStyle name="好_大信底稿目录 11_明细表 2" xfId="18527"/>
    <cellStyle name="差_底稿设置宏 6" xfId="18528"/>
    <cellStyle name="差_底稿设置宏 6 2" xfId="18529"/>
    <cellStyle name="好_附注表(二) 3" xfId="18530"/>
    <cellStyle name="超链接 4 2 3" xfId="18531"/>
    <cellStyle name="差_底稿设置宏 6 2 5" xfId="18532"/>
    <cellStyle name="超链接 4 2 4" xfId="18533"/>
    <cellStyle name="差_底稿设置宏 6 2 6" xfId="18534"/>
    <cellStyle name="差_底稿设置宏 6 3" xfId="18535"/>
    <cellStyle name="好_附注表(二) 4" xfId="18536"/>
    <cellStyle name="差_底稿设置宏 6 4" xfId="18537"/>
    <cellStyle name="好__dxn_temp空白表页_附注表一（财务报表）" xfId="18538"/>
    <cellStyle name="好_Book2 4" xfId="18539"/>
    <cellStyle name="差_底稿设置宏 6_明细表" xfId="18540"/>
    <cellStyle name="差_底稿设置宏 6_明细表 2" xfId="18541"/>
    <cellStyle name="差_底稿设置宏 6_明细表 3" xfId="18542"/>
    <cellStyle name="好_7-应收股利（空白模板） 3 2" xfId="18543"/>
    <cellStyle name="差_底稿设置宏 6_明细表 4" xfId="18544"/>
    <cellStyle name="差_底稿设置宏 6_明细表 5" xfId="18545"/>
    <cellStyle name="好_大信底稿目录 11_明细表 3" xfId="18546"/>
    <cellStyle name="差_底稿设置宏 7" xfId="18547"/>
    <cellStyle name="差_底稿设置宏 7 2" xfId="18548"/>
    <cellStyle name="好_大信底稿目录 4_明细表 5" xfId="18549"/>
    <cellStyle name="差_底稿设置宏 7 2 2" xfId="18550"/>
    <cellStyle name="超链接 5 2 2" xfId="18551"/>
    <cellStyle name="差_底稿设置宏 7 2 4" xfId="18552"/>
    <cellStyle name="差_底稿设置宏 7 2 5" xfId="18553"/>
    <cellStyle name="差_底稿设置宏 7 3" xfId="18554"/>
    <cellStyle name="好_1固定资产 8_明细表" xfId="18555"/>
    <cellStyle name="好_ZA0货币资金审定表  4_附注表一（财务报表）" xfId="18556"/>
    <cellStyle name="差_底稿设置宏 7 4" xfId="18557"/>
    <cellStyle name="差_底稿设置宏 7_附注表一（财务报表）" xfId="18558"/>
    <cellStyle name="差_底稿设置宏 7_明细表 4" xfId="18559"/>
    <cellStyle name="好_计税基础表 20130323" xfId="18560"/>
    <cellStyle name="差_底稿设置宏 7_明细表 5" xfId="18561"/>
    <cellStyle name="好_大信底稿目录 11_明细表 4" xfId="18562"/>
    <cellStyle name="差_底稿设置宏 8" xfId="18563"/>
    <cellStyle name="好__dxn_temp空白表页 10_明细表 2" xfId="18564"/>
    <cellStyle name="好__dxn_temp空白表页 4_明细表 5" xfId="18565"/>
    <cellStyle name="差_底稿设置宏 8 2" xfId="18566"/>
    <cellStyle name="差_底稿设置宏 8 2 2" xfId="18567"/>
    <cellStyle name="差_底稿设置宏 8 2 3" xfId="18568"/>
    <cellStyle name="超链接 6 2 3" xfId="18569"/>
    <cellStyle name="差_底稿设置宏 8 2 5" xfId="18570"/>
    <cellStyle name="好_51-营业税金及附加（空白模板） 15_明细表" xfId="18571"/>
    <cellStyle name="差_底稿设置宏 8 4" xfId="18572"/>
    <cellStyle name="好_1预付款项 2 2" xfId="18573"/>
    <cellStyle name="差_底稿设置宏 8_附注表一（财务报表）" xfId="18574"/>
    <cellStyle name="常规 2 2 3 2 8" xfId="18575"/>
    <cellStyle name="差_底稿设置宏 8_明细表 2" xfId="18576"/>
    <cellStyle name="常规 2 2 3 2 9" xfId="18577"/>
    <cellStyle name="差_底稿设置宏 8_明细表 3" xfId="18578"/>
    <cellStyle name="差_底稿设置宏 8_明细表 4" xfId="18579"/>
    <cellStyle name="差_底稿设置宏 8_明细表 5" xfId="18580"/>
    <cellStyle name="好_大信底稿目录 11_明细表 5" xfId="18581"/>
    <cellStyle name="差_底稿设置宏 9" xfId="18582"/>
    <cellStyle name="好__dxn_temp空白表页 10_明细表 3" xfId="18583"/>
    <cellStyle name="差_底稿设置宏 9 2 2" xfId="18584"/>
    <cellStyle name="超链接 7 2 2" xfId="18585"/>
    <cellStyle name="差_底稿设置宏 9 2 4" xfId="18586"/>
    <cellStyle name="超链接 7 2 3" xfId="18587"/>
    <cellStyle name="差_底稿设置宏 9 2 5" xfId="18588"/>
    <cellStyle name="差_底稿设置宏 9_附注表一（财务报表）" xfId="18589"/>
    <cellStyle name="好_6-应收利息（空白模板） 6 2" xfId="18590"/>
    <cellStyle name="好_1财务费用 18 4" xfId="18591"/>
    <cellStyle name="差_底稿设置宏 9_明细表 2" xfId="18592"/>
    <cellStyle name="好_底稿设置宏_大信底稿目录 12_明细表" xfId="18593"/>
    <cellStyle name="好_1财务费用 18 5" xfId="18594"/>
    <cellStyle name="差_底稿设置宏 9_明细表 3" xfId="18595"/>
    <cellStyle name="差_底稿设置宏 9_明细表 4" xfId="18596"/>
    <cellStyle name="差_底稿设置宏_附注表一（财务报表）" xfId="18597"/>
    <cellStyle name="差_底稿设置宏_明细表 2" xfId="18598"/>
    <cellStyle name="差_底稿设置宏_明细表 2 2" xfId="18599"/>
    <cellStyle name="差_底稿设置宏_明细表 2 3" xfId="18600"/>
    <cellStyle name="差_底稿设置宏_明细表 2 4" xfId="18601"/>
    <cellStyle name="差_底稿设置宏_明细表 2 5" xfId="18602"/>
    <cellStyle name="差_资产负债类底稿模版 9 2 2" xfId="18603"/>
    <cellStyle name="差_底稿设置宏_明细表 3" xfId="18604"/>
    <cellStyle name="差_资产负债类底稿模版 9 2 3" xfId="18605"/>
    <cellStyle name="差_底稿设置宏_明细表 4" xfId="18606"/>
    <cellStyle name="差_资产负债类底稿模版 9 2 4" xfId="18607"/>
    <cellStyle name="差_底稿设置宏_明细表 5" xfId="18608"/>
    <cellStyle name="差_资产负债类底稿模版 9 2 5" xfId="18609"/>
    <cellStyle name="差_底稿设置宏_明细表 6" xfId="18610"/>
    <cellStyle name="差_底稿设置宏_明细表_1 5" xfId="18611"/>
    <cellStyle name="差_递延所得税资产" xfId="18612"/>
    <cellStyle name="好_预收款项 4_明细表 3" xfId="18613"/>
    <cellStyle name="常规 3 2 7 2 5" xfId="18614"/>
    <cellStyle name="差_递延所得税资产 2" xfId="18615"/>
    <cellStyle name="差_递延所得税资产 2 2" xfId="18616"/>
    <cellStyle name="好_预收款项 4_明细表 4" xfId="18617"/>
    <cellStyle name="差_递延所得税资产 3" xfId="18618"/>
    <cellStyle name="差_递延所得税资产 3 2" xfId="18619"/>
    <cellStyle name="差_短期借款" xfId="18620"/>
    <cellStyle name="好_底稿设置宏" xfId="18621"/>
    <cellStyle name="常规 3 29 2 3" xfId="18622"/>
    <cellStyle name="常规 6 9" xfId="18623"/>
    <cellStyle name="差_短期借款 10" xfId="18624"/>
    <cellStyle name="好_底稿设置宏 2" xfId="18625"/>
    <cellStyle name="常规 6 9 2" xfId="18626"/>
    <cellStyle name="差_短期借款 10 2" xfId="18627"/>
    <cellStyle name="好_底稿设置宏 2 2" xfId="18628"/>
    <cellStyle name="常规 6 9 2 2" xfId="18629"/>
    <cellStyle name="差_短期借款 10 2 2" xfId="18630"/>
    <cellStyle name="好_底稿设置宏 2 3" xfId="18631"/>
    <cellStyle name="好_附件一銀行詢證函(1)" xfId="18632"/>
    <cellStyle name="常规 6 9 2 3" xfId="18633"/>
    <cellStyle name="差_短期借款 10 2 3" xfId="18634"/>
    <cellStyle name="好_底稿设置宏 3" xfId="18635"/>
    <cellStyle name="好_1资产减值损失 6_明细表 2" xfId="18636"/>
    <cellStyle name="常规 6 9 3" xfId="18637"/>
    <cellStyle name="差_短期借款 10 3" xfId="18638"/>
    <cellStyle name="好_底稿设置宏 4" xfId="18639"/>
    <cellStyle name="好_1资产减值损失 6_明细表 3" xfId="18640"/>
    <cellStyle name="常规 6 9 4" xfId="18641"/>
    <cellStyle name="差_短期借款 10 4" xfId="18642"/>
    <cellStyle name="好_1营业收入 13 2 5" xfId="18643"/>
    <cellStyle name="好_底稿设置宏_明细表" xfId="18644"/>
    <cellStyle name="差_短期借款 10_明细表" xfId="18645"/>
    <cellStyle name="好_1营业外收入 3 2" xfId="18646"/>
    <cellStyle name="常规 3 7 4" xfId="18647"/>
    <cellStyle name="差_固定资产 14 5" xfId="18648"/>
    <cellStyle name="好_无形资产_明细表_1 4" xfId="18649"/>
    <cellStyle name="好_底稿设置宏_明细表 2" xfId="18650"/>
    <cellStyle name="差_短期借款 10_明细表 2" xfId="18651"/>
    <cellStyle name="常规 3 13 2" xfId="18652"/>
    <cellStyle name="好_无形资产_明细表_1 5" xfId="18653"/>
    <cellStyle name="好_底稿设置宏_明细表 3" xfId="18654"/>
    <cellStyle name="好_50-营业成本（空白模板）_固定资产 2" xfId="18655"/>
    <cellStyle name="差_短期借款 10_明细表 3" xfId="18656"/>
    <cellStyle name="好_底稿设置宏_明细表 4" xfId="18657"/>
    <cellStyle name="常规 3 13 3" xfId="18658"/>
    <cellStyle name="差_短期借款 10_明细表 4" xfId="18659"/>
    <cellStyle name="常规 3 29 2 4" xfId="18660"/>
    <cellStyle name="常规 2 3 6 3 2" xfId="18661"/>
    <cellStyle name="差_短期借款 11" xfId="18662"/>
    <cellStyle name="差_短期借款 11 2" xfId="18663"/>
    <cellStyle name="差_无形资产 9 2 2" xfId="18664"/>
    <cellStyle name="差_短期借款 11 3" xfId="18665"/>
    <cellStyle name="好_1营业收入 14 2 5" xfId="18666"/>
    <cellStyle name="常规 4 7 4" xfId="18667"/>
    <cellStyle name="差_短期借款 11_明细表" xfId="18668"/>
    <cellStyle name="差_短期借款 11_明细表 2" xfId="18669"/>
    <cellStyle name="常规 5 15 2 4" xfId="18670"/>
    <cellStyle name="常规 5 20 2 4" xfId="18671"/>
    <cellStyle name="常规 4 7 4 2" xfId="18672"/>
    <cellStyle name="常规 2 28 2 3" xfId="18673"/>
    <cellStyle name="差_短期借款 11_明细表 3" xfId="18674"/>
    <cellStyle name="常规 5 15 2 5" xfId="18675"/>
    <cellStyle name="常规 5 20 2 5" xfId="18676"/>
    <cellStyle name="常规 4 7 4 3" xfId="18677"/>
    <cellStyle name="常规 2 28 2 4" xfId="18678"/>
    <cellStyle name="常规 2 28 2 5" xfId="18679"/>
    <cellStyle name="差_短期借款 11_明细表 4" xfId="18680"/>
    <cellStyle name="常规 3 29 2 5" xfId="18681"/>
    <cellStyle name="差_短期借款 12" xfId="18682"/>
    <cellStyle name="好_27-短期借款(空白模板)_明细表 5" xfId="18683"/>
    <cellStyle name="差_短期借款 12 2" xfId="18684"/>
    <cellStyle name="差_短期借款 12 2 2" xfId="18685"/>
    <cellStyle name="好_27-短期借款(空白模板)_明细表 6" xfId="18686"/>
    <cellStyle name="差_短期借款 12 3" xfId="18687"/>
    <cellStyle name="差_短期借款 12_附注表一（财务报表）" xfId="18688"/>
    <cellStyle name="好_1营业收入 15 2 5" xfId="18689"/>
    <cellStyle name="常规 5 7 4" xfId="18690"/>
    <cellStyle name="差_短期借款 12_明细表" xfId="18691"/>
    <cellStyle name="差_专项应付款_明细表 5" xfId="18692"/>
    <cellStyle name="差_短期借款 12_明细表 3" xfId="18693"/>
    <cellStyle name="差_专项应付款_明细表 6" xfId="18694"/>
    <cellStyle name="差_短期借款 12_明细表 4" xfId="18695"/>
    <cellStyle name="常规 2 2 18_附注表一（财务报表）" xfId="18696"/>
    <cellStyle name="常规 2 2 23_附注表一（财务报表）" xfId="18697"/>
    <cellStyle name="差_短期借款 12_明细表 5" xfId="18698"/>
    <cellStyle name="超链接 13" xfId="18699"/>
    <cellStyle name="差_短期借款 13 2" xfId="18700"/>
    <cellStyle name="差_短期借款 13 2 4" xfId="18701"/>
    <cellStyle name="差_短期借款 13 2 5" xfId="18702"/>
    <cellStyle name="差_短期借款 13 3" xfId="18703"/>
    <cellStyle name="差_短期借款 13_附注表一（财务报表）" xfId="18704"/>
    <cellStyle name="好_1营业收入 16 2 5" xfId="18705"/>
    <cellStyle name="常规 6 7 4" xfId="18706"/>
    <cellStyle name="差_短期借款 13_明细表" xfId="18707"/>
    <cellStyle name="好_4-应收账款（空白模板） 2 3 3" xfId="18708"/>
    <cellStyle name="常规 6 7 4 2" xfId="18709"/>
    <cellStyle name="差_短期借款 13_明细表 2" xfId="18710"/>
    <cellStyle name="常规 6 7 4 3" xfId="18711"/>
    <cellStyle name="差_短期借款 13_明细表 3" xfId="18712"/>
    <cellStyle name="常规 2 3 24_明细表" xfId="18713"/>
    <cellStyle name="差_短期借款 13_明细表 5" xfId="18714"/>
    <cellStyle name="差_短期借款 14" xfId="18715"/>
    <cellStyle name="好_ZA0货币资金审定表  3_明细表" xfId="18716"/>
    <cellStyle name="超链接 63" xfId="18717"/>
    <cellStyle name="差_短期借款 14 2" xfId="18718"/>
    <cellStyle name="好_ZA0货币资金审定表  3_明细表 2" xfId="18719"/>
    <cellStyle name="差_短期借款 14 2 2" xfId="18720"/>
    <cellStyle name="好_ZA0货币资金审定表  3_明细表 3" xfId="18721"/>
    <cellStyle name="差_短期借款 14 2 3" xfId="18722"/>
    <cellStyle name="好_ZA0货币资金审定表  3_明细表 4" xfId="18723"/>
    <cellStyle name="差_短期借款 14 2 4" xfId="18724"/>
    <cellStyle name="好_ZA0货币资金审定表  3_明细表 5" xfId="18725"/>
    <cellStyle name="差_短期借款 14 2 5" xfId="18726"/>
    <cellStyle name="超链接 64" xfId="18727"/>
    <cellStyle name="差_短期借款 14 3" xfId="18728"/>
    <cellStyle name="常规 4 11 3 2" xfId="18729"/>
    <cellStyle name="差_短期借款 14_附注表一（财务报表）" xfId="18730"/>
    <cellStyle name="好_49-营业收入（空白模板） 2" xfId="18731"/>
    <cellStyle name="好_1营业收入 17 2 5" xfId="18732"/>
    <cellStyle name="常规 7 7 4" xfId="18733"/>
    <cellStyle name="差_短期借款 14_明细表" xfId="18734"/>
    <cellStyle name="常规 7 7 4 2" xfId="18735"/>
    <cellStyle name="好_FL 应付债券" xfId="18736"/>
    <cellStyle name="好_49-营业收入（空白模板） 2 2" xfId="18737"/>
    <cellStyle name="差_短期借款 14_明细表 2" xfId="18738"/>
    <cellStyle name="好_49-营业收入（空白模板） 2 3" xfId="18739"/>
    <cellStyle name="差_短期借款 14_明细表 3" xfId="18740"/>
    <cellStyle name="好_49-营业收入（空白模板） 2 4" xfId="18741"/>
    <cellStyle name="差_短期借款 14_明细表 4" xfId="18742"/>
    <cellStyle name="好_现金与银行存款ZA 2" xfId="18743"/>
    <cellStyle name="差_短期借款 15" xfId="18744"/>
    <cellStyle name="差_短期借款 20" xfId="18745"/>
    <cellStyle name="好_51-营业税金及附加（空白模板） 15 3" xfId="18746"/>
    <cellStyle name="差_短期借款 15 2 2" xfId="18747"/>
    <cellStyle name="差_短期借款 15 2 3" xfId="18748"/>
    <cellStyle name="差_短期借款 15 2 4" xfId="18749"/>
    <cellStyle name="差_短期借款 15 2 5" xfId="18750"/>
    <cellStyle name="差_短期借款 15 5" xfId="18751"/>
    <cellStyle name="超链接 2 19 5" xfId="18752"/>
    <cellStyle name="差_短期借款 16 2 2" xfId="18753"/>
    <cellStyle name="差_短期借款 16 2 3" xfId="18754"/>
    <cellStyle name="差_短期借款 16 2 4" xfId="18755"/>
    <cellStyle name="差_短期借款 16 2 5" xfId="18756"/>
    <cellStyle name="常规 2 3 2 2 2 15" xfId="18757"/>
    <cellStyle name="差_短期借款 16 4" xfId="18758"/>
    <cellStyle name="常规 2 3 2 2 2 16" xfId="18759"/>
    <cellStyle name="差_短期借款 16 5" xfId="18760"/>
    <cellStyle name="好_无形资产 3_明细表" xfId="18761"/>
    <cellStyle name="常规 2 3 2 2 2 17" xfId="18762"/>
    <cellStyle name="差_短期借款 16 6" xfId="18763"/>
    <cellStyle name="差_短期借款 17" xfId="18764"/>
    <cellStyle name="差_短期借款 22" xfId="18765"/>
    <cellStyle name="差_短期借款 18" xfId="18766"/>
    <cellStyle name="差_短期借款 23" xfId="18767"/>
    <cellStyle name="差_短期借款 19" xfId="18768"/>
    <cellStyle name="差_短期借款 24" xfId="18769"/>
    <cellStyle name="差_短期借款 2" xfId="18770"/>
    <cellStyle name="好_2011.12全年年报资料汇总(樣本) 5" xfId="18771"/>
    <cellStyle name="差_短期借款 2 2" xfId="18772"/>
    <cellStyle name="差_短期借款 2 2 2" xfId="18773"/>
    <cellStyle name="差_明细表_1 3" xfId="18774"/>
    <cellStyle name="差_短期借款 2 2 3" xfId="18775"/>
    <cellStyle name="差_明细表_1 4" xfId="18776"/>
    <cellStyle name="差_短期借款 2 2 4" xfId="18777"/>
    <cellStyle name="差_明细表_1 5" xfId="18778"/>
    <cellStyle name="差_短期借款 2 2 5" xfId="18779"/>
    <cellStyle name="差_短期借款 2 2 6" xfId="18780"/>
    <cellStyle name="好_银行函证结果汇总表 11 2 3" xfId="18781"/>
    <cellStyle name="差_短期借款 2_附注表一（财务报表）" xfId="18782"/>
    <cellStyle name="差_短期借款 2_明细表 2" xfId="18783"/>
    <cellStyle name="差_短期借款 2_明细表 4" xfId="18784"/>
    <cellStyle name="差_短期借款 2_明细表 5" xfId="18785"/>
    <cellStyle name="差_短期借款 25" xfId="18786"/>
    <cellStyle name="差_短期借款 30" xfId="18787"/>
    <cellStyle name="差_短期借款 28" xfId="18788"/>
    <cellStyle name="差_短期借款 33" xfId="18789"/>
    <cellStyle name="差_短期借款 29" xfId="18790"/>
    <cellStyle name="差_短期借款 34" xfId="18791"/>
    <cellStyle name="好_贷款卡查询结果调节表" xfId="18792"/>
    <cellStyle name="差_短期借款 3" xfId="18793"/>
    <cellStyle name="差_短期借款 3 2 2" xfId="18794"/>
    <cellStyle name="差_短期借款 3 2 3" xfId="18795"/>
    <cellStyle name="差_短期借款 3 2 4" xfId="18796"/>
    <cellStyle name="差_短期借款 3 2 5" xfId="18797"/>
    <cellStyle name="差_短期借款 3 2 6" xfId="18798"/>
    <cellStyle name="差_短期借款 3 3" xfId="18799"/>
    <cellStyle name="差_短期借款 3 4" xfId="18800"/>
    <cellStyle name="差_短期借款 8 2 5" xfId="18801"/>
    <cellStyle name="差_短期借款 3_附注表一（财务报表）" xfId="18802"/>
    <cellStyle name="差_短期借款 3_明细表" xfId="18803"/>
    <cellStyle name="差_短期借款 3_明细表 2" xfId="18804"/>
    <cellStyle name="好_大信底稿目录 8 2 2" xfId="18805"/>
    <cellStyle name="差_短期借款 3_明细表 3" xfId="18806"/>
    <cellStyle name="好_大信底稿目录 8 2 3" xfId="18807"/>
    <cellStyle name="差_短期借款 3_明细表 4" xfId="18808"/>
    <cellStyle name="好_大信底稿目录 8 2 4" xfId="18809"/>
    <cellStyle name="差_短期借款 3_明细表 5" xfId="18810"/>
    <cellStyle name="好_27-短期借款(空白模板) 15_明细表 2" xfId="18811"/>
    <cellStyle name="好_1营业收入 7 2 2" xfId="18812"/>
    <cellStyle name="差_短期借款 4" xfId="18813"/>
    <cellStyle name="差_短期借款 4 2" xfId="18814"/>
    <cellStyle name="好_1短期借款 8_明细表 5" xfId="18815"/>
    <cellStyle name="差_短期借款 4 2 2" xfId="18816"/>
    <cellStyle name="差_短期借款 4 2 3" xfId="18817"/>
    <cellStyle name="差_往来款项函证结果汇总表 2 2" xfId="18818"/>
    <cellStyle name="差_短期借款 4 2 4" xfId="18819"/>
    <cellStyle name="差_短期借款 4 2 6" xfId="18820"/>
    <cellStyle name="差_短期借款 4 3" xfId="18821"/>
    <cellStyle name="差_短期借款 4 4" xfId="18822"/>
    <cellStyle name="差_短期借款 4_附注表一（财务报表）" xfId="18823"/>
    <cellStyle name="差_短期借款 4_明细表 2" xfId="18824"/>
    <cellStyle name="差_短期借款 4_明细表 3" xfId="18825"/>
    <cellStyle name="差_短期借款 4_明细表 4" xfId="18826"/>
    <cellStyle name="差_资产负债类底稿模版 10 2 2" xfId="18827"/>
    <cellStyle name="差_短期借款 4_明细表 5" xfId="18828"/>
    <cellStyle name="好_27-短期借款(空白模板) 15_明细表 3" xfId="18829"/>
    <cellStyle name="好_1营业收入 7 2 3" xfId="18830"/>
    <cellStyle name="差_短期借款 5" xfId="18831"/>
    <cellStyle name="差_短期借款 5 2" xfId="18832"/>
    <cellStyle name="差_短期借款 5 2 2" xfId="18833"/>
    <cellStyle name="差_短期借款 5 2 4" xfId="18834"/>
    <cellStyle name="差_短期借款 5 2 5" xfId="18835"/>
    <cellStyle name="差_短期借款 5 2 6" xfId="18836"/>
    <cellStyle name="差_短期借款 5 3" xfId="18837"/>
    <cellStyle name="差_短期借款 5_附注表一（财务报表）" xfId="18838"/>
    <cellStyle name="常规 3 2 29 2 2" xfId="18839"/>
    <cellStyle name="差_短期借款 5_明细表 2" xfId="18840"/>
    <cellStyle name="常规 3 2 29 2 3" xfId="18841"/>
    <cellStyle name="差_短期借款 5_明细表 3" xfId="18842"/>
    <cellStyle name="常规 3 2 29 2 5" xfId="18843"/>
    <cellStyle name="差_短期借款 5_明细表 5" xfId="18844"/>
    <cellStyle name="好_27-短期借款(空白模板) 15_明细表 4" xfId="18845"/>
    <cellStyle name="好_1营业收入 7 2 4" xfId="18846"/>
    <cellStyle name="差_短期借款 6" xfId="18847"/>
    <cellStyle name="差_黄金项目组审计人员通讯录 3" xfId="18848"/>
    <cellStyle name="差_短期借款 6 2" xfId="18849"/>
    <cellStyle name="差_短期借款 6 2 2" xfId="18850"/>
    <cellStyle name="差_短期借款 6 2 3" xfId="18851"/>
    <cellStyle name="差_短期借款 6 2 4" xfId="18852"/>
    <cellStyle name="差_短期借款 6 2 5" xfId="18853"/>
    <cellStyle name="差_短期借款 6 3" xfId="18854"/>
    <cellStyle name="差_短期借款 6 4" xfId="18855"/>
    <cellStyle name="差_短期借款 6_附注表一（财务报表）" xfId="18856"/>
    <cellStyle name="差_短期借款 6_明细表" xfId="18857"/>
    <cellStyle name="差_短期借款 6_明细表 2" xfId="18858"/>
    <cellStyle name="差_短期借款 6_明细表 5" xfId="18859"/>
    <cellStyle name="好_27-短期借款(空白模板) 15_明细表 5" xfId="18860"/>
    <cellStyle name="好_1营业收入 7 2 5" xfId="18861"/>
    <cellStyle name="差_短期借款 7" xfId="18862"/>
    <cellStyle name="差_短期借款 7 2" xfId="18863"/>
    <cellStyle name="差_短期借款 7 2 2" xfId="18864"/>
    <cellStyle name="差_短期借款 7 2 5" xfId="18865"/>
    <cellStyle name="差_短期借款 7 3" xfId="18866"/>
    <cellStyle name="差_短期借款 7 4" xfId="18867"/>
    <cellStyle name="差_短期借款 7_附注表一（财务报表）" xfId="18868"/>
    <cellStyle name="常规 2 2 2 9_附注表一（财务报表）" xfId="18869"/>
    <cellStyle name="差_短期借款 7_明细表 3" xfId="18870"/>
    <cellStyle name="差_短期借款 7_明细表 4" xfId="18871"/>
    <cellStyle name="差_短期借款 7_明细表 5" xfId="18872"/>
    <cellStyle name="差_短期借款 8" xfId="18873"/>
    <cellStyle name="差_短期借款 8 2" xfId="18874"/>
    <cellStyle name="差_短期借款 8 2 2" xfId="18875"/>
    <cellStyle name="差_短期借款 8 2 3" xfId="18876"/>
    <cellStyle name="差_短期借款 8 2 4" xfId="18877"/>
    <cellStyle name="差_短期借款 8 3" xfId="18878"/>
    <cellStyle name="差_短期借款 8 4" xfId="18879"/>
    <cellStyle name="差_短期借款 8_附注表一（财务报表）" xfId="18880"/>
    <cellStyle name="差_短期借款 8_明细表 5" xfId="18881"/>
    <cellStyle name="差_短期借款 9" xfId="18882"/>
    <cellStyle name="差_黄金项目组审计人员通讯录 2 4" xfId="18883"/>
    <cellStyle name="差_短期借款 9 2" xfId="18884"/>
    <cellStyle name="差_短期借款 9 2 2" xfId="18885"/>
    <cellStyle name="常规 3 2 28_附注表一（财务报表）" xfId="18886"/>
    <cellStyle name="差_短期借款 9 2 3" xfId="18887"/>
    <cellStyle name="差_短期借款 9 2 4" xfId="18888"/>
    <cellStyle name="差_短期借款 9 2 5" xfId="18889"/>
    <cellStyle name="差_黄金项目组审计人员通讯录 2 5" xfId="18890"/>
    <cellStyle name="差_短期借款 9 3" xfId="18891"/>
    <cellStyle name="好_底稿设置宏_大信底稿目录 7_明细表" xfId="18892"/>
    <cellStyle name="差_短期借款 9 4" xfId="18893"/>
    <cellStyle name="差_短期借款 9_附注表一（财务报表）" xfId="18894"/>
    <cellStyle name="差_短期借款 9_明细表 3" xfId="18895"/>
    <cellStyle name="好_1营业收入 3_附注表一（财务报表）" xfId="18896"/>
    <cellStyle name="差_短期借款 9_明细表 4" xfId="18897"/>
    <cellStyle name="差_短期借款 9_明细表 5" xfId="18898"/>
    <cellStyle name="差_短期借款_明细表" xfId="18899"/>
    <cellStyle name="差_短期借款_明细表 2" xfId="18900"/>
    <cellStyle name="好_6-应收利息（空白模板）_明细表 2 5" xfId="18901"/>
    <cellStyle name="差_短期借款_明细表 2 5" xfId="18902"/>
    <cellStyle name="差_短期借款_明细表 3" xfId="18903"/>
    <cellStyle name="差_短期借款_明细表 4" xfId="18904"/>
    <cellStyle name="差_短期借款_明细表 5" xfId="18905"/>
    <cellStyle name="差_短期借款_明细表 6" xfId="18906"/>
    <cellStyle name="差_短期借款_明细表_1" xfId="18907"/>
    <cellStyle name="差_短期借款_明细表_1 2" xfId="18908"/>
    <cellStyle name="差_短期借款_明细表_1 4" xfId="18909"/>
    <cellStyle name="好_55-资产减值损失（空白模板） 9_明细表 3" xfId="18910"/>
    <cellStyle name="差_短期投资计划实施的审计程序" xfId="18911"/>
    <cellStyle name="常规 2 2 14 3" xfId="18912"/>
    <cellStyle name="差_固定资产 5 3" xfId="18913"/>
    <cellStyle name="差_附件3存货监盘 2" xfId="18914"/>
    <cellStyle name="差_附件3存货监盘 2 2" xfId="18915"/>
    <cellStyle name="差_复件 固定资产 11 2" xfId="18916"/>
    <cellStyle name="差_附件3存货监盘 2 3" xfId="18917"/>
    <cellStyle name="差_附件3存货监盘 3" xfId="18918"/>
    <cellStyle name="常规 3 2 4 2 2" xfId="18919"/>
    <cellStyle name="常规 2 3 24 3 3" xfId="18920"/>
    <cellStyle name="差_附注" xfId="18921"/>
    <cellStyle name="好_1短期借款 10 4" xfId="18922"/>
    <cellStyle name="常规 3 2 4 2 2 2" xfId="18923"/>
    <cellStyle name="差_附注 2" xfId="18924"/>
    <cellStyle name="差_附注 2 2" xfId="18925"/>
    <cellStyle name="常规 3 3 2 3 6" xfId="18926"/>
    <cellStyle name="差_附注 2 3" xfId="18927"/>
    <cellStyle name="常规 3 3 2 3 7" xfId="18928"/>
    <cellStyle name="常规 3 2 4 2 2 3" xfId="18929"/>
    <cellStyle name="差_附注 3" xfId="18930"/>
    <cellStyle name="差_附注 4" xfId="18931"/>
    <cellStyle name="常规 9 4 2 2" xfId="18932"/>
    <cellStyle name="差_附注表(二)" xfId="18933"/>
    <cellStyle name="差_附注表(二) 2" xfId="18934"/>
    <cellStyle name="差_附注表(二) 2 2" xfId="18935"/>
    <cellStyle name="差_附注表(二) 2 3" xfId="18936"/>
    <cellStyle name="差_附注表(二) 3" xfId="18937"/>
    <cellStyle name="差_附注表(二) 4" xfId="18938"/>
    <cellStyle name="差_附注表(一)" xfId="18939"/>
    <cellStyle name="差_附注表(一) 2" xfId="18940"/>
    <cellStyle name="好_营业收入 27" xfId="18941"/>
    <cellStyle name="好_营业收入 32" xfId="18942"/>
    <cellStyle name="差_附注表(一) 2 3" xfId="18943"/>
    <cellStyle name="差_附注表(一) 3" xfId="18944"/>
    <cellStyle name="差_长期应收款 3" xfId="18945"/>
    <cellStyle name="差_附注表一（财务报表）" xfId="18946"/>
    <cellStyle name="差_长期应收款 3 2" xfId="18947"/>
    <cellStyle name="差_附注表一（财务报表） 2" xfId="18948"/>
    <cellStyle name="差_附注表一（财务报表） 3" xfId="18949"/>
    <cellStyle name="差_无形资产_附注表一（财务报表）" xfId="18950"/>
    <cellStyle name="差_附注表一（财务报表） 4" xfId="18951"/>
    <cellStyle name="差_附注表一（财务报表） 5" xfId="18952"/>
    <cellStyle name="好_4-应收账款（空白模板） 3" xfId="18953"/>
    <cellStyle name="差_附注表一（财务报表）_1" xfId="18954"/>
    <cellStyle name="好_底稿设置宏_大信底稿目录 13_明细表 3" xfId="18955"/>
    <cellStyle name="好_50-营业成本（空白模板） 12 2 5" xfId="18956"/>
    <cellStyle name="差_复件 固定资产" xfId="18957"/>
    <cellStyle name="差_复件 固定资产 10 2" xfId="18958"/>
    <cellStyle name="差_固定资产 5 2 3" xfId="18959"/>
    <cellStyle name="差_复件 固定资产 10 2 2" xfId="18960"/>
    <cellStyle name="差_复件 固定资产 10 2 3" xfId="18961"/>
    <cellStyle name="差_复件 固定资产 10 2 4" xfId="18962"/>
    <cellStyle name="差_复件 固定资产 10_明细表 3" xfId="18963"/>
    <cellStyle name="差_复件 固定资产 10_明细表 5" xfId="18964"/>
    <cellStyle name="好_1资产减值损失 6 2 6" xfId="18965"/>
    <cellStyle name="差_复件 固定资产 11" xfId="18966"/>
    <cellStyle name="差_复件 固定资产 11 2 2" xfId="18967"/>
    <cellStyle name="差_复件 固定资产 11 2 3" xfId="18968"/>
    <cellStyle name="差_复件 固定资产 11 2 4" xfId="18969"/>
    <cellStyle name="常规 5 2 16 2" xfId="18970"/>
    <cellStyle name="差_复件 固定资产 11 2 5" xfId="18971"/>
    <cellStyle name="差_复件 固定资产 11 3" xfId="18972"/>
    <cellStyle name="差_复件 固定资产 11_附注表一（财务报表）" xfId="18973"/>
    <cellStyle name="好_QC 盈余公积" xfId="18974"/>
    <cellStyle name="差_复件 固定资产 11_明细表" xfId="18975"/>
    <cellStyle name="好_QC 盈余公积 2" xfId="18976"/>
    <cellStyle name="差_复件 固定资产 11_明细表 2" xfId="18977"/>
    <cellStyle name="差_复件 固定资产 11_明细表 3" xfId="18978"/>
    <cellStyle name="差_复件 固定资产 11_明细表 4" xfId="18979"/>
    <cellStyle name="差_复件 固定资产 12" xfId="18980"/>
    <cellStyle name="差_复件 固定资产 12 2 3" xfId="18981"/>
    <cellStyle name="好_ZP在建工程 2 2" xfId="18982"/>
    <cellStyle name="差_复件 固定资产 12 2 4" xfId="18983"/>
    <cellStyle name="好_ZP在建工程 2 3" xfId="18984"/>
    <cellStyle name="差_复件 固定资产 12 2 5" xfId="18985"/>
    <cellStyle name="差_复件 固定资产 12 3" xfId="18986"/>
    <cellStyle name="好_50-营业成本（空白模板） 16 5" xfId="18987"/>
    <cellStyle name="差_复件 固定资产 12_明细表" xfId="18988"/>
    <cellStyle name="差_复件 固定资产 12_明细表 2" xfId="18989"/>
    <cellStyle name="差_复件 固定资产 12_明细表 3" xfId="18990"/>
    <cellStyle name="差_复件 固定资产 12_明细表 4" xfId="18991"/>
    <cellStyle name="好_短期借款 10" xfId="18992"/>
    <cellStyle name="差_复件 固定资产 12_明细表 5" xfId="18993"/>
    <cellStyle name="好_1资产减值损失 12 2 5" xfId="18994"/>
    <cellStyle name="差_资产负债类底稿模版 3 2 3" xfId="18995"/>
    <cellStyle name="差_复件 固定资产 13 2" xfId="18996"/>
    <cellStyle name="差_复件 固定资产 13 2 2" xfId="18997"/>
    <cellStyle name="好_报表层次重要性水平 6 2" xfId="18998"/>
    <cellStyle name="差_复件 固定资产 13 2 3" xfId="18999"/>
    <cellStyle name="差_复件 固定资产 13 2 5" xfId="19000"/>
    <cellStyle name="差_资产负债类底稿模版 3 2 4" xfId="19001"/>
    <cellStyle name="差_复件 固定资产 13 3" xfId="19002"/>
    <cellStyle name="差_复件 固定资产 13_附注表一（财务报表）" xfId="19003"/>
    <cellStyle name="差_复件 固定资产 13_明细表" xfId="19004"/>
    <cellStyle name="差_复件 固定资产 13_明细表 2" xfId="19005"/>
    <cellStyle name="差_复件 固定资产 13_明细表 3" xfId="19006"/>
    <cellStyle name="差_复件 固定资产 13_明细表 4" xfId="19007"/>
    <cellStyle name="差_应收账款_明细表" xfId="19008"/>
    <cellStyle name="差_复件 固定资产 13_明细表 5" xfId="19009"/>
    <cellStyle name="差_复件 固定资产 14 4" xfId="19010"/>
    <cellStyle name="差_复件 固定资产 14 5" xfId="19011"/>
    <cellStyle name="差_复件 固定资产 2" xfId="19012"/>
    <cellStyle name="差_复件 固定资产 2 2 3" xfId="19013"/>
    <cellStyle name="差_复件 固定资产 2_附注表一（财务报表）" xfId="19014"/>
    <cellStyle name="差_复件 固定资产 2_明细表 2" xfId="19015"/>
    <cellStyle name="差_复件 固定资产 2_明细表 3" xfId="19016"/>
    <cellStyle name="差_复件 固定资产 2_明细表 4" xfId="19017"/>
    <cellStyle name="好_31-预收账款（空白模板） 11_明细表 2" xfId="19018"/>
    <cellStyle name="差_复件 固定资产 3" xfId="19019"/>
    <cellStyle name="差_复件 固定资产 3 2" xfId="19020"/>
    <cellStyle name="差_复件 固定资产 3 2 2" xfId="19021"/>
    <cellStyle name="差_复件 固定资产 3 2 3" xfId="19022"/>
    <cellStyle name="差_复件 固定资产 3 2 5" xfId="19023"/>
    <cellStyle name="差_复件 固定资产 3 3" xfId="19024"/>
    <cellStyle name="差_复件 固定资产 3_附注表一（财务报表）" xfId="19025"/>
    <cellStyle name="差_复件 固定资产 3_明细表" xfId="19026"/>
    <cellStyle name="好_31-预收账款（空白模板） 11_明细表 3" xfId="19027"/>
    <cellStyle name="差_复件 固定资产 4" xfId="19028"/>
    <cellStyle name="差_复件 固定资产 4 2" xfId="19029"/>
    <cellStyle name="差_复件 固定资产 4 2 2" xfId="19030"/>
    <cellStyle name="差_复件 固定资产 4 2 3" xfId="19031"/>
    <cellStyle name="差_复件 固定资产 4 2 4" xfId="19032"/>
    <cellStyle name="差_复件 固定资产 4 2 5" xfId="19033"/>
    <cellStyle name="差_复件 固定资产 4 3" xfId="19034"/>
    <cellStyle name="差_复件 固定资产 4_附注表一（财务报表）" xfId="19035"/>
    <cellStyle name="好_短期借款 6 2 2" xfId="19036"/>
    <cellStyle name="好_FJ其他应付款 5" xfId="19037"/>
    <cellStyle name="好_55-资产减值损失（空白模板） 8 2" xfId="19038"/>
    <cellStyle name="好_4-应收账款（空白模板） 14 2 5" xfId="19039"/>
    <cellStyle name="好_固定资产 10_明细表 2" xfId="19040"/>
    <cellStyle name="好_资产减值损失 34" xfId="19041"/>
    <cellStyle name="好_资产减值损失 29" xfId="19042"/>
    <cellStyle name="差_复件 固定资产 4_明细表 3" xfId="19043"/>
    <cellStyle name="好_固定资产 10_明细表 3" xfId="19044"/>
    <cellStyle name="差_复件 固定资产 4_明细表 4" xfId="19045"/>
    <cellStyle name="好_固定资产 10_明细表 4" xfId="19046"/>
    <cellStyle name="差_复件 固定资产 4_明细表 5" xfId="19047"/>
    <cellStyle name="好_31-预收账款（空白模板） 11_明细表 4" xfId="19048"/>
    <cellStyle name="差_复件 固定资产 5" xfId="19049"/>
    <cellStyle name="差_复件 固定资产 5 2" xfId="19050"/>
    <cellStyle name="好_固定资产循环7-1 3" xfId="19051"/>
    <cellStyle name="差_复件 固定资产 5 2 2" xfId="19052"/>
    <cellStyle name="好_固定资产循环7-1 4" xfId="19053"/>
    <cellStyle name="差_复件 固定资产 5 2 3" xfId="19054"/>
    <cellStyle name="好_固定资产循环7-1 5" xfId="19055"/>
    <cellStyle name="差_复件 固定资产 5 2 4" xfId="19056"/>
    <cellStyle name="差_复件 固定资产 5 2 5" xfId="19057"/>
    <cellStyle name="差_复件 固定资产 5 3" xfId="19058"/>
    <cellStyle name="差_复件 固定资产 5_明细表 2" xfId="19059"/>
    <cellStyle name="好_固定资产 11_明细表 2" xfId="19060"/>
    <cellStyle name="差_复件 固定资产 5_明细表 3" xfId="19061"/>
    <cellStyle name="好_固定资产 11_明细表 4" xfId="19062"/>
    <cellStyle name="差_复件 固定资产 5_明细表 5" xfId="19063"/>
    <cellStyle name="好_31-预收账款（空白模板） 11_明细表 5" xfId="19064"/>
    <cellStyle name="差_复件 固定资产 6" xfId="19065"/>
    <cellStyle name="差_复件 固定资产 6 2 2" xfId="19066"/>
    <cellStyle name="差_复件 固定资产 6 2 3" xfId="19067"/>
    <cellStyle name="差_复件 固定资产 6 2 4" xfId="19068"/>
    <cellStyle name="差_复件 固定资产 6 3" xfId="19069"/>
    <cellStyle name="差_复件 固定资产 6_附注表一（财务报表）" xfId="19070"/>
    <cellStyle name="好_复件 固定资产 2_明细表 5" xfId="19071"/>
    <cellStyle name="好_1预收款项 2 4" xfId="19072"/>
    <cellStyle name="好_短期借款 2 3 2" xfId="19073"/>
    <cellStyle name="好_30-应付账款（空白模板） 6_明细表 3" xfId="19074"/>
    <cellStyle name="差_复件 固定资产 6_明细表" xfId="19075"/>
    <cellStyle name="好_固定资产 12_明细表 2" xfId="19076"/>
    <cellStyle name="差_复件 固定资产 6_明细表 3" xfId="19077"/>
    <cellStyle name="差_复件 固定资产 7" xfId="19078"/>
    <cellStyle name="差_复件 固定资产 7 2 4" xfId="19079"/>
    <cellStyle name="差_复件 固定资产 7 2 5" xfId="19080"/>
    <cellStyle name="好_46-资本公积（空白模板）" xfId="19081"/>
    <cellStyle name="差_复件 固定资产 7_附注表一（财务报表）" xfId="19082"/>
    <cellStyle name="差_复件 固定资产 7_明细表 2" xfId="19083"/>
    <cellStyle name="好_固定资产 13_明细表 3" xfId="19084"/>
    <cellStyle name="差_复件 固定资产 7_明细表 4" xfId="19085"/>
    <cellStyle name="好_固定资产 13_明细表 4" xfId="19086"/>
    <cellStyle name="好_复件 长期应收款 3 2" xfId="19087"/>
    <cellStyle name="差_复件 固定资产 7_明细表 5" xfId="19088"/>
    <cellStyle name="超级链接" xfId="19089"/>
    <cellStyle name="好_资产负债标准底稿_大信底稿目录 13 2 2" xfId="19090"/>
    <cellStyle name="差_复件 固定资产 8" xfId="19091"/>
    <cellStyle name="差_复件 固定资产 8 2 2" xfId="19092"/>
    <cellStyle name="差_复件 固定资产 8 2 3" xfId="19093"/>
    <cellStyle name="好_营业收入 9 2" xfId="19094"/>
    <cellStyle name="差_复件 固定资产 8 2 4" xfId="19095"/>
    <cellStyle name="好_营业收入 9 3" xfId="19096"/>
    <cellStyle name="差_复件 固定资产 8 2 5" xfId="19097"/>
    <cellStyle name="差_复件 固定资产 8_附注表一（财务报表）" xfId="19098"/>
    <cellStyle name="好_短期借款 4 3 2" xfId="19099"/>
    <cellStyle name="差_复件 固定资产 8_明细表" xfId="19100"/>
    <cellStyle name="差_复件 固定资产 8_明细表 2" xfId="19101"/>
    <cellStyle name="差_复件 固定资产 8_明细表 3" xfId="19102"/>
    <cellStyle name="好_大信底稿目录 12 2 2" xfId="19103"/>
    <cellStyle name="差_复件 固定资产 8_明细表 4" xfId="19104"/>
    <cellStyle name="好_大信底稿目录 12 2 3" xfId="19105"/>
    <cellStyle name="好_G-应收账款 4 3 2" xfId="19106"/>
    <cellStyle name="差_复件 固定资产 8_明细表 5" xfId="19107"/>
    <cellStyle name="差_复件 固定资产 9 2 2" xfId="19108"/>
    <cellStyle name="差_复件 固定资产 9 2 3" xfId="19109"/>
    <cellStyle name="差_复件 固定资产 9 2 4" xfId="19110"/>
    <cellStyle name="差_复件 固定资产 9 2 5" xfId="19111"/>
    <cellStyle name="差_复件 固定资产 9 3" xfId="19112"/>
    <cellStyle name="好_资产减值损失 17 2" xfId="19113"/>
    <cellStyle name="常规 3 3 2 9 2 5" xfId="19114"/>
    <cellStyle name="差_复件 固定资产 9_附注表一（财务报表）" xfId="19115"/>
    <cellStyle name="差_复件 固定资产_明细表" xfId="19116"/>
    <cellStyle name="差_复件 固定资产_明细表 2" xfId="19117"/>
    <cellStyle name="差_复件 固定资产_明细表 3" xfId="19118"/>
    <cellStyle name="差_复件 固定资产_明细表 4" xfId="19119"/>
    <cellStyle name="超链接 3 19 2" xfId="19120"/>
    <cellStyle name="差_复件 固定资产_明细表 5" xfId="19121"/>
    <cellStyle name="差_货币资金 13" xfId="19122"/>
    <cellStyle name="差_公允价值变动损益" xfId="19123"/>
    <cellStyle name="差_公允价值变动损益 2" xfId="19124"/>
    <cellStyle name="好_1营业收入 7_明细表 3" xfId="19125"/>
    <cellStyle name="常规 3 10 8" xfId="19126"/>
    <cellStyle name="好_54-财务费用（空白模板） 9 3" xfId="19127"/>
    <cellStyle name="差_公允价值变动损益 2 2" xfId="19128"/>
    <cellStyle name="差_公允价值变动损益 3" xfId="19129"/>
    <cellStyle name="好_1营业收入 7_明细表 4" xfId="19130"/>
    <cellStyle name="好_底稿设置宏 4_附注表一（财务报表）" xfId="19131"/>
    <cellStyle name="差_公允价值变动损益 3 2" xfId="19132"/>
    <cellStyle name="差_公允价值变动损益 4" xfId="19133"/>
    <cellStyle name="好_1营业收入 7_明细表 5" xfId="19134"/>
    <cellStyle name="常规 4 10 3 2" xfId="19135"/>
    <cellStyle name="差_固定资产" xfId="19136"/>
    <cellStyle name="好_大信底稿目录 6 4" xfId="19137"/>
    <cellStyle name="差_固定资产 10" xfId="19138"/>
    <cellStyle name="差_固定资产 10 2" xfId="19139"/>
    <cellStyle name="差_固定资产 10 2 2" xfId="19140"/>
    <cellStyle name="常规 2 2 2 7 3 2" xfId="19141"/>
    <cellStyle name="差_固定资产 10 2 3" xfId="19142"/>
    <cellStyle name="好_30-应付账款（空白模板） 2 3 2" xfId="19143"/>
    <cellStyle name="差_固定资产 10 2 4" xfId="19144"/>
    <cellStyle name="好_30-应付账款（空白模板） 2 3 3" xfId="19145"/>
    <cellStyle name="差_固定资产 10 2 5" xfId="19146"/>
    <cellStyle name="常规 3 3 2" xfId="19147"/>
    <cellStyle name="差_固定资产 10 3" xfId="19148"/>
    <cellStyle name="差_固定资产 10_附注表一（财务报表）" xfId="19149"/>
    <cellStyle name="差_固定资产 10_明细表" xfId="19150"/>
    <cellStyle name="差_固定资产 10_明细表 2" xfId="19151"/>
    <cellStyle name="超链接 2 2 2 3 2" xfId="19152"/>
    <cellStyle name="常规_应收账款 2" xfId="19153"/>
    <cellStyle name="差_固定资产 10_明细表 3" xfId="19154"/>
    <cellStyle name="好_应收利息 6_附注表一（财务报表）" xfId="19155"/>
    <cellStyle name="差_固定资产 10_明细表 4" xfId="19156"/>
    <cellStyle name="差_固定资产 10_明细表 5" xfId="19157"/>
    <cellStyle name="好_大信底稿目录 6 5" xfId="19158"/>
    <cellStyle name="差_固定资产 11" xfId="19159"/>
    <cellStyle name="好_预收款项 3" xfId="19160"/>
    <cellStyle name="差_固定资产 11 2" xfId="19161"/>
    <cellStyle name="逸?_PLDT" xfId="19162"/>
    <cellStyle name="好_预收款项 3 2" xfId="19163"/>
    <cellStyle name="差_固定资产 11 2 2" xfId="19164"/>
    <cellStyle name="好_预收款项 3 3" xfId="19165"/>
    <cellStyle name="好_应交税费" xfId="19166"/>
    <cellStyle name="常规 2 2 2 8 3 2" xfId="19167"/>
    <cellStyle name="差_固定资产 11 2 3" xfId="19168"/>
    <cellStyle name="好_预收款项 3 5" xfId="19169"/>
    <cellStyle name="差_固定资产 11 2 5" xfId="19170"/>
    <cellStyle name="好_预收款项 4" xfId="19171"/>
    <cellStyle name="常规 3 4 2" xfId="19172"/>
    <cellStyle name="差_固定资产 11 3" xfId="19173"/>
    <cellStyle name="差_固定资产 11_附注表一（财务报表）" xfId="19174"/>
    <cellStyle name="差_固定资产 11_明细表" xfId="19175"/>
    <cellStyle name="差_固定资产 11_明细表 2" xfId="19176"/>
    <cellStyle name="差_固定资产 11_明细表 3" xfId="19177"/>
    <cellStyle name="差_固定资产 11_明细表 4" xfId="19178"/>
    <cellStyle name="差_固定资产 11_明细表 5" xfId="19179"/>
    <cellStyle name="常规 3 17_附注表一（财务报表）" xfId="19180"/>
    <cellStyle name="常规 3 22_附注表一（财务报表）" xfId="19181"/>
    <cellStyle name="差_固定资产 12" xfId="19182"/>
    <cellStyle name="差_固定资产 12 2" xfId="19183"/>
    <cellStyle name="常规 2 2 2 9 3 2" xfId="19184"/>
    <cellStyle name="差_固定资产 12 2 3" xfId="19185"/>
    <cellStyle name="好_30-应付账款（空白模板） 4 3 2" xfId="19186"/>
    <cellStyle name="差_固定资产 12 2 4" xfId="19187"/>
    <cellStyle name="差_固定资产 12 2 5" xfId="19188"/>
    <cellStyle name="常规 3 5 2" xfId="19189"/>
    <cellStyle name="差_固定资产 12 3" xfId="19190"/>
    <cellStyle name="差_固定资产 12_附注表一（财务报表）" xfId="19191"/>
    <cellStyle name="好_明细表_明细表 4" xfId="19192"/>
    <cellStyle name="差_固定资产 12_明细表" xfId="19193"/>
    <cellStyle name="好_49-营业收入（空白模板） 4_明细表 3" xfId="19194"/>
    <cellStyle name="常规 9 3 3 2 2 2 3" xfId="19195"/>
    <cellStyle name="差_固定资产 12_明细表 2" xfId="19196"/>
    <cellStyle name="差_固定资产 12_明细表 3" xfId="19197"/>
    <cellStyle name="差_固定资产 12_明细表 4" xfId="19198"/>
    <cellStyle name="差_固定资产 13" xfId="19199"/>
    <cellStyle name="差_固定资产 13 2 2" xfId="19200"/>
    <cellStyle name="差_固定资产 13 2 3" xfId="19201"/>
    <cellStyle name="好_30-应付账款（空白模板） 5 3 2" xfId="19202"/>
    <cellStyle name="差_固定资产 13 2 4" xfId="19203"/>
    <cellStyle name="差_固定资产 13_附注表一（财务报表）" xfId="19204"/>
    <cellStyle name="差_固定资产 13_明细表" xfId="19205"/>
    <cellStyle name="好_1营业外支出 3 3" xfId="19206"/>
    <cellStyle name="差_固定资产 13_明细表 2" xfId="19207"/>
    <cellStyle name="差_固定资产 13_明细表 3" xfId="19208"/>
    <cellStyle name="差_固定资产 13_明细表 4" xfId="19209"/>
    <cellStyle name="好_1营业收入 13 2" xfId="19210"/>
    <cellStyle name="差_固定资产 14" xfId="19211"/>
    <cellStyle name="好_50-营业成本（空白模板） 7_附注表一（财务报表）" xfId="19212"/>
    <cellStyle name="好_1营业收入 13 2 3" xfId="19213"/>
    <cellStyle name="常规 3 7 2" xfId="19214"/>
    <cellStyle name="差_固定资产 14 3" xfId="19215"/>
    <cellStyle name="好_1营业收入 13 2 4" xfId="19216"/>
    <cellStyle name="常规 3 7 3" xfId="19217"/>
    <cellStyle name="差_固定资产 14 4" xfId="19218"/>
    <cellStyle name="好_1营业收入 13 3" xfId="19219"/>
    <cellStyle name="差_固定资产 15" xfId="19220"/>
    <cellStyle name="差_固定资产 2" xfId="19221"/>
    <cellStyle name="差_固定资产 2 2" xfId="19222"/>
    <cellStyle name="差_固定资产 2 2 2" xfId="19223"/>
    <cellStyle name="差_固定资产 2 2 3" xfId="19224"/>
    <cellStyle name="好_其他应付款_明细表" xfId="19225"/>
    <cellStyle name="差_固定资产 2 2 5" xfId="19226"/>
    <cellStyle name="差_固定资产 2 3" xfId="19227"/>
    <cellStyle name="差_固定资产 2_明细表 2" xfId="19228"/>
    <cellStyle name="差_固定资产 2_明细表 5" xfId="19229"/>
    <cellStyle name="差_固定资产 3" xfId="19230"/>
    <cellStyle name="差_固定资产 3 2" xfId="19231"/>
    <cellStyle name="好_19-无形资产（空白模板） 13 3" xfId="19232"/>
    <cellStyle name="差_固定资产 3 2 2" xfId="19233"/>
    <cellStyle name="差_固定资产 3 2 4" xfId="19234"/>
    <cellStyle name="差_固定资产 3 2 5" xfId="19235"/>
    <cellStyle name="差_固定资产 3 3" xfId="19236"/>
    <cellStyle name="差_固定资产 3_附注表一（财务报表）" xfId="19237"/>
    <cellStyle name="好_应付票据 2 2 2" xfId="19238"/>
    <cellStyle name="差_固定资产 3_明细表 2" xfId="19239"/>
    <cellStyle name="好_应付票据 2 2 3" xfId="19240"/>
    <cellStyle name="差_固定资产 3_明细表 3" xfId="19241"/>
    <cellStyle name="差_固定资产 3_明细表 4" xfId="19242"/>
    <cellStyle name="差_固定资产 4" xfId="19243"/>
    <cellStyle name="差_固定资产 4 2" xfId="19244"/>
    <cellStyle name="差_固定资产 4 2 2" xfId="19245"/>
    <cellStyle name="差_固定资产 4 2 3" xfId="19246"/>
    <cellStyle name="差_固定资产 4 2 4" xfId="19247"/>
    <cellStyle name="差_应付账款 2" xfId="19248"/>
    <cellStyle name="差_固定资产 4 2 5" xfId="19249"/>
    <cellStyle name="差_固定资产 4_附注表一（财务报表）" xfId="19250"/>
    <cellStyle name="差_固定资产 4_明细表" xfId="19251"/>
    <cellStyle name="差_固定资产 4_明细表 2" xfId="19252"/>
    <cellStyle name="差_固定资产 4_明细表 3" xfId="19253"/>
    <cellStyle name="差_固定资产 4_明细表 4" xfId="19254"/>
    <cellStyle name="差_固定资产 4_明细表 5" xfId="19255"/>
    <cellStyle name="差_固定资产 5" xfId="19256"/>
    <cellStyle name="差_固定资产 5 2" xfId="19257"/>
    <cellStyle name="差_固定资产 5 2 2" xfId="19258"/>
    <cellStyle name="差_固定资产 5 2 5" xfId="19259"/>
    <cellStyle name="差_固定资产 5_附注表一（财务报表）" xfId="19260"/>
    <cellStyle name="常规 4 2 2 2 2" xfId="19261"/>
    <cellStyle name="差_固定资产 5_明细表" xfId="19262"/>
    <cellStyle name="常规 4 2 2 2 2 2" xfId="19263"/>
    <cellStyle name="差_固定资产 5_明细表 2" xfId="19264"/>
    <cellStyle name="好_应付账款 - 复制 2 2" xfId="19265"/>
    <cellStyle name="差_固定资产 5_明细表 4" xfId="19266"/>
    <cellStyle name="好_应付账款 - 复制 2 3" xfId="19267"/>
    <cellStyle name="差_固定资产 5_明细表 5" xfId="19268"/>
    <cellStyle name="差_固定资产 6 2 2" xfId="19269"/>
    <cellStyle name="差_固定资产 6 2 3" xfId="19270"/>
    <cellStyle name="差_固定资产 6 2 4" xfId="19271"/>
    <cellStyle name="差_固定资产 6 2 5" xfId="19272"/>
    <cellStyle name="常规 3 5 5 2 2" xfId="19273"/>
    <cellStyle name="差_固定资产 6 3" xfId="19274"/>
    <cellStyle name="好_1专项应付款 18 2" xfId="19275"/>
    <cellStyle name="差_固定资产 6_附注表一（财务报表）" xfId="19276"/>
    <cellStyle name="好_银行函证结果汇总表 15 2" xfId="19277"/>
    <cellStyle name="常规 4 2 3 2 2" xfId="19278"/>
    <cellStyle name="差_固定资产 6_明细表" xfId="19279"/>
    <cellStyle name="常规 7 18" xfId="19280"/>
    <cellStyle name="常规 7 23" xfId="19281"/>
    <cellStyle name="好_银行函证结果汇总表 15 2 3" xfId="19282"/>
    <cellStyle name="好_附件一銀行詢證函(1) 4" xfId="19283"/>
    <cellStyle name="差_固定资产 6_明细表 3" xfId="19284"/>
    <cellStyle name="常规 7 19" xfId="19285"/>
    <cellStyle name="常规 7 24" xfId="19286"/>
    <cellStyle name="好_银行函证结果汇总表 15 2 4" xfId="19287"/>
    <cellStyle name="好_附件一銀行詢證函(1) 5" xfId="19288"/>
    <cellStyle name="差_固定资产 6_明细表 4" xfId="19289"/>
    <cellStyle name="好_银行函证结果汇总表 15 2 5" xfId="19290"/>
    <cellStyle name="好_附件一銀行詢證函(1) 6" xfId="19291"/>
    <cellStyle name="差_固定资产 6_明细表 5" xfId="19292"/>
    <cellStyle name="差_固定资产 7" xfId="19293"/>
    <cellStyle name="好_应收利息 15 2 3" xfId="19294"/>
    <cellStyle name="差_固定资产 7 2" xfId="19295"/>
    <cellStyle name="差_固定资产 7 2 2" xfId="19296"/>
    <cellStyle name="差_固定资产 7 2 3" xfId="19297"/>
    <cellStyle name="差_固定资产 7 2 4" xfId="19298"/>
    <cellStyle name="好_1固定资产 9_明细表 2" xfId="19299"/>
    <cellStyle name="差_固定资产 7 2 5" xfId="19300"/>
    <cellStyle name="好_应收利息 15 2 4" xfId="19301"/>
    <cellStyle name="差_固定资产 7 3" xfId="19302"/>
    <cellStyle name="好_营业收入 4 2 3" xfId="19303"/>
    <cellStyle name="好_30-应付账款（空白模板） 3 4" xfId="19304"/>
    <cellStyle name="差_固定资产 7_附注表一（财务报表）" xfId="19305"/>
    <cellStyle name="差_固定资产 7_明细表" xfId="19306"/>
    <cellStyle name="常规 2 2 2 2 2 6" xfId="19307"/>
    <cellStyle name="差_固定资产 7_明细表 2" xfId="19308"/>
    <cellStyle name="常规 2 2 2 2 2 7" xfId="19309"/>
    <cellStyle name="差_固定资产 7_明细表 3" xfId="19310"/>
    <cellStyle name="常规 2 2 2 2 2 8" xfId="19311"/>
    <cellStyle name="差_固定资产 7_明细表 4" xfId="19312"/>
    <cellStyle name="常规 2 2 2 2 2 9" xfId="19313"/>
    <cellStyle name="差_固定资产 7_明细表 5" xfId="19314"/>
    <cellStyle name="差_固定资产 8" xfId="19315"/>
    <cellStyle name="差_固定资产 8 2 5" xfId="19316"/>
    <cellStyle name="好_复件 固定资产 7 2" xfId="19317"/>
    <cellStyle name="差_固定资产 8_附注表一（财务报表）" xfId="19318"/>
    <cellStyle name="差_资本公积 4" xfId="19319"/>
    <cellStyle name="差_固定资产 8_明细表 2" xfId="19320"/>
    <cellStyle name="差_固定资产 8_明细表 4" xfId="19321"/>
    <cellStyle name="差_固定资产 9" xfId="19322"/>
    <cellStyle name="好_账项明细表" xfId="19323"/>
    <cellStyle name="差_固定资产 9 2" xfId="19324"/>
    <cellStyle name="好_账项明细表 3" xfId="19325"/>
    <cellStyle name="差_固定资产 9 2 3" xfId="19326"/>
    <cellStyle name="好_账项明细表 4" xfId="19327"/>
    <cellStyle name="差_固定资产 9 2 4" xfId="19328"/>
    <cellStyle name="好_账项明细表 5" xfId="19329"/>
    <cellStyle name="差_固定资产 9 2 5" xfId="19330"/>
    <cellStyle name="差_固定资产 9 3" xfId="19331"/>
    <cellStyle name="差_固定资产 9_明细表 3" xfId="19332"/>
    <cellStyle name="好_7-应收股利（空白模板）" xfId="19333"/>
    <cellStyle name="差_固定资产 9_明细表 4" xfId="19334"/>
    <cellStyle name="差_固定资产_附注表一（财务报表）" xfId="19335"/>
    <cellStyle name="差_固定资产_明细表 2" xfId="19336"/>
    <cellStyle name="好_40-专项应付款(空白模板) 15_明细表 3" xfId="19337"/>
    <cellStyle name="好_55-资产减值损失（空白模板） 2 2 2" xfId="19338"/>
    <cellStyle name="差_固定资产_明细表 4" xfId="19339"/>
    <cellStyle name="好_40-专项应付款(空白模板) 15_明细表 4" xfId="19340"/>
    <cellStyle name="好_55-资产减值损失（空白模板） 2 2 3" xfId="19341"/>
    <cellStyle name="差_固定资产_明细表 5" xfId="19342"/>
    <cellStyle name="常规 6 2 3 10" xfId="19343"/>
    <cellStyle name="差_固定资产明细 3" xfId="19344"/>
    <cellStyle name="差_固定资产明细 4" xfId="19345"/>
    <cellStyle name="差_固定资产明细 5" xfId="19346"/>
    <cellStyle name="差_固定资产明细 6" xfId="19347"/>
    <cellStyle name="差_固定资产循环7-1" xfId="19348"/>
    <cellStyle name="差_固定资产循环7-1 2" xfId="19349"/>
    <cellStyle name="好_财务费用 4_明细表 3" xfId="19350"/>
    <cellStyle name="常规 3 2 2 2 10" xfId="19351"/>
    <cellStyle name="好_资产负债类底稿模版 4_明细表 3" xfId="19352"/>
    <cellStyle name="差_固定资产循环7-1 2 2" xfId="19353"/>
    <cellStyle name="常规 3 2 2 2 10 2" xfId="19354"/>
    <cellStyle name="差_固定资产循环7-1 2 2 2" xfId="19355"/>
    <cellStyle name="差_固定资产循环7-1 2 2 3" xfId="19356"/>
    <cellStyle name="好_财务费用 4_明细表 5" xfId="19357"/>
    <cellStyle name="常规 174 2 2" xfId="19358"/>
    <cellStyle name="常规 3 2 2 2 12" xfId="19359"/>
    <cellStyle name="好_资产负债类底稿模版 4_明细表 5" xfId="19360"/>
    <cellStyle name="差_固定资产循环7-1 2 4" xfId="19361"/>
    <cellStyle name="差_固定资产循环7-1 3" xfId="19362"/>
    <cellStyle name="好_程序表模版 2" xfId="19363"/>
    <cellStyle name="好_预收款项 3 2 2" xfId="19364"/>
    <cellStyle name="差_固定资产循环7-1 3 3" xfId="19365"/>
    <cellStyle name="好_程序表模版 2 3" xfId="19366"/>
    <cellStyle name="差_固定资产循环7-1 4" xfId="19367"/>
    <cellStyle name="好_程序表模版 3" xfId="19368"/>
    <cellStyle name="常规 11 3 2 3 2 2" xfId="19369"/>
    <cellStyle name="差_固定资产循环7-1 5" xfId="19370"/>
    <cellStyle name="好_程序表模版 4" xfId="19371"/>
    <cellStyle name="常规 11 3 2 3 2 3" xfId="19372"/>
    <cellStyle name="好_ZA0货币资金审定表  7 2 5" xfId="19373"/>
    <cellStyle name="差_管理费用" xfId="19374"/>
    <cellStyle name="差_管理费用 2" xfId="19375"/>
    <cellStyle name="差_管理费用 3" xfId="19376"/>
    <cellStyle name="差_管理费用 3 2" xfId="19377"/>
    <cellStyle name="差_管理费用 5" xfId="19378"/>
    <cellStyle name="差_函证结果汇总表" xfId="19379"/>
    <cellStyle name="差_函证结果汇总表 2" xfId="19380"/>
    <cellStyle name="好_32-应付职工薪酬(空白模板) 16" xfId="19381"/>
    <cellStyle name="好_32-应付职工薪酬(空白模板) 21" xfId="19382"/>
    <cellStyle name="好_1专项应付款 6 2 5" xfId="19383"/>
    <cellStyle name="差_函证结果汇总表 2 2" xfId="19384"/>
    <cellStyle name="差_函证结果汇总表 3" xfId="19385"/>
    <cellStyle name="差_函证结果汇总表 3 2" xfId="19386"/>
    <cellStyle name="差_函证结果汇总表 4 2" xfId="19387"/>
    <cellStyle name="差_专项应付款 5 2 3" xfId="19388"/>
    <cellStyle name="好_底稿设置宏_大信底稿目录" xfId="19389"/>
    <cellStyle name="差_函证结果汇总表 5" xfId="19390"/>
    <cellStyle name="好_底稿设置宏_大信底稿目录 2" xfId="19391"/>
    <cellStyle name="差_函证结果汇总表 5 2" xfId="19392"/>
    <cellStyle name="差_专项应付款 5 2 5" xfId="19393"/>
    <cellStyle name="差_函证结果汇总表 7" xfId="19394"/>
    <cellStyle name="差_黄金项目组审计人员通讯录 2" xfId="19395"/>
    <cellStyle name="差_黄金项目组审计人员通讯录 2 3" xfId="19396"/>
    <cellStyle name="好_1资产减值损失 10_明细表" xfId="19397"/>
    <cellStyle name="差_黄金项目组审计人员通讯录_附注表一（财务报表）" xfId="19398"/>
    <cellStyle name="差_黄金项目组审计人员通讯录_明细表" xfId="19399"/>
    <cellStyle name="好_ZA0货币资金审定表  14" xfId="19400"/>
    <cellStyle name="差_黄金项目组审计人员通讯录_明细表 2" xfId="19401"/>
    <cellStyle name="好_ZA0货币资金审定表  17" xfId="19402"/>
    <cellStyle name="好_ZA0货币资金审定表  22" xfId="19403"/>
    <cellStyle name="差_黄金项目组审计人员通讯录_明细表 5" xfId="19404"/>
    <cellStyle name="差_货币资金" xfId="19405"/>
    <cellStyle name="好_1专项应付款 7 2 3" xfId="19406"/>
    <cellStyle name="差_货币资金 10" xfId="19407"/>
    <cellStyle name="好_1专项应付款 7 2 4" xfId="19408"/>
    <cellStyle name="差_货币资金 11" xfId="19409"/>
    <cellStyle name="差_货币资金 2" xfId="19410"/>
    <cellStyle name="差_货币资金 2 2 2" xfId="19411"/>
    <cellStyle name="差_货币资金 2 2 3" xfId="19412"/>
    <cellStyle name="差_货币资金 2 3" xfId="19413"/>
    <cellStyle name="差_货币资金 2 4" xfId="19414"/>
    <cellStyle name="差_货币资金 3" xfId="19415"/>
    <cellStyle name="差_货币资金 3 2" xfId="19416"/>
    <cellStyle name="差_货币资金 4" xfId="19417"/>
    <cellStyle name="差_货币资金 4 2" xfId="19418"/>
    <cellStyle name="差_货币资金 5" xfId="19419"/>
    <cellStyle name="差_货币资金 6" xfId="19420"/>
    <cellStyle name="差_货币资金 7" xfId="19421"/>
    <cellStyle name="差_货币资金 8" xfId="19422"/>
    <cellStyle name="差_货币资金 9" xfId="19423"/>
    <cellStyle name="差_货币资金 天职" xfId="19424"/>
    <cellStyle name="常规 2 3 17" xfId="19425"/>
    <cellStyle name="常规 2 3 22" xfId="19426"/>
    <cellStyle name="差_货币资金 天职 2" xfId="19427"/>
    <cellStyle name="常规 2 3 17 2 2" xfId="19428"/>
    <cellStyle name="常规 2 3 22 2 2" xfId="19429"/>
    <cellStyle name="差_货币资金 天职 2 2 2" xfId="19430"/>
    <cellStyle name="常规 2 3 17 2 3" xfId="19431"/>
    <cellStyle name="常规 2 3 22 2 3" xfId="19432"/>
    <cellStyle name="差_货币资金 天职 2 2 3" xfId="19433"/>
    <cellStyle name="常规 2 3 18" xfId="19434"/>
    <cellStyle name="常规 2 3 23" xfId="19435"/>
    <cellStyle name="差_货币资金 天职 3" xfId="19436"/>
    <cellStyle name="常规 2 3 25" xfId="19437"/>
    <cellStyle name="常规 2 3 30" xfId="19438"/>
    <cellStyle name="差_货币资金 天职 5" xfId="19439"/>
    <cellStyle name="差_货币资金 岳华" xfId="19440"/>
    <cellStyle name="好_ZA货币资金 4 3" xfId="19441"/>
    <cellStyle name="差_货币资金 岳华 2" xfId="19442"/>
    <cellStyle name="差_货币资金 岳华 2 2" xfId="19443"/>
    <cellStyle name="差_货币资金 岳华 3" xfId="19444"/>
    <cellStyle name="差_货币资金 岳华 3 2" xfId="19445"/>
    <cellStyle name="差_货币资金 岳华 4" xfId="19446"/>
    <cellStyle name="差_货币资金 岳华 5" xfId="19447"/>
    <cellStyle name="好_54-财务费用（空白模板） 4_明细表" xfId="19448"/>
    <cellStyle name="差_货币资金审定表" xfId="19449"/>
    <cellStyle name="差_基础信息表 20130323" xfId="19450"/>
    <cellStyle name="好_1应收账款 2 3" xfId="19451"/>
    <cellStyle name="好_1财务费用 12_附注表一（财务报表）" xfId="19452"/>
    <cellStyle name="差_基础信息表和计税基础表" xfId="19453"/>
    <cellStyle name="差_计税基础表 20130323" xfId="19454"/>
    <cellStyle name="差_记录稿模板" xfId="19455"/>
    <cellStyle name="差_记录稿模板 2" xfId="19456"/>
    <cellStyle name="好_31-预收账款（空白模板） 10_明细表 4" xfId="19457"/>
    <cellStyle name="差_记录稿模板 3" xfId="19458"/>
    <cellStyle name="好_31-预收账款（空白模板） 10_明细表 5" xfId="19459"/>
    <cellStyle name="好_预收款项 5 2" xfId="19460"/>
    <cellStyle name="链接单元格 2 2 5" xfId="19461"/>
    <cellStyle name="常规 3 4 3 2" xfId="19462"/>
    <cellStyle name="差_检查情况表" xfId="19463"/>
    <cellStyle name="好_预收款项 5 2 2" xfId="19464"/>
    <cellStyle name="常规 3 4 3 2 2" xfId="19465"/>
    <cellStyle name="差_检查情况表 2" xfId="19466"/>
    <cellStyle name="差_检查情况表 2 3" xfId="19467"/>
    <cellStyle name="好_预收款项 5 2 3" xfId="19468"/>
    <cellStyle name="好_专项应付款 5 2 2" xfId="19469"/>
    <cellStyle name="常规 3 4 3 2 3" xfId="19470"/>
    <cellStyle name="常规 176 3 2" xfId="19471"/>
    <cellStyle name="差_检查情况表 3" xfId="19472"/>
    <cellStyle name="好_预收款项 5 2 4" xfId="19473"/>
    <cellStyle name="好_专项应付款 5 2 3" xfId="19474"/>
    <cellStyle name="常规 176 3 3" xfId="19475"/>
    <cellStyle name="差_检查情况表 4" xfId="19476"/>
    <cellStyle name="差_交易性金融资产 2 2" xfId="19477"/>
    <cellStyle name="差_交易性金融资产 3" xfId="19478"/>
    <cellStyle name="差_交易性金融资产 4" xfId="19479"/>
    <cellStyle name="好_40-专项应付款(空白模板) 4 2" xfId="19480"/>
    <cellStyle name="差_交易性金融资产 5" xfId="19481"/>
    <cellStyle name="差_可供出售金融资产" xfId="19482"/>
    <cellStyle name="常规 55" xfId="19483"/>
    <cellStyle name="常规 60" xfId="19484"/>
    <cellStyle name="差_可供出售金融资产 2" xfId="19485"/>
    <cellStyle name="好_49-营业收入（空白模板） 11_明细表 2" xfId="19486"/>
    <cellStyle name="常规 56" xfId="19487"/>
    <cellStyle name="常规 61" xfId="19488"/>
    <cellStyle name="差_可供出售金融资产 3" xfId="19489"/>
    <cellStyle name="差_可供出售金融资产 3 2" xfId="19490"/>
    <cellStyle name="好_49-营业收入（空白模板） 11_明细表 3" xfId="19491"/>
    <cellStyle name="常规 57" xfId="19492"/>
    <cellStyle name="常规 62" xfId="19493"/>
    <cellStyle name="差_可供出售金融资产 4" xfId="19494"/>
    <cellStyle name="好_资产负债标准底稿 14 2 3" xfId="19495"/>
    <cellStyle name="差_库存商品明细表" xfId="19496"/>
    <cellStyle name="差_库存商品明细表 2" xfId="19497"/>
    <cellStyle name="差_列示关联方" xfId="19498"/>
    <cellStyle name="好_价值评估 6" xfId="19499"/>
    <cellStyle name="常规 2 3 2 2 13" xfId="19500"/>
    <cellStyle name="差_鲁亚2011.12全年年报资料汇总" xfId="19501"/>
    <cellStyle name="差_明细表" xfId="19502"/>
    <cellStyle name="好_54-财务费用（空白模板） 5 4" xfId="19503"/>
    <cellStyle name="差_明细表 2" xfId="19504"/>
    <cellStyle name="好_无形资产 27" xfId="19505"/>
    <cellStyle name="好_无形资产 32" xfId="19506"/>
    <cellStyle name="差_明细表 2 3" xfId="19507"/>
    <cellStyle name="好_无形资产 28" xfId="19508"/>
    <cellStyle name="好_无形资产 33" xfId="19509"/>
    <cellStyle name="差_明细表 2 4" xfId="19510"/>
    <cellStyle name="好_无形资产 29" xfId="19511"/>
    <cellStyle name="好_无形资产 34" xfId="19512"/>
    <cellStyle name="差_明细表 2 5" xfId="19513"/>
    <cellStyle name="常规 3 9 2" xfId="19514"/>
    <cellStyle name="差_明细表 5" xfId="19515"/>
    <cellStyle name="差_明细表_1" xfId="19516"/>
    <cellStyle name="差_明细表_附注表一（财务报表）" xfId="19517"/>
    <cellStyle name="差_明细表_明细表" xfId="19518"/>
    <cellStyle name="差_明细表_明细表 2" xfId="19519"/>
    <cellStyle name="常规 2 3 13 2" xfId="19520"/>
    <cellStyle name="差_明细表_明细表 3" xfId="19521"/>
    <cellStyle name="好_营业收入 11 2 2" xfId="19522"/>
    <cellStyle name="差_明细表_明细表 4" xfId="19523"/>
    <cellStyle name="差_明细表_应收账款期末审定表" xfId="19524"/>
    <cellStyle name="差_明细表_应收账款期末审定表 2" xfId="19525"/>
    <cellStyle name="差_明细表_应收账款期末审定表 2 2" xfId="19526"/>
    <cellStyle name="差_明细表_应收账款期末审定表 2 3" xfId="19527"/>
    <cellStyle name="差_明细表_应收账款期末审定表 2 4" xfId="19528"/>
    <cellStyle name="差_明细表_应收账款期末审定表 2 5" xfId="19529"/>
    <cellStyle name="好__dxn_temp空白表页 3_明细表 3" xfId="19530"/>
    <cellStyle name="差_明细表_应收账款期末审定表 4" xfId="19531"/>
    <cellStyle name="好__dxn_temp空白表页 3_明细表 4" xfId="19532"/>
    <cellStyle name="差_明细表_应收账款期末审定表 5" xfId="19533"/>
    <cellStyle name="差_模板" xfId="19534"/>
    <cellStyle name="差_模板 2 2" xfId="19535"/>
    <cellStyle name="好_40-专项应付款(空白模板) 4 4" xfId="19536"/>
    <cellStyle name="差_模板 2 2 2" xfId="19537"/>
    <cellStyle name="好_40-专项应付款(空白模板) 4 5" xfId="19538"/>
    <cellStyle name="差_模板 2 2 3" xfId="19539"/>
    <cellStyle name="差_模板 3 2" xfId="19540"/>
    <cellStyle name="好_银行函证结果汇总表_明细表 2 5" xfId="19541"/>
    <cellStyle name="差_模板 4 2" xfId="19542"/>
    <cellStyle name="差_模板 5 3" xfId="19543"/>
    <cellStyle name="差_其他业务利润检查表" xfId="19544"/>
    <cellStyle name="差_其他业务利润审定表" xfId="19545"/>
    <cellStyle name="好_31-预收账款（空白模板） 13 2 5" xfId="19546"/>
    <cellStyle name="好_财务费用_应收账款 2" xfId="19547"/>
    <cellStyle name="好_19-无形资产（空白模板） 17 3" xfId="19548"/>
    <cellStyle name="差_其他应付款" xfId="19549"/>
    <cellStyle name="常规 11 3 2 3 7" xfId="19550"/>
    <cellStyle name="差_其他应付款 2" xfId="19551"/>
    <cellStyle name="差_其他应付款 2 2" xfId="19552"/>
    <cellStyle name="好_54-财务费用（空白模板） 7" xfId="19553"/>
    <cellStyle name="差_其他应付款 2 2 2" xfId="19554"/>
    <cellStyle name="好_55-资产减值损失（空白模板） 3_明细表 3" xfId="19555"/>
    <cellStyle name="差_其他应付款 2 5" xfId="19556"/>
    <cellStyle name="差_其他应付款 3" xfId="19557"/>
    <cellStyle name="差_其他应付款 3 2" xfId="19558"/>
    <cellStyle name="差_其他应付款 3 3" xfId="19559"/>
    <cellStyle name="差_其他应付款 4 4" xfId="19560"/>
    <cellStyle name="差_其他应付款 5" xfId="19561"/>
    <cellStyle name="差_其他应付款 6" xfId="19562"/>
    <cellStyle name="差_其他应付款_明细表" xfId="19563"/>
    <cellStyle name="好_51-营业税金及附加（空白模板） 6_明细表" xfId="19564"/>
    <cellStyle name="好_预收款项 11 2 3" xfId="19565"/>
    <cellStyle name="差_其他应付款_明细表 2" xfId="19566"/>
    <cellStyle name="好_预收款项 11 2 4" xfId="19567"/>
    <cellStyle name="差_其他应付款_明细表 3" xfId="19568"/>
    <cellStyle name="好_审计分组-1218定稿_明细表" xfId="19569"/>
    <cellStyle name="好_49-营业收入（空白模板） 5 3" xfId="19570"/>
    <cellStyle name="差_其他应付款—YH" xfId="19571"/>
    <cellStyle name="好_49-营业收入（空白模板） 5 3 2" xfId="19572"/>
    <cellStyle name="千位分隔 10 3" xfId="19573"/>
    <cellStyle name="差_其他应付款—YH 2" xfId="19574"/>
    <cellStyle name="好_专项应付款 12 2 5" xfId="19575"/>
    <cellStyle name="千位分隔 10 3 2" xfId="19576"/>
    <cellStyle name="差_其他应付款—YH 2 2" xfId="19577"/>
    <cellStyle name="好_19-无形资产（空白模板） 13_明细表" xfId="19578"/>
    <cellStyle name="千位分隔 10 4" xfId="19579"/>
    <cellStyle name="差_其他应付款—YH 3" xfId="19580"/>
    <cellStyle name="好_19-无形资产（空白模板） 13_明细表 2" xfId="19581"/>
    <cellStyle name="千位分隔 10 4 2" xfId="19582"/>
    <cellStyle name="差_其他应付款—YH 3 2" xfId="19583"/>
    <cellStyle name="好_4-应收账款（空白模板） 11_明细表" xfId="19584"/>
    <cellStyle name="常规 39 2 2" xfId="19585"/>
    <cellStyle name="千位分隔 10 5" xfId="19586"/>
    <cellStyle name="差_其他应付款—YH 4" xfId="19587"/>
    <cellStyle name="常规 39 2 3" xfId="19588"/>
    <cellStyle name="千位分隔 10 6" xfId="19589"/>
    <cellStyle name="差_其他应付款—YH 5" xfId="19590"/>
    <cellStyle name="差_资产负债类底稿模版 3_明细表 2" xfId="19591"/>
    <cellStyle name="差_其他应付款明细表-刘师傅" xfId="19592"/>
    <cellStyle name="差_其他应付款明细表刘晓薇" xfId="19593"/>
    <cellStyle name="差_其他应付款替代程序模板" xfId="19594"/>
    <cellStyle name="好_报表层次重要性水平_明细表 4" xfId="19595"/>
    <cellStyle name="差_其他应收款 2" xfId="19596"/>
    <cellStyle name="差_其他应收款 2 2" xfId="19597"/>
    <cellStyle name="好_51-营业税金及附加（空白模板） 14_明细表 4" xfId="19598"/>
    <cellStyle name="差_其他应收款 2 2 2" xfId="19599"/>
    <cellStyle name="好_31-预收账款（空白模板） 12 2 2" xfId="19600"/>
    <cellStyle name="差_其他应收款 2 3" xfId="19601"/>
    <cellStyle name="好_31-预收账款（空白模板） 12 2 3" xfId="19602"/>
    <cellStyle name="差_其他应收款 2 4" xfId="19603"/>
    <cellStyle name="好_底稿设置宏_大信底稿目录 6 3 2" xfId="19604"/>
    <cellStyle name="好_报表层次重要性水平_明细表 5" xfId="19605"/>
    <cellStyle name="差_其他应收款 3" xfId="19606"/>
    <cellStyle name="好_资产负债标准底稿 6_明细表 4" xfId="19607"/>
    <cellStyle name="常规 2 4 3 2 3" xfId="19608"/>
    <cellStyle name="差_其他应收款 3 2" xfId="19609"/>
    <cellStyle name="差_其他应收款 3 2 2" xfId="19610"/>
    <cellStyle name="好_1专项应付款_附注表一（财务报表）" xfId="19611"/>
    <cellStyle name="好_资产负债标准底稿 6_明细表 5" xfId="19612"/>
    <cellStyle name="常规 2 4 3 2 4" xfId="19613"/>
    <cellStyle name="差_其他应收款 3 3" xfId="19614"/>
    <cellStyle name="差_其他应收款 4" xfId="19615"/>
    <cellStyle name="好_1营业收入 27" xfId="19616"/>
    <cellStyle name="好_1营业收入 32" xfId="19617"/>
    <cellStyle name="差_其他应收款 4 3" xfId="19618"/>
    <cellStyle name="好_1营业收入 28" xfId="19619"/>
    <cellStyle name="好_1营业收入 33" xfId="19620"/>
    <cellStyle name="差_其他应收款 4 4" xfId="19621"/>
    <cellStyle name="差_其他应收款 5" xfId="19622"/>
    <cellStyle name="差_其他应收款 6" xfId="19623"/>
    <cellStyle name="差_其他应收款_附注表一（财务报表）" xfId="19624"/>
    <cellStyle name="好_G-应收账款 3 3" xfId="19625"/>
    <cellStyle name="差_其他应收款_明细表" xfId="19626"/>
    <cellStyle name="好_大信底稿目录 11 2 3" xfId="19627"/>
    <cellStyle name="好_G-应收账款 3 3 2" xfId="19628"/>
    <cellStyle name="差_其他应收款_明细表 2" xfId="19629"/>
    <cellStyle name="好_大信底稿目录 11 2 5" xfId="19630"/>
    <cellStyle name="差_其他应收款_明细表 4" xfId="19631"/>
    <cellStyle name="差_其他应收款_明细表 5" xfId="19632"/>
    <cellStyle name="差_其他应收款检查表" xfId="19633"/>
    <cellStyle name="差_其他应收款审定表" xfId="19634"/>
    <cellStyle name="检查单元格 2 2 7" xfId="19635"/>
    <cellStyle name="差_企业需填明细表(中瑞岳华）" xfId="19636"/>
    <cellStyle name="差_山东办2011年1-6月发生但未付费用(1)" xfId="19637"/>
    <cellStyle name="好_1专项应付款 3 3" xfId="19638"/>
    <cellStyle name="差_山东办2011年1-6月发生但未付费用(1) 2" xfId="19639"/>
    <cellStyle name="好_1专项应付款 3 5" xfId="19640"/>
    <cellStyle name="差_山东办2011年1-6月发生但未付费用(1) 4" xfId="19641"/>
    <cellStyle name="差_山东办2011年1-6月发生但未付费用(1) 5" xfId="19642"/>
    <cellStyle name="常规 9 3 5 3 4" xfId="19643"/>
    <cellStyle name="差_审定表" xfId="19644"/>
    <cellStyle name="差_审定表 2 3" xfId="19645"/>
    <cellStyle name="差_审定表 2 4" xfId="19646"/>
    <cellStyle name="差_审定表 2 5" xfId="19647"/>
    <cellStyle name="好_40-专项应付款(空白模板)_明细表 2 4" xfId="19648"/>
    <cellStyle name="好_资产负债类底稿模版 6 6" xfId="19649"/>
    <cellStyle name="差_审定表_附注表一（财务报表）" xfId="19650"/>
    <cellStyle name="差_审定表_明细表 2" xfId="19651"/>
    <cellStyle name="差_审计分组-1218定稿" xfId="19652"/>
    <cellStyle name="差_审计分组-1218定稿 2 3" xfId="19653"/>
    <cellStyle name="好_实收资本(股本) 5 2" xfId="19654"/>
    <cellStyle name="差_审计分组-1218定稿 2 4" xfId="19655"/>
    <cellStyle name="好_实收资本(股本) 5 3" xfId="19656"/>
    <cellStyle name="好_1资产减值损失 7 2 2" xfId="19657"/>
    <cellStyle name="差_审计分组-1218定稿 2 5" xfId="19658"/>
    <cellStyle name="差_审计分组-1218定稿 3" xfId="19659"/>
    <cellStyle name="好_财务费用 2 2 3" xfId="19660"/>
    <cellStyle name="好_55-资产减值损失（空白模板） 17 2 4" xfId="19661"/>
    <cellStyle name="差_审计分组-1218定稿_附注表一（财务报表）" xfId="19662"/>
    <cellStyle name="差_审计分组-1218定稿_明细表" xfId="19663"/>
    <cellStyle name="差_审计分组-1218定稿_明细表 2" xfId="19664"/>
    <cellStyle name="好_40-专项应付款(空白模板) 4 2 3" xfId="19665"/>
    <cellStyle name="好_54-财务费用（空白模板） 16 2 5" xfId="19666"/>
    <cellStyle name="差_实地观察模板" xfId="19667"/>
    <cellStyle name="差_实地观察模板 2 3" xfId="19668"/>
    <cellStyle name="差_实收资本(股本) 2 2" xfId="19669"/>
    <cellStyle name="差_实收资本(股本) 2 3" xfId="19670"/>
    <cellStyle name="差_实收资本(股本) 3 2" xfId="19671"/>
    <cellStyle name="差_实收资本(股本) 3 3" xfId="19672"/>
    <cellStyle name="差_首阳山实质性测试底稿-资产类" xfId="19673"/>
    <cellStyle name="好_30-应付账款（空白模板） 17 3" xfId="19674"/>
    <cellStyle name="差_所得税费用" xfId="19675"/>
    <cellStyle name="差_所得税费用 6" xfId="19676"/>
    <cellStyle name="差_所得税费用 6 2" xfId="19677"/>
    <cellStyle name="常规 4 16_附注表一（财务报表）" xfId="19678"/>
    <cellStyle name="常规 4 21_附注表一（财务报表）" xfId="19679"/>
    <cellStyle name="差_所得税费用 7" xfId="19680"/>
    <cellStyle name="差_所得税费用 7 2" xfId="19681"/>
    <cellStyle name="差_所得税费用 8" xfId="19682"/>
    <cellStyle name="差_所得税费用 9" xfId="19683"/>
    <cellStyle name="差_所得税费用 9 2" xfId="19684"/>
    <cellStyle name="常规 9 4 6 2 3" xfId="19685"/>
    <cellStyle name="差_投资收益 2" xfId="19686"/>
    <cellStyle name="好_1资产减值损失 2_明细表 4" xfId="19687"/>
    <cellStyle name="差_专项应付款 6_明细表 4" xfId="19688"/>
    <cellStyle name="差_往来款项函证结果汇总表" xfId="19689"/>
    <cellStyle name="差_往来款项函证结果汇总表 2" xfId="19690"/>
    <cellStyle name="差_未分配利润 2" xfId="19691"/>
    <cellStyle name="差_未分配利润 2 2" xfId="19692"/>
    <cellStyle name="常规 3 2 2 3 2 7" xfId="19693"/>
    <cellStyle name="差_未分配利润 2 2 2" xfId="19694"/>
    <cellStyle name="常规 3 2 2 3 2 8" xfId="19695"/>
    <cellStyle name="差_未分配利润 2 2 3" xfId="19696"/>
    <cellStyle name="千位分隔[0] 6 2" xfId="19697"/>
    <cellStyle name="差_未分配利润 2 3" xfId="19698"/>
    <cellStyle name="好_银行函证结果汇总表 4 2" xfId="19699"/>
    <cellStyle name="千位分隔[0] 6 3" xfId="19700"/>
    <cellStyle name="差_未分配利润 2 4" xfId="19701"/>
    <cellStyle name="差_未分配利润 3" xfId="19702"/>
    <cellStyle name="好_30-应付账款（空白模板） 10_明细表" xfId="19703"/>
    <cellStyle name="差_未分配利润 3 2" xfId="19704"/>
    <cellStyle name="好_30-应付账款（空白模板） 10_明细表 2" xfId="19705"/>
    <cellStyle name="常规 3 2 2 2 2 7" xfId="19706"/>
    <cellStyle name="好_银行函证结果汇总表 3 2" xfId="19707"/>
    <cellStyle name="差_未分配利润 5" xfId="19708"/>
    <cellStyle name="差_未审报表 2 2" xfId="19709"/>
    <cellStyle name="超链接 2 4_附注表一（财务报表）" xfId="19710"/>
    <cellStyle name="差_未审报表 2 3" xfId="19711"/>
    <cellStyle name="差_无形资产" xfId="19712"/>
    <cellStyle name="千位分隔 2 2 2 5 2" xfId="19713"/>
    <cellStyle name="好_15-固定资产（空白模板） 12 2 4" xfId="19714"/>
    <cellStyle name="差_无形资产 10 2 2" xfId="19715"/>
    <cellStyle name="千位分隔 2 2 2 5 3" xfId="19716"/>
    <cellStyle name="好_15-固定资产（空白模板） 12 2 5" xfId="19717"/>
    <cellStyle name="差_无形资产 10 2 3" xfId="19718"/>
    <cellStyle name="差_无形资产 10 2 4" xfId="19719"/>
    <cellStyle name="差_无形资产 10 2 5" xfId="19720"/>
    <cellStyle name="差_无形资产 10 4" xfId="19721"/>
    <cellStyle name="差_无形资产 10_附注表一（财务报表）" xfId="19722"/>
    <cellStyle name="常规 2 12 2 4" xfId="19723"/>
    <cellStyle name="差_无形资产 10_明细表 2" xfId="19724"/>
    <cellStyle name="差_无形资产 10_明细表 3" xfId="19725"/>
    <cellStyle name="差_无形资产 10_明细表 4" xfId="19726"/>
    <cellStyle name="超链接 2 15 2 2" xfId="19727"/>
    <cellStyle name="差_无形资产 11" xfId="19728"/>
    <cellStyle name="千位分隔 2 2 3 5 2" xfId="19729"/>
    <cellStyle name="好_15-固定资产（空白模板） 13 2 4" xfId="19730"/>
    <cellStyle name="差_无形资产 11 2 2" xfId="19731"/>
    <cellStyle name="好_15-固定资产（空白模板） 13 2 5" xfId="19732"/>
    <cellStyle name="差_无形资产 11 2 3" xfId="19733"/>
    <cellStyle name="差_无形资产 11 2 4" xfId="19734"/>
    <cellStyle name="好_G-应收账款_明细表 2 4" xfId="19735"/>
    <cellStyle name="好_4-应收账款（空白模板） 8_明细表 5" xfId="19736"/>
    <cellStyle name="差_无形资产 11 3" xfId="19737"/>
    <cellStyle name="差_无形资产 11_明细表" xfId="19738"/>
    <cellStyle name="好_32-应付职工薪酬(空白模板) 26" xfId="19739"/>
    <cellStyle name="好_32-应付职工薪酬(空白模板) 31" xfId="19740"/>
    <cellStyle name="好 2 2 3 5" xfId="19741"/>
    <cellStyle name="差_无形资产 11_明细表 2" xfId="19742"/>
    <cellStyle name="好_32-应付职工薪酬(空白模板) 27" xfId="19743"/>
    <cellStyle name="好_32-应付职工薪酬(空白模板) 32" xfId="19744"/>
    <cellStyle name="差_无形资产 11_明细表 3" xfId="19745"/>
    <cellStyle name="好_应收账款 3 2" xfId="19746"/>
    <cellStyle name="好_32-应付职工薪酬(空白模板) 28" xfId="19747"/>
    <cellStyle name="好_32-应付职工薪酬(空白模板) 33" xfId="19748"/>
    <cellStyle name="差_无形资产 11_明细表 4" xfId="19749"/>
    <cellStyle name="好_应收账款 3 3" xfId="19750"/>
    <cellStyle name="好_32-应付职工薪酬(空白模板) 29" xfId="19751"/>
    <cellStyle name="差_无形资产 11_明细表 5" xfId="19752"/>
    <cellStyle name="超链接 2 15 2 3" xfId="19753"/>
    <cellStyle name="差_无形资产 12" xfId="19754"/>
    <cellStyle name="差_无形资产 12 2 2" xfId="19755"/>
    <cellStyle name="差_无形资产 12 2 3" xfId="19756"/>
    <cellStyle name="差_无形资产 12 2 4" xfId="19757"/>
    <cellStyle name="差_无形资产 12 2 5" xfId="19758"/>
    <cellStyle name="千位分隔 2 2 4 6" xfId="19759"/>
    <cellStyle name="好_银行函证结果汇总表 7 2 2" xfId="19760"/>
    <cellStyle name="好_递延所得税负债 - 复制 2 4" xfId="19761"/>
    <cellStyle name="差_无形资产 12 3" xfId="19762"/>
    <cellStyle name="差_无形资产 12_附注表一（财务报表）" xfId="19763"/>
    <cellStyle name="好_49-营业收入（空白模板） 2_明细表" xfId="19764"/>
    <cellStyle name="常规 6 3_Spreadsheet" xfId="19765"/>
    <cellStyle name="差_无形资产 12_明细表" xfId="19766"/>
    <cellStyle name="差_无形资产 12_明细表 2" xfId="19767"/>
    <cellStyle name="好_G-应收账款 4" xfId="19768"/>
    <cellStyle name="差_无形资产 12_明细表 3" xfId="19769"/>
    <cellStyle name="好_G-应收账款 5" xfId="19770"/>
    <cellStyle name="差_无形资产 12_明细表 4" xfId="19771"/>
    <cellStyle name="好_G-应收账款 6" xfId="19772"/>
    <cellStyle name="好_应交税费—TZ" xfId="19773"/>
    <cellStyle name="差_无形资产 12_明细表 5" xfId="19774"/>
    <cellStyle name="好_G-应收账款 7" xfId="19775"/>
    <cellStyle name="超链接 2 15 2 4" xfId="19776"/>
    <cellStyle name="差_无形资产 13" xfId="19777"/>
    <cellStyle name="差_无形资产 13 2 2" xfId="19778"/>
    <cellStyle name="差_无形资产 13 2 3" xfId="19779"/>
    <cellStyle name="常规 4 2 10 2" xfId="19780"/>
    <cellStyle name="差_无形资产 13 2 5" xfId="19781"/>
    <cellStyle name="差_无形资产 13 3" xfId="19782"/>
    <cellStyle name="差_无形资产 13_明细表" xfId="19783"/>
    <cellStyle name="好_无形资产 6 2 6" xfId="19784"/>
    <cellStyle name="差_无形资产 13_明细表 2" xfId="19785"/>
    <cellStyle name="差_无形资产 13_明细表 3" xfId="19786"/>
    <cellStyle name="差_无形资产 13_明细表 4" xfId="19787"/>
    <cellStyle name="差_无形资产 13_明细表 5" xfId="19788"/>
    <cellStyle name="超链接 2 15 2 5" xfId="19789"/>
    <cellStyle name="差_无形资产 14" xfId="19790"/>
    <cellStyle name="好_盈余公积审定表" xfId="19791"/>
    <cellStyle name="差_无形资产 14 2 2" xfId="19792"/>
    <cellStyle name="差_无形资产 14 2 4" xfId="19793"/>
    <cellStyle name="差_无形资产 14 2 5" xfId="19794"/>
    <cellStyle name="差_无形资产 14 3" xfId="19795"/>
    <cellStyle name="好_55-资产减值损失（空白模板） 8 2 4" xfId="19796"/>
    <cellStyle name="差_无形资产 14_附注表一（财务报表）" xfId="19797"/>
    <cellStyle name="好_33-应交税费（空白模板） 2 2" xfId="19798"/>
    <cellStyle name="差_无形资产 14_明细表" xfId="19799"/>
    <cellStyle name="好_4-应收账款（空白模板） 2_明细表 4" xfId="19800"/>
    <cellStyle name="好_33-应交税费（空白模板） 2 2 2" xfId="19801"/>
    <cellStyle name="差_无形资产 14_明细表 2" xfId="19802"/>
    <cellStyle name="差_无形资产 15" xfId="19803"/>
    <cellStyle name="差_无形资产 20" xfId="19804"/>
    <cellStyle name="好_递延所得税负债 - 复制 5 3" xfId="19805"/>
    <cellStyle name="差_无形资产 15 2" xfId="19806"/>
    <cellStyle name="差_无形资产 15 2 2" xfId="19807"/>
    <cellStyle name="差_无形资产 15 2 3" xfId="19808"/>
    <cellStyle name="差_无形资产 15 2 4" xfId="19809"/>
    <cellStyle name="好_固定资产 10_明细表" xfId="19810"/>
    <cellStyle name="差_无形资产 15 3" xfId="19811"/>
    <cellStyle name="差_无形资产 15 4" xfId="19812"/>
    <cellStyle name="差_无形资产 15 5" xfId="19813"/>
    <cellStyle name="差_无形资产 15 6" xfId="19814"/>
    <cellStyle name="差_无形资产 16" xfId="19815"/>
    <cellStyle name="差_无形资产 21" xfId="19816"/>
    <cellStyle name="差_无形资产 16 2 3" xfId="19817"/>
    <cellStyle name="差_无形资产 16 2 4" xfId="19818"/>
    <cellStyle name="好_短期借款_明细表_1" xfId="19819"/>
    <cellStyle name="常规 2 5 10" xfId="19820"/>
    <cellStyle name="差_无形资产 16 2 5" xfId="19821"/>
    <cellStyle name="差_无形资产 16 5" xfId="19822"/>
    <cellStyle name="差_无形资产 16 6" xfId="19823"/>
    <cellStyle name="差_无形资产 17" xfId="19824"/>
    <cellStyle name="差_无形资产 22" xfId="19825"/>
    <cellStyle name="差_无形资产 17 4" xfId="19826"/>
    <cellStyle name="差_无形资产 18" xfId="19827"/>
    <cellStyle name="差_无形资产 23" xfId="19828"/>
    <cellStyle name="差_无形资产 19" xfId="19829"/>
    <cellStyle name="差_无形资产 24" xfId="19830"/>
    <cellStyle name="输出 2 9" xfId="19831"/>
    <cellStyle name="差_无形资产 2" xfId="19832"/>
    <cellStyle name="差_无形资产 2 2" xfId="19833"/>
    <cellStyle name="差_无形资产 2 2 2" xfId="19834"/>
    <cellStyle name="差_无形资产 2 3" xfId="19835"/>
    <cellStyle name="常规 2 8 2" xfId="19836"/>
    <cellStyle name="差_无形资产 2 4" xfId="19837"/>
    <cellStyle name="好_4-应收账款（空白模板） 3_明细表" xfId="19838"/>
    <cellStyle name="常规 2 8 3" xfId="19839"/>
    <cellStyle name="差_无形资产 2 5" xfId="19840"/>
    <cellStyle name="常规 2 8 4" xfId="19841"/>
    <cellStyle name="差_无形资产 2 6" xfId="19842"/>
    <cellStyle name="货币 3 2 2" xfId="19843"/>
    <cellStyle name="常规 2 8 5" xfId="19844"/>
    <cellStyle name="差_无形资产 2 7" xfId="19845"/>
    <cellStyle name="差_无形资产 2_明细表 3" xfId="19846"/>
    <cellStyle name="差_无形资产 2_明细表 5" xfId="19847"/>
    <cellStyle name="差_无形资产 25" xfId="19848"/>
    <cellStyle name="差_无形资产 30" xfId="19849"/>
    <cellStyle name="差_无形资产 26" xfId="19850"/>
    <cellStyle name="差_无形资产 31" xfId="19851"/>
    <cellStyle name="差_无形资产 27" xfId="19852"/>
    <cellStyle name="差_无形资产 32" xfId="19853"/>
    <cellStyle name="差_无形资产 28" xfId="19854"/>
    <cellStyle name="差_无形资产 33" xfId="19855"/>
    <cellStyle name="差_无形资产 29" xfId="19856"/>
    <cellStyle name="差_无形资产 34" xfId="19857"/>
    <cellStyle name="差_专项应付款 10_明细表 2" xfId="19858"/>
    <cellStyle name="差_无形资产 3" xfId="19859"/>
    <cellStyle name="差_无形资产 3 2" xfId="19860"/>
    <cellStyle name="差_无形资产 3 2 2" xfId="19861"/>
    <cellStyle name="好_22-长期待摊费用（空白模板） 3 3" xfId="19862"/>
    <cellStyle name="差_无形资产 3 2 6" xfId="19863"/>
    <cellStyle name="好_22-长期待摊费用（空白模板） 3 7" xfId="19864"/>
    <cellStyle name="常规 2 9 3" xfId="19865"/>
    <cellStyle name="差_无形资产 3 5" xfId="19866"/>
    <cellStyle name="差_无形资产 3_附注表一（财务报表）" xfId="19867"/>
    <cellStyle name="常规 9 5 4 2 2 2" xfId="19868"/>
    <cellStyle name="差_无形资产 3_明细表" xfId="19869"/>
    <cellStyle name="好_55-资产减值损失（空白模板） 15 2 5" xfId="19870"/>
    <cellStyle name="常规 6 2 15" xfId="19871"/>
    <cellStyle name="差_无形资产 3_明细表 2" xfId="19872"/>
    <cellStyle name="常规 6 2 16" xfId="19873"/>
    <cellStyle name="差_专项应付款 11 2" xfId="19874"/>
    <cellStyle name="差_无形资产 3_明细表 3" xfId="19875"/>
    <cellStyle name="常规 6 2 17" xfId="19876"/>
    <cellStyle name="差_专项应付款 11 3" xfId="19877"/>
    <cellStyle name="差_无形资产 3_明细表 4" xfId="19878"/>
    <cellStyle name="差_专项应付款 10_明细表 3" xfId="19879"/>
    <cellStyle name="差_无形资产 4" xfId="19880"/>
    <cellStyle name="差_无形资产 4 2" xfId="19881"/>
    <cellStyle name="好_1短期借款_明细表 3" xfId="19882"/>
    <cellStyle name="差_无形资产 4 2 4" xfId="19883"/>
    <cellStyle name="好_1短期借款_明细表 4" xfId="19884"/>
    <cellStyle name="差_无形资产 4 2 5" xfId="19885"/>
    <cellStyle name="好_1短期借款_明细表 5" xfId="19886"/>
    <cellStyle name="差_无形资产 4 2 6" xfId="19887"/>
    <cellStyle name="差_无形资产 4 3" xfId="19888"/>
    <cellStyle name="差_无形资产 5 2 2" xfId="19889"/>
    <cellStyle name="差_无形资产 4 5" xfId="19890"/>
    <cellStyle name="好_1短期借款 10 2 4" xfId="19891"/>
    <cellStyle name="差_无形资产 4_明细表" xfId="19892"/>
    <cellStyle name="好_财务费用 14 2 4" xfId="19893"/>
    <cellStyle name="差_无形资产 4_明细表 2" xfId="19894"/>
    <cellStyle name="好_财务费用 14 2 5" xfId="19895"/>
    <cellStyle name="差_无形资产 4_明细表 3" xfId="19896"/>
    <cellStyle name="差_无形资产 4_明细表 4" xfId="19897"/>
    <cellStyle name="差_无形资产 4_明细表 5" xfId="19898"/>
    <cellStyle name="差_专项应付款 10_明细表 4" xfId="19899"/>
    <cellStyle name="差_无形资产 5" xfId="19900"/>
    <cellStyle name="差_无形资产 5 2" xfId="19901"/>
    <cellStyle name="差_无形资产 5 2 4" xfId="19902"/>
    <cellStyle name="差_无形资产 5 2 5" xfId="19903"/>
    <cellStyle name="差_无形资产 5 3" xfId="19904"/>
    <cellStyle name="差_无形资产 5_附注表一（财务报表）" xfId="19905"/>
    <cellStyle name="好_1短期借款 11 2 4" xfId="19906"/>
    <cellStyle name="好_10存货 2" xfId="19907"/>
    <cellStyle name="差_无形资产 5_明细表" xfId="19908"/>
    <cellStyle name="好_10存货 2 4" xfId="19909"/>
    <cellStyle name="差_无形资产 5_明细表 4" xfId="19910"/>
    <cellStyle name="常规 2 10 6 2" xfId="19911"/>
    <cellStyle name="差_无形资产 5_明细表 5" xfId="19912"/>
    <cellStyle name="差_专项应付款 10_明细表 5" xfId="19913"/>
    <cellStyle name="差_无形资产 6" xfId="19914"/>
    <cellStyle name="差_无形资产 6 2" xfId="19915"/>
    <cellStyle name="差_无形资产 6 2 2" xfId="19916"/>
    <cellStyle name="好_47-盈余公积（空白模板） 3 2" xfId="19917"/>
    <cellStyle name="差_无形资产 6 2 3" xfId="19918"/>
    <cellStyle name="差_无形资产 6 2 4" xfId="19919"/>
    <cellStyle name="差_无形资产 6 2 5" xfId="19920"/>
    <cellStyle name="差_营业收入 3 2" xfId="19921"/>
    <cellStyle name="差_无形资产 6 2 6" xfId="19922"/>
    <cellStyle name="差_无形资产 6 3" xfId="19923"/>
    <cellStyle name="差_无形资产 6_附注表一（财务报表）" xfId="19924"/>
    <cellStyle name="好_1短期借款 12 2 4" xfId="19925"/>
    <cellStyle name="差_无形资产 6_明细表" xfId="19926"/>
    <cellStyle name="常规 4 5 2 2" xfId="19927"/>
    <cellStyle name="差_无形资产 7" xfId="19928"/>
    <cellStyle name="常规 4 5 2 2 2" xfId="19929"/>
    <cellStyle name="差_无形资产 7 2" xfId="19930"/>
    <cellStyle name="差_无形资产 7 2 4" xfId="19931"/>
    <cellStyle name="差_无形资产 7 2 5" xfId="19932"/>
    <cellStyle name="常规 4 5 2 2 3" xfId="19933"/>
    <cellStyle name="差_无形资产 7 3" xfId="19934"/>
    <cellStyle name="差_无形资产 7 4" xfId="19935"/>
    <cellStyle name="差_无形资产 7_附注表一（财务报表）" xfId="19936"/>
    <cellStyle name="好_1预收款项 10 3" xfId="19937"/>
    <cellStyle name="常规 2 3 25 6" xfId="19938"/>
    <cellStyle name="差_无形资产 7_明细表 2" xfId="19939"/>
    <cellStyle name="差_无形资产 7_明细表 4" xfId="19940"/>
    <cellStyle name="好_1应收账款 2 2 2" xfId="19941"/>
    <cellStyle name="差_无形资产 7_明细表 5" xfId="19942"/>
    <cellStyle name="常规 4 5 2 3" xfId="19943"/>
    <cellStyle name="差_无形资产 8" xfId="19944"/>
    <cellStyle name="差_无形资产 8 2 3" xfId="19945"/>
    <cellStyle name="差_无形资产 8 2 4" xfId="19946"/>
    <cellStyle name="差_无形资产 8 2 5" xfId="19947"/>
    <cellStyle name="常规 4 5 2 3 3" xfId="19948"/>
    <cellStyle name="差_无形资产 8 3" xfId="19949"/>
    <cellStyle name="差_无形资产 8 4" xfId="19950"/>
    <cellStyle name="差_无形资产 8_附注表一（财务报表）" xfId="19951"/>
    <cellStyle name="差_无形资产 8_明细表 5" xfId="19952"/>
    <cellStyle name="常规 4 5 2 4" xfId="19953"/>
    <cellStyle name="差_无形资产 9" xfId="19954"/>
    <cellStyle name="差_无形资产 9 2" xfId="19955"/>
    <cellStyle name="差_无形资产 9 2 3" xfId="19956"/>
    <cellStyle name="差_无形资产 9 2 4" xfId="19957"/>
    <cellStyle name="差_无形资产 9 2 5" xfId="19958"/>
    <cellStyle name="差_无形资产 9 3" xfId="19959"/>
    <cellStyle name="差_无形资产 9 4" xfId="19960"/>
    <cellStyle name="差_无形资产 9_附注表一（财务报表）" xfId="19961"/>
    <cellStyle name="好_其他应付款 2 2 2" xfId="19962"/>
    <cellStyle name="差_无形资产 9_明细表 2" xfId="19963"/>
    <cellStyle name="差_无形资产 9_明细表 5" xfId="19964"/>
    <cellStyle name="好__dxn_temp空白表页 14" xfId="19965"/>
    <cellStyle name="差_无形资产_3固定资产" xfId="19966"/>
    <cellStyle name="常规 2 2 2 14_附注表一（财务报表）" xfId="19967"/>
    <cellStyle name="差_无形资产_Book2" xfId="19968"/>
    <cellStyle name="好_51-营业税金及附加（空白模板） 8 2 5" xfId="19969"/>
    <cellStyle name="好_资产负债标准底稿 5_明细表 5" xfId="19970"/>
    <cellStyle name="好_19-无形资产（空白模板） 2 2 6" xfId="19971"/>
    <cellStyle name="常规 9 5 3 5" xfId="19972"/>
    <cellStyle name="常规 2 3 3 2 4" xfId="19973"/>
    <cellStyle name="好_固定资产 3_明细表 3" xfId="19974"/>
    <cellStyle name="好_1预收款项 8_明细表 3" xfId="19975"/>
    <cellStyle name="差_无形资产_Book2 2" xfId="19976"/>
    <cellStyle name="好_存货 - 复制 2 4" xfId="19977"/>
    <cellStyle name="差_无形资产_财务费用" xfId="19978"/>
    <cellStyle name="好_4-应收账款（空白模板） 15_明细表 4" xfId="19979"/>
    <cellStyle name="常规 3 3 9 3 2" xfId="19980"/>
    <cellStyle name="差_无形资产_固定资产" xfId="19981"/>
    <cellStyle name="差_无形资产_固定资产 2" xfId="19982"/>
    <cellStyle name="差_无形资产_货币资金" xfId="19983"/>
    <cellStyle name="差_无形资产_明细表 2 3" xfId="19984"/>
    <cellStyle name="差_无形资产_明细表 2 4" xfId="19985"/>
    <cellStyle name="差_无形资产_明细表 2 5" xfId="19986"/>
    <cellStyle name="差_无形资产_明细表 5" xfId="19987"/>
    <cellStyle name="差_无形资产_明细表 6" xfId="19988"/>
    <cellStyle name="差_无形资产_明细表_1 5" xfId="19989"/>
    <cellStyle name="差_无形资产_应收账款" xfId="19990"/>
    <cellStyle name="差_无形资产累计摊销计算表" xfId="19991"/>
    <cellStyle name="差_现金流量表关联方" xfId="19992"/>
    <cellStyle name="差_现金流量表关联方 2" xfId="19993"/>
    <cellStyle name="差_现金与银行存款ZA" xfId="19994"/>
    <cellStyle name="差_现金与银行存款ZA 2" xfId="19995"/>
    <cellStyle name="差_现金与银行存款ZA 3" xfId="19996"/>
    <cellStyle name="好_1资产减值损失 17 2 2" xfId="19997"/>
    <cellStyle name="差_销售返利变动-ＦＬＸ" xfId="19998"/>
    <cellStyle name="差_销售返利变动-ＦＬＸ 2" xfId="19999"/>
    <cellStyle name="差_销售返利变动-ＦＬＸ 3" xfId="20000"/>
    <cellStyle name="差_销售返利变动-ＦＬＸ 4" xfId="20001"/>
    <cellStyle name="差_销售返利变动-ＦＬＸ 5" xfId="20002"/>
    <cellStyle name="差_销售返利变动-ＦＬＸ 6" xfId="20003"/>
    <cellStyle name="好_应付账款 - 复制" xfId="20004"/>
    <cellStyle name="差_销售费用" xfId="20005"/>
    <cellStyle name="好_应付账款 - 复制 2" xfId="20006"/>
    <cellStyle name="差_销售费用 2" xfId="20007"/>
    <cellStyle name="差_盈余公积" xfId="20008"/>
    <cellStyle name="差_盈余公积 2" xfId="20009"/>
    <cellStyle name="好_营业收入" xfId="20010"/>
    <cellStyle name="差_盈余公积 2 3" xfId="20011"/>
    <cellStyle name="常规 5 2 16 4" xfId="20012"/>
    <cellStyle name="差_盈余公积 3" xfId="20013"/>
    <cellStyle name="差_盈余公积 4" xfId="20014"/>
    <cellStyle name="差_盈余公积 5" xfId="20015"/>
    <cellStyle name="差_营业收入" xfId="20016"/>
    <cellStyle name="差_营业收入 11" xfId="20017"/>
    <cellStyle name="差_营业收入 14" xfId="20018"/>
    <cellStyle name="常规 6 2 3 3" xfId="20019"/>
    <cellStyle name="差_营业收入 16" xfId="20020"/>
    <cellStyle name="差_营业收入 2" xfId="20021"/>
    <cellStyle name="常规 3 9 7" xfId="20022"/>
    <cellStyle name="差_营业收入 2 2" xfId="20023"/>
    <cellStyle name="好_FD 应付账款 2 2 2" xfId="20024"/>
    <cellStyle name="好_54-财务费用（空白模板） 14_明细表 2" xfId="20025"/>
    <cellStyle name="好_1专项应付款 5 2 2" xfId="20026"/>
    <cellStyle name="常规 3 9 8" xfId="20027"/>
    <cellStyle name="差_营业收入 2 3" xfId="20028"/>
    <cellStyle name="好_FD 应付账款 2 2 3" xfId="20029"/>
    <cellStyle name="好_54-财务费用（空白模板） 14_明细表 3" xfId="20030"/>
    <cellStyle name="好_1专项应付款 5 2 3" xfId="20031"/>
    <cellStyle name="常规 3 9 9" xfId="20032"/>
    <cellStyle name="差_营业收入 2 4" xfId="20033"/>
    <cellStyle name="好_54-财务费用（空白模板） 14_明细表 4" xfId="20034"/>
    <cellStyle name="好_1专项应付款 5 2 4" xfId="20035"/>
    <cellStyle name="差_营业收入 2 5" xfId="20036"/>
    <cellStyle name="差_营业收入 3" xfId="20037"/>
    <cellStyle name="差_营业收入 4" xfId="20038"/>
    <cellStyle name="差_营业收入 5" xfId="20039"/>
    <cellStyle name="差_营业收入 6" xfId="20040"/>
    <cellStyle name="差_营业收入 8" xfId="20041"/>
    <cellStyle name="好_银行函证结果汇总表 4 2 2" xfId="20042"/>
    <cellStyle name="差_营业税金及附加" xfId="20043"/>
    <cellStyle name="差_营业税金及附加 2" xfId="20044"/>
    <cellStyle name="差_营业外收入" xfId="20045"/>
    <cellStyle name="差_营业外收入 2" xfId="20046"/>
    <cellStyle name="差_营业外收入 2 2" xfId="20047"/>
    <cellStyle name="差_营业外收入 2 3" xfId="20048"/>
    <cellStyle name="差_营业外收入 3" xfId="20049"/>
    <cellStyle name="差_营业外收入 3 2" xfId="20050"/>
    <cellStyle name="常规 2 3 17_附注表一（财务报表）" xfId="20051"/>
    <cellStyle name="常规 2 3 22_附注表一（财务报表）" xfId="20052"/>
    <cellStyle name="差_营业外收入 4" xfId="20053"/>
    <cellStyle name="差_营业外支出" xfId="20054"/>
    <cellStyle name="常规 4 5 5 3" xfId="20055"/>
    <cellStyle name="差_营业外支出 2" xfId="20056"/>
    <cellStyle name="差_营业外支出 2 2" xfId="20057"/>
    <cellStyle name="常规 2 2 4 10" xfId="20058"/>
    <cellStyle name="差_营业外支出 2 2 2" xfId="20059"/>
    <cellStyle name="差_营业外支出 2 3" xfId="20060"/>
    <cellStyle name="差_营业外支出 3" xfId="20061"/>
    <cellStyle name="好_G-应收账款 7_明细表 4" xfId="20062"/>
    <cellStyle name="差_营业外支出 3 2" xfId="20063"/>
    <cellStyle name="差_营业外支出 4" xfId="20064"/>
    <cellStyle name="差_营业外支出 5" xfId="20065"/>
    <cellStyle name="差_应付账款" xfId="20066"/>
    <cellStyle name="差_应付账款 2 2" xfId="20067"/>
    <cellStyle name="差_应付账款 2 2 2" xfId="20068"/>
    <cellStyle name="差_应付账款 2 3" xfId="20069"/>
    <cellStyle name="差_应付账款 2 4" xfId="20070"/>
    <cellStyle name="差_应付账款 2 5" xfId="20071"/>
    <cellStyle name="超链接 2" xfId="20072"/>
    <cellStyle name="差_应付账款 3 2" xfId="20073"/>
    <cellStyle name="好_51-营业税金及附加（空白模板） 4 2 2" xfId="20074"/>
    <cellStyle name="超链接 3" xfId="20075"/>
    <cellStyle name="差_应付账款 3 3" xfId="20076"/>
    <cellStyle name="常规 3 17 2" xfId="20077"/>
    <cellStyle name="常规 3 22 2" xfId="20078"/>
    <cellStyle name="差_应付账款 4" xfId="20079"/>
    <cellStyle name="常规 3 17 2 2" xfId="20080"/>
    <cellStyle name="常规 3 22 2 2" xfId="20081"/>
    <cellStyle name="差_应付账款 4 2" xfId="20082"/>
    <cellStyle name="常规 3 17 2 3" xfId="20083"/>
    <cellStyle name="常规 3 22 2 3" xfId="20084"/>
    <cellStyle name="好_51-营业税金及附加（空白模板） 4 3 2" xfId="20085"/>
    <cellStyle name="差_应付账款 4 3" xfId="20086"/>
    <cellStyle name="差_应付账款 4 4" xfId="20087"/>
    <cellStyle name="常规 4 9_附注表一（财务报表）" xfId="20088"/>
    <cellStyle name="常规 3 17 2 4" xfId="20089"/>
    <cellStyle name="常规 3 22 2 4" xfId="20090"/>
    <cellStyle name="差_应付账款 5" xfId="20091"/>
    <cellStyle name="差_应付账款 6" xfId="20092"/>
    <cellStyle name="差_应付账款_附注表一（财务报表）" xfId="20093"/>
    <cellStyle name="差_应付账款_明细表" xfId="20094"/>
    <cellStyle name="差_应付账款_明细表 3" xfId="20095"/>
    <cellStyle name="差_应付账款_明细表 4" xfId="20096"/>
    <cellStyle name="差_应付职工薪酬" xfId="20097"/>
    <cellStyle name="好_资产负债类底稿模版_大信底稿目录 5 3" xfId="20098"/>
    <cellStyle name="好_51-营业税金及附加（空白模板） 8_明细表 4" xfId="20099"/>
    <cellStyle name="差_应付职工薪酬 11" xfId="20100"/>
    <cellStyle name="好_资产负债类底稿模版_大信底稿目录 5 4" xfId="20101"/>
    <cellStyle name="好_51-营业税金及附加（空白模板） 8_明细表 5" xfId="20102"/>
    <cellStyle name="差_应付职工薪酬 12" xfId="20103"/>
    <cellStyle name="差_应付职工薪酬 14" xfId="20104"/>
    <cellStyle name="好_底稿设置宏 12 2 3" xfId="20105"/>
    <cellStyle name="差_应付职工薪酬 16" xfId="20106"/>
    <cellStyle name="差_应付职工薪酬 21" xfId="20107"/>
    <cellStyle name="好_底稿设置宏 12 2 4" xfId="20108"/>
    <cellStyle name="差_应付职工薪酬 17" xfId="20109"/>
    <cellStyle name="差_应付职工薪酬 22" xfId="20110"/>
    <cellStyle name="好_底稿设置宏 12 2 5" xfId="20111"/>
    <cellStyle name="差_应付职工薪酬 18" xfId="20112"/>
    <cellStyle name="差_应付职工薪酬 23" xfId="20113"/>
    <cellStyle name="差_应付职工薪酬 2" xfId="20114"/>
    <cellStyle name="差_应付职工薪酬 2 2" xfId="20115"/>
    <cellStyle name="差_应付职工薪酬 2 2 3" xfId="20116"/>
    <cellStyle name="好_Z19-1审定表" xfId="20117"/>
    <cellStyle name="差_应付职工薪酬 2 3" xfId="20118"/>
    <cellStyle name="差_应付职工薪酬 2 4" xfId="20119"/>
    <cellStyle name="好 6 2 2" xfId="20120"/>
    <cellStyle name="差_应付职工薪酬 25" xfId="20121"/>
    <cellStyle name="差_应付职工薪酬 30" xfId="20122"/>
    <cellStyle name="好 6 2 3" xfId="20123"/>
    <cellStyle name="差_应付职工薪酬 26" xfId="20124"/>
    <cellStyle name="差_应付职工薪酬 31" xfId="20125"/>
    <cellStyle name="差_应付职工薪酬 27" xfId="20126"/>
    <cellStyle name="差_应付职工薪酬 32" xfId="20127"/>
    <cellStyle name="差_应付职工薪酬 3" xfId="20128"/>
    <cellStyle name="差_应付职工薪酬 3 2" xfId="20129"/>
    <cellStyle name="注释 5" xfId="20130"/>
    <cellStyle name="差_应付职工薪酬 3 2 2" xfId="20131"/>
    <cellStyle name="注释 6" xfId="20132"/>
    <cellStyle name="差_应付职工薪酬 3 2 3" xfId="20133"/>
    <cellStyle name="差_应付职工薪酬 3 3" xfId="20134"/>
    <cellStyle name="好_1预收款项 4_明细表 2" xfId="20135"/>
    <cellStyle name="差_应付职工薪酬 3 4" xfId="20136"/>
    <cellStyle name="好_50-营业成本（空白模板） 12_附注表一（财务报表）" xfId="20137"/>
    <cellStyle name="差_应付职工薪酬 4" xfId="20138"/>
    <cellStyle name="好_55-资产减值损失（空白模板） 2 3" xfId="20139"/>
    <cellStyle name="差_应付职工薪酬 4 2" xfId="20140"/>
    <cellStyle name="好_55-资产减值损失（空白模板） 2 4" xfId="20141"/>
    <cellStyle name="差_应付职工薪酬 4 3" xfId="20142"/>
    <cellStyle name="差_应付职工薪酬 5" xfId="20143"/>
    <cellStyle name="常规 2 2 2 15 2" xfId="20144"/>
    <cellStyle name="好_营业外收入 2 2 2" xfId="20145"/>
    <cellStyle name="差_应付职工薪酬 6" xfId="20146"/>
    <cellStyle name="常规 2 2 2 15 3" xfId="20147"/>
    <cellStyle name="好_营业外收入 2 2 3" xfId="20148"/>
    <cellStyle name="差_应付职工薪酬 7" xfId="20149"/>
    <cellStyle name="差_应付职工薪酬 8" xfId="20150"/>
    <cellStyle name="好_底稿设置宏 14_附注表一（财务报表）" xfId="20151"/>
    <cellStyle name="常规 2 2 2 15 4" xfId="20152"/>
    <cellStyle name="好_ZA0货币资金审定表  6 2 2" xfId="20153"/>
    <cellStyle name="好_1财务费用 7_明细表 2" xfId="20154"/>
    <cellStyle name="常规 2 2 2 15 5" xfId="20155"/>
    <cellStyle name="差_应付职工薪酬 9" xfId="20156"/>
    <cellStyle name="常规 6 4 4 2" xfId="20157"/>
    <cellStyle name="差_应交税费" xfId="20158"/>
    <cellStyle name="好_4-应收账款（空白模板） 29" xfId="20159"/>
    <cellStyle name="好_4-应收账款（空白模板） 34" xfId="20160"/>
    <cellStyle name="差_应交税费 2" xfId="20161"/>
    <cellStyle name="差_应交税金" xfId="20162"/>
    <cellStyle name="差_应收利息 2" xfId="20163"/>
    <cellStyle name="好_4-应收账款（空白模板） 2 2 2" xfId="20164"/>
    <cellStyle name="差_应收票据" xfId="20165"/>
    <cellStyle name="好_4-应收账款（空白模板） 2 2 2 2" xfId="20166"/>
    <cellStyle name="差_应收票据 2" xfId="20167"/>
    <cellStyle name="差_应收票据 2 2" xfId="20168"/>
    <cellStyle name="差_应收票据 3" xfId="20169"/>
    <cellStyle name="好_ZA0货币资金审定表  10_附注表一（财务报表）" xfId="20170"/>
    <cellStyle name="差_应收票据 3 2" xfId="20171"/>
    <cellStyle name="差_应收票据 4" xfId="20172"/>
    <cellStyle name="好_无形资产 16" xfId="20173"/>
    <cellStyle name="好_无形资产 21" xfId="20174"/>
    <cellStyle name="差_应收账款 10" xfId="20175"/>
    <cellStyle name="好_ZD 应收账款 5 3" xfId="20176"/>
    <cellStyle name="好_1其他应收款_明细表 4" xfId="20177"/>
    <cellStyle name="好_无形资产 17" xfId="20178"/>
    <cellStyle name="好_无形资产 22" xfId="20179"/>
    <cellStyle name="好_1其他应收款_明细表 5" xfId="20180"/>
    <cellStyle name="差_应收账款 11" xfId="20181"/>
    <cellStyle name="差_应收账款 2" xfId="20182"/>
    <cellStyle name="差_应收账款 2 2" xfId="20183"/>
    <cellStyle name="差_应收账款 2 2 2" xfId="20184"/>
    <cellStyle name="差_应收账款 2 2 3" xfId="20185"/>
    <cellStyle name="差_应收账款 2 2 4" xfId="20186"/>
    <cellStyle name="差_应收账款 2 3" xfId="20187"/>
    <cellStyle name="好_递延所得税资产 - 复制 3 2" xfId="20188"/>
    <cellStyle name="差_应收账款 2 4" xfId="20189"/>
    <cellStyle name="好_递延所得税资产 - 复制 3 3" xfId="20190"/>
    <cellStyle name="差_应收账款 2 5" xfId="20191"/>
    <cellStyle name="差_应收账款 2 6" xfId="20192"/>
    <cellStyle name="差_应收账款 2 7" xfId="20193"/>
    <cellStyle name="差_应收账款 3 2 2" xfId="20194"/>
    <cellStyle name="好_递延所得税资产 - 复制 4 3" xfId="20195"/>
    <cellStyle name="差_应收账款 3 5" xfId="20196"/>
    <cellStyle name="差_应收账款 5 2" xfId="20197"/>
    <cellStyle name="差_应收账款 5 3" xfId="20198"/>
    <cellStyle name="差_应收账款_附注表一（财务报表）" xfId="20199"/>
    <cellStyle name="好_40-专项应付款(空白模板) 12_明细表 3" xfId="20200"/>
    <cellStyle name="差_应收账款_明细表 2" xfId="20201"/>
    <cellStyle name="差_应收账款_明细表 2 2" xfId="20202"/>
    <cellStyle name="差_应收账款_明细表 2 3" xfId="20203"/>
    <cellStyle name="差_应收账款_明细表 2 4" xfId="20204"/>
    <cellStyle name="差_应收账款_明细表 2 5" xfId="20205"/>
    <cellStyle name="好_40-专项应付款(空白模板) 12_明细表 4" xfId="20206"/>
    <cellStyle name="差_应收账款_明细表 3" xfId="20207"/>
    <cellStyle name="常规_49-营业收入（空白模板） 2" xfId="20208"/>
    <cellStyle name="好_40-专项应付款(空白模板) 12_明细表 5" xfId="20209"/>
    <cellStyle name="差_应收账款_明细表 4" xfId="20210"/>
    <cellStyle name="差_应收账款_明细表 5" xfId="20211"/>
    <cellStyle name="差_应收账款_明细表 6" xfId="20212"/>
    <cellStyle name="差_应收账款_明细表_1" xfId="20213"/>
    <cellStyle name="差_应收账款_明细表_1 2" xfId="20214"/>
    <cellStyle name="差_应收账款_明细表_1 3" xfId="20215"/>
    <cellStyle name="差_应收账款_明细表_1 4" xfId="20216"/>
    <cellStyle name="差_应收账款_明细表_1 5" xfId="20217"/>
    <cellStyle name="差_应收账款期末审定表 2 2" xfId="20218"/>
    <cellStyle name="常规 2 5 2 4 2 2" xfId="20219"/>
    <cellStyle name="差_应收账款期末审定表 2 3" xfId="20220"/>
    <cellStyle name="常规 2 5 2 4 2 3" xfId="20221"/>
    <cellStyle name="差_应收账款期末审定表 2 4" xfId="20222"/>
    <cellStyle name="差_应收账款期末审定表 3" xfId="20223"/>
    <cellStyle name="差_应收账款期末审定表 4" xfId="20224"/>
    <cellStyle name="差_应收账款期末审定表 5" xfId="20225"/>
    <cellStyle name="差_应收账款期末审定表 6" xfId="20226"/>
    <cellStyle name="好_复件 固定资产 9_明细表 5" xfId="20227"/>
    <cellStyle name="常规 2 3 19_附注表一（财务报表）" xfId="20228"/>
    <cellStyle name="差_预付款替代程序" xfId="20229"/>
    <cellStyle name="好_ZA0货币资金审定表  14_明细表" xfId="20230"/>
    <cellStyle name="差_预付款替代程序 " xfId="20231"/>
    <cellStyle name="好_交易性金融资产 5" xfId="20232"/>
    <cellStyle name="差_预付款项 2 2" xfId="20233"/>
    <cellStyle name="差_预付款项 2 3" xfId="20234"/>
    <cellStyle name="差_预付款项 2 4" xfId="20235"/>
    <cellStyle name="差_预付款项 2 5" xfId="20236"/>
    <cellStyle name="差_预付款项 3" xfId="20237"/>
    <cellStyle name="差_预付款项 3 2" xfId="20238"/>
    <cellStyle name="差_预付款项 4" xfId="20239"/>
    <cellStyle name="差_预付款项_明细表" xfId="20240"/>
    <cellStyle name="差_预付款项_明细表 2" xfId="20241"/>
    <cellStyle name="好_54-财务费用（空白模板）_明细表_1 2" xfId="20242"/>
    <cellStyle name="差_预付款项_明细表 4" xfId="20243"/>
    <cellStyle name="好_54-财务费用（空白模板）_明细表_1 3" xfId="20244"/>
    <cellStyle name="差_预付款项_明细表 5" xfId="20245"/>
    <cellStyle name="差_预收款项" xfId="20246"/>
    <cellStyle name="好_预收款项 10_明细表 2" xfId="20247"/>
    <cellStyle name="常规 4 13 3" xfId="20248"/>
    <cellStyle name="差_预收款项 10" xfId="20249"/>
    <cellStyle name="常规 4 13 3 2" xfId="20250"/>
    <cellStyle name="差_预收款项 10 2" xfId="20251"/>
    <cellStyle name="常规 10 3 3" xfId="20252"/>
    <cellStyle name="差_预收款项 10 2 2" xfId="20253"/>
    <cellStyle name="常规 10 3 5" xfId="20254"/>
    <cellStyle name="差_预收款项 10 2 4" xfId="20255"/>
    <cellStyle name="差_预收款项 10 2 5" xfId="20256"/>
    <cellStyle name="常规 4 13 3 3" xfId="20257"/>
    <cellStyle name="差_预收款项 10 3" xfId="20258"/>
    <cellStyle name="常规 10 2 2 2" xfId="20259"/>
    <cellStyle name="差_预收款项 10_附注表一（财务报表）" xfId="20260"/>
    <cellStyle name="差_预收款项 10_明细表" xfId="20261"/>
    <cellStyle name="好_报表层次重要性水平" xfId="20262"/>
    <cellStyle name="超链接 4 2 6" xfId="20263"/>
    <cellStyle name="差_预收款项 10_明细表 2" xfId="20264"/>
    <cellStyle name="差_预收款项 10_明细表 3" xfId="20265"/>
    <cellStyle name="差_预收款项 10_明细表 5" xfId="20266"/>
    <cellStyle name="好_预收款项 10_明细表 3" xfId="20267"/>
    <cellStyle name="常规 4 13 4" xfId="20268"/>
    <cellStyle name="差_预收款项 11" xfId="20269"/>
    <cellStyle name="差_预收款项 11 2" xfId="20270"/>
    <cellStyle name="常规 11 3 3" xfId="20271"/>
    <cellStyle name="差_预收款项 11 2 2" xfId="20272"/>
    <cellStyle name="常规 11 3 4" xfId="20273"/>
    <cellStyle name="差_预收款项 11 2 3" xfId="20274"/>
    <cellStyle name="差_预收款项 11 2 4" xfId="20275"/>
    <cellStyle name="差_预收款项 11 2 5" xfId="20276"/>
    <cellStyle name="差_预收款项 11 3" xfId="20277"/>
    <cellStyle name="差_预收款项 11_附注表一（财务报表）" xfId="20278"/>
    <cellStyle name="好_底稿设置宏 13_明细表" xfId="20279"/>
    <cellStyle name="差_预收款项 11_明细表 3" xfId="20280"/>
    <cellStyle name="差_预收款项 11_明细表 5" xfId="20281"/>
    <cellStyle name="好_预收款项 10_明细表 4" xfId="20282"/>
    <cellStyle name="常规 4 13 5" xfId="20283"/>
    <cellStyle name="差_预收款项 12" xfId="20284"/>
    <cellStyle name="差_预收款项 12 2" xfId="20285"/>
    <cellStyle name="常规 12 3 3" xfId="20286"/>
    <cellStyle name="好_39-长期应付款（空白模板） 4" xfId="20287"/>
    <cellStyle name="差_预收款项 12 2 2" xfId="20288"/>
    <cellStyle name="差_预收款项 12 2 3" xfId="20289"/>
    <cellStyle name="差_预收款项 12 2 4" xfId="20290"/>
    <cellStyle name="差_预收款项 12 2 5" xfId="20291"/>
    <cellStyle name="差_预收款项 12 3" xfId="20292"/>
    <cellStyle name="差_预收款项 12_明细表 2" xfId="20293"/>
    <cellStyle name="差_预收款项 12_明细表 3" xfId="20294"/>
    <cellStyle name="差_预收款项 12_明细表 5" xfId="20295"/>
    <cellStyle name="好_预收款项 10_明细表 5" xfId="20296"/>
    <cellStyle name="好_54-财务费用（空白模板） 7_明细表 2" xfId="20297"/>
    <cellStyle name="差_预收款项 13" xfId="20298"/>
    <cellStyle name="差_预收款项 13 2" xfId="20299"/>
    <cellStyle name="常规 13 3 3" xfId="20300"/>
    <cellStyle name="差_预收款项 13 2 2" xfId="20301"/>
    <cellStyle name="差_预收款项 13 2 3" xfId="20302"/>
    <cellStyle name="差_预收款项 13 2 4" xfId="20303"/>
    <cellStyle name="差_预收款项 13 3" xfId="20304"/>
    <cellStyle name="常规 2 3 2 2 2 2_附注表一（财务报表）" xfId="20305"/>
    <cellStyle name="差_预收款项 13_明细表" xfId="20306"/>
    <cellStyle name="差_预收款项 13_明细表 4" xfId="20307"/>
    <cellStyle name="差_预收款项 13_明细表 5" xfId="20308"/>
    <cellStyle name="好_54-财务费用（空白模板） 7_明细表 3" xfId="20309"/>
    <cellStyle name="差_预收款项 14" xfId="20310"/>
    <cellStyle name="好_ZA0货币资金审定表  19" xfId="20311"/>
    <cellStyle name="好_ZA0货币资金审定表  24" xfId="20312"/>
    <cellStyle name="差_预收款项 14 2" xfId="20313"/>
    <cellStyle name="好_1资产减值损失_货币资金" xfId="20314"/>
    <cellStyle name="差_预收款项 14 2 2" xfId="20315"/>
    <cellStyle name="差_预收款项 14 2 3" xfId="20316"/>
    <cellStyle name="好_49-营业收入（空白模板） 10_附注表一（财务报表）" xfId="20317"/>
    <cellStyle name="差_预收款项 14 2 4" xfId="20318"/>
    <cellStyle name="差_预收款项 14 2 5" xfId="20319"/>
    <cellStyle name="差_预收款项 14 3" xfId="20320"/>
    <cellStyle name="好_ZH其他应收款 2 2" xfId="20321"/>
    <cellStyle name="好_ZA0货币资金审定表  25" xfId="20322"/>
    <cellStyle name="好_ZA0货币资金审定表  30" xfId="20323"/>
    <cellStyle name="差_预收款项 14_明细表" xfId="20324"/>
    <cellStyle name="差_预收款项 14_明细表 2" xfId="20325"/>
    <cellStyle name="常规 3 2 15 2" xfId="20326"/>
    <cellStyle name="常规 3 2 20 2" xfId="20327"/>
    <cellStyle name="差_预收款项 14_明细表 3" xfId="20328"/>
    <cellStyle name="常规 3 2 15 3" xfId="20329"/>
    <cellStyle name="常规 3 2 20 3" xfId="20330"/>
    <cellStyle name="差_预收款项 14_明细表 4" xfId="20331"/>
    <cellStyle name="差_预收款项 14_明细表 5" xfId="20332"/>
    <cellStyle name="好_54-财务费用（空白模板） 7_明细表 4" xfId="20333"/>
    <cellStyle name="差_预收款项 15" xfId="20334"/>
    <cellStyle name="差_预收款项 20" xfId="20335"/>
    <cellStyle name="差_预收款项 15 2" xfId="20336"/>
    <cellStyle name="差_预收款项 15 3" xfId="20337"/>
    <cellStyle name="好_ZH其他应收款 3 2" xfId="20338"/>
    <cellStyle name="差_预收款项 15 4" xfId="20339"/>
    <cellStyle name="好_ZH其他应收款 3 3" xfId="20340"/>
    <cellStyle name="常规 3 2 25_附注表一（财务报表）" xfId="20341"/>
    <cellStyle name="差_预收款项 15 5" xfId="20342"/>
    <cellStyle name="好_54-财务费用（空白模板） 2 2 2 2" xfId="20343"/>
    <cellStyle name="差_预收款项 15 6" xfId="20344"/>
    <cellStyle name="差_预收款项 16 2" xfId="20345"/>
    <cellStyle name="差_预收款项 16 2 5" xfId="20346"/>
    <cellStyle name="差_预收款项 16 3" xfId="20347"/>
    <cellStyle name="好_ZH其他应收款 4 2" xfId="20348"/>
    <cellStyle name="差_预收款项 16 4" xfId="20349"/>
    <cellStyle name="好_ZH其他应收款 4 3" xfId="20350"/>
    <cellStyle name="差_预收款项 16 5" xfId="20351"/>
    <cellStyle name="差_预收款项 17 2" xfId="20352"/>
    <cellStyle name="差_预收款项 17 3" xfId="20353"/>
    <cellStyle name="好_ZH其他应收款 5 2" xfId="20354"/>
    <cellStyle name="差_预收款项 17 4" xfId="20355"/>
    <cellStyle name="好_ZH其他应收款 5 3" xfId="20356"/>
    <cellStyle name="好_1预收款项 10" xfId="20357"/>
    <cellStyle name="差_预收款项 17 5" xfId="20358"/>
    <cellStyle name="好_短期借款 4_明细表 4" xfId="20359"/>
    <cellStyle name="差_预收款项 2" xfId="20360"/>
    <cellStyle name="好_1其他应收款 4 3" xfId="20361"/>
    <cellStyle name="差_预收款项 2 2" xfId="20362"/>
    <cellStyle name="差_预收款项 2 2 3" xfId="20363"/>
    <cellStyle name="差_预收款项 2 2 4" xfId="20364"/>
    <cellStyle name="好_31-预收账款（空白模板） 2 2" xfId="20365"/>
    <cellStyle name="差_预收款项 2 2 5" xfId="20366"/>
    <cellStyle name="差_预收款项 2 3" xfId="20367"/>
    <cellStyle name="差_预收款项 2 4" xfId="20368"/>
    <cellStyle name="差_预收款项 2 5" xfId="20369"/>
    <cellStyle name="差_预收款项 2 6" xfId="20370"/>
    <cellStyle name="差_预收款项 2_明细表 4" xfId="20371"/>
    <cellStyle name="差_预收款项 2_明细表 5" xfId="20372"/>
    <cellStyle name="差_预收款项 25" xfId="20373"/>
    <cellStyle name="差_预收款项 30" xfId="20374"/>
    <cellStyle name="差_预收款项 26" xfId="20375"/>
    <cellStyle name="差_预收款项 31" xfId="20376"/>
    <cellStyle name="差_预收款项 27" xfId="20377"/>
    <cellStyle name="差_预收款项 32" xfId="20378"/>
    <cellStyle name="常规 2 2 7 2 2 2" xfId="20379"/>
    <cellStyle name="差_预收款项 3 2 2" xfId="20380"/>
    <cellStyle name="常规 2 2 7 2 2 3" xfId="20381"/>
    <cellStyle name="差_预收款项 3 2 3" xfId="20382"/>
    <cellStyle name="差_预收款项 3 2 4" xfId="20383"/>
    <cellStyle name="差_预收款项 3 2 5" xfId="20384"/>
    <cellStyle name="常规 2 2 7 2 3" xfId="20385"/>
    <cellStyle name="差_预收款项 3 3" xfId="20386"/>
    <cellStyle name="常规 2 2 7 2 4" xfId="20387"/>
    <cellStyle name="差_预收款项 3 4" xfId="20388"/>
    <cellStyle name="常规 2 2 7 2 5" xfId="20389"/>
    <cellStyle name="差_预收款项 3 5" xfId="20390"/>
    <cellStyle name="好_31-预收账款（空白模板） 15 2 5" xfId="20391"/>
    <cellStyle name="差_预收款项 3_明细表" xfId="20392"/>
    <cellStyle name="差_预收款项 3_明细表 2" xfId="20393"/>
    <cellStyle name="差_预收款项 3_明细表 4" xfId="20394"/>
    <cellStyle name="差_预收款项 3_明细表 5" xfId="20395"/>
    <cellStyle name="常规 2 2 7 3" xfId="20396"/>
    <cellStyle name="差_预收款项 4" xfId="20397"/>
    <cellStyle name="常规 2 2 7 3 2" xfId="20398"/>
    <cellStyle name="差_预收款项 4 2" xfId="20399"/>
    <cellStyle name="差_预收款项 4 2 2" xfId="20400"/>
    <cellStyle name="常规 2 2 7 3 3" xfId="20401"/>
    <cellStyle name="差_预收款项 4 3" xfId="20402"/>
    <cellStyle name="差_预收款项 4 4" xfId="20403"/>
    <cellStyle name="好_31-预收账款（空白模板） 16 2 5" xfId="20404"/>
    <cellStyle name="差_预收款项 4_明细表" xfId="20405"/>
    <cellStyle name="差_预收款项 4_明细表 2" xfId="20406"/>
    <cellStyle name="常规 4 12 3 2" xfId="20407"/>
    <cellStyle name="差_预收款项 4_明细表 3" xfId="20408"/>
    <cellStyle name="常规 4 12 3 3" xfId="20409"/>
    <cellStyle name="差_预收款项 4_明细表 4" xfId="20410"/>
    <cellStyle name="差_预收款项 4_明细表 5" xfId="20411"/>
    <cellStyle name="常规 2 2 7 4" xfId="20412"/>
    <cellStyle name="差_预收款项 5" xfId="20413"/>
    <cellStyle name="好_1预收款项 3" xfId="20414"/>
    <cellStyle name="常规 2 2 7 4 2" xfId="20415"/>
    <cellStyle name="差_预收款项 5 2" xfId="20416"/>
    <cellStyle name="好_1预收款项 3 2" xfId="20417"/>
    <cellStyle name="差_预收款项 5 2 2" xfId="20418"/>
    <cellStyle name="好_1预收款项 4" xfId="20419"/>
    <cellStyle name="常规 2 2 7 4 3" xfId="20420"/>
    <cellStyle name="差_预收款项 5 3" xfId="20421"/>
    <cellStyle name="好_1预收款项 5" xfId="20422"/>
    <cellStyle name="差_预收款项 5 4" xfId="20423"/>
    <cellStyle name="差_预收款项 5_附注表一（财务报表）" xfId="20424"/>
    <cellStyle name="好_31-预收账款（空白模板） 17 2 5" xfId="20425"/>
    <cellStyle name="差_预收款项 5_明细表" xfId="20426"/>
    <cellStyle name="差_预收款项 5_明细表 2" xfId="20427"/>
    <cellStyle name="好_底稿设置宏 3_明细表" xfId="20428"/>
    <cellStyle name="差_预收款项 5_明细表 3" xfId="20429"/>
    <cellStyle name="差_预收款项 5_明细表 5" xfId="20430"/>
    <cellStyle name="常规 2 2 7 5" xfId="20431"/>
    <cellStyle name="差_预收款项 6" xfId="20432"/>
    <cellStyle name="差_预收款项 6 2 4" xfId="20433"/>
    <cellStyle name="差_预收款项 6_附注表一（财务报表）" xfId="20434"/>
    <cellStyle name="差_预收款项 6_明细表 2" xfId="20435"/>
    <cellStyle name="差_预收款项 6_明细表 3" xfId="20436"/>
    <cellStyle name="差_预收款项 6_明细表 4" xfId="20437"/>
    <cellStyle name="差_预收款项 6_明细表 5" xfId="20438"/>
    <cellStyle name="常规 2 2 7 6" xfId="20439"/>
    <cellStyle name="差_预收款项 7" xfId="20440"/>
    <cellStyle name="差_预收款项 7 2 4" xfId="20441"/>
    <cellStyle name="差_预收款项 7 2 5" xfId="20442"/>
    <cellStyle name="差_预收款项 7_附注表一（财务报表）" xfId="20443"/>
    <cellStyle name="差_预收款项 7_明细表" xfId="20444"/>
    <cellStyle name="常规 2 4 5 2" xfId="20445"/>
    <cellStyle name="差_预收款项 7_明细表 5" xfId="20446"/>
    <cellStyle name="常规 2 2 7 7" xfId="20447"/>
    <cellStyle name="差_预收款项 8" xfId="20448"/>
    <cellStyle name="好_底稿设置宏 16" xfId="20449"/>
    <cellStyle name="好_底稿设置宏 21" xfId="20450"/>
    <cellStyle name="差_预收款项 8 2 2" xfId="20451"/>
    <cellStyle name="好_底稿设置宏 18" xfId="20452"/>
    <cellStyle name="好_底稿设置宏 23" xfId="20453"/>
    <cellStyle name="差_预收款项 8 2 4" xfId="20454"/>
    <cellStyle name="好_底稿设置宏 19" xfId="20455"/>
    <cellStyle name="好_底稿设置宏 24" xfId="20456"/>
    <cellStyle name="差_预收款项 8 2 5" xfId="20457"/>
    <cellStyle name="差_预收款项 8 3" xfId="20458"/>
    <cellStyle name="差_预收款项 8 4" xfId="20459"/>
    <cellStyle name="好 4 2 3" xfId="20460"/>
    <cellStyle name="差_预收款项 8_附注表一（财务报表）" xfId="20461"/>
    <cellStyle name="好_专项应付款 18" xfId="20462"/>
    <cellStyle name="好_专项应付款 23" xfId="20463"/>
    <cellStyle name="差_预收款项 8_明细表 2" xfId="20464"/>
    <cellStyle name="好_专项应付款 19" xfId="20465"/>
    <cellStyle name="好_专项应付款 24" xfId="20466"/>
    <cellStyle name="差_预收款项 8_明细表 3" xfId="20467"/>
    <cellStyle name="好_专项应付款 25" xfId="20468"/>
    <cellStyle name="好_专项应付款 30" xfId="20469"/>
    <cellStyle name="常规 10 2 2 2 2" xfId="20470"/>
    <cellStyle name="差_预收款项 8_明细表 4" xfId="20471"/>
    <cellStyle name="好_专项应付款 26" xfId="20472"/>
    <cellStyle name="好_专项应付款 31" xfId="20473"/>
    <cellStyle name="好_预收款项 7 2" xfId="20474"/>
    <cellStyle name="链接单元格 2 4 5" xfId="20475"/>
    <cellStyle name="常规 3 4 5 2" xfId="20476"/>
    <cellStyle name="常规 10 2 2 2 3" xfId="20477"/>
    <cellStyle name="差_预收款项 8_明细表 5" xfId="20478"/>
    <cellStyle name="好_49-营业收入（空白模板） 6 3 2" xfId="20479"/>
    <cellStyle name="常规 2 2 7 8" xfId="20480"/>
    <cellStyle name="差_预收款项 9" xfId="20481"/>
    <cellStyle name="差_预收款项 9 2 2" xfId="20482"/>
    <cellStyle name="差_预收款项 9 2 3" xfId="20483"/>
    <cellStyle name="差_预收款项 9 2 4" xfId="20484"/>
    <cellStyle name="差_预收款项 9 2 5" xfId="20485"/>
    <cellStyle name="差_预收款项 9 3" xfId="20486"/>
    <cellStyle name="差_预收款项 9 4" xfId="20487"/>
    <cellStyle name="差_预收款项 9_附注表一（财务报表）" xfId="20488"/>
    <cellStyle name="好_G-应收账款 12_明细表 2" xfId="20489"/>
    <cellStyle name="差_预收款项 9_明细表" xfId="20490"/>
    <cellStyle name="差_预收款项_附注表一（财务报表）" xfId="20491"/>
    <cellStyle name="差_预收款项_明细表" xfId="20492"/>
    <cellStyle name="差_预收款项_明细表 2 2" xfId="20493"/>
    <cellStyle name="常规 9 6 5 2" xfId="20494"/>
    <cellStyle name="差_预收款项_明细表 5" xfId="20495"/>
    <cellStyle name="常规 9 6 5 3" xfId="20496"/>
    <cellStyle name="差_预收款项_明细表 6" xfId="20497"/>
    <cellStyle name="差_预收款项_明细表_1 2" xfId="20498"/>
    <cellStyle name="差_预收款项_明细表_1 3" xfId="20499"/>
    <cellStyle name="差_预收款项_明细表_1 4" xfId="20500"/>
    <cellStyle name="差_预收款项_明细表_1 5" xfId="20501"/>
    <cellStyle name="差_预提费用审定表" xfId="20502"/>
    <cellStyle name="差_专项应付款 3 5" xfId="20503"/>
    <cellStyle name="差_在建工程" xfId="20504"/>
    <cellStyle name="差_长期借款" xfId="20505"/>
    <cellStyle name="超链接 2 5" xfId="20506"/>
    <cellStyle name="差_长期应付款 2" xfId="20507"/>
    <cellStyle name="超链接 2 5 2" xfId="20508"/>
    <cellStyle name="常规 2 7 9 3" xfId="20509"/>
    <cellStyle name="差_长期应付款 2 2" xfId="20510"/>
    <cellStyle name="超链接 2 5 2 2" xfId="20511"/>
    <cellStyle name="差_长期应付款 2 2 2" xfId="20512"/>
    <cellStyle name="超链接 2 5 3" xfId="20513"/>
    <cellStyle name="差_长期应付款 2 3" xfId="20514"/>
    <cellStyle name="超链接 2 6" xfId="20515"/>
    <cellStyle name="差_长期应付款 3" xfId="20516"/>
    <cellStyle name="超链接 2 7" xfId="20517"/>
    <cellStyle name="差_长期应付款 4" xfId="20518"/>
    <cellStyle name="超链接 2 8" xfId="20519"/>
    <cellStyle name="差_长期应付款 5" xfId="20520"/>
    <cellStyle name="差_长期应收款 2" xfId="20521"/>
    <cellStyle name="差_长期应收款 2 2" xfId="20522"/>
    <cellStyle name="差_长期应收款 4" xfId="20523"/>
    <cellStyle name="好_财务费用 14_明细表 2" xfId="20524"/>
    <cellStyle name="差_账项明细表 2" xfId="20525"/>
    <cellStyle name="差_账项明细表 2 2 2" xfId="20526"/>
    <cellStyle name="差_账项明细表 2 2 3" xfId="20527"/>
    <cellStyle name="好_短期借款 10_明细表 4" xfId="20528"/>
    <cellStyle name="差_账项明细表 2 3" xfId="20529"/>
    <cellStyle name="好_短期借款 10_明细表 5" xfId="20530"/>
    <cellStyle name="差_账项明细表 2 4" xfId="20531"/>
    <cellStyle name="好_财务费用 14_明细表 3" xfId="20532"/>
    <cellStyle name="差_账项明细表 3" xfId="20533"/>
    <cellStyle name="差_账项明细表 3 2" xfId="20534"/>
    <cellStyle name="好_财务费用 14_明细表 4" xfId="20535"/>
    <cellStyle name="常规 5 18 2" xfId="20536"/>
    <cellStyle name="常规 5 23 2" xfId="20537"/>
    <cellStyle name="差_账项明细表 4" xfId="20538"/>
    <cellStyle name="好_资产负债标准底稿_大信底稿目录 3_明细表" xfId="20539"/>
    <cellStyle name="好_财务费用 14_明细表 5" xfId="20540"/>
    <cellStyle name="常规 5 18 3" xfId="20541"/>
    <cellStyle name="差_账项明细表 5" xfId="20542"/>
    <cellStyle name="差_专项应付款" xfId="20543"/>
    <cellStyle name="差_专项应付款 10" xfId="20544"/>
    <cellStyle name="差_专项应付款 10 2" xfId="20545"/>
    <cellStyle name="差_专项应付款 10 2 2" xfId="20546"/>
    <cellStyle name="差_专项应付款 10 2 3" xfId="20547"/>
    <cellStyle name="差_专项应付款 10 2 5" xfId="20548"/>
    <cellStyle name="差_专项应付款 10 3" xfId="20549"/>
    <cellStyle name="差_专项应付款 10 4" xfId="20550"/>
    <cellStyle name="差_专项应付款 10_附注表一（财务报表）" xfId="20551"/>
    <cellStyle name="常规 9 5 2 2 2 3" xfId="20552"/>
    <cellStyle name="差_专项应付款 10_明细表" xfId="20553"/>
    <cellStyle name="差_专项应付款 11" xfId="20554"/>
    <cellStyle name="差_专项应付款 11 2 2" xfId="20555"/>
    <cellStyle name="差_专项应付款 11 2 3" xfId="20556"/>
    <cellStyle name="差_专项应付款 11 2 4" xfId="20557"/>
    <cellStyle name="差_专项应付款 11 2 5" xfId="20558"/>
    <cellStyle name="差_专项应付款 11_附注表一（财务报表）" xfId="20559"/>
    <cellStyle name="差_专项应付款 11_明细表" xfId="20560"/>
    <cellStyle name="差_专项应付款 11_明细表 2" xfId="20561"/>
    <cellStyle name="好_50-营业成本（空白模板） 2 2 3" xfId="20562"/>
    <cellStyle name="差_专项应付款 11_明细表 4" xfId="20563"/>
    <cellStyle name="好_50-营业成本（空白模板） 2 2 4" xfId="20564"/>
    <cellStyle name="差_专项应付款 11_明细表 5" xfId="20565"/>
    <cellStyle name="千位分隔 7 10" xfId="20566"/>
    <cellStyle name="差_专项应付款 12" xfId="20567"/>
    <cellStyle name="差_专项应付款 12 2" xfId="20568"/>
    <cellStyle name="常规 2 17_附注表一（财务报表）" xfId="20569"/>
    <cellStyle name="常规 2 22_附注表一（财务报表）" xfId="20570"/>
    <cellStyle name="差_专项应付款 12 2 2" xfId="20571"/>
    <cellStyle name="差_专项应付款 12 2 3" xfId="20572"/>
    <cellStyle name="差_专项应付款 12 2 4" xfId="20573"/>
    <cellStyle name="差_专项应付款 12 2 5" xfId="20574"/>
    <cellStyle name="好_56-公允价值损益变动（空白模板）" xfId="20575"/>
    <cellStyle name="差_专项应付款 12 3" xfId="20576"/>
    <cellStyle name="好_销售费用 2" xfId="20577"/>
    <cellStyle name="好_1短期借款 9_明细表 3" xfId="20578"/>
    <cellStyle name="差_专项应付款 12_明细表" xfId="20579"/>
    <cellStyle name="差_专项应付款 12_明细表 2" xfId="20580"/>
    <cellStyle name="差_专项应付款 12_明细表 3" xfId="20581"/>
    <cellStyle name="常规 2 10 2 2 2" xfId="20582"/>
    <cellStyle name="差_专项应付款 12_明细表 4" xfId="20583"/>
    <cellStyle name="常规 2 10 2 2 3" xfId="20584"/>
    <cellStyle name="差_专项应付款 12_明细表 5" xfId="20585"/>
    <cellStyle name="千位分隔 7 11" xfId="20586"/>
    <cellStyle name="差_专项应付款 13" xfId="20587"/>
    <cellStyle name="好_短期借款 4_附注表一（财务报表）" xfId="20588"/>
    <cellStyle name="差_专项应付款 13 2" xfId="20589"/>
    <cellStyle name="差_专项应付款 13 2 2" xfId="20590"/>
    <cellStyle name="差_专项应付款 13 2 4" xfId="20591"/>
    <cellStyle name="差_专项应付款 13 3" xfId="20592"/>
    <cellStyle name="差_专项应付款 13_附注表一（财务报表）" xfId="20593"/>
    <cellStyle name="差_专项应付款 13_明细表" xfId="20594"/>
    <cellStyle name="千位分隔 2 2 6 2 6" xfId="20595"/>
    <cellStyle name="差_专项应付款 13_明细表 2" xfId="20596"/>
    <cellStyle name="差_专项应付款 13_明细表 3" xfId="20597"/>
    <cellStyle name="千位分隔 7 12" xfId="20598"/>
    <cellStyle name="差_专项应付款 14" xfId="20599"/>
    <cellStyle name="差_专项应付款 14 2 4" xfId="20600"/>
    <cellStyle name="好_46-资本公积（空白模板） 3 2" xfId="20601"/>
    <cellStyle name="差_专项应付款 14 2 5" xfId="20602"/>
    <cellStyle name="差_专项应付款 14 3" xfId="20603"/>
    <cellStyle name="好_财务费用 15 2 4" xfId="20604"/>
    <cellStyle name="差_专项应付款 14_附注表一（财务报表）" xfId="20605"/>
    <cellStyle name="好_8-其他应收款（空白模板）_明细表 4" xfId="20606"/>
    <cellStyle name="常规 3 3 2 2 8 2" xfId="20607"/>
    <cellStyle name="差_专项应付款 14_明细表 2" xfId="20608"/>
    <cellStyle name="常规 32 4" xfId="20609"/>
    <cellStyle name="常规 11 3 2 6 4" xfId="20610"/>
    <cellStyle name="差_专项应付款 14_明细表 3" xfId="20611"/>
    <cellStyle name="常规 32 5" xfId="20612"/>
    <cellStyle name="常规 11 3 2 6 5" xfId="20613"/>
    <cellStyle name="常规 3 2 3 3 2 2" xfId="20614"/>
    <cellStyle name="差_专项应付款 14_明细表 4" xfId="20615"/>
    <cellStyle name="差_专项应付款 14_明细表 5" xfId="20616"/>
    <cellStyle name="千位分隔 7 13" xfId="20617"/>
    <cellStyle name="差_专项应付款 15" xfId="20618"/>
    <cellStyle name="差_专项应付款 20" xfId="20619"/>
    <cellStyle name="差_专项应付款 15 2" xfId="20620"/>
    <cellStyle name="差_专项应付款 15 2 2" xfId="20621"/>
    <cellStyle name="差_专项应付款 15 2 3" xfId="20622"/>
    <cellStyle name="差_专项应付款 15 4" xfId="20623"/>
    <cellStyle name="常规 2 2 2 13 2 2" xfId="20624"/>
    <cellStyle name="差_专项应付款 15 5" xfId="20625"/>
    <cellStyle name="常规 2 2 2 13 2 3" xfId="20626"/>
    <cellStyle name="差_专项应付款 15 6" xfId="20627"/>
    <cellStyle name="千位分隔 7 14" xfId="20628"/>
    <cellStyle name="差_专项应付款 16" xfId="20629"/>
    <cellStyle name="差_专项应付款 21" xfId="20630"/>
    <cellStyle name="差_专项应付款 16 2" xfId="20631"/>
    <cellStyle name="差_专项应付款 16 2 2" xfId="20632"/>
    <cellStyle name="差_专项应付款 16 2 3" xfId="20633"/>
    <cellStyle name="差_专项应付款 16 2 4" xfId="20634"/>
    <cellStyle name="好_1财务费用_明细表" xfId="20635"/>
    <cellStyle name="差_专项应付款 16 3" xfId="20636"/>
    <cellStyle name="差_专项应付款 16 4" xfId="20637"/>
    <cellStyle name="差_专项应付款 16 5" xfId="20638"/>
    <cellStyle name="差_专项应付款 16 6" xfId="20639"/>
    <cellStyle name="差_专项应付款 17 2" xfId="20640"/>
    <cellStyle name="差_专项应付款 17 3" xfId="20641"/>
    <cellStyle name="差_专项应付款 17 4" xfId="20642"/>
    <cellStyle name="差_专项应付款 17 5" xfId="20643"/>
    <cellStyle name="差_专项应付款 2" xfId="20644"/>
    <cellStyle name="差_专项应付款 2 2 2" xfId="20645"/>
    <cellStyle name="差_专项应付款 2 2 4" xfId="20646"/>
    <cellStyle name="差_专项应付款 2 2 5" xfId="20647"/>
    <cellStyle name="差_专项应付款 2 3" xfId="20648"/>
    <cellStyle name="差_专项应付款 2 4" xfId="20649"/>
    <cellStyle name="差_专项应付款 2 5" xfId="20650"/>
    <cellStyle name="常规 3__dxn_temp替代测试表(二)-借方金额检查模板" xfId="20651"/>
    <cellStyle name="差_专项应付款 2 6" xfId="20652"/>
    <cellStyle name="差_专项应付款 2_附注表一（财务报表）" xfId="20653"/>
    <cellStyle name="好_G-应收账款 14_明细表 3" xfId="20654"/>
    <cellStyle name="差_专项应付款 2_明细表" xfId="20655"/>
    <cellStyle name="好_底稿设置宏 5_明细表 5" xfId="20656"/>
    <cellStyle name="差_专项应付款 2_明细表 2" xfId="20657"/>
    <cellStyle name="差_专项应付款 2_明细表 3" xfId="20658"/>
    <cellStyle name="差_专项应付款 2_明细表 4" xfId="20659"/>
    <cellStyle name="常规 2 2 2 3_附注表一（财务报表）" xfId="20660"/>
    <cellStyle name="差_专项应付款 2_明细表 5" xfId="20661"/>
    <cellStyle name="差_专项应付款 29" xfId="20662"/>
    <cellStyle name="差_专项应付款 34" xfId="20663"/>
    <cellStyle name="差_专项应付款 3" xfId="20664"/>
    <cellStyle name="差_专项应付款 3 2" xfId="20665"/>
    <cellStyle name="好_6-应收利息（空白模板） 2 7" xfId="20666"/>
    <cellStyle name="常规 3 2_11年其他应收款" xfId="20667"/>
    <cellStyle name="差_专项应付款 3 2 2" xfId="20668"/>
    <cellStyle name="差_专项应付款 3 2 3" xfId="20669"/>
    <cellStyle name="差_专项应付款 3 2 4" xfId="20670"/>
    <cellStyle name="差_专项应付款 3 2 5" xfId="20671"/>
    <cellStyle name="差_专项应付款 3 3" xfId="20672"/>
    <cellStyle name="差_专项应付款 3 4" xfId="20673"/>
    <cellStyle name="差_专项应付款 3_附注表一（财务报表）" xfId="20674"/>
    <cellStyle name="好_1财务费用 9_明细表 5" xfId="20675"/>
    <cellStyle name="常规 3 66" xfId="20676"/>
    <cellStyle name="常规 3 71" xfId="20677"/>
    <cellStyle name="好_54-财务费用（空白模板） 27" xfId="20678"/>
    <cellStyle name="好_54-财务费用（空白模板） 32" xfId="20679"/>
    <cellStyle name="常规 3 2 10 3 2" xfId="20680"/>
    <cellStyle name="差_专项应付款 3_明细表 2" xfId="20681"/>
    <cellStyle name="常规 3 67" xfId="20682"/>
    <cellStyle name="常规 3 72" xfId="20683"/>
    <cellStyle name="好_54-财务费用（空白模板） 28" xfId="20684"/>
    <cellStyle name="好_54-财务费用（空白模板） 33" xfId="20685"/>
    <cellStyle name="常规 3 2 10 3 3" xfId="20686"/>
    <cellStyle name="差_专项应付款 3_明细表 3" xfId="20687"/>
    <cellStyle name="常规 3 68" xfId="20688"/>
    <cellStyle name="常规 3 73" xfId="20689"/>
    <cellStyle name="好_54-财务费用（空白模板） 29" xfId="20690"/>
    <cellStyle name="好_54-财务费用（空白模板） 34" xfId="20691"/>
    <cellStyle name="差_专项应付款 3_明细表 4" xfId="20692"/>
    <cellStyle name="常规 3 69" xfId="20693"/>
    <cellStyle name="常规 3 74" xfId="20694"/>
    <cellStyle name="差_专项应付款 3_明细表 5" xfId="20695"/>
    <cellStyle name="差_专项应付款 4" xfId="20696"/>
    <cellStyle name="好_30-应付账款（空白模板） 2_明细表 2" xfId="20697"/>
    <cellStyle name="差_专项应付款 4 2 2" xfId="20698"/>
    <cellStyle name="好_49-营业收入（空白模板） 13_明细表" xfId="20699"/>
    <cellStyle name="差_专项应付款 4 4" xfId="20700"/>
    <cellStyle name="差_专项应付款 4_明细表" xfId="20701"/>
    <cellStyle name="常规 2 3 2 2 2 2 2 5" xfId="20702"/>
    <cellStyle name="差_专项应付款 4_明细表 2" xfId="20703"/>
    <cellStyle name="常规 2 3 2 2 2 2 2 6" xfId="20704"/>
    <cellStyle name="差_专项应付款 4_明细表 3" xfId="20705"/>
    <cellStyle name="差_专项应付款 5" xfId="20706"/>
    <cellStyle name="好_资产负债标准底稿_大信底稿目录 4 2 2" xfId="20707"/>
    <cellStyle name="差_专项应付款 5 3" xfId="20708"/>
    <cellStyle name="好_资产负债标准底稿_大信底稿目录 4 2 3" xfId="20709"/>
    <cellStyle name="差_专项应付款 5 4" xfId="20710"/>
    <cellStyle name="好_公允价值变动损益 2 2 3" xfId="20711"/>
    <cellStyle name="差_专项应付款 5_附注表一（财务报表）" xfId="20712"/>
    <cellStyle name="好_1资产减值损失 2" xfId="20713"/>
    <cellStyle name="差_专项应付款 6" xfId="20714"/>
    <cellStyle name="好_1资产减值损失 2 2" xfId="20715"/>
    <cellStyle name="差_专项应付款 6 2" xfId="20716"/>
    <cellStyle name="好_1资产减值损失 2 2 2" xfId="20717"/>
    <cellStyle name="好_1短期借款 7_附注表一（财务报表）" xfId="20718"/>
    <cellStyle name="差_专项应付款 6 2 2" xfId="20719"/>
    <cellStyle name="好_1资产减值损失 2 2 3" xfId="20720"/>
    <cellStyle name="差_专项应付款 6 2 3" xfId="20721"/>
    <cellStyle name="好_1资产减值损失 2 2 4" xfId="20722"/>
    <cellStyle name="差_专项应付款 6 2 4" xfId="20723"/>
    <cellStyle name="好_1资产减值损失 2 2 5" xfId="20724"/>
    <cellStyle name="好_底稿设置宏_大信底稿目录 12_附注表一（财务报表）" xfId="20725"/>
    <cellStyle name="差_专项应付款 6 2 5" xfId="20726"/>
    <cellStyle name="好_1资产减值损失 2 4" xfId="20727"/>
    <cellStyle name="好_资产负债标准底稿_大信底稿目录 4 3 3" xfId="20728"/>
    <cellStyle name="差_专项应付款 6 4" xfId="20729"/>
    <cellStyle name="好_1资产减值损失 2_附注表一（财务报表）" xfId="20730"/>
    <cellStyle name="好 6 2" xfId="20731"/>
    <cellStyle name="差_专项应付款 6_附注表一（财务报表）" xfId="20732"/>
    <cellStyle name="好_40-专项应付款(空白模板) 6_明细表 4" xfId="20733"/>
    <cellStyle name="好_1资产减值损失 2_明细表" xfId="20734"/>
    <cellStyle name="差_专项应付款 6_明细表" xfId="20735"/>
    <cellStyle name="好_1资产减值损失 2_明细表 2" xfId="20736"/>
    <cellStyle name="常规 9 4 4 2 3" xfId="20737"/>
    <cellStyle name="差_专项应付款 6_明细表 2" xfId="20738"/>
    <cellStyle name="好_1资产减值损失 2_明细表 3" xfId="20739"/>
    <cellStyle name="常规 9 4 4 2 4" xfId="20740"/>
    <cellStyle name="差_专项应付款 6_明细表 3" xfId="20741"/>
    <cellStyle name="好_1资产减值损失 2_明细表 5" xfId="20742"/>
    <cellStyle name="差_专项应付款 6_明细表 5" xfId="20743"/>
    <cellStyle name="好_1资产减值损失 3" xfId="20744"/>
    <cellStyle name="差_专项应付款 7" xfId="20745"/>
    <cellStyle name="好_1资产减值损失 3 2" xfId="20746"/>
    <cellStyle name="差_专项应付款 7 2" xfId="20747"/>
    <cellStyle name="好_固定资产_明细表" xfId="20748"/>
    <cellStyle name="好_1资产减值损失 3 2 2" xfId="20749"/>
    <cellStyle name="差_专项应付款 7 2 2" xfId="20750"/>
    <cellStyle name="好_1资产减值损失 3 2 3" xfId="20751"/>
    <cellStyle name="差_专项应付款 7 2 3" xfId="20752"/>
    <cellStyle name="好_1资产减值损失 3 2 4" xfId="20753"/>
    <cellStyle name="差_专项应付款 7 2 4" xfId="20754"/>
    <cellStyle name="好_1资产减值损失 3 3" xfId="20755"/>
    <cellStyle name="好_资产负债标准底稿_大信底稿目录 4 4 2" xfId="20756"/>
    <cellStyle name="差_专项应付款 7 3" xfId="20757"/>
    <cellStyle name="好_1资产减值损失 3 4" xfId="20758"/>
    <cellStyle name="差_专项应付款 7 4" xfId="20759"/>
    <cellStyle name="好_1资产减值损失 3_附注表一（财务报表）" xfId="20760"/>
    <cellStyle name="差_专项应付款 7_附注表一（财务报表）" xfId="20761"/>
    <cellStyle name="好_1资产减值损失 3_明细表" xfId="20762"/>
    <cellStyle name="差_专项应付款 7_明细表" xfId="20763"/>
    <cellStyle name="好_27-短期借款(空白模板) 12 2 3" xfId="20764"/>
    <cellStyle name="好_1资产减值损失 3_明细表 2" xfId="20765"/>
    <cellStyle name="常规 9 5 4 2 3" xfId="20766"/>
    <cellStyle name="差_专项应付款 7_明细表 2" xfId="20767"/>
    <cellStyle name="好_27-短期借款(空白模板) 12 2 5" xfId="20768"/>
    <cellStyle name="好_1资产减值损失 3_明细表 4" xfId="20769"/>
    <cellStyle name="差_专项应付款 7_明细表 4" xfId="20770"/>
    <cellStyle name="好_1资产减值损失 3_明细表 5" xfId="20771"/>
    <cellStyle name="差_专项应付款 7_明细表 5" xfId="20772"/>
    <cellStyle name="好_1资产减值损失 4" xfId="20773"/>
    <cellStyle name="差_专项应付款 8" xfId="20774"/>
    <cellStyle name="好_1资产减值损失 4 2" xfId="20775"/>
    <cellStyle name="差_专项应付款 8 2" xfId="20776"/>
    <cellStyle name="好_1资产减值损失 4 2 2" xfId="20777"/>
    <cellStyle name="差_专项应付款 8 2 2" xfId="20778"/>
    <cellStyle name="好_1资产减值损失 4 2 3" xfId="20779"/>
    <cellStyle name="差_专项应付款 8 2 3" xfId="20780"/>
    <cellStyle name="好_资产负债标准底稿_大信底稿目录 4 2" xfId="20781"/>
    <cellStyle name="好_1资产减值损失 4 2 4" xfId="20782"/>
    <cellStyle name="差_专项应付款 8 2 4" xfId="20783"/>
    <cellStyle name="好_1资产减值损失 4 3" xfId="20784"/>
    <cellStyle name="常规 2 2 19_附注表一（财务报表）" xfId="20785"/>
    <cellStyle name="常规 2 2 24_附注表一（财务报表）" xfId="20786"/>
    <cellStyle name="差_专项应付款 8 3" xfId="20787"/>
    <cellStyle name="好_1资产减值损失 4_明细表" xfId="20788"/>
    <cellStyle name="差_专项应付款 8_明细表" xfId="20789"/>
    <cellStyle name="好_1资产减值损失 4_明细表 2" xfId="20790"/>
    <cellStyle name="常规 9 6 4 2 3" xfId="20791"/>
    <cellStyle name="差_专项应付款 8_明细表 2" xfId="20792"/>
    <cellStyle name="好_1资产减值损失 4_明细表 3" xfId="20793"/>
    <cellStyle name="超链接 3 6_附注表一（财务报表）" xfId="20794"/>
    <cellStyle name="差_专项应付款 8_明细表 3" xfId="20795"/>
    <cellStyle name="好_1资产减值损失 4_明细表 4" xfId="20796"/>
    <cellStyle name="差_专项应付款 8_明细表 4" xfId="20797"/>
    <cellStyle name="好_1资产减值损失 4_明细表 5" xfId="20798"/>
    <cellStyle name="差_专项应付款 8_明细表 5" xfId="20799"/>
    <cellStyle name="好_1资产减值损失 5" xfId="20800"/>
    <cellStyle name="差_专项应付款 9" xfId="20801"/>
    <cellStyle name="差_专项应付款 9 2" xfId="20802"/>
    <cellStyle name="好_固定资产 9 2 4" xfId="20803"/>
    <cellStyle name="好_1资产减值损失 5 2" xfId="20804"/>
    <cellStyle name="好_1资产减值损失 5 2 2" xfId="20805"/>
    <cellStyle name="差_专项应付款 9 2 2" xfId="20806"/>
    <cellStyle name="好_1资产减值损失 5 2 4" xfId="20807"/>
    <cellStyle name="差_专项应付款 9 2 4" xfId="20808"/>
    <cellStyle name="好_1资产减值损失 5 2 5" xfId="20809"/>
    <cellStyle name="差_专项应付款 9 2 5" xfId="20810"/>
    <cellStyle name="差_专项应付款 9 3" xfId="20811"/>
    <cellStyle name="好_固定资产 9 2 5" xfId="20812"/>
    <cellStyle name="好_1资产减值损失 5 3" xfId="20813"/>
    <cellStyle name="好_31-预收账款（空白模板） 8" xfId="20814"/>
    <cellStyle name="好_1资产减值损失 5_明细表" xfId="20815"/>
    <cellStyle name="差_专项应付款 9_明细表" xfId="20816"/>
    <cellStyle name="好_31-预收账款（空白模板） 8 3" xfId="20817"/>
    <cellStyle name="好_1资产减值损失 5_明细表 3" xfId="20818"/>
    <cellStyle name="差_专项应付款 9_明细表 3" xfId="20819"/>
    <cellStyle name="好_31-预收账款（空白模板） 8 4" xfId="20820"/>
    <cellStyle name="好_1资产减值损失 5_明细表 4" xfId="20821"/>
    <cellStyle name="差_专项应付款 9_明细表 4" xfId="20822"/>
    <cellStyle name="好_1资产减值损失 5_明细表 5" xfId="20823"/>
    <cellStyle name="差_专项应付款 9_明细表 5" xfId="20824"/>
    <cellStyle name="好_1-了解被审计单位及其环境（不包括内控）" xfId="20825"/>
    <cellStyle name="好_1营业收入 12 2 3" xfId="20826"/>
    <cellStyle name="常规 3 5_Spreadsheet" xfId="20827"/>
    <cellStyle name="差_专项应付款_附注表一（财务报表）" xfId="20828"/>
    <cellStyle name="常规 2 7 2" xfId="20829"/>
    <cellStyle name="差_专项应付款_明细表" xfId="20830"/>
    <cellStyle name="好_ZA0货币资金审定表  2 2 3" xfId="20831"/>
    <cellStyle name="差_专项应付款_明细表 2 2" xfId="20832"/>
    <cellStyle name="好_ZA0货币资金审定表  2 2 4" xfId="20833"/>
    <cellStyle name="差_专项应付款_明细表 2 3" xfId="20834"/>
    <cellStyle name="好_ZA0货币资金审定表  2 2 6" xfId="20835"/>
    <cellStyle name="差_专项应付款_明细表 2 5" xfId="20836"/>
    <cellStyle name="差_专项应付款_明细表_1 2" xfId="20837"/>
    <cellStyle name="差_专项应付款_明细表_1 3" xfId="20838"/>
    <cellStyle name="好_1财务费用_固定资产" xfId="20839"/>
    <cellStyle name="差_专项应付款_明细表_1 5" xfId="20840"/>
    <cellStyle name="差_资本公积" xfId="20841"/>
    <cellStyle name="好_营业外支出 3 3" xfId="20842"/>
    <cellStyle name="差_资本公积 - 复制" xfId="20843"/>
    <cellStyle name="差_资本公积 - 复制 2" xfId="20844"/>
    <cellStyle name="千位分隔 2 4 5 2" xfId="20845"/>
    <cellStyle name="差_资本公积 - 复制 3" xfId="20846"/>
    <cellStyle name="差_资本公积 2" xfId="20847"/>
    <cellStyle name="差_资本公积 2 2" xfId="20848"/>
    <cellStyle name="差_资本公积 3" xfId="20849"/>
    <cellStyle name="好_应收利息 13_明细表" xfId="20850"/>
    <cellStyle name="差_资本公积 3 2" xfId="20851"/>
    <cellStyle name="差_资本公积 5" xfId="20852"/>
    <cellStyle name="好_30-应付账款（空白模板） 7_附注表一（财务报表）" xfId="20853"/>
    <cellStyle name="差_资本公积审定表" xfId="20854"/>
    <cellStyle name="差_资产负债标准底稿" xfId="20855"/>
    <cellStyle name="常规 5 11 2" xfId="20856"/>
    <cellStyle name="常规 2 3 14 2 5" xfId="20857"/>
    <cellStyle name="差_资产负债标准底稿 10 2" xfId="20858"/>
    <cellStyle name="常规 5 11 2 3" xfId="20859"/>
    <cellStyle name="常规 2 19 2 2" xfId="20860"/>
    <cellStyle name="常规 2 24 2 2" xfId="20861"/>
    <cellStyle name="差_资产负债标准底稿 10 2 3" xfId="20862"/>
    <cellStyle name="常规 5 11 2 4" xfId="20863"/>
    <cellStyle name="常规 4 3 4 2" xfId="20864"/>
    <cellStyle name="常规 2 19 2 3" xfId="20865"/>
    <cellStyle name="常规 2 24 2 3" xfId="20866"/>
    <cellStyle name="差_资产负债标准底稿 10 2 4" xfId="20867"/>
    <cellStyle name="常规 5 11 2 5" xfId="20868"/>
    <cellStyle name="常规 4 3 4 3" xfId="20869"/>
    <cellStyle name="常规 2 19 2 4" xfId="20870"/>
    <cellStyle name="常规 2 24 2 4" xfId="20871"/>
    <cellStyle name="差_资产负债标准底稿 10 2 5" xfId="20872"/>
    <cellStyle name="好_1预收款项 15 2" xfId="20873"/>
    <cellStyle name="常规 5 11 3" xfId="20874"/>
    <cellStyle name="差_资产负债标准底稿 10 3" xfId="20875"/>
    <cellStyle name="常规 3 47" xfId="20876"/>
    <cellStyle name="常规 3 52" xfId="20877"/>
    <cellStyle name="好_54-财务费用（空白模板） 13" xfId="20878"/>
    <cellStyle name="常规 6 2 2 8" xfId="20879"/>
    <cellStyle name="差_资产负债标准底稿 10_明细表 4" xfId="20880"/>
    <cellStyle name="常规 3 48" xfId="20881"/>
    <cellStyle name="常规 3 53" xfId="20882"/>
    <cellStyle name="好_54-财务费用（空白模板） 14" xfId="20883"/>
    <cellStyle name="常规 6 2 2 9" xfId="20884"/>
    <cellStyle name="差_资产负债标准底稿 10_明细表 5" xfId="20885"/>
    <cellStyle name="千位分隔 31" xfId="20886"/>
    <cellStyle name="千位分隔 26" xfId="20887"/>
    <cellStyle name="常规 5 12 2" xfId="20888"/>
    <cellStyle name="差_资产负债标准底稿 11 2" xfId="20889"/>
    <cellStyle name="好_1预收款项 16 2" xfId="20890"/>
    <cellStyle name="千位分隔 32" xfId="20891"/>
    <cellStyle name="千位分隔 27" xfId="20892"/>
    <cellStyle name="常规 5 12 3" xfId="20893"/>
    <cellStyle name="差_资产负债标准底稿 11 3" xfId="20894"/>
    <cellStyle name="常规 5 12_附注表一（财务报表）" xfId="20895"/>
    <cellStyle name="差_资产负债标准底稿 11_附注表一（财务报表）" xfId="20896"/>
    <cellStyle name="常规 7 2 2 6" xfId="20897"/>
    <cellStyle name="差_资产负债标准底稿 11_明细表 2" xfId="20898"/>
    <cellStyle name="常规 7 2 2 7" xfId="20899"/>
    <cellStyle name="逸? [0]_PLDT" xfId="20900"/>
    <cellStyle name="差_资产负债标准底稿 11_明细表 3" xfId="20901"/>
    <cellStyle name="常规 7 2 2 8" xfId="20902"/>
    <cellStyle name="差_资产负债标准底稿 11_明细表 4" xfId="20903"/>
    <cellStyle name="常规 5 13 2 4" xfId="20904"/>
    <cellStyle name="常规 4 5 4 2" xfId="20905"/>
    <cellStyle name="常规 2 26 2 3" xfId="20906"/>
    <cellStyle name="差_资产负债标准底稿 12 2 4" xfId="20907"/>
    <cellStyle name="常规 5 13 2 5" xfId="20908"/>
    <cellStyle name="常规 4 5 4 3" xfId="20909"/>
    <cellStyle name="常规 2 26 2 4" xfId="20910"/>
    <cellStyle name="差_资产负债标准底稿 12 2 5" xfId="20911"/>
    <cellStyle name="好_51-营业税金及附加（空白模板） 4 2" xfId="20912"/>
    <cellStyle name="常规 5 13_附注表一（财务报表）" xfId="20913"/>
    <cellStyle name="差_资产负债标准底稿 12_附注表一（财务报表）" xfId="20914"/>
    <cellStyle name="好_53-管理费用（空白模板） 3 2" xfId="20915"/>
    <cellStyle name="差_资产负债标准底稿 12_明细表 2" xfId="20916"/>
    <cellStyle name="好_底稿设置宏 11 2" xfId="20917"/>
    <cellStyle name="好_53-管理费用（空白模板） 3 3" xfId="20918"/>
    <cellStyle name="差_资产负债标准底稿 12_明细表 3" xfId="20919"/>
    <cellStyle name="好_底稿设置宏 11 3" xfId="20920"/>
    <cellStyle name="差_资产负债标准底稿 12_明细表 4" xfId="20921"/>
    <cellStyle name="差_资产负债标准底稿 12_明细表 5" xfId="20922"/>
    <cellStyle name="常规 5 14 2" xfId="20923"/>
    <cellStyle name="差_资产负债标准底稿 13 2" xfId="20924"/>
    <cellStyle name="常规 5 14 3" xfId="20925"/>
    <cellStyle name="差_资产负债标准底稿 13 3" xfId="20926"/>
    <cellStyle name="好_51-营业税金及附加（空白模板） 13_明细表" xfId="20927"/>
    <cellStyle name="常规 5 14_附注表一（财务报表）" xfId="20928"/>
    <cellStyle name="差_资产负债标准底稿 13_附注表一（财务报表）" xfId="20929"/>
    <cellStyle name="差_资产负债标准底稿 13_明细表 2" xfId="20930"/>
    <cellStyle name="好_资产负债标准底稿 7_明细表" xfId="20931"/>
    <cellStyle name="好_45-股本（实收资本）（空白模板）" xfId="20932"/>
    <cellStyle name="差_资产负债标准底稿 13_明细表 3" xfId="20933"/>
    <cellStyle name="差_资产负债标准底稿 13_明细表 4" xfId="20934"/>
    <cellStyle name="常规 5 15 3" xfId="20935"/>
    <cellStyle name="常规 5 20 3" xfId="20936"/>
    <cellStyle name="差_资产负债标准底稿 14 3" xfId="20937"/>
    <cellStyle name="差_资产负债标准底稿 14 4" xfId="20938"/>
    <cellStyle name="好_财务费用 12_附注表一（财务报表）" xfId="20939"/>
    <cellStyle name="差_资产负债标准底稿 14 5" xfId="20940"/>
    <cellStyle name="常规 5 16" xfId="20941"/>
    <cellStyle name="常规 5 21" xfId="20942"/>
    <cellStyle name="差_资产负债标准底稿 15" xfId="20943"/>
    <cellStyle name="常规 2 3 2 8 2 2" xfId="20944"/>
    <cellStyle name="差_资产负债标准底稿 2 2 5" xfId="20945"/>
    <cellStyle name="常规 5 2 9" xfId="20946"/>
    <cellStyle name="差_资产负债标准底稿 2 4" xfId="20947"/>
    <cellStyle name="差_资产负债标准底稿 2_附注表一（财务报表）" xfId="20948"/>
    <cellStyle name="好_专项应付款 14_明细表 5" xfId="20949"/>
    <cellStyle name="差_资产负债标准底稿 2_明细表" xfId="20950"/>
    <cellStyle name="好_底稿设置宏 10 2 3" xfId="20951"/>
    <cellStyle name="差_资产负债标准底稿 2_明细表 2" xfId="20952"/>
    <cellStyle name="差_资产负债标准底稿 3_明细表" xfId="20953"/>
    <cellStyle name="差_资产负债标准底稿 3_明细表 2" xfId="20954"/>
    <cellStyle name="差_资产负债标准底稿 4 2 4" xfId="20955"/>
    <cellStyle name="差_资产负债标准底稿 4 2 5" xfId="20956"/>
    <cellStyle name="差_资产负债标准底稿 4_附注表一（财务报表）" xfId="20957"/>
    <cellStyle name="差_资产负债标准底稿 4_明细表" xfId="20958"/>
    <cellStyle name="差_资产负债标准底稿 4_明细表 2" xfId="20959"/>
    <cellStyle name="差_资产负债标准底稿 4_明细表 3" xfId="20960"/>
    <cellStyle name="差_资产负债标准底稿 4_明细表 4" xfId="20961"/>
    <cellStyle name="差_资产负债标准底稿 4_明细表 5" xfId="20962"/>
    <cellStyle name="常规 5 5 7" xfId="20963"/>
    <cellStyle name="好_1营业收入 13_明细表 3" xfId="20964"/>
    <cellStyle name="差_资产负债标准底稿 5 2" xfId="20965"/>
    <cellStyle name="差_资产负债标准底稿 5 2 2" xfId="20966"/>
    <cellStyle name="差_资产负债标准底稿 5 2 3" xfId="20967"/>
    <cellStyle name="差_资产负债标准底稿 5 2 4" xfId="20968"/>
    <cellStyle name="差_资产负债标准底稿 5 2 5" xfId="20969"/>
    <cellStyle name="好_1营业收入 13_明细表 4" xfId="20970"/>
    <cellStyle name="差_资产负债标准底稿 5 3" xfId="20971"/>
    <cellStyle name="好_1预付款项 3" xfId="20972"/>
    <cellStyle name="差_资产负债标准底稿 5_附注表一（财务报表）" xfId="20973"/>
    <cellStyle name="差_资产负债标准底稿 6" xfId="20974"/>
    <cellStyle name="常规 5 6 7" xfId="20975"/>
    <cellStyle name="差_资产负债标准底稿 6 2" xfId="20976"/>
    <cellStyle name="差_资产负债标准底稿 6 2 2" xfId="20977"/>
    <cellStyle name="差_资产负债标准底稿 6 2 3" xfId="20978"/>
    <cellStyle name="差_资产负债标准底稿 6 2 4" xfId="20979"/>
    <cellStyle name="差_资产负债标准底稿 6 2 5" xfId="20980"/>
    <cellStyle name="常规 5 6 8" xfId="20981"/>
    <cellStyle name="差_资产负债标准底稿 6 3" xfId="20982"/>
    <cellStyle name="差_资产负债标准底稿 6_附注表一（财务报表）" xfId="20983"/>
    <cellStyle name="好_ZL长期应收款 4" xfId="20984"/>
    <cellStyle name="差_资产负债标准底稿 6_明细表 2" xfId="20985"/>
    <cellStyle name="差_资产负债标准底稿 6_明细表 3" xfId="20986"/>
    <cellStyle name="差_资产负债标准底稿 6_明细表 4" xfId="20987"/>
    <cellStyle name="差_资产负债标准底稿 6_明细表 5" xfId="20988"/>
    <cellStyle name="差_资产负债标准底稿 7" xfId="20989"/>
    <cellStyle name="好_51-营业税金及附加（空白模板） 28" xfId="20990"/>
    <cellStyle name="好_51-营业税金及附加（空白模板） 33" xfId="20991"/>
    <cellStyle name="差_资产负债标准底稿 7 2 2" xfId="20992"/>
    <cellStyle name="好_51-营业税金及附加（空白模板） 29" xfId="20993"/>
    <cellStyle name="好_51-营业税金及附加（空白模板） 34" xfId="20994"/>
    <cellStyle name="差_资产负债标准底稿 7 2 3" xfId="20995"/>
    <cellStyle name="差_资产负债标准底稿 7 2 4" xfId="20996"/>
    <cellStyle name="好_报表层次重要性水平_附注表一（财务报表）" xfId="20997"/>
    <cellStyle name="差_资产负债标准底稿 7 2 5" xfId="20998"/>
    <cellStyle name="常规 3 4 2 12" xfId="20999"/>
    <cellStyle name="差_资产负债标准底稿 7 3" xfId="21000"/>
    <cellStyle name="差_资产负债标准底稿 7_明细表 2" xfId="21001"/>
    <cellStyle name="差_资产负债标准底稿 7_明细表 3" xfId="21002"/>
    <cellStyle name="好_55-资产减值损失（空白模板） 12 2 2" xfId="21003"/>
    <cellStyle name="差_资产负债标准底稿 7_明细表 4" xfId="21004"/>
    <cellStyle name="好_9-存货（空白模板）" xfId="21005"/>
    <cellStyle name="好_55-资产减值损失（空白模板） 12 2 3" xfId="21006"/>
    <cellStyle name="差_资产负债标准底稿 7_明细表 5" xfId="21007"/>
    <cellStyle name="差_资产负债标准底稿 8_附注表一（财务报表）" xfId="21008"/>
    <cellStyle name="差_资产负债标准底稿 8_明细表 2" xfId="21009"/>
    <cellStyle name="差_资产负债标准底稿 8_明细表 3" xfId="21010"/>
    <cellStyle name="好_6、应收帐款 2" xfId="21011"/>
    <cellStyle name="差_资产负债标准底稿 8_明细表 4" xfId="21012"/>
    <cellStyle name="好_财务费用 11 2 2" xfId="21013"/>
    <cellStyle name="好_6、应收帐款 3" xfId="21014"/>
    <cellStyle name="差_资产负债标准底稿 8_明细表 5" xfId="21015"/>
    <cellStyle name="差_资产负债标准底稿 9" xfId="21016"/>
    <cellStyle name="差_资产负债标准底稿 9 2" xfId="21017"/>
    <cellStyle name="差_资产负债标准底稿 9 2 2" xfId="21018"/>
    <cellStyle name="差_资产负债标准底稿 9 2 3" xfId="21019"/>
    <cellStyle name="差_资产负债标准底稿 9 2 4" xfId="21020"/>
    <cellStyle name="好_1专项应付款 7 2 2" xfId="21021"/>
    <cellStyle name="差_资产负债标准底稿 9 3" xfId="21022"/>
    <cellStyle name="差_资产负债标准底稿 9_附注表一（财务报表）" xfId="21023"/>
    <cellStyle name="好_50-营业成本（空白模板） 8_明细表" xfId="21024"/>
    <cellStyle name="差_资产负债标准底稿 9_明细表 2" xfId="21025"/>
    <cellStyle name="差_资产负债标准底稿 9_明细表 3" xfId="21026"/>
    <cellStyle name="差_资产负债标准底稿 9_明细表 4" xfId="21027"/>
    <cellStyle name="差_资产负债标准底稿_附注表一（财务报表）" xfId="21028"/>
    <cellStyle name="差_资产负债标准底稿_明细表" xfId="21029"/>
    <cellStyle name="差_资产负债标准底稿_明细表 2" xfId="21030"/>
    <cellStyle name="差_资产负债标准底稿_明细表 3" xfId="21031"/>
    <cellStyle name="差_资产负债标准底稿_明细表 5" xfId="21032"/>
    <cellStyle name="超链接 2 16 2 2" xfId="21033"/>
    <cellStyle name="差_资产负债类底稿模版" xfId="21034"/>
    <cellStyle name="好_资产负债标准底稿 7 2" xfId="21035"/>
    <cellStyle name="差_资产负债类底稿模版 10" xfId="21036"/>
    <cellStyle name="好_资产负债标准底稿 7 2 2" xfId="21037"/>
    <cellStyle name="差_资产负债类底稿模版 10 2" xfId="21038"/>
    <cellStyle name="差_资产负债类底稿模版 10 2 3" xfId="21039"/>
    <cellStyle name="好_ZA0货币资金审定表  16 2" xfId="21040"/>
    <cellStyle name="差_资产负债类底稿模版 10 2 4" xfId="21041"/>
    <cellStyle name="好_检查情况表 2" xfId="21042"/>
    <cellStyle name="好_ZA0货币资金审定表  16 3" xfId="21043"/>
    <cellStyle name="差_资产负债类底稿模版 10 2 5" xfId="21044"/>
    <cellStyle name="好_资产负债标准底稿 7 2 3" xfId="21045"/>
    <cellStyle name="差_资产负债类底稿模版 10 3" xfId="21046"/>
    <cellStyle name="好_财务费用 7 2" xfId="21047"/>
    <cellStyle name="好_资产负债类底稿模版 7 2" xfId="21048"/>
    <cellStyle name="差_资产负债类底稿模版 10_明细表" xfId="21049"/>
    <cellStyle name="好_财务费用 7 2 2" xfId="21050"/>
    <cellStyle name="好_资产负债类底稿模版 7 2 2" xfId="21051"/>
    <cellStyle name="差_资产负债类底稿模版 10_明细表 2" xfId="21052"/>
    <cellStyle name="好_财务费用 7 2 3" xfId="21053"/>
    <cellStyle name="好_资产负债类底稿模版 7 2 3" xfId="21054"/>
    <cellStyle name="差_资产负债类底稿模版 10_明细表 3" xfId="21055"/>
    <cellStyle name="好_财务费用 7 2 4" xfId="21056"/>
    <cellStyle name="好_资产负债类底稿模版 7 2 4" xfId="21057"/>
    <cellStyle name="差_资产负债类底稿模版 10_明细表 4" xfId="21058"/>
    <cellStyle name="好_财务费用 7 2 5" xfId="21059"/>
    <cellStyle name="好_资产负债类底稿模版 7 2 5" xfId="21060"/>
    <cellStyle name="差_资产负债类底稿模版 10_明细表 5" xfId="21061"/>
    <cellStyle name="好_资产负债标准底稿 7 3" xfId="21062"/>
    <cellStyle name="差_资产负债类底稿模版 11" xfId="21063"/>
    <cellStyle name="好_资产负债标准底稿 7 3 2" xfId="21064"/>
    <cellStyle name="好_6-应收利息（空白模板）_附注表一（财务报表）" xfId="21065"/>
    <cellStyle name="常规 5 2 14 2 3" xfId="21066"/>
    <cellStyle name="差_资产负债类底稿模版 11 2" xfId="21067"/>
    <cellStyle name="差_资产负债类底稿模版 11 2 2" xfId="21068"/>
    <cellStyle name="常规 5 2 14 2 4" xfId="21069"/>
    <cellStyle name="差_资产负债类底稿模版 11 3" xfId="21070"/>
    <cellStyle name="差_资产负债类底稿模版 11_附注表一（财务报表）" xfId="21071"/>
    <cellStyle name="差_资产负债类底稿模版 11_明细表" xfId="21072"/>
    <cellStyle name="好_银行函证结果汇总表 5 2 4" xfId="21073"/>
    <cellStyle name="差_资产负债类底稿模版 11_明细表 2" xfId="21074"/>
    <cellStyle name="好_银行函证结果汇总表 5 2 5" xfId="21075"/>
    <cellStyle name="差_资产负债类底稿模版 11_明细表 3" xfId="21076"/>
    <cellStyle name="好_银行函证结果汇总表 5 2 6" xfId="21077"/>
    <cellStyle name="差_资产负债类底稿模版 11_明细表 4" xfId="21078"/>
    <cellStyle name="好_资产负债标准底稿 7 4" xfId="21079"/>
    <cellStyle name="差_资产负债类底稿模版 12" xfId="21080"/>
    <cellStyle name="好_营业收入 10 3" xfId="21081"/>
    <cellStyle name="差_资产负债类底稿模版 12 2" xfId="21082"/>
    <cellStyle name="差_资产负债类底稿模版 12 2 2" xfId="21083"/>
    <cellStyle name="好_营业收入 10 4" xfId="21084"/>
    <cellStyle name="差_资产负债类底稿模版 12 3" xfId="21085"/>
    <cellStyle name="常规 3 25 2" xfId="21086"/>
    <cellStyle name="差_资产负债类底稿模版 12_附注表一（财务报表）" xfId="21087"/>
    <cellStyle name="差_资产负债类底稿模版 12_明细表 3" xfId="21088"/>
    <cellStyle name="差_资产负债类底稿模版 12_明细表 5" xfId="21089"/>
    <cellStyle name="好_营业收入 11 3" xfId="21090"/>
    <cellStyle name="差_资产负债类底稿模版 13 2" xfId="21091"/>
    <cellStyle name="差_资产负债类底稿模版 13 2 2" xfId="21092"/>
    <cellStyle name="差_资产负债类底稿模版 13 3" xfId="21093"/>
    <cellStyle name="常规 3 2 3 2 4 2" xfId="21094"/>
    <cellStyle name="差_资产负债类底稿模版 13_明细表" xfId="21095"/>
    <cellStyle name="差_资产负债类底稿模版 13_明细表 2" xfId="21096"/>
    <cellStyle name="差_资产负债类底稿模版 13_明细表 4" xfId="21097"/>
    <cellStyle name="好_大信底稿目录 10" xfId="21098"/>
    <cellStyle name="差_资产负债类底稿模版 13_明细表 5" xfId="21099"/>
    <cellStyle name="好_大信底稿目录 11" xfId="21100"/>
    <cellStyle name="差_资产负债类底稿模版 14" xfId="21101"/>
    <cellStyle name="好_营业收入 12 3" xfId="21102"/>
    <cellStyle name="差_资产负债类底稿模版 14 2" xfId="21103"/>
    <cellStyle name="差_资产负债类底稿模版 14 3" xfId="21104"/>
    <cellStyle name="差_资产负债类底稿模版 14 4" xfId="21105"/>
    <cellStyle name="差_资产负债类底稿模版 14 5" xfId="21106"/>
    <cellStyle name="差_资产负债类底稿模版 15" xfId="21107"/>
    <cellStyle name="好_4-应收账款（空白模板） 9_明细表 4" xfId="21108"/>
    <cellStyle name="常规 2 2 6 2 3" xfId="21109"/>
    <cellStyle name="差_资产负债类底稿模版 2" xfId="21110"/>
    <cellStyle name="常规 2 2 6 2 3 2" xfId="21111"/>
    <cellStyle name="检查单元格 4" xfId="21112"/>
    <cellStyle name="差_资产负债类底稿模版 2 2" xfId="21113"/>
    <cellStyle name="好_1应付职工薪酬 29" xfId="21114"/>
    <cellStyle name="好_1资产减值损失 11 2 4" xfId="21115"/>
    <cellStyle name="检查单元格 4 2" xfId="21116"/>
    <cellStyle name="差_资产负债类底稿模版 2 2 2" xfId="21117"/>
    <cellStyle name="常规 2 2 6 2 3 3" xfId="21118"/>
    <cellStyle name="检查单元格 5" xfId="21119"/>
    <cellStyle name="差_资产负债类底稿模版 2 3" xfId="21120"/>
    <cellStyle name="好_底稿设置宏_大信底稿目录 15 2 2" xfId="21121"/>
    <cellStyle name="检查单元格 6" xfId="21122"/>
    <cellStyle name="差_资产负债类底稿模版 2 4" xfId="21123"/>
    <cellStyle name="好_G-应收账款 10_明细表 5" xfId="21124"/>
    <cellStyle name="超链接 2 18" xfId="21125"/>
    <cellStyle name="超链接 2 23" xfId="21126"/>
    <cellStyle name="差_资产负债类底稿模版 2_附注表一（财务报表）" xfId="21127"/>
    <cellStyle name="好_明细表_应收账款期末审定表 2 5" xfId="21128"/>
    <cellStyle name="差_资产负债类底稿模版 2_明细表 3" xfId="21129"/>
    <cellStyle name="差_资产负债类底稿模版 2_明细表 4" xfId="21130"/>
    <cellStyle name="差_资产负债类底稿模版 2_明细表 5" xfId="21131"/>
    <cellStyle name="好_1资产减值损失 12 2 4" xfId="21132"/>
    <cellStyle name="差_资产负债类底稿模版 3 2 2" xfId="21133"/>
    <cellStyle name="差_资产负债类底稿模版 3 2 5" xfId="21134"/>
    <cellStyle name="差_资产负债类底稿模版 3 3" xfId="21135"/>
    <cellStyle name="差_资产负债类底稿模版 3_明细表" xfId="21136"/>
    <cellStyle name="差_资产负债类底稿模版 3_明细表 3" xfId="21137"/>
    <cellStyle name="差_资产负债类底稿模版 3_明细表 4" xfId="21138"/>
    <cellStyle name="差_资产负债类底稿模版 3_明细表 5" xfId="21139"/>
    <cellStyle name="常规 2 2 6 2 5" xfId="21140"/>
    <cellStyle name="差_资产负债类底稿模版 4" xfId="21141"/>
    <cellStyle name="常规 3 5 5 2 4" xfId="21142"/>
    <cellStyle name="差_资产负债类底稿模版 4 2" xfId="21143"/>
    <cellStyle name="好_1资产减值损失 13 2 4" xfId="21144"/>
    <cellStyle name="差_资产负债类底稿模版 4 2 2" xfId="21145"/>
    <cellStyle name="差_资产负债类底稿模版 4 2 4" xfId="21146"/>
    <cellStyle name="常规 3 5 5 2 5" xfId="21147"/>
    <cellStyle name="差_资产负债类底稿模版 4 3" xfId="21148"/>
    <cellStyle name="差_资产负债类底稿模版 4_附注表一（财务报表）" xfId="21149"/>
    <cellStyle name="好_1营业成本 2 3 2" xfId="21150"/>
    <cellStyle name="千位分隔 2 43" xfId="21151"/>
    <cellStyle name="千位分隔 2 38" xfId="21152"/>
    <cellStyle name="差_资产负债类底稿模版 4_明细表 3" xfId="21153"/>
    <cellStyle name="好_1营业成本 2 3 3" xfId="21154"/>
    <cellStyle name="千位分隔 2 44" xfId="21155"/>
    <cellStyle name="千位分隔 2 39" xfId="21156"/>
    <cellStyle name="差_资产负债类底稿模版 4_明细表 4" xfId="21157"/>
    <cellStyle name="差_资产负债类底稿模版 5" xfId="21158"/>
    <cellStyle name="好_鲁亚2011.12全年年报资料汇总 2" xfId="21159"/>
    <cellStyle name="好_1资产减值损失 14 2 4" xfId="21160"/>
    <cellStyle name="差_资产负债类底稿模版 5 2 2" xfId="21161"/>
    <cellStyle name="好_鲁亚2011.12全年年报资料汇总 3" xfId="21162"/>
    <cellStyle name="好_1资产减值损失 14 2 5" xfId="21163"/>
    <cellStyle name="差_资产负债类底稿模版 5 2 3" xfId="21164"/>
    <cellStyle name="好_鲁亚2011.12全年年报资料汇总 4" xfId="21165"/>
    <cellStyle name="差_资产负债类底稿模版 5 2 4" xfId="21166"/>
    <cellStyle name="好_资产负债标准底稿 12_明细表 2" xfId="21167"/>
    <cellStyle name="好_鲁亚2011.12全年年报资料汇总 5" xfId="21168"/>
    <cellStyle name="差_资产负债类底稿模版 5 2 5" xfId="21169"/>
    <cellStyle name="差_资产负债类底稿模版 5_附注表一（财务报表）" xfId="21170"/>
    <cellStyle name="差_资产负债类底稿模版 5_明细表" xfId="21171"/>
    <cellStyle name="好_49-营业收入（空白模板） 11 2 4" xfId="21172"/>
    <cellStyle name="常规 2 2 2 5 2 7" xfId="21173"/>
    <cellStyle name="差_资产负债类底稿模版 5_明细表 3" xfId="21174"/>
    <cellStyle name="常规 2 2 2 5 2 9" xfId="21175"/>
    <cellStyle name="差_资产负债类底稿模版 5_明细表 5" xfId="21176"/>
    <cellStyle name="差_资产负债类底稿模版 6" xfId="21177"/>
    <cellStyle name="好_资产减值损失 9_明细表 3" xfId="21178"/>
    <cellStyle name="好_31-预收账款（空白模板） 11_附注表一（财务报表）" xfId="21179"/>
    <cellStyle name="差_资产负债类底稿模版 6 2" xfId="21180"/>
    <cellStyle name="好_1资产减值损失 15 2 4" xfId="21181"/>
    <cellStyle name="差_资产负债类底稿模版 6 2 2" xfId="21182"/>
    <cellStyle name="好_Book1" xfId="21183"/>
    <cellStyle name="好_1资产减值损失 15 2 5" xfId="21184"/>
    <cellStyle name="差_资产负债类底稿模版 6 2 3" xfId="21185"/>
    <cellStyle name="好_Book2" xfId="21186"/>
    <cellStyle name="差_资产负债类底稿模版 6 2 4" xfId="21187"/>
    <cellStyle name="差_资产负债类底稿模版 6 2 5" xfId="21188"/>
    <cellStyle name="差_资产负债类底稿模版 6 3" xfId="21189"/>
    <cellStyle name="差_资产负债类底稿模版 6_附注表一（财务报表）" xfId="21190"/>
    <cellStyle name="差_资产负债类底稿模版 6_明细表" xfId="21191"/>
    <cellStyle name="差_资产负债类底稿模版 6_明细表 3" xfId="21192"/>
    <cellStyle name="差_资产负债类底稿模版 6_明细表 5" xfId="21193"/>
    <cellStyle name="好_30-应付账款（空白模板） 8_附注表一（财务报表）" xfId="21194"/>
    <cellStyle name="差_资产负债类底稿模版 7" xfId="21195"/>
    <cellStyle name="差_资产负债类底稿模版 7 2" xfId="21196"/>
    <cellStyle name="好_1资产减值损失 16 2 5" xfId="21197"/>
    <cellStyle name="差_资产负债类底稿模版 7 2 3" xfId="21198"/>
    <cellStyle name="差_资产负债类底稿模版 7 2 4" xfId="21199"/>
    <cellStyle name="差_资产负债类底稿模版 7 2 5" xfId="21200"/>
    <cellStyle name="差_资产负债类底稿模版 7 3" xfId="21201"/>
    <cellStyle name="差_资产负债类底稿模版 7_明细表" xfId="21202"/>
    <cellStyle name="差_资产负债类底稿模版 7_明细表 2" xfId="21203"/>
    <cellStyle name="差_资产负债类底稿模版 7_明细表 3" xfId="21204"/>
    <cellStyle name="差_资产负债类底稿模版 7_明细表 4" xfId="21205"/>
    <cellStyle name="差_资产负债类底稿模版 7_明细表 5" xfId="21206"/>
    <cellStyle name="差_资产负债类底稿模版 8" xfId="21207"/>
    <cellStyle name="差_资产负债类底稿模版 8 2" xfId="21208"/>
    <cellStyle name="好_1资产减值损失 17 2 4" xfId="21209"/>
    <cellStyle name="差_资产负债类底稿模版 8 2 2" xfId="21210"/>
    <cellStyle name="好_1资产减值损失 17 2 5" xfId="21211"/>
    <cellStyle name="差_资产负债类底稿模版 8 2 3" xfId="21212"/>
    <cellStyle name="差_资产负债类底稿模版 8 2 4" xfId="21213"/>
    <cellStyle name="差_资产负债类底稿模版 8 2 5" xfId="21214"/>
    <cellStyle name="好_FD应付账款 2" xfId="21215"/>
    <cellStyle name="差_资产负债类底稿模版 8 3" xfId="21216"/>
    <cellStyle name="差_资产负债类底稿模版 8_附注表一（财务报表）" xfId="21217"/>
    <cellStyle name="差_资产负债类底稿模版 8_明细表 3" xfId="21218"/>
    <cellStyle name="好__dxn_temp空白表页 15 2 3" xfId="21219"/>
    <cellStyle name="差_资产负债类底稿模版 8_明细表 5" xfId="21220"/>
    <cellStyle name="差_资产负债类底稿模版 9" xfId="21221"/>
    <cellStyle name="差_资产负债类底稿模版 9 2" xfId="21222"/>
    <cellStyle name="差_资产负债类底稿模版 9 3" xfId="21223"/>
    <cellStyle name="差_资产负债类底稿模版 9_明细表 2" xfId="21224"/>
    <cellStyle name="差_资产负债类底稿模版 9_明细表 3" xfId="21225"/>
    <cellStyle name="差_资产负债类底稿模版 9_明细表 4" xfId="21226"/>
    <cellStyle name="差_资产负债类底稿模版 9_明细表 5" xfId="21227"/>
    <cellStyle name="差_资产负债类底稿模版_附注表一（财务报表）" xfId="21228"/>
    <cellStyle name="常规 11 3 2 10" xfId="21229"/>
    <cellStyle name="差_资产负债类底稿模版_明细表" xfId="21230"/>
    <cellStyle name="常规 11 3 2 10 2" xfId="21231"/>
    <cellStyle name="差_资产负债类底稿模版_明细表 2" xfId="21232"/>
    <cellStyle name="常规 11 3 2 10 3" xfId="21233"/>
    <cellStyle name="差_资产负债类底稿模版_明细表 3" xfId="21234"/>
    <cellStyle name="差_资产负债类底稿模版_明细表 4" xfId="21235"/>
    <cellStyle name="差_资产负债类底稿模版_明细表 5" xfId="21236"/>
    <cellStyle name="差_资产减值损失 2 2" xfId="21237"/>
    <cellStyle name="差_资产减值损失 2 3" xfId="21238"/>
    <cellStyle name="常?_嶺南二期底商" xfId="21239"/>
    <cellStyle name="常规 10" xfId="21240"/>
    <cellStyle name="常规 10 10" xfId="21241"/>
    <cellStyle name="常规 10 10 2" xfId="21242"/>
    <cellStyle name="常规 5 19 2" xfId="21243"/>
    <cellStyle name="常规 5 24 2" xfId="21244"/>
    <cellStyle name="常规 10 10 3" xfId="21245"/>
    <cellStyle name="好_审定表" xfId="21246"/>
    <cellStyle name="常规 10 11" xfId="21247"/>
    <cellStyle name="常规 10 12" xfId="21248"/>
    <cellStyle name="常规 10 13" xfId="21249"/>
    <cellStyle name="常规 10 14" xfId="21250"/>
    <cellStyle name="常规 6 2 4 3" xfId="21251"/>
    <cellStyle name="常规 10 2" xfId="21252"/>
    <cellStyle name="常规 10 2 11" xfId="21253"/>
    <cellStyle name="常规 10 2 2" xfId="21254"/>
    <cellStyle name="常规 10 2 2 2 2 2" xfId="21255"/>
    <cellStyle name="常规 10 2 2 3" xfId="21256"/>
    <cellStyle name="好_1短期借款 3 2 3" xfId="21257"/>
    <cellStyle name="常规 10 2 2 3 2" xfId="21258"/>
    <cellStyle name="常规 10 2 2 4" xfId="21259"/>
    <cellStyle name="常规 10 2 2 5" xfId="21260"/>
    <cellStyle name="常规 10 2 3" xfId="21261"/>
    <cellStyle name="常规 10 2 3 2" xfId="21262"/>
    <cellStyle name="常规 10 2 3 3" xfId="21263"/>
    <cellStyle name="好_1短期借款 4 2 4" xfId="21264"/>
    <cellStyle name="千位分隔 3 2 15 3" xfId="21265"/>
    <cellStyle name="常规 3 5 6 2" xfId="21266"/>
    <cellStyle name="常规 10 2 3 3 3" xfId="21267"/>
    <cellStyle name="常规 10 2 3 4" xfId="21268"/>
    <cellStyle name="常规 10 2 3 4 2" xfId="21269"/>
    <cellStyle name="好_G-应收账款 14 2 3" xfId="21270"/>
    <cellStyle name="常规 10 2 3 4 3" xfId="21271"/>
    <cellStyle name="好_G-应收账款 14 2 4" xfId="21272"/>
    <cellStyle name="千位分隔 3 2 21 3" xfId="21273"/>
    <cellStyle name="常规 3 5 7 2" xfId="21274"/>
    <cellStyle name="常规 10 2 3 5" xfId="21275"/>
    <cellStyle name="常规 10 2 3 6" xfId="21276"/>
    <cellStyle name="常规 10 2 4" xfId="21277"/>
    <cellStyle name="常规 10 2 4 2" xfId="21278"/>
    <cellStyle name="好_管理费用 3" xfId="21279"/>
    <cellStyle name="常规 10 2 4 2 2" xfId="21280"/>
    <cellStyle name="好_管理费用 4" xfId="21281"/>
    <cellStyle name="常规 10 2 4 2 3" xfId="21282"/>
    <cellStyle name="常规 10 2 4 3" xfId="21283"/>
    <cellStyle name="常规 10 2 4 4" xfId="21284"/>
    <cellStyle name="常规 10 2 5" xfId="21285"/>
    <cellStyle name="常规 10 2 5 2" xfId="21286"/>
    <cellStyle name="常规 10 2 5 3" xfId="21287"/>
    <cellStyle name="常规 10 2 6" xfId="21288"/>
    <cellStyle name="常规 10 2 6 2" xfId="21289"/>
    <cellStyle name="常规 10 2 6 3" xfId="21290"/>
    <cellStyle name="常规 10 2 7" xfId="21291"/>
    <cellStyle name="常规 10 2 7 2" xfId="21292"/>
    <cellStyle name="常规 10 2 7 3" xfId="21293"/>
    <cellStyle name="常规 10 2 9" xfId="21294"/>
    <cellStyle name="常规 10 2_短期投资计划实施的审计程序" xfId="21295"/>
    <cellStyle name="常规 6 2 4 4" xfId="21296"/>
    <cellStyle name="常规 10 3" xfId="21297"/>
    <cellStyle name="常规 10 3 2" xfId="21298"/>
    <cellStyle name="常规 2 25 3" xfId="21299"/>
    <cellStyle name="常规 10 3 2 2" xfId="21300"/>
    <cellStyle name="常规 10 3 2 3" xfId="21301"/>
    <cellStyle name="常规 6 2 4 5" xfId="21302"/>
    <cellStyle name="常规 10 4" xfId="21303"/>
    <cellStyle name="常规 10 4 2" xfId="21304"/>
    <cellStyle name="常规 10 4 3" xfId="21305"/>
    <cellStyle name="常规 10 4 4" xfId="21306"/>
    <cellStyle name="常规 6 2 4 6" xfId="21307"/>
    <cellStyle name="常规 10 5" xfId="21308"/>
    <cellStyle name="常规 10 5 2" xfId="21309"/>
    <cellStyle name="好_财务费用 3 2 2" xfId="21310"/>
    <cellStyle name="常规 6 2 4 7" xfId="21311"/>
    <cellStyle name="常规 10 6" xfId="21312"/>
    <cellStyle name="好_54-财务费用（空白模板） 6 2 3" xfId="21313"/>
    <cellStyle name="常规 10 6 2" xfId="21314"/>
    <cellStyle name="好_54-财务费用（空白模板） 6 2 4" xfId="21315"/>
    <cellStyle name="常规 10 6 3" xfId="21316"/>
    <cellStyle name="好_财务费用 3 2 3" xfId="21317"/>
    <cellStyle name="常规 6 2 4 8" xfId="21318"/>
    <cellStyle name="常规 10 7" xfId="21319"/>
    <cellStyle name="常规 10 7 2" xfId="21320"/>
    <cellStyle name="好_财务费用 3 2 4" xfId="21321"/>
    <cellStyle name="常规 6 2 4 9" xfId="21322"/>
    <cellStyle name="常规 10 8" xfId="21323"/>
    <cellStyle name="好_49-营业收入（空白模板）_明细表" xfId="21324"/>
    <cellStyle name="常规 10 8 2" xfId="21325"/>
    <cellStyle name="常规 10 8 3" xfId="21326"/>
    <cellStyle name="好_财务费用 3 2 5" xfId="21327"/>
    <cellStyle name="常规 10 9" xfId="21328"/>
    <cellStyle name="常规 10 9 2" xfId="21329"/>
    <cellStyle name="好_30-应付账款（空白模板） 9 2 2" xfId="21330"/>
    <cellStyle name="常规 10 9 3" xfId="21331"/>
    <cellStyle name="常规 100" xfId="21332"/>
    <cellStyle name="常规 4 5" xfId="21333"/>
    <cellStyle name="常规 100 2" xfId="21334"/>
    <cellStyle name="常规 4 5 2" xfId="21335"/>
    <cellStyle name="常规 102" xfId="21336"/>
    <cellStyle name="常规 4 7" xfId="21337"/>
    <cellStyle name="常规 103" xfId="21338"/>
    <cellStyle name="常规 4 8" xfId="21339"/>
    <cellStyle name="常规 104" xfId="21340"/>
    <cellStyle name="常规 4 9" xfId="21341"/>
    <cellStyle name="千位分隔 4 2 2 6" xfId="21342"/>
    <cellStyle name="好_应收账款_明细表_1 3" xfId="21343"/>
    <cellStyle name="常规 107" xfId="21344"/>
    <cellStyle name="常规 112" xfId="21345"/>
    <cellStyle name="常规 107 2" xfId="21346"/>
    <cellStyle name="千位分隔 4 2 2 7" xfId="21347"/>
    <cellStyle name="好_应收账款_明细表_1 4" xfId="21348"/>
    <cellStyle name="常规 108" xfId="21349"/>
    <cellStyle name="常规 113" xfId="21350"/>
    <cellStyle name="好_应收账款_明细表_1 5" xfId="21351"/>
    <cellStyle name="常规 109" xfId="21352"/>
    <cellStyle name="常规 114" xfId="21353"/>
    <cellStyle name="常规 11" xfId="21354"/>
    <cellStyle name="常规 11 2 11" xfId="21355"/>
    <cellStyle name="常规 11 2 2 2" xfId="21356"/>
    <cellStyle name="常规 11 2 2 3" xfId="21357"/>
    <cellStyle name="常规 11 2 2 4" xfId="21358"/>
    <cellStyle name="常规 11 2 2 5" xfId="21359"/>
    <cellStyle name="常规 11 2 3" xfId="21360"/>
    <cellStyle name="常规 11 2 4" xfId="21361"/>
    <cellStyle name="常规 11 2 5" xfId="21362"/>
    <cellStyle name="常规 11 2 6" xfId="21363"/>
    <cellStyle name="常规 11 2 7" xfId="21364"/>
    <cellStyle name="常规 11 2_附注表一（财务报表）" xfId="21365"/>
    <cellStyle name="常规 11 3" xfId="21366"/>
    <cellStyle name="常规 11 3 2 11" xfId="21367"/>
    <cellStyle name="常规 11 3 2 11 2" xfId="21368"/>
    <cellStyle name="常规 11 3 2 11 3" xfId="21369"/>
    <cellStyle name="常规 172" xfId="21370"/>
    <cellStyle name="常规 11 3 2 12" xfId="21371"/>
    <cellStyle name="常规 172 2" xfId="21372"/>
    <cellStyle name="常规 11 3 2 12 2" xfId="21373"/>
    <cellStyle name="常规 172 3" xfId="21374"/>
    <cellStyle name="常规 11 3 2 12 3" xfId="21375"/>
    <cellStyle name="常规 173" xfId="21376"/>
    <cellStyle name="常规 11 3 2 13" xfId="21377"/>
    <cellStyle name="常规 173 2" xfId="21378"/>
    <cellStyle name="常规 11 3 2 13 2" xfId="21379"/>
    <cellStyle name="常规 174" xfId="21380"/>
    <cellStyle name="常规 11 3 2 14" xfId="21381"/>
    <cellStyle name="常规 18 2 2" xfId="21382"/>
    <cellStyle name="常规 11 3 2 2 2 2" xfId="21383"/>
    <cellStyle name="常规 18 2 3" xfId="21384"/>
    <cellStyle name="常规 11 3 2 2 2 3" xfId="21385"/>
    <cellStyle name="常规 11 3 2 2 2 5" xfId="21386"/>
    <cellStyle name="好_资产负债标准底稿 14" xfId="21387"/>
    <cellStyle name="好_15-固定资产（空白模板） 10_明细表 4" xfId="21388"/>
    <cellStyle name="常规 18 3 2" xfId="21389"/>
    <cellStyle name="常规 11 3 2 2 3 2" xfId="21390"/>
    <cellStyle name="常规 18 4" xfId="21391"/>
    <cellStyle name="常规 5 39" xfId="21392"/>
    <cellStyle name="常规 11 3 2 2 4" xfId="21393"/>
    <cellStyle name="常规 11 3 2 2 4 2" xfId="21394"/>
    <cellStyle name="超链接 3 6 3 2" xfId="21395"/>
    <cellStyle name="常规 11 3 2 2 5" xfId="21396"/>
    <cellStyle name="常规 11 3 2 2 5 2" xfId="21397"/>
    <cellStyle name="常规 3 2 2_附注表一（财务报表）" xfId="21398"/>
    <cellStyle name="常规 11 3 2 2 6" xfId="21399"/>
    <cellStyle name="好_19-无形资产（空白模板） 17 2 2" xfId="21400"/>
    <cellStyle name="常规 11 3 2 2 7" xfId="21401"/>
    <cellStyle name="好_4-应收账款（空白模板） 15 2 2" xfId="21402"/>
    <cellStyle name="好_19-无形资产（空白模板） 17 2 3" xfId="21403"/>
    <cellStyle name="常规 11 3 2 2 8" xfId="21404"/>
    <cellStyle name="常规 7 3 4 3" xfId="21405"/>
    <cellStyle name="常规 11 3 2 2_附注表一（财务报表）" xfId="21406"/>
    <cellStyle name="常规 19" xfId="21407"/>
    <cellStyle name="常规 24" xfId="21408"/>
    <cellStyle name="常规 11 3 2 3" xfId="21409"/>
    <cellStyle name="好_专项应付款 3 3 2" xfId="21410"/>
    <cellStyle name="好_应交税费 3" xfId="21411"/>
    <cellStyle name="常规 11 3 2 3 2 2 4" xfId="21412"/>
    <cellStyle name="好_应交税费 4" xfId="21413"/>
    <cellStyle name="常规 11 3 2 3 2 2 5" xfId="21414"/>
    <cellStyle name="常规 11 3 2 3 2 4" xfId="21415"/>
    <cellStyle name="常规 11 3 2 3 2 5" xfId="21416"/>
    <cellStyle name="常规 11 3 2 3 2 6" xfId="21417"/>
    <cellStyle name="常规 19 3" xfId="21418"/>
    <cellStyle name="常规 11 3 2 3 3" xfId="21419"/>
    <cellStyle name="常规 11 3 2 3 3 2" xfId="21420"/>
    <cellStyle name="常规 11 3 2 3 3 4" xfId="21421"/>
    <cellStyle name="常规 11 3 2 3 3 5" xfId="21422"/>
    <cellStyle name="常规 11 3 2 3 4" xfId="21423"/>
    <cellStyle name="常规 11 3 2 3 4 2" xfId="21424"/>
    <cellStyle name="常规 11 3 2 3 5" xfId="21425"/>
    <cellStyle name="常规 11 3 2 3_附注表一（财务报表）" xfId="21426"/>
    <cellStyle name="常规 25" xfId="21427"/>
    <cellStyle name="常规 30" xfId="21428"/>
    <cellStyle name="常规 11 3 2 4" xfId="21429"/>
    <cellStyle name="好_1固定资产 11_明细表" xfId="21430"/>
    <cellStyle name="常规 25 2" xfId="21431"/>
    <cellStyle name="常规 30 2" xfId="21432"/>
    <cellStyle name="常规 11 3 2 4 2" xfId="21433"/>
    <cellStyle name="好_1固定资产 11_明细表 2" xfId="21434"/>
    <cellStyle name="常规 5 2 16 5" xfId="21435"/>
    <cellStyle name="常规 25 2 2" xfId="21436"/>
    <cellStyle name="常规 30 2 2" xfId="21437"/>
    <cellStyle name="常规 11 3 2 4 2 2" xfId="21438"/>
    <cellStyle name="好_1固定资产 11_明细表 3" xfId="21439"/>
    <cellStyle name="常规 25 2 3" xfId="21440"/>
    <cellStyle name="常规 30 2 3" xfId="21441"/>
    <cellStyle name="常规 11 3 2 4 2 3" xfId="21442"/>
    <cellStyle name="好_1固定资产 11_明细表 4" xfId="21443"/>
    <cellStyle name="常规 25 2 4" xfId="21444"/>
    <cellStyle name="常规 30 2 4" xfId="21445"/>
    <cellStyle name="常规 11 3 2 4 2 4" xfId="21446"/>
    <cellStyle name="好_1固定资产 11_明细表 5" xfId="21447"/>
    <cellStyle name="常规 11 3 2 4 2 5" xfId="21448"/>
    <cellStyle name="常规 25 3" xfId="21449"/>
    <cellStyle name="常规 30 3" xfId="21450"/>
    <cellStyle name="常规 11 3 2 4 3" xfId="21451"/>
    <cellStyle name="常规 25 4" xfId="21452"/>
    <cellStyle name="常规 30 4" xfId="21453"/>
    <cellStyle name="常规 11 3 2 4 4" xfId="21454"/>
    <cellStyle name="常规 25 5" xfId="21455"/>
    <cellStyle name="常规 30 5" xfId="21456"/>
    <cellStyle name="常规 11 3 2 4 5" xfId="21457"/>
    <cellStyle name="常规 25 6" xfId="21458"/>
    <cellStyle name="常规 11 3 2 4 6" xfId="21459"/>
    <cellStyle name="常规 11 3 2 4_附注表一（财务报表）" xfId="21460"/>
    <cellStyle name="常规 26" xfId="21461"/>
    <cellStyle name="常规 31" xfId="21462"/>
    <cellStyle name="常规 11 3 2 5" xfId="21463"/>
    <cellStyle name="常规 31 2 2" xfId="21464"/>
    <cellStyle name="常规 11 3 2 5 2 2" xfId="21465"/>
    <cellStyle name="常规 31 4" xfId="21466"/>
    <cellStyle name="常规 11 3 2 5 4" xfId="21467"/>
    <cellStyle name="常规 31 5" xfId="21468"/>
    <cellStyle name="常规 11 3 2 5 5" xfId="21469"/>
    <cellStyle name="好_1财务费用 4_明细表" xfId="21470"/>
    <cellStyle name="常规 11 3 2 5_附注表一（财务报表）" xfId="21471"/>
    <cellStyle name="常规 27" xfId="21472"/>
    <cellStyle name="常规 32" xfId="21473"/>
    <cellStyle name="常规 11 3 2 6" xfId="21474"/>
    <cellStyle name="千位分隔 2 3 6 2 4" xfId="21475"/>
    <cellStyle name="常规 27 2" xfId="21476"/>
    <cellStyle name="常规 32 2" xfId="21477"/>
    <cellStyle name="常规 11 3 2 6 2" xfId="21478"/>
    <cellStyle name="常规 11 3 2 6 2 2" xfId="21479"/>
    <cellStyle name="好_54-财务费用（空白模板） 3" xfId="21480"/>
    <cellStyle name="常规 32 2 2" xfId="21481"/>
    <cellStyle name="千位分隔 2 3 6 2 5" xfId="21482"/>
    <cellStyle name="常规 32 3" xfId="21483"/>
    <cellStyle name="常规 11 3 2 6 3" xfId="21484"/>
    <cellStyle name="常规 28" xfId="21485"/>
    <cellStyle name="常规 33" xfId="21486"/>
    <cellStyle name="好_49-营业收入（空白模板） 2_附注表一（财务报表）" xfId="21487"/>
    <cellStyle name="常规 11 3 2 7" xfId="21488"/>
    <cellStyle name="常规 33 2 2" xfId="21489"/>
    <cellStyle name="常规 11 3 2 7 2 2" xfId="21490"/>
    <cellStyle name="常规 33 3" xfId="21491"/>
    <cellStyle name="常规 11 3 2 7 3" xfId="21492"/>
    <cellStyle name="常规 33 4" xfId="21493"/>
    <cellStyle name="常规 11 3 2 7 4" xfId="21494"/>
    <cellStyle name="常规 29" xfId="21495"/>
    <cellStyle name="常规 34" xfId="21496"/>
    <cellStyle name="常规 11 3 2 8" xfId="21497"/>
    <cellStyle name="常规 29 2" xfId="21498"/>
    <cellStyle name="常规 34 2" xfId="21499"/>
    <cellStyle name="常规 11 3 2 8 2" xfId="21500"/>
    <cellStyle name="常规 29 2 2" xfId="21501"/>
    <cellStyle name="常规 34 2 2" xfId="21502"/>
    <cellStyle name="超链接 4 7" xfId="21503"/>
    <cellStyle name="常规 11 3 2 8 2 2" xfId="21504"/>
    <cellStyle name="常规 29 3" xfId="21505"/>
    <cellStyle name="常规 34 3" xfId="21506"/>
    <cellStyle name="常规 11 3 2 8 3" xfId="21507"/>
    <cellStyle name="常规 29 4" xfId="21508"/>
    <cellStyle name="常规 34 4" xfId="21509"/>
    <cellStyle name="常规 11 3 2 8 4" xfId="21510"/>
    <cellStyle name="常规 35" xfId="21511"/>
    <cellStyle name="常规 40" xfId="21512"/>
    <cellStyle name="常规 11 3 2 9" xfId="21513"/>
    <cellStyle name="常规 35 2" xfId="21514"/>
    <cellStyle name="常规 11 3 2 9 2" xfId="21515"/>
    <cellStyle name="常规 35 2 2" xfId="21516"/>
    <cellStyle name="常规 11 3 2 9 2 2" xfId="21517"/>
    <cellStyle name="常规 35 3" xfId="21518"/>
    <cellStyle name="常规 11 3 2 9 3" xfId="21519"/>
    <cellStyle name="常规 35 4" xfId="21520"/>
    <cellStyle name="常规 11 3 2 9 4" xfId="21521"/>
    <cellStyle name="常规 11 3 2_11年应收帐款" xfId="21522"/>
    <cellStyle name="常规 68" xfId="21523"/>
    <cellStyle name="常规 73" xfId="21524"/>
    <cellStyle name="常规 11 3 3 2" xfId="21525"/>
    <cellStyle name="常规 69" xfId="21526"/>
    <cellStyle name="常规 74" xfId="21527"/>
    <cellStyle name="常规 11 3 3 3" xfId="21528"/>
    <cellStyle name="常规 75" xfId="21529"/>
    <cellStyle name="常规 80" xfId="21530"/>
    <cellStyle name="常规 11 3 3 4" xfId="21531"/>
    <cellStyle name="好_底稿设置宏_大信底稿目录 9_明细表" xfId="21532"/>
    <cellStyle name="常规 76" xfId="21533"/>
    <cellStyle name="常规 81" xfId="21534"/>
    <cellStyle name="常规 11 3 3 5" xfId="21535"/>
    <cellStyle name="常规 11 3_附注表一（财务报表）" xfId="21536"/>
    <cellStyle name="常规 11 4" xfId="21537"/>
    <cellStyle name="常规_应付职工薪酬 2" xfId="21538"/>
    <cellStyle name="常规 11 4 2" xfId="21539"/>
    <cellStyle name="常规 11 4 2 2" xfId="21540"/>
    <cellStyle name="常规 11 4 2 3" xfId="21541"/>
    <cellStyle name="常规 11 4 3" xfId="21542"/>
    <cellStyle name="常规 11 4 4" xfId="21543"/>
    <cellStyle name="好_ZP在建工程 4 2" xfId="21544"/>
    <cellStyle name="常规 11 4_附注表一（财务报表）" xfId="21545"/>
    <cellStyle name="常规 11 5" xfId="21546"/>
    <cellStyle name="常规 11 5 2 5" xfId="21547"/>
    <cellStyle name="好_1资产减值损失 16" xfId="21548"/>
    <cellStyle name="好_1资产减值损失 21" xfId="21549"/>
    <cellStyle name="常规 2 2 2 2 2 2 2 2 2" xfId="21550"/>
    <cellStyle name="常规 11 5 3" xfId="21551"/>
    <cellStyle name="常规 11 5_附注表一（财务报表）" xfId="21552"/>
    <cellStyle name="好_财务费用 3 3 2" xfId="21553"/>
    <cellStyle name="常规 11 6" xfId="21554"/>
    <cellStyle name="好_51-营业税金及附加（空白模板） 5_明细表 5" xfId="21555"/>
    <cellStyle name="常规 11 6 2 2" xfId="21556"/>
    <cellStyle name="好_54-财务费用（空白模板） 7 2 4" xfId="21557"/>
    <cellStyle name="常规 11 6 3" xfId="21558"/>
    <cellStyle name="常规 11 7" xfId="21559"/>
    <cellStyle name="常规 2 2 2 2 2 10" xfId="21560"/>
    <cellStyle name="常规 11 7 2" xfId="21561"/>
    <cellStyle name="常规 2 2 2 2 2 11" xfId="21562"/>
    <cellStyle name="常规 11 7 3" xfId="21563"/>
    <cellStyle name="常规 2 2 2 2 2 12" xfId="21564"/>
    <cellStyle name="常规 11 7 4" xfId="21565"/>
    <cellStyle name="常规 2 2 2 2 2 13" xfId="21566"/>
    <cellStyle name="常规 11 7 5" xfId="21567"/>
    <cellStyle name="常规 11_附注表一（财务报表）" xfId="21568"/>
    <cellStyle name="常规 115" xfId="21569"/>
    <cellStyle name="常规 120" xfId="21570"/>
    <cellStyle name="常规 116" xfId="21571"/>
    <cellStyle name="常规 121" xfId="21572"/>
    <cellStyle name="常规 117" xfId="21573"/>
    <cellStyle name="常规 122" xfId="21574"/>
    <cellStyle name="常规 118" xfId="21575"/>
    <cellStyle name="常规 123" xfId="21576"/>
    <cellStyle name="常规 119" xfId="21577"/>
    <cellStyle name="常规 124" xfId="21578"/>
    <cellStyle name="常规 12" xfId="21579"/>
    <cellStyle name="注释 6 2 2" xfId="21580"/>
    <cellStyle name="常规 12 10" xfId="21581"/>
    <cellStyle name="注释 6 2 3" xfId="21582"/>
    <cellStyle name="常规 12 11" xfId="21583"/>
    <cellStyle name="常规 12 12" xfId="21584"/>
    <cellStyle name="常规 12 13" xfId="21585"/>
    <cellStyle name="常规 12 2" xfId="21586"/>
    <cellStyle name="常规 12 2 2" xfId="21587"/>
    <cellStyle name="常规 12 2 2 2" xfId="21588"/>
    <cellStyle name="常规 12 2 3" xfId="21589"/>
    <cellStyle name="好_无形资产 8_附注表一（财务报表）" xfId="21590"/>
    <cellStyle name="常规 12 2 4" xfId="21591"/>
    <cellStyle name="好_15-固定资产（空白模板） 3_明细表 2" xfId="21592"/>
    <cellStyle name="常规 12 2 5" xfId="21593"/>
    <cellStyle name="常规 12 3" xfId="21594"/>
    <cellStyle name="常规 12 3 2" xfId="21595"/>
    <cellStyle name="好_39-长期应付款（空白模板） 3" xfId="21596"/>
    <cellStyle name="常规 12 4" xfId="21597"/>
    <cellStyle name="好_27-短期借款(空白模板) 17 2 2" xfId="21598"/>
    <cellStyle name="好_31-预收账款（空白模板） 4_明细表 3" xfId="21599"/>
    <cellStyle name="常规 12 4 2" xfId="21600"/>
    <cellStyle name="好_31-预收账款（空白模板） 4_明细表 4" xfId="21601"/>
    <cellStyle name="常规 12 4 3" xfId="21602"/>
    <cellStyle name="常规 12 5" xfId="21603"/>
    <cellStyle name="好_27-短期借款(空白模板) 17 2 3" xfId="21604"/>
    <cellStyle name="常规 12 6" xfId="21605"/>
    <cellStyle name="好_27-短期借款(空白模板) 17 2 4" xfId="21606"/>
    <cellStyle name="常规 12 8" xfId="21607"/>
    <cellStyle name="常规 12 9" xfId="21608"/>
    <cellStyle name="常规 12_附注表一（财务报表）" xfId="21609"/>
    <cellStyle name="常规 125" xfId="21610"/>
    <cellStyle name="常规 130" xfId="21611"/>
    <cellStyle name="常规 126" xfId="21612"/>
    <cellStyle name="常规 131" xfId="21613"/>
    <cellStyle name="常规 129" xfId="21614"/>
    <cellStyle name="常规 134" xfId="21615"/>
    <cellStyle name="好_底稿设置宏 4 3 2" xfId="21616"/>
    <cellStyle name="常规 13" xfId="21617"/>
    <cellStyle name="好_1财务费用 5_明细表 4" xfId="21618"/>
    <cellStyle name="常规 13 10" xfId="21619"/>
    <cellStyle name="好_1财务费用 5_明细表 5" xfId="21620"/>
    <cellStyle name="常规 13 11" xfId="21621"/>
    <cellStyle name="常规 13 12" xfId="21622"/>
    <cellStyle name="常规 13 2" xfId="21623"/>
    <cellStyle name="常规 13 2 2" xfId="21624"/>
    <cellStyle name="常规 13 2 2 2" xfId="21625"/>
    <cellStyle name="常规 2 2 2 2 3 2 2" xfId="21626"/>
    <cellStyle name="常规 13 2 2 3" xfId="21627"/>
    <cellStyle name="常规 13 2 4" xfId="21628"/>
    <cellStyle name="常规 13 2 5" xfId="21629"/>
    <cellStyle name="常规 13 3" xfId="21630"/>
    <cellStyle name="好_资产负债标准底稿_大信底稿目录 11_附注表一（财务报表）" xfId="21631"/>
    <cellStyle name="常规 13 3 2" xfId="21632"/>
    <cellStyle name="常规 13 4" xfId="21633"/>
    <cellStyle name="常规 13 4 2" xfId="21634"/>
    <cellStyle name="常规 13 4 3" xfId="21635"/>
    <cellStyle name="常规 13 5" xfId="21636"/>
    <cellStyle name="常规 13 5 2" xfId="21637"/>
    <cellStyle name="常规 13 5 3" xfId="21638"/>
    <cellStyle name="常规 13 6" xfId="21639"/>
    <cellStyle name="常规 13 7 2" xfId="21640"/>
    <cellStyle name="常规 13 8" xfId="21641"/>
    <cellStyle name="常规 13 9" xfId="21642"/>
    <cellStyle name="好_1专项应付款 14" xfId="21643"/>
    <cellStyle name="常规 13_附注表一（财务报表）" xfId="21644"/>
    <cellStyle name="常规 132" xfId="21645"/>
    <cellStyle name="常规 133" xfId="21646"/>
    <cellStyle name="常规 135" xfId="21647"/>
    <cellStyle name="常规 14" xfId="21648"/>
    <cellStyle name="常规 14 2" xfId="21649"/>
    <cellStyle name="常规 14 2 2" xfId="21650"/>
    <cellStyle name="常规 14 2 3" xfId="21651"/>
    <cellStyle name="常规 14 2 4" xfId="21652"/>
    <cellStyle name="常规 14 2 5" xfId="21653"/>
    <cellStyle name="常规 14 3" xfId="21654"/>
    <cellStyle name="常规 14 3 2" xfId="21655"/>
    <cellStyle name="常规 14 4" xfId="21656"/>
    <cellStyle name="常规 14 5" xfId="21657"/>
    <cellStyle name="常规 14 5 2" xfId="21658"/>
    <cellStyle name="好_短期借款 12 2 3" xfId="21659"/>
    <cellStyle name="好_22-长期待摊费用（空白模板）_明细表_1 3" xfId="21660"/>
    <cellStyle name="常规 14_附注表一（财务报表）" xfId="21661"/>
    <cellStyle name="常规 15 10" xfId="21662"/>
    <cellStyle name="常规 15 11" xfId="21663"/>
    <cellStyle name="常规 15 12" xfId="21664"/>
    <cellStyle name="常规 15 6" xfId="21665"/>
    <cellStyle name="常规 15 7" xfId="21666"/>
    <cellStyle name="常规 15 8" xfId="21667"/>
    <cellStyle name="常规 15 9" xfId="21668"/>
    <cellStyle name="常规 16" xfId="21669"/>
    <cellStyle name="常规 21" xfId="21670"/>
    <cellStyle name="常规 16 2 2 3" xfId="21671"/>
    <cellStyle name="常规 16 2 2 4" xfId="21672"/>
    <cellStyle name="常规 16 2 2 5" xfId="21673"/>
    <cellStyle name="常规 16 2 6" xfId="21674"/>
    <cellStyle name="常规 17" xfId="21675"/>
    <cellStyle name="常规 22" xfId="21676"/>
    <cellStyle name="常规 17 11" xfId="21677"/>
    <cellStyle name="超链接 3 6 2 3" xfId="21678"/>
    <cellStyle name="常规 17 6" xfId="21679"/>
    <cellStyle name="超链接 3 6 2 4" xfId="21680"/>
    <cellStyle name="常规 17 7" xfId="21681"/>
    <cellStyle name="超链接 3 6 2 5" xfId="21682"/>
    <cellStyle name="常规 17 8" xfId="21683"/>
    <cellStyle name="常规 17 9" xfId="21684"/>
    <cellStyle name="常规 172 2 2 3" xfId="21685"/>
    <cellStyle name="常规 172 2 3" xfId="21686"/>
    <cellStyle name="常规 172 2 4" xfId="21687"/>
    <cellStyle name="常规 172 3 2" xfId="21688"/>
    <cellStyle name="常规 172 3 3" xfId="21689"/>
    <cellStyle name="常规 172 4" xfId="21690"/>
    <cellStyle name="常规 172 5" xfId="21691"/>
    <cellStyle name="常规 173 2 3" xfId="21692"/>
    <cellStyle name="好_ZA0货币资金审定表 _明细表 2" xfId="21693"/>
    <cellStyle name="常规 173 2 4" xfId="21694"/>
    <cellStyle name="好_ZA0货币资金审定表 _明细表 3" xfId="21695"/>
    <cellStyle name="好_专项应付款 2 2" xfId="21696"/>
    <cellStyle name="常规 173 3" xfId="21697"/>
    <cellStyle name="好_预收款项 2 2 3" xfId="21698"/>
    <cellStyle name="好_专项应付款 2 2 2" xfId="21699"/>
    <cellStyle name="常规 173 3 2" xfId="21700"/>
    <cellStyle name="好_预收款项 2 2 4" xfId="21701"/>
    <cellStyle name="好_专项应付款 2 2 3" xfId="21702"/>
    <cellStyle name="常规 173 3 3" xfId="21703"/>
    <cellStyle name="好_专项应付款 2 3" xfId="21704"/>
    <cellStyle name="常规 173 4" xfId="21705"/>
    <cellStyle name="常规 174 2" xfId="21706"/>
    <cellStyle name="常规 174 2 2 2" xfId="21707"/>
    <cellStyle name="常规 174 2 2 3" xfId="21708"/>
    <cellStyle name="常规 174 2 3" xfId="21709"/>
    <cellStyle name="常规 3 2 2 2 13" xfId="21710"/>
    <cellStyle name="好_专项应付款 3 2" xfId="21711"/>
    <cellStyle name="常规 174 3" xfId="21712"/>
    <cellStyle name="好_预收款项 3 2 3" xfId="21713"/>
    <cellStyle name="好_专项应付款 3 2 2" xfId="21714"/>
    <cellStyle name="常规 174 3 2" xfId="21715"/>
    <cellStyle name="好_预收款项 3 2 4" xfId="21716"/>
    <cellStyle name="好_专项应付款 3 2 3" xfId="21717"/>
    <cellStyle name="常规 174 3 3" xfId="21718"/>
    <cellStyle name="好_专项应付款 3 3" xfId="21719"/>
    <cellStyle name="常规 174 4" xfId="21720"/>
    <cellStyle name="好_专项应付款 3 4" xfId="21721"/>
    <cellStyle name="常规 174 5" xfId="21722"/>
    <cellStyle name="好_FD 应付账款 5" xfId="21723"/>
    <cellStyle name="好_1专项应付款 8" xfId="21724"/>
    <cellStyle name="好_54-财务费用（空白模板） 12_明细表 3" xfId="21725"/>
    <cellStyle name="常规 175 2" xfId="21726"/>
    <cellStyle name="常规 180 2" xfId="21727"/>
    <cellStyle name="好_FD 应付账款 5 2" xfId="21728"/>
    <cellStyle name="好_1专项应付款 8 2" xfId="21729"/>
    <cellStyle name="常规 175 2 2" xfId="21730"/>
    <cellStyle name="常规 180 2 2" xfId="21731"/>
    <cellStyle name="好_底稿设置宏 8" xfId="21732"/>
    <cellStyle name="好_1专项应付款 8 2 2" xfId="21733"/>
    <cellStyle name="常规 175 2 2 2" xfId="21734"/>
    <cellStyle name="常规 180 2 2 2" xfId="21735"/>
    <cellStyle name="好_底稿设置宏 8 2" xfId="21736"/>
    <cellStyle name="常规 175 2 2 2 2" xfId="21737"/>
    <cellStyle name="常规 180 2 2 2 2" xfId="21738"/>
    <cellStyle name="好_底稿设置宏 8 3" xfId="21739"/>
    <cellStyle name="常规 175 2 2 2 3" xfId="21740"/>
    <cellStyle name="常规 180 2 2 2 3" xfId="21741"/>
    <cellStyle name="好_底稿设置宏 9" xfId="21742"/>
    <cellStyle name="好_1专项应付款 8 2 3" xfId="21743"/>
    <cellStyle name="常规 175 2 2 3" xfId="21744"/>
    <cellStyle name="常规 180 2 2 3" xfId="21745"/>
    <cellStyle name="好_1专项应付款 8 2 4" xfId="21746"/>
    <cellStyle name="常规 175 2 2 4" xfId="21747"/>
    <cellStyle name="常规 180 2 2 4" xfId="21748"/>
    <cellStyle name="好_FD 应付账款 5 3" xfId="21749"/>
    <cellStyle name="好_1专项应付款 8 3" xfId="21750"/>
    <cellStyle name="常规 175 2 3" xfId="21751"/>
    <cellStyle name="常规 180 2 3" xfId="21752"/>
    <cellStyle name="常规 175 2 3 2" xfId="21753"/>
    <cellStyle name="常规 180 2 3 2" xfId="21754"/>
    <cellStyle name="常规 175 2 3 3" xfId="21755"/>
    <cellStyle name="常规 180 2 3 3" xfId="21756"/>
    <cellStyle name="常规 175 2 5" xfId="21757"/>
    <cellStyle name="常规 180 2 5" xfId="21758"/>
    <cellStyle name="好_专项应付款 4 2" xfId="21759"/>
    <cellStyle name="好_FD 应付账款 6" xfId="21760"/>
    <cellStyle name="好_1专项应付款 9" xfId="21761"/>
    <cellStyle name="好_54-财务费用（空白模板） 12_明细表 4" xfId="21762"/>
    <cellStyle name="常规 175 3" xfId="21763"/>
    <cellStyle name="常规 180 3" xfId="21764"/>
    <cellStyle name="好_预收款项 4 2 3" xfId="21765"/>
    <cellStyle name="好_专项应付款 4 2 2" xfId="21766"/>
    <cellStyle name="好_1专项应付款 9 2" xfId="21767"/>
    <cellStyle name="常规 3 4 2 2 3" xfId="21768"/>
    <cellStyle name="常规 175 3 2" xfId="21769"/>
    <cellStyle name="常规 180 3 2" xfId="21770"/>
    <cellStyle name="好_预收款项 4 2 4" xfId="21771"/>
    <cellStyle name="好_专项应付款 4 2 3" xfId="21772"/>
    <cellStyle name="好_Z11其它流动资产 2" xfId="21773"/>
    <cellStyle name="好_1专项应付款 9 3" xfId="21774"/>
    <cellStyle name="常规 175 3 3" xfId="21775"/>
    <cellStyle name="常规 180 3 3" xfId="21776"/>
    <cellStyle name="好_预收款项 4 2 5" xfId="21777"/>
    <cellStyle name="好_专项应付款 4 2 4" xfId="21778"/>
    <cellStyle name="好_Z11其它流动资产 3" xfId="21779"/>
    <cellStyle name="好_1专项应付款 9 4" xfId="21780"/>
    <cellStyle name="常规 175 3 4" xfId="21781"/>
    <cellStyle name="常规 180 3 4" xfId="21782"/>
    <cellStyle name="好_专项应付款 4 3" xfId="21783"/>
    <cellStyle name="好_FD 应付账款 7" xfId="21784"/>
    <cellStyle name="好_54-财务费用（空白模板） 12_明细表 5" xfId="21785"/>
    <cellStyle name="常规 175 4" xfId="21786"/>
    <cellStyle name="常规 180 4" xfId="21787"/>
    <cellStyle name="好_专项应付款 4 3 2" xfId="21788"/>
    <cellStyle name="常规 175 4 2" xfId="21789"/>
    <cellStyle name="常规 180 4 2" xfId="21790"/>
    <cellStyle name="好_专项应付款 4 3 3" xfId="21791"/>
    <cellStyle name="常规 175 4 3" xfId="21792"/>
    <cellStyle name="常规 180 4 3" xfId="21793"/>
    <cellStyle name="好_专项应付款 4 4" xfId="21794"/>
    <cellStyle name="好_1专项应付款 12_附注表一（财务报表）" xfId="21795"/>
    <cellStyle name="常规 175 5" xfId="21796"/>
    <cellStyle name="常规 180 5" xfId="21797"/>
    <cellStyle name="常规 176 2" xfId="21798"/>
    <cellStyle name="好_专项应付款 5 2" xfId="21799"/>
    <cellStyle name="常规 176 3" xfId="21800"/>
    <cellStyle name="好_专项应付款 5 3" xfId="21801"/>
    <cellStyle name="常规 176 4" xfId="21802"/>
    <cellStyle name="好_专项应付款 5 4" xfId="21803"/>
    <cellStyle name="常规 176 5" xfId="21804"/>
    <cellStyle name="好_营业收入 18" xfId="21805"/>
    <cellStyle name="好_营业收入 23" xfId="21806"/>
    <cellStyle name="好_ZA0货币资金审定表  8 4" xfId="21807"/>
    <cellStyle name="常规 177 2 2" xfId="21808"/>
    <cellStyle name="常规 182 2 2" xfId="21809"/>
    <cellStyle name="好_营业收入 18 2" xfId="21810"/>
    <cellStyle name="常规 177 2 2 2" xfId="21811"/>
    <cellStyle name="常规 182 2 2 2" xfId="21812"/>
    <cellStyle name="好_营业收入 18 3" xfId="21813"/>
    <cellStyle name="常规 177 2 2 3" xfId="21814"/>
    <cellStyle name="常规 182 2 2 3" xfId="21815"/>
    <cellStyle name="好_营业收入 19" xfId="21816"/>
    <cellStyle name="好_营业收入 24" xfId="21817"/>
    <cellStyle name="常规 177 2 3" xfId="21818"/>
    <cellStyle name="常规 182 2 3" xfId="21819"/>
    <cellStyle name="好_营业收入 25" xfId="21820"/>
    <cellStyle name="好_营业收入 30" xfId="21821"/>
    <cellStyle name="常规 177 2 4" xfId="21822"/>
    <cellStyle name="常规 182 2 4" xfId="21823"/>
    <cellStyle name="好_预收款项 6 2 3" xfId="21824"/>
    <cellStyle name="好_专项应付款 6 2 2" xfId="21825"/>
    <cellStyle name="好_ZA0货币资金审定表  9 4" xfId="21826"/>
    <cellStyle name="常规 177 3 2" xfId="21827"/>
    <cellStyle name="常规 182 3 2" xfId="21828"/>
    <cellStyle name="好_专项应付款 6 3" xfId="21829"/>
    <cellStyle name="常规 177 4" xfId="21830"/>
    <cellStyle name="常规 182 4" xfId="21831"/>
    <cellStyle name="好_专项应付款 6 4" xfId="21832"/>
    <cellStyle name="常规 177 5" xfId="21833"/>
    <cellStyle name="常规 182 5" xfId="21834"/>
    <cellStyle name="常规 178 2" xfId="21835"/>
    <cellStyle name="常规 178 2 2" xfId="21836"/>
    <cellStyle name="常规 178 2 2 2" xfId="21837"/>
    <cellStyle name="常规 178 2 3" xfId="21838"/>
    <cellStyle name="常规 178 2 4" xfId="21839"/>
    <cellStyle name="好_专项应付款 7 2" xfId="21840"/>
    <cellStyle name="常规 178 3" xfId="21841"/>
    <cellStyle name="好_预收款项 7 2 3" xfId="21842"/>
    <cellStyle name="好_专项应付款 7 2 2" xfId="21843"/>
    <cellStyle name="常规 178 3 2" xfId="21844"/>
    <cellStyle name="好_预收款项 7 2 4" xfId="21845"/>
    <cellStyle name="好_专项应付款 7 2 3" xfId="21846"/>
    <cellStyle name="常规 178 3 3" xfId="21847"/>
    <cellStyle name="好_专项应付款 7 3" xfId="21848"/>
    <cellStyle name="常规 178 4" xfId="21849"/>
    <cellStyle name="常规 179 2 2" xfId="21850"/>
    <cellStyle name="好_27-短期借款(空白模板) 9 3" xfId="21851"/>
    <cellStyle name="常规 179 2 2 2" xfId="21852"/>
    <cellStyle name="常规 179 2 2 2 2" xfId="21853"/>
    <cellStyle name="好_1营业收入 10 2" xfId="21854"/>
    <cellStyle name="常规 179 2 2 2 3" xfId="21855"/>
    <cellStyle name="好_27-短期借款(空白模板) 9 4" xfId="21856"/>
    <cellStyle name="常规 179 2 2 3" xfId="21857"/>
    <cellStyle name="好_持有至到期投资 2 2" xfId="21858"/>
    <cellStyle name="常规 179 2 2 4" xfId="21859"/>
    <cellStyle name="常规 179 2 3" xfId="21860"/>
    <cellStyle name="常规 179 2 3 2" xfId="21861"/>
    <cellStyle name="好_专项应付款 8 2" xfId="21862"/>
    <cellStyle name="常规 179 3" xfId="21863"/>
    <cellStyle name="好_预收款项 8 2 3" xfId="21864"/>
    <cellStyle name="好_专项应付款 8 2 2" xfId="21865"/>
    <cellStyle name="常规 179 3 2" xfId="21866"/>
    <cellStyle name="常规 179 3 2 2" xfId="21867"/>
    <cellStyle name="常规 179 3 2 3" xfId="21868"/>
    <cellStyle name="好_专项应付款 8 3" xfId="21869"/>
    <cellStyle name="常规 179 4" xfId="21870"/>
    <cellStyle name="好_专项应付款 8 3 2" xfId="21871"/>
    <cellStyle name="好_54-财务费用（空白模板） 9" xfId="21872"/>
    <cellStyle name="常规 179 4 2" xfId="21873"/>
    <cellStyle name="常规 179 4 3" xfId="21874"/>
    <cellStyle name="好_专项应付款 8 4" xfId="21875"/>
    <cellStyle name="常规 179 5" xfId="21876"/>
    <cellStyle name="好_资产负债标准底稿 15" xfId="21877"/>
    <cellStyle name="好_资产负债标准底稿 20" xfId="21878"/>
    <cellStyle name="好_15-固定资产（空白模板） 10_明细表 5" xfId="21879"/>
    <cellStyle name="常规 18 3 3" xfId="21880"/>
    <cellStyle name="常规 182 2 2 2 2" xfId="21881"/>
    <cellStyle name="好_营业收入 18 4" xfId="21882"/>
    <cellStyle name="常规 182 2 2 4" xfId="21883"/>
    <cellStyle name="常规 182 2 3 2" xfId="21884"/>
    <cellStyle name="常规 182 3 2 2" xfId="21885"/>
    <cellStyle name="常规 182 3 2 3" xfId="21886"/>
    <cellStyle name="好_专项应付款 6 5" xfId="21887"/>
    <cellStyle name="常规 182 6" xfId="21888"/>
    <cellStyle name="常规 2 2 2 6 3 2" xfId="21889"/>
    <cellStyle name="好_资产减值损失 16 4" xfId="21890"/>
    <cellStyle name="常规 2 10 2" xfId="21891"/>
    <cellStyle name="常规 2 10 2 2" xfId="21892"/>
    <cellStyle name="常规 2 10 2 2 5" xfId="21893"/>
    <cellStyle name="常规 6 5 2 3" xfId="21894"/>
    <cellStyle name="常规 2 10 2 3" xfId="21895"/>
    <cellStyle name="常规 2 10 2_附注表一（财务报表）" xfId="21896"/>
    <cellStyle name="好_资产减值损失 16 5" xfId="21897"/>
    <cellStyle name="常规 2 10 3" xfId="21898"/>
    <cellStyle name="好_37-长期借款（空白模板）" xfId="21899"/>
    <cellStyle name="常规 2 2 2 6 3 3" xfId="21900"/>
    <cellStyle name="常规 2 10 3 2" xfId="21901"/>
    <cellStyle name="好_37-长期借款（空白模板） 2" xfId="21902"/>
    <cellStyle name="常规 2 10 3 2 2" xfId="21903"/>
    <cellStyle name="好_37-长期借款（空白模板） 2 2" xfId="21904"/>
    <cellStyle name="常规 2 10 3 2 3" xfId="21905"/>
    <cellStyle name="好_37-长期借款（空白模板） 2 3" xfId="21906"/>
    <cellStyle name="好_资产负债标准底稿_大信底稿目录 11_明细表" xfId="21907"/>
    <cellStyle name="常规 2 10 3 2 4" xfId="21908"/>
    <cellStyle name="常规 6 6 2 2" xfId="21909"/>
    <cellStyle name="常规 2 10 3 2 5" xfId="21910"/>
    <cellStyle name="常规 6 6 2 3" xfId="21911"/>
    <cellStyle name="常规 2 10 3 3" xfId="21912"/>
    <cellStyle name="好_37-长期借款（空白模板） 3" xfId="21913"/>
    <cellStyle name="好_资产减值损失 16 6" xfId="21914"/>
    <cellStyle name="常规 2 10 4" xfId="21915"/>
    <cellStyle name="常规 2 2 2 2 2 2 2 7" xfId="21916"/>
    <cellStyle name="常规 2 10 4 2" xfId="21917"/>
    <cellStyle name="常规 2 10 4 2 2" xfId="21918"/>
    <cellStyle name="好_资产负债标准底稿_大信底稿目录 12_明细表" xfId="21919"/>
    <cellStyle name="常规 2 10 4 2 4" xfId="21920"/>
    <cellStyle name="常规 6 7 2 2" xfId="21921"/>
    <cellStyle name="常规 2 10 4 2 5" xfId="21922"/>
    <cellStyle name="常规 6 7 2 3" xfId="21923"/>
    <cellStyle name="常规 2 10 5 2" xfId="21924"/>
    <cellStyle name="常规 2 10 5 2 2" xfId="21925"/>
    <cellStyle name="常规 2 10 5 2 3" xfId="21926"/>
    <cellStyle name="好_资产负债标准底稿_大信底稿目录 13_明细表" xfId="21927"/>
    <cellStyle name="常规 2 10 5 2 4" xfId="21928"/>
    <cellStyle name="常规 6 8 2 2" xfId="21929"/>
    <cellStyle name="常规 2 10 5 2 5" xfId="21930"/>
    <cellStyle name="常规 6 8 2 3" xfId="21931"/>
    <cellStyle name="常规 6 4 2" xfId="21932"/>
    <cellStyle name="常规 2 10 5_附注表一（财务报表）" xfId="21933"/>
    <cellStyle name="常规 2 10 6" xfId="21934"/>
    <cellStyle name="常规 2 10 6 3" xfId="21935"/>
    <cellStyle name="常规 2 10 6 4" xfId="21936"/>
    <cellStyle name="常规 2 10 6 5" xfId="21937"/>
    <cellStyle name="常规 2 10 7" xfId="21938"/>
    <cellStyle name="常规 2 10 8" xfId="21939"/>
    <cellStyle name="常规 3 2 2 3" xfId="21940"/>
    <cellStyle name="好_资产减值损失 17 4" xfId="21941"/>
    <cellStyle name="常规 2 11 2" xfId="21942"/>
    <cellStyle name="常规 3 2 2 4" xfId="21943"/>
    <cellStyle name="好_资产减值损失 17 5" xfId="21944"/>
    <cellStyle name="常规 2 11 3" xfId="21945"/>
    <cellStyle name="好 4" xfId="21946"/>
    <cellStyle name="常规 3 2 2 4 2" xfId="21947"/>
    <cellStyle name="常规 2 11 3 2" xfId="21948"/>
    <cellStyle name="常规 3 2 2 5" xfId="21949"/>
    <cellStyle name="好_资产减值损失 17 6" xfId="21950"/>
    <cellStyle name="常规 2 11 4" xfId="21951"/>
    <cellStyle name="常规 3 2 2 5 2" xfId="21952"/>
    <cellStyle name="常规 2 11 4 2" xfId="21953"/>
    <cellStyle name="常规 3 2 3 3" xfId="21954"/>
    <cellStyle name="好_资产减值损失 18 4" xfId="21955"/>
    <cellStyle name="常规 2 12 2" xfId="21956"/>
    <cellStyle name="常规 3 2 3 3 2" xfId="21957"/>
    <cellStyle name="常规 2 12 2 2" xfId="21958"/>
    <cellStyle name="好_往来款项函证结果汇总表 3 2 2" xfId="21959"/>
    <cellStyle name="常规 3 2 3 3 3" xfId="21960"/>
    <cellStyle name="常规 2 12 2 3" xfId="21961"/>
    <cellStyle name="常规 3 2 3 4" xfId="21962"/>
    <cellStyle name="好_资产减值损失 18 5" xfId="21963"/>
    <cellStyle name="常规 2 12 3" xfId="21964"/>
    <cellStyle name="常规 3 2 3 4 2" xfId="21965"/>
    <cellStyle name="常规 2 12 3 2" xfId="21966"/>
    <cellStyle name="好_往来款项函证结果汇总表 3 3 2" xfId="21967"/>
    <cellStyle name="常规 3 2 3 4 3" xfId="21968"/>
    <cellStyle name="常规 2 12 3 3" xfId="21969"/>
    <cellStyle name="常规 3 2 3 5" xfId="21970"/>
    <cellStyle name="常规 2 12 4" xfId="21971"/>
    <cellStyle name="常规 3 2 3 5 2" xfId="21972"/>
    <cellStyle name="常规 2 12 4 2" xfId="21973"/>
    <cellStyle name="常规 3 2 3 6" xfId="21974"/>
    <cellStyle name="常规 2 12 5" xfId="21975"/>
    <cellStyle name="常规 3 2 3 7" xfId="21976"/>
    <cellStyle name="常规 2 12 6" xfId="21977"/>
    <cellStyle name="常规 2 12_附注表一（财务报表）" xfId="21978"/>
    <cellStyle name="常规 2 13" xfId="21979"/>
    <cellStyle name="常规 3 2 4 3" xfId="21980"/>
    <cellStyle name="常规 2 13 2" xfId="21981"/>
    <cellStyle name="常规 3 2 4 3 2" xfId="21982"/>
    <cellStyle name="常规 2 13 2 2" xfId="21983"/>
    <cellStyle name="常规 3 2 4 3 3" xfId="21984"/>
    <cellStyle name="常规 2 13 2 3" xfId="21985"/>
    <cellStyle name="常规 6 13 2" xfId="21986"/>
    <cellStyle name="常规 2 13 2 4" xfId="21987"/>
    <cellStyle name="常规 6 13 3" xfId="21988"/>
    <cellStyle name="常规 2 13 2 5" xfId="21989"/>
    <cellStyle name="常规 3 2 4 4" xfId="21990"/>
    <cellStyle name="常规 2 13 3" xfId="21991"/>
    <cellStyle name="常规 3 2 4 4 2" xfId="21992"/>
    <cellStyle name="常规 2 13 3 2" xfId="21993"/>
    <cellStyle name="常规 3 2 4 4 3" xfId="21994"/>
    <cellStyle name="常规 2 13 3 3" xfId="21995"/>
    <cellStyle name="常规 3 2 4 5" xfId="21996"/>
    <cellStyle name="常规 2 13 4" xfId="21997"/>
    <cellStyle name="常规 2 13_附注表一（财务报表）" xfId="21998"/>
    <cellStyle name="好_固定资产 5_明细表 3" xfId="21999"/>
    <cellStyle name="常规 2 14" xfId="22000"/>
    <cellStyle name="好_55-资产减值损失（空白模板） 4_附注表一（财务报表）" xfId="22001"/>
    <cellStyle name="常规 3 2 5 3" xfId="22002"/>
    <cellStyle name="好_50-营业成本（空白模板） 14_明细表 4" xfId="22003"/>
    <cellStyle name="常规 2 14 2" xfId="22004"/>
    <cellStyle name="常规 3 2 5 3 2" xfId="22005"/>
    <cellStyle name="常规 2 14 2 2" xfId="22006"/>
    <cellStyle name="常规 3 2 5 3 3" xfId="22007"/>
    <cellStyle name="常规 2 14 2 3" xfId="22008"/>
    <cellStyle name="常规 2 14 2 4" xfId="22009"/>
    <cellStyle name="常规 2 14 2 5" xfId="22010"/>
    <cellStyle name="常规 3 2 5 4" xfId="22011"/>
    <cellStyle name="好_50-营业成本（空白模板） 14_明细表 5" xfId="22012"/>
    <cellStyle name="常规 2 14 3" xfId="22013"/>
    <cellStyle name="常规 2 3 2 2 2 7 2" xfId="22014"/>
    <cellStyle name="常规 2 15" xfId="22015"/>
    <cellStyle name="常规 2 20" xfId="22016"/>
    <cellStyle name="常规 3 2 6 3" xfId="22017"/>
    <cellStyle name="常规 2 15 2" xfId="22018"/>
    <cellStyle name="常规 2 20 2" xfId="22019"/>
    <cellStyle name="常规 3 2 6 3 2" xfId="22020"/>
    <cellStyle name="常规 2 15 2 2" xfId="22021"/>
    <cellStyle name="常规 2 20 2 2" xfId="22022"/>
    <cellStyle name="常规 4 14_附注表一（财务报表）" xfId="22023"/>
    <cellStyle name="常规 3 2 6 3 3" xfId="22024"/>
    <cellStyle name="常规 2 15 2 3" xfId="22025"/>
    <cellStyle name="常规 2 20 2 3" xfId="22026"/>
    <cellStyle name="常规 2 15 2 4" xfId="22027"/>
    <cellStyle name="常规 2 20 2 4" xfId="22028"/>
    <cellStyle name="常规 2 15 2 5" xfId="22029"/>
    <cellStyle name="常规 2 20 2 5" xfId="22030"/>
    <cellStyle name="常规 3 2 6 4" xfId="22031"/>
    <cellStyle name="常规 2 15 3" xfId="22032"/>
    <cellStyle name="常规 2 20 3" xfId="22033"/>
    <cellStyle name="好_49-营业收入（空白模板） 5 2 5" xfId="22034"/>
    <cellStyle name="常规 2 15_附注表一（财务报表）" xfId="22035"/>
    <cellStyle name="常规 2 20_附注表一（财务报表）" xfId="22036"/>
    <cellStyle name="好_固定资产_附注表一（财务报表）" xfId="22037"/>
    <cellStyle name="好_G-应收账款 11 2 5" xfId="22038"/>
    <cellStyle name="常规 3 2 7 3" xfId="22039"/>
    <cellStyle name="常规 2 16 2" xfId="22040"/>
    <cellStyle name="常规 2 21 2" xfId="22041"/>
    <cellStyle name="好_营业外支出 3" xfId="22042"/>
    <cellStyle name="常规 3 2 7 3 2" xfId="22043"/>
    <cellStyle name="常规 2 16 2 2" xfId="22044"/>
    <cellStyle name="常规 2 21 2 2" xfId="22045"/>
    <cellStyle name="好_营业外支出 4" xfId="22046"/>
    <cellStyle name="常规 3 2 7 3 3" xfId="22047"/>
    <cellStyle name="常规 2 16 2 3" xfId="22048"/>
    <cellStyle name="常规 2 21 2 3" xfId="22049"/>
    <cellStyle name="好_专项应付款 4_明细表 2" xfId="22050"/>
    <cellStyle name="好_营业外支出 5" xfId="22051"/>
    <cellStyle name="常规 2 16 2 4" xfId="22052"/>
    <cellStyle name="常规 2 21 2 4" xfId="22053"/>
    <cellStyle name="好_专项应付款 4_明细表 3" xfId="22054"/>
    <cellStyle name="好_11-持有至到期投资（空白模板） 2 2" xfId="22055"/>
    <cellStyle name="常规 2 16 2 5" xfId="22056"/>
    <cellStyle name="常规 2 21 2 5" xfId="22057"/>
    <cellStyle name="常规 2 17" xfId="22058"/>
    <cellStyle name="常规 2 22" xfId="22059"/>
    <cellStyle name="好_银行函证结果汇总表 14 2 2" xfId="22060"/>
    <cellStyle name="常规 2 3 2 2 2 7 4" xfId="22061"/>
    <cellStyle name="常规 3 2 8 3" xfId="22062"/>
    <cellStyle name="常规 2 17 2" xfId="22063"/>
    <cellStyle name="常规 2 22 2" xfId="22064"/>
    <cellStyle name="常规 2 18" xfId="22065"/>
    <cellStyle name="常规 2 23" xfId="22066"/>
    <cellStyle name="好_银行函证结果汇总表 14 2 3" xfId="22067"/>
    <cellStyle name="常规 2 3 2 2 2 7 5" xfId="22068"/>
    <cellStyle name="好_4-应收账款（空白模板） 14_明细表 4" xfId="22069"/>
    <cellStyle name="常规 5 10 2 3" xfId="22070"/>
    <cellStyle name="常规 3 2 9 3 2" xfId="22071"/>
    <cellStyle name="常规 2 18 2 2" xfId="22072"/>
    <cellStyle name="常规 2 23 2 2" xfId="22073"/>
    <cellStyle name="常规 4 2 4 2" xfId="22074"/>
    <cellStyle name="好_4-应收账款（空白模板） 14_明细表 5" xfId="22075"/>
    <cellStyle name="常规 5 10 2 4" xfId="22076"/>
    <cellStyle name="常规 3 2 9 3 3" xfId="22077"/>
    <cellStyle name="常规 2 18 2 3" xfId="22078"/>
    <cellStyle name="常规 2 23 2 3" xfId="22079"/>
    <cellStyle name="常规 5 10 2 5" xfId="22080"/>
    <cellStyle name="常规 4 2 4 3" xfId="22081"/>
    <cellStyle name="常规 2 18 2 4" xfId="22082"/>
    <cellStyle name="常规 2 23 2 4" xfId="22083"/>
    <cellStyle name="常规 2 18 2 5" xfId="22084"/>
    <cellStyle name="常规 2 23 2 5" xfId="22085"/>
    <cellStyle name="好_50-营业成本（空白模板） 15_明细表" xfId="22086"/>
    <cellStyle name="常规 3 2 9 4" xfId="22087"/>
    <cellStyle name="常规 2 18 3" xfId="22088"/>
    <cellStyle name="常规 2 23 3" xfId="22089"/>
    <cellStyle name="好_货币资金 岳华 2 3" xfId="22090"/>
    <cellStyle name="好_大信底稿目录 10 2 5" xfId="22091"/>
    <cellStyle name="常规 2 18_附注表一（财务报表）" xfId="22092"/>
    <cellStyle name="常规 2 23_附注表一（财务报表）" xfId="22093"/>
    <cellStyle name="好_35-应付股利（空白模板） 4" xfId="22094"/>
    <cellStyle name="常规 2 19" xfId="22095"/>
    <cellStyle name="常规 2 24" xfId="22096"/>
    <cellStyle name="好_银行函证结果汇总表 14 2 4" xfId="22097"/>
    <cellStyle name="常规 2 19 2" xfId="22098"/>
    <cellStyle name="常规 2 24 2" xfId="22099"/>
    <cellStyle name="常规 2 19 2 5" xfId="22100"/>
    <cellStyle name="常规 2 24 2 5" xfId="22101"/>
    <cellStyle name="常规 2 19 3" xfId="22102"/>
    <cellStyle name="常规 2 24 3" xfId="22103"/>
    <cellStyle name="常规 2 2 10" xfId="22104"/>
    <cellStyle name="常规 2 2 10 2" xfId="22105"/>
    <cellStyle name="常规 2 2 10 2 2" xfId="22106"/>
    <cellStyle name="好_应付债券 2 2" xfId="22107"/>
    <cellStyle name="常规 2 2 10 2 3" xfId="22108"/>
    <cellStyle name="好_应付债券 2 3" xfId="22109"/>
    <cellStyle name="常规 2 2 10 2 4" xfId="22110"/>
    <cellStyle name="好_应付债券 2 4" xfId="22111"/>
    <cellStyle name="常规 2 2 10 2 5" xfId="22112"/>
    <cellStyle name="常规 2 2 10 3" xfId="22113"/>
    <cellStyle name="常规 2 2 10 3 2" xfId="22114"/>
    <cellStyle name="好_资产负债标准底稿 9_明细表 2" xfId="22115"/>
    <cellStyle name="好_应付债券 3 2" xfId="22116"/>
    <cellStyle name="常规 9 4 2 6 2" xfId="22117"/>
    <cellStyle name="常规 2 2 10 3 3" xfId="22118"/>
    <cellStyle name="好_底稿设置宏_大信底稿目录 2_明细表 3" xfId="22119"/>
    <cellStyle name="常规 2 2 10_附注表一（财务报表）" xfId="22120"/>
    <cellStyle name="常规 2 2 11" xfId="22121"/>
    <cellStyle name="好_其他应收款审定表" xfId="22122"/>
    <cellStyle name="常规 2 2 12" xfId="22123"/>
    <cellStyle name="常规 2 2 12 2" xfId="22124"/>
    <cellStyle name="常规 2 2 12 2 2" xfId="22125"/>
    <cellStyle name="常规 2 2 12 2 5" xfId="22126"/>
    <cellStyle name="常规 2 2 12 3" xfId="22127"/>
    <cellStyle name="常规 2 2 12 4" xfId="22128"/>
    <cellStyle name="常规 2 2 12 5" xfId="22129"/>
    <cellStyle name="常规 2 2 12_附注表一（财务报表）" xfId="22130"/>
    <cellStyle name="常规 2 2 13 2" xfId="22131"/>
    <cellStyle name="常规 2 2 13 3" xfId="22132"/>
    <cellStyle name="常规 2 2 13 3 2" xfId="22133"/>
    <cellStyle name="常规 2 2 13 3 3" xfId="22134"/>
    <cellStyle name="常规 2 2 13 4" xfId="22135"/>
    <cellStyle name="好_31-预收账款（空白模板）_明细表 2" xfId="22136"/>
    <cellStyle name="常规 2 2 13 5" xfId="22137"/>
    <cellStyle name="好_31-预收账款（空白模板）_明细表 3" xfId="22138"/>
    <cellStyle name="常规 2 2 13_附注表一（财务报表）" xfId="22139"/>
    <cellStyle name="好_应收利息 9_明细表 2" xfId="22140"/>
    <cellStyle name="好_Sales breakdown by customer - 新滔 (to KPMG) 6" xfId="22141"/>
    <cellStyle name="常规 37 2 4" xfId="22142"/>
    <cellStyle name="好_55-资产减值损失（空白模板） 9_明细表" xfId="22143"/>
    <cellStyle name="常规 2 2 14" xfId="22144"/>
    <cellStyle name="好_55-资产减值损失（空白模板） 9_明细表 2" xfId="22145"/>
    <cellStyle name="常规 2 2 14 2" xfId="22146"/>
    <cellStyle name="常规 2 2 14 2 2" xfId="22147"/>
    <cellStyle name="常规 2 2 14 2 3" xfId="22148"/>
    <cellStyle name="常规 2 2 14 2 4" xfId="22149"/>
    <cellStyle name="常规 2 2 14 3 2" xfId="22150"/>
    <cellStyle name="常规 2 2 14 3 3" xfId="22151"/>
    <cellStyle name="好_55-资产减值损失（空白模板） 9_明细表 4" xfId="22152"/>
    <cellStyle name="常规 2 2 14 4" xfId="22153"/>
    <cellStyle name="好_55-资产减值损失（空白模板） 9_明细表 5" xfId="22154"/>
    <cellStyle name="常规 2 2 14 5" xfId="22155"/>
    <cellStyle name="常规 2 2 15" xfId="22156"/>
    <cellStyle name="常规 2 2 20" xfId="22157"/>
    <cellStyle name="常规 2 2 15 2" xfId="22158"/>
    <cellStyle name="常规 2 2 20 2" xfId="22159"/>
    <cellStyle name="常规 2 2 15 2 2" xfId="22160"/>
    <cellStyle name="常规 2 2 20 2 2" xfId="22161"/>
    <cellStyle name="常规 2 5 5_附注表一（财务报表）" xfId="22162"/>
    <cellStyle name="常规 2 2 15 2 4" xfId="22163"/>
    <cellStyle name="常规 2 2 20 2 4" xfId="22164"/>
    <cellStyle name="好_短期借款 2 2 2 2" xfId="22165"/>
    <cellStyle name="常规 2 2 15 2 5" xfId="22166"/>
    <cellStyle name="常规 2 2 20 2 5" xfId="22167"/>
    <cellStyle name="常规 2 2 15 3" xfId="22168"/>
    <cellStyle name="常规 2 2 20 3" xfId="22169"/>
    <cellStyle name="常规 2 2 16" xfId="22170"/>
    <cellStyle name="常规 2 2 21" xfId="22171"/>
    <cellStyle name="常规 2 2 16 2" xfId="22172"/>
    <cellStyle name="常规 2 2 21 2" xfId="22173"/>
    <cellStyle name="常规 2 2 16 2 2" xfId="22174"/>
    <cellStyle name="常规 2 2 21 2 2" xfId="22175"/>
    <cellStyle name="常规 2 2 16 2 3" xfId="22176"/>
    <cellStyle name="常规 2 2 21 2 3" xfId="22177"/>
    <cellStyle name="常规 2 2 16 2 4" xfId="22178"/>
    <cellStyle name="常规 2 2 21 2 4" xfId="22179"/>
    <cellStyle name="常规 2 2 16 3" xfId="22180"/>
    <cellStyle name="常规 2 2 21 3" xfId="22181"/>
    <cellStyle name="好_51-营业税金及附加（空白模板） 2 2" xfId="22182"/>
    <cellStyle name="常规 2 2 16_附注表一（财务报表）" xfId="22183"/>
    <cellStyle name="常规 2 2 21_附注表一（财务报表）" xfId="22184"/>
    <cellStyle name="常规 2 2 17" xfId="22185"/>
    <cellStyle name="常规 2 2 22" xfId="22186"/>
    <cellStyle name="常规 2 2 17 2" xfId="22187"/>
    <cellStyle name="常规 2 2 22 2" xfId="22188"/>
    <cellStyle name="常规 2 2 17 2 4" xfId="22189"/>
    <cellStyle name="常规 2 2 22 2 4" xfId="22190"/>
    <cellStyle name="好_39-长期应付款（空白模板） 2" xfId="22191"/>
    <cellStyle name="常规 2 2 17 3" xfId="22192"/>
    <cellStyle name="常规 2 2 17_附注表一（财务报表）" xfId="22193"/>
    <cellStyle name="常规 2 2 22_附注表一（财务报表）" xfId="22194"/>
    <cellStyle name="常规 2 2 18" xfId="22195"/>
    <cellStyle name="常规 2 2 23" xfId="22196"/>
    <cellStyle name="好_Sheet1 2 11" xfId="22197"/>
    <cellStyle name="常规 2 2 18 2 3" xfId="22198"/>
    <cellStyle name="常规 2 2 23 2 3" xfId="22199"/>
    <cellStyle name="常规 2 2 18 2 5" xfId="22200"/>
    <cellStyle name="常规 2 2 23 2 5" xfId="22201"/>
    <cellStyle name="好_31-预收账款（空白模板） 4_明细表 2" xfId="22202"/>
    <cellStyle name="常规 2 2 18 3" xfId="22203"/>
    <cellStyle name="常规 2 2 23 3" xfId="22204"/>
    <cellStyle name="常规 2 2 19" xfId="22205"/>
    <cellStyle name="常规 2 2 24" xfId="22206"/>
    <cellStyle name="常规 2 2 19 2" xfId="22207"/>
    <cellStyle name="常规 2 2 24 2" xfId="22208"/>
    <cellStyle name="常规 2 3 10" xfId="22209"/>
    <cellStyle name="常规 2 2 19 2 2" xfId="22210"/>
    <cellStyle name="常规 2 2 24 2 2" xfId="22211"/>
    <cellStyle name="常规 2 3 11" xfId="22212"/>
    <cellStyle name="常规 2 2 19 2 3" xfId="22213"/>
    <cellStyle name="常规 2 2 24 2 3" xfId="22214"/>
    <cellStyle name="常规 2 3 12" xfId="22215"/>
    <cellStyle name="常规 2 2 19 2 4" xfId="22216"/>
    <cellStyle name="常规 2 2 24 2 4" xfId="22217"/>
    <cellStyle name="常规 2 3 13" xfId="22218"/>
    <cellStyle name="常规 2 2 19 2 5" xfId="22219"/>
    <cellStyle name="常规 2 2 24 2 5" xfId="22220"/>
    <cellStyle name="常规 2 2 19 3" xfId="22221"/>
    <cellStyle name="常规 2 2 24 3" xfId="22222"/>
    <cellStyle name="常规 2 2 2 10" xfId="22223"/>
    <cellStyle name="好_底稿设置宏_大信底稿目录 8 4" xfId="22224"/>
    <cellStyle name="常规 2 2 2 10 2" xfId="22225"/>
    <cellStyle name="常规 2 2 3 2 2 3 3" xfId="22226"/>
    <cellStyle name="常规 2 2 2 10 2 4" xfId="22227"/>
    <cellStyle name="常规 2 2 2 10 2 5" xfId="22228"/>
    <cellStyle name="常规 2 2 2 10 3" xfId="22229"/>
    <cellStyle name="常规 2 2 29" xfId="22230"/>
    <cellStyle name="常规 2 2 34" xfId="22231"/>
    <cellStyle name="常规 2 2 2 10_附注表一（财务报表）" xfId="22232"/>
    <cellStyle name="常规 2 2 2 11" xfId="22233"/>
    <cellStyle name="好_底稿设置宏_大信底稿目录 9 4" xfId="22234"/>
    <cellStyle name="好_ZD应收账款 2 4" xfId="22235"/>
    <cellStyle name="常规 2 2 2 11 2" xfId="22236"/>
    <cellStyle name="常规 2 2 2 11 2 2" xfId="22237"/>
    <cellStyle name="常规 2 2 2 11 2 4" xfId="22238"/>
    <cellStyle name="好_4-应收账款（空白模板） 13_附注表一（财务报表）" xfId="22239"/>
    <cellStyle name="常规 2 2 2 11 2 5" xfId="22240"/>
    <cellStyle name="常规 2 2 2 11 3" xfId="22241"/>
    <cellStyle name="好_49-营业收入（空白模板） 8_明细表 5" xfId="22242"/>
    <cellStyle name="常规 2 2 2 11_附注表一（财务报表）" xfId="22243"/>
    <cellStyle name="好_资产负债标准底稿 13_附注表一（财务报表）" xfId="22244"/>
    <cellStyle name="常规 2 2 2 12" xfId="22245"/>
    <cellStyle name="常规 2 2 2 12 2" xfId="22246"/>
    <cellStyle name="常规 2 2 2 12 2 2" xfId="22247"/>
    <cellStyle name="常规 2 2 2 12 2 3" xfId="22248"/>
    <cellStyle name="常规 2 2 2 12 2 4" xfId="22249"/>
    <cellStyle name="常规 2 2 2 12 2 5" xfId="22250"/>
    <cellStyle name="千位分隔 11_附注表一（财务报表）" xfId="22251"/>
    <cellStyle name="常规 2 2 2 12 3" xfId="22252"/>
    <cellStyle name="常规 2 2 2 12_附注表一（财务报表）" xfId="22253"/>
    <cellStyle name="常规 2 2 2 13" xfId="22254"/>
    <cellStyle name="常规 2 2 2 13 2" xfId="22255"/>
    <cellStyle name="常规 2 2 2 13 2 4" xfId="22256"/>
    <cellStyle name="常规 2 2 2 13 3" xfId="22257"/>
    <cellStyle name="常规 2 2 2 14" xfId="22258"/>
    <cellStyle name="常规 2 2 2 14 2" xfId="22259"/>
    <cellStyle name="常规 2 2 2 14 2 2" xfId="22260"/>
    <cellStyle name="常规 2 2 2 14 2 3" xfId="22261"/>
    <cellStyle name="常规 2 2 2 14 2 4" xfId="22262"/>
    <cellStyle name="常规 2 2 2 14 2 5" xfId="22263"/>
    <cellStyle name="常规 2 2 2 14 3" xfId="22264"/>
    <cellStyle name="常规 2 2 2 15" xfId="22265"/>
    <cellStyle name="常规 2 2 2 20" xfId="22266"/>
    <cellStyle name="好_营业外收入 2 2" xfId="22267"/>
    <cellStyle name="好_55-资产减值损失（空白模板） 4 3" xfId="22268"/>
    <cellStyle name="常规 2 2 2 15 2 2" xfId="22269"/>
    <cellStyle name="好_55-资产减值损失（空白模板） 4 4" xfId="22270"/>
    <cellStyle name="常规 2 2 2 15 2 3" xfId="22271"/>
    <cellStyle name="好_55-资产减值损失（空白模板） 4 5" xfId="22272"/>
    <cellStyle name="常规 2 2 2 15 2 4" xfId="22273"/>
    <cellStyle name="超链接 9 2" xfId="22274"/>
    <cellStyle name="常规 2 2 2 15 2 5" xfId="22275"/>
    <cellStyle name="好_ZA0货币资金审定表  6 2 3" xfId="22276"/>
    <cellStyle name="好_1财务费用 7_明细表 3" xfId="22277"/>
    <cellStyle name="常规 2 2 2 15 6" xfId="22278"/>
    <cellStyle name="常规 2 2 2 15_附注表一（财务报表）" xfId="22279"/>
    <cellStyle name="常规 2 2 2 16" xfId="22280"/>
    <cellStyle name="常规 2 2 2 21" xfId="22281"/>
    <cellStyle name="好_营业外收入 2 3" xfId="22282"/>
    <cellStyle name="常规 2 2 2 16 2" xfId="22283"/>
    <cellStyle name="常规 2 2 2 16 2 2" xfId="22284"/>
    <cellStyle name="常规 2 2 2 16 2 3" xfId="22285"/>
    <cellStyle name="常规 2 2 2 16 2 4" xfId="22286"/>
    <cellStyle name="常规 2 2 2 16 4" xfId="22287"/>
    <cellStyle name="好_ZA0货币资金审定表  6 3 2" xfId="22288"/>
    <cellStyle name="常规 2 2 2 16 5" xfId="22289"/>
    <cellStyle name="常规 2 2 2 17" xfId="22290"/>
    <cellStyle name="常规 2 2 2 22" xfId="22291"/>
    <cellStyle name="好_营业外收入 2 4" xfId="22292"/>
    <cellStyle name="常规 2 2 2 17 2" xfId="22293"/>
    <cellStyle name="常规 2 2 2 17 2 3" xfId="22294"/>
    <cellStyle name="常规 2 2 2 17 2 4" xfId="22295"/>
    <cellStyle name="常规 2 2 2 17 3" xfId="22296"/>
    <cellStyle name="常规 2 2 2 17 4" xfId="22297"/>
    <cellStyle name="常规 2 2 2 18" xfId="22298"/>
    <cellStyle name="常规 2 2 2 23" xfId="22299"/>
    <cellStyle name="常规 2 2 2 18 2" xfId="22300"/>
    <cellStyle name="常规 2 2 2 18 3" xfId="22301"/>
    <cellStyle name="常规 2 2 2 18 4" xfId="22302"/>
    <cellStyle name="好_50-营业成本（空白模板） 6_明细表 2" xfId="22303"/>
    <cellStyle name="常规 2 2 2 19" xfId="22304"/>
    <cellStyle name="常规 2 2 2 24" xfId="22305"/>
    <cellStyle name="常规 2 2 2 19 2" xfId="22306"/>
    <cellStyle name="常规 2 2 2 2 10 2" xfId="22307"/>
    <cellStyle name="好_27-短期借款(空白模板) 5 2" xfId="22308"/>
    <cellStyle name="常规 2 2 2 2 11" xfId="22309"/>
    <cellStyle name="好_27-短期借款(空白模板) 5 3" xfId="22310"/>
    <cellStyle name="常规 2 2 2 2 12" xfId="22311"/>
    <cellStyle name="好_27-短期借款(空白模板) 5 4" xfId="22312"/>
    <cellStyle name="常规 2 2 2 2 13" xfId="22313"/>
    <cellStyle name="常规 2 2 2 2 15" xfId="22314"/>
    <cellStyle name="常规 2 2 2 2 20" xfId="22315"/>
    <cellStyle name="常规 2 2 2 2 15 2" xfId="22316"/>
    <cellStyle name="常规 2 2 2 2 16" xfId="22317"/>
    <cellStyle name="常规 2 2 2 2 21" xfId="22318"/>
    <cellStyle name="好_1财务费用 27" xfId="22319"/>
    <cellStyle name="好_1财务费用 32" xfId="22320"/>
    <cellStyle name="常规 2 2 2 2 2" xfId="22321"/>
    <cellStyle name="常规 2 2 2 2 2 12 2" xfId="22322"/>
    <cellStyle name="常规 2 2 2 2 2 14" xfId="22323"/>
    <cellStyle name="常规 2 2 2 2 2 15" xfId="22324"/>
    <cellStyle name="常规 2 2 2 2 2 20" xfId="22325"/>
    <cellStyle name="常规 2 2 2 2 2 17" xfId="22326"/>
    <cellStyle name="常规 2 2 2 2 2 22" xfId="22327"/>
    <cellStyle name="好_营业收入_应收账款" xfId="22328"/>
    <cellStyle name="常规 2 2 2 2 2 18" xfId="22329"/>
    <cellStyle name="常规 2 2 2 2 2 23" xfId="22330"/>
    <cellStyle name="好_G-应收账款 12_明细表" xfId="22331"/>
    <cellStyle name="常规 2 2 2 2 2 19" xfId="22332"/>
    <cellStyle name="常规 2 2 2 2 2 24" xfId="22333"/>
    <cellStyle name="常规 2 2 2 2 2 2" xfId="22334"/>
    <cellStyle name="常规 2 2 2 2 2 2 11" xfId="22335"/>
    <cellStyle name="常规 2 2 2 2 2 2 12" xfId="22336"/>
    <cellStyle name="常规 2 2 2 2 2 2 13" xfId="22337"/>
    <cellStyle name="好_1长期借款 3 2" xfId="22338"/>
    <cellStyle name="常规 2 2 2 2 2 2 14" xfId="22339"/>
    <cellStyle name="常规 2 2 2 2 2 2 2" xfId="22340"/>
    <cellStyle name="常规 2 2 2 2 2 2 2 12" xfId="22341"/>
    <cellStyle name="常规 2 2 2 2 2 2 2 14" xfId="22342"/>
    <cellStyle name="好_1资产减值损失 14_附注表一（财务报表）" xfId="22343"/>
    <cellStyle name="常规 2 2 2 2 2 2 2 15" xfId="22344"/>
    <cellStyle name="常规 2 2 2 2 2 2 2 16" xfId="22345"/>
    <cellStyle name="常规 2 2 2 2 2 2 2 2" xfId="22346"/>
    <cellStyle name="常规 2 2 2 2 2 2 2 2 11" xfId="22347"/>
    <cellStyle name="常规 2 2 2 2 2 2 2 2 12" xfId="22348"/>
    <cellStyle name="好_应交增值税明细表" xfId="22349"/>
    <cellStyle name="常规 2 2 2 2 2 2 2 2 13" xfId="22350"/>
    <cellStyle name="好_54-财务费用（空白模板） 15 2 2" xfId="22351"/>
    <cellStyle name="常规 2 2 2 2 2 2 2 2 14" xfId="22352"/>
    <cellStyle name="好_54-财务费用（空白模板） 15 2 3" xfId="22353"/>
    <cellStyle name="常规 2 2 2 2 2 2 2 2 15" xfId="22354"/>
    <cellStyle name="好_40-专项应付款(空白模板) 3 2 2" xfId="22355"/>
    <cellStyle name="好_54-财务费用（空白模板） 15 2 4" xfId="22356"/>
    <cellStyle name="常规 2 2 2 2 2 2 2 2 16" xfId="22357"/>
    <cellStyle name="好_40-专项应付款(空白模板) 3 2 3" xfId="22358"/>
    <cellStyle name="好_54-财务费用（空白模板） 15 2 5" xfId="22359"/>
    <cellStyle name="常规_33-应交税费（空白模板） 2" xfId="22360"/>
    <cellStyle name="好_1资产减值损失 16 2" xfId="22361"/>
    <cellStyle name="常规 2 2 2 2 2 2 2 2 2 2" xfId="22362"/>
    <cellStyle name="好_1资产减值损失 17" xfId="22363"/>
    <cellStyle name="好_1资产减值损失 22" xfId="22364"/>
    <cellStyle name="常规 2 2 2 2 2 2 2 2 3" xfId="22365"/>
    <cellStyle name="好_1资产减值损失 18" xfId="22366"/>
    <cellStyle name="好_1资产减值损失 23" xfId="22367"/>
    <cellStyle name="常规 2 2 2 2 2 2 2 2 4" xfId="22368"/>
    <cellStyle name="好_1资产减值损失 19" xfId="22369"/>
    <cellStyle name="好_1资产减值损失 24" xfId="22370"/>
    <cellStyle name="常规 2 2 2 2 2 2 2 2 5" xfId="22371"/>
    <cellStyle name="好_1资产减值损失 26" xfId="22372"/>
    <cellStyle name="好_1资产减值损失 31" xfId="22373"/>
    <cellStyle name="常规 2 2 2 2 2 2 2 2 7" xfId="22374"/>
    <cellStyle name="好_1资产减值损失 28" xfId="22375"/>
    <cellStyle name="好_1资产减值损失 33" xfId="22376"/>
    <cellStyle name="常规 2 2 2 2 2 2 2 2 9" xfId="22377"/>
    <cellStyle name="常规 2 2 2 2 2 2 2 3" xfId="22378"/>
    <cellStyle name="常规 2 2 2 2 2 2 2 4" xfId="22379"/>
    <cellStyle name="常规 2 2 2 2 2 2 2 5" xfId="22380"/>
    <cellStyle name="常规 2 2 2 2 2 2 2 6" xfId="22381"/>
    <cellStyle name="常规 2 2 2 2 2 2 2 9" xfId="22382"/>
    <cellStyle name="常规 2 2 2 2 2 25" xfId="22383"/>
    <cellStyle name="常规 2 2 2 2 2 26" xfId="22384"/>
    <cellStyle name="常规 2 2 2 2 2 3 2" xfId="22385"/>
    <cellStyle name="超链接 3 4 3 2" xfId="22386"/>
    <cellStyle name="常规 2 2 2 2 2 3 3" xfId="22387"/>
    <cellStyle name="常规 2 2 2 2 2 4" xfId="22388"/>
    <cellStyle name="常规 2 2 2 2 2 4 2" xfId="22389"/>
    <cellStyle name="常规 2 2 2 2 2 4 3" xfId="22390"/>
    <cellStyle name="好_底稿设置宏 11" xfId="22391"/>
    <cellStyle name="常规 2 2 2 2 2 5 2" xfId="22392"/>
    <cellStyle name="好_底稿设置宏 12" xfId="22393"/>
    <cellStyle name="常规 2 2 2 2 2 5 3" xfId="22394"/>
    <cellStyle name="常规 2 2 2 2 2 6 3" xfId="22395"/>
    <cellStyle name="常规 2 2 2 2 2 7 2" xfId="22396"/>
    <cellStyle name="常规 2 2 2 2 26" xfId="22397"/>
    <cellStyle name="常规 2 2 2 2 27" xfId="22398"/>
    <cellStyle name="好_1财务费用 28" xfId="22399"/>
    <cellStyle name="好_1财务费用 33" xfId="22400"/>
    <cellStyle name="常规 2 2 2 2 3" xfId="22401"/>
    <cellStyle name="常规 2 2 2 2 3 2" xfId="22402"/>
    <cellStyle name="常规 2 2 2 2 3 3" xfId="22403"/>
    <cellStyle name="常规 2 2 2 2 3 4" xfId="22404"/>
    <cellStyle name="好_1财务费用 29" xfId="22405"/>
    <cellStyle name="好_1财务费用 34" xfId="22406"/>
    <cellStyle name="常规 2 2 2 2 4" xfId="22407"/>
    <cellStyle name="常规 2 2 2 2 4 3" xfId="22408"/>
    <cellStyle name="好_ZG应收保费 2 2 2" xfId="22409"/>
    <cellStyle name="好_ZE买入返售金融证券 2 2" xfId="22410"/>
    <cellStyle name="常规 2 2 2 2 5" xfId="22411"/>
    <cellStyle name="好_可供出售金融资产" xfId="22412"/>
    <cellStyle name="好_ZE买入返售金融证券 2 2 2" xfId="22413"/>
    <cellStyle name="常规 2 2 2 2 5 2" xfId="22414"/>
    <cellStyle name="好_ZE买入返售金融证券 2 2 3" xfId="22415"/>
    <cellStyle name="常规 2 2 2 2 5 3" xfId="22416"/>
    <cellStyle name="好_ZE买入返售金融证券 2 3" xfId="22417"/>
    <cellStyle name="常规 2 2 2 2 6" xfId="22418"/>
    <cellStyle name="好 2 2_附注表一（财务报表）" xfId="22419"/>
    <cellStyle name="常规 2 2 2 2 6 3" xfId="22420"/>
    <cellStyle name="好_ZE买入返售金融证券 2 4" xfId="22421"/>
    <cellStyle name="常规 2 2 2 2 7" xfId="22422"/>
    <cellStyle name="常规 2 2 2 2 7 3" xfId="22423"/>
    <cellStyle name="好_应收账款" xfId="22424"/>
    <cellStyle name="常规 2 2 2 2_附注表一（财务报表）" xfId="22425"/>
    <cellStyle name="好_50-营业成本（空白模板） 6_明细表 3" xfId="22426"/>
    <cellStyle name="常规 2 2 2 25" xfId="22427"/>
    <cellStyle name="常规 2 2 2 30" xfId="22428"/>
    <cellStyle name="好_50-营业成本（空白模板） 6_明细表 5" xfId="22429"/>
    <cellStyle name="常规 2 2 2 27" xfId="22430"/>
    <cellStyle name="常规 2 2 2 32" xfId="22431"/>
    <cellStyle name="常规 2 2 2 28" xfId="22432"/>
    <cellStyle name="常规 2 2 2 33" xfId="22433"/>
    <cellStyle name="常规 2 2 2 3" xfId="22434"/>
    <cellStyle name="好_1短期借款" xfId="22435"/>
    <cellStyle name="常规 2 2 2 3 2 3" xfId="22436"/>
    <cellStyle name="常规 2 2 2 3 2 5" xfId="22437"/>
    <cellStyle name="常规 2 2 2 3 3" xfId="22438"/>
    <cellStyle name="常规 2 2 2 3 3 2" xfId="22439"/>
    <cellStyle name="常规 2 2 2 3 4" xfId="22440"/>
    <cellStyle name="常规 2 2 2 3 4 2" xfId="22441"/>
    <cellStyle name="好_ZE买入返售金融证券 3 2" xfId="22442"/>
    <cellStyle name="常规 2 2 2 3 5" xfId="22443"/>
    <cellStyle name="常规 2 2 2 4" xfId="22444"/>
    <cellStyle name="常规 2 2 2 4 2" xfId="22445"/>
    <cellStyle name="常规 2 2 2 4 2 10" xfId="22446"/>
    <cellStyle name="常规 2 2 2 4 2 2" xfId="22447"/>
    <cellStyle name="常规 2 2 2 4 2 4" xfId="22448"/>
    <cellStyle name="好_49-营业收入（空白模板） 10 2 2" xfId="22449"/>
    <cellStyle name="常规 2 2 2 4 2 5" xfId="22450"/>
    <cellStyle name="好_49-营业收入（空白模板） 10 2 3" xfId="22451"/>
    <cellStyle name="常规 2 2 2 4 2 6" xfId="22452"/>
    <cellStyle name="好_49-营业收入（空白模板） 10 2 4" xfId="22453"/>
    <cellStyle name="常规 2 2 2 4 2 7" xfId="22454"/>
    <cellStyle name="好_49-营业收入（空白模板） 10 2 5" xfId="22455"/>
    <cellStyle name="常规 2 2 2 4 2 8" xfId="22456"/>
    <cellStyle name="常规 2 2 2 4 2 9" xfId="22457"/>
    <cellStyle name="常规 2 2 2 4 3" xfId="22458"/>
    <cellStyle name="常规 2 2 2 4 3 2" xfId="22459"/>
    <cellStyle name="常规 2 2 2 4 4" xfId="22460"/>
    <cellStyle name="常规 2 2 2 4_附注表一（财务报表）" xfId="22461"/>
    <cellStyle name="好_复件 固定资产 10" xfId="22462"/>
    <cellStyle name="常规 2 2 2 5" xfId="22463"/>
    <cellStyle name="好_复件 固定资产 10 2" xfId="22464"/>
    <cellStyle name="好_短期借款 10 2 5" xfId="22465"/>
    <cellStyle name="常规 2 2 2 5 2" xfId="22466"/>
    <cellStyle name="好_复件 固定资产 10 2 2" xfId="22467"/>
    <cellStyle name="常规 2 2 2 5 2 2" xfId="22468"/>
    <cellStyle name="好_1短期借款 11_明细表 4" xfId="22469"/>
    <cellStyle name="好_复件 固定资产 10 2 3" xfId="22470"/>
    <cellStyle name="常规 2 2 2 5 2 3" xfId="22471"/>
    <cellStyle name="好_1短期借款 11_明细表 5" xfId="22472"/>
    <cellStyle name="好_复件 固定资产 10 2 4" xfId="22473"/>
    <cellStyle name="常规 2 2 2 5 2 4" xfId="22474"/>
    <cellStyle name="好_复件 固定资产 10 3" xfId="22475"/>
    <cellStyle name="常规 2 2 2 5 3" xfId="22476"/>
    <cellStyle name="常规 2 2 2 5 3 3" xfId="22477"/>
    <cellStyle name="好_附件3存货监盘 2" xfId="22478"/>
    <cellStyle name="常规 2 2 2 5 4" xfId="22479"/>
    <cellStyle name="好_附件3存货监盘 3" xfId="22480"/>
    <cellStyle name="好_ZE买入返售金融证券 5 2" xfId="22481"/>
    <cellStyle name="常规 2 2 2 5 5" xfId="22482"/>
    <cellStyle name="好_复件 固定资产 10_附注表一（财务报表）" xfId="22483"/>
    <cellStyle name="常规 2 2 2 5_附注表一（财务报表）" xfId="22484"/>
    <cellStyle name="好_复件 固定资产 11" xfId="22485"/>
    <cellStyle name="常规 2 2 2 6" xfId="22486"/>
    <cellStyle name="好_复件 固定资产 11 2 2" xfId="22487"/>
    <cellStyle name="常规 2 2 2 6 2 2" xfId="22488"/>
    <cellStyle name="好_复件 固定资产 11 2 3" xfId="22489"/>
    <cellStyle name="常规 2 2 2 6 2 3" xfId="22490"/>
    <cellStyle name="千位分隔 3 2 5 2 2 2" xfId="22491"/>
    <cellStyle name="好_复件 固定资产 11 2 4" xfId="22492"/>
    <cellStyle name="常规 2 2 2 6 2 4" xfId="22493"/>
    <cellStyle name="好_复件 固定资产 11 2 5" xfId="22494"/>
    <cellStyle name="好_49-营业收入（空白模板） 12 2 2" xfId="22495"/>
    <cellStyle name="常规 2 2 2 6 2 5" xfId="22496"/>
    <cellStyle name="好_复件 固定资产 11_附注表一（财务报表）" xfId="22497"/>
    <cellStyle name="常规 2 2 2 6_附注表一（财务报表）" xfId="22498"/>
    <cellStyle name="好_复件 固定资产 12" xfId="22499"/>
    <cellStyle name="常规 2 2 2 7" xfId="22500"/>
    <cellStyle name="好_复件 固定资产 12 2" xfId="22501"/>
    <cellStyle name="常规 2 49" xfId="22502"/>
    <cellStyle name="常规 2 54" xfId="22503"/>
    <cellStyle name="常规 2 2 2 7 2" xfId="22504"/>
    <cellStyle name="好_复件 固定资产 12 2 2" xfId="22505"/>
    <cellStyle name="常规 2 2 2 7 2 2" xfId="22506"/>
    <cellStyle name="好_30-应付账款（空白模板） 2 2 2" xfId="22507"/>
    <cellStyle name="好_复件 固定资产 12 2 3" xfId="22508"/>
    <cellStyle name="常规 2 2 2 7 2 3" xfId="22509"/>
    <cellStyle name="千位分隔 3 2 5 3 2 2" xfId="22510"/>
    <cellStyle name="好_30-应付账款（空白模板） 2 2 3" xfId="22511"/>
    <cellStyle name="好_复件 固定资产 12 2 4" xfId="22512"/>
    <cellStyle name="常规 2 2 2 7 2 4" xfId="22513"/>
    <cellStyle name="好_30-应付账款（空白模板） 2 2 4" xfId="22514"/>
    <cellStyle name="好_复件 固定资产 12 2 5" xfId="22515"/>
    <cellStyle name="好_49-营业收入（空白模板） 13 2 2" xfId="22516"/>
    <cellStyle name="常规 2 2 2 7 2 5" xfId="22517"/>
    <cellStyle name="好_复件 固定资产 12 3" xfId="22518"/>
    <cellStyle name="常规 2 2 2 7 3" xfId="22519"/>
    <cellStyle name="常规 2 2 2 7 4" xfId="22520"/>
    <cellStyle name="好_复件 固定资产 13" xfId="22521"/>
    <cellStyle name="常规 2 2 2 8" xfId="22522"/>
    <cellStyle name="好_复件 固定资产 13 2" xfId="22523"/>
    <cellStyle name="常规 2 2 2 8 2" xfId="22524"/>
    <cellStyle name="好_复件 固定资产 13 2 2" xfId="22525"/>
    <cellStyle name="好_预收款项 2 3" xfId="22526"/>
    <cellStyle name="常规 2 2 2 8 2 2" xfId="22527"/>
    <cellStyle name="好_30-应付账款（空白模板） 3 2 2" xfId="22528"/>
    <cellStyle name="好_复件 固定资产 13 2 3" xfId="22529"/>
    <cellStyle name="好_预收款项 2 4" xfId="22530"/>
    <cellStyle name="常规 2 2 2 8 2 3" xfId="22531"/>
    <cellStyle name="好_30-应付账款（空白模板） 3 2 3" xfId="22532"/>
    <cellStyle name="好_复件 固定资产 13 2 4" xfId="22533"/>
    <cellStyle name="好_预收款项 2 5" xfId="22534"/>
    <cellStyle name="常规 2 2 2 8 2 4" xfId="22535"/>
    <cellStyle name="好_30-应付账款（空白模板） 3 2 4" xfId="22536"/>
    <cellStyle name="好_复件 固定资产 13 2 5" xfId="22537"/>
    <cellStyle name="好_预收款项 2 6" xfId="22538"/>
    <cellStyle name="好_49-营业收入（空白模板） 14 2 2" xfId="22539"/>
    <cellStyle name="常规 2 2 2 8 2 5" xfId="22540"/>
    <cellStyle name="好_复件 固定资产 13 3" xfId="22541"/>
    <cellStyle name="常规 2 2 2 8 3" xfId="22542"/>
    <cellStyle name="常规 2 2 2 8 4" xfId="22543"/>
    <cellStyle name="好_复件 固定资产 14" xfId="22544"/>
    <cellStyle name="常规 2 2 2 9" xfId="22545"/>
    <cellStyle name="好_ZA0货币资金审定表 _明细表_1 5" xfId="22546"/>
    <cellStyle name="常规 2 2 2 9 2 2" xfId="22547"/>
    <cellStyle name="好_30-应付账款（空白模板） 4 2 2" xfId="22548"/>
    <cellStyle name="常规 2 2 2 9 2 3" xfId="22549"/>
    <cellStyle name="好_30-应付账款（空白模板） 4 2 3" xfId="22550"/>
    <cellStyle name="常规 2 2 2 9 2 4" xfId="22551"/>
    <cellStyle name="好_49-营业收入（空白模板） 15 2 2" xfId="22552"/>
    <cellStyle name="好_30-应付账款（空白模板） 4 2 4" xfId="22553"/>
    <cellStyle name="常规 2 2 2 9 2 5" xfId="22554"/>
    <cellStyle name="好_复件 固定资产 14 3" xfId="22555"/>
    <cellStyle name="好_15-固定资产（空白模板） 2 2 4" xfId="22556"/>
    <cellStyle name="常规 2 2 2 9 3" xfId="22557"/>
    <cellStyle name="好_复件 固定资产 14 4" xfId="22558"/>
    <cellStyle name="好_15-固定资产（空白模板） 2 2 5" xfId="22559"/>
    <cellStyle name="常规 2 2 2 9 4" xfId="22560"/>
    <cellStyle name="好_短期借款_明细表_1 3" xfId="22561"/>
    <cellStyle name="常规 2 2 2_11年应收帐款" xfId="22562"/>
    <cellStyle name="常规 2 2 24 4" xfId="22563"/>
    <cellStyle name="常规 2 2 24 5" xfId="22564"/>
    <cellStyle name="常规 2 2 24 6" xfId="22565"/>
    <cellStyle name="常规 2 2 25" xfId="22566"/>
    <cellStyle name="常规 2 2 30" xfId="22567"/>
    <cellStyle name="好_40-专项应付款(空白模板) 4 2 4" xfId="22568"/>
    <cellStyle name="常规 2 2 25 2" xfId="22569"/>
    <cellStyle name="输入 2 10" xfId="22570"/>
    <cellStyle name="常规 2 2 25 2 2" xfId="22571"/>
    <cellStyle name="输入 2 11" xfId="22572"/>
    <cellStyle name="常规 2 2 25 2 3" xfId="22573"/>
    <cellStyle name="输入 2 12" xfId="22574"/>
    <cellStyle name="常规 2 2 25 2 4" xfId="22575"/>
    <cellStyle name="常规 2 2 25 2 5" xfId="22576"/>
    <cellStyle name="常规 2 2 25_附注表一（财务报表）" xfId="22577"/>
    <cellStyle name="常规 2 2 26" xfId="22578"/>
    <cellStyle name="常规 2 2 31" xfId="22579"/>
    <cellStyle name="常规 2 2 26 2" xfId="22580"/>
    <cellStyle name="常规 2 2 26 2 2" xfId="22581"/>
    <cellStyle name="常规 2 2 26 2 3" xfId="22582"/>
    <cellStyle name="常规 2 2 26 2 4" xfId="22583"/>
    <cellStyle name="常规 2 2 26 2 5" xfId="22584"/>
    <cellStyle name="常规 2 2 27" xfId="22585"/>
    <cellStyle name="常规 2 2 32" xfId="22586"/>
    <cellStyle name="常规 2 2 29 2" xfId="22587"/>
    <cellStyle name="常规 2 2 29 3" xfId="22588"/>
    <cellStyle name="常规 4 10 2" xfId="22589"/>
    <cellStyle name="常规 2 2 29 4" xfId="22590"/>
    <cellStyle name="常规 4 10 3" xfId="22591"/>
    <cellStyle name="常规 2 2 29 5" xfId="22592"/>
    <cellStyle name="输出 2 3 5" xfId="22593"/>
    <cellStyle name="好_Sheet1 6 3" xfId="22594"/>
    <cellStyle name="常规 2 2 3" xfId="22595"/>
    <cellStyle name="常规 2 2 3 10" xfId="22596"/>
    <cellStyle name="常规 2 2 3 11" xfId="22597"/>
    <cellStyle name="好_19-无形资产（空白模板） 14_明细表 5" xfId="22598"/>
    <cellStyle name="常规 2 2 3 2" xfId="22599"/>
    <cellStyle name="常规 2 2 3 2 10" xfId="22600"/>
    <cellStyle name="常规 2 2 3 2 11" xfId="22601"/>
    <cellStyle name="常规 2 2 3 2 12" xfId="22602"/>
    <cellStyle name="好_资产负债标准底稿 4_明细表 3" xfId="22603"/>
    <cellStyle name="常规 2 2 3 2 2" xfId="22604"/>
    <cellStyle name="常规 2 2 3 2 2 4" xfId="22605"/>
    <cellStyle name="常规 2 2 3 2 2 4 2" xfId="22606"/>
    <cellStyle name="好_ZA0货币资金审定表  7_附注表一（财务报表）" xfId="22607"/>
    <cellStyle name="常规 2 2 3 2 2 4 3" xfId="22608"/>
    <cellStyle name="好_40-专项应付款(空白模板)" xfId="22609"/>
    <cellStyle name="常规 2 2 3 2 2 5 3" xfId="22610"/>
    <cellStyle name="好_资产负债标准底稿 4_明细表 4" xfId="22611"/>
    <cellStyle name="常规 2 2 3 2 3" xfId="22612"/>
    <cellStyle name="常规 2 2 3 2 3 2" xfId="22613"/>
    <cellStyle name="好_资产负债标准底稿 4_明细表 5" xfId="22614"/>
    <cellStyle name="常规 2 2 3 2 4" xfId="22615"/>
    <cellStyle name="常规 2 2 3 2 5" xfId="22616"/>
    <cellStyle name="常规 2 2 3 2 7" xfId="22617"/>
    <cellStyle name="常规 2 2 3 3" xfId="22618"/>
    <cellStyle name="好_Spreadsheet" xfId="22619"/>
    <cellStyle name="常规 2 2 3 3 2" xfId="22620"/>
    <cellStyle name="常规 2 2 3 3 3" xfId="22621"/>
    <cellStyle name="好_6-应收利息（空白模板） 4 6" xfId="22622"/>
    <cellStyle name="常规 2 2 3 3 3 2" xfId="22623"/>
    <cellStyle name="常规 2 2 3 4" xfId="22624"/>
    <cellStyle name="常规 2 2 3 4 2" xfId="22625"/>
    <cellStyle name="常规 2 2 3 4 3" xfId="22626"/>
    <cellStyle name="常规 2 2 3 4 3 2" xfId="22627"/>
    <cellStyle name="常规 5 25" xfId="22628"/>
    <cellStyle name="常规 5 30" xfId="22629"/>
    <cellStyle name="常规 2 2 3 5" xfId="22630"/>
    <cellStyle name="好_短期借款 11 2 5" xfId="22631"/>
    <cellStyle name="常规 2 2 3 5 2" xfId="22632"/>
    <cellStyle name="常规 2 2 3 5 3" xfId="22633"/>
    <cellStyle name="好_FJ 其他应付款 2 2 3" xfId="22634"/>
    <cellStyle name="常规 2 2 3 5 3 2" xfId="22635"/>
    <cellStyle name="常规 2 2 3 6" xfId="22636"/>
    <cellStyle name="常规 7 10" xfId="22637"/>
    <cellStyle name="常规 2 2 3 6 3" xfId="22638"/>
    <cellStyle name="常规 7 10 2" xfId="22639"/>
    <cellStyle name="常规 2 2 3 6 3 2" xfId="22640"/>
    <cellStyle name="常规 2 2 3 7" xfId="22641"/>
    <cellStyle name="常规 2 2 3 7 2" xfId="22642"/>
    <cellStyle name="常规 2 2 3 7 3" xfId="22643"/>
    <cellStyle name="常规 2 2 3 9" xfId="22644"/>
    <cellStyle name="公司标准表 3" xfId="22645"/>
    <cellStyle name="好_19-无形资产（空白模板） 3_明细表 4" xfId="22646"/>
    <cellStyle name="好_15-固定资产（空白模板） 3 2 3" xfId="22647"/>
    <cellStyle name="常规 2 2 3 9 2" xfId="22648"/>
    <cellStyle name="好_19-无形资产（空白模板） 3_明细表 5" xfId="22649"/>
    <cellStyle name="好_15-固定资产（空白模板） 3 2 4" xfId="22650"/>
    <cellStyle name="常规 2 2 3 9 3" xfId="22651"/>
    <cellStyle name="常规 2 2 35" xfId="22652"/>
    <cellStyle name="常规 2 2 36" xfId="22653"/>
    <cellStyle name="好_1预收款项 4_附注表一（财务报表）" xfId="22654"/>
    <cellStyle name="常规 2 2 37" xfId="22655"/>
    <cellStyle name="常规 2 2 4" xfId="22656"/>
    <cellStyle name="常规 2 2 4 11" xfId="22657"/>
    <cellStyle name="好_明细表_明细表" xfId="22658"/>
    <cellStyle name="常规 2 2 4 12" xfId="22659"/>
    <cellStyle name="好_明细表_明细表 2" xfId="22660"/>
    <cellStyle name="常规 2 2 4 12 2" xfId="22661"/>
    <cellStyle name="常规 2 2 4 13" xfId="22662"/>
    <cellStyle name="常规 2 2 4 2 10" xfId="22663"/>
    <cellStyle name="常规 2 2 4 2 11" xfId="22664"/>
    <cellStyle name="常规 2 2 4 2 2" xfId="22665"/>
    <cellStyle name="常规 2 2 4 2 3" xfId="22666"/>
    <cellStyle name="常规 2 2 4 2 3 2" xfId="22667"/>
    <cellStyle name="常规 2 2 4 2 3 3" xfId="22668"/>
    <cellStyle name="常规 2 2 4 2 4" xfId="22669"/>
    <cellStyle name="常规 2 2 4 2 5" xfId="22670"/>
    <cellStyle name="常规 2 2 4 2 9" xfId="22671"/>
    <cellStyle name="常规 2 2 4 3" xfId="22672"/>
    <cellStyle name="常规 2 2 4 3 2 2" xfId="22673"/>
    <cellStyle name="常规 2 2 4 5" xfId="22674"/>
    <cellStyle name="好_短期借款 12 2 5" xfId="22675"/>
    <cellStyle name="好_22-长期待摊费用（空白模板）_明细表_1 5" xfId="22676"/>
    <cellStyle name="常规 2 2 4 5 2" xfId="22677"/>
    <cellStyle name="常规 2 2 4 5 3" xfId="22678"/>
    <cellStyle name="常规 2 2 4 6" xfId="22679"/>
    <cellStyle name="好_15-固定资产（空白模板） 9_附注表一（财务报表）" xfId="22680"/>
    <cellStyle name="常规 2 2 4 7" xfId="22681"/>
    <cellStyle name="常规 2 2 4 8" xfId="22682"/>
    <cellStyle name="常规 2 2 4 9" xfId="22683"/>
    <cellStyle name="常规 2 2 4_附注表一（财务报表）" xfId="22684"/>
    <cellStyle name="常规 2 2 5" xfId="22685"/>
    <cellStyle name="常规 2 2 5 2" xfId="22686"/>
    <cellStyle name="好_50-营业成本（空白模板） 13_明细表 3" xfId="22687"/>
    <cellStyle name="好_其他应付款—YH" xfId="22688"/>
    <cellStyle name="好_1其他应收款 2 4" xfId="22689"/>
    <cellStyle name="常规 2 2 5 2 2" xfId="22690"/>
    <cellStyle name="好_其他应付款—YH 2" xfId="22691"/>
    <cellStyle name="强调文字颜色 5 2 2 2 3" xfId="22692"/>
    <cellStyle name="好_专项应付款 18 4" xfId="22693"/>
    <cellStyle name="常规 2 2 5 2 2 2" xfId="22694"/>
    <cellStyle name="好_其他应付款—YH 2 2" xfId="22695"/>
    <cellStyle name="好_专项应付款 18 5" xfId="22696"/>
    <cellStyle name="常规_35-应付股利（空白模板） 2" xfId="22697"/>
    <cellStyle name="常规 2 2 5 2 2 3" xfId="22698"/>
    <cellStyle name="常规 2 2 5 2 3" xfId="22699"/>
    <cellStyle name="好_其他应付款—YH 3" xfId="22700"/>
    <cellStyle name="常规 2 2 5 2 3 2" xfId="22701"/>
    <cellStyle name="好_其他应付款—YH 3 2" xfId="22702"/>
    <cellStyle name="常规 2 2 5 2 3 3" xfId="22703"/>
    <cellStyle name="常规 2 2 5 2 4" xfId="22704"/>
    <cellStyle name="好_其他应付款—YH 4" xfId="22705"/>
    <cellStyle name="常规 2 2 5 2 5" xfId="22706"/>
    <cellStyle name="好_其他应付款—YH 5" xfId="22707"/>
    <cellStyle name="常规 2 2 5 3" xfId="22708"/>
    <cellStyle name="好_50-营业成本（空白模板） 13_明细表 4" xfId="22709"/>
    <cellStyle name="好_1其他应收款 2 5" xfId="22710"/>
    <cellStyle name="常规 2 2 5 3 2" xfId="22711"/>
    <cellStyle name="常规 2 2 5 3 3" xfId="22712"/>
    <cellStyle name="常规 2 2 5 4" xfId="22713"/>
    <cellStyle name="好_50-营业成本（空白模板） 13_明细表 5" xfId="22714"/>
    <cellStyle name="常规 2 2 5 4 2" xfId="22715"/>
    <cellStyle name="常规 2 2 5 4 3" xfId="22716"/>
    <cellStyle name="常规 2 2 5 5" xfId="22717"/>
    <cellStyle name="好_短期借款 13 2 5" xfId="22718"/>
    <cellStyle name="常规 2 2 5 5 2" xfId="22719"/>
    <cellStyle name="常规 2 2 5 5 3" xfId="22720"/>
    <cellStyle name="常规 2 2 5_附注表一（财务报表）" xfId="22721"/>
    <cellStyle name="常规 2 2 6" xfId="22722"/>
    <cellStyle name="好_1其他应收款 3 4" xfId="22723"/>
    <cellStyle name="常规 2 2 6 2" xfId="22724"/>
    <cellStyle name="好_58-营业外收入（空白模板）_附注表一（财务报表）" xfId="22725"/>
    <cellStyle name="好_4-应收账款（空白模板） 9_明细表 3" xfId="22726"/>
    <cellStyle name="常规 2 2 6 2 2" xfId="22727"/>
    <cellStyle name="常规 2 2 6 2 2 2" xfId="22728"/>
    <cellStyle name="好_财务费用_应收账款" xfId="22729"/>
    <cellStyle name="常规 2 2 6 2 2 3" xfId="22730"/>
    <cellStyle name="常规 2 2 6 3" xfId="22731"/>
    <cellStyle name="常规 2 2 6 3 2" xfId="22732"/>
    <cellStyle name="常规 2 2 6 3 3" xfId="22733"/>
    <cellStyle name="常规 2 2 6 4" xfId="22734"/>
    <cellStyle name="常规 2 2 6 4 2" xfId="22735"/>
    <cellStyle name="常规 2 2 6 4 3" xfId="22736"/>
    <cellStyle name="常规 2 2 6 5" xfId="22737"/>
    <cellStyle name="好_短期借款 14 2 5" xfId="22738"/>
    <cellStyle name="常规 2 2 6 5 2" xfId="22739"/>
    <cellStyle name="常规 2 2 6 5 3" xfId="22740"/>
    <cellStyle name="常规 2 2 6 6" xfId="22741"/>
    <cellStyle name="好_49-营业收入（空白模板） 6 2 2" xfId="22742"/>
    <cellStyle name="常规 2 2 6 8" xfId="22743"/>
    <cellStyle name="常规 2 2 6_附注表一（财务报表）" xfId="22744"/>
    <cellStyle name="常规 2 2 7" xfId="22745"/>
    <cellStyle name="常规 2 2 7 2 3 2" xfId="22746"/>
    <cellStyle name="常规 2 2 7 2 3 3" xfId="22747"/>
    <cellStyle name="常规 36 2" xfId="22748"/>
    <cellStyle name="常规 2 2 7_附注表一（财务报表）" xfId="22749"/>
    <cellStyle name="常规 2 2 8 2" xfId="22750"/>
    <cellStyle name="常规 2 2 8 2 2" xfId="22751"/>
    <cellStyle name="常规 2 2 8 2 3" xfId="22752"/>
    <cellStyle name="常规 2 2 8 2 4" xfId="22753"/>
    <cellStyle name="常规 2 2 8 2 5" xfId="22754"/>
    <cellStyle name="常规 2 2 8 3" xfId="22755"/>
    <cellStyle name="常规 2 2 8 3 2" xfId="22756"/>
    <cellStyle name="常规 2 2 8 3 3" xfId="22757"/>
    <cellStyle name="常规 2 2 8 4" xfId="22758"/>
    <cellStyle name="常规 2 2 8 4 2" xfId="22759"/>
    <cellStyle name="常规 2 2 8 6" xfId="22760"/>
    <cellStyle name="常规 2 2 8_附注表一（财务报表）" xfId="22761"/>
    <cellStyle name="好_49-营业收入（空白模板） 14_附注表一（财务报表）" xfId="22762"/>
    <cellStyle name="常规 2 2 9" xfId="22763"/>
    <cellStyle name="常规 2 2 9 2" xfId="22764"/>
    <cellStyle name="常规 2 2 9 2 2" xfId="22765"/>
    <cellStyle name="常规 2 2 9 2 3" xfId="22766"/>
    <cellStyle name="常规 2 2 9 2 4" xfId="22767"/>
    <cellStyle name="常规 2 2 9 5" xfId="22768"/>
    <cellStyle name="常规 2 2__dxn_temp替代测试表(二)-借方金额检查模板" xfId="22769"/>
    <cellStyle name="常规 2 23 4" xfId="22770"/>
    <cellStyle name="常规 3 3 2 2 2 5 2" xfId="22771"/>
    <cellStyle name="常规 3 2 9 5" xfId="22772"/>
    <cellStyle name="常规 2 25 2 5" xfId="22773"/>
    <cellStyle name="常规 2 26" xfId="22774"/>
    <cellStyle name="常规 2 31" xfId="22775"/>
    <cellStyle name="常规 2 26 2" xfId="22776"/>
    <cellStyle name="常规 2 26 2 5" xfId="22777"/>
    <cellStyle name="好_FO预计负债 2 2 3" xfId="22778"/>
    <cellStyle name="常规 2 26_附注表一（财务报表）" xfId="22779"/>
    <cellStyle name="常规 2 27" xfId="22780"/>
    <cellStyle name="常规 2 32" xfId="22781"/>
    <cellStyle name="常规 2 27 2" xfId="22782"/>
    <cellStyle name="常规 2 28" xfId="22783"/>
    <cellStyle name="常规 2 33" xfId="22784"/>
    <cellStyle name="常规 2 28 2" xfId="22785"/>
    <cellStyle name="常规 2 33 2" xfId="22786"/>
    <cellStyle name="常规 5 15 2 3" xfId="22787"/>
    <cellStyle name="常规 5 20 2 3" xfId="22788"/>
    <cellStyle name="常规 2 28 2 2" xfId="22789"/>
    <cellStyle name="常规 2 28 3" xfId="22790"/>
    <cellStyle name="常规 2 33 3" xfId="22791"/>
    <cellStyle name="常规 2 28 4" xfId="22792"/>
    <cellStyle name="常规 2 33 4" xfId="22793"/>
    <cellStyle name="常规 2 28 6" xfId="22794"/>
    <cellStyle name="常规 2 28_附注表一（财务报表）" xfId="22795"/>
    <cellStyle name="常规 2 29" xfId="22796"/>
    <cellStyle name="常规 2 34" xfId="22797"/>
    <cellStyle name="常规 2 29 2" xfId="22798"/>
    <cellStyle name="常规 5 16 2 3" xfId="22799"/>
    <cellStyle name="常规 5 21 2 3" xfId="22800"/>
    <cellStyle name="常规 2 29 2 2" xfId="22801"/>
    <cellStyle name="常规 5 16 2 4" xfId="22802"/>
    <cellStyle name="常规 5 21 2 4" xfId="22803"/>
    <cellStyle name="常规 4 8 4 2" xfId="22804"/>
    <cellStyle name="常规 2 29 2 3" xfId="22805"/>
    <cellStyle name="常规 5 16 2 5" xfId="22806"/>
    <cellStyle name="常规 5 21 2 5" xfId="22807"/>
    <cellStyle name="常规 4 8 4 3" xfId="22808"/>
    <cellStyle name="常规 2 29 2 4" xfId="22809"/>
    <cellStyle name="常规 2 29 2 5" xfId="22810"/>
    <cellStyle name="常规 2 29 3" xfId="22811"/>
    <cellStyle name="常规 2 29 4" xfId="22812"/>
    <cellStyle name="常规 2 29 5" xfId="22813"/>
    <cellStyle name="常规 9 6_附注表一（财务报表）" xfId="22814"/>
    <cellStyle name="常规 2 29 6" xfId="22815"/>
    <cellStyle name="好_无形资产 2 2 2 2" xfId="22816"/>
    <cellStyle name="常规 2 29_附注表一（财务报表）" xfId="22817"/>
    <cellStyle name="好_Sheet1 7" xfId="22818"/>
    <cellStyle name="常规 2 3" xfId="22819"/>
    <cellStyle name="常规 2 3 10 2 3" xfId="22820"/>
    <cellStyle name="常规 2 3 10 2 4" xfId="22821"/>
    <cellStyle name="好_32-应付职工薪酬(空白模板) 2 2" xfId="22822"/>
    <cellStyle name="常规 2 3 10 2 5" xfId="22823"/>
    <cellStyle name="好_明细表_1 5" xfId="22824"/>
    <cellStyle name="常规 2 3 10 3" xfId="22825"/>
    <cellStyle name="常规 2 3 10 4" xfId="22826"/>
    <cellStyle name="常规 2 3 10_附注表一（财务报表）" xfId="22827"/>
    <cellStyle name="常规 2 3 11 2" xfId="22828"/>
    <cellStyle name="好_固定资产 7_明细表" xfId="22829"/>
    <cellStyle name="常规 2 3 11 3" xfId="22830"/>
    <cellStyle name="常规 2 3 11 4" xfId="22831"/>
    <cellStyle name="常规 2 3 12 2" xfId="22832"/>
    <cellStyle name="常规 2 3 12 2 3" xfId="22833"/>
    <cellStyle name="常规 2 3 12 2 4" xfId="22834"/>
    <cellStyle name="常规 2 3 12 3" xfId="22835"/>
    <cellStyle name="好_无形资产 8_明细表" xfId="22836"/>
    <cellStyle name="常规 2 3 12_附注表一（财务报表）" xfId="22837"/>
    <cellStyle name="常规 2 3 13 2 2" xfId="22838"/>
    <cellStyle name="常规 2 3 13 2 3" xfId="22839"/>
    <cellStyle name="常规 2 3 13 2 4" xfId="22840"/>
    <cellStyle name="常规 2 3 13 2 5" xfId="22841"/>
    <cellStyle name="常规 2 3 14 2" xfId="22842"/>
    <cellStyle name="好_底稿设置宏 12_明细表 5" xfId="22843"/>
    <cellStyle name="常规 2 3 14 2 2" xfId="22844"/>
    <cellStyle name="常规 2 3 14 2 3" xfId="22845"/>
    <cellStyle name="常规 2 3 14_附注表一（财务报表）" xfId="22846"/>
    <cellStyle name="常规 2 3 15" xfId="22847"/>
    <cellStyle name="常规 2 3 20" xfId="22848"/>
    <cellStyle name="常规 2 3 15 2" xfId="22849"/>
    <cellStyle name="常规 2 3 20 2" xfId="22850"/>
    <cellStyle name="常规 2 3 15 2 3" xfId="22851"/>
    <cellStyle name="常规 2 3 20 2 3" xfId="22852"/>
    <cellStyle name="常规 2 3 15 2 4" xfId="22853"/>
    <cellStyle name="常规 2 3 20 2 4" xfId="22854"/>
    <cellStyle name="好_1预付款项 2" xfId="22855"/>
    <cellStyle name="常规 2 3 15 2 5" xfId="22856"/>
    <cellStyle name="常规 2 3 20 2 5" xfId="22857"/>
    <cellStyle name="常规 2 3 16" xfId="22858"/>
    <cellStyle name="常规 2 3 21" xfId="22859"/>
    <cellStyle name="好_财务费用 2_明细表 4" xfId="22860"/>
    <cellStyle name="常规 2 3 16 2 3" xfId="22861"/>
    <cellStyle name="常规 2 3 21 2 3" xfId="22862"/>
    <cellStyle name="好_财务费用 2_明细表 5" xfId="22863"/>
    <cellStyle name="常规 2 3 16 2 4" xfId="22864"/>
    <cellStyle name="常规 2 3 21 2 4" xfId="22865"/>
    <cellStyle name="常规 2 3 16 2 5" xfId="22866"/>
    <cellStyle name="常规 2 3 21 2 5" xfId="22867"/>
    <cellStyle name="常规 2 3 17 2 4" xfId="22868"/>
    <cellStyle name="常规 2 3 22 2 4" xfId="22869"/>
    <cellStyle name="常规 2 3 17 2 5" xfId="22870"/>
    <cellStyle name="常规 2 3 22 2 5" xfId="22871"/>
    <cellStyle name="好_应付账款 4 2" xfId="22872"/>
    <cellStyle name="常规 2 3 18 2 2" xfId="22873"/>
    <cellStyle name="常规 2 3 23 2 2" xfId="22874"/>
    <cellStyle name="好_应付账款 4 3" xfId="22875"/>
    <cellStyle name="常规 2 3 18 2 3" xfId="22876"/>
    <cellStyle name="常规 2 3 23 2 3" xfId="22877"/>
    <cellStyle name="常规 2 3 18 2 5" xfId="22878"/>
    <cellStyle name="常规 2 3 23 2 5" xfId="22879"/>
    <cellStyle name="好_底稿设置宏 4 3" xfId="22880"/>
    <cellStyle name="常规 6 9 4 3" xfId="22881"/>
    <cellStyle name="常规 2 3 18_附注表一（财务报表）" xfId="22882"/>
    <cellStyle name="常规 2 3 23_附注表一（财务报表）" xfId="22883"/>
    <cellStyle name="常规 2 3 19 2 2" xfId="22884"/>
    <cellStyle name="常规 2 3 24 2 2" xfId="22885"/>
    <cellStyle name="常规 2 4 2 8 3" xfId="22886"/>
    <cellStyle name="常规 2 3 19 2 3" xfId="22887"/>
    <cellStyle name="常规 2 3 24 2 3" xfId="22888"/>
    <cellStyle name="常规 6 11 2" xfId="22889"/>
    <cellStyle name="常规 2 3 19 2 5" xfId="22890"/>
    <cellStyle name="常规 2 3 24 2 5" xfId="22891"/>
    <cellStyle name="常规 2 3 19 3" xfId="22892"/>
    <cellStyle name="常规 2 3 24 3" xfId="22893"/>
    <cellStyle name="常规 2 3 2 10 2" xfId="22894"/>
    <cellStyle name="常规 2 3 2 10 2 2" xfId="22895"/>
    <cellStyle name="常规 2 3 2 10 2 3" xfId="22896"/>
    <cellStyle name="常规 2 3 2 10 2 4" xfId="22897"/>
    <cellStyle name="常规 2 3 2 10 3" xfId="22898"/>
    <cellStyle name="常规 2 3 2 10_附注表一（财务报表）" xfId="22899"/>
    <cellStyle name="常规 2 3 2 11" xfId="22900"/>
    <cellStyle name="常规 2 3 2 11 2" xfId="22901"/>
    <cellStyle name="常规 2 3 2 11 2 2" xfId="22902"/>
    <cellStyle name="常规 2 3 2 11 2 3" xfId="22903"/>
    <cellStyle name="常规 2 3 2 11 2 4" xfId="22904"/>
    <cellStyle name="常规 2 3 2 11 2 5" xfId="22905"/>
    <cellStyle name="好_51-营业税金及附加（空白模板） 4_明细表 2" xfId="22906"/>
    <cellStyle name="常规 2 3 2 11 3" xfId="22907"/>
    <cellStyle name="好_应付职工薪酬 2 2 2" xfId="22908"/>
    <cellStyle name="常规 2 3 2 11_附注表一（财务报表）" xfId="22909"/>
    <cellStyle name="好_短期借款 7" xfId="22910"/>
    <cellStyle name="常规 2 3 2 12 2" xfId="22911"/>
    <cellStyle name="好_短期借款 8" xfId="22912"/>
    <cellStyle name="常规 2 3 2 12 3" xfId="22913"/>
    <cellStyle name="好_短期借款 9" xfId="22914"/>
    <cellStyle name="常规 2 3 2 12 4" xfId="22915"/>
    <cellStyle name="好_51-营业税金及附加（空白模板） 12_明细表 3" xfId="22916"/>
    <cellStyle name="常规 2 3 2 14" xfId="22917"/>
    <cellStyle name="好_51-营业税金及附加（空白模板） 12_明细表 4" xfId="22918"/>
    <cellStyle name="好_公允价值变动损益" xfId="22919"/>
    <cellStyle name="常规 2 3 2 15" xfId="22920"/>
    <cellStyle name="常规 2 3 2 20" xfId="22921"/>
    <cellStyle name="好_51-营业税金及附加（空白模板） 12_明细表 5" xfId="22922"/>
    <cellStyle name="常规 2 3 2 16" xfId="22923"/>
    <cellStyle name="常规 2 3 2 21" xfId="22924"/>
    <cellStyle name="常规 2 3 2 2" xfId="22925"/>
    <cellStyle name="好_价值评估 3" xfId="22926"/>
    <cellStyle name="常规 2 3 2 2 10" xfId="22927"/>
    <cellStyle name="常规 3 5 2 8" xfId="22928"/>
    <cellStyle name="常规 2 3 2 2 10 2" xfId="22929"/>
    <cellStyle name="常规 3 5 2 8 2" xfId="22930"/>
    <cellStyle name="常规 2 3 2 2 10 2 2" xfId="22931"/>
    <cellStyle name="常规 2 3 2 2 10 2 4" xfId="22932"/>
    <cellStyle name="好_大信底稿目录 13 2" xfId="22933"/>
    <cellStyle name="常规 2 3 2 2 10 2 5" xfId="22934"/>
    <cellStyle name="常规 2 3 2 2 10_附注表一（财务报表）" xfId="22935"/>
    <cellStyle name="常规 2 3 2 2 11 2 2" xfId="22936"/>
    <cellStyle name="常规 2 3 2 2 11 2 3" xfId="22937"/>
    <cellStyle name="常规 2 3 2 2 12 3" xfId="22938"/>
    <cellStyle name="常规 2 3 2 2 12 4" xfId="22939"/>
    <cellStyle name="常规 2 3 2 2 12 5" xfId="22940"/>
    <cellStyle name="好_ZA0货币资金审定表  11_明细表 2" xfId="22941"/>
    <cellStyle name="常规 2 3 2 2 14" xfId="22942"/>
    <cellStyle name="好_ZA0货币资金审定表  11_明细表 3" xfId="22943"/>
    <cellStyle name="常规 2 3 2 2 15" xfId="22944"/>
    <cellStyle name="常规 2 3 2 2 20" xfId="22945"/>
    <cellStyle name="好_ZA0货币资金审定表  11_明细表 4" xfId="22946"/>
    <cellStyle name="常规 2 3 2 2 16" xfId="22947"/>
    <cellStyle name="常规 2 3 2 2 21" xfId="22948"/>
    <cellStyle name="常规 2 3 2 2 18" xfId="22949"/>
    <cellStyle name="常规 2 3 2 2 23" xfId="22950"/>
    <cellStyle name="常规 2 3 2 2 19" xfId="22951"/>
    <cellStyle name="常规 2 3 2 2 24" xfId="22952"/>
    <cellStyle name="好_51-营业税金及附加（空白模板） 7 2 3" xfId="22953"/>
    <cellStyle name="常规 9 4 3 3" xfId="22954"/>
    <cellStyle name="常规 2 3 2 2 2" xfId="22955"/>
    <cellStyle name="常规 9 4 3 3 2" xfId="22956"/>
    <cellStyle name="常规 2 3 2 2 2 2" xfId="22957"/>
    <cellStyle name="常规 2 3 2 2 2 2 10" xfId="22958"/>
    <cellStyle name="常规 2 3 2 2 2 2 11" xfId="22959"/>
    <cellStyle name="常规 2 3 2 2 2 2 12" xfId="22960"/>
    <cellStyle name="常规 2 3 2 2 2 2 13" xfId="22961"/>
    <cellStyle name="常规 2 3 2 2 2 2 14" xfId="22962"/>
    <cellStyle name="常规 2 3 2 2 2 2 16" xfId="22963"/>
    <cellStyle name="常规 3 7 3 3" xfId="22964"/>
    <cellStyle name="好_预收款项 12" xfId="22965"/>
    <cellStyle name="常规 3 12 2" xfId="22966"/>
    <cellStyle name="常规 2 3 2 2 2 2 2 10" xfId="22967"/>
    <cellStyle name="常规 3 7 3 4" xfId="22968"/>
    <cellStyle name="好_预收款项 13" xfId="22969"/>
    <cellStyle name="常规 3 12 3" xfId="22970"/>
    <cellStyle name="常规 2 3 2 2 2 2 2 11" xfId="22971"/>
    <cellStyle name="常规 3 7 3 5" xfId="22972"/>
    <cellStyle name="好_预收款项 14" xfId="22973"/>
    <cellStyle name="常规 3 12 4" xfId="22974"/>
    <cellStyle name="常规 2 3 2 2 2 2 2 12" xfId="22975"/>
    <cellStyle name="好_预收款项 15" xfId="22976"/>
    <cellStyle name="好_预收款项 20" xfId="22977"/>
    <cellStyle name="常规 3 12 5" xfId="22978"/>
    <cellStyle name="常规 2 3 2 2 2 2 2 13" xfId="22979"/>
    <cellStyle name="常规 2 3 2 2 2 2 2 3" xfId="22980"/>
    <cellStyle name="常规 2 3 2 2 2 2 2 4" xfId="22981"/>
    <cellStyle name="常规 3 3 2 2 2 2 2 4" xfId="22982"/>
    <cellStyle name="常规 2 3 2 2 2 2 7" xfId="22983"/>
    <cellStyle name="常规 3 3 2 2 2 2 2 5" xfId="22984"/>
    <cellStyle name="常规 2 3 2 2 2 2 8" xfId="22985"/>
    <cellStyle name="好_1财务费用 10" xfId="22986"/>
    <cellStyle name="常规 2 3 2 2 2 2 9" xfId="22987"/>
    <cellStyle name="常规 2 3 2 2 2 3 2 5" xfId="22988"/>
    <cellStyle name="常规 2 3 2 2 2 3_附注表一（财务报表）" xfId="22989"/>
    <cellStyle name="常规 9 4 3 3 4" xfId="22990"/>
    <cellStyle name="常规 2 3 2 2 2 4" xfId="22991"/>
    <cellStyle name="常规 2 3 2 2 2 4 2" xfId="22992"/>
    <cellStyle name="常规 2 3 2 2 2 4 2 2" xfId="22993"/>
    <cellStyle name="常规 2 3 2 2 2 4 2 4" xfId="22994"/>
    <cellStyle name="常规 2 3 2 2 2 4 2 5" xfId="22995"/>
    <cellStyle name="常规 2 3 2 2 2 4_附注表一（财务报表）" xfId="22996"/>
    <cellStyle name="常规 2 3 2 2 2 5" xfId="22997"/>
    <cellStyle name="好_在建工程 - 复制" xfId="22998"/>
    <cellStyle name="常规 2 3 2 2 2 5 2" xfId="22999"/>
    <cellStyle name="好_在建工程 - 复制 3" xfId="23000"/>
    <cellStyle name="常规 2 3 2 2 2 5 2 3" xfId="23001"/>
    <cellStyle name="好_在建工程 - 复制 4" xfId="23002"/>
    <cellStyle name="常规 2 3 2 2 2 5 2 4" xfId="23003"/>
    <cellStyle name="好_在建工程 - 复制 5" xfId="23004"/>
    <cellStyle name="常规 2 3 2 2 2 5 2 5" xfId="23005"/>
    <cellStyle name="常规 2 3 2 2 2 6" xfId="23006"/>
    <cellStyle name="好_Sheet1 10" xfId="23007"/>
    <cellStyle name="常规 2 3 2 2 2 6 2" xfId="23008"/>
    <cellStyle name="常规 2 3 2 2 2 6 2 2" xfId="23009"/>
    <cellStyle name="常规 2 3 2 2 2 6 2 3" xfId="23010"/>
    <cellStyle name="常规 2 3 2 2 2 6 2 4" xfId="23011"/>
    <cellStyle name="常规 2 3 2 2 2 6 2 5" xfId="23012"/>
    <cellStyle name="好_应收利息 7 4" xfId="23013"/>
    <cellStyle name="常规 2 3 2 2 2 6_附注表一（财务报表）" xfId="23014"/>
    <cellStyle name="常规 2 3 2 2 2 7" xfId="23015"/>
    <cellStyle name="常规 2 3 2 2 26" xfId="23016"/>
    <cellStyle name="好_51-营业税金及附加（空白模板） 7 2 4" xfId="23017"/>
    <cellStyle name="常规 9 4 3 4" xfId="23018"/>
    <cellStyle name="常规 2 3 2 2 3" xfId="23019"/>
    <cellStyle name="常规 6 15" xfId="23020"/>
    <cellStyle name="常规 6 20" xfId="23021"/>
    <cellStyle name="常规 2 3 2 2 3 2 2" xfId="23022"/>
    <cellStyle name="常规 6 16" xfId="23023"/>
    <cellStyle name="常规 6 21" xfId="23024"/>
    <cellStyle name="常规 2 3 2 2 3 2 3" xfId="23025"/>
    <cellStyle name="常规 2 3 2 2 3_附注表一（财务报表）" xfId="23026"/>
    <cellStyle name="好_51-营业税金及附加（空白模板） 7 2 5" xfId="23027"/>
    <cellStyle name="常规 9 4 3 5" xfId="23028"/>
    <cellStyle name="常规 2 3 2 2 4" xfId="23029"/>
    <cellStyle name="常规 2 3 2 2 4_附注表一（财务报表）" xfId="23030"/>
    <cellStyle name="常规 9 4 3 7" xfId="23031"/>
    <cellStyle name="常规 2 3 2 2 6" xfId="23032"/>
    <cellStyle name="常规 2 3 2 2 6 2 4" xfId="23033"/>
    <cellStyle name="常规 3 3 2 2 2 6 2 2" xfId="23034"/>
    <cellStyle name="常规 2 3 2 2 6 2 5" xfId="23035"/>
    <cellStyle name="常规 2 3 2 2 7" xfId="23036"/>
    <cellStyle name="常规 2 3 2 2 7 2 3" xfId="23037"/>
    <cellStyle name="好_49-营业收入（空白模板）_固定资产" xfId="23038"/>
    <cellStyle name="常规 2 3 2 2 7 2 4" xfId="23039"/>
    <cellStyle name="常规 2 3 2 2 7 2 5" xfId="23040"/>
    <cellStyle name="好_ZG应收保费 4 3" xfId="23041"/>
    <cellStyle name="常规 2 3 2 2 7_附注表一（财务报表）" xfId="23042"/>
    <cellStyle name="常规 2 3 2 2 8 2 2" xfId="23043"/>
    <cellStyle name="常规 2 3 2 2 8 2 3" xfId="23044"/>
    <cellStyle name="常规 2 3 2 2 8_附注表一（财务报表）" xfId="23045"/>
    <cellStyle name="好_底稿设置宏_大信底稿目录 11_明细表" xfId="23046"/>
    <cellStyle name="常规 2 3 2 2 9" xfId="23047"/>
    <cellStyle name="常规 2 3 2 2 9 2 2" xfId="23048"/>
    <cellStyle name="好_40-专项应付款(空白模板) 7 4" xfId="23049"/>
    <cellStyle name="常规 2 3 2 2 9 2 3" xfId="23050"/>
    <cellStyle name="常规 2 3 2 2 9 2 4" xfId="23051"/>
    <cellStyle name="常规 2 3 2 2 9 2 5" xfId="23052"/>
    <cellStyle name="常规 2 3 2 2 9_附注表一（财务报表）" xfId="23053"/>
    <cellStyle name="超链接 4 5" xfId="23054"/>
    <cellStyle name="常规 2 3 2 2_附注表一（财务报表）" xfId="23055"/>
    <cellStyle name="常规 2 3 2 25" xfId="23056"/>
    <cellStyle name="常规 2 3 2 27" xfId="23057"/>
    <cellStyle name="常规 2 3 2 3 2 5" xfId="23058"/>
    <cellStyle name="常规 2 3 2 3_附注表一（财务报表）" xfId="23059"/>
    <cellStyle name="常规 2 3 2 4 2 4" xfId="23060"/>
    <cellStyle name="常规 2 3 2 4 2 5" xfId="23061"/>
    <cellStyle name="常规 2 3 2 5 2 2" xfId="23062"/>
    <cellStyle name="常规 2 3 2 5 2 3" xfId="23063"/>
    <cellStyle name="常规 2 3 2 5_附注表一（财务报表）" xfId="23064"/>
    <cellStyle name="輔色5 2" xfId="23065"/>
    <cellStyle name="常规 2 3 2 6 2 2" xfId="23066"/>
    <cellStyle name="輔色5 4" xfId="23067"/>
    <cellStyle name="常规 2 3 2 6 2 4" xfId="23068"/>
    <cellStyle name="輔色5 5" xfId="23069"/>
    <cellStyle name="常规 2 3 2 6 2 5" xfId="23070"/>
    <cellStyle name="好_ZL长期应收款 3 2" xfId="23071"/>
    <cellStyle name="常规 2 3 2 6_附注表一（财务报表）" xfId="23072"/>
    <cellStyle name="好_1预收款项 11_明细表 3" xfId="23073"/>
    <cellStyle name="好_1营业收入 8 3" xfId="23074"/>
    <cellStyle name="常规 2 3 2 7" xfId="23075"/>
    <cellStyle name="好_资产负债标准底稿 15 2 3" xfId="23076"/>
    <cellStyle name="好_Z1货币资金" xfId="23077"/>
    <cellStyle name="常规 9 4 8 3" xfId="23078"/>
    <cellStyle name="常规 2 3 2 7 2" xfId="23079"/>
    <cellStyle name="好_Z1货币资金 2" xfId="23080"/>
    <cellStyle name="常规 2 3 2 7 2 2" xfId="23081"/>
    <cellStyle name="好_Z1货币资金 3" xfId="23082"/>
    <cellStyle name="常规 2 3 2 7 2 3" xfId="23083"/>
    <cellStyle name="好_1预收款项 2 2 2" xfId="23084"/>
    <cellStyle name="常规 2 3 2 7 2 4" xfId="23085"/>
    <cellStyle name="好_1预收款项 11_明细表 4" xfId="23086"/>
    <cellStyle name="好_1营业收入 8 4" xfId="23087"/>
    <cellStyle name="常规 2 3 2 8" xfId="23088"/>
    <cellStyle name="常规 2 3 2 8 2" xfId="23089"/>
    <cellStyle name="常规 2 3 2 8 2 3" xfId="23090"/>
    <cellStyle name="常规 2 3 2 8 3" xfId="23091"/>
    <cellStyle name="好_1预收款项 11_明细表 5" xfId="23092"/>
    <cellStyle name="常规 2 3 2 9" xfId="23093"/>
    <cellStyle name="常规 2 3 2 9 2 5" xfId="23094"/>
    <cellStyle name="好_1应付职工薪酬 3 2 2" xfId="23095"/>
    <cellStyle name="好_财务费用_明细表 2 2" xfId="23096"/>
    <cellStyle name="好_1预收款项 4 2 3" xfId="23097"/>
    <cellStyle name="常规 2 3 2 9_附注表一（财务报表）" xfId="23098"/>
    <cellStyle name="常规 2 3 24 2 2 2" xfId="23099"/>
    <cellStyle name="常规 2 3 24 2 2 3" xfId="23100"/>
    <cellStyle name="常规 2 3 24 2 2 4" xfId="23101"/>
    <cellStyle name="常规 2 3 24 2 2 5" xfId="23102"/>
    <cellStyle name="常规 6 11 3" xfId="23103"/>
    <cellStyle name="常规 2 3 24 2 6" xfId="23104"/>
    <cellStyle name="常规 3 2 4 2 3" xfId="23105"/>
    <cellStyle name="常规 2 3 24 3 4" xfId="23106"/>
    <cellStyle name="常规 3 2 4 2 4" xfId="23107"/>
    <cellStyle name="常规 6 12 2" xfId="23108"/>
    <cellStyle name="常规 2 3 24 3 5" xfId="23109"/>
    <cellStyle name="常规 2 3 24 4" xfId="23110"/>
    <cellStyle name="输入 2 2_附注表一（财务报表）" xfId="23111"/>
    <cellStyle name="常规 2 3 24 5" xfId="23112"/>
    <cellStyle name="常规 2 3 24 6" xfId="23113"/>
    <cellStyle name="常规 2 3 25 2 2" xfId="23114"/>
    <cellStyle name="常规 2 3 25 2 3" xfId="23115"/>
    <cellStyle name="常规 5 18_附注表一（财务报表）" xfId="23116"/>
    <cellStyle name="常规 5 23_附注表一（财务报表）" xfId="23117"/>
    <cellStyle name="常规 2 3 25 2 4" xfId="23118"/>
    <cellStyle name="常规 2 3 25 2 5" xfId="23119"/>
    <cellStyle name="好_40-专项应付款(空白模板) 9 2 5" xfId="23120"/>
    <cellStyle name="常规 2 3 25 3" xfId="23121"/>
    <cellStyle name="常规 2 3 25 4" xfId="23122"/>
    <cellStyle name="好_1预收款项 10 2" xfId="23123"/>
    <cellStyle name="常规 2 3 25 5" xfId="23124"/>
    <cellStyle name="常规 2 3 26" xfId="23125"/>
    <cellStyle name="常规 2 3 31" xfId="23126"/>
    <cellStyle name="好_QB 资本公积" xfId="23127"/>
    <cellStyle name="常规 2 3 27" xfId="23128"/>
    <cellStyle name="常规 2 3 32" xfId="23129"/>
    <cellStyle name="常规 2 3 28" xfId="23130"/>
    <cellStyle name="常规 2 3 33" xfId="23131"/>
    <cellStyle name="常规 2 3 29" xfId="23132"/>
    <cellStyle name="常规 2 3 34" xfId="23133"/>
    <cellStyle name="常规 2 3 3 10" xfId="23134"/>
    <cellStyle name="常规 2 3 3 11" xfId="23135"/>
    <cellStyle name="常规 2 3 3 2" xfId="23136"/>
    <cellStyle name="好_51-营业税金及附加（空白模板） 8 2 4" xfId="23137"/>
    <cellStyle name="好_资产负债标准底稿 5_明细表 4" xfId="23138"/>
    <cellStyle name="好_19-无形资产（空白模板） 2 2 5" xfId="23139"/>
    <cellStyle name="常规 9 5 3 4" xfId="23140"/>
    <cellStyle name="常规 2 3 3 2 3" xfId="23141"/>
    <cellStyle name="常规 9 5 3 6" xfId="23142"/>
    <cellStyle name="常规 2 3 3 2 5" xfId="23143"/>
    <cellStyle name="常规 2 3 3 3" xfId="23144"/>
    <cellStyle name="常规 9 5 4 4" xfId="23145"/>
    <cellStyle name="常规 3 26 2 5" xfId="23146"/>
    <cellStyle name="常规 2 3 3 3 3" xfId="23147"/>
    <cellStyle name="常规 2 3 3 5" xfId="23148"/>
    <cellStyle name="好_1营业收入 9 2" xfId="23149"/>
    <cellStyle name="常规 2 3 3 6" xfId="23150"/>
    <cellStyle name="好_1营业收入 9 3" xfId="23151"/>
    <cellStyle name="常规 2 3 3 7" xfId="23152"/>
    <cellStyle name="好_1营业收入 9 4" xfId="23153"/>
    <cellStyle name="常规 2 3 3 8" xfId="23154"/>
    <cellStyle name="常规 2 3 3 9" xfId="23155"/>
    <cellStyle name="好_资产减值损失 14 2" xfId="23156"/>
    <cellStyle name="常规 2 3 35" xfId="23157"/>
    <cellStyle name="常规 2 3 37" xfId="23158"/>
    <cellStyle name="常规 2 3 38" xfId="23159"/>
    <cellStyle name="常规 2 3 39" xfId="23160"/>
    <cellStyle name="好_51-营业税金及附加（空白模板） 9 2 3" xfId="23161"/>
    <cellStyle name="好_19-无形资产（空白模板） 3 2 4" xfId="23162"/>
    <cellStyle name="常规 9 6 3 3" xfId="23163"/>
    <cellStyle name="常规 2 3 4 2 2" xfId="23164"/>
    <cellStyle name="好_51-营业税金及附加（空白模板） 9 2 4" xfId="23165"/>
    <cellStyle name="好_19-无形资产（空白模板） 3 2 5" xfId="23166"/>
    <cellStyle name="常规 9 6 3 4" xfId="23167"/>
    <cellStyle name="常规 2 3 4 2 3" xfId="23168"/>
    <cellStyle name="好_51-营业税金及附加（空白模板） 9 2 5" xfId="23169"/>
    <cellStyle name="好_19-无形资产（空白模板） 3 2 6" xfId="23170"/>
    <cellStyle name="常规 9 6 3 5" xfId="23171"/>
    <cellStyle name="常规 2 3 4 2 4" xfId="23172"/>
    <cellStyle name="常规 9 6 3 6" xfId="23173"/>
    <cellStyle name="常规 2 3 4 2 5" xfId="23174"/>
    <cellStyle name="常规 2 3 4 3" xfId="23175"/>
    <cellStyle name="常规 2 3 4 4" xfId="23176"/>
    <cellStyle name="汇总 2 2_附注表一（财务报表）" xfId="23177"/>
    <cellStyle name="常规 2 3 4 5" xfId="23178"/>
    <cellStyle name="超链接 2 8 2 5" xfId="23179"/>
    <cellStyle name="常规 2 3 4_附注表一（财务报表）" xfId="23180"/>
    <cellStyle name="常规 2 3 5" xfId="23181"/>
    <cellStyle name="常规 2 3 5 2" xfId="23182"/>
    <cellStyle name="好_19-无形资产（空白模板） 4 2 4" xfId="23183"/>
    <cellStyle name="好_短期借款 9_附注表一（财务报表）" xfId="23184"/>
    <cellStyle name="常规 9 7 3 3" xfId="23185"/>
    <cellStyle name="常规 2 3 5 2 2" xfId="23186"/>
    <cellStyle name="好_19-无形资产（空白模板） 4 2 6" xfId="23187"/>
    <cellStyle name="常规 2 3 5 2 4" xfId="23188"/>
    <cellStyle name="常规 2 3 5 2 5" xfId="23189"/>
    <cellStyle name="常规 2 3 5 3" xfId="23190"/>
    <cellStyle name="常规 9 7 4 3" xfId="23191"/>
    <cellStyle name="常规 3 28 2 4" xfId="23192"/>
    <cellStyle name="常规 2 3 5 3 2" xfId="23193"/>
    <cellStyle name="常规 2 3 5 4" xfId="23194"/>
    <cellStyle name="常规 2 3 5_附注表一（财务报表）" xfId="23195"/>
    <cellStyle name="常规 2 3 6" xfId="23196"/>
    <cellStyle name="常规 2 3 6 2" xfId="23197"/>
    <cellStyle name="千位分隔 4 2 3 4" xfId="23198"/>
    <cellStyle name="好_19-无形资产（空白模板） 5 2 4" xfId="23199"/>
    <cellStyle name="常规 2 3 6 2 2" xfId="23200"/>
    <cellStyle name="好_19-无形资产（空白模板） 5 2 6" xfId="23201"/>
    <cellStyle name="常规 2 3 6 2 4" xfId="23202"/>
    <cellStyle name="常规 2 3 6 2 5" xfId="23203"/>
    <cellStyle name="好_大信底稿目录 12_附注表一（财务报表）" xfId="23204"/>
    <cellStyle name="常规 2 3 6 3" xfId="23205"/>
    <cellStyle name="常规 2 3 6 4" xfId="23206"/>
    <cellStyle name="常规 2 3 7" xfId="23207"/>
    <cellStyle name="好_短期借款_明细表 4" xfId="23208"/>
    <cellStyle name="好_19-无形资产（空白模板） 6 2 4" xfId="23209"/>
    <cellStyle name="常规 2 3 7 2 2" xfId="23210"/>
    <cellStyle name="好_短期借款_明细表 5" xfId="23211"/>
    <cellStyle name="好_19-无形资产（空白模板） 6 2 5" xfId="23212"/>
    <cellStyle name="常规 2 3 7 2 3" xfId="23213"/>
    <cellStyle name="好_短期借款_明细表 6" xfId="23214"/>
    <cellStyle name="好_19-无形资产（空白模板） 6 2 6" xfId="23215"/>
    <cellStyle name="常规 2 3 7 2 4" xfId="23216"/>
    <cellStyle name="好_长期借款" xfId="23217"/>
    <cellStyle name="常规 2 3 7 3" xfId="23218"/>
    <cellStyle name="好_长期借款 2" xfId="23219"/>
    <cellStyle name="好_FJ其他应付款 2 2 3" xfId="23220"/>
    <cellStyle name="常规 2 3 7 3 2" xfId="23221"/>
    <cellStyle name="常规 2 3 7 4" xfId="23222"/>
    <cellStyle name="好_1专项应付款 10" xfId="23223"/>
    <cellStyle name="常规 2 3 7_附注表一（财务报表）" xfId="23224"/>
    <cellStyle name="常规 2 3 8" xfId="23225"/>
    <cellStyle name="常规 2 3 8 2" xfId="23226"/>
    <cellStyle name="好_19-无形资产（空白模板） 7 2 5" xfId="23227"/>
    <cellStyle name="常规 2 3 8 2 3" xfId="23228"/>
    <cellStyle name="常规 2 3 8 2 4" xfId="23229"/>
    <cellStyle name="千位分隔 2 2 6_附注表一（财务报表）" xfId="23230"/>
    <cellStyle name="常规 2 3 8 2 5" xfId="23231"/>
    <cellStyle name="常规 2 3 8 3" xfId="23232"/>
    <cellStyle name="好_固定资产 11_明细表 5" xfId="23233"/>
    <cellStyle name="常规 2 3 8_附注表一（财务报表）" xfId="23234"/>
    <cellStyle name="常规 2 3 9" xfId="23235"/>
    <cellStyle name="好_1资产减值损失 11_明细表 4" xfId="23236"/>
    <cellStyle name="常规 2 3 9 2" xfId="23237"/>
    <cellStyle name="好_19-无形资产（空白模板） 8 2 5" xfId="23238"/>
    <cellStyle name="常规 2 3 9 2 3" xfId="23239"/>
    <cellStyle name="常规 2 3 9 2 4" xfId="23240"/>
    <cellStyle name="常规 2 3 9 2 5" xfId="23241"/>
    <cellStyle name="好_1资产减值损失 11_明细表 5" xfId="23242"/>
    <cellStyle name="常规 2 3 9 3" xfId="23243"/>
    <cellStyle name="常规 2 3 9 3 2" xfId="23244"/>
    <cellStyle name="好_明细表 2" xfId="23245"/>
    <cellStyle name="常规 2 3 9 4" xfId="23246"/>
    <cellStyle name="好_1货币资金" xfId="23247"/>
    <cellStyle name="常规 2 3 9_附注表一（财务报表）" xfId="23248"/>
    <cellStyle name="好_1短期借款_附注表一（财务报表）" xfId="23249"/>
    <cellStyle name="常规 2 3_11年其他应收款" xfId="23250"/>
    <cellStyle name="常规 2 35" xfId="23251"/>
    <cellStyle name="常规 2 40" xfId="23252"/>
    <cellStyle name="常规 2 36" xfId="23253"/>
    <cellStyle name="常规 2 41" xfId="23254"/>
    <cellStyle name="常规 2 37" xfId="23255"/>
    <cellStyle name="常规 2 42" xfId="23256"/>
    <cellStyle name="常规 2 38" xfId="23257"/>
    <cellStyle name="常规 2 43" xfId="23258"/>
    <cellStyle name="好_38-应付债券（空白模板） 2 2" xfId="23259"/>
    <cellStyle name="好_Sheet1 8" xfId="23260"/>
    <cellStyle name="常规 2 4" xfId="23261"/>
    <cellStyle name="常规 2 4 10" xfId="23262"/>
    <cellStyle name="好_G-应收账款 2_明细表" xfId="23263"/>
    <cellStyle name="常规 2 4 11" xfId="23264"/>
    <cellStyle name="常规 2 4 12" xfId="23265"/>
    <cellStyle name="常规 2 4 13" xfId="23266"/>
    <cellStyle name="好_Sheet1 8 2" xfId="23267"/>
    <cellStyle name="常规 2 4 2" xfId="23268"/>
    <cellStyle name="常规 2 4 2 10" xfId="23269"/>
    <cellStyle name="常规 2 4 2 11" xfId="23270"/>
    <cellStyle name="常规 2 4 2 2" xfId="23271"/>
    <cellStyle name="好_报表层次重要性水平 9 3" xfId="23272"/>
    <cellStyle name="常规 2 4 2 2 2" xfId="23273"/>
    <cellStyle name="常规 2 4 2 2 2 2" xfId="23274"/>
    <cellStyle name="常规 2 4 2 2 2 2 2" xfId="23275"/>
    <cellStyle name="常规 2 4 2 2 2 2 2 2" xfId="23276"/>
    <cellStyle name="好_49-营业收入（空白模板） 4 2 4" xfId="23277"/>
    <cellStyle name="常规 38 2" xfId="23278"/>
    <cellStyle name="常规 2 4 2 2 2 2 3" xfId="23279"/>
    <cellStyle name="常规 2 4 2 2 2 3" xfId="23280"/>
    <cellStyle name="常规 2 4 2 2 2 3 2" xfId="23281"/>
    <cellStyle name="常规 39 2" xfId="23282"/>
    <cellStyle name="常规 2 4 2 2 2 3 3" xfId="23283"/>
    <cellStyle name="常规 2 4 2 2 2 5" xfId="23284"/>
    <cellStyle name="常规 2 4 2 2 4 3" xfId="23285"/>
    <cellStyle name="常规 2 4 2 2 6" xfId="23286"/>
    <cellStyle name="常规 2 4 2 3" xfId="23287"/>
    <cellStyle name="常规 2 4 2 3 2" xfId="23288"/>
    <cellStyle name="常规 2 4 2 3 2 2" xfId="23289"/>
    <cellStyle name="常规 2 4 2 3 2 3" xfId="23290"/>
    <cellStyle name="好_大信底稿目录_明细表 2 2" xfId="23291"/>
    <cellStyle name="常规 2 4 2 3 3" xfId="23292"/>
    <cellStyle name="常规 2 4 2 3 3 2" xfId="23293"/>
    <cellStyle name="常规 2 4 2 3 3 3" xfId="23294"/>
    <cellStyle name="好_大信底稿目录_明细表 2 3" xfId="23295"/>
    <cellStyle name="常规 2 4 2 3 4" xfId="23296"/>
    <cellStyle name="常规 2 4 2 4" xfId="23297"/>
    <cellStyle name="常规 2 4 2 4 2" xfId="23298"/>
    <cellStyle name="常规 2 4 2 4 3" xfId="23299"/>
    <cellStyle name="常规 2 4 2 5 2" xfId="23300"/>
    <cellStyle name="常规 2 4 2 5 3" xfId="23301"/>
    <cellStyle name="常规 3 2 3 11" xfId="23302"/>
    <cellStyle name="常规 2 4 2 6" xfId="23303"/>
    <cellStyle name="好_54-财务费用（空白模板）_应收账款" xfId="23304"/>
    <cellStyle name="常规 2 4 2 7" xfId="23305"/>
    <cellStyle name="好_57-投资收益（空白模板） 3" xfId="23306"/>
    <cellStyle name="好_54-财务费用（空白模板）_应收账款 2" xfId="23307"/>
    <cellStyle name="常规 2 4 2 7 2" xfId="23308"/>
    <cellStyle name="好_57-投资收益（空白模板） 4" xfId="23309"/>
    <cellStyle name="常规 2 4 2 7 3" xfId="23310"/>
    <cellStyle name="常规 2 4 2 8" xfId="23311"/>
    <cellStyle name="常规 2 4 2 8 2" xfId="23312"/>
    <cellStyle name="常规 2 4 2 9" xfId="23313"/>
    <cellStyle name="常规 2 4 2 9 2" xfId="23314"/>
    <cellStyle name="好_Sheet1 8 3" xfId="23315"/>
    <cellStyle name="常规 2 4 3" xfId="23316"/>
    <cellStyle name="常规 2 4 3 11" xfId="23317"/>
    <cellStyle name="好_应付账款 - 复制 2 2 3" xfId="23318"/>
    <cellStyle name="常规 2 4 3 2" xfId="23319"/>
    <cellStyle name="好_资产负债标准底稿 6_明细表 3" xfId="23320"/>
    <cellStyle name="常规 2 4 3 2 2" xfId="23321"/>
    <cellStyle name="常规 2 4 3 2 2 2" xfId="23322"/>
    <cellStyle name="常规 2 4 3 2 5" xfId="23323"/>
    <cellStyle name="常规 2 4 3 3" xfId="23324"/>
    <cellStyle name="好_1营业收入 25" xfId="23325"/>
    <cellStyle name="好_1营业收入 30" xfId="23326"/>
    <cellStyle name="常规 2 4 3 3 2" xfId="23327"/>
    <cellStyle name="好_1专项应付款 10_明细表 2" xfId="23328"/>
    <cellStyle name="常规 2 4 3 4" xfId="23329"/>
    <cellStyle name="好_1专项应付款 10_明细表 3" xfId="23330"/>
    <cellStyle name="常规 2 4 3 5" xfId="23331"/>
    <cellStyle name="好_1专项应付款 10_明细表 4" xfId="23332"/>
    <cellStyle name="常规 2 4 3 6" xfId="23333"/>
    <cellStyle name="好_1专项应付款 10_明细表 5" xfId="23334"/>
    <cellStyle name="常规 2 4 3 7" xfId="23335"/>
    <cellStyle name="常规 2 4 3 8" xfId="23336"/>
    <cellStyle name="常规 2 4 3 9" xfId="23337"/>
    <cellStyle name="常规 2 5 3_附注表一（财务报表）" xfId="23338"/>
    <cellStyle name="常规 2 4 4" xfId="23339"/>
    <cellStyle name="常规 2 4 4 2" xfId="23340"/>
    <cellStyle name="超链接 7 3" xfId="23341"/>
    <cellStyle name="常规 2 4 4 2 2" xfId="23342"/>
    <cellStyle name="常规 2 4 4 2 2 2" xfId="23343"/>
    <cellStyle name="常规 2 4 4 3" xfId="23344"/>
    <cellStyle name="超链接 8 3" xfId="23345"/>
    <cellStyle name="常规 2 4 4 3 2" xfId="23346"/>
    <cellStyle name="好_ZD 应收账款 2 2 2" xfId="23347"/>
    <cellStyle name="常规 2 4 4 4" xfId="23348"/>
    <cellStyle name="好_ZD 应收账款 2 2 3" xfId="23349"/>
    <cellStyle name="好_6-应收利息（空白模板） 2" xfId="23350"/>
    <cellStyle name="常规 2 4 4 5" xfId="23351"/>
    <cellStyle name="常规 2 4 5" xfId="23352"/>
    <cellStyle name="常规 4 16" xfId="23353"/>
    <cellStyle name="常规 4 21" xfId="23354"/>
    <cellStyle name="常规 2 4 5 2 2" xfId="23355"/>
    <cellStyle name="常规 2 4 5 3" xfId="23356"/>
    <cellStyle name="好_32-应付职工薪酬(空白模板) 7" xfId="23357"/>
    <cellStyle name="常规 2 4 5 3 2" xfId="23358"/>
    <cellStyle name="常规 2 4 5 4" xfId="23359"/>
    <cellStyle name="常规 2 4 6" xfId="23360"/>
    <cellStyle name="常规 2 4 6 2" xfId="23361"/>
    <cellStyle name="常规 2 4 6 2 2" xfId="23362"/>
    <cellStyle name="常规 2 4 6 3" xfId="23363"/>
    <cellStyle name="常规 2 4 6 3 2" xfId="23364"/>
    <cellStyle name="常规 2 4 7" xfId="23365"/>
    <cellStyle name="常规 2 4_Spreadsheet" xfId="23366"/>
    <cellStyle name="常规 2 48" xfId="23367"/>
    <cellStyle name="常规 2 53" xfId="23368"/>
    <cellStyle name="好_Sheet1 9" xfId="23369"/>
    <cellStyle name="常规 2 5" xfId="23370"/>
    <cellStyle name="常规 2 5 11" xfId="23371"/>
    <cellStyle name="常规 2 5 12" xfId="23372"/>
    <cellStyle name="常规 2 5 13" xfId="23373"/>
    <cellStyle name="好_Sheet1 9 2" xfId="23374"/>
    <cellStyle name="常规 2 5 2" xfId="23375"/>
    <cellStyle name="好_专项应付款 15_明细表 4" xfId="23376"/>
    <cellStyle name="常规 2 5 2 2" xfId="23377"/>
    <cellStyle name="常规 2 5 2 2 2" xfId="23378"/>
    <cellStyle name="常规 2 5 2 2 2 2" xfId="23379"/>
    <cellStyle name="常规 2 5 2 2 2 3" xfId="23380"/>
    <cellStyle name="好_54-财务费用（空白模板） 3_附注表一（财务报表）" xfId="23381"/>
    <cellStyle name="常规 2 5 2 2 2 4" xfId="23382"/>
    <cellStyle name="常规 2 5 2 2 2 5" xfId="23383"/>
    <cellStyle name="常规 2 5 2 2 3" xfId="23384"/>
    <cellStyle name="常规 2 5 2 2 4" xfId="23385"/>
    <cellStyle name="好_15-固定资产（空白模板） 9 2 2" xfId="23386"/>
    <cellStyle name="常规 2 5 2 2_附注表一（财务报表）" xfId="23387"/>
    <cellStyle name="好_专项应付款 15_明细表 5" xfId="23388"/>
    <cellStyle name="常规 2 5 2 3" xfId="23389"/>
    <cellStyle name="常规 2 5 2 3 2" xfId="23390"/>
    <cellStyle name="常规 2 5 2 3 2 2" xfId="23391"/>
    <cellStyle name="常规 2 5 2 3 2 3" xfId="23392"/>
    <cellStyle name="常规 2 5 2 3 3" xfId="23393"/>
    <cellStyle name="常规 2 5 2 5 2" xfId="23394"/>
    <cellStyle name="常规 2 5 2 5 2 2" xfId="23395"/>
    <cellStyle name="常规 2 5 2 5_附注表一（财务报表）" xfId="23396"/>
    <cellStyle name="常规 2 5 2 6" xfId="23397"/>
    <cellStyle name="常规 2 5 2 6 2" xfId="23398"/>
    <cellStyle name="常规 2 5 2 6 2 3" xfId="23399"/>
    <cellStyle name="常规 2 5 2 6 2 4" xfId="23400"/>
    <cellStyle name="常规 2 5 2 6 2 5" xfId="23401"/>
    <cellStyle name="常规 2 5 2 7" xfId="23402"/>
    <cellStyle name="常规 2 5 2 7 2" xfId="23403"/>
    <cellStyle name="常规 2 5 2 7 2 3" xfId="23404"/>
    <cellStyle name="常规 2 5 2 7 2 4" xfId="23405"/>
    <cellStyle name="常规 2 5 2 7 2 5" xfId="23406"/>
    <cellStyle name="常规 2 5 2 8" xfId="23407"/>
    <cellStyle name="常规 2 5 2 8 2" xfId="23408"/>
    <cellStyle name="常规 2 5 2 8 3" xfId="23409"/>
    <cellStyle name="常规 2 5 2 8 4" xfId="23410"/>
    <cellStyle name="常规 2 5 2 9" xfId="23411"/>
    <cellStyle name="常规 3 2 32 3" xfId="23412"/>
    <cellStyle name="常规 2 5 2_附注表一（财务报表）" xfId="23413"/>
    <cellStyle name="好_Sheet1 9 3" xfId="23414"/>
    <cellStyle name="常规 2 5 3" xfId="23415"/>
    <cellStyle name="常规 2 5 3 2" xfId="23416"/>
    <cellStyle name="好_资产负债标准底稿 7_明细表 3" xfId="23417"/>
    <cellStyle name="常规 2 5 3 2 2" xfId="23418"/>
    <cellStyle name="常规 2 5 3 2 2 2" xfId="23419"/>
    <cellStyle name="好_资产负债标准底稿 7_明细表 4" xfId="23420"/>
    <cellStyle name="常规 2 5 3 2 3" xfId="23421"/>
    <cellStyle name="好_资产负债标准底稿 7_明细表 5" xfId="23422"/>
    <cellStyle name="常规 2 5 3 2 4" xfId="23423"/>
    <cellStyle name="常规 2 5 3 3" xfId="23424"/>
    <cellStyle name="好_45-股本（实收资本）（空白模板） 3" xfId="23425"/>
    <cellStyle name="常规 2 5 3 3 2" xfId="23426"/>
    <cellStyle name="常规 2 5 4" xfId="23427"/>
    <cellStyle name="常规 2 5 4 2 2" xfId="23428"/>
    <cellStyle name="常规 2 5 4 2 4" xfId="23429"/>
    <cellStyle name="常规 2 5 4 2 5" xfId="23430"/>
    <cellStyle name="常规 2 5 4 3" xfId="23431"/>
    <cellStyle name="常规 2 5 4 3 2" xfId="23432"/>
    <cellStyle name="常规 2 5 4 4" xfId="23433"/>
    <cellStyle name="常规 2 5 5" xfId="23434"/>
    <cellStyle name="常规 2 5 5 2" xfId="23435"/>
    <cellStyle name="常规 2 5 5 2 2" xfId="23436"/>
    <cellStyle name="常规 2 5 5 2 3" xfId="23437"/>
    <cellStyle name="常规 2 5 5 2 4" xfId="23438"/>
    <cellStyle name="常规 2 5 5 2 5" xfId="23439"/>
    <cellStyle name="常规 2 5 5 3" xfId="23440"/>
    <cellStyle name="常规 2 5 5 3 2" xfId="23441"/>
    <cellStyle name="常规 2 5 5 4" xfId="23442"/>
    <cellStyle name="常规 2 5 6" xfId="23443"/>
    <cellStyle name="常规 2 5 6 2 2" xfId="23444"/>
    <cellStyle name="常规 2 5 6 2 3" xfId="23445"/>
    <cellStyle name="常规 2 5 6 2 4" xfId="23446"/>
    <cellStyle name="常规 2 5 6 2 5" xfId="23447"/>
    <cellStyle name="常规 2 5 6 3 2" xfId="23448"/>
    <cellStyle name="常规 2 5 6_附注表一（财务报表）" xfId="23449"/>
    <cellStyle name="常规 2 5 7" xfId="23450"/>
    <cellStyle name="常规 2 5 7 2" xfId="23451"/>
    <cellStyle name="常规 2 5 7 2 2" xfId="23452"/>
    <cellStyle name="常规 2 5 7 2 3" xfId="23453"/>
    <cellStyle name="常规 2 5 7 2 4" xfId="23454"/>
    <cellStyle name="常规 2 5 7 3" xfId="23455"/>
    <cellStyle name="常规 2 5 7_附注表一（财务报表）" xfId="23456"/>
    <cellStyle name="常规 2 5 8 3" xfId="23457"/>
    <cellStyle name="常规 2 5 8 5" xfId="23458"/>
    <cellStyle name="好_营业收入 4_明细表 3" xfId="23459"/>
    <cellStyle name="常规 2 5 9" xfId="23460"/>
    <cellStyle name="常规 2 5_Spreadsheet" xfId="23461"/>
    <cellStyle name="好_40-专项应付款(空白模板) 18" xfId="23462"/>
    <cellStyle name="好_40-专项应付款(空白模板) 23" xfId="23463"/>
    <cellStyle name="常规 2 6 2 2" xfId="23464"/>
    <cellStyle name="好_40-专项应付款(空白模板) 18 2" xfId="23465"/>
    <cellStyle name="常规 2 6 2 2 2" xfId="23466"/>
    <cellStyle name="好_资产负债标准底稿_大信底稿目录" xfId="23467"/>
    <cellStyle name="好_ZA0货币资金审定表  2 2" xfId="23468"/>
    <cellStyle name="好_40-专项应付款(空白模板) 18 3" xfId="23469"/>
    <cellStyle name="常规 2 6 2 2 3" xfId="23470"/>
    <cellStyle name="好_40-专项应付款(空白模板) 19" xfId="23471"/>
    <cellStyle name="好_40-专项应付款(空白模板) 24" xfId="23472"/>
    <cellStyle name="常规 2 6 2 3" xfId="23473"/>
    <cellStyle name="好_40-专项应付款(空白模板) 25" xfId="23474"/>
    <cellStyle name="好_40-专项应付款(空白模板) 30" xfId="23475"/>
    <cellStyle name="常规 2 6 2 4" xfId="23476"/>
    <cellStyle name="好_40-专项应付款(空白模板) 27" xfId="23477"/>
    <cellStyle name="好_40-专项应付款(空白模板) 32" xfId="23478"/>
    <cellStyle name="常规 2 6 2 6" xfId="23479"/>
    <cellStyle name="常规 2 6 3" xfId="23480"/>
    <cellStyle name="常规 2 6 3 2" xfId="23481"/>
    <cellStyle name="常规 2 6 3 3" xfId="23482"/>
    <cellStyle name="常规 2 6 4" xfId="23483"/>
    <cellStyle name="常规 2 6 5" xfId="23484"/>
    <cellStyle name="常规 2 6 8 2" xfId="23485"/>
    <cellStyle name="常规 2 6 8 3" xfId="23486"/>
    <cellStyle name="常规 2 6 9" xfId="23487"/>
    <cellStyle name="常规 2 6 9 2" xfId="23488"/>
    <cellStyle name="常规 2 6 9 3" xfId="23489"/>
    <cellStyle name="常规 2 7" xfId="23490"/>
    <cellStyle name="好_1-了解被审计单位及其环境（不包括内控） 2" xfId="23491"/>
    <cellStyle name="常规 2 7 2 2" xfId="23492"/>
    <cellStyle name="常规 2 7 2 2 2" xfId="23493"/>
    <cellStyle name="常规 2 7 2 2 3" xfId="23494"/>
    <cellStyle name="好_1-了解被审计单位及其环境（不包括内控） 3" xfId="23495"/>
    <cellStyle name="常规 2 7 2 3" xfId="23496"/>
    <cellStyle name="常规 2 7 2 6" xfId="23497"/>
    <cellStyle name="好_1营业收入 12 2 4" xfId="23498"/>
    <cellStyle name="常规 2 7 3" xfId="23499"/>
    <cellStyle name="好_1营业收入_财务费用" xfId="23500"/>
    <cellStyle name="常规 2 7 3 2" xfId="23501"/>
    <cellStyle name="好_资产负债类底稿模版 2 3 2 2" xfId="23502"/>
    <cellStyle name="好_1营业收入 12 2 5" xfId="23503"/>
    <cellStyle name="常规 2 7 4" xfId="23504"/>
    <cellStyle name="常规 2 7 4 2" xfId="23505"/>
    <cellStyle name="常规 2 7 4 3" xfId="23506"/>
    <cellStyle name="常规 2 7 5" xfId="23507"/>
    <cellStyle name="常规 2 7 5 2" xfId="23508"/>
    <cellStyle name="常规 2 7 5 3" xfId="23509"/>
    <cellStyle name="常规 2 7 6" xfId="23510"/>
    <cellStyle name="常规 2 7 7" xfId="23511"/>
    <cellStyle name="常规 2 7 9 2" xfId="23512"/>
    <cellStyle name="常规 2 8" xfId="23513"/>
    <cellStyle name="常规 2 8 2 2" xfId="23514"/>
    <cellStyle name="好_财务费用 15_附注表一（财务报表）" xfId="23515"/>
    <cellStyle name="常规 2 8 2 4" xfId="23516"/>
    <cellStyle name="货币 3 2 4" xfId="23517"/>
    <cellStyle name="常规 2 8 7" xfId="23518"/>
    <cellStyle name="常规 2 8 7 2" xfId="23519"/>
    <cellStyle name="常规 2 8 7 3" xfId="23520"/>
    <cellStyle name="好_1财务费用 15_明细表 2" xfId="23521"/>
    <cellStyle name="超链接 3 3 2" xfId="23522"/>
    <cellStyle name="常规 2 8_附注表一（财务报表）" xfId="23523"/>
    <cellStyle name="好_22-长期待摊费用（空白模板） 5 3" xfId="23524"/>
    <cellStyle name="常规 2 9 2 2" xfId="23525"/>
    <cellStyle name="常规 2 9 2 3" xfId="23526"/>
    <cellStyle name="常规 2 9 2 4" xfId="23527"/>
    <cellStyle name="好_22-长期待摊费用（空白模板） 6 3" xfId="23528"/>
    <cellStyle name="常规 2 9 3 2" xfId="23529"/>
    <cellStyle name="好_1应收账款 2 2" xfId="23530"/>
    <cellStyle name="常规 2 9_附注表一（财务报表）" xfId="23531"/>
    <cellStyle name="好_55-资产减值损失（空白模板）_明细表 5" xfId="23532"/>
    <cellStyle name="常规 3 2 3 6 3" xfId="23533"/>
    <cellStyle name="常规 2_财务费用" xfId="23534"/>
    <cellStyle name="常规 2_交易性金融负债 2" xfId="23535"/>
    <cellStyle name="常规 20_附注表一（财务报表）" xfId="23536"/>
    <cellStyle name="常规 25 2 2 2" xfId="23537"/>
    <cellStyle name="常规 30 2 2 2" xfId="23538"/>
    <cellStyle name="好_应收利息 11 2 3" xfId="23539"/>
    <cellStyle name="常规 25 2 2 3" xfId="23540"/>
    <cellStyle name="常规 30 2 2 3" xfId="23541"/>
    <cellStyle name="好_应收利息 11 2 4" xfId="23542"/>
    <cellStyle name="常规 25 3 2" xfId="23543"/>
    <cellStyle name="常规 30 3 2" xfId="23544"/>
    <cellStyle name="常规 25 3 3" xfId="23545"/>
    <cellStyle name="常规 30 3 3" xfId="23546"/>
    <cellStyle name="常规 25 4 2" xfId="23547"/>
    <cellStyle name="常规 25 7" xfId="23548"/>
    <cellStyle name="好_40-专项应付款(空白模板) 12_附注表一（财务报表）" xfId="23549"/>
    <cellStyle name="常规 25 8" xfId="23550"/>
    <cellStyle name="好_财务费用 9_附注表一（财务报表）" xfId="23551"/>
    <cellStyle name="常规 29 2 2 2" xfId="23552"/>
    <cellStyle name="常规 3 3 16 8" xfId="23553"/>
    <cellStyle name="常规 34 2 2 2" xfId="23554"/>
    <cellStyle name="常规 29 2 2 3" xfId="23555"/>
    <cellStyle name="常规 34 2 2 3" xfId="23556"/>
    <cellStyle name="常规 29 3 2" xfId="23557"/>
    <cellStyle name="常规 34 3 2" xfId="23558"/>
    <cellStyle name="常规 3 3 2 2 11_附注表一（财务报表）" xfId="23559"/>
    <cellStyle name="常规 29 5" xfId="23560"/>
    <cellStyle name="常规 34 5" xfId="23561"/>
    <cellStyle name="常规 29 6" xfId="23562"/>
    <cellStyle name="常规 3 10 2" xfId="23563"/>
    <cellStyle name="好_54-财务费用（空白模板） 3 3" xfId="23564"/>
    <cellStyle name="常规 32 2 2 3" xfId="23565"/>
    <cellStyle name="常规 3 10 2 2" xfId="23566"/>
    <cellStyle name="好_54-财务费用（空白模板） 3 4" xfId="23567"/>
    <cellStyle name="常规 3 10 2 3" xfId="23568"/>
    <cellStyle name="好_54-财务费用（空白模板） 4 3" xfId="23569"/>
    <cellStyle name="好_1应收账款_明细表 2 5" xfId="23570"/>
    <cellStyle name="好_1营业收入 2_明细表 5" xfId="23571"/>
    <cellStyle name="常规 3 10 3 2" xfId="23572"/>
    <cellStyle name="好_54-财务费用（空白模板） 4 4" xfId="23573"/>
    <cellStyle name="常规 3 10 3 3" xfId="23574"/>
    <cellStyle name="常规 3 10 5" xfId="23575"/>
    <cellStyle name="常规 3 10 6" xfId="23576"/>
    <cellStyle name="好_1营业收入 7_明细表 2" xfId="23577"/>
    <cellStyle name="常规 3 10 7" xfId="23578"/>
    <cellStyle name="常规 6 19" xfId="23579"/>
    <cellStyle name="常规 6 24" xfId="23580"/>
    <cellStyle name="常规 3 3 2 2 2 3 2 3" xfId="23581"/>
    <cellStyle name="常规 3 10_附注表一（财务报表）" xfId="23582"/>
    <cellStyle name="常规 3 7 2 3" xfId="23583"/>
    <cellStyle name="常规 3 11 2" xfId="23584"/>
    <cellStyle name="常规 3 11 2 2" xfId="23585"/>
    <cellStyle name="常规 3 7 2 4" xfId="23586"/>
    <cellStyle name="常规 3 11 3" xfId="23587"/>
    <cellStyle name="常规 3 11 3 2" xfId="23588"/>
    <cellStyle name="常规 3 11 3 3" xfId="23589"/>
    <cellStyle name="常规 3 11 3 4" xfId="23590"/>
    <cellStyle name="好_营业收入 12_附注表一（财务报表）" xfId="23591"/>
    <cellStyle name="常规 3 11 3 5" xfId="23592"/>
    <cellStyle name="常规 3 7 2 5" xfId="23593"/>
    <cellStyle name="常规 3 11 4" xfId="23594"/>
    <cellStyle name="常规 3 7 2 6" xfId="23595"/>
    <cellStyle name="常规 3 11 5" xfId="23596"/>
    <cellStyle name="常规 3 7 2 7" xfId="23597"/>
    <cellStyle name="常规 3 11 6" xfId="23598"/>
    <cellStyle name="常规 3 7 2 8" xfId="23599"/>
    <cellStyle name="常规 3 11 7" xfId="23600"/>
    <cellStyle name="常规 3 7 2 9" xfId="23601"/>
    <cellStyle name="常规 3 11 8" xfId="23602"/>
    <cellStyle name="常规 3 11_附注表一（财务报表）" xfId="23603"/>
    <cellStyle name="常规 3 12" xfId="23604"/>
    <cellStyle name="好_预收款项 13 2" xfId="23605"/>
    <cellStyle name="常规 3 12 3 2" xfId="23606"/>
    <cellStyle name="好_预收款项 13 3" xfId="23607"/>
    <cellStyle name="常规 3 12 3 3" xfId="23608"/>
    <cellStyle name="常规 3 12 3 4" xfId="23609"/>
    <cellStyle name="常规 3 12 3 5" xfId="23610"/>
    <cellStyle name="好_50-营业成本（空白模板）_固定资产" xfId="23611"/>
    <cellStyle name="常规 3 13" xfId="23612"/>
    <cellStyle name="常规 3 13 2 2" xfId="23613"/>
    <cellStyle name="常规 3 13 3 2" xfId="23614"/>
    <cellStyle name="常规 3 13 3 4" xfId="23615"/>
    <cellStyle name="常规 3 13 3 5" xfId="23616"/>
    <cellStyle name="常规 3 13 6" xfId="23617"/>
    <cellStyle name="好_1专项应付款 16 2 2" xfId="23618"/>
    <cellStyle name="常规 3 13 7" xfId="23619"/>
    <cellStyle name="好_1专项应付款 16 2 3" xfId="23620"/>
    <cellStyle name="常规 3 13 8" xfId="23621"/>
    <cellStyle name="常规 3 13_附注表一（财务报表）" xfId="23622"/>
    <cellStyle name="常规 3 14 3" xfId="23623"/>
    <cellStyle name="常规 3 14 3 2" xfId="23624"/>
    <cellStyle name="常规 3 14 4" xfId="23625"/>
    <cellStyle name="常规 3 14 5" xfId="23626"/>
    <cellStyle name="常规 3 14 6" xfId="23627"/>
    <cellStyle name="常规 3 14_附注表一（财务报表）" xfId="23628"/>
    <cellStyle name="常规 3 15" xfId="23629"/>
    <cellStyle name="常规 3 20" xfId="23630"/>
    <cellStyle name="好_4-应收账款（空白模板） 17" xfId="23631"/>
    <cellStyle name="好_4-应收账款（空白模板） 22" xfId="23632"/>
    <cellStyle name="常规 3 15 2" xfId="23633"/>
    <cellStyle name="常规 3 20 2" xfId="23634"/>
    <cellStyle name="好_1短期借款 6 2 5" xfId="23635"/>
    <cellStyle name="好_4-应收账款（空白模板） 17 5" xfId="23636"/>
    <cellStyle name="常规 3 15 2 5" xfId="23637"/>
    <cellStyle name="常规 3 20 2 5" xfId="23638"/>
    <cellStyle name="常规 3 15_附注表一（财务报表）" xfId="23639"/>
    <cellStyle name="常规 3 20_附注表一（财务报表）" xfId="23640"/>
    <cellStyle name="常规 3 16" xfId="23641"/>
    <cellStyle name="常规 3 21" xfId="23642"/>
    <cellStyle name="常规 3 2 10 2 2" xfId="23643"/>
    <cellStyle name="好_G-应收账款 16 2 5" xfId="23644"/>
    <cellStyle name="常规 3 16 2" xfId="23645"/>
    <cellStyle name="常规 3 21 2" xfId="23646"/>
    <cellStyle name="好_预收款项_明细表 2 4" xfId="23647"/>
    <cellStyle name="常规 3 16_附注表一（财务报表）" xfId="23648"/>
    <cellStyle name="常规 3 21_附注表一（财务报表）" xfId="23649"/>
    <cellStyle name="常规 3 17" xfId="23650"/>
    <cellStyle name="常规 3 22" xfId="23651"/>
    <cellStyle name="常规 3 2 10 2 3" xfId="23652"/>
    <cellStyle name="常规 3 18" xfId="23653"/>
    <cellStyle name="常规 3 23" xfId="23654"/>
    <cellStyle name="常规 3 2 10 2 4" xfId="23655"/>
    <cellStyle name="常规 6 10 2 3" xfId="23656"/>
    <cellStyle name="常规 3 18 2 2" xfId="23657"/>
    <cellStyle name="常规 3 23 2 2" xfId="23658"/>
    <cellStyle name="常规 3 18 2 4" xfId="23659"/>
    <cellStyle name="常规 3 23 2 4" xfId="23660"/>
    <cellStyle name="常规 3 18 2 5" xfId="23661"/>
    <cellStyle name="常规 3 23 2 5" xfId="23662"/>
    <cellStyle name="常规 3 19" xfId="23663"/>
    <cellStyle name="常规 3 24" xfId="23664"/>
    <cellStyle name="常规 3 2 10 2 5" xfId="23665"/>
    <cellStyle name="常规 3 19 2" xfId="23666"/>
    <cellStyle name="常规 3 24 2" xfId="23667"/>
    <cellStyle name="常规 6 11 2 3" xfId="23668"/>
    <cellStyle name="常规 3 19 2 2" xfId="23669"/>
    <cellStyle name="常规 3 24 2 2" xfId="23670"/>
    <cellStyle name="常规 3 19 2 3" xfId="23671"/>
    <cellStyle name="常规 3 24 2 3" xfId="23672"/>
    <cellStyle name="好_51-营业税金及附加（空白模板） 6 3 2" xfId="23673"/>
    <cellStyle name="常规 9 3 4 2" xfId="23674"/>
    <cellStyle name="常规 3 19 2 5" xfId="23675"/>
    <cellStyle name="常规 3 24 2 5" xfId="23676"/>
    <cellStyle name="常规 3 19_附注表一（财务报表）" xfId="23677"/>
    <cellStyle name="常规 3 24_附注表一（财务报表）" xfId="23678"/>
    <cellStyle name="常规 3 2" xfId="23679"/>
    <cellStyle name="常规 3 2 10" xfId="23680"/>
    <cellStyle name="常规 3 2 10_附注表一（财务报表）" xfId="23681"/>
    <cellStyle name="常规 3 2 11" xfId="23682"/>
    <cellStyle name="常规 3 2 11 2" xfId="23683"/>
    <cellStyle name="常规 3 2 11 2 2" xfId="23684"/>
    <cellStyle name="常规 3 2 11 2 3" xfId="23685"/>
    <cellStyle name="常规 3 2 11 2 4" xfId="23686"/>
    <cellStyle name="常规 3 2 11 2 5" xfId="23687"/>
    <cellStyle name="常规 3 2 11 3" xfId="23688"/>
    <cellStyle name="常规 3 2 11 3 2" xfId="23689"/>
    <cellStyle name="常规 3 2 11 3 3" xfId="23690"/>
    <cellStyle name="常规 3 2 11 4" xfId="23691"/>
    <cellStyle name="常规 3 2 11 5" xfId="23692"/>
    <cellStyle name="常规 3 2 11_附注表一（财务报表）" xfId="23693"/>
    <cellStyle name="常规 3 2 12 2 4" xfId="23694"/>
    <cellStyle name="常规 3 2 12 2 5" xfId="23695"/>
    <cellStyle name="常规 3 2 13 2 2" xfId="23696"/>
    <cellStyle name="常规 3 2 13 2 3" xfId="23697"/>
    <cellStyle name="常规 3 2 13 2 4" xfId="23698"/>
    <cellStyle name="常规 3 2 13 2 5" xfId="23699"/>
    <cellStyle name="常规 3 2 13 3 3" xfId="23700"/>
    <cellStyle name="常规 3 2 14 2" xfId="23701"/>
    <cellStyle name="常规 3 2 14 2 2" xfId="23702"/>
    <cellStyle name="常规 3 2 14 2 3" xfId="23703"/>
    <cellStyle name="常规 3 2 14 2 4" xfId="23704"/>
    <cellStyle name="常规 3 2 14 2 5" xfId="23705"/>
    <cellStyle name="常规 3 2 14 3" xfId="23706"/>
    <cellStyle name="好_递延所得税负债 - 复制 5" xfId="23707"/>
    <cellStyle name="好_G-应收账款_明细表 6" xfId="23708"/>
    <cellStyle name="常规 3 2 14 3 2" xfId="23709"/>
    <cellStyle name="常规 3 2 14 3 3" xfId="23710"/>
    <cellStyle name="常规 3 2 14 4" xfId="23711"/>
    <cellStyle name="常规 3 2 14 5" xfId="23712"/>
    <cellStyle name="好_资产减值损失" xfId="23713"/>
    <cellStyle name="常规 3 2 15 2 5" xfId="23714"/>
    <cellStyle name="常规 3 2 20 2 5" xfId="23715"/>
    <cellStyle name="常规 3 2 15_附注表一（财务报表）" xfId="23716"/>
    <cellStyle name="常规 3 2 20_附注表一（财务报表）" xfId="23717"/>
    <cellStyle name="常规 3 2 16 2" xfId="23718"/>
    <cellStyle name="常规 3 2 21 2" xfId="23719"/>
    <cellStyle name="常规 3 2 16 2 2" xfId="23720"/>
    <cellStyle name="常规 3 2 21 2 2" xfId="23721"/>
    <cellStyle name="常规 3 2 16 2 3" xfId="23722"/>
    <cellStyle name="常规 3 2 21 2 3" xfId="23723"/>
    <cellStyle name="常规 3 2 16 3" xfId="23724"/>
    <cellStyle name="常规 3 2 16_附注表一（财务报表）" xfId="23725"/>
    <cellStyle name="常规 3 2 21_附注表一（财务报表）" xfId="23726"/>
    <cellStyle name="常规 3 2 17 2 2" xfId="23727"/>
    <cellStyle name="常规 3 2 22 2 2" xfId="23728"/>
    <cellStyle name="常规 3 2 17 2 3" xfId="23729"/>
    <cellStyle name="常规 3 2 22 2 3" xfId="23730"/>
    <cellStyle name="常规 3 2 17 2 4" xfId="23731"/>
    <cellStyle name="常规 3 2 22 2 4" xfId="23732"/>
    <cellStyle name="常规 3 2 17 2 5" xfId="23733"/>
    <cellStyle name="常规 3 2 22 2 5" xfId="23734"/>
    <cellStyle name="常规 3 2 17 3" xfId="23735"/>
    <cellStyle name="常规 3 2 17_附注表一（财务报表）" xfId="23736"/>
    <cellStyle name="常规 3 2 22_附注表一（财务报表）" xfId="23737"/>
    <cellStyle name="常规 3 2 18 2" xfId="23738"/>
    <cellStyle name="常规 3 2 23 2" xfId="23739"/>
    <cellStyle name="常规 3 2 18 2 2" xfId="23740"/>
    <cellStyle name="常规 3 2 23 2 2" xfId="23741"/>
    <cellStyle name="常规 3 2 18 2 3" xfId="23742"/>
    <cellStyle name="常规 3 2 23 2 3" xfId="23743"/>
    <cellStyle name="常规 3 2 18 2 4" xfId="23744"/>
    <cellStyle name="常规 3 2 23 2 4" xfId="23745"/>
    <cellStyle name="常规 3 2 19 2" xfId="23746"/>
    <cellStyle name="常规 3 2 24 2" xfId="23747"/>
    <cellStyle name="常规 3 2 19 2 2" xfId="23748"/>
    <cellStyle name="常规 3 2 24 2 2" xfId="23749"/>
    <cellStyle name="常规 3 2 19 2 3" xfId="23750"/>
    <cellStyle name="常规 3 2 24 2 3" xfId="23751"/>
    <cellStyle name="超链接 3 19_附注表一（财务报表）" xfId="23752"/>
    <cellStyle name="常规 3 2 19 2 4" xfId="23753"/>
    <cellStyle name="常规 3 2 24 2 4" xfId="23754"/>
    <cellStyle name="常规 3 2 19 2 5" xfId="23755"/>
    <cellStyle name="常规 3 2 24 2 5" xfId="23756"/>
    <cellStyle name="常规 3 2 19 3" xfId="23757"/>
    <cellStyle name="常规 3 2 2 12" xfId="23758"/>
    <cellStyle name="常规 3 2 2 13" xfId="23759"/>
    <cellStyle name="常规 3 2 2 14" xfId="23760"/>
    <cellStyle name="常规 3 2 2 15" xfId="23761"/>
    <cellStyle name="常规 3 2 2 16" xfId="23762"/>
    <cellStyle name="常规 3 2 2 2" xfId="23763"/>
    <cellStyle name="常规 3 2 2 2 16" xfId="23764"/>
    <cellStyle name="常规 3 2 2 2 2" xfId="23765"/>
    <cellStyle name="常规 3 2 2 2 2 10" xfId="23766"/>
    <cellStyle name="好_1资产减值损失_Book2 2" xfId="23767"/>
    <cellStyle name="常规 3 2 2 2 2 11" xfId="23768"/>
    <cellStyle name="常规 3 2 2 2 2 12" xfId="23769"/>
    <cellStyle name="好_银行函证结果汇总表 16 2" xfId="23770"/>
    <cellStyle name="常规 3 2 2 2 2 13" xfId="23771"/>
    <cellStyle name="好_银行函证结果汇总表 16 3" xfId="23772"/>
    <cellStyle name="常规 3 2 2 2 2 2" xfId="23773"/>
    <cellStyle name="常规 3 2 2 2 2 3" xfId="23774"/>
    <cellStyle name="常规 7 4 2 2" xfId="23775"/>
    <cellStyle name="常规 3 2 2 2 2 4" xfId="23776"/>
    <cellStyle name="常规 3 2 2 2 2 4 3" xfId="23777"/>
    <cellStyle name="常规 7 4 2 3" xfId="23778"/>
    <cellStyle name="常规 3 2 2 2 2 5" xfId="23779"/>
    <cellStyle name="好_FF应付职工薪酬" xfId="23780"/>
    <cellStyle name="常规 3 2 2 2 2 5 3" xfId="23781"/>
    <cellStyle name="好 2 8" xfId="23782"/>
    <cellStyle name="常规 3 2 2 2 2 6" xfId="23783"/>
    <cellStyle name="常规 3 2 2 2 2 6 2" xfId="23784"/>
    <cellStyle name="常规 3 2 2 2 2 9" xfId="23785"/>
    <cellStyle name="好_银行函证结果汇总表 5 2" xfId="23786"/>
    <cellStyle name="千位分隔[0] 7 3" xfId="23787"/>
    <cellStyle name="好_30-应付账款（空白模板） 10_明细表 4" xfId="23788"/>
    <cellStyle name="常规 3 2 2 2 3" xfId="23789"/>
    <cellStyle name="常规 3 2 2 2 3 2" xfId="23790"/>
    <cellStyle name="常规 3 2 2 2 3 3" xfId="23791"/>
    <cellStyle name="常规 3 2 2 2 4" xfId="23792"/>
    <cellStyle name="常规 3 2 2 2 4 2" xfId="23793"/>
    <cellStyle name="常规 3 2 2 2 4 3" xfId="23794"/>
    <cellStyle name="常规 3 2 2 2 5" xfId="23795"/>
    <cellStyle name="常规 3 2 2 2 5 3" xfId="23796"/>
    <cellStyle name="常规 3 2 2 2 6" xfId="23797"/>
    <cellStyle name="常规 3 2 2 2 6 2" xfId="23798"/>
    <cellStyle name="常规 3 2 2 2 6 3" xfId="23799"/>
    <cellStyle name="常规 3 2 2 2 7" xfId="23800"/>
    <cellStyle name="常规 3 2 2 2 7 2" xfId="23801"/>
    <cellStyle name="常规 3 2 2 2 8" xfId="23802"/>
    <cellStyle name="常规 3 2 2 2 9" xfId="23803"/>
    <cellStyle name="常规 3 2 2 2 9 2" xfId="23804"/>
    <cellStyle name="常规 3 2 2 3 10" xfId="23805"/>
    <cellStyle name="常规 3 2 2 3 11" xfId="23806"/>
    <cellStyle name="常规 3 2 2 3 12" xfId="23807"/>
    <cellStyle name="好_银行函证结果汇总表 12 2" xfId="23808"/>
    <cellStyle name="常规 3 2 2 3 13" xfId="23809"/>
    <cellStyle name="常规 3 2 2 3 2 10" xfId="23810"/>
    <cellStyle name="常规 3 2 2 3 2 11" xfId="23811"/>
    <cellStyle name="好_51-营业税金及附加（空白模板）_明细表 2" xfId="23812"/>
    <cellStyle name="常规 3 2 2 3 2 2 2" xfId="23813"/>
    <cellStyle name="常规 3 2 2 3 2 6" xfId="23814"/>
    <cellStyle name="常规 3 2 2 3 2 9" xfId="23815"/>
    <cellStyle name="常规 3 2 2 3 3 2" xfId="23816"/>
    <cellStyle name="好_短期借款 9 2" xfId="23817"/>
    <cellStyle name="常规 3 2 2 3 3 3" xfId="23818"/>
    <cellStyle name="常规 3 2 2 3 4 2" xfId="23819"/>
    <cellStyle name="常规 3 2 2 4 10" xfId="23820"/>
    <cellStyle name="好 4 2" xfId="23821"/>
    <cellStyle name="常规 3 2 2 4 2 2" xfId="23822"/>
    <cellStyle name="好 4 3" xfId="23823"/>
    <cellStyle name="常规 3 2 2 4 2 3" xfId="23824"/>
    <cellStyle name="好 5" xfId="23825"/>
    <cellStyle name="常规 3 2 2 4 3" xfId="23826"/>
    <cellStyle name="好 5 2" xfId="23827"/>
    <cellStyle name="常规 3 2 2 4 3 2" xfId="23828"/>
    <cellStyle name="好 6" xfId="23829"/>
    <cellStyle name="常规 3 2 2 4 4" xfId="23830"/>
    <cellStyle name="好 7" xfId="23831"/>
    <cellStyle name="常规 3 2 2 4 5" xfId="23832"/>
    <cellStyle name="好 8" xfId="23833"/>
    <cellStyle name="常规 3 2 2 4 6" xfId="23834"/>
    <cellStyle name="好 9" xfId="23835"/>
    <cellStyle name="常规 3 2 2 4 7" xfId="23836"/>
    <cellStyle name="常规 3 2 2 5 10" xfId="23837"/>
    <cellStyle name="常规 3 2 2 5 11" xfId="23838"/>
    <cellStyle name="常规 3 2 2 5 12" xfId="23839"/>
    <cellStyle name="常规 3 2 2 5 3 2" xfId="23840"/>
    <cellStyle name="常规 3 2 2 5 4" xfId="23841"/>
    <cellStyle name="常规 3 2 2 5 5" xfId="23842"/>
    <cellStyle name="常规 3 2 2 5 6" xfId="23843"/>
    <cellStyle name="常规 3 2 2 5 7" xfId="23844"/>
    <cellStyle name="好_专项应付款 10 2" xfId="23845"/>
    <cellStyle name="常规 3 2 2 5 9" xfId="23846"/>
    <cellStyle name="常规 3 2 2 6" xfId="23847"/>
    <cellStyle name="常规 3 2 2 6 2" xfId="23848"/>
    <cellStyle name="常规 3 2 2 6 2 2" xfId="23849"/>
    <cellStyle name="常规 3 2 2 6 2 3" xfId="23850"/>
    <cellStyle name="好_公允价值变动损益 3 2" xfId="23851"/>
    <cellStyle name="常规 3 2 2 6 3" xfId="23852"/>
    <cellStyle name="好_51-营业税金及附加（空白模板）_财务费用" xfId="23853"/>
    <cellStyle name="常规 3 2 2 6 3 2" xfId="23854"/>
    <cellStyle name="常规 3 2 2 6 4" xfId="23855"/>
    <cellStyle name="常规 3 2 2 6 5" xfId="23856"/>
    <cellStyle name="常规 3 2 2 7" xfId="23857"/>
    <cellStyle name="常规 3 2 2 7 2" xfId="23858"/>
    <cellStyle name="常规 3 2 2 7 2 2" xfId="23859"/>
    <cellStyle name="常规 3 2 2 8" xfId="23860"/>
    <cellStyle name="常规 3 2 2 8 2" xfId="23861"/>
    <cellStyle name="好_短期借款 13_明细表 3" xfId="23862"/>
    <cellStyle name="常规 3 2 2 8 2 2" xfId="23863"/>
    <cellStyle name="常规 3 2 2 8 3" xfId="23864"/>
    <cellStyle name="常规 3 2 2 9" xfId="23865"/>
    <cellStyle name="常规 3 2 2 9 2" xfId="23866"/>
    <cellStyle name="常规 3 2 2 9 2 2" xfId="23867"/>
    <cellStyle name="常规 3 2 2 9 3" xfId="23868"/>
    <cellStyle name="常规 3 2 25 2" xfId="23869"/>
    <cellStyle name="好_无形资产 16 4" xfId="23870"/>
    <cellStyle name="常规 3 2 25 2 2" xfId="23871"/>
    <cellStyle name="好_无形资产 16 5" xfId="23872"/>
    <cellStyle name="常规 3 2 25 2 3" xfId="23873"/>
    <cellStyle name="好_无形资产 16 6" xfId="23874"/>
    <cellStyle name="常规 3 2 25 2 4" xfId="23875"/>
    <cellStyle name="常规 3 2 25 2 5" xfId="23876"/>
    <cellStyle name="好_30-应付账款（空白模板）_明细表 2 4" xfId="23877"/>
    <cellStyle name="常规 3 2 26" xfId="23878"/>
    <cellStyle name="常规 3 2 31" xfId="23879"/>
    <cellStyle name="好_50-营业成本（空白模板） 11_明细表 5" xfId="23880"/>
    <cellStyle name="常规 3 2 26 2" xfId="23881"/>
    <cellStyle name="常规 3 2 26 2 2" xfId="23882"/>
    <cellStyle name="常规 3 2 26 2 3" xfId="23883"/>
    <cellStyle name="常规 3 2 26 2 4" xfId="23884"/>
    <cellStyle name="常规 3 2 26 2 5" xfId="23885"/>
    <cellStyle name="常规 3 2 26_附注表一（财务报表）" xfId="23886"/>
    <cellStyle name="好_30-应付账款（空白模板）_明细表 2 5" xfId="23887"/>
    <cellStyle name="常规 3 2 27" xfId="23888"/>
    <cellStyle name="常规 3 2 32" xfId="23889"/>
    <cellStyle name="常规 3 2 27 2" xfId="23890"/>
    <cellStyle name="常规 3 2 32 2" xfId="23891"/>
    <cellStyle name="常规 3 2 27 2 2" xfId="23892"/>
    <cellStyle name="常规 3 2 27 2 3" xfId="23893"/>
    <cellStyle name="常规 3 2 27 2 4" xfId="23894"/>
    <cellStyle name="常规_37-长期借款（空白模板）" xfId="23895"/>
    <cellStyle name="常规 3 2 27 2 5" xfId="23896"/>
    <cellStyle name="好_底稿设置宏 16 4" xfId="23897"/>
    <cellStyle name="常规 3 2 27_附注表一（财务报表）" xfId="23898"/>
    <cellStyle name="常规 3 2 28" xfId="23899"/>
    <cellStyle name="常规 3 2 33" xfId="23900"/>
    <cellStyle name="常规 3 2 28 2" xfId="23901"/>
    <cellStyle name="常规 3 2 28 2 4" xfId="23902"/>
    <cellStyle name="好_底稿设置宏_大信底稿目录 7 2" xfId="23903"/>
    <cellStyle name="常规 3 2 28 2 5" xfId="23904"/>
    <cellStyle name="好_底稿设置宏_大信底稿目录 7 3" xfId="23905"/>
    <cellStyle name="常规 3 2 28 2 6" xfId="23906"/>
    <cellStyle name="常规 3 2 28 3" xfId="23907"/>
    <cellStyle name="常规 3 2 28 3 4" xfId="23908"/>
    <cellStyle name="好_底稿设置宏_大信底稿目录 8 2" xfId="23909"/>
    <cellStyle name="常规 3 2 28 3 5" xfId="23910"/>
    <cellStyle name="好_ZA0货币资金审定表 " xfId="23911"/>
    <cellStyle name="常规 3 2 28 4" xfId="23912"/>
    <cellStyle name="常规 3 2 28 5" xfId="23913"/>
    <cellStyle name="好_资产负债标准底稿 2 3 2" xfId="23914"/>
    <cellStyle name="常规 3 2 29_附注表一（财务报表）" xfId="23915"/>
    <cellStyle name="好_19-无形资产（空白模板） 15_明细表 5" xfId="23916"/>
    <cellStyle name="常规 3 2 3 2" xfId="23917"/>
    <cellStyle name="常规 3 2 3 2 2" xfId="23918"/>
    <cellStyle name="好_应付账款 5 3" xfId="23919"/>
    <cellStyle name="常规 3 2 3 2 2 2" xfId="23920"/>
    <cellStyle name="常规 3 2 3 2 2 3" xfId="23921"/>
    <cellStyle name="常规 8 4 2 2" xfId="23922"/>
    <cellStyle name="常规 3 2 3 2 2 4" xfId="23923"/>
    <cellStyle name="常规 3 2 3 2 3" xfId="23924"/>
    <cellStyle name="好_营业收入 11_明细表" xfId="23925"/>
    <cellStyle name="好_1财务费用 19" xfId="23926"/>
    <cellStyle name="好_1财务费用 24" xfId="23927"/>
    <cellStyle name="常规 3 2 3 2 3 2" xfId="23928"/>
    <cellStyle name="好_1财务费用 25" xfId="23929"/>
    <cellStyle name="好_1财务费用 30" xfId="23930"/>
    <cellStyle name="常规 3 2 3 2 3 3" xfId="23931"/>
    <cellStyle name="好_1营业收入_明细表 2 2" xfId="23932"/>
    <cellStyle name="常规 3 2 3 2 4" xfId="23933"/>
    <cellStyle name="好_1营业收入_明细表 2 3" xfId="23934"/>
    <cellStyle name="常规 3 2 3 2 5" xfId="23935"/>
    <cellStyle name="好_55-资产减值损失（空白模板）_明细表 4" xfId="23936"/>
    <cellStyle name="常规 3 2 3 6 2" xfId="23937"/>
    <cellStyle name="常规 3 2 3 8" xfId="23938"/>
    <cellStyle name="常规 3 2 32 4" xfId="23939"/>
    <cellStyle name="常规 3 2 32 5" xfId="23940"/>
    <cellStyle name="常规 3 2 35" xfId="23941"/>
    <cellStyle name="常规 3 2 40" xfId="23942"/>
    <cellStyle name="常规 5 2 13_附注表一（财务报表）" xfId="23943"/>
    <cellStyle name="常规 3 2 37" xfId="23944"/>
    <cellStyle name="常规 3 2 42" xfId="23945"/>
    <cellStyle name="常规 3 2 38" xfId="23946"/>
    <cellStyle name="常规 3 2 39" xfId="23947"/>
    <cellStyle name="常规 3 2 4 2" xfId="23948"/>
    <cellStyle name="好_4-应收账款（空白模板） 13_明细表 5" xfId="23949"/>
    <cellStyle name="常规 3 2 4 2 3 2" xfId="23950"/>
    <cellStyle name="常规 3 2 4 2 3 3" xfId="23951"/>
    <cellStyle name="常规 3 2 4 5 2" xfId="23952"/>
    <cellStyle name="常规 3 2 4 6" xfId="23953"/>
    <cellStyle name="常规 3 2 4 6 2" xfId="23954"/>
    <cellStyle name="常规 3 2 4 6 3" xfId="23955"/>
    <cellStyle name="常规 3 2 4 7" xfId="23956"/>
    <cellStyle name="常规 3 2 4 8" xfId="23957"/>
    <cellStyle name="好_1专项应付款 11 2 2" xfId="23958"/>
    <cellStyle name="常规 3 2 4_附注表一（财务报表）" xfId="23959"/>
    <cellStyle name="常规 3 2 5" xfId="23960"/>
    <cellStyle name="常规 3 2 5 2" xfId="23961"/>
    <cellStyle name="好_50-营业成本（空白模板） 14_明细表 3" xfId="23962"/>
    <cellStyle name="常规 3 2 5 2 2" xfId="23963"/>
    <cellStyle name="常规 3 2 5 2 2 2" xfId="23964"/>
    <cellStyle name="常规 3 2 5 2 2 3" xfId="23965"/>
    <cellStyle name="常规 3 2 5 2 3" xfId="23966"/>
    <cellStyle name="好_营业收入_明细表" xfId="23967"/>
    <cellStyle name="常规 3 2 5 2 3 2" xfId="23968"/>
    <cellStyle name="常规 3 2 5 2 3 3" xfId="23969"/>
    <cellStyle name="常规 3 2 5 2 4" xfId="23970"/>
    <cellStyle name="常规 3 2 5 2 5" xfId="23971"/>
    <cellStyle name="好_1预收款项 10 2 3" xfId="23972"/>
    <cellStyle name="常规 3 2 5 4 2" xfId="23973"/>
    <cellStyle name="好_1预收款项 10 2 4" xfId="23974"/>
    <cellStyle name="常规 3 2 5 4 3" xfId="23975"/>
    <cellStyle name="常规 3 2 5 5" xfId="23976"/>
    <cellStyle name="常规 3 2 5 5 2" xfId="23977"/>
    <cellStyle name="常规 3 2 5_附注表一（财务报表）" xfId="23978"/>
    <cellStyle name="常规 3 2 6 2" xfId="23979"/>
    <cellStyle name="常规 3 2 6 2 2 2" xfId="23980"/>
    <cellStyle name="常规 3 2 6 2 3 2" xfId="23981"/>
    <cellStyle name="常规 3 2 6 2 3 3" xfId="23982"/>
    <cellStyle name="常规 3 2 6 2 4" xfId="23983"/>
    <cellStyle name="常规 3 2 6 2 5" xfId="23984"/>
    <cellStyle name="好_1预收款项 11 2 3" xfId="23985"/>
    <cellStyle name="常规 3 2 6 4 2" xfId="23986"/>
    <cellStyle name="好_1预收款项 11 2 4" xfId="23987"/>
    <cellStyle name="常规 3 2 6 4 3" xfId="23988"/>
    <cellStyle name="常规 3 3 2 2 2 2 2" xfId="23989"/>
    <cellStyle name="常规 3 2 6 5" xfId="23990"/>
    <cellStyle name="常规 3 2 6 6" xfId="23991"/>
    <cellStyle name="常规 3 2 6 7" xfId="23992"/>
    <cellStyle name="常规 3 2 6 8" xfId="23993"/>
    <cellStyle name="常规 3 2 6_附注表一（财务报表）" xfId="23994"/>
    <cellStyle name="好_56-公允价值损益变动（空白模板） 2 2 3" xfId="23995"/>
    <cellStyle name="常规 3 2 7" xfId="23996"/>
    <cellStyle name="好_短期借款 5_明细表 5" xfId="23997"/>
    <cellStyle name="好_G-应收账款 11 2 4" xfId="23998"/>
    <cellStyle name="常规 3 2 7 2" xfId="23999"/>
    <cellStyle name="常规 3 2 7 2 2" xfId="24000"/>
    <cellStyle name="常规 3 2 7 2 3" xfId="24001"/>
    <cellStyle name="好_预收款项 4_明细表 2" xfId="24002"/>
    <cellStyle name="常规 3 2 7 2 4" xfId="24003"/>
    <cellStyle name="常规 3 3 2 2 2 3 2" xfId="24004"/>
    <cellStyle name="常规 3 2 7 5" xfId="24005"/>
    <cellStyle name="常规 3 2 7_附注表一（财务报表）" xfId="24006"/>
    <cellStyle name="常规 3 2 8" xfId="24007"/>
    <cellStyle name="常规 3 2 8 2" xfId="24008"/>
    <cellStyle name="好__dxn_temp空白表页 25" xfId="24009"/>
    <cellStyle name="好__dxn_temp空白表页 30" xfId="24010"/>
    <cellStyle name="常规 3 2 8 2 2" xfId="24011"/>
    <cellStyle name="好__dxn_temp空白表页 26" xfId="24012"/>
    <cellStyle name="好__dxn_temp空白表页 31" xfId="24013"/>
    <cellStyle name="常规 3 2 8 2 3" xfId="24014"/>
    <cellStyle name="好_资本公积 2 2" xfId="24015"/>
    <cellStyle name="好__dxn_temp空白表页 27" xfId="24016"/>
    <cellStyle name="好__dxn_temp空白表页 32" xfId="24017"/>
    <cellStyle name="常规 3 2 8 2 4" xfId="24018"/>
    <cellStyle name="常规 3 3 2 2 2 4 2" xfId="24019"/>
    <cellStyle name="常规 3 2 8 5" xfId="24020"/>
    <cellStyle name="常规 3 2 8_附注表一（财务报表）" xfId="24021"/>
    <cellStyle name="常规 3 2 9" xfId="24022"/>
    <cellStyle name="常规 3 2 9 2" xfId="24023"/>
    <cellStyle name="好_银行函证结果汇总表 14" xfId="24024"/>
    <cellStyle name="常规 3 2 9 2 2" xfId="24025"/>
    <cellStyle name="好_银行函证结果汇总表 15" xfId="24026"/>
    <cellStyle name="好_银行函证结果汇总表 20" xfId="24027"/>
    <cellStyle name="常规 4 2 3 2" xfId="24028"/>
    <cellStyle name="常规 3 2 9 2 3" xfId="24029"/>
    <cellStyle name="好_银行函证结果汇总表 17" xfId="24030"/>
    <cellStyle name="好_银行函证结果汇总表 22" xfId="24031"/>
    <cellStyle name="常规 3 2 9 2 5" xfId="24032"/>
    <cellStyle name="常规 7 12 3" xfId="24033"/>
    <cellStyle name="常规 4 2 3 4" xfId="24034"/>
    <cellStyle name="好_复件 固定资产 6_明细表 3" xfId="24035"/>
    <cellStyle name="常规 3 2 9_附注表一（财务报表）" xfId="24036"/>
    <cellStyle name="常规 3 2_营业外收入 2" xfId="24037"/>
    <cellStyle name="好_4-应收账款（空白模板） 18" xfId="24038"/>
    <cellStyle name="好_4-应收账款（空白模板） 23" xfId="24039"/>
    <cellStyle name="常规 3 20 3" xfId="24040"/>
    <cellStyle name="好_1短期借款 6 2 6" xfId="24041"/>
    <cellStyle name="常规 3 24 3" xfId="24042"/>
    <cellStyle name="常规 3 25" xfId="24043"/>
    <cellStyle name="常规 3 30" xfId="24044"/>
    <cellStyle name="好_49-营业收入（空白模板）_明细表 2" xfId="24045"/>
    <cellStyle name="常规 3 25 3" xfId="24046"/>
    <cellStyle name="好_4-应收账款（空白模板） 6 2 3" xfId="24047"/>
    <cellStyle name="常规 3 25_附注表一（财务报表）" xfId="24048"/>
    <cellStyle name="常规 3 26" xfId="24049"/>
    <cellStyle name="常规 3 31" xfId="24050"/>
    <cellStyle name="好_19-无形资产（空白模板） 2 3" xfId="24051"/>
    <cellStyle name="常规 3 26 2" xfId="24052"/>
    <cellStyle name="好_19-无形资产（空白模板） 2 3 2" xfId="24053"/>
    <cellStyle name="常规 3 26 2 2" xfId="24054"/>
    <cellStyle name="常规 3 26_附注表一（财务报表）" xfId="24055"/>
    <cellStyle name="常规 3 27" xfId="24056"/>
    <cellStyle name="常规 3 32" xfId="24057"/>
    <cellStyle name="好_19-无形资产（空白模板） 3 3" xfId="24058"/>
    <cellStyle name="常规 3 27 2" xfId="24059"/>
    <cellStyle name="常规 3 32 2" xfId="24060"/>
    <cellStyle name="常规 9 6 4 2" xfId="24061"/>
    <cellStyle name="常规 3 27 2 3" xfId="24062"/>
    <cellStyle name="常规 9 6 4 4" xfId="24063"/>
    <cellStyle name="常规 3 27 2 5" xfId="24064"/>
    <cellStyle name="好_19-无形资产（空白模板） 3 4" xfId="24065"/>
    <cellStyle name="常规 3 27 3" xfId="24066"/>
    <cellStyle name="常规 3 32 3" xfId="24067"/>
    <cellStyle name="好_19-无形资产（空白模板） 3 5" xfId="24068"/>
    <cellStyle name="常规 3 27 4" xfId="24069"/>
    <cellStyle name="常规 3 32 4" xfId="24070"/>
    <cellStyle name="常规 3 27 5" xfId="24071"/>
    <cellStyle name="常规 3 32 5" xfId="24072"/>
    <cellStyle name="常规 3 27 6" xfId="24073"/>
    <cellStyle name="常规 3 27_附注表一（财务报表）" xfId="24074"/>
    <cellStyle name="常规 3 28" xfId="24075"/>
    <cellStyle name="常规 3 33" xfId="24076"/>
    <cellStyle name="好_19-无形资产（空白模板） 4 3" xfId="24077"/>
    <cellStyle name="常规 3 28 2" xfId="24078"/>
    <cellStyle name="好_19-无形资产（空白模板） 4 3 2" xfId="24079"/>
    <cellStyle name="常规 3 28 2 2" xfId="24080"/>
    <cellStyle name="常规 3 28 2 5" xfId="24081"/>
    <cellStyle name="常规 3 29" xfId="24082"/>
    <cellStyle name="常规 3 34" xfId="24083"/>
    <cellStyle name="千位分隔 4 2 4" xfId="24084"/>
    <cellStyle name="好_19-无形资产（空白模板） 5 3" xfId="24085"/>
    <cellStyle name="常规 3 29 2" xfId="24086"/>
    <cellStyle name="千位分隔 4 2 4 2" xfId="24087"/>
    <cellStyle name="好_19-无形资产（空白模板） 5 3 2" xfId="24088"/>
    <cellStyle name="常规 3 29 2 2" xfId="24089"/>
    <cellStyle name="常规 6 8" xfId="24090"/>
    <cellStyle name="常规 3 29_附注表一（财务报表）" xfId="24091"/>
    <cellStyle name="常规 3 3" xfId="24092"/>
    <cellStyle name="常规 3 3 10" xfId="24093"/>
    <cellStyle name="常规 3 3 10 2 2" xfId="24094"/>
    <cellStyle name="常规 3 3 10 2 3" xfId="24095"/>
    <cellStyle name="常规 3 3 10 2 4" xfId="24096"/>
    <cellStyle name="常规 3 3 10 2 5" xfId="24097"/>
    <cellStyle name="常规 3 3 11" xfId="24098"/>
    <cellStyle name="好_G-应收账款 2_附注表一（财务报表）" xfId="24099"/>
    <cellStyle name="常规 3 3 11 2 4" xfId="24100"/>
    <cellStyle name="常规 3 3 11 2 5" xfId="24101"/>
    <cellStyle name="常规 3 3 11_附注表一（财务报表）" xfId="24102"/>
    <cellStyle name="好_ZA0货币资金审定表  3 2 4" xfId="24103"/>
    <cellStyle name="常规 3 3 12 2" xfId="24104"/>
    <cellStyle name="常规 3 3 12 2 2" xfId="24105"/>
    <cellStyle name="常规 3 3 12 2 3" xfId="24106"/>
    <cellStyle name="常规 3 3 12 2 4" xfId="24107"/>
    <cellStyle name="常规 3 3 12 2 5" xfId="24108"/>
    <cellStyle name="好_无形资产 9 2 5" xfId="24109"/>
    <cellStyle name="常规 3 3 12_附注表一（财务报表）" xfId="24110"/>
    <cellStyle name="常规 3 3 13 2" xfId="24111"/>
    <cellStyle name="常规 3 3 13 3" xfId="24112"/>
    <cellStyle name="常规 3 3 13 3 2" xfId="24113"/>
    <cellStyle name="常规 3 3 13 3 3" xfId="24114"/>
    <cellStyle name="常规 3 3 13 3 4" xfId="24115"/>
    <cellStyle name="常规 3 3 13 5" xfId="24116"/>
    <cellStyle name="常规 3 3 13 6" xfId="24117"/>
    <cellStyle name="常规 3 3 13 7" xfId="24118"/>
    <cellStyle name="常规 3 3 13_附注表一（财务报表）" xfId="24119"/>
    <cellStyle name="常规 3 3 14 2" xfId="24120"/>
    <cellStyle name="常规 3 3 14 3" xfId="24121"/>
    <cellStyle name="千位分隔[0] 2 5 3" xfId="24122"/>
    <cellStyle name="常规 3 3 14 3 2" xfId="24123"/>
    <cellStyle name="千位分隔[0] 2 5 4" xfId="24124"/>
    <cellStyle name="常规 3 3 14 3 3" xfId="24125"/>
    <cellStyle name="千位分隔[0] 2 5 5" xfId="24126"/>
    <cellStyle name="常规 3 3 14 3 4" xfId="24127"/>
    <cellStyle name="常规 3 3 14 3 5" xfId="24128"/>
    <cellStyle name="常规 3 3 14 4" xfId="24129"/>
    <cellStyle name="常规 3 3 14 5" xfId="24130"/>
    <cellStyle name="常规 3 3 14 6" xfId="24131"/>
    <cellStyle name="好_财务费用 9_明细表 2" xfId="24132"/>
    <cellStyle name="常规 3 3 14 7" xfId="24133"/>
    <cellStyle name="好_财务费用 9_明细表 3" xfId="24134"/>
    <cellStyle name="常规 3 3 2 2 10" xfId="24135"/>
    <cellStyle name="常规 3 3 14 8" xfId="24136"/>
    <cellStyle name="好_31-预收账款（空白模板） 8_明细表 2" xfId="24137"/>
    <cellStyle name="常规 3 3 15" xfId="24138"/>
    <cellStyle name="常规 3 3 20" xfId="24139"/>
    <cellStyle name="常规 3 3 15 2" xfId="24140"/>
    <cellStyle name="好_应收利息 5 2 2" xfId="24141"/>
    <cellStyle name="常规 3 3 15 3" xfId="24142"/>
    <cellStyle name="常规 3 3 15 3 2" xfId="24143"/>
    <cellStyle name="常规 3 3 15 3 5" xfId="24144"/>
    <cellStyle name="好_应收利息 5 2 3" xfId="24145"/>
    <cellStyle name="常规 3 3 15 4" xfId="24146"/>
    <cellStyle name="好_应收利息 5 2 6" xfId="24147"/>
    <cellStyle name="常规 3 3 15 7" xfId="24148"/>
    <cellStyle name="常规 3 3 15 8" xfId="24149"/>
    <cellStyle name="常规 3 3 15_附注表一（财务报表）" xfId="24150"/>
    <cellStyle name="好_31-预收账款（空白模板） 8_明细表 3" xfId="24151"/>
    <cellStyle name="常规 9 4 2 2 2 2 2 2" xfId="24152"/>
    <cellStyle name="常规 3 3 16" xfId="24153"/>
    <cellStyle name="常规 3 3 21" xfId="24154"/>
    <cellStyle name="常规 3 3 16 2" xfId="24155"/>
    <cellStyle name="好_应收利息 5 3 2" xfId="24156"/>
    <cellStyle name="常规 3 3 16 3" xfId="24157"/>
    <cellStyle name="常规 3 3 16 3 2" xfId="24158"/>
    <cellStyle name="常规 3 3 16 3 3" xfId="24159"/>
    <cellStyle name="常规 3 3 16 3 4" xfId="24160"/>
    <cellStyle name="常规 3 3 16 4" xfId="24161"/>
    <cellStyle name="常规 3 3 16 5" xfId="24162"/>
    <cellStyle name="常规 3 3 16 6" xfId="24163"/>
    <cellStyle name="常规 3 3 16 7" xfId="24164"/>
    <cellStyle name="好_31-预收账款（空白模板） 8_明细表 4" xfId="24165"/>
    <cellStyle name="常规 9 4 2 2 2 2 2 3" xfId="24166"/>
    <cellStyle name="常规 3 3 17" xfId="24167"/>
    <cellStyle name="常规 3 3 22" xfId="24168"/>
    <cellStyle name="常规 3 3 17 4" xfId="24169"/>
    <cellStyle name="常规 3 3 17 5" xfId="24170"/>
    <cellStyle name="好_1营业收入 4_明细表 2" xfId="24171"/>
    <cellStyle name="常规 3 3 17 6" xfId="24172"/>
    <cellStyle name="好_31-预收账款（空白模板） 8_明细表 5" xfId="24173"/>
    <cellStyle name="常规 3 3 18" xfId="24174"/>
    <cellStyle name="常规 3 3 23" xfId="24175"/>
    <cellStyle name="常规 3 3 19" xfId="24176"/>
    <cellStyle name="好_1财务费用 2 3 2" xfId="24177"/>
    <cellStyle name="常规 3 3 2 10 2" xfId="24178"/>
    <cellStyle name="常规 3 3 2 10_附注表一（财务报表）" xfId="24179"/>
    <cellStyle name="常规 3 3 2 11 2 3" xfId="24180"/>
    <cellStyle name="常规 3 3 2 11_附注表一（财务报表）" xfId="24181"/>
    <cellStyle name="常规 3 3 2 12" xfId="24182"/>
    <cellStyle name="常规 3 3 2 13 3" xfId="24183"/>
    <cellStyle name="常规 3 3 2 13 4" xfId="24184"/>
    <cellStyle name="好_27-短期借款(空白模板) 2" xfId="24185"/>
    <cellStyle name="常规 3 3 2 14" xfId="24186"/>
    <cellStyle name="好_27-短期借款(空白模板) 3" xfId="24187"/>
    <cellStyle name="千位分隔 5 2 2 5 2" xfId="24188"/>
    <cellStyle name="常规 3 3 2 15" xfId="24189"/>
    <cellStyle name="好_27-短期借款(空白模板) 4" xfId="24190"/>
    <cellStyle name="常规 3 3 2 16" xfId="24191"/>
    <cellStyle name="好_27-短期借款(空白模板) 5" xfId="24192"/>
    <cellStyle name="常规 3 3 2 17" xfId="24193"/>
    <cellStyle name="常规 3 3 2 2" xfId="24194"/>
    <cellStyle name="常规 3 3 2 2 10 2" xfId="24195"/>
    <cellStyle name="常规 3 3 2 2 10 3" xfId="24196"/>
    <cellStyle name="常规 3 3 2 2 10 3 2" xfId="24197"/>
    <cellStyle name="常规 3 3 2 2 10 3 3" xfId="24198"/>
    <cellStyle name="常规 3 3 2 2 10 3 4" xfId="24199"/>
    <cellStyle name="常规 3 3 2 2 10 3 5" xfId="24200"/>
    <cellStyle name="好_复件 固定资产 7_明细表" xfId="24201"/>
    <cellStyle name="常规 3 3 2 2 10 5" xfId="24202"/>
    <cellStyle name="常规 3 3 2 2 10 6" xfId="24203"/>
    <cellStyle name="好_复件 固定资产 4_明细表 2" xfId="24204"/>
    <cellStyle name="常规 3 3 2 2 10_附注表一（财务报表）" xfId="24205"/>
    <cellStyle name="好_财务费用 9_明细表 4" xfId="24206"/>
    <cellStyle name="常规 3 3 2 2 11" xfId="24207"/>
    <cellStyle name="常规 3 3 2 2 11 2" xfId="24208"/>
    <cellStyle name="常规 3 3 2 2 11 3 2" xfId="24209"/>
    <cellStyle name="常规 3 3 2 2 11 3 3" xfId="24210"/>
    <cellStyle name="常规 3 3 2 2 11 5" xfId="24211"/>
    <cellStyle name="常规 3 3 2 2 11 6" xfId="24212"/>
    <cellStyle name="常规 3 3 2 2 11 7" xfId="24213"/>
    <cellStyle name="好 2 3 2" xfId="24214"/>
    <cellStyle name="常规 3 3 2 2 11 8" xfId="24215"/>
    <cellStyle name="好_财务费用 9_明细表 5" xfId="24216"/>
    <cellStyle name="常规 3 3 2 2 12" xfId="24217"/>
    <cellStyle name="常规 3 3 2 2 12 2" xfId="24218"/>
    <cellStyle name="常规 3 3 2 2 12 3" xfId="24219"/>
    <cellStyle name="常规 3 3 2 2 12 4" xfId="24220"/>
    <cellStyle name="常规 3 3 2 2 12 5" xfId="24221"/>
    <cellStyle name="好_51-营业税金及附加（空白模板） 17 2 5" xfId="24222"/>
    <cellStyle name="常规 3 3 2 2 2 2" xfId="24223"/>
    <cellStyle name="常规 3 3 2 2 2 3" xfId="24224"/>
    <cellStyle name="常规 6 25" xfId="24225"/>
    <cellStyle name="常规 3 3 2 2 2 3 2 4" xfId="24226"/>
    <cellStyle name="好_财务费用 13 2 5" xfId="24227"/>
    <cellStyle name="常规 3 3 2 2 2 3_附注表一（财务报表）" xfId="24228"/>
    <cellStyle name="常规 3 3 2 2 2 4" xfId="24229"/>
    <cellStyle name="常规 3 3 2 2 2 4_附注表一（财务报表）" xfId="24230"/>
    <cellStyle name="常规 3 3 2 2 2 5" xfId="24231"/>
    <cellStyle name="好_预收款项 13 2 2" xfId="24232"/>
    <cellStyle name="好_19-无形资产（空白模板） 2_明细表" xfId="24233"/>
    <cellStyle name="常规 3 3 2 2 2 5_附注表一（财务报表）" xfId="24234"/>
    <cellStyle name="常规 3 3 2 2 2 6 2" xfId="24235"/>
    <cellStyle name="好__dxn_temp空白表页 12_明细表" xfId="24236"/>
    <cellStyle name="常规 3 3 2 2 2 6 2 4" xfId="24237"/>
    <cellStyle name="常规 3 3 2 2 2 6 2 5" xfId="24238"/>
    <cellStyle name="常规 3 3 2 2 2 6_附注表一（财务报表）" xfId="24239"/>
    <cellStyle name="常规 3 3 2 2 2 8" xfId="24240"/>
    <cellStyle name="常规 3 3 2 2 2 8 3" xfId="24241"/>
    <cellStyle name="常规 3 3 2 2 2 8 4" xfId="24242"/>
    <cellStyle name="常规 3 3 2 2 2 8 5" xfId="24243"/>
    <cellStyle name="常规 3 3 2 2 2 9" xfId="24244"/>
    <cellStyle name="常规 3 3 2 2 3" xfId="24245"/>
    <cellStyle name="常规 3 3 2 2 3 2" xfId="24246"/>
    <cellStyle name="常规 3 3 2 2 3 2 2" xfId="24247"/>
    <cellStyle name="常规 3 3 2 2 3 2 3" xfId="24248"/>
    <cellStyle name="常规 3 3 2 2 3 2 4" xfId="24249"/>
    <cellStyle name="常规 3 3 2 2 3 2 5" xfId="24250"/>
    <cellStyle name="常规 3 3 2 2 3_附注表一（财务报表）" xfId="24251"/>
    <cellStyle name="常规 3 3 2 2 4" xfId="24252"/>
    <cellStyle name="常规 3 3 2 2 4 2" xfId="24253"/>
    <cellStyle name="常规 3 3 2 2 4 2 2" xfId="24254"/>
    <cellStyle name="常规 3 3 2 2 4 2 3" xfId="24255"/>
    <cellStyle name="常规 3 3 2 2 4_附注表一（财务报表）" xfId="24256"/>
    <cellStyle name="常规 3 3 2 2 5" xfId="24257"/>
    <cellStyle name="常规 3 3 2 2 5 2" xfId="24258"/>
    <cellStyle name="好_15-固定资产（空白模板） 5_附注表一（财务报表）" xfId="24259"/>
    <cellStyle name="常规 3 3 2 2 5 2 2" xfId="24260"/>
    <cellStyle name="常规 3 3 2 2 5 2 3" xfId="24261"/>
    <cellStyle name="常规 3 3 2 2 5 2 4" xfId="24262"/>
    <cellStyle name="常规 3 3 2 2 6" xfId="24263"/>
    <cellStyle name="常规 3 3 2 2 6 2" xfId="24264"/>
    <cellStyle name="常规 3 3 2 2 6 2 2" xfId="24265"/>
    <cellStyle name="常规 3 3 2 2 6 2 3" xfId="24266"/>
    <cellStyle name="常规 3 3 2 2 6 2 4" xfId="24267"/>
    <cellStyle name="好_底稿设置宏 10_明细表" xfId="24268"/>
    <cellStyle name="常规 3 3 2 2 6 2 5" xfId="24269"/>
    <cellStyle name="常规 3 3 2 2 6_附注表一（财务报表）" xfId="24270"/>
    <cellStyle name="常规 3 3 2 2 7" xfId="24271"/>
    <cellStyle name="常规 3 3 2 2 7 2" xfId="24272"/>
    <cellStyle name="好_4-应收账款（空白模板） 19" xfId="24273"/>
    <cellStyle name="好_4-应收账款（空白模板） 24" xfId="24274"/>
    <cellStyle name="常规 3 3 2 2 7 2 2" xfId="24275"/>
    <cellStyle name="好_4-应收账款（空白模板） 25" xfId="24276"/>
    <cellStyle name="好_4-应收账款（空白模板） 30" xfId="24277"/>
    <cellStyle name="常规 3 3 2 2 7 2 3" xfId="24278"/>
    <cellStyle name="好_4-应收账款（空白模板） 26" xfId="24279"/>
    <cellStyle name="好_4-应收账款（空白模板） 31" xfId="24280"/>
    <cellStyle name="常规 3 3 2 2 7 2 4" xfId="24281"/>
    <cellStyle name="常规 3 3 2 2 8" xfId="24282"/>
    <cellStyle name="好_财务费用 15 2 5" xfId="24283"/>
    <cellStyle name="好_8-其他应收款（空白模板）_明细表 5" xfId="24284"/>
    <cellStyle name="常规 3 3 2 2 8 3" xfId="24285"/>
    <cellStyle name="好_30-应付账款（空白模板） 16" xfId="24286"/>
    <cellStyle name="好_30-应付账款（空白模板） 21" xfId="24287"/>
    <cellStyle name="常规 3 3 2 2 8 3 2" xfId="24288"/>
    <cellStyle name="好_30-应付账款（空白模板） 17" xfId="24289"/>
    <cellStyle name="好_30-应付账款（空白模板） 22" xfId="24290"/>
    <cellStyle name="好_1应收利息 3 2" xfId="24291"/>
    <cellStyle name="常规 3 3 2 2 8 3 3" xfId="24292"/>
    <cellStyle name="好_55-资产减值损失（空白模板） 5_附注表一（财务报表）" xfId="24293"/>
    <cellStyle name="好_30-应付账款（空白模板） 19" xfId="24294"/>
    <cellStyle name="好_30-应付账款（空白模板） 24" xfId="24295"/>
    <cellStyle name="常规 3 3 2 2 8 3 5" xfId="24296"/>
    <cellStyle name="常规 3 3 2 2 8 4" xfId="24297"/>
    <cellStyle name="常规 3 3 2 2 8 5" xfId="24298"/>
    <cellStyle name="常规 3 3 2 2 8 6" xfId="24299"/>
    <cellStyle name="常规 3 3 2 2 8 8" xfId="24300"/>
    <cellStyle name="好_48-未分配利润（空白模板） 2" xfId="24301"/>
    <cellStyle name="常规 3 3 2 2 9" xfId="24302"/>
    <cellStyle name="好_48-未分配利润（空白模板） 2 3" xfId="24303"/>
    <cellStyle name="常规 3 3 2 2 9 3" xfId="24304"/>
    <cellStyle name="常规 3 3 2 2 9 3 2" xfId="24305"/>
    <cellStyle name="超链接 3 15_附注表一（财务报表）" xfId="24306"/>
    <cellStyle name="超链接 3 20_附注表一（财务报表）" xfId="24307"/>
    <cellStyle name="常规 3 3 2 2 9 3 3" xfId="24308"/>
    <cellStyle name="常规 3 3 2 2 9 3 4" xfId="24309"/>
    <cellStyle name="好_48-未分配利润（空白模板） 2 4" xfId="24310"/>
    <cellStyle name="常规 3 3 2 2 9 4" xfId="24311"/>
    <cellStyle name="好_48-未分配利润（空白模板） 2 5" xfId="24312"/>
    <cellStyle name="常规 3 3 2 2 9 5" xfId="24313"/>
    <cellStyle name="常规 3 3 2 2 9 6" xfId="24314"/>
    <cellStyle name="常规 3 3 2 2 9 7" xfId="24315"/>
    <cellStyle name="常规 3 3 2 2 9_附注表一（财务报表）" xfId="24316"/>
    <cellStyle name="常规 3 3 2 2_附注表一（财务报表）" xfId="24317"/>
    <cellStyle name="常规 3 3 2 3" xfId="24318"/>
    <cellStyle name="好_资产负债标准底稿 14 3" xfId="24319"/>
    <cellStyle name="常规 3 3 2 3 2" xfId="24320"/>
    <cellStyle name="常规 9 3 9" xfId="24321"/>
    <cellStyle name="常规 3 3 2 3 3" xfId="24322"/>
    <cellStyle name="常规 3 3 2 3 4" xfId="24323"/>
    <cellStyle name="常规 3 3 2 3 5" xfId="24324"/>
    <cellStyle name="常规 3 3 2 3 8" xfId="24325"/>
    <cellStyle name="常规 3 3 2 3_附注表一（财务报表）" xfId="24326"/>
    <cellStyle name="常规 3 3 2 4" xfId="24327"/>
    <cellStyle name="好_资产负债标准底稿 15 3" xfId="24328"/>
    <cellStyle name="常规 3 3 2 4 2" xfId="24329"/>
    <cellStyle name="常规 9 4 9" xfId="24330"/>
    <cellStyle name="好_资产负债标准底稿 15 4" xfId="24331"/>
    <cellStyle name="常规 3 3 2 4 3" xfId="24332"/>
    <cellStyle name="常规 3 3 2 4 3 2" xfId="24333"/>
    <cellStyle name="常规 3 3 2 4 3 5" xfId="24334"/>
    <cellStyle name="好_资产负债标准底稿 15 5" xfId="24335"/>
    <cellStyle name="常规 3 3 2 4 4" xfId="24336"/>
    <cellStyle name="好_资产负债标准底稿 15 6" xfId="24337"/>
    <cellStyle name="常规 3 3 2 4 5" xfId="24338"/>
    <cellStyle name="常规 3 3 2 4 7" xfId="24339"/>
    <cellStyle name="常规 3 3 2 4_附注表一（财务报表）" xfId="24340"/>
    <cellStyle name="常规 3 3 2 5" xfId="24341"/>
    <cellStyle name="好_资产负债标准底稿 16 4" xfId="24342"/>
    <cellStyle name="好_27-短期借款(空白模板) 18" xfId="24343"/>
    <cellStyle name="好_27-短期借款(空白模板) 23" xfId="24344"/>
    <cellStyle name="常规 3 3 2 5 3" xfId="24345"/>
    <cellStyle name="好_27-短期借款(空白模板) 18 2" xfId="24346"/>
    <cellStyle name="好_19-无形资产（空白模板） 4_明细表 3" xfId="24347"/>
    <cellStyle name="常规 3 3 2 5 3 2" xfId="24348"/>
    <cellStyle name="好_27-短期借款(空白模板) 18 4" xfId="24349"/>
    <cellStyle name="好_19-无形资产（空白模板） 4_明细表 5" xfId="24350"/>
    <cellStyle name="常规 3 3 2 5 3 4" xfId="24351"/>
    <cellStyle name="好_27-短期借款(空白模板) 18 5" xfId="24352"/>
    <cellStyle name="常规 3 3 2 5 3 5" xfId="24353"/>
    <cellStyle name="好_27-短期借款(空白模板) 27" xfId="24354"/>
    <cellStyle name="好_27-短期借款(空白模板) 32" xfId="24355"/>
    <cellStyle name="常规 3 3 2 5 7" xfId="24356"/>
    <cellStyle name="常规 9 4 2 2 3" xfId="24357"/>
    <cellStyle name="好_27-短期借款(空白模板) 28" xfId="24358"/>
    <cellStyle name="好_27-短期借款(空白模板) 33" xfId="24359"/>
    <cellStyle name="常规 3 3 2 5 8" xfId="24360"/>
    <cellStyle name="常规 9 4 2 2 4" xfId="24361"/>
    <cellStyle name="好_1预收款项 12_明细表 2" xfId="24362"/>
    <cellStyle name="常规 3 3 2 6" xfId="24363"/>
    <cellStyle name="好_资产负债标准底稿 17 4" xfId="24364"/>
    <cellStyle name="常规 3 3 2 6 3" xfId="24365"/>
    <cellStyle name="好_银行函证结果汇总表 2 4" xfId="24366"/>
    <cellStyle name="常规 3 3 2 6 3 2" xfId="24367"/>
    <cellStyle name="好_银行函证结果汇总表 2 6" xfId="24368"/>
    <cellStyle name="常规 3 3 2 6 3 4" xfId="24369"/>
    <cellStyle name="好_FM长期应付款 3 3" xfId="24370"/>
    <cellStyle name="好_银行函证结果汇总表 2 7" xfId="24371"/>
    <cellStyle name="常规 3 3 2 6 3 5" xfId="24372"/>
    <cellStyle name="常规 3 3 2 6 6" xfId="24373"/>
    <cellStyle name="常规 9 4 2 3 2" xfId="24374"/>
    <cellStyle name="好_货币资金 2" xfId="24375"/>
    <cellStyle name="好_1预收款项 12_明细表 3" xfId="24376"/>
    <cellStyle name="常规 3 3 2 7" xfId="24377"/>
    <cellStyle name="好_货币资金 2 2" xfId="24378"/>
    <cellStyle name="常规 3 3 2 7 2" xfId="24379"/>
    <cellStyle name="好_货币资金 2 3" xfId="24380"/>
    <cellStyle name="常规 3 3 2 7 3" xfId="24381"/>
    <cellStyle name="好_货币资金 2 3 2" xfId="24382"/>
    <cellStyle name="常规 3 3 2 7 3 2" xfId="24383"/>
    <cellStyle name="常规 3 3 2 7 3 4" xfId="24384"/>
    <cellStyle name="常规 3 3 2 7 3 5" xfId="24385"/>
    <cellStyle name="好_货币资金 2 5" xfId="24386"/>
    <cellStyle name="常规 3 3 2 7 5" xfId="24387"/>
    <cellStyle name="常规 3 3 2 7_附注表一（财务报表）" xfId="24388"/>
    <cellStyle name="好_货币资金 3" xfId="24389"/>
    <cellStyle name="好_1预收款项 12_明细表 4" xfId="24390"/>
    <cellStyle name="常规 3 3 2 8" xfId="24391"/>
    <cellStyle name="好_货币资金 3 2" xfId="24392"/>
    <cellStyle name="常规 3 3 2 8 2" xfId="24393"/>
    <cellStyle name="常规 3 3 2 8_附注表一（财务报表）" xfId="24394"/>
    <cellStyle name="好_货币资金 4" xfId="24395"/>
    <cellStyle name="好_1预收款项 12_明细表 5" xfId="24396"/>
    <cellStyle name="常规 3 3 2 9" xfId="24397"/>
    <cellStyle name="好_货币资金 4 2" xfId="24398"/>
    <cellStyle name="常规 3 3 2 9 2" xfId="24399"/>
    <cellStyle name="常规 3 3 2 9 2 2" xfId="24400"/>
    <cellStyle name="常规 3 3 2 9 2 3" xfId="24401"/>
    <cellStyle name="常规 3 3 2 9 2 4" xfId="24402"/>
    <cellStyle name="强调文字颜色 3 2 2 10" xfId="24403"/>
    <cellStyle name="好_1应收利息 2" xfId="24404"/>
    <cellStyle name="常规 3 3 2 9_附注表一（财务报表）" xfId="24405"/>
    <cellStyle name="常规 3 3 3" xfId="24406"/>
    <cellStyle name="常规 3 3 3 11" xfId="24407"/>
    <cellStyle name="好_银行函证结果汇总表 14_明细表 2" xfId="24408"/>
    <cellStyle name="常规 3 3 3 12" xfId="24409"/>
    <cellStyle name="好_银行函证结果汇总表 14_明细表 3" xfId="24410"/>
    <cellStyle name="常规 3 3 3 2" xfId="24411"/>
    <cellStyle name="常规 3 3 3 2 2" xfId="24412"/>
    <cellStyle name="常规 3 3 3 2 4" xfId="24413"/>
    <cellStyle name="常规 3 3 3 3" xfId="24414"/>
    <cellStyle name="常规 3 3 3 3 2" xfId="24415"/>
    <cellStyle name="常规 3 3 3 3 3" xfId="24416"/>
    <cellStyle name="常规 3 3 3 4" xfId="24417"/>
    <cellStyle name="常规 3 3 3 5" xfId="24418"/>
    <cellStyle name="常规 3 3 3 6" xfId="24419"/>
    <cellStyle name="常规 3 3 3 7" xfId="24420"/>
    <cellStyle name="常规 3 3 3 8" xfId="24421"/>
    <cellStyle name="常规 3 3 3 9" xfId="24422"/>
    <cellStyle name="常规 3 3 3_附注表一（财务报表）" xfId="24423"/>
    <cellStyle name="常规 3 3 4" xfId="24424"/>
    <cellStyle name="常规 3 3 4 2" xfId="24425"/>
    <cellStyle name="常规 3 3 4 2 2" xfId="24426"/>
    <cellStyle name="好_56-公允价值损益变动（空白模板） 8 2" xfId="24427"/>
    <cellStyle name="常规 3 3 4 2 3" xfId="24428"/>
    <cellStyle name="常规 3 3 4 2 4" xfId="24429"/>
    <cellStyle name="常规 3 3 4 2 5" xfId="24430"/>
    <cellStyle name="常规 3 3 4 3" xfId="24431"/>
    <cellStyle name="好_ZA0货币资金审定表 _附注表一（财务报表）" xfId="24432"/>
    <cellStyle name="常规 3 3 4 3 2" xfId="24433"/>
    <cellStyle name="常规 3 3 4 4" xfId="24434"/>
    <cellStyle name="常规 3 3 5" xfId="24435"/>
    <cellStyle name="常规 3 3 5 2" xfId="24436"/>
    <cellStyle name="常规 3 3 5 3" xfId="24437"/>
    <cellStyle name="常规 3 3 5 3 2" xfId="24438"/>
    <cellStyle name="常规 3 3 6" xfId="24439"/>
    <cellStyle name="好_1短期借款 2 2 4" xfId="24440"/>
    <cellStyle name="常规 3 3 6 2" xfId="24441"/>
    <cellStyle name="常规 3 3 6 2 3" xfId="24442"/>
    <cellStyle name="常规 3 3 6 2 4" xfId="24443"/>
    <cellStyle name="好_15-固定资产（空白模板） 2_明细表 2" xfId="24444"/>
    <cellStyle name="常规 3 3 7" xfId="24445"/>
    <cellStyle name="好_G-应收账款 12 2 4" xfId="24446"/>
    <cellStyle name="千位分隔 4 23_附注表一（财务报表）" xfId="24447"/>
    <cellStyle name="千位分隔 4 18_附注表一（财务报表）" xfId="24448"/>
    <cellStyle name="常规 3 3 7 2" xfId="24449"/>
    <cellStyle name="常规 3 3 7 2 2" xfId="24450"/>
    <cellStyle name="常规 3 3 7 2 3" xfId="24451"/>
    <cellStyle name="好_预收款项 5_明细表 2" xfId="24452"/>
    <cellStyle name="常规 3 3 7 2 4" xfId="24453"/>
    <cellStyle name="好_预收款项 5_明细表 3" xfId="24454"/>
    <cellStyle name="常规 3 3 7 2 5" xfId="24455"/>
    <cellStyle name="好_G-应收账款 12 2 5" xfId="24456"/>
    <cellStyle name="好_6-应收利息（空白模板）_明细表 2 2" xfId="24457"/>
    <cellStyle name="常规 3 3 7 3" xfId="24458"/>
    <cellStyle name="常规 3 3 7 3 2" xfId="24459"/>
    <cellStyle name="好_6-应收利息（空白模板）_明细表 2 3" xfId="24460"/>
    <cellStyle name="常规 3 3 7 4" xfId="24461"/>
    <cellStyle name="好_31-预收账款（空白模板） 10_明细表 2" xfId="24462"/>
    <cellStyle name="常规 3 3 7_附注表一（财务报表）" xfId="24463"/>
    <cellStyle name="好_15-固定资产（空白模板） 2_明细表 3" xfId="24464"/>
    <cellStyle name="常规 3 3 8" xfId="24465"/>
    <cellStyle name="常规 3 3 8 2" xfId="24466"/>
    <cellStyle name="常规 3 3 8 2 2" xfId="24467"/>
    <cellStyle name="常规 3 3 8 2 4" xfId="24468"/>
    <cellStyle name="常规 3 3 8 2 5" xfId="24469"/>
    <cellStyle name="常规 3 3 8 3 2" xfId="24470"/>
    <cellStyle name="常规 3 3 8 4" xfId="24471"/>
    <cellStyle name="常规 3 3 8_附注表一（财务报表）" xfId="24472"/>
    <cellStyle name="好_应收利息_明细表_1 4" xfId="24473"/>
    <cellStyle name="好_1资产减值损失 12_明细表 4" xfId="24474"/>
    <cellStyle name="常规 3 3 9 2" xfId="24475"/>
    <cellStyle name="常规 3 3 9 2 2" xfId="24476"/>
    <cellStyle name="常规 5 2 3 2" xfId="24477"/>
    <cellStyle name="常规 3 3 9 2 3" xfId="24478"/>
    <cellStyle name="常规 5 2 3 3" xfId="24479"/>
    <cellStyle name="好_资产负债标准底稿 10_明细表" xfId="24480"/>
    <cellStyle name="常规 3 3 9 2 4" xfId="24481"/>
    <cellStyle name="常规 3 3 9 2 5" xfId="24482"/>
    <cellStyle name="常规 3 3 9 4" xfId="24483"/>
    <cellStyle name="常规 3 3 9_附注表一（财务报表）" xfId="24484"/>
    <cellStyle name="常规 3 3_Spreadsheet" xfId="24485"/>
    <cellStyle name="常规 3 35" xfId="24486"/>
    <cellStyle name="常规 3 40" xfId="24487"/>
    <cellStyle name="常规 6 2 2 2" xfId="24488"/>
    <cellStyle name="常规 3 36" xfId="24489"/>
    <cellStyle name="常规 3 41" xfId="24490"/>
    <cellStyle name="常规 6 2 2 3" xfId="24491"/>
    <cellStyle name="常规 3 37" xfId="24492"/>
    <cellStyle name="常规 3 42" xfId="24493"/>
    <cellStyle name="好_无形资产_3固定资产" xfId="24494"/>
    <cellStyle name="常规 6 2 2 4" xfId="24495"/>
    <cellStyle name="常规 3 38" xfId="24496"/>
    <cellStyle name="常规 3 43" xfId="24497"/>
    <cellStyle name="好_资本公积 - 复制 2 2" xfId="24498"/>
    <cellStyle name="常规 3 39" xfId="24499"/>
    <cellStyle name="常规 3 44" xfId="24500"/>
    <cellStyle name="好_54-财务费用（空白模板） 10" xfId="24501"/>
    <cellStyle name="常规 6 2 2 5" xfId="24502"/>
    <cellStyle name="好_38-应付债券（空白模板） 3 2" xfId="24503"/>
    <cellStyle name="常规 3 4" xfId="24504"/>
    <cellStyle name="常规 5 7 6" xfId="24505"/>
    <cellStyle name="常规 3 4 2 10" xfId="24506"/>
    <cellStyle name="好_预收款项 4 2" xfId="24507"/>
    <cellStyle name="常规 3 4 2 2" xfId="24508"/>
    <cellStyle name="好_预收款项 4 2 2" xfId="24509"/>
    <cellStyle name="常规 3 4 2 2 2" xfId="24510"/>
    <cellStyle name="好_预收款项 4 3" xfId="24511"/>
    <cellStyle name="常规 3 4 2 3" xfId="24512"/>
    <cellStyle name="好_预收款项 4 3 2" xfId="24513"/>
    <cellStyle name="常规 3 4 2 3 2" xfId="24514"/>
    <cellStyle name="好_预收款项 4 4" xfId="24515"/>
    <cellStyle name="常规 3 4 2 4" xfId="24516"/>
    <cellStyle name="好_预收款项 4 5" xfId="24517"/>
    <cellStyle name="常规 3 4 2 5" xfId="24518"/>
    <cellStyle name="好_1应收账款 3 2" xfId="24519"/>
    <cellStyle name="常规 3 4 2 7" xfId="24520"/>
    <cellStyle name="好_1应收账款 3 4" xfId="24521"/>
    <cellStyle name="常规 3 4 2 9" xfId="24522"/>
    <cellStyle name="好_预收款项 5" xfId="24523"/>
    <cellStyle name="常规 3 4 3" xfId="24524"/>
    <cellStyle name="好_预收款项 5 3" xfId="24525"/>
    <cellStyle name="链接单元格 2 2 6" xfId="24526"/>
    <cellStyle name="常规 3 4 3 3" xfId="24527"/>
    <cellStyle name="好_预收款项 5 3 2" xfId="24528"/>
    <cellStyle name="常规 3 4 3 3 2" xfId="24529"/>
    <cellStyle name="好_专项应付款 5 3 2" xfId="24530"/>
    <cellStyle name="常规 3 4 3 3 3" xfId="24531"/>
    <cellStyle name="好_1专项应付款 11_明细表 2" xfId="24532"/>
    <cellStyle name="好_预收款项 5 4" xfId="24533"/>
    <cellStyle name="链接单元格 2 2 7" xfId="24534"/>
    <cellStyle name="常规 3 4 3 4" xfId="24535"/>
    <cellStyle name="好_预收款项 6" xfId="24536"/>
    <cellStyle name="常规 3 4 4" xfId="24537"/>
    <cellStyle name="小计 5" xfId="24538"/>
    <cellStyle name="好_预收款项 6 2" xfId="24539"/>
    <cellStyle name="链接单元格 2 3 5" xfId="24540"/>
    <cellStyle name="常规 3 4 4 2" xfId="24541"/>
    <cellStyle name="好_预收款项 6 2 2" xfId="24542"/>
    <cellStyle name="好_ZA0货币资金审定表  9 3" xfId="24543"/>
    <cellStyle name="常规 3 4 4 2 2" xfId="24544"/>
    <cellStyle name="小计 6" xfId="24545"/>
    <cellStyle name="好_预收款项 6 3" xfId="24546"/>
    <cellStyle name="链接单元格 2 3 6" xfId="24547"/>
    <cellStyle name="常规 3 4 4 3" xfId="24548"/>
    <cellStyle name="好_预收款项 6 4" xfId="24549"/>
    <cellStyle name="链接单元格 2 3 7" xfId="24550"/>
    <cellStyle name="常规 3 4 4 4" xfId="24551"/>
    <cellStyle name="好_预收款项 6 5" xfId="24552"/>
    <cellStyle name="链接单元格 2 3 8" xfId="24553"/>
    <cellStyle name="常规 3 4 4 5" xfId="24554"/>
    <cellStyle name="好_预收款项 7" xfId="24555"/>
    <cellStyle name="好_G-应收账款 9_明细表 2" xfId="24556"/>
    <cellStyle name="常规 3 4 5" xfId="24557"/>
    <cellStyle name="好_预收款项 7 2 2" xfId="24558"/>
    <cellStyle name="常规 3 4 5 2 2" xfId="24559"/>
    <cellStyle name="好_预收款项 8" xfId="24560"/>
    <cellStyle name="好_G-应收账款 9_明细表 3" xfId="24561"/>
    <cellStyle name="常规 3 4 6" xfId="24562"/>
    <cellStyle name="好_预收款项 9" xfId="24563"/>
    <cellStyle name="好_G-应收账款 9_明细表 4" xfId="24564"/>
    <cellStyle name="常规 3 4 7" xfId="24565"/>
    <cellStyle name="常规 3 5" xfId="24566"/>
    <cellStyle name="常规 3 5 11" xfId="24567"/>
    <cellStyle name="常规 3 5 12" xfId="24568"/>
    <cellStyle name="常规 3 5 13" xfId="24569"/>
    <cellStyle name="常规 3 5 14" xfId="24570"/>
    <cellStyle name="常规 3 5 15" xfId="24571"/>
    <cellStyle name="千位分隔 3 2 11 3" xfId="24572"/>
    <cellStyle name="常规 3 5 2 2" xfId="24573"/>
    <cellStyle name="常规 3 5 2 2 2" xfId="24574"/>
    <cellStyle name="好_4-应收账款（空白模板） 5" xfId="24575"/>
    <cellStyle name="常规 3 5 2 2 2 2" xfId="24576"/>
    <cellStyle name="常规 3 5 2 2 3 3" xfId="24577"/>
    <cellStyle name="常规 3 5 2 2 4" xfId="24578"/>
    <cellStyle name="常规 3 5 2 2 5" xfId="24579"/>
    <cellStyle name="常规 3 5 2 2 6" xfId="24580"/>
    <cellStyle name="常规 3 5 2 2 7" xfId="24581"/>
    <cellStyle name="常规 3 5 2 2 8" xfId="24582"/>
    <cellStyle name="常规 3 5 2 2_附注表一（财务报表）" xfId="24583"/>
    <cellStyle name="千位分隔 3 2 11 4" xfId="24584"/>
    <cellStyle name="常规 3 5 2 3" xfId="24585"/>
    <cellStyle name="好_应收利息 12 2 4" xfId="24586"/>
    <cellStyle name="常规 3 5 2 3 2" xfId="24587"/>
    <cellStyle name="好_应收利息 12 2 5" xfId="24588"/>
    <cellStyle name="常规 3 5 2 3 3" xfId="24589"/>
    <cellStyle name="常规 3 5 2 3 3 2" xfId="24590"/>
    <cellStyle name="常规 3 5 2 3 3 3" xfId="24591"/>
    <cellStyle name="常规 3 5 2 3 3 4" xfId="24592"/>
    <cellStyle name="常规 3 5 2 3 4" xfId="24593"/>
    <cellStyle name="常规 3 5 2 3 5" xfId="24594"/>
    <cellStyle name="常规 3 5 2 3 6" xfId="24595"/>
    <cellStyle name="常规 3 5 2 3 7" xfId="24596"/>
    <cellStyle name="好_财务费用 10 2 2" xfId="24597"/>
    <cellStyle name="常规 3 5 2 3 8" xfId="24598"/>
    <cellStyle name="常规 3 5 2 4" xfId="24599"/>
    <cellStyle name="超链接 3 27 4" xfId="24600"/>
    <cellStyle name="常规 3 5 2 4 2" xfId="24601"/>
    <cellStyle name="超链接 3 27 5" xfId="24602"/>
    <cellStyle name="常规 3 5 2 4 3" xfId="24603"/>
    <cellStyle name="常规 3 5 2 4 3 2" xfId="24604"/>
    <cellStyle name="常规 3 5 2 4 3 3" xfId="24605"/>
    <cellStyle name="常规 3 5 2 4 3 4" xfId="24606"/>
    <cellStyle name="常规 3 5 2 4 3 5" xfId="24607"/>
    <cellStyle name="常规 3 5 2 4 4" xfId="24608"/>
    <cellStyle name="常规 3 5 2 4 5" xfId="24609"/>
    <cellStyle name="好_复件 持有至到期投资 2 2" xfId="24610"/>
    <cellStyle name="常规 3 5 2 4 6" xfId="24611"/>
    <cellStyle name="常规 3 5 2 4 7" xfId="24612"/>
    <cellStyle name="常规 3 5 2 4_附注表一（财务报表）" xfId="24613"/>
    <cellStyle name="常规 3 5 2 5" xfId="24614"/>
    <cellStyle name="常规 3 5 2 5 2" xfId="24615"/>
    <cellStyle name="常规 3 5 2 5 3" xfId="24616"/>
    <cellStyle name="常规 3 5 2 5 3 4" xfId="24617"/>
    <cellStyle name="常规 3 5 2 5 3 5" xfId="24618"/>
    <cellStyle name="常规 3 5 2 5_附注表一（财务报表）" xfId="24619"/>
    <cellStyle name="好_资产负债标准底稿 12_附注表一（财务报表）" xfId="24620"/>
    <cellStyle name="常规 3 5 2 6" xfId="24621"/>
    <cellStyle name="常规 3 5 2 6 2" xfId="24622"/>
    <cellStyle name="常规 3 5 2 6 3" xfId="24623"/>
    <cellStyle name="常规 3 5 2 6 3 2" xfId="24624"/>
    <cellStyle name="常规 5" xfId="24625"/>
    <cellStyle name="常规 3 5 2 6 3 3" xfId="24626"/>
    <cellStyle name="常规 6" xfId="24627"/>
    <cellStyle name="常规 3 5 2 6 3 4" xfId="24628"/>
    <cellStyle name="常规 7" xfId="24629"/>
    <cellStyle name="常规 3 5 2 6 3 5" xfId="24630"/>
    <cellStyle name="常规 8" xfId="24631"/>
    <cellStyle name="常规 3 5 2 6 4" xfId="24632"/>
    <cellStyle name="常规 3 5 2 6 5" xfId="24633"/>
    <cellStyle name="常规 3 5 2 6 6" xfId="24634"/>
    <cellStyle name="常规 3 5 2 6 7" xfId="24635"/>
    <cellStyle name="好_价值评估 2" xfId="24636"/>
    <cellStyle name="常规 3 5 2 7" xfId="24637"/>
    <cellStyle name="常规 3 5 2 7 2" xfId="24638"/>
    <cellStyle name="常规 3 5 2 7 3" xfId="24639"/>
    <cellStyle name="常规 3 5 2 7 3 2" xfId="24640"/>
    <cellStyle name="常规 3 5 2 7 3 3" xfId="24641"/>
    <cellStyle name="好_54-财务费用（空白模板） 10_明细表 2" xfId="24642"/>
    <cellStyle name="常规 3 5 2 7 3 4" xfId="24643"/>
    <cellStyle name="常规 3 5 2 7 4" xfId="24644"/>
    <cellStyle name="常规 3 5 2 7 5" xfId="24645"/>
    <cellStyle name="常规 3 5 2 7 6" xfId="24646"/>
    <cellStyle name="常规 3 5 2 7 7" xfId="24647"/>
    <cellStyle name="常规 3 5 2 7 8" xfId="24648"/>
    <cellStyle name="常规 3 5 2 7_附注表一（财务报表）" xfId="24649"/>
    <cellStyle name="常规 3 5 2 8 3" xfId="24650"/>
    <cellStyle name="常规 3 5 2 8 5" xfId="24651"/>
    <cellStyle name="常规 3 5 2_附注表一（财务报表）" xfId="24652"/>
    <cellStyle name="好_31-预收账款（空白模板） 3_明细表 2" xfId="24653"/>
    <cellStyle name="常规 3 5 3" xfId="24654"/>
    <cellStyle name="千位分隔 3 2 12 3" xfId="24655"/>
    <cellStyle name="常规 3 5 3 2" xfId="24656"/>
    <cellStyle name="好_其他应收款" xfId="24657"/>
    <cellStyle name="常规 3 5 3 2 3" xfId="24658"/>
    <cellStyle name="常规 3 5 3 2 4" xfId="24659"/>
    <cellStyle name="常规 3 5 3 2 5" xfId="24660"/>
    <cellStyle name="常规 3 5 3 3" xfId="24661"/>
    <cellStyle name="常规 3 5 3_附注表一（财务报表）" xfId="24662"/>
    <cellStyle name="好_31-预收账款（空白模板） 3_明细表 3" xfId="24663"/>
    <cellStyle name="常规 3 5 4" xfId="24664"/>
    <cellStyle name="千位分隔 3 2 13 3" xfId="24665"/>
    <cellStyle name="常规 3 5 4 2" xfId="24666"/>
    <cellStyle name="常规 3 5 4 2 2" xfId="24667"/>
    <cellStyle name="好_51-营业税金及附加（空白模板） 10_附注表一（财务报表）" xfId="24668"/>
    <cellStyle name="好_应收利息 5 2" xfId="24669"/>
    <cellStyle name="常规 3 5 4 2 3" xfId="24670"/>
    <cellStyle name="好_应收利息 5 3" xfId="24671"/>
    <cellStyle name="常规 3 5 4 2 4" xfId="24672"/>
    <cellStyle name="好_应收利息 5 4" xfId="24673"/>
    <cellStyle name="常规 3 5 4 2 5" xfId="24674"/>
    <cellStyle name="常规 3 5 4 3" xfId="24675"/>
    <cellStyle name="常规 3 5 4_附注表一（财务报表）" xfId="24676"/>
    <cellStyle name="好_31-预收账款（空白模板） 3_明细表 4" xfId="24677"/>
    <cellStyle name="常规 3 5 5" xfId="24678"/>
    <cellStyle name="常规 3 5 5 3" xfId="24679"/>
    <cellStyle name="好_31-预收账款（空白模板） 3_明细表 5" xfId="24680"/>
    <cellStyle name="常规 3 5 6" xfId="24681"/>
    <cellStyle name="常规 3 5 6 2 2" xfId="24682"/>
    <cellStyle name="好__dxn_temp空白表页 7 2" xfId="24683"/>
    <cellStyle name="常规 3 5 6 2 3" xfId="24684"/>
    <cellStyle name="好__dxn_temp空白表页 7 3" xfId="24685"/>
    <cellStyle name="常规 3 5 6 2 4" xfId="24686"/>
    <cellStyle name="常规 3 5 6_附注表一（财务报表）" xfId="24687"/>
    <cellStyle name="常规 3 5 7" xfId="24688"/>
    <cellStyle name="常规 3 5 7_附注表一（财务报表）" xfId="24689"/>
    <cellStyle name="常规 3 5 8" xfId="24690"/>
    <cellStyle name="常规 3 5 8 2" xfId="24691"/>
    <cellStyle name="好_预收款项 8_附注表一（财务报表）" xfId="24692"/>
    <cellStyle name="常规 3 5 9" xfId="24693"/>
    <cellStyle name="常规 3 5 9 2" xfId="24694"/>
    <cellStyle name="常规 3 5 9 5" xfId="24695"/>
    <cellStyle name="常规 3 55" xfId="24696"/>
    <cellStyle name="常规 3 60" xfId="24697"/>
    <cellStyle name="好_54-财务费用（空白模板） 16" xfId="24698"/>
    <cellStyle name="好_54-财务费用（空白模板） 21" xfId="24699"/>
    <cellStyle name="常规 3 56" xfId="24700"/>
    <cellStyle name="常规 3 61" xfId="24701"/>
    <cellStyle name="好_54-财务费用（空白模板） 17" xfId="24702"/>
    <cellStyle name="好_54-财务费用（空白模板） 22" xfId="24703"/>
    <cellStyle name="常规 3 57" xfId="24704"/>
    <cellStyle name="常规 3 62" xfId="24705"/>
    <cellStyle name="好_54-财务费用（空白模板） 18" xfId="24706"/>
    <cellStyle name="好_54-财务费用（空白模板） 23" xfId="24707"/>
    <cellStyle name="常规 3 58" xfId="24708"/>
    <cellStyle name="常规 3 63" xfId="24709"/>
    <cellStyle name="好_54-财务费用（空白模板） 19" xfId="24710"/>
    <cellStyle name="好_54-财务费用（空白模板） 24" xfId="24711"/>
    <cellStyle name="常规 9 4 3 2 2 2 2" xfId="24712"/>
    <cellStyle name="常规 3 59" xfId="24713"/>
    <cellStyle name="常规 3 64" xfId="24714"/>
    <cellStyle name="好_54-财务费用（空白模板） 25" xfId="24715"/>
    <cellStyle name="好_54-财务费用（空白模板） 30" xfId="24716"/>
    <cellStyle name="常规 9 4 3 2 2 2 3" xfId="24717"/>
    <cellStyle name="好_大信底稿目录 2" xfId="24718"/>
    <cellStyle name="常规 3 6 2 2" xfId="24719"/>
    <cellStyle name="好_大信底稿目录 3" xfId="24720"/>
    <cellStyle name="常规 3 6 2 3" xfId="24721"/>
    <cellStyle name="常规 3 6 3" xfId="24722"/>
    <cellStyle name="常规 3 6 3 4" xfId="24723"/>
    <cellStyle name="常规 3 6 3 5" xfId="24724"/>
    <cellStyle name="好_1营业外收入 2 2" xfId="24725"/>
    <cellStyle name="常规 3 6 4" xfId="24726"/>
    <cellStyle name="好_1营业外收入 2 3" xfId="24727"/>
    <cellStyle name="常规 3 6 5" xfId="24728"/>
    <cellStyle name="常规 3 6 6" xfId="24729"/>
    <cellStyle name="常规 3 6 7" xfId="24730"/>
    <cellStyle name="常规 3 6 8" xfId="24731"/>
    <cellStyle name="常规 3 6 9" xfId="24732"/>
    <cellStyle name="常规 3 6_Spreadsheet" xfId="24733"/>
    <cellStyle name="常规 3 65" xfId="24734"/>
    <cellStyle name="常规 3 70" xfId="24735"/>
    <cellStyle name="好_54-财务费用（空白模板） 26" xfId="24736"/>
    <cellStyle name="好_54-财务费用（空白模板） 31" xfId="24737"/>
    <cellStyle name="常规 3 7" xfId="24738"/>
    <cellStyle name="常规 3 7 10" xfId="24739"/>
    <cellStyle name="好_51-营业税金及附加（空白模板）_应收账款" xfId="24740"/>
    <cellStyle name="常规 3 7 11" xfId="24741"/>
    <cellStyle name="常规 3 7 2 10" xfId="24742"/>
    <cellStyle name="常规 3 7 2 11" xfId="24743"/>
    <cellStyle name="常规 3 7 2 2" xfId="24744"/>
    <cellStyle name="常规 3 7 2 2 2" xfId="24745"/>
    <cellStyle name="常规 3 7 3 2" xfId="24746"/>
    <cellStyle name="好_预收款项 11" xfId="24747"/>
    <cellStyle name="常规 3 7 3 2 2" xfId="24748"/>
    <cellStyle name="好_预收款项 11 2" xfId="24749"/>
    <cellStyle name="常规 6 2 2 10" xfId="24750"/>
    <cellStyle name="常规 3 7 5" xfId="24751"/>
    <cellStyle name="常规 6 2 2 11" xfId="24752"/>
    <cellStyle name="常规 3 7 6" xfId="24753"/>
    <cellStyle name="常规 6 2 2 12" xfId="24754"/>
    <cellStyle name="常规 3 7 7" xfId="24755"/>
    <cellStyle name="常规 6 2 2 13" xfId="24756"/>
    <cellStyle name="常规 3 7 8" xfId="24757"/>
    <cellStyle name="常规 3 7 9" xfId="24758"/>
    <cellStyle name="常规 3 8" xfId="24759"/>
    <cellStyle name="常规 3 8 10" xfId="24760"/>
    <cellStyle name="常规 3 8 11" xfId="24761"/>
    <cellStyle name="常规 3 8 2" xfId="24762"/>
    <cellStyle name="好_54-财务费用（空白模板） 17 2" xfId="24763"/>
    <cellStyle name="常规 3 8 2 3" xfId="24764"/>
    <cellStyle name="好_54-财务费用（空白模板） 17 3" xfId="24765"/>
    <cellStyle name="常规 3 8 2 4" xfId="24766"/>
    <cellStyle name="好_54-财务费用（空白模板） 17 4" xfId="24767"/>
    <cellStyle name="常规 3 8 2 5" xfId="24768"/>
    <cellStyle name="好_54-财务费用（空白模板） 17 5" xfId="24769"/>
    <cellStyle name="常规 3 8 2 6" xfId="24770"/>
    <cellStyle name="常规 3 8 2 8" xfId="24771"/>
    <cellStyle name="常规 3 8 2 9" xfId="24772"/>
    <cellStyle name="好_4-应收账款（空白模板） 4_明细表 2" xfId="24773"/>
    <cellStyle name="常规 3 8 3 2" xfId="24774"/>
    <cellStyle name="好_54-财务费用（空白模板） 18 2" xfId="24775"/>
    <cellStyle name="好_4-应收账款（空白模板） 4_明细表 3" xfId="24776"/>
    <cellStyle name="常规 3 8 3 3" xfId="24777"/>
    <cellStyle name="好_54-财务费用（空白模板） 18 3" xfId="24778"/>
    <cellStyle name="好_4-应收账款（空白模板） 4_明细表 4" xfId="24779"/>
    <cellStyle name="常规 3 8 3 4" xfId="24780"/>
    <cellStyle name="好_54-财务费用（空白模板） 18 4" xfId="24781"/>
    <cellStyle name="好_4-应收账款（空白模板） 4_明细表 5" xfId="24782"/>
    <cellStyle name="常规 3 8 3 5" xfId="24783"/>
    <cellStyle name="常规 3 8 4" xfId="24784"/>
    <cellStyle name="常规 3 8 5" xfId="24785"/>
    <cellStyle name="常规 3 8 7" xfId="24786"/>
    <cellStyle name="常规 3 8 8" xfId="24787"/>
    <cellStyle name="常规 3 8 9" xfId="24788"/>
    <cellStyle name="常规 3 9" xfId="24789"/>
    <cellStyle name="常规 3 9 10" xfId="24790"/>
    <cellStyle name="好_G-应收账款 8_明细表" xfId="24791"/>
    <cellStyle name="常规 3 9 11" xfId="24792"/>
    <cellStyle name="常规 3 9 12" xfId="24793"/>
    <cellStyle name="常规 3 9 3 3" xfId="24794"/>
    <cellStyle name="常规 3 9 3 4" xfId="24795"/>
    <cellStyle name="常规 3 9 3 5" xfId="24796"/>
    <cellStyle name="好_15-固定资产（空白模板） 13_附注表一（财务报表）" xfId="24797"/>
    <cellStyle name="常规 3 9 6" xfId="24798"/>
    <cellStyle name="常规 3 9_附注表一（财务报表）" xfId="24799"/>
    <cellStyle name="常规 3_货币资金 2" xfId="24800"/>
    <cellStyle name="好_G-应收账款 4 3" xfId="24801"/>
    <cellStyle name="常规 31 2 2 2" xfId="24802"/>
    <cellStyle name="常规_营业外支出 2" xfId="24803"/>
    <cellStyle name="常规 31 2 2 3" xfId="24804"/>
    <cellStyle name="常规 31 2 3" xfId="24805"/>
    <cellStyle name="常规 31 2 4" xfId="24806"/>
    <cellStyle name="常规 31 3 2" xfId="24807"/>
    <cellStyle name="好_54-财务费用（空白模板） 3 2" xfId="24808"/>
    <cellStyle name="常规 32 2 2 2" xfId="24809"/>
    <cellStyle name="好_54-财务费用（空白模板） 5" xfId="24810"/>
    <cellStyle name="常规 32 2 4" xfId="24811"/>
    <cellStyle name="常规 32 3 2" xfId="24812"/>
    <cellStyle name="常规 33 2 2 2" xfId="24813"/>
    <cellStyle name="常规 33 2 3" xfId="24814"/>
    <cellStyle name="常规 33 2 4" xfId="24815"/>
    <cellStyle name="常规 33 3 3" xfId="24816"/>
    <cellStyle name="常规 33 5" xfId="24817"/>
    <cellStyle name="常规 35 2 2 2" xfId="24818"/>
    <cellStyle name="常规 35 2 2 3" xfId="24819"/>
    <cellStyle name="常规 35 2 3" xfId="24820"/>
    <cellStyle name="常规 35 2 4" xfId="24821"/>
    <cellStyle name="常规 36" xfId="24822"/>
    <cellStyle name="常规 41" xfId="24823"/>
    <cellStyle name="好_应收利息 12" xfId="24824"/>
    <cellStyle name="好__dxn_temp空白表页 5_明细表 3" xfId="24825"/>
    <cellStyle name="常规 36 2 2" xfId="24826"/>
    <cellStyle name="好_应收利息 12 2" xfId="24827"/>
    <cellStyle name="好_大信底稿目录_明细表_1 5" xfId="24828"/>
    <cellStyle name="常规 36 2 2 2" xfId="24829"/>
    <cellStyle name="超链接 3 26" xfId="24830"/>
    <cellStyle name="超链接 3 31" xfId="24831"/>
    <cellStyle name="好_应收利息 13" xfId="24832"/>
    <cellStyle name="好__dxn_temp空白表页 5_明细表 4" xfId="24833"/>
    <cellStyle name="常规 36 2 3" xfId="24834"/>
    <cellStyle name="好_应收利息 14" xfId="24835"/>
    <cellStyle name="好__dxn_temp空白表页 5_明细表 5" xfId="24836"/>
    <cellStyle name="常规 36 2 4" xfId="24837"/>
    <cellStyle name="常规 36 5" xfId="24838"/>
    <cellStyle name="常规 37 2" xfId="24839"/>
    <cellStyle name="好_Sales breakdown by customer - 新滔 (to KPMG) 4" xfId="24840"/>
    <cellStyle name="常规 37 2 2" xfId="24841"/>
    <cellStyle name="常规 37 2 2 2" xfId="24842"/>
    <cellStyle name="常规 4 10 2 2" xfId="24843"/>
    <cellStyle name="常规 37 2 2 3" xfId="24844"/>
    <cellStyle name="好_Sales breakdown by customer - 新滔 (to KPMG) 5" xfId="24845"/>
    <cellStyle name="常规 37 2 3" xfId="24846"/>
    <cellStyle name="常规 37 3" xfId="24847"/>
    <cellStyle name="常规 37 4" xfId="24848"/>
    <cellStyle name="常规 9 3 3 2 4 2" xfId="24849"/>
    <cellStyle name="常规 38" xfId="24850"/>
    <cellStyle name="常规 43" xfId="24851"/>
    <cellStyle name="好_4-应收账款（空白模板） 10_明细表" xfId="24852"/>
    <cellStyle name="常规 38 2 2" xfId="24853"/>
    <cellStyle name="好_4-应收账款（空白模板） 10_明细表 2" xfId="24854"/>
    <cellStyle name="常规 38 2 2 2" xfId="24855"/>
    <cellStyle name="好_4-应收账款（空白模板） 10_明细表 3" xfId="24856"/>
    <cellStyle name="常规 38 2 2 3" xfId="24857"/>
    <cellStyle name="常规 38 2 3" xfId="24858"/>
    <cellStyle name="常规 38 3" xfId="24859"/>
    <cellStyle name="常规 38 4" xfId="24860"/>
    <cellStyle name="常规 9 3 3 2 4 3" xfId="24861"/>
    <cellStyle name="常规 39" xfId="24862"/>
    <cellStyle name="常规 44" xfId="24863"/>
    <cellStyle name="好_4-应收账款（空白模板） 11_明细表 3" xfId="24864"/>
    <cellStyle name="常规 39 2 2 3" xfId="24865"/>
    <cellStyle name="常规 39 2 4" xfId="24866"/>
    <cellStyle name="常规 39 3" xfId="24867"/>
    <cellStyle name="常规 4 10" xfId="24868"/>
    <cellStyle name="常规 4 10 2 3" xfId="24869"/>
    <cellStyle name="好_50-营业成本（空白模板） 10_明细表 2" xfId="24870"/>
    <cellStyle name="常规 4 10 3 3" xfId="24871"/>
    <cellStyle name="常规 4 10 4" xfId="24872"/>
    <cellStyle name="常规 4 10_附注表一（财务报表）" xfId="24873"/>
    <cellStyle name="常规 4 11" xfId="24874"/>
    <cellStyle name="常规 4 11 2" xfId="24875"/>
    <cellStyle name="好_资产负债标准底稿 14_明细表 5" xfId="24876"/>
    <cellStyle name="常规 4 11 2 2" xfId="24877"/>
    <cellStyle name="常规 4 11 2 3" xfId="24878"/>
    <cellStyle name="常规 4 11 3" xfId="24879"/>
    <cellStyle name="常规 4 11 3 3" xfId="24880"/>
    <cellStyle name="常规 4 11 4" xfId="24881"/>
    <cellStyle name="常规 4 11 5" xfId="24882"/>
    <cellStyle name="常规_应付票据 2" xfId="24883"/>
    <cellStyle name="常规 4 12" xfId="24884"/>
    <cellStyle name="常规 4 12 3" xfId="24885"/>
    <cellStyle name="常规 4 12 4" xfId="24886"/>
    <cellStyle name="常规 4 12 5" xfId="24887"/>
    <cellStyle name="常规 4 12_附注表一（财务报表）" xfId="24888"/>
    <cellStyle name="常规 4 13 2 2" xfId="24889"/>
    <cellStyle name="常规 4 13 2 3" xfId="24890"/>
    <cellStyle name="常规 4 13_附注表一（财务报表）" xfId="24891"/>
    <cellStyle name="常规 4 14" xfId="24892"/>
    <cellStyle name="常规 4 14 2" xfId="24893"/>
    <cellStyle name="常规 4 14 2 2" xfId="24894"/>
    <cellStyle name="好_1财务费用 10 2 3" xfId="24895"/>
    <cellStyle name="常规 4 14 2 4" xfId="24896"/>
    <cellStyle name="好_1财务费用 10 2 4" xfId="24897"/>
    <cellStyle name="常规 4 14 2 5" xfId="24898"/>
    <cellStyle name="常规 4 14 3" xfId="24899"/>
    <cellStyle name="常规 4 14 3 2" xfId="24900"/>
    <cellStyle name="常规 4 14 3 3" xfId="24901"/>
    <cellStyle name="常规 4 14 4" xfId="24902"/>
    <cellStyle name="千位分隔 3 7 2 2 2" xfId="24903"/>
    <cellStyle name="常规 4 14 5" xfId="24904"/>
    <cellStyle name="常规 4 15 2" xfId="24905"/>
    <cellStyle name="常规 4 20 2" xfId="24906"/>
    <cellStyle name="常规 4 15 2 2" xfId="24907"/>
    <cellStyle name="常规 4 20 2 2" xfId="24908"/>
    <cellStyle name="好_1财务费用 11 2 2" xfId="24909"/>
    <cellStyle name="常规 4 15 2 3" xfId="24910"/>
    <cellStyle name="常规 4 20 2 3" xfId="24911"/>
    <cellStyle name="好_1财务费用 11 2 3" xfId="24912"/>
    <cellStyle name="常规 4 15 2 4" xfId="24913"/>
    <cellStyle name="常规 4 20 2 4" xfId="24914"/>
    <cellStyle name="好_1财务费用 11 2 4" xfId="24915"/>
    <cellStyle name="常规 4 15 2 5" xfId="24916"/>
    <cellStyle name="常规 4 20 2 5" xfId="24917"/>
    <cellStyle name="常规 4 15 3" xfId="24918"/>
    <cellStyle name="常规 4 20 3" xfId="24919"/>
    <cellStyle name="常规 4 16 2" xfId="24920"/>
    <cellStyle name="常规 4 21 2" xfId="24921"/>
    <cellStyle name="常规 4 16 2 2" xfId="24922"/>
    <cellStyle name="常规 4 21 2 2" xfId="24923"/>
    <cellStyle name="好_1财务费用 12 2 2" xfId="24924"/>
    <cellStyle name="常规 4 16 2 3" xfId="24925"/>
    <cellStyle name="常规 4 21 2 3" xfId="24926"/>
    <cellStyle name="好_1财务费用 12 2 3" xfId="24927"/>
    <cellStyle name="常规 4 16 2 4" xfId="24928"/>
    <cellStyle name="常规 4 21 2 4" xfId="24929"/>
    <cellStyle name="好_1财务费用 12 2 4" xfId="24930"/>
    <cellStyle name="常规 4 16 2 5" xfId="24931"/>
    <cellStyle name="常规 4 21 2 5" xfId="24932"/>
    <cellStyle name="常规 4 16 3" xfId="24933"/>
    <cellStyle name="常规 4 21 3" xfId="24934"/>
    <cellStyle name="常规 4 17" xfId="24935"/>
    <cellStyle name="常规 4 22" xfId="24936"/>
    <cellStyle name="常规 4 17 2" xfId="24937"/>
    <cellStyle name="常规 4 22 2" xfId="24938"/>
    <cellStyle name="常规 4 17 2 2" xfId="24939"/>
    <cellStyle name="常规 4 22 2 2" xfId="24940"/>
    <cellStyle name="好_应付票据 3 3" xfId="24941"/>
    <cellStyle name="好_1财务费用 13 2 3" xfId="24942"/>
    <cellStyle name="常规 4 17 2 4" xfId="24943"/>
    <cellStyle name="常规 4 22 2 4" xfId="24944"/>
    <cellStyle name="好_1财务费用 13 2 4" xfId="24945"/>
    <cellStyle name="常规 4 17 2 5" xfId="24946"/>
    <cellStyle name="常规 4 22 2 5" xfId="24947"/>
    <cellStyle name="常规 4 17 3" xfId="24948"/>
    <cellStyle name="常规 4 22 3" xfId="24949"/>
    <cellStyle name="常规 4 18" xfId="24950"/>
    <cellStyle name="常规 4 23" xfId="24951"/>
    <cellStyle name="常规 4 18 2" xfId="24952"/>
    <cellStyle name="常规 4 23 2" xfId="24953"/>
    <cellStyle name="常规 7 10 2 3" xfId="24954"/>
    <cellStyle name="常规 4 18 2 2" xfId="24955"/>
    <cellStyle name="常规 4 23 2 2" xfId="24956"/>
    <cellStyle name="好_1财务费用 14 2 2" xfId="24957"/>
    <cellStyle name="常规 4 18 2 3" xfId="24958"/>
    <cellStyle name="常规 4 23 2 3" xfId="24959"/>
    <cellStyle name="好_专项应付款 10_明细表 2" xfId="24960"/>
    <cellStyle name="常规 4 18 3" xfId="24961"/>
    <cellStyle name="常规 4 23 3" xfId="24962"/>
    <cellStyle name="常规 4 19" xfId="24963"/>
    <cellStyle name="常规 4 24" xfId="24964"/>
    <cellStyle name="常规 4 19 2" xfId="24965"/>
    <cellStyle name="常规 4 24 2" xfId="24966"/>
    <cellStyle name="常规 4 19 2 2" xfId="24967"/>
    <cellStyle name="常规 4 24 2 2" xfId="24968"/>
    <cellStyle name="常规 4 2 2 3 3" xfId="24969"/>
    <cellStyle name="好_1财务费用 15 2 2" xfId="24970"/>
    <cellStyle name="常规 4 19 2 3" xfId="24971"/>
    <cellStyle name="常规 4 24 2 3" xfId="24972"/>
    <cellStyle name="好_1财务费用 15 2 3" xfId="24973"/>
    <cellStyle name="千位分隔 2 3 9_附注表一（财务报表）" xfId="24974"/>
    <cellStyle name="常规 4 19 2 4" xfId="24975"/>
    <cellStyle name="常规 4 24 2 4" xfId="24976"/>
    <cellStyle name="好_1财务费用 15 2 4" xfId="24977"/>
    <cellStyle name="好_111其他流动资产 2" xfId="24978"/>
    <cellStyle name="常规 4 19 2 5" xfId="24979"/>
    <cellStyle name="常规 4 24 2 5" xfId="24980"/>
    <cellStyle name="常规 4 19 3" xfId="24981"/>
    <cellStyle name="常规 4 24 3" xfId="24982"/>
    <cellStyle name="好_1专项应付款 11 2 3" xfId="24983"/>
    <cellStyle name="常规 4 19_附注表一（财务报表）" xfId="24984"/>
    <cellStyle name="常规 4 2 10" xfId="24985"/>
    <cellStyle name="常规 4 2 10 3" xfId="24986"/>
    <cellStyle name="常规 4 2 11" xfId="24987"/>
    <cellStyle name="常规 4 2 12" xfId="24988"/>
    <cellStyle name="常规 4 2 13" xfId="24989"/>
    <cellStyle name="常规 4 2 14" xfId="24990"/>
    <cellStyle name="常规 4 2 15" xfId="24991"/>
    <cellStyle name="常规 4 2 16" xfId="24992"/>
    <cellStyle name="常规 4 2 2 2" xfId="24993"/>
    <cellStyle name="常规 4 2 2 2 3" xfId="24994"/>
    <cellStyle name="常规 4 2 2 2 3 2" xfId="24995"/>
    <cellStyle name="好_G-应收账款 8 2 3" xfId="24996"/>
    <cellStyle name="常规 4 2 2 2 3 3" xfId="24997"/>
    <cellStyle name="好_G-应收账款 8 2 4" xfId="24998"/>
    <cellStyle name="常规 4 2 2 2 4" xfId="24999"/>
    <cellStyle name="常规 4 2 2 2 5" xfId="25000"/>
    <cellStyle name="常规 4 2 2 2 5 2" xfId="25001"/>
    <cellStyle name="常规 7 11 2" xfId="25002"/>
    <cellStyle name="常规 4 2 2 3" xfId="25003"/>
    <cellStyle name="常规 7 11 2 2" xfId="25004"/>
    <cellStyle name="常规 4 2 2 3 2" xfId="25005"/>
    <cellStyle name="常规 4 2 2 5" xfId="25006"/>
    <cellStyle name="常规 4 2 2 6" xfId="25007"/>
    <cellStyle name="常规 4 2 2 7" xfId="25008"/>
    <cellStyle name="常规 4 2 2 8" xfId="25009"/>
    <cellStyle name="常规 4 2 2 9" xfId="25010"/>
    <cellStyle name="常规 4 2 3" xfId="25011"/>
    <cellStyle name="好_银行函证结果汇总表 18" xfId="25012"/>
    <cellStyle name="好_银行函证结果汇总表 23" xfId="25013"/>
    <cellStyle name="常规 4 2 3 5" xfId="25014"/>
    <cellStyle name="常规 4 2 4" xfId="25015"/>
    <cellStyle name="常规 4 2 5" xfId="25016"/>
    <cellStyle name="好_56-公允价值损益变动（空白模板） 3 2 2" xfId="25017"/>
    <cellStyle name="常规 4 2 6" xfId="25018"/>
    <cellStyle name="常规 4 2 7" xfId="25019"/>
    <cellStyle name="常规 4 2 8" xfId="25020"/>
    <cellStyle name="常规 4 2 9" xfId="25021"/>
    <cellStyle name="常规 4 2_Spreadsheet" xfId="25022"/>
    <cellStyle name="好_专项应付款 10_明细表 3" xfId="25023"/>
    <cellStyle name="常规 4 23 4" xfId="25024"/>
    <cellStyle name="好_专项应付款 10_明细表 4" xfId="25025"/>
    <cellStyle name="常规 4 23 5" xfId="25026"/>
    <cellStyle name="好_专项应付款 10_明细表 5" xfId="25027"/>
    <cellStyle name="常规 4 23 6" xfId="25028"/>
    <cellStyle name="常规 4 24 4" xfId="25029"/>
    <cellStyle name="常规 4 24 5" xfId="25030"/>
    <cellStyle name="常规 4 25" xfId="25031"/>
    <cellStyle name="常规 4 30" xfId="25032"/>
    <cellStyle name="常规 4 25 2" xfId="25033"/>
    <cellStyle name="常规 4 25 3" xfId="25034"/>
    <cellStyle name="常规 4 25 4" xfId="25035"/>
    <cellStyle name="常规 4 25 5" xfId="25036"/>
    <cellStyle name="好_短期借款 8_明细表 2" xfId="25037"/>
    <cellStyle name="好_16-在建工程（空白模板）" xfId="25038"/>
    <cellStyle name="常规 4 28" xfId="25039"/>
    <cellStyle name="常规 4 33" xfId="25040"/>
    <cellStyle name="好_短期借款 8_明细表 3" xfId="25041"/>
    <cellStyle name="常规 4 29" xfId="25042"/>
    <cellStyle name="常规 4 34" xfId="25043"/>
    <cellStyle name="常规 4 3" xfId="25044"/>
    <cellStyle name="常规 4 3 2" xfId="25045"/>
    <cellStyle name="好_FJ 其他应付款 4 3" xfId="25046"/>
    <cellStyle name="常规 4 3 2 2" xfId="25047"/>
    <cellStyle name="常规 4 3 2 2 2" xfId="25048"/>
    <cellStyle name="好_无形资产 9 2 2" xfId="25049"/>
    <cellStyle name="常规 4 3 2 2 3" xfId="25050"/>
    <cellStyle name="常规 4 3 2 3" xfId="25051"/>
    <cellStyle name="常规 4 3 2 3 2" xfId="25052"/>
    <cellStyle name="常规 4 3 2 3 3" xfId="25053"/>
    <cellStyle name="常规 4 3 2 4" xfId="25054"/>
    <cellStyle name="好_1存货 2" xfId="25055"/>
    <cellStyle name="常规 4 3 2 5" xfId="25056"/>
    <cellStyle name="好_1存货 3" xfId="25057"/>
    <cellStyle name="好_1预收款项 13_明细表 2" xfId="25058"/>
    <cellStyle name="常规 4 3 2 6" xfId="25059"/>
    <cellStyle name="常规 4 3 3" xfId="25060"/>
    <cellStyle name="常规 4 3 3 2" xfId="25061"/>
    <cellStyle name="常规 4 3 3 3" xfId="25062"/>
    <cellStyle name="好_1预收款项 15 2 4" xfId="25063"/>
    <cellStyle name="常规 4 3 5 2" xfId="25064"/>
    <cellStyle name="好_1预收款项 15 2 5" xfId="25065"/>
    <cellStyle name="常规 4 3 5 3" xfId="25066"/>
    <cellStyle name="常规 4 3 7 2" xfId="25067"/>
    <cellStyle name="好_27-短期借款(空白模板) 10_明细表 2" xfId="25068"/>
    <cellStyle name="常规 4 3 7 3" xfId="25069"/>
    <cellStyle name="常规 4 3_附注表一（财务报表）" xfId="25070"/>
    <cellStyle name="常规 4 4" xfId="25071"/>
    <cellStyle name="常规 4 4 2" xfId="25072"/>
    <cellStyle name="好_FJ 其他应付款 5 3" xfId="25073"/>
    <cellStyle name="常规 4 4 2 2" xfId="25074"/>
    <cellStyle name="常规 4 4 2 3" xfId="25075"/>
    <cellStyle name="常规 4 4 2 3 3" xfId="25076"/>
    <cellStyle name="常规 4 4 2 4" xfId="25077"/>
    <cellStyle name="常规 4 4 2 5" xfId="25078"/>
    <cellStyle name="常规 4 4 2 6" xfId="25079"/>
    <cellStyle name="常规 4 4 3" xfId="25080"/>
    <cellStyle name="常规 4 4 3 2" xfId="25081"/>
    <cellStyle name="常规 4 4_附注表一（财务报表）" xfId="25082"/>
    <cellStyle name="常规 4 5 2 6" xfId="25083"/>
    <cellStyle name="常规 4 5 3" xfId="25084"/>
    <cellStyle name="常规 4 5 4" xfId="25085"/>
    <cellStyle name="常规 4 5 5 2" xfId="25086"/>
    <cellStyle name="常规 4 5 6" xfId="25087"/>
    <cellStyle name="常规 4 5 7" xfId="25088"/>
    <cellStyle name="好_1营业收入 2 5" xfId="25089"/>
    <cellStyle name="常规 4 5 7 2" xfId="25090"/>
    <cellStyle name="好_1营业收入 2 6" xfId="25091"/>
    <cellStyle name="常规 4 5 7 3" xfId="25092"/>
    <cellStyle name="常规 4 5 8" xfId="25093"/>
    <cellStyle name="常规 4 5 9" xfId="25094"/>
    <cellStyle name="常规 4 5_附注表一（财务报表）" xfId="25095"/>
    <cellStyle name="常规 4 6 2 2 3" xfId="25096"/>
    <cellStyle name="好_1财务费用 4" xfId="25097"/>
    <cellStyle name="常规 4 6 2 3 2" xfId="25098"/>
    <cellStyle name="好_财务费用 11_附注表一（财务报表）" xfId="25099"/>
    <cellStyle name="好_1财务费用 5" xfId="25100"/>
    <cellStyle name="常规 4 6 2 3 3" xfId="25101"/>
    <cellStyle name="常规 4 6 5 2" xfId="25102"/>
    <cellStyle name="常规 4 6 5 3" xfId="25103"/>
    <cellStyle name="好__dxn_temp空白表页 15_明细表" xfId="25104"/>
    <cellStyle name="常规 4 6 6 3" xfId="25105"/>
    <cellStyle name="常规 4 6 7" xfId="25106"/>
    <cellStyle name="常规 4 6 7 2" xfId="25107"/>
    <cellStyle name="常规 4 6 7 3" xfId="25108"/>
    <cellStyle name="常规 4 6 8" xfId="25109"/>
    <cellStyle name="常规 4 6 9" xfId="25110"/>
    <cellStyle name="常规 4 6_附注表一（财务报表）" xfId="25111"/>
    <cellStyle name="好_1营业收入 14 2 3" xfId="25112"/>
    <cellStyle name="常规 4 7 2" xfId="25113"/>
    <cellStyle name="常规 4 7 2 2" xfId="25114"/>
    <cellStyle name="常规 4 7 2 3" xfId="25115"/>
    <cellStyle name="常规 4 7 2 4" xfId="25116"/>
    <cellStyle name="常规 4 7 2 5" xfId="25117"/>
    <cellStyle name="好_1营业收入 14 2 4" xfId="25118"/>
    <cellStyle name="常规 4 7 3" xfId="25119"/>
    <cellStyle name="常规 4 7 3 2" xfId="25120"/>
    <cellStyle name="常规 4 7 3 3" xfId="25121"/>
    <cellStyle name="常规 4 7 5" xfId="25122"/>
    <cellStyle name="常规 4 7 6" xfId="25123"/>
    <cellStyle name="常规 4 8 2" xfId="25124"/>
    <cellStyle name="好_资产负债标准底稿_大信底稿目录 23" xfId="25125"/>
    <cellStyle name="好_资产负债标准底稿_大信底稿目录 18" xfId="25126"/>
    <cellStyle name="常规 4 8 2 2" xfId="25127"/>
    <cellStyle name="好_50-营业成本（空白模板） 8 3" xfId="25128"/>
    <cellStyle name="好_资产负债标准底稿_大信底稿目录 24" xfId="25129"/>
    <cellStyle name="好_资产负债标准底稿_大信底稿目录 19" xfId="25130"/>
    <cellStyle name="常规 4 8 2 3" xfId="25131"/>
    <cellStyle name="好_50-营业成本（空白模板） 8 4" xfId="25132"/>
    <cellStyle name="常规 4 8 2 4" xfId="25133"/>
    <cellStyle name="常规 4 8 2 5" xfId="25134"/>
    <cellStyle name="千位分隔 4 2 2 2 3" xfId="25135"/>
    <cellStyle name="好_4-应收账款（空白模板） 5_明细表" xfId="25136"/>
    <cellStyle name="常规 4 8 3" xfId="25137"/>
    <cellStyle name="常规 4 8 3 2" xfId="25138"/>
    <cellStyle name="好_50-营业成本（空白模板） 9 3" xfId="25139"/>
    <cellStyle name="好_4-应收账款（空白模板） 5_明细表 2" xfId="25140"/>
    <cellStyle name="常规 4 8 3 3" xfId="25141"/>
    <cellStyle name="好_50-营业成本（空白模板） 9 4" xfId="25142"/>
    <cellStyle name="好_4-应收账款（空白模板） 5_明细表 3" xfId="25143"/>
    <cellStyle name="常规 4 8 5" xfId="25144"/>
    <cellStyle name="常规 4 8_附注表一（财务报表）" xfId="25145"/>
    <cellStyle name="常规 4 9 2" xfId="25146"/>
    <cellStyle name="常规 4 9 2 2" xfId="25147"/>
    <cellStyle name="常规 4 9 2 3" xfId="25148"/>
    <cellStyle name="常规 4 9 2 4" xfId="25149"/>
    <cellStyle name="常规 4 9 2 5" xfId="25150"/>
    <cellStyle name="常规 4 9 3" xfId="25151"/>
    <cellStyle name="常规 4 9 3 2" xfId="25152"/>
    <cellStyle name="常规 4 9 3 3" xfId="25153"/>
    <cellStyle name="常规 4 9 4" xfId="25154"/>
    <cellStyle name="常规 5 17 2 4" xfId="25155"/>
    <cellStyle name="常规 5 22 2 4" xfId="25156"/>
    <cellStyle name="常规 4 9 4 2" xfId="25157"/>
    <cellStyle name="常规 5 17 2 5" xfId="25158"/>
    <cellStyle name="常规 5 22 2 5" xfId="25159"/>
    <cellStyle name="常规 4 9 4 3" xfId="25160"/>
    <cellStyle name="好_32-应付职工薪酬(空白模板) 10" xfId="25161"/>
    <cellStyle name="常规 4 9 5" xfId="25162"/>
    <cellStyle name="好_32-应付职工薪酬(空白模板) 11" xfId="25163"/>
    <cellStyle name="常规 4 9 6" xfId="25164"/>
    <cellStyle name="常规 4_1可供出售金融资产" xfId="25165"/>
    <cellStyle name="常规 45" xfId="25166"/>
    <cellStyle name="常规 50" xfId="25167"/>
    <cellStyle name="常规 46 2" xfId="25168"/>
    <cellStyle name="常规 51 2" xfId="25169"/>
    <cellStyle name="好_4-应收账款（空白模板） 13_明细表" xfId="25170"/>
    <cellStyle name="常规 46 2 2" xfId="25171"/>
    <cellStyle name="常规 46 2 2 2" xfId="25172"/>
    <cellStyle name="好_黄金项目组审计人员通讯录 2 4" xfId="25173"/>
    <cellStyle name="好_4-应收账款（空白模板） 13_明细表 2" xfId="25174"/>
    <cellStyle name="常规 46 2 2 3" xfId="25175"/>
    <cellStyle name="好_黄金项目组审计人员通讯录 2 5" xfId="25176"/>
    <cellStyle name="好_4-应收账款（空白模板） 13_明细表 3" xfId="25177"/>
    <cellStyle name="常规 46 2 3" xfId="25178"/>
    <cellStyle name="常规 46 2 4" xfId="25179"/>
    <cellStyle name="常规 46 3" xfId="25180"/>
    <cellStyle name="常规 46 3 2" xfId="25181"/>
    <cellStyle name="常规 46 3 3" xfId="25182"/>
    <cellStyle name="常规 46 4" xfId="25183"/>
    <cellStyle name="常规 47" xfId="25184"/>
    <cellStyle name="常规 52" xfId="25185"/>
    <cellStyle name="常规 47 2" xfId="25186"/>
    <cellStyle name="好_4-应收账款（空白模板） 14_明细表" xfId="25187"/>
    <cellStyle name="常规 47 2 2" xfId="25188"/>
    <cellStyle name="好_4-应收账款（空白模板） 14_明细表 3" xfId="25189"/>
    <cellStyle name="常规 5 10 2 2" xfId="25190"/>
    <cellStyle name="常规 47 2 2 3" xfId="25191"/>
    <cellStyle name="常规 47 3" xfId="25192"/>
    <cellStyle name="好_应付职工薪酬 18" xfId="25193"/>
    <cellStyle name="好_应付职工薪酬 23" xfId="25194"/>
    <cellStyle name="常规 47 3 2" xfId="25195"/>
    <cellStyle name="好_营业收入_应收账款 2" xfId="25196"/>
    <cellStyle name="好_应付职工薪酬 19" xfId="25197"/>
    <cellStyle name="好_应付职工薪酬 24" xfId="25198"/>
    <cellStyle name="常规 47 3 3" xfId="25199"/>
    <cellStyle name="常规 47 4" xfId="25200"/>
    <cellStyle name="常规 48" xfId="25201"/>
    <cellStyle name="常规 53" xfId="25202"/>
    <cellStyle name="常规 6 3 2 3" xfId="25203"/>
    <cellStyle name="常规 48 2" xfId="25204"/>
    <cellStyle name="好_4-应收账款（空白模板） 15_明细表" xfId="25205"/>
    <cellStyle name="常规 48 2 2" xfId="25206"/>
    <cellStyle name="好_51-营业税金及附加（空白模板） 14_明细表" xfId="25207"/>
    <cellStyle name="好_4-应收账款（空白模板） 15_明细表 3" xfId="25208"/>
    <cellStyle name="常规 48 2 2 3" xfId="25209"/>
    <cellStyle name="常规 48 2 3" xfId="25210"/>
    <cellStyle name="常规 48 2 4" xfId="25211"/>
    <cellStyle name="常规 48 3" xfId="25212"/>
    <cellStyle name="常规 48 3 2" xfId="25213"/>
    <cellStyle name="常规 48 3 3" xfId="25214"/>
    <cellStyle name="常规 48 5" xfId="25215"/>
    <cellStyle name="常规_资产减值损失" xfId="25216"/>
    <cellStyle name="常规 49" xfId="25217"/>
    <cellStyle name="常规 54" xfId="25218"/>
    <cellStyle name="常规 6 3 3 3" xfId="25219"/>
    <cellStyle name="常规 49 2" xfId="25220"/>
    <cellStyle name="好_应收账款 2 2 3" xfId="25221"/>
    <cellStyle name="常规 49 2 2" xfId="25222"/>
    <cellStyle name="常规 49 2 2 2" xfId="25223"/>
    <cellStyle name="常规 49 2 2 3" xfId="25224"/>
    <cellStyle name="好_应收账款 2 2 4" xfId="25225"/>
    <cellStyle name="常规 49 2 3" xfId="25226"/>
    <cellStyle name="好_应收账款 2 2 5" xfId="25227"/>
    <cellStyle name="常规 49 2 4" xfId="25228"/>
    <cellStyle name="常规 49 3 3" xfId="25229"/>
    <cellStyle name="常规 5 10" xfId="25230"/>
    <cellStyle name="常规 5 10 2" xfId="25231"/>
    <cellStyle name="好_1预收款项 14 2" xfId="25232"/>
    <cellStyle name="常规 5 10 3" xfId="25233"/>
    <cellStyle name="好_1预收款项 14 3" xfId="25234"/>
    <cellStyle name="常规 5 10 4" xfId="25235"/>
    <cellStyle name="常规 5 10_附注表一（财务报表）" xfId="25236"/>
    <cellStyle name="好_1预收款项 15 3" xfId="25237"/>
    <cellStyle name="常规 5 11 4" xfId="25238"/>
    <cellStyle name="常规 5 15_附注表一（财务报表）" xfId="25239"/>
    <cellStyle name="常规 5 20_附注表一（财务报表）" xfId="25240"/>
    <cellStyle name="常规 5 16 2" xfId="25241"/>
    <cellStyle name="常规 5 21 2" xfId="25242"/>
    <cellStyle name="常规 5 16 2 2" xfId="25243"/>
    <cellStyle name="常规 5 21 2 2" xfId="25244"/>
    <cellStyle name="常规 5 16 3" xfId="25245"/>
    <cellStyle name="常规 5 21 3" xfId="25246"/>
    <cellStyle name="好_1资产减值损失 6 3" xfId="25247"/>
    <cellStyle name="常规 5 16_附注表一（财务报表）" xfId="25248"/>
    <cellStyle name="常规 5 21_附注表一（财务报表）" xfId="25249"/>
    <cellStyle name="常规 5 17 2" xfId="25250"/>
    <cellStyle name="常规 5 22 2" xfId="25251"/>
    <cellStyle name="常规 5 17 2 2" xfId="25252"/>
    <cellStyle name="常规 5 22 2 2" xfId="25253"/>
    <cellStyle name="常规 5 17 2 3" xfId="25254"/>
    <cellStyle name="常规 5 22 2 3" xfId="25255"/>
    <cellStyle name="常规 5 17 3" xfId="25256"/>
    <cellStyle name="常规 5 22 3" xfId="25257"/>
    <cellStyle name="好_1应收利息 2 2 2" xfId="25258"/>
    <cellStyle name="强调文字颜色 4 2 3 7" xfId="25259"/>
    <cellStyle name="常规 5 17_附注表一（财务报表）" xfId="25260"/>
    <cellStyle name="常规 5 22_附注表一（财务报表）" xfId="25261"/>
    <cellStyle name="常规 5 18 2 2" xfId="25262"/>
    <cellStyle name="常规 5 23 2 2" xfId="25263"/>
    <cellStyle name="常规 5 18 2 3" xfId="25264"/>
    <cellStyle name="常规 5 23 2 3" xfId="25265"/>
    <cellStyle name="常规 5 19 2 2" xfId="25266"/>
    <cellStyle name="常规 5 24 2 2" xfId="25267"/>
    <cellStyle name="常规 5 19 2 3" xfId="25268"/>
    <cellStyle name="常规 5 24 2 3" xfId="25269"/>
    <cellStyle name="常规 5 19 2 4" xfId="25270"/>
    <cellStyle name="常规 5 24 2 4" xfId="25271"/>
    <cellStyle name="常规 5 19 2 5" xfId="25272"/>
    <cellStyle name="常规 5 24 2 5" xfId="25273"/>
    <cellStyle name="好_资产负债标准底稿_大信底稿目录 9 3" xfId="25274"/>
    <cellStyle name="好_60-所得税费用（空白模板） 11" xfId="25275"/>
    <cellStyle name="常规 5 19_附注表一（财务报表）" xfId="25276"/>
    <cellStyle name="常规 5 24_附注表一（财务报表）" xfId="25277"/>
    <cellStyle name="常规 5 2" xfId="25278"/>
    <cellStyle name="常规 5 2 10 2 2" xfId="25279"/>
    <cellStyle name="好_资产负债标准底稿 3 3 2" xfId="25280"/>
    <cellStyle name="常规 5 2 10 2 3" xfId="25281"/>
    <cellStyle name="好_资产负债标准底稿 3 3 3" xfId="25282"/>
    <cellStyle name="常规 5 2 10 2 4" xfId="25283"/>
    <cellStyle name="常规 5 2 10 2 5" xfId="25284"/>
    <cellStyle name="好_1固定资产 13 2 5" xfId="25285"/>
    <cellStyle name="常规 5 2 10 3" xfId="25286"/>
    <cellStyle name="常规 5 2 10_附注表一（财务报表）" xfId="25287"/>
    <cellStyle name="好_1固定资产 7" xfId="25288"/>
    <cellStyle name="常规 5 2 11 2" xfId="25289"/>
    <cellStyle name="好_1固定资产 7 2" xfId="25290"/>
    <cellStyle name="常规 5 2 11 2 2" xfId="25291"/>
    <cellStyle name="好_资产负债标准底稿 4 3 2" xfId="25292"/>
    <cellStyle name="好_51-营业税金及附加（空白模板） 14 2" xfId="25293"/>
    <cellStyle name="好_1固定资产 7 3" xfId="25294"/>
    <cellStyle name="常规 5 2 11 2 3" xfId="25295"/>
    <cellStyle name="好_1固定资产 8" xfId="25296"/>
    <cellStyle name="常规 5 2 11 3" xfId="25297"/>
    <cellStyle name="常规 5 2 11_附注表一（财务报表）" xfId="25298"/>
    <cellStyle name="常规 5 2 12 2 2" xfId="25299"/>
    <cellStyle name="好_资产负债标准底稿 5 3 2" xfId="25300"/>
    <cellStyle name="常规 5 2 12 2 3" xfId="25301"/>
    <cellStyle name="好_资产负债标准底稿 5 3 3" xfId="25302"/>
    <cellStyle name="常规 5 2 12 2 4" xfId="25303"/>
    <cellStyle name="好_31-预收账款（空白模板） 2" xfId="25304"/>
    <cellStyle name="常规 5 2 12 2 5" xfId="25305"/>
    <cellStyle name="好_55-资产减值损失（空白模板） 10 2 3" xfId="25306"/>
    <cellStyle name="常规 5 2 13" xfId="25307"/>
    <cellStyle name="好_专项应付款 9" xfId="25308"/>
    <cellStyle name="常规 5 2 13 2 2" xfId="25309"/>
    <cellStyle name="好_资产负债标准底稿 6 3 2" xfId="25310"/>
    <cellStyle name="常规 5 2 13 2 3" xfId="25311"/>
    <cellStyle name="常规 5 2 13 3" xfId="25312"/>
    <cellStyle name="好_55-资产减值损失（空白模板） 10 2 4" xfId="25313"/>
    <cellStyle name="常规 5 2 14" xfId="25314"/>
    <cellStyle name="常规 5 2 14 2" xfId="25315"/>
    <cellStyle name="好_8-其他应收款（空白模板） 7" xfId="25316"/>
    <cellStyle name="常规 5 2 14 2 2" xfId="25317"/>
    <cellStyle name="常规 5 2 14 2 5" xfId="25318"/>
    <cellStyle name="好_营业收入 10" xfId="25319"/>
    <cellStyle name="常规 5 2 14 3" xfId="25320"/>
    <cellStyle name="常规 5 2 14_附注表一（财务报表）" xfId="25321"/>
    <cellStyle name="常规 5 2 16" xfId="25322"/>
    <cellStyle name="常规 5 2 21" xfId="25323"/>
    <cellStyle name="常规 5 2 17" xfId="25324"/>
    <cellStyle name="常规 5 2 22" xfId="25325"/>
    <cellStyle name="常规 5 2 18" xfId="25326"/>
    <cellStyle name="常规 5 2 19" xfId="25327"/>
    <cellStyle name="常规 5 2 2 10" xfId="25328"/>
    <cellStyle name="常规 5 2 2 11" xfId="25329"/>
    <cellStyle name="常规 5 2 2 13" xfId="25330"/>
    <cellStyle name="常规 5 2 2 14" xfId="25331"/>
    <cellStyle name="常规 5 2 2 2" xfId="25332"/>
    <cellStyle name="千位分隔 5 11 4" xfId="25333"/>
    <cellStyle name="好_营业收入 6 2 3" xfId="25334"/>
    <cellStyle name="好_其他应收款 5" xfId="25335"/>
    <cellStyle name="常规 5 2 2 2 2" xfId="25336"/>
    <cellStyle name="好_营业收入 6 2 4" xfId="25337"/>
    <cellStyle name="好_其他应收款 6" xfId="25338"/>
    <cellStyle name="好_1专项应付款 13_明细表" xfId="25339"/>
    <cellStyle name="常规 5 2 2 2 3" xfId="25340"/>
    <cellStyle name="好_营业收入 6 2 5" xfId="25341"/>
    <cellStyle name="常规 5 2 2 2 4" xfId="25342"/>
    <cellStyle name="好_营业收入 6 2 6" xfId="25343"/>
    <cellStyle name="常规 5 2 2 2 5" xfId="25344"/>
    <cellStyle name="常规 5 2 2 3" xfId="25345"/>
    <cellStyle name="好_1营业收入 3_明细表" xfId="25346"/>
    <cellStyle name="常规 5 2 2 4" xfId="25347"/>
    <cellStyle name="常规 5 2 2 5" xfId="25348"/>
    <cellStyle name="常规 5 2 2 5 2" xfId="25349"/>
    <cellStyle name="常规 5 2 2 6" xfId="25350"/>
    <cellStyle name="常规 5 2 2 6 2" xfId="25351"/>
    <cellStyle name="常规 5 2 2 7" xfId="25352"/>
    <cellStyle name="常规 5 2 2 7 2" xfId="25353"/>
    <cellStyle name="常规 5 2 2 8 2" xfId="25354"/>
    <cellStyle name="常规 5 2 2 9" xfId="25355"/>
    <cellStyle name="常规 5 2 2 9 2" xfId="25356"/>
    <cellStyle name="好_50-营业成本（空白模板） 3 5" xfId="25357"/>
    <cellStyle name="好_10针对持续经营的调查问卷 4" xfId="25358"/>
    <cellStyle name="常规 5 2 2_附注表一（财务报表）" xfId="25359"/>
    <cellStyle name="好_1财务费用_明细表 6" xfId="25360"/>
    <cellStyle name="常规 5 2 3" xfId="25361"/>
    <cellStyle name="好_营业收入 7 2 3" xfId="25362"/>
    <cellStyle name="常规 5 2 3 2 2" xfId="25363"/>
    <cellStyle name="好_营业收入 7 2 4" xfId="25364"/>
    <cellStyle name="好_1专项应付款 14_明细表" xfId="25365"/>
    <cellStyle name="好_底稿设置宏_大信底稿目录 2 2 2" xfId="25366"/>
    <cellStyle name="常规 5 2 3 2 3" xfId="25367"/>
    <cellStyle name="好_营业收入 7 2 5" xfId="25368"/>
    <cellStyle name="好_底稿设置宏_大信底稿目录 2 2 3" xfId="25369"/>
    <cellStyle name="常规 5 2 3 2 4" xfId="25370"/>
    <cellStyle name="常规 5 2 3_附注表一（财务报表）" xfId="25371"/>
    <cellStyle name="常规 5 2 4" xfId="25372"/>
    <cellStyle name="常规 5 2 4 2" xfId="25373"/>
    <cellStyle name="好_4-应收账款（空白模板） 15_明细表 5" xfId="25374"/>
    <cellStyle name="好_营业收入 8 2 3" xfId="25375"/>
    <cellStyle name="好_底稿设置宏_大信底稿目录 28" xfId="25376"/>
    <cellStyle name="好_底稿设置宏_大信底稿目录 33" xfId="25377"/>
    <cellStyle name="常规 5 2 4 2 2" xfId="25378"/>
    <cellStyle name="好_营业收入 8 2 4" xfId="25379"/>
    <cellStyle name="好_底稿设置宏_大信底稿目录 29" xfId="25380"/>
    <cellStyle name="好_底稿设置宏_大信底稿目录 34" xfId="25381"/>
    <cellStyle name="好_1专项应付款 15_明细表" xfId="25382"/>
    <cellStyle name="好_底稿设置宏_大信底稿目录 3 2 2" xfId="25383"/>
    <cellStyle name="好_存货 12 2" xfId="25384"/>
    <cellStyle name="常规 5 2 4 2 3" xfId="25385"/>
    <cellStyle name="好_底稿设置宏_大信底稿目录 3 2 4" xfId="25386"/>
    <cellStyle name="常规 5 2 4 2 5" xfId="25387"/>
    <cellStyle name="常规 5 2 4 3" xfId="25388"/>
    <cellStyle name="好_ZA0货币资金审定表  14 2 5" xfId="25389"/>
    <cellStyle name="常规 5 2 4_附注表一（财务报表）" xfId="25390"/>
    <cellStyle name="好_19-无形资产（空白模板） 15_附注表一（财务报表）" xfId="25391"/>
    <cellStyle name="常规 5 2 5 2" xfId="25392"/>
    <cellStyle name="好_营业收入 9 2 3" xfId="25393"/>
    <cellStyle name="常规 5 2 5 2 2" xfId="25394"/>
    <cellStyle name="好_营业收入 9 2 4" xfId="25395"/>
    <cellStyle name="好_底稿设置宏_大信底稿目录 4 2 2" xfId="25396"/>
    <cellStyle name="常规 5 2 5 2 3" xfId="25397"/>
    <cellStyle name="好_营业收入 9 2 5" xfId="25398"/>
    <cellStyle name="好_底稿设置宏_大信底稿目录 4 2 3" xfId="25399"/>
    <cellStyle name="常规 5 2 5 2 4" xfId="25400"/>
    <cellStyle name="常规 5 2 5 3" xfId="25401"/>
    <cellStyle name="常规 5 2 5_附注表一（财务报表）" xfId="25402"/>
    <cellStyle name="常规 5 2 6" xfId="25403"/>
    <cellStyle name="常规 5 2 6 2" xfId="25404"/>
    <cellStyle name="好_G-应收账款_明细表_1 4" xfId="25405"/>
    <cellStyle name="常规 5 2 6 2 2" xfId="25406"/>
    <cellStyle name="好_底稿设置宏_大信底稿目录 5 2 2" xfId="25407"/>
    <cellStyle name="好_G-应收账款_明细表_1 5" xfId="25408"/>
    <cellStyle name="常规 5 2 6 2 3" xfId="25409"/>
    <cellStyle name="好_底稿设置宏_大信底稿目录 5 2 3" xfId="25410"/>
    <cellStyle name="常规 5 2 6 2 4" xfId="25411"/>
    <cellStyle name="好_底稿设置宏_大信底稿目录 5 2 4" xfId="25412"/>
    <cellStyle name="常规 5 2 6 2 5" xfId="25413"/>
    <cellStyle name="常规 5 2 6 3" xfId="25414"/>
    <cellStyle name="好_应收账款 - 复制 2 2 3" xfId="25415"/>
    <cellStyle name="常规 5 2 6_附注表一（财务报表）" xfId="25416"/>
    <cellStyle name="好_底稿设置宏_大信底稿目录 6 2 3" xfId="25417"/>
    <cellStyle name="好_大信底稿目录_明细表 2" xfId="25418"/>
    <cellStyle name="好_54-财务费用（空白模板） 11_明细表 5" xfId="25419"/>
    <cellStyle name="常规 5 2 7 2 4" xfId="25420"/>
    <cellStyle name="好_底稿设置宏_大信底稿目录 6 2 4" xfId="25421"/>
    <cellStyle name="好_大信底稿目录_明细表 3" xfId="25422"/>
    <cellStyle name="常规 5 2 7 2 5" xfId="25423"/>
    <cellStyle name="常规 5 2 7_附注表一（财务报表）" xfId="25424"/>
    <cellStyle name="常规 5 2 8 2" xfId="25425"/>
    <cellStyle name="常规 5 2 8 3" xfId="25426"/>
    <cellStyle name="常规 5 2 8_附注表一（财务报表）" xfId="25427"/>
    <cellStyle name="常规 5 2 9 2" xfId="25428"/>
    <cellStyle name="好_营业收入 7_附注表一（财务报表）" xfId="25429"/>
    <cellStyle name="好_底稿设置宏_大信底稿目录 8 2 2" xfId="25430"/>
    <cellStyle name="好_ZA0货币资金审定表  2" xfId="25431"/>
    <cellStyle name="常规 5 2 9 2 3" xfId="25432"/>
    <cellStyle name="好_底稿设置宏_大信底稿目录 8 2 3" xfId="25433"/>
    <cellStyle name="好_ZA0货币资金审定表  3" xfId="25434"/>
    <cellStyle name="常规 5 2 9 2 4" xfId="25435"/>
    <cellStyle name="好_底稿设置宏_大信底稿目录 8 2 4" xfId="25436"/>
    <cellStyle name="好_ZA0货币资金审定表  4" xfId="25437"/>
    <cellStyle name="常规 5 2 9 2 5" xfId="25438"/>
    <cellStyle name="好_短期借款 5 2 4" xfId="25439"/>
    <cellStyle name="常规 5 2 9_附注表一（财务报表）" xfId="25440"/>
    <cellStyle name="好_49-营业收入（空白模板） 13_明细表 2" xfId="25441"/>
    <cellStyle name="常规 5 26" xfId="25442"/>
    <cellStyle name="常规 5 31" xfId="25443"/>
    <cellStyle name="砯刽 [0]_laroux" xfId="25444"/>
    <cellStyle name="好_49-营业收入（空白模板） 13_明细表 3" xfId="25445"/>
    <cellStyle name="常规 5 27" xfId="25446"/>
    <cellStyle name="常规 5 32" xfId="25447"/>
    <cellStyle name="常规 5 28 5" xfId="25448"/>
    <cellStyle name="常规 5 3" xfId="25449"/>
    <cellStyle name="常规 5 3 11" xfId="25450"/>
    <cellStyle name="常规 5 3 12" xfId="25451"/>
    <cellStyle name="好_40-专项应付款(空白模板) 12_明细表 2" xfId="25452"/>
    <cellStyle name="常规 5 3 2" xfId="25453"/>
    <cellStyle name="常规 5 3 2 3" xfId="25454"/>
    <cellStyle name="常规 5 3 3" xfId="25455"/>
    <cellStyle name="常规 5 3 3 2" xfId="25456"/>
    <cellStyle name="常规 5 3 3 3" xfId="25457"/>
    <cellStyle name="好_资产负债标准底稿 11_明细表" xfId="25458"/>
    <cellStyle name="常规 5 3 3 4" xfId="25459"/>
    <cellStyle name="好_1预付款项 2 4" xfId="25460"/>
    <cellStyle name="常规 5 3 4 2" xfId="25461"/>
    <cellStyle name="好_1预付款项 2 5" xfId="25462"/>
    <cellStyle name="常规 5 3 4 3" xfId="25463"/>
    <cellStyle name="常规 5 3 5 2" xfId="25464"/>
    <cellStyle name="常规 5 3 5 3" xfId="25465"/>
    <cellStyle name="常规 5 3 6" xfId="25466"/>
    <cellStyle name="常规 5 3_附注表一（财务报表）" xfId="25467"/>
    <cellStyle name="常规 5 4" xfId="25468"/>
    <cellStyle name="常规 5 4 2" xfId="25469"/>
    <cellStyle name="常规 5 4 2 2" xfId="25470"/>
    <cellStyle name="常规 5 4 2 3" xfId="25471"/>
    <cellStyle name="常规 5 4 2 4" xfId="25472"/>
    <cellStyle name="好_其他应收款 5 2" xfId="25473"/>
    <cellStyle name="好_1营业收入 5_明细表" xfId="25474"/>
    <cellStyle name="常规 5 4 2 5" xfId="25475"/>
    <cellStyle name="好_其他应收款 5 3" xfId="25476"/>
    <cellStyle name="常规 5 4 3" xfId="25477"/>
    <cellStyle name="常规 5 4 3 2" xfId="25478"/>
    <cellStyle name="常规 5 4 4" xfId="25479"/>
    <cellStyle name="常规 5 4 5" xfId="25480"/>
    <cellStyle name="常规 5 4 6" xfId="25481"/>
    <cellStyle name="常规 5 4_附注表一（财务报表）" xfId="25482"/>
    <cellStyle name="好_1营业成本 8" xfId="25483"/>
    <cellStyle name="常规 5 5 2" xfId="25484"/>
    <cellStyle name="好_50-营业成本（空白模板） 2 2 5" xfId="25485"/>
    <cellStyle name="常规 5 5 2 2" xfId="25486"/>
    <cellStyle name="好_50-营业成本（空白模板） 2 2 6" xfId="25487"/>
    <cellStyle name="常规 5 5 2 3" xfId="25488"/>
    <cellStyle name="好_1营业收入 6_明细表" xfId="25489"/>
    <cellStyle name="常规 5 5 2 4" xfId="25490"/>
    <cellStyle name="常规 5 5 2 5" xfId="25491"/>
    <cellStyle name="好_1营业成本 9" xfId="25492"/>
    <cellStyle name="常规 5 5 3" xfId="25493"/>
    <cellStyle name="常规 5 5 3 2" xfId="25494"/>
    <cellStyle name="常规 5 5 4" xfId="25495"/>
    <cellStyle name="常规 5 5 5" xfId="25496"/>
    <cellStyle name="常规 5 5 5 2" xfId="25497"/>
    <cellStyle name="常规 5 5 6" xfId="25498"/>
    <cellStyle name="好_1营业收入 13_明细表 2" xfId="25499"/>
    <cellStyle name="常规 5 6 2" xfId="25500"/>
    <cellStyle name="好_50-营业成本（空白模板） 3 2 5" xfId="25501"/>
    <cellStyle name="常规 5 6 2 2" xfId="25502"/>
    <cellStyle name="好_50-营业成本（空白模板） 3 2 6" xfId="25503"/>
    <cellStyle name="好_在建工程 - 复制 2 2 2" xfId="25504"/>
    <cellStyle name="常规 5 6 2 3" xfId="25505"/>
    <cellStyle name="好_在建工程 - 复制 2 2 3" xfId="25506"/>
    <cellStyle name="好_1营业收入 7_明细表" xfId="25507"/>
    <cellStyle name="常规 5 6 2 4" xfId="25508"/>
    <cellStyle name="常规 5 6 2 5" xfId="25509"/>
    <cellStyle name="好_财务费用_Book2 2" xfId="25510"/>
    <cellStyle name="常规 5 6 3" xfId="25511"/>
    <cellStyle name="常规 5 6 3 2" xfId="25512"/>
    <cellStyle name="常规 5 6 5" xfId="25513"/>
    <cellStyle name="常规 5 6 5 2" xfId="25514"/>
    <cellStyle name="常规 5 6 6" xfId="25515"/>
    <cellStyle name="常规 5 6_附注表一（财务报表）" xfId="25516"/>
    <cellStyle name="好_50-营业成本（空白模板） 4 2 5" xfId="25517"/>
    <cellStyle name="常规 5 7 2 2" xfId="25518"/>
    <cellStyle name="好_50-营业成本（空白模板） 4 2 6" xfId="25519"/>
    <cellStyle name="常规 5 7 2 3" xfId="25520"/>
    <cellStyle name="检查单元格 2 3_附注表一（财务报表）" xfId="25521"/>
    <cellStyle name="好_1营业收入 8_明细表" xfId="25522"/>
    <cellStyle name="常规 5 7 2 4" xfId="25523"/>
    <cellStyle name="常规 5 7 2 5" xfId="25524"/>
    <cellStyle name="千位分隔 18 5" xfId="25525"/>
    <cellStyle name="好_未审报表 4" xfId="25526"/>
    <cellStyle name="常规 5 7_附注表一（财务报表）" xfId="25527"/>
    <cellStyle name="千位分隔 4 2 3 2" xfId="25528"/>
    <cellStyle name="好_19-无形资产（空白模板） 5 2 2" xfId="25529"/>
    <cellStyle name="常规 5 8" xfId="25530"/>
    <cellStyle name="常规 5 8 2" xfId="25531"/>
    <cellStyle name="好_50-营业成本（空白模板） 5 2 5" xfId="25532"/>
    <cellStyle name="常规 5 8 2 2" xfId="25533"/>
    <cellStyle name="好_50-营业成本（空白模板） 5 2 6" xfId="25534"/>
    <cellStyle name="常规 5 8 2 3" xfId="25535"/>
    <cellStyle name="好_1营业收入 9_明细表" xfId="25536"/>
    <cellStyle name="常规 5 8 2 4" xfId="25537"/>
    <cellStyle name="常规 5 8 2 5" xfId="25538"/>
    <cellStyle name="千位分隔 4 2 3 2 3" xfId="25539"/>
    <cellStyle name="好_4-应收账款（空白模板） 6_明细表" xfId="25540"/>
    <cellStyle name="常规 5 8 3" xfId="25541"/>
    <cellStyle name="常规 5 8 4" xfId="25542"/>
    <cellStyle name="常规 5 8 5" xfId="25543"/>
    <cellStyle name="常规 5 9 3" xfId="25544"/>
    <cellStyle name="常规 5 9 3 2" xfId="25545"/>
    <cellStyle name="常规 5 9 3 3" xfId="25546"/>
    <cellStyle name="常规 5 9 4" xfId="25547"/>
    <cellStyle name="常规 5 9 5" xfId="25548"/>
    <cellStyle name="好_1营业成本 2" xfId="25549"/>
    <cellStyle name="常规 5 9_附注表一（财务报表）" xfId="25550"/>
    <cellStyle name="常规 5_Spreadsheet" xfId="25551"/>
    <cellStyle name="常规 50 2" xfId="25552"/>
    <cellStyle name="好_4-应收账款（空白模板） 12_明细表" xfId="25553"/>
    <cellStyle name="常规 50 2 2" xfId="25554"/>
    <cellStyle name="好_4-应收账款（空白模板） 12_明细表 3" xfId="25555"/>
    <cellStyle name="常规 50 2 2 3" xfId="25556"/>
    <cellStyle name="常规 50 2 3" xfId="25557"/>
    <cellStyle name="常规 50 3" xfId="25558"/>
    <cellStyle name="常规 50 3 2" xfId="25559"/>
    <cellStyle name="常规 50 3 3" xfId="25560"/>
    <cellStyle name="常规 50 4" xfId="25561"/>
    <cellStyle name="好_49-营业收入（空白模板） 11_明细表 5" xfId="25562"/>
    <cellStyle name="常规 59" xfId="25563"/>
    <cellStyle name="常规 64" xfId="25564"/>
    <cellStyle name="常规 6 10" xfId="25565"/>
    <cellStyle name="常规 6 10 2" xfId="25566"/>
    <cellStyle name="常规 6 10 3" xfId="25567"/>
    <cellStyle name="常规 6 10 3 2" xfId="25568"/>
    <cellStyle name="常规 6 10 3 3" xfId="25569"/>
    <cellStyle name="常规 6 10 4" xfId="25570"/>
    <cellStyle name="常规 6 10 4 3" xfId="25571"/>
    <cellStyle name="常规 6 10 5" xfId="25572"/>
    <cellStyle name="常规 6 10 6" xfId="25573"/>
    <cellStyle name="常规 6 11" xfId="25574"/>
    <cellStyle name="常规 6 11 2 2" xfId="25575"/>
    <cellStyle name="常规 6 11 3 2" xfId="25576"/>
    <cellStyle name="常规 6 11 3 3" xfId="25577"/>
    <cellStyle name="常规 6 11 4" xfId="25578"/>
    <cellStyle name="常规 6 11 5" xfId="25579"/>
    <cellStyle name="好_1交易性金融资产 3 2" xfId="25580"/>
    <cellStyle name="常规 6 12" xfId="25581"/>
    <cellStyle name="常规 6 12 4 2" xfId="25582"/>
    <cellStyle name="常规 6 12 4 3" xfId="25583"/>
    <cellStyle name="常规 6 12 5" xfId="25584"/>
    <cellStyle name="常规 6 12 6" xfId="25585"/>
    <cellStyle name="常规 6 13" xfId="25586"/>
    <cellStyle name="常规 6 14" xfId="25587"/>
    <cellStyle name="常规 6 14 2" xfId="25588"/>
    <cellStyle name="常规 6 14 3" xfId="25589"/>
    <cellStyle name="常规 6 15 2" xfId="25590"/>
    <cellStyle name="常规 6 15 3" xfId="25591"/>
    <cellStyle name="常规 6 16 2" xfId="25592"/>
    <cellStyle name="常规 6 16 3" xfId="25593"/>
    <cellStyle name="常规 6 17 2" xfId="25594"/>
    <cellStyle name="常规 6 2" xfId="25595"/>
    <cellStyle name="好_1应付职工薪酬 3 2 3" xfId="25596"/>
    <cellStyle name="好_财务费用_明细表 2 3" xfId="25597"/>
    <cellStyle name="好_1预收款项 4 2 4" xfId="25598"/>
    <cellStyle name="好_55-资产减值损失（空白模板） 15 2 3" xfId="25599"/>
    <cellStyle name="常规 6 2 13" xfId="25600"/>
    <cellStyle name="好_55-资产减值损失（空白模板） 15 2 4" xfId="25601"/>
    <cellStyle name="常规 6 2 14" xfId="25602"/>
    <cellStyle name="千位分隔 4 4 4" xfId="25603"/>
    <cellStyle name="好_19-无形资产（空白模板） 7 3" xfId="25604"/>
    <cellStyle name="常规 6 2 2 2 2" xfId="25605"/>
    <cellStyle name="千位分隔 4 4 5" xfId="25606"/>
    <cellStyle name="好_19-无形资产（空白模板） 7 4" xfId="25607"/>
    <cellStyle name="常规 6 2 2 2 3" xfId="25608"/>
    <cellStyle name="千位分隔 4 5 4" xfId="25609"/>
    <cellStyle name="好_19-无形资产（空白模板） 8 3" xfId="25610"/>
    <cellStyle name="常规 6 2 2 3 2" xfId="25611"/>
    <cellStyle name="千位分隔 4 5 5" xfId="25612"/>
    <cellStyle name="好_19-无形资产（空白模板） 8 4" xfId="25613"/>
    <cellStyle name="常规 6 2 2 3 3" xfId="25614"/>
    <cellStyle name="好_40-专项应付款(空白模板) 15_明细表 5" xfId="25615"/>
    <cellStyle name="好_55-资产减值损失（空白模板） 2 2 4" xfId="25616"/>
    <cellStyle name="常规 6 2 3 11" xfId="25617"/>
    <cellStyle name="常规 6 2 3 8" xfId="25618"/>
    <cellStyle name="常规 6 2 3 9" xfId="25619"/>
    <cellStyle name="常规 6 2 4 10" xfId="25620"/>
    <cellStyle name="好_G-应收账款 2 2 2 2" xfId="25621"/>
    <cellStyle name="常规 6 2 4 11" xfId="25622"/>
    <cellStyle name="常规 6 2 4 2" xfId="25623"/>
    <cellStyle name="常规 6 2 5 2" xfId="25624"/>
    <cellStyle name="常规 6 2 6" xfId="25625"/>
    <cellStyle name="常规 6 2 6 2" xfId="25626"/>
    <cellStyle name="好_短期借款 8_明细表 5" xfId="25627"/>
    <cellStyle name="常规 6 2 7 2" xfId="25628"/>
    <cellStyle name="常规 6 2 8" xfId="25629"/>
    <cellStyle name="常规 6 2 8 2" xfId="25630"/>
    <cellStyle name="常规 6 2 9" xfId="25631"/>
    <cellStyle name="常规 6 2_Spreadsheet" xfId="25632"/>
    <cellStyle name="常规 6 24 2" xfId="25633"/>
    <cellStyle name="常规 6 24 3" xfId="25634"/>
    <cellStyle name="常规 6 24 4" xfId="25635"/>
    <cellStyle name="常规 6 3 2" xfId="25636"/>
    <cellStyle name="好_无形资产_货币资金" xfId="25637"/>
    <cellStyle name="好_1资产减值损失 6_附注表一（财务报表）" xfId="25638"/>
    <cellStyle name="常规 6 3 2 2" xfId="25639"/>
    <cellStyle name="好_无形资产_货币资金 2" xfId="25640"/>
    <cellStyle name="好_49-营业收入（空白模板） 9 2 4" xfId="25641"/>
    <cellStyle name="常规 6 3 2 2 2" xfId="25642"/>
    <cellStyle name="好_1营业收入_明细表_1" xfId="25643"/>
    <cellStyle name="常规 6 3 3 2" xfId="25644"/>
    <cellStyle name="好_应收利息 18" xfId="25645"/>
    <cellStyle name="好_应收利息 23" xfId="25646"/>
    <cellStyle name="常规 6 3 4 2" xfId="25647"/>
    <cellStyle name="常规 6 3 5" xfId="25648"/>
    <cellStyle name="常规 6 3 5 2" xfId="25649"/>
    <cellStyle name="常规 6 3 8" xfId="25650"/>
    <cellStyle name="常规 6 4 2 2" xfId="25651"/>
    <cellStyle name="常规 6 4 2 3" xfId="25652"/>
    <cellStyle name="常规 6 4 3 2" xfId="25653"/>
    <cellStyle name="常规 6 4 3 3" xfId="25654"/>
    <cellStyle name="常规 6 4 4 3" xfId="25655"/>
    <cellStyle name="常规 6 4 5" xfId="25656"/>
    <cellStyle name="常规 6 4 6" xfId="25657"/>
    <cellStyle name="常规 6 4 7" xfId="25658"/>
    <cellStyle name="常规 6 5 4 2" xfId="25659"/>
    <cellStyle name="常规 6 5 4 3" xfId="25660"/>
    <cellStyle name="常规 6 5 5" xfId="25661"/>
    <cellStyle name="常规 6 5 6" xfId="25662"/>
    <cellStyle name="常规 6 5 7" xfId="25663"/>
    <cellStyle name="常规 6 6" xfId="25664"/>
    <cellStyle name="常规 6 6 2" xfId="25665"/>
    <cellStyle name="常规 6 6 3" xfId="25666"/>
    <cellStyle name="常规 6 6 3 2" xfId="25667"/>
    <cellStyle name="常规 6 6 3 3" xfId="25668"/>
    <cellStyle name="常规 6 6 4 2" xfId="25669"/>
    <cellStyle name="常规 6 6 4 3" xfId="25670"/>
    <cellStyle name="常规 6 6 5" xfId="25671"/>
    <cellStyle name="常规 6 7" xfId="25672"/>
    <cellStyle name="好_1营业收入 16 2 3" xfId="25673"/>
    <cellStyle name="常规 6 7 2" xfId="25674"/>
    <cellStyle name="好_1营业收入 16 2 4" xfId="25675"/>
    <cellStyle name="常规 6 7 3" xfId="25676"/>
    <cellStyle name="好_4-应收账款（空白模板） 2 2 3" xfId="25677"/>
    <cellStyle name="常规 6 7 3 2" xfId="25678"/>
    <cellStyle name="常规 6 7 5" xfId="25679"/>
    <cellStyle name="常规 6 7 6" xfId="25680"/>
    <cellStyle name="常规 6 8 2" xfId="25681"/>
    <cellStyle name="千位分隔 4 2 4 2 3" xfId="25682"/>
    <cellStyle name="好_4-应收账款（空白模板） 7_明细表" xfId="25683"/>
    <cellStyle name="常规 6 8 3" xfId="25684"/>
    <cellStyle name="好_4-应收账款（空白模板） 3 2 3" xfId="25685"/>
    <cellStyle name="好_4-应收账款（空白模板） 7_明细表 2" xfId="25686"/>
    <cellStyle name="常规 6 8 3 2" xfId="25687"/>
    <cellStyle name="好_4-应收账款（空白模板） 3 2 4" xfId="25688"/>
    <cellStyle name="好_4-应收账款（空白模板） 7_明细表 3" xfId="25689"/>
    <cellStyle name="常规 6 8 3 3" xfId="25690"/>
    <cellStyle name="常规 6 8 4" xfId="25691"/>
    <cellStyle name="常规 6 8 4 2" xfId="25692"/>
    <cellStyle name="常规 6 8 4 3" xfId="25693"/>
    <cellStyle name="常规 6 8 5" xfId="25694"/>
    <cellStyle name="好_底稿设置宏 3 2" xfId="25695"/>
    <cellStyle name="好_4-应收账款（空白模板） 4 2 3" xfId="25696"/>
    <cellStyle name="常规 6 9 3 2" xfId="25697"/>
    <cellStyle name="好_底稿设置宏 3 3" xfId="25698"/>
    <cellStyle name="好_51-营业税金及附加（空白模板）_货币资金 2" xfId="25699"/>
    <cellStyle name="好_4-应收账款（空白模板） 4 2 4" xfId="25700"/>
    <cellStyle name="常规 6 9 3 3" xfId="25701"/>
    <cellStyle name="好_底稿设置宏 5" xfId="25702"/>
    <cellStyle name="好_1资产减值损失 6_明细表 4" xfId="25703"/>
    <cellStyle name="常规 6 9 5" xfId="25704"/>
    <cellStyle name="好_底稿设置宏 6" xfId="25705"/>
    <cellStyle name="好_1资产减值损失 6_明细表 5" xfId="25706"/>
    <cellStyle name="常规 6 9 6" xfId="25707"/>
    <cellStyle name="好_列示关联方" xfId="25708"/>
    <cellStyle name="常规 6_Book1" xfId="25709"/>
    <cellStyle name="常规 7 10 3" xfId="25710"/>
    <cellStyle name="常规 7 10 4" xfId="25711"/>
    <cellStyle name="常规 7 10 5" xfId="25712"/>
    <cellStyle name="常规 7 11" xfId="25713"/>
    <cellStyle name="常规 7 15" xfId="25714"/>
    <cellStyle name="常规 7 20" xfId="25715"/>
    <cellStyle name="好_底稿设置宏 2 3 2" xfId="25716"/>
    <cellStyle name="好_附件一銀行詢證函(1) 2" xfId="25717"/>
    <cellStyle name="常规 7 16" xfId="25718"/>
    <cellStyle name="常规 7 21" xfId="25719"/>
    <cellStyle name="常规 7 2 11" xfId="25720"/>
    <cellStyle name="常规 7 2 12" xfId="25721"/>
    <cellStyle name="常规 7 2 2 12" xfId="25722"/>
    <cellStyle name="常规 7 2 2 4" xfId="25723"/>
    <cellStyle name="常规 7 2 3" xfId="25724"/>
    <cellStyle name="常规 7 2 3 2 2" xfId="25725"/>
    <cellStyle name="常规 7 2 3 3" xfId="25726"/>
    <cellStyle name="常规 7 2 3 4" xfId="25727"/>
    <cellStyle name="常规 7 2 4" xfId="25728"/>
    <cellStyle name="常规 7 2 4 2" xfId="25729"/>
    <cellStyle name="常规 7 2 4 3" xfId="25730"/>
    <cellStyle name="常规 7 2 5" xfId="25731"/>
    <cellStyle name="常规 7 2 5 2" xfId="25732"/>
    <cellStyle name="常规 7 2 8" xfId="25733"/>
    <cellStyle name="常规 7 2 9" xfId="25734"/>
    <cellStyle name="常规 7 2_附注表一（财务报表）" xfId="25735"/>
    <cellStyle name="常规 7 3" xfId="25736"/>
    <cellStyle name="常规 7 3 2" xfId="25737"/>
    <cellStyle name="常规 7 3 2 2" xfId="25738"/>
    <cellStyle name="常规 7 3 2 2 2" xfId="25739"/>
    <cellStyle name="常规 7 3 2 3" xfId="25740"/>
    <cellStyle name="常规 7 3 2 4" xfId="25741"/>
    <cellStyle name="常规 7 3 2 5" xfId="25742"/>
    <cellStyle name="常规 7 3 3" xfId="25743"/>
    <cellStyle name="常规 7 3 3 2" xfId="25744"/>
    <cellStyle name="常规 7 3 3 2 2" xfId="25745"/>
    <cellStyle name="常规 7 3 3 3" xfId="25746"/>
    <cellStyle name="常规 7 3 4" xfId="25747"/>
    <cellStyle name="常规 7 3 5" xfId="25748"/>
    <cellStyle name="常规 7 3 5 2" xfId="25749"/>
    <cellStyle name="常规 7 3 6" xfId="25750"/>
    <cellStyle name="常规 7 3 7" xfId="25751"/>
    <cellStyle name="好_货币资金 岳华 2 2" xfId="25752"/>
    <cellStyle name="好_大信底稿目录 10 2 4" xfId="25753"/>
    <cellStyle name="好_G-应收账款 2 3 3" xfId="25754"/>
    <cellStyle name="好_35-应付股利（空白模板） 3" xfId="25755"/>
    <cellStyle name="常规 7 3_附注表一（财务报表）" xfId="25756"/>
    <cellStyle name="好_3-3 进一步审计程序-存货与生产循环 2" xfId="25757"/>
    <cellStyle name="常规 7 4 3" xfId="25758"/>
    <cellStyle name="好_3-3 进一步审计程序-存货与生产循环 2 2" xfId="25759"/>
    <cellStyle name="好_31-预收账款（空白模板） 10" xfId="25760"/>
    <cellStyle name="常规 7 4 3 2" xfId="25761"/>
    <cellStyle name="好_3-3 进一步审计程序-存货与生产循环 2 3" xfId="25762"/>
    <cellStyle name="好_31-预收账款（空白模板） 11" xfId="25763"/>
    <cellStyle name="常规 7 4 3 3" xfId="25764"/>
    <cellStyle name="好_3-3 进一步审计程序-存货与生产循环 3" xfId="25765"/>
    <cellStyle name="常规 7 4 4" xfId="25766"/>
    <cellStyle name="好_3-3 进一步审计程序-存货与生产循环 3 2" xfId="25767"/>
    <cellStyle name="常规 7 4 4 2" xfId="25768"/>
    <cellStyle name="好_3-3 进一步审计程序-存货与生产循环 4" xfId="25769"/>
    <cellStyle name="常规 7 4 5" xfId="25770"/>
    <cellStyle name="好_3-3 进一步审计程序-存货与生产循环 5" xfId="25771"/>
    <cellStyle name="常规 7 4 6" xfId="25772"/>
    <cellStyle name="常规 7 5" xfId="25773"/>
    <cellStyle name="好_应收利息_明细表 2 3" xfId="25774"/>
    <cellStyle name="常规 7 5 2" xfId="25775"/>
    <cellStyle name="好__dxn_temp空白表页 13" xfId="25776"/>
    <cellStyle name="常规 7 5 2 2 2" xfId="25777"/>
    <cellStyle name="好_资产负债标准底稿 3_明细表" xfId="25778"/>
    <cellStyle name="好_应收利息_明细表 2 4" xfId="25779"/>
    <cellStyle name="常规 7 5 3" xfId="25780"/>
    <cellStyle name="好_资产负债标准底稿 3_明细表 2" xfId="25781"/>
    <cellStyle name="好_短期借款 9 3" xfId="25782"/>
    <cellStyle name="常规 7 5 3 2" xfId="25783"/>
    <cellStyle name="好_资产负债标准底稿 3_明细表 3" xfId="25784"/>
    <cellStyle name="好_短期借款 9 4" xfId="25785"/>
    <cellStyle name="常规 7 5 3 3" xfId="25786"/>
    <cellStyle name="好_应收利息_明细表 2 5" xfId="25787"/>
    <cellStyle name="常规 7 5 4" xfId="25788"/>
    <cellStyle name="常规 7 5 4 2" xfId="25789"/>
    <cellStyle name="常规 7 5 5" xfId="25790"/>
    <cellStyle name="常规 7 5 7" xfId="25791"/>
    <cellStyle name="常规 7 6 2" xfId="25792"/>
    <cellStyle name="常规 7 6 2 3" xfId="25793"/>
    <cellStyle name="常规 7 6 3" xfId="25794"/>
    <cellStyle name="好 5 4" xfId="25795"/>
    <cellStyle name="常规 7 6 3 2" xfId="25796"/>
    <cellStyle name="常规 7 6 4" xfId="25797"/>
    <cellStyle name="好 6 4" xfId="25798"/>
    <cellStyle name="常规 7 6 4 2" xfId="25799"/>
    <cellStyle name="常规 7 6 5" xfId="25800"/>
    <cellStyle name="常规 7 6 6" xfId="25801"/>
    <cellStyle name="常规 7 7" xfId="25802"/>
    <cellStyle name="好_1营业收入 17 2 3" xfId="25803"/>
    <cellStyle name="常规 7 7 2" xfId="25804"/>
    <cellStyle name="好_1营业收入 17 2 4" xfId="25805"/>
    <cellStyle name="常规 7 7 3" xfId="25806"/>
    <cellStyle name="常规 7 7 3 2" xfId="25807"/>
    <cellStyle name="常规 7 7 3 3" xfId="25808"/>
    <cellStyle name="好_49-营业收入（空白模板） 3" xfId="25809"/>
    <cellStyle name="常规 7 7 5" xfId="25810"/>
    <cellStyle name="常规 7 8" xfId="25811"/>
    <cellStyle name="常规 7 9" xfId="25812"/>
    <cellStyle name="常规 7 9 2" xfId="25813"/>
    <cellStyle name="常规 7 9 2 2" xfId="25814"/>
    <cellStyle name="常规 7 9 2 3" xfId="25815"/>
    <cellStyle name="常规 7 9 3" xfId="25816"/>
    <cellStyle name="常规 7 9 4" xfId="25817"/>
    <cellStyle name="常规 7 9 5" xfId="25818"/>
    <cellStyle name="常规 7_Spreadsheet" xfId="25819"/>
    <cellStyle name="好_预付款替代程序 " xfId="25820"/>
    <cellStyle name="常规 77" xfId="25821"/>
    <cellStyle name="常规 82" xfId="25822"/>
    <cellStyle name="常规 78" xfId="25823"/>
    <cellStyle name="常规 83" xfId="25824"/>
    <cellStyle name="常规 79" xfId="25825"/>
    <cellStyle name="常规 84" xfId="25826"/>
    <cellStyle name="常规 8 10" xfId="25827"/>
    <cellStyle name="常规 8 11" xfId="25828"/>
    <cellStyle name="好_资产减值损失 4_明细表 2" xfId="25829"/>
    <cellStyle name="常规 8 12" xfId="25830"/>
    <cellStyle name="好_资产减值损失 4_明细表 3" xfId="25831"/>
    <cellStyle name="常规 8 13" xfId="25832"/>
    <cellStyle name="好_底稿设置宏 4 4" xfId="25833"/>
    <cellStyle name="常规 8 2 10" xfId="25834"/>
    <cellStyle name="好_底稿设置宏 4 5" xfId="25835"/>
    <cellStyle name="常规 8 2 11" xfId="25836"/>
    <cellStyle name="常规 8 2 12 2" xfId="25837"/>
    <cellStyle name="好_预收款项 2_明细表 5" xfId="25838"/>
    <cellStyle name="常规 8 2 2 2 2" xfId="25839"/>
    <cellStyle name="好_银行函证结果汇总表 9 2" xfId="25840"/>
    <cellStyle name="好_SA保险业务收入 2 2" xfId="25841"/>
    <cellStyle name="好_SA保险业务收入 3" xfId="25842"/>
    <cellStyle name="常规 8 2 2 3" xfId="25843"/>
    <cellStyle name="好_SA保险业务收入 4" xfId="25844"/>
    <cellStyle name="常规 8 2 2 4" xfId="25845"/>
    <cellStyle name="常规 8 2 3 3" xfId="25846"/>
    <cellStyle name="常规 8 2 3 5" xfId="25847"/>
    <cellStyle name="常规 8 2 4 3" xfId="25848"/>
    <cellStyle name="常规 8 2_附注表一（财务报表）" xfId="25849"/>
    <cellStyle name="常规 8 3 2" xfId="25850"/>
    <cellStyle name="常规 8 3 3" xfId="25851"/>
    <cellStyle name="好_应收利息 9_附注表一（财务报表）" xfId="25852"/>
    <cellStyle name="常规 8 3 4" xfId="25853"/>
    <cellStyle name="常规 8 3 5" xfId="25854"/>
    <cellStyle name="常规 8 3 6" xfId="25855"/>
    <cellStyle name="常规 8 4 2" xfId="25856"/>
    <cellStyle name="常规 8 4 2 3" xfId="25857"/>
    <cellStyle name="常规 8 4 3" xfId="25858"/>
    <cellStyle name="常规 8 4 4" xfId="25859"/>
    <cellStyle name="常规 8 4 5" xfId="25860"/>
    <cellStyle name="常规 8 5 2" xfId="25861"/>
    <cellStyle name="千位分隔 4 2 11 3" xfId="25862"/>
    <cellStyle name="常规 8 5 2 2" xfId="25863"/>
    <cellStyle name="常规 8 5 2 3" xfId="25864"/>
    <cellStyle name="好_资产负债标准底稿 4_明细表" xfId="25865"/>
    <cellStyle name="常规 8 5 3" xfId="25866"/>
    <cellStyle name="常规 8 5 4" xfId="25867"/>
    <cellStyle name="好_1短期借款 5_明细表 4" xfId="25868"/>
    <cellStyle name="常规 8 6" xfId="25869"/>
    <cellStyle name="好_51-营业税金及附加（空白模板） 2 2 5" xfId="25870"/>
    <cellStyle name="好_4-应收账款（空白模板） 16 6" xfId="25871"/>
    <cellStyle name="常规 8 6 2" xfId="25872"/>
    <cellStyle name="强调文字颜色 1 2 6" xfId="25873"/>
    <cellStyle name="好_1预收款项 2_明细表 3" xfId="25874"/>
    <cellStyle name="常规 8 6 2 2" xfId="25875"/>
    <cellStyle name="强调文字颜色 1 2 7" xfId="25876"/>
    <cellStyle name="好_1预收款项 2_明细表 4" xfId="25877"/>
    <cellStyle name="常规 8 6 2 3" xfId="25878"/>
    <cellStyle name="好_1短期借款 5_明细表 5" xfId="25879"/>
    <cellStyle name="常规 8 7" xfId="25880"/>
    <cellStyle name="常规 8 8" xfId="25881"/>
    <cellStyle name="常规 8 8 2" xfId="25882"/>
    <cellStyle name="千位分隔 4 2 6 2 3" xfId="25883"/>
    <cellStyle name="好_4-应收账款（空白模板） 9_明细表" xfId="25884"/>
    <cellStyle name="常规 8 8 3" xfId="25885"/>
    <cellStyle name="常规 8 9 2" xfId="25886"/>
    <cellStyle name="常规 8 9 3" xfId="25887"/>
    <cellStyle name="常规 8_Spreadsheet" xfId="25888"/>
    <cellStyle name="常规 9" xfId="25889"/>
    <cellStyle name="好_54-财务费用（空白模板）_附注表一（财务报表）" xfId="25890"/>
    <cellStyle name="常规 9 10" xfId="25891"/>
    <cellStyle name="常规 9 11" xfId="25892"/>
    <cellStyle name="常规 9 12" xfId="25893"/>
    <cellStyle name="常规 9 18" xfId="25894"/>
    <cellStyle name="常规 9 2 2 3" xfId="25895"/>
    <cellStyle name="常规 9 2 2 4" xfId="25896"/>
    <cellStyle name="常规 9 2 2 5" xfId="25897"/>
    <cellStyle name="好_51-营业税金及附加（空白模板） 5 2 3" xfId="25898"/>
    <cellStyle name="常规 9 2 3 3" xfId="25899"/>
    <cellStyle name="常规 9 2_附注表一（财务报表）" xfId="25900"/>
    <cellStyle name="常规 9 3 10" xfId="25901"/>
    <cellStyle name="常规 9 3 11" xfId="25902"/>
    <cellStyle name="常规 9 3 2 2" xfId="25903"/>
    <cellStyle name="常规 9 3 2 3" xfId="25904"/>
    <cellStyle name="常规 9 3 2 4" xfId="25905"/>
    <cellStyle name="常规 9 3 2 5" xfId="25906"/>
    <cellStyle name="好_51-营业税金及附加（空白模板） 6 2" xfId="25907"/>
    <cellStyle name="常规 9 3 3" xfId="25908"/>
    <cellStyle name="好_短期借款 13 2" xfId="25909"/>
    <cellStyle name="常规 9 3 3 2 2" xfId="25910"/>
    <cellStyle name="好_短期借款 13 2 2" xfId="25911"/>
    <cellStyle name="常规 9 3 3 2 2 2" xfId="25912"/>
    <cellStyle name="常规 9 3 3 2 2 2 2" xfId="25913"/>
    <cellStyle name="好_短期借款 13 2 3" xfId="25914"/>
    <cellStyle name="常规 9 3 3 2 2 3" xfId="25915"/>
    <cellStyle name="好_短期借款 13 3" xfId="25916"/>
    <cellStyle name="常规 9 3 3 2 3" xfId="25917"/>
    <cellStyle name="常规 9 3 3 2 3 3" xfId="25918"/>
    <cellStyle name="常规 9 3 3 2 4" xfId="25919"/>
    <cellStyle name="常规 9 3 3 2 5" xfId="25920"/>
    <cellStyle name="常规 9 3 3 2 6" xfId="25921"/>
    <cellStyle name="好_短期借款 14 2" xfId="25922"/>
    <cellStyle name="常规 9 3 3 3 2" xfId="25923"/>
    <cellStyle name="好_短期借款 14 2 2" xfId="25924"/>
    <cellStyle name="好_1营业外支出 3" xfId="25925"/>
    <cellStyle name="好_1短期借款 4_明细表 5" xfId="25926"/>
    <cellStyle name="常规 9 3 3 3 2 2" xfId="25927"/>
    <cellStyle name="好_短期借款 14 2 3" xfId="25928"/>
    <cellStyle name="好_1营业外支出 4" xfId="25929"/>
    <cellStyle name="常规 9 3 3 3 2 3" xfId="25930"/>
    <cellStyle name="好_短期借款 14 3" xfId="25931"/>
    <cellStyle name="好_1应收票据" xfId="25932"/>
    <cellStyle name="常规 9 3 3 3 3" xfId="25933"/>
    <cellStyle name="常规 9 3 3 3 4" xfId="25934"/>
    <cellStyle name="好_短期借款 15 3" xfId="25935"/>
    <cellStyle name="常规 9 3 3 4 3" xfId="25936"/>
    <cellStyle name="好_审计分组-1218定稿 2 4" xfId="25937"/>
    <cellStyle name="好_短期借款 16" xfId="25938"/>
    <cellStyle name="好_短期借款 21" xfId="25939"/>
    <cellStyle name="好_51-营业税金及附加（空白模板） 6 2 5" xfId="25940"/>
    <cellStyle name="常规 9 3 3 5" xfId="25941"/>
    <cellStyle name="好_短期借款 16 2" xfId="25942"/>
    <cellStyle name="常规 9 3 3 5 2" xfId="25943"/>
    <cellStyle name="好_1预收款项 6_明细表 3" xfId="25944"/>
    <cellStyle name="好_短期借款 16 3" xfId="25945"/>
    <cellStyle name="常规 9 3 3 5 3" xfId="25946"/>
    <cellStyle name="好_1预收款项 6_明细表 4" xfId="25947"/>
    <cellStyle name="好_审计分组-1218定稿 2 5" xfId="25948"/>
    <cellStyle name="好_短期借款 17" xfId="25949"/>
    <cellStyle name="好_短期借款 22" xfId="25950"/>
    <cellStyle name="好_51-营业税金及附加（空白模板） 6 2 6" xfId="25951"/>
    <cellStyle name="常规 9 3 3 6" xfId="25952"/>
    <cellStyle name="好_短期借款 18" xfId="25953"/>
    <cellStyle name="好_短期借款 23" xfId="25954"/>
    <cellStyle name="常规 9 3 3 7" xfId="25955"/>
    <cellStyle name="好_51-营业税金及附加（空白模板） 6 4" xfId="25956"/>
    <cellStyle name="常规 9 3 5" xfId="25957"/>
    <cellStyle name="常规 9 3 5 2" xfId="25958"/>
    <cellStyle name="常规 9 3 5 3" xfId="25959"/>
    <cellStyle name="常规 9 3 5 3 2" xfId="25960"/>
    <cellStyle name="好_1短期借款 6_明细表 5" xfId="25961"/>
    <cellStyle name="常规 9 3 5 3 2 2" xfId="25962"/>
    <cellStyle name="常规 9 3 5 3 2 3" xfId="25963"/>
    <cellStyle name="常规 9 3 5 3 3" xfId="25964"/>
    <cellStyle name="常规 9 3 5 4" xfId="25965"/>
    <cellStyle name="好_存货函证结果汇总表 2" xfId="25966"/>
    <cellStyle name="常规 9 3 5 4 3" xfId="25967"/>
    <cellStyle name="千位分隔 7 2 2 4" xfId="25968"/>
    <cellStyle name="常规 9 3 5 5 3" xfId="25969"/>
    <cellStyle name="常规 9 3 5 7" xfId="25970"/>
    <cellStyle name="常规 9 3 7" xfId="25971"/>
    <cellStyle name="好_资产负债标准底稿 14 2" xfId="25972"/>
    <cellStyle name="常规 9 3 8" xfId="25973"/>
    <cellStyle name="常规 9 4 2" xfId="25974"/>
    <cellStyle name="常规 9 4 2 2 2 2 4" xfId="25975"/>
    <cellStyle name="常规 9 4 2 2 3 2" xfId="25976"/>
    <cellStyle name="常规 9 4 2 2 3 2 2" xfId="25977"/>
    <cellStyle name="常规 9 4 2 2 3 2 3" xfId="25978"/>
    <cellStyle name="常规 9 4 2 2 3 3" xfId="25979"/>
    <cellStyle name="好_银行函证结果汇总表 2 2 6" xfId="25980"/>
    <cellStyle name="常规 9 4 2 2 4 2" xfId="25981"/>
    <cellStyle name="常规 9 4 2 2 4 3" xfId="25982"/>
    <cellStyle name="常规 9 4 2 3" xfId="25983"/>
    <cellStyle name="好_银行函证结果汇总表 5 4" xfId="25984"/>
    <cellStyle name="常规 9 4 2 3 2 2" xfId="25985"/>
    <cellStyle name="常规 9 4 2 3 2 2 2" xfId="25986"/>
    <cellStyle name="常规 9 4 2 3 2 2 3" xfId="25987"/>
    <cellStyle name="好_资产负债标准底稿 9_明细表" xfId="25988"/>
    <cellStyle name="好_应付债券 3" xfId="25989"/>
    <cellStyle name="常规 9 4 2 6" xfId="25990"/>
    <cellStyle name="好_30-应付账款（空白模板） 12_明细表 3" xfId="25991"/>
    <cellStyle name="好_资产负债标准底稿 9_明细表 3" xfId="25992"/>
    <cellStyle name="好_应付债券 3 3" xfId="25993"/>
    <cellStyle name="常规 9 4 2 6 3" xfId="25994"/>
    <cellStyle name="好_应付债券 4" xfId="25995"/>
    <cellStyle name="常规 9 4 2 7" xfId="25996"/>
    <cellStyle name="好_30-应付账款（空白模板） 12_明细表 4" xfId="25997"/>
    <cellStyle name="好_应付债券 4 2" xfId="25998"/>
    <cellStyle name="常规 9 4 2 7 2" xfId="25999"/>
    <cellStyle name="好_应付债券 5" xfId="26000"/>
    <cellStyle name="常规 9 4 2 8" xfId="26001"/>
    <cellStyle name="好_30-应付账款（空白模板） 12_明细表 5" xfId="26002"/>
    <cellStyle name="好_应付债券 6" xfId="26003"/>
    <cellStyle name="常规 9 4 2 9" xfId="26004"/>
    <cellStyle name="好_51-营业税金及附加（空白模板） 7 2" xfId="26005"/>
    <cellStyle name="常规 9 4 3" xfId="26006"/>
    <cellStyle name="好_51-营业税金及附加（空白模板） 7 2 2" xfId="26007"/>
    <cellStyle name="常规 9 4 3 2" xfId="26008"/>
    <cellStyle name="常规 9 4 3 2 2" xfId="26009"/>
    <cellStyle name="常规 9 4 3 2 2 2" xfId="26010"/>
    <cellStyle name="常规 9 4 3 2 2 3" xfId="26011"/>
    <cellStyle name="常规 9 4 3 2 2 4" xfId="26012"/>
    <cellStyle name="常规 9 4 3 2 3" xfId="26013"/>
    <cellStyle name="常规 9 4 3 2 3 2" xfId="26014"/>
    <cellStyle name="常规 9 4 3 2 3 3" xfId="26015"/>
    <cellStyle name="常规 9 4 3 2 4" xfId="26016"/>
    <cellStyle name="常规 9 4 3 2 4 2" xfId="26017"/>
    <cellStyle name="常规 9 4 3 2 4 3" xfId="26018"/>
    <cellStyle name="常规 9 4 3 2 5" xfId="26019"/>
    <cellStyle name="常规 9 4 3 2 6" xfId="26020"/>
    <cellStyle name="好_51-营业税金及附加（空白模板） 7 3" xfId="26021"/>
    <cellStyle name="常规 9 4 4" xfId="26022"/>
    <cellStyle name="常规 9 4 4 2 2" xfId="26023"/>
    <cellStyle name="常规 9 4 4 2 2 2" xfId="26024"/>
    <cellStyle name="常规 9 4 4 2 2 3" xfId="26025"/>
    <cellStyle name="好_51-营业税金及附加（空白模板） 7 4" xfId="26026"/>
    <cellStyle name="常规 9 4 5" xfId="26027"/>
    <cellStyle name="常规 9 4 5 2 2 2" xfId="26028"/>
    <cellStyle name="常规 9 4 5 2 2 3" xfId="26029"/>
    <cellStyle name="常规 9 4 5 2 4" xfId="26030"/>
    <cellStyle name="常规 9 4 5 4 2" xfId="26031"/>
    <cellStyle name="常规 9 4 5 4 3" xfId="26032"/>
    <cellStyle name="常规 9 4 5 6" xfId="26033"/>
    <cellStyle name="常规 9 4 6" xfId="26034"/>
    <cellStyle name="常规 9 4 6 2" xfId="26035"/>
    <cellStyle name="好_应收利息 11_明细表" xfId="26036"/>
    <cellStyle name="常规 9 4 6 4" xfId="26037"/>
    <cellStyle name="常规 9 4 7" xfId="26038"/>
    <cellStyle name="好_资产负债标准底稿 15 2" xfId="26039"/>
    <cellStyle name="常规 9 4 8" xfId="26040"/>
    <cellStyle name="好_1短期借款 16 6" xfId="26041"/>
    <cellStyle name="好_资产负债标准底稿 15 2 2" xfId="26042"/>
    <cellStyle name="常规 9 4 8 2" xfId="26043"/>
    <cellStyle name="好_27-短期借款(空白模板) 10" xfId="26044"/>
    <cellStyle name="常规 9 5 2" xfId="26045"/>
    <cellStyle name="好_27-短期借款(空白模板) 10 2" xfId="26046"/>
    <cellStyle name="常规 9 5 2 2" xfId="26047"/>
    <cellStyle name="常规 9 5 2 2 2 2" xfId="26048"/>
    <cellStyle name="常规 9 5 2 2 2 2 2" xfId="26049"/>
    <cellStyle name="常规 9 5 2 2 2 2 3" xfId="26050"/>
    <cellStyle name="常规 9 5 2 2 3 2" xfId="26051"/>
    <cellStyle name="常规 9 5 2 2 3 3" xfId="26052"/>
    <cellStyle name="常规 9 5 2 2 4 3" xfId="26053"/>
    <cellStyle name="常规 9 5 2 2 6" xfId="26054"/>
    <cellStyle name="好_27-短期借款(空白模板) 10 3" xfId="26055"/>
    <cellStyle name="常规 9 5 2 3" xfId="26056"/>
    <cellStyle name="常规 9 5 2 5" xfId="26057"/>
    <cellStyle name="常规 9 5 2 6" xfId="26058"/>
    <cellStyle name="好_111损益类底稿模版" xfId="26059"/>
    <cellStyle name="常规 9 5 2 6 2" xfId="26060"/>
    <cellStyle name="好_1财务费用 17 2" xfId="26061"/>
    <cellStyle name="常规 9 5 2 7" xfId="26062"/>
    <cellStyle name="好_1财务费用 17 2 3" xfId="26063"/>
    <cellStyle name="常规 9 5 2 7 3" xfId="26064"/>
    <cellStyle name="好_1财务费用 17 3" xfId="26065"/>
    <cellStyle name="常规 9 5 2 8" xfId="26066"/>
    <cellStyle name="好_1财务费用 17 4" xfId="26067"/>
    <cellStyle name="常规 9 5 2 9" xfId="26068"/>
    <cellStyle name="好_27-短期借款(空白模板) 11 2 2" xfId="26069"/>
    <cellStyle name="常规 9 5 3 2 2" xfId="26070"/>
    <cellStyle name="好_40-专项应付款(空白模板) 10 3" xfId="26071"/>
    <cellStyle name="常规 9 5 3 2 2 2" xfId="26072"/>
    <cellStyle name="好_40-专项应付款(空白模板) 10 4" xfId="26073"/>
    <cellStyle name="好_1资产减值损失 15_明细表" xfId="26074"/>
    <cellStyle name="常规 9 5 3 2 2 3" xfId="26075"/>
    <cellStyle name="好_27-短期借款(空白模板) 11 2 3" xfId="26076"/>
    <cellStyle name="常规 9 5 3 2 3" xfId="26077"/>
    <cellStyle name="好_27-短期借款(空白模板) 11 2 4" xfId="26078"/>
    <cellStyle name="常规 9 5 3 2 4" xfId="26079"/>
    <cellStyle name="常规 9 5 3 4 2" xfId="26080"/>
    <cellStyle name="常规 9 5 3 4 3" xfId="26081"/>
    <cellStyle name="好_27-短期借款(空白模板) 12 2 2" xfId="26082"/>
    <cellStyle name="常规 9 5 4 2 2" xfId="26083"/>
    <cellStyle name="常规 9 5 4 2 2 3" xfId="26084"/>
    <cellStyle name="好_10存货" xfId="26085"/>
    <cellStyle name="常规 9 5 4 4 2" xfId="26086"/>
    <cellStyle name="常规 9 5 4 4 3" xfId="26087"/>
    <cellStyle name="常规 9 5 4 5" xfId="26088"/>
    <cellStyle name="常规 9 5 4 6" xfId="26089"/>
    <cellStyle name="好_27-短期借款(空白模板) 13 2 2" xfId="26090"/>
    <cellStyle name="常规 9 5 5 2 2" xfId="26091"/>
    <cellStyle name="好_27-短期借款(空白模板) 13 2 3" xfId="26092"/>
    <cellStyle name="常规 9 5 5 2 3" xfId="26093"/>
    <cellStyle name="好_27-短期借款(空白模板) 15 2" xfId="26094"/>
    <cellStyle name="常规 9 5 7 2" xfId="26095"/>
    <cellStyle name="好_27-短期借款(空白模板) 15 3" xfId="26096"/>
    <cellStyle name="好_1营业收入 9 2 2" xfId="26097"/>
    <cellStyle name="常规 9 5 7 3" xfId="26098"/>
    <cellStyle name="常规 9 5_附注表一（财务报表）" xfId="26099"/>
    <cellStyle name="常规 9 6" xfId="26100"/>
    <cellStyle name="好_预收款项 9_明细表 4" xfId="26101"/>
    <cellStyle name="好_51-营业税金及附加（空白模板） 3 2 5" xfId="26102"/>
    <cellStyle name="常规 9 6 2" xfId="26103"/>
    <cellStyle name="好_1预收款项 3_明细表 3" xfId="26104"/>
    <cellStyle name="好_复件 持有至到期投资 3" xfId="26105"/>
    <cellStyle name="常规 9 6 2 2" xfId="26106"/>
    <cellStyle name="好_1预收款项 3_明细表 4" xfId="26107"/>
    <cellStyle name="好_复件 持有至到期投资 4" xfId="26108"/>
    <cellStyle name="常规 9 6 2 3" xfId="26109"/>
    <cellStyle name="好_1预收款项 3_明细表 5" xfId="26110"/>
    <cellStyle name="好_复件 持有至到期投资 5" xfId="26111"/>
    <cellStyle name="常规 9 6 2 4" xfId="26112"/>
    <cellStyle name="常规 9 6 2 5" xfId="26113"/>
    <cellStyle name="好_预收款项 9_明细表 5" xfId="26114"/>
    <cellStyle name="好_51-营业税金及附加（空白模板） 9 2" xfId="26115"/>
    <cellStyle name="好_51-营业税金及附加（空白模板） 3 2 6" xfId="26116"/>
    <cellStyle name="常规 9 6 3" xfId="26117"/>
    <cellStyle name="好_51-营业税金及附加（空白模板） 9 2 2" xfId="26118"/>
    <cellStyle name="好_19-无形资产（空白模板） 3 2 3" xfId="26119"/>
    <cellStyle name="常规 9 6 3 2" xfId="26120"/>
    <cellStyle name="常规 9 6 3 2 2" xfId="26121"/>
    <cellStyle name="常规 9 6 3 2 2 2" xfId="26122"/>
    <cellStyle name="常规 9 6 3 2 2 3" xfId="26123"/>
    <cellStyle name="超链接 2 5_附注表一（财务报表）" xfId="26124"/>
    <cellStyle name="常规 9 6 3 2 3" xfId="26125"/>
    <cellStyle name="常规 9 6 3 2 4" xfId="26126"/>
    <cellStyle name="常规 9 6 3 3 2" xfId="26127"/>
    <cellStyle name="常规 9 6 3 3 3" xfId="26128"/>
    <cellStyle name="常规 9 6 3 4 2" xfId="26129"/>
    <cellStyle name="常规 9 6 3 4 3" xfId="26130"/>
    <cellStyle name="好_51-营业税金及附加（空白模板） 9 3" xfId="26131"/>
    <cellStyle name="常规 9 6 4" xfId="26132"/>
    <cellStyle name="常规 9 6 4 2 2" xfId="26133"/>
    <cellStyle name="常规 9 6 6 2" xfId="26134"/>
    <cellStyle name="常规 9 6 6 3" xfId="26135"/>
    <cellStyle name="好_资产负债标准底稿 17 2" xfId="26136"/>
    <cellStyle name="常规 9 6 8" xfId="26137"/>
    <cellStyle name="常规 9 7" xfId="26138"/>
    <cellStyle name="常规 9 7 2 2" xfId="26139"/>
    <cellStyle name="常规 9 7 2 3" xfId="26140"/>
    <cellStyle name="常规 9 7 2 4" xfId="26141"/>
    <cellStyle name="常规 9 7 2 5" xfId="26142"/>
    <cellStyle name="好_19-无形资产（空白模板） 4 2 3" xfId="26143"/>
    <cellStyle name="常规 9 7 3 2" xfId="26144"/>
    <cellStyle name="常规 9 7 5" xfId="26145"/>
    <cellStyle name="常规 9 7 6" xfId="26146"/>
    <cellStyle name="好_04-06 东营 Appendix4 TBJA.0411.v17 2" xfId="26147"/>
    <cellStyle name="常规 9 7_附注表一（财务报表）" xfId="26148"/>
    <cellStyle name="常规 9 8" xfId="26149"/>
    <cellStyle name="常规 9 8 2" xfId="26150"/>
    <cellStyle name="常规 9 8 3" xfId="26151"/>
    <cellStyle name="常规 9 8 4" xfId="26152"/>
    <cellStyle name="常规 9 8 5" xfId="26153"/>
    <cellStyle name="常规 9 9" xfId="26154"/>
    <cellStyle name="常规 9 9 2" xfId="26155"/>
    <cellStyle name="常规 9 9 3" xfId="26156"/>
    <cellStyle name="常规 9_Spreadsheet" xfId="26157"/>
    <cellStyle name="常规 90 2" xfId="26158"/>
    <cellStyle name="常规 95" xfId="26159"/>
    <cellStyle name="常规 96" xfId="26160"/>
    <cellStyle name="常规 97" xfId="26161"/>
    <cellStyle name="常规 98" xfId="26162"/>
    <cellStyle name="常规 99" xfId="26163"/>
    <cellStyle name="好_银行函证结果汇总表 6 3 2" xfId="26164"/>
    <cellStyle name="好_附注表一（财务报表） 3" xfId="26165"/>
    <cellStyle name="好_49-营业收入（空白模板） 3 5" xfId="26166"/>
    <cellStyle name="好_31-预收账款（空白模板） 16 2" xfId="26167"/>
    <cellStyle name="常规_10-可供出售金融资产（空白模板） 2 2" xfId="26168"/>
    <cellStyle name="好_无形资产 6_明细表 5" xfId="26169"/>
    <cellStyle name="常规_12-长期应收款（空白模板） 2" xfId="26170"/>
    <cellStyle name="常规_13-长期股权投资（空白模板） 2" xfId="26171"/>
    <cellStyle name="常规_14-投资性房地产（空白模板） 2" xfId="26172"/>
    <cellStyle name="常规_15-固定资产（空白模板） 2 2" xfId="26173"/>
    <cellStyle name="常规_27-短期借款(空白模板) 2" xfId="26174"/>
    <cellStyle name="常规_28-交易性金融负债（空白模板）" xfId="26175"/>
    <cellStyle name="常规_29-应付票据（空白模板） 2" xfId="26176"/>
    <cellStyle name="常规_30-应付账款（空白模板） 2" xfId="26177"/>
    <cellStyle name="常规_31-预收账款（空白模板） 2" xfId="26178"/>
    <cellStyle name="常规_38-应付债券（空白模板） 2" xfId="26179"/>
    <cellStyle name="好_30-应付账款（空白模板）_明细表 3" xfId="26180"/>
    <cellStyle name="常规_39-长期应付款（空白模板） 2" xfId="26181"/>
    <cellStyle name="常规_48-未分配利润（空白模板） 2" xfId="26182"/>
    <cellStyle name="常规_49-营业收入（空白模板）" xfId="26183"/>
    <cellStyle name="常规_4-应收账款（空白模板）" xfId="26184"/>
    <cellStyle name="常规_57-投资收益（空白模板） 2" xfId="26185"/>
    <cellStyle name="好_30-应付账款（空白模板） 18 2" xfId="26186"/>
    <cellStyle name="常规_58-营业外收入（空白模板） 2" xfId="26187"/>
    <cellStyle name="好_1财务费用 2 5" xfId="26188"/>
    <cellStyle name="常规_5-预付款项（空白模板） 2 2" xfId="26189"/>
    <cellStyle name="常规_60-所得税费用（空白模板）" xfId="26190"/>
    <cellStyle name="常规_6-应收利息（空白模板） 2" xfId="26191"/>
    <cellStyle name="常规_7-应收股利（空白模板） 2" xfId="26192"/>
    <cellStyle name="常规_8-其他应收款（空白模板）" xfId="26193"/>
    <cellStyle name="好_1固定资产 11" xfId="26194"/>
    <cellStyle name="常规_9-存货（空白模板） 2" xfId="26195"/>
    <cellStyle name="好_1固定资产 11 2" xfId="26196"/>
    <cellStyle name="常规_9-存货（空白模板） 2 2" xfId="26197"/>
    <cellStyle name="常规_存货 2" xfId="26198"/>
    <cellStyle name="常规_附件1.非居民企业所得税申报表" xfId="26199"/>
    <cellStyle name="好_1财务费用_应收账款 2" xfId="26200"/>
    <cellStyle name="常规_固定资产 2" xfId="26201"/>
    <cellStyle name="常规_货币资金 2" xfId="26202"/>
    <cellStyle name="常规_货币资金_tmp 2" xfId="26203"/>
    <cellStyle name="常规_货币资金_tmp 2 2" xfId="26204"/>
    <cellStyle name="好_预收款项 8_明细表" xfId="26205"/>
    <cellStyle name="好_1预收款项 6" xfId="26206"/>
    <cellStyle name="常规_货币资金_tmp 2 3" xfId="26207"/>
    <cellStyle name="好_专项应付款 8_明细表" xfId="26208"/>
    <cellStyle name="好_固定资产 2" xfId="26209"/>
    <cellStyle name="好_1预收款项 7" xfId="26210"/>
    <cellStyle name="好_固定资产 3" xfId="26211"/>
    <cellStyle name="好_1预收款项 8" xfId="26212"/>
    <cellStyle name="常规_货币资金_tmp 2 4" xfId="26213"/>
    <cellStyle name="常规_交易性金融负债 2" xfId="26214"/>
    <cellStyle name="千位分隔[0] 2 2 4" xfId="26215"/>
    <cellStyle name="常规_可供出售金融资产" xfId="26216"/>
    <cellStyle name="好_专项应付款 12_明细表" xfId="26217"/>
    <cellStyle name="常规_可供出售金融资产_tmp 2" xfId="26218"/>
    <cellStyle name="好_40-专项应付款(空白模板)_附注表一（财务报表）" xfId="26219"/>
    <cellStyle name="常规_其他应收款" xfId="26220"/>
    <cellStyle name="常规_投资性房地产 2" xfId="26221"/>
    <cellStyle name="常规_盈余公积 2" xfId="26222"/>
    <cellStyle name="好_55-资产减值损失（空白模板） 2 2 6" xfId="26223"/>
    <cellStyle name="常规_营业收入 2" xfId="26224"/>
    <cellStyle name="常规_营业税金及附加 2" xfId="26225"/>
    <cellStyle name="常规_应交税费 2" xfId="26226"/>
    <cellStyle name="常规_应收账款 2 2" xfId="26227"/>
    <cellStyle name="好_1其他应付款 2 3" xfId="26228"/>
    <cellStyle name="常规_预付款项 2" xfId="26229"/>
    <cellStyle name="常规_预计负债 2" xfId="26230"/>
    <cellStyle name="常规_长期借款 2" xfId="26231"/>
    <cellStyle name="常规_资本公积 2" xfId="26232"/>
    <cellStyle name="好_38-应付债券（空白模板） 2" xfId="26233"/>
    <cellStyle name="超级链接_0106固定资产减值明细(提减值准备)" xfId="26234"/>
    <cellStyle name="好_51-营业税金及附加（空白模板） 12 2 5" xfId="26235"/>
    <cellStyle name="超链接 10" xfId="26236"/>
    <cellStyle name="超链接 10 2" xfId="26237"/>
    <cellStyle name="超链接 11" xfId="26238"/>
    <cellStyle name="好_资产负债标准底稿 2 2 3" xfId="26239"/>
    <cellStyle name="超链接 11 2" xfId="26240"/>
    <cellStyle name="超链接 11 2 2" xfId="26241"/>
    <cellStyle name="超链接 11 2 4" xfId="26242"/>
    <cellStyle name="好_资产负债标准底稿 2 2 4" xfId="26243"/>
    <cellStyle name="超链接 11 3" xfId="26244"/>
    <cellStyle name="好_财务费用 12_明细表" xfId="26245"/>
    <cellStyle name="超链接 11_附注表一（财务报表）" xfId="26246"/>
    <cellStyle name="超链接 12" xfId="26247"/>
    <cellStyle name="好_资产负债标准底稿 2 3 3" xfId="26248"/>
    <cellStyle name="超链接 12 2" xfId="26249"/>
    <cellStyle name="超链接 12 2 2" xfId="26250"/>
    <cellStyle name="超链接 12 2 3" xfId="26251"/>
    <cellStyle name="超链接 12 2 4" xfId="26252"/>
    <cellStyle name="超链接 12 2 5" xfId="26253"/>
    <cellStyle name="超链接 12 3" xfId="26254"/>
    <cellStyle name="好_6实地观察经营场所调查问卷 2" xfId="26255"/>
    <cellStyle name="好_1财务费用 4 4" xfId="26256"/>
    <cellStyle name="超链接 2 10 2" xfId="26257"/>
    <cellStyle name="超链接 2 10 2 2" xfId="26258"/>
    <cellStyle name="超链接 2 10 2 3" xfId="26259"/>
    <cellStyle name="超链接 2 10 2 4" xfId="26260"/>
    <cellStyle name="好_1货币资金 2 2" xfId="26261"/>
    <cellStyle name="超链接 2 10 2 5" xfId="26262"/>
    <cellStyle name="好_1财务费用 4 5" xfId="26263"/>
    <cellStyle name="超链接 2 10 3" xfId="26264"/>
    <cellStyle name="超链接 2 10 4" xfId="26265"/>
    <cellStyle name="超链接 2 12 2 3" xfId="26266"/>
    <cellStyle name="超链接 2 12 2 4" xfId="26267"/>
    <cellStyle name="好_专项应付款 11_明细表 5" xfId="26268"/>
    <cellStyle name="好_复件 固定资产 3 2 5" xfId="26269"/>
    <cellStyle name="好_1财务费用 6 5" xfId="26270"/>
    <cellStyle name="千位分隔 2 2 11 4" xfId="26271"/>
    <cellStyle name="好__dxn_temp空白表页_明细表 2 5" xfId="26272"/>
    <cellStyle name="超链接 2 12 3" xfId="26273"/>
    <cellStyle name="超链接 2 12_附注表一（财务报表）" xfId="26274"/>
    <cellStyle name="好_1财务费用 7 4" xfId="26275"/>
    <cellStyle name="超链接 2 13 2" xfId="26276"/>
    <cellStyle name="超链接 2 13 2 2" xfId="26277"/>
    <cellStyle name="超链接 2 13 2 3" xfId="26278"/>
    <cellStyle name="超链接 2 13 2 4" xfId="26279"/>
    <cellStyle name="超链接 2 13 2 5" xfId="26280"/>
    <cellStyle name="超链接 2 14" xfId="26281"/>
    <cellStyle name="超链接 2 14 2 5" xfId="26282"/>
    <cellStyle name="超链接 2 14_附注表一（财务报表）" xfId="26283"/>
    <cellStyle name="好_G-应收账款 10_明细表 2" xfId="26284"/>
    <cellStyle name="超链接 2 15" xfId="26285"/>
    <cellStyle name="超链接 2 20" xfId="26286"/>
    <cellStyle name="好_存货 16" xfId="26287"/>
    <cellStyle name="好_1财务费用 9 4" xfId="26288"/>
    <cellStyle name="超链接 2 15 2" xfId="26289"/>
    <cellStyle name="好_存货 17" xfId="26290"/>
    <cellStyle name="超链接 2 15 3" xfId="26291"/>
    <cellStyle name="超链接 2 15 4" xfId="26292"/>
    <cellStyle name="超链接 2 15 5" xfId="26293"/>
    <cellStyle name="超链接 2 15 6" xfId="26294"/>
    <cellStyle name="超链接 2 15_附注表一（财务报表）" xfId="26295"/>
    <cellStyle name="好_G-应收账款 10_明细表 3" xfId="26296"/>
    <cellStyle name="超链接 2 16" xfId="26297"/>
    <cellStyle name="超链接 2 21" xfId="26298"/>
    <cellStyle name="超链接 2 16 2" xfId="26299"/>
    <cellStyle name="超链接 2 16 2 3" xfId="26300"/>
    <cellStyle name="好_所得税费用 4 2" xfId="26301"/>
    <cellStyle name="超链接 2 16 2 5" xfId="26302"/>
    <cellStyle name="超链接 2 16 3" xfId="26303"/>
    <cellStyle name="超链接 2 16 4" xfId="26304"/>
    <cellStyle name="超链接 2 16 5" xfId="26305"/>
    <cellStyle name="好_1应收账款_附注表一（财务报表）" xfId="26306"/>
    <cellStyle name="超链接 2 16 6" xfId="26307"/>
    <cellStyle name="好_FP递延所得税负债 5" xfId="26308"/>
    <cellStyle name="超链接 2 16_附注表一（财务报表）" xfId="26309"/>
    <cellStyle name="好_G-应收账款 10_明细表 4" xfId="26310"/>
    <cellStyle name="超链接 2 17" xfId="26311"/>
    <cellStyle name="超链接 2 22" xfId="26312"/>
    <cellStyle name="超链接 2 19" xfId="26313"/>
    <cellStyle name="超链接 2 24" xfId="26314"/>
    <cellStyle name="超链接 2 19 2" xfId="26315"/>
    <cellStyle name="好_资产负债标准底稿 5 4 2" xfId="26316"/>
    <cellStyle name="超链接 2 19 4" xfId="26317"/>
    <cellStyle name="超链接 2 2" xfId="26318"/>
    <cellStyle name="超链接 2 2 2 2 2" xfId="26319"/>
    <cellStyle name="好_31-预收账款（空白模板）_明细表 2 5" xfId="26320"/>
    <cellStyle name="超链接 2 2 2 3" xfId="26321"/>
    <cellStyle name="超链接 2 2 2 4" xfId="26322"/>
    <cellStyle name="超链接 2 2 3 2" xfId="26323"/>
    <cellStyle name="好_无形资产 17 2 2" xfId="26324"/>
    <cellStyle name="超链接 2 2 3 3" xfId="26325"/>
    <cellStyle name="好_无形资产 17 2 3" xfId="26326"/>
    <cellStyle name="超链接 2 2 3 4" xfId="26327"/>
    <cellStyle name="好_无形资产 17 2 4" xfId="26328"/>
    <cellStyle name="超链接 2 2 3 5" xfId="26329"/>
    <cellStyle name="好_无形资产 17 2 5" xfId="26330"/>
    <cellStyle name="超链接 2 2 4 2" xfId="26331"/>
    <cellStyle name="超链接 2 2 4 3" xfId="26332"/>
    <cellStyle name="好_55-资产减值损失（空白模板） 12_附注表一（财务报表）" xfId="26333"/>
    <cellStyle name="超链接 2 2 4 4" xfId="26334"/>
    <cellStyle name="超链接 2 2 5" xfId="26335"/>
    <cellStyle name="好_无形资产 17 4" xfId="26336"/>
    <cellStyle name="超链接 2 2 5 2" xfId="26337"/>
    <cellStyle name="超链接 2 2 5 3" xfId="26338"/>
    <cellStyle name="超链接 2 2 5 4" xfId="26339"/>
    <cellStyle name="超链接 2 2 6" xfId="26340"/>
    <cellStyle name="好_无形资产 17 5" xfId="26341"/>
    <cellStyle name="好_1短期借款 13_附注表一（财务报表）" xfId="26342"/>
    <cellStyle name="超链接 2 2 6 2" xfId="26343"/>
    <cellStyle name="超链接 2 2 6 3" xfId="26344"/>
    <cellStyle name="超链接 2 2 7" xfId="26345"/>
    <cellStyle name="好_无形资产 17 6" xfId="26346"/>
    <cellStyle name="超链接 2 2 8" xfId="26347"/>
    <cellStyle name="好_应收利息 18 2" xfId="26348"/>
    <cellStyle name="超链接 2 2 9" xfId="26349"/>
    <cellStyle name="超链接 2 25" xfId="26350"/>
    <cellStyle name="超链接 2 30" xfId="26351"/>
    <cellStyle name="超链接 2 26" xfId="26352"/>
    <cellStyle name="超链接 2 31" xfId="26353"/>
    <cellStyle name="超链接 2 3" xfId="26354"/>
    <cellStyle name="超链接 2 3 2" xfId="26355"/>
    <cellStyle name="超链接 2 3 3" xfId="26356"/>
    <cellStyle name="好_无形资产 18 2" xfId="26357"/>
    <cellStyle name="超链接 2 3 3 2" xfId="26358"/>
    <cellStyle name="超链接 2 3 4" xfId="26359"/>
    <cellStyle name="好_无形资产 18 3" xfId="26360"/>
    <cellStyle name="超链接 2 3 5" xfId="26361"/>
    <cellStyle name="好_无形资产 18 4" xfId="26362"/>
    <cellStyle name="超链接 2 3_附注表一（财务报表）" xfId="26363"/>
    <cellStyle name="超链接 2 4" xfId="26364"/>
    <cellStyle name="超链接 2 4 2" xfId="26365"/>
    <cellStyle name="超链接 2 4 2 2" xfId="26366"/>
    <cellStyle name="超链接 2 4 2 3" xfId="26367"/>
    <cellStyle name="超链接 2 4 2 5" xfId="26368"/>
    <cellStyle name="超链接 2 4 3" xfId="26369"/>
    <cellStyle name="超链接 2 4 4" xfId="26370"/>
    <cellStyle name="超链接 2 4 5" xfId="26371"/>
    <cellStyle name="好_19-无形资产（空白模板）_明细表 2 2" xfId="26372"/>
    <cellStyle name="超链接 2 4 6" xfId="26373"/>
    <cellStyle name="好_19-无形资产（空白模板）_明细表 2 3" xfId="26374"/>
    <cellStyle name="超链接 2 5 2 3" xfId="26375"/>
    <cellStyle name="超链接 2 5 2 4" xfId="26376"/>
    <cellStyle name="超链接 2 5 2 5" xfId="26377"/>
    <cellStyle name="好_1短期借款 15" xfId="26378"/>
    <cellStyle name="好_1短期借款 20" xfId="26379"/>
    <cellStyle name="超链接 2 5 3 2" xfId="26380"/>
    <cellStyle name="超链接 2 5 4" xfId="26381"/>
    <cellStyle name="好__dxn_temp货币资金-截止测试" xfId="26382"/>
    <cellStyle name="超链接 2 6 2 2" xfId="26383"/>
    <cellStyle name="超链接 2 6 3" xfId="26384"/>
    <cellStyle name="超链接 2 6 3 2" xfId="26385"/>
    <cellStyle name="好_G-应收账款 5 2 3" xfId="26386"/>
    <cellStyle name="超链接 2 6_附注表一（财务报表）" xfId="26387"/>
    <cellStyle name="超链接 2 7 2" xfId="26388"/>
    <cellStyle name="超链接 2 7 2 2" xfId="26389"/>
    <cellStyle name="超链接 2 7 2 3" xfId="26390"/>
    <cellStyle name="超链接 2 7 3" xfId="26391"/>
    <cellStyle name="好_ZA0货币资金审定表  11_附注表一（财务报表）" xfId="26392"/>
    <cellStyle name="超链接 2 7 4" xfId="26393"/>
    <cellStyle name="超链接 2 8 2" xfId="26394"/>
    <cellStyle name="超链接 2 8 2 2" xfId="26395"/>
    <cellStyle name="超链接 2 8 2 3" xfId="26396"/>
    <cellStyle name="超链接 2 8 3" xfId="26397"/>
    <cellStyle name="超链接 2 8_附注表一（财务报表）" xfId="26398"/>
    <cellStyle name="千位分隔 2 2 14_附注表一（财务报表）" xfId="26399"/>
    <cellStyle name="好_12-长期应收款（空白模板） 3 2" xfId="26400"/>
    <cellStyle name="超链接 2 9 2 2" xfId="26401"/>
    <cellStyle name="超链接 2 9 2 3" xfId="26402"/>
    <cellStyle name="超链接 2 9 2 5" xfId="26403"/>
    <cellStyle name="好_无形资产_明细表 3" xfId="26404"/>
    <cellStyle name="好_货币资金 岳华 5" xfId="26405"/>
    <cellStyle name="超链接 2 9_附注表一（财务报表）" xfId="26406"/>
    <cellStyle name="超链接 2_Spreadsheet" xfId="26407"/>
    <cellStyle name="超链接 3 10" xfId="26408"/>
    <cellStyle name="超链接 3 10 2" xfId="26409"/>
    <cellStyle name="超链接 3 10 2 2" xfId="26410"/>
    <cellStyle name="超链接 3 10 2 3" xfId="26411"/>
    <cellStyle name="超链接 3 10 2 5" xfId="26412"/>
    <cellStyle name="超链接 3 10 3" xfId="26413"/>
    <cellStyle name="超链接 3 10 4" xfId="26414"/>
    <cellStyle name="超链接 3 11" xfId="26415"/>
    <cellStyle name="好_专项应付款 11_明细表 2" xfId="26416"/>
    <cellStyle name="好_复件 固定资产 3 2 2" xfId="26417"/>
    <cellStyle name="好_1财务费用 6 2" xfId="26418"/>
    <cellStyle name="好__dxn_temp空白表页_明细表 2 2" xfId="26419"/>
    <cellStyle name="超链接 3 11_附注表一（财务报表）" xfId="26420"/>
    <cellStyle name="超链接 3 12" xfId="26421"/>
    <cellStyle name="好_复件 固定资产 8 2 4" xfId="26422"/>
    <cellStyle name="超链接 3 12 2" xfId="26423"/>
    <cellStyle name="超链接 3 12 2 2" xfId="26424"/>
    <cellStyle name="超链接 3 12 2 3" xfId="26425"/>
    <cellStyle name="超链接 3 12 2 4" xfId="26426"/>
    <cellStyle name="超链接 3 13" xfId="26427"/>
    <cellStyle name="超链接 3 13 2" xfId="26428"/>
    <cellStyle name="超链接 3 13 2 2" xfId="26429"/>
    <cellStyle name="好_短期借款 2_明细表 2" xfId="26430"/>
    <cellStyle name="超链接 3 13 2 3" xfId="26431"/>
    <cellStyle name="好_短期借款 2_明细表 3" xfId="26432"/>
    <cellStyle name="超链接 3 13 2 4" xfId="26433"/>
    <cellStyle name="好_短期借款 2_明细表 4" xfId="26434"/>
    <cellStyle name="超链接 3 13 2 5" xfId="26435"/>
    <cellStyle name="超链接 3 13 3" xfId="26436"/>
    <cellStyle name="超链接 3 13_附注表一（财务报表）" xfId="26437"/>
    <cellStyle name="超链接 3 14 2" xfId="26438"/>
    <cellStyle name="超链接 3 14 2 2" xfId="26439"/>
    <cellStyle name="超链接 3 14 2 3" xfId="26440"/>
    <cellStyle name="超链接 3 14 2 4" xfId="26441"/>
    <cellStyle name="超链接 3 14 2 5" xfId="26442"/>
    <cellStyle name="超链接 3 14 3" xfId="26443"/>
    <cellStyle name="超链接 3 14_附注表一（财务报表）" xfId="26444"/>
    <cellStyle name="好_无形资产 11 2" xfId="26445"/>
    <cellStyle name="超链接 3 15" xfId="26446"/>
    <cellStyle name="超链接 3 20" xfId="26447"/>
    <cellStyle name="好_无形资产 11 2 2" xfId="26448"/>
    <cellStyle name="超链接 3 15 2" xfId="26449"/>
    <cellStyle name="超链接 3 20 2" xfId="26450"/>
    <cellStyle name="好_无形资产 11 2 3" xfId="26451"/>
    <cellStyle name="超链接 3 15 3" xfId="26452"/>
    <cellStyle name="超链接 3 20 3" xfId="26453"/>
    <cellStyle name="好_无形资产 11 3" xfId="26454"/>
    <cellStyle name="超链接 3 16" xfId="26455"/>
    <cellStyle name="超链接 3 21" xfId="26456"/>
    <cellStyle name="超链接 3 16 2" xfId="26457"/>
    <cellStyle name="超链接 3 21 2" xfId="26458"/>
    <cellStyle name="超链接 3 16 2 3" xfId="26459"/>
    <cellStyle name="超链接 3 21 2 3" xfId="26460"/>
    <cellStyle name="超链接 3 16 2 5" xfId="26461"/>
    <cellStyle name="超链接 3 21 2 5" xfId="26462"/>
    <cellStyle name="超链接 3 16 3" xfId="26463"/>
    <cellStyle name="超链接 3 21 3" xfId="26464"/>
    <cellStyle name="超链接 3 16_附注表一（财务报表）" xfId="26465"/>
    <cellStyle name="超链接 3 21_附注表一（财务报表）" xfId="26466"/>
    <cellStyle name="超链接 3 17" xfId="26467"/>
    <cellStyle name="超链接 3 22" xfId="26468"/>
    <cellStyle name="超链接 3 17 2" xfId="26469"/>
    <cellStyle name="超链接 3 22 2" xfId="26470"/>
    <cellStyle name="超链接 3 17 2 3" xfId="26471"/>
    <cellStyle name="超链接 3 22 2 3" xfId="26472"/>
    <cellStyle name="超链接 3 17 2 4" xfId="26473"/>
    <cellStyle name="超链接 3 22 2 4" xfId="26474"/>
    <cellStyle name="超链接 3 17 3" xfId="26475"/>
    <cellStyle name="超链接 3 17_附注表一（财务报表）" xfId="26476"/>
    <cellStyle name="超链接 3 22_附注表一（财务报表）" xfId="26477"/>
    <cellStyle name="好_大信底稿目录_明细表_1 2" xfId="26478"/>
    <cellStyle name="超链接 3 18" xfId="26479"/>
    <cellStyle name="超链接 3 23" xfId="26480"/>
    <cellStyle name="超链接 3 18 2" xfId="26481"/>
    <cellStyle name="超链接 3 23 2" xfId="26482"/>
    <cellStyle name="好_1固定资产 4_明细表 3" xfId="26483"/>
    <cellStyle name="超链接 3 18 2 3" xfId="26484"/>
    <cellStyle name="超链接 3 23 2 3" xfId="26485"/>
    <cellStyle name="超链接 3 18 3" xfId="26486"/>
    <cellStyle name="好_1固定资产 4_明细表 4" xfId="26487"/>
    <cellStyle name="好_预收款项 2_明细表 2" xfId="26488"/>
    <cellStyle name="超链接 3 18_附注表一（财务报表）" xfId="26489"/>
    <cellStyle name="超链接 3 23_附注表一（财务报表）" xfId="26490"/>
    <cellStyle name="好_大信底稿目录_明细表_1 3" xfId="26491"/>
    <cellStyle name="超链接 3 19" xfId="26492"/>
    <cellStyle name="超链接 3 24" xfId="26493"/>
    <cellStyle name="超链接 3 19 2 3" xfId="26494"/>
    <cellStyle name="超链接 3 19 2 4" xfId="26495"/>
    <cellStyle name="超链接 3 19 2 5" xfId="26496"/>
    <cellStyle name="超链接 3 2" xfId="26497"/>
    <cellStyle name="超链接 3 2 2 3" xfId="26498"/>
    <cellStyle name="超链接 3 2 2 4" xfId="26499"/>
    <cellStyle name="超链接 3 2 3 3" xfId="26500"/>
    <cellStyle name="好_19-无形资产（空白模板） 13 2 2" xfId="26501"/>
    <cellStyle name="超链接 3 2 3 4" xfId="26502"/>
    <cellStyle name="超链接 3 2 6" xfId="26503"/>
    <cellStyle name="超链接 3 2 7" xfId="26504"/>
    <cellStyle name="超链接 3 2_附注表一（财务报表）" xfId="26505"/>
    <cellStyle name="好_大信底稿目录_明细表_1 4" xfId="26506"/>
    <cellStyle name="超链接 3 25" xfId="26507"/>
    <cellStyle name="超链接 3 30" xfId="26508"/>
    <cellStyle name="超链接 3 27 2" xfId="26509"/>
    <cellStyle name="超链接 3 27 3" xfId="26510"/>
    <cellStyle name="超链接 3 29" xfId="26511"/>
    <cellStyle name="超链接 3 34" xfId="26512"/>
    <cellStyle name="好_初步业务活动之首次承接 2 2" xfId="26513"/>
    <cellStyle name="好_1财务费用 15_明细表" xfId="26514"/>
    <cellStyle name="超链接 3 3" xfId="26515"/>
    <cellStyle name="好_财务费用 14 2" xfId="26516"/>
    <cellStyle name="超链接 3 3 2 3" xfId="26517"/>
    <cellStyle name="好_财务费用 14 3" xfId="26518"/>
    <cellStyle name="超链接 3 3 2 4" xfId="26519"/>
    <cellStyle name="超链接 3 3 2 5" xfId="26520"/>
    <cellStyle name="好_Z10一年内到期的非流动资产 2 2" xfId="26521"/>
    <cellStyle name="好_1财务费用 15_明细表 3" xfId="26522"/>
    <cellStyle name="超链接 3 3 3" xfId="26523"/>
    <cellStyle name="超链接 3 3 3 2" xfId="26524"/>
    <cellStyle name="好_财务费用 15 2" xfId="26525"/>
    <cellStyle name="好_8-其他应收款（空白模板）_明细表" xfId="26526"/>
    <cellStyle name="超链接 3 3 3 3" xfId="26527"/>
    <cellStyle name="好_Z10一年内到期的非流动资产 2 3" xfId="26528"/>
    <cellStyle name="好_1财务费用 15_明细表 4" xfId="26529"/>
    <cellStyle name="超链接 3 3 4" xfId="26530"/>
    <cellStyle name="好_1财务费用 15_明细表 5" xfId="26531"/>
    <cellStyle name="超链接 3 3 5" xfId="26532"/>
    <cellStyle name="超链接 3 3 6" xfId="26533"/>
    <cellStyle name="超链接 3 3 7" xfId="26534"/>
    <cellStyle name="超链接 3 3_附注表一（财务报表）" xfId="26535"/>
    <cellStyle name="好_Z10一年内到期的非流动资产 3 3" xfId="26536"/>
    <cellStyle name="超链接 3 4 4" xfId="26537"/>
    <cellStyle name="超链接 3 4 5" xfId="26538"/>
    <cellStyle name="超链接 3 4 6" xfId="26539"/>
    <cellStyle name="超链接 3 4_附注表一（财务报表）" xfId="26540"/>
    <cellStyle name="超链接 3 5 2" xfId="26541"/>
    <cellStyle name="超链接 3 5 2 3" xfId="26542"/>
    <cellStyle name="超链接 3 5 2 4" xfId="26543"/>
    <cellStyle name="超链接 3 5 2 5" xfId="26544"/>
    <cellStyle name="好_Z10一年内到期的非流动资产 4 2" xfId="26545"/>
    <cellStyle name="超链接 3 5 3" xfId="26546"/>
    <cellStyle name="超链接 3 5 3 2" xfId="26547"/>
    <cellStyle name="好_Z10一年内到期的非流动资产 4 3" xfId="26548"/>
    <cellStyle name="超链接 3 5 4" xfId="26549"/>
    <cellStyle name="超链接 3 5 5" xfId="26550"/>
    <cellStyle name="超链接 3 6 2" xfId="26551"/>
    <cellStyle name="好_Z10一年内到期的非流动资产 5 2" xfId="26552"/>
    <cellStyle name="超链接 3 6 3" xfId="26553"/>
    <cellStyle name="好_Z10一年内到期的非流动资产 5 3" xfId="26554"/>
    <cellStyle name="超链接 3 6 4" xfId="26555"/>
    <cellStyle name="超链接 3 7" xfId="26556"/>
    <cellStyle name="超链接 3 7 3" xfId="26557"/>
    <cellStyle name="超链接 3 7 4" xfId="26558"/>
    <cellStyle name="好_G-应收账款 6 2 4" xfId="26559"/>
    <cellStyle name="超链接 3 7_附注表一（财务报表）" xfId="26560"/>
    <cellStyle name="超链接 3 8 2" xfId="26561"/>
    <cellStyle name="超链接 3 8 2 4" xfId="26562"/>
    <cellStyle name="超链接 3 8 3" xfId="26563"/>
    <cellStyle name="超链接 3 8 4" xfId="26564"/>
    <cellStyle name="好_4-应收账款（空白模板） 2 6" xfId="26565"/>
    <cellStyle name="超链接 3 8_附注表一（财务报表）" xfId="26566"/>
    <cellStyle name="超链接 3 9 2 2" xfId="26567"/>
    <cellStyle name="超链接 3 9 2 3" xfId="26568"/>
    <cellStyle name="超链接 3 9 2 4" xfId="26569"/>
    <cellStyle name="超链接 3 9 2 5" xfId="26570"/>
    <cellStyle name="超链接 3 9_附注表一（财务报表）" xfId="26571"/>
    <cellStyle name="好_ZA0货币资金审定表  2_明细表 4" xfId="26572"/>
    <cellStyle name="超链接 3_附注表一（财务报表）" xfId="26573"/>
    <cellStyle name="好_51-营业税金及附加（空白模板） 4 2 3" xfId="26574"/>
    <cellStyle name="超链接 4" xfId="26575"/>
    <cellStyle name="超链接 4 2" xfId="26576"/>
    <cellStyle name="好_ZA0货币资金审定表  15 2 4" xfId="26577"/>
    <cellStyle name="超链接 4 2 3 2" xfId="26578"/>
    <cellStyle name="好_长期应付款" xfId="26579"/>
    <cellStyle name="好_ZA0货币资金审定表  15 2 5" xfId="26580"/>
    <cellStyle name="超链接 4 2 3 3" xfId="26581"/>
    <cellStyle name="超链接 4 3" xfId="26582"/>
    <cellStyle name="超链接 4 3 3" xfId="26583"/>
    <cellStyle name="超链接 4 6" xfId="26584"/>
    <cellStyle name="好_51-营业税金及附加（空白模板） 4 2 4" xfId="26585"/>
    <cellStyle name="超链接 5" xfId="26586"/>
    <cellStyle name="超链接 5 2" xfId="26587"/>
    <cellStyle name="超链接 5 4" xfId="26588"/>
    <cellStyle name="超链接 5 5" xfId="26589"/>
    <cellStyle name="超链接 5 6" xfId="26590"/>
    <cellStyle name="好_1预收款项 4_明细表 4" xfId="26591"/>
    <cellStyle name="超链接 6 3" xfId="26592"/>
    <cellStyle name="好_1预收款项 4_明细表 5" xfId="26593"/>
    <cellStyle name="超链接 6 4" xfId="26594"/>
    <cellStyle name="超链接 62" xfId="26595"/>
    <cellStyle name="好_55-资产减值损失（空白模板） 2 6" xfId="26596"/>
    <cellStyle name="超链接 7 2" xfId="26597"/>
    <cellStyle name="超链接 7 4" xfId="26598"/>
    <cellStyle name="超链接 8" xfId="26599"/>
    <cellStyle name="超链接 8 2" xfId="26600"/>
    <cellStyle name="超链接 9" xfId="26601"/>
    <cellStyle name="好_54-财务费用（空白模板） 6 2" xfId="26602"/>
    <cellStyle name="都寞_2000爛奻庈机數訧蹋隴牉桶ㄗ軞ㄘ" xfId="26603"/>
    <cellStyle name="分??示行_3_PERSONAL" xfId="26604"/>
    <cellStyle name="好_存货 2" xfId="26605"/>
    <cellStyle name="分级显示行_1_2002年度报表格式_集团公司" xfId="26606"/>
    <cellStyle name="好_ZA0货币资金审定表  17 4" xfId="26607"/>
    <cellStyle name="分级显示列_1_Book1" xfId="26608"/>
    <cellStyle name="盽?_PERSONAL" xfId="26609"/>
    <cellStyle name="好_1短期借款 15 3" xfId="26610"/>
    <cellStyle name="輔色1" xfId="26611"/>
    <cellStyle name="輔色1 2" xfId="26612"/>
    <cellStyle name="好_预收款项 5_明细表 4" xfId="26613"/>
    <cellStyle name="輔色1 3" xfId="26614"/>
    <cellStyle name="好_预收款项 5_明细表 5" xfId="26615"/>
    <cellStyle name="好_其他应付款 3 2" xfId="26616"/>
    <cellStyle name="輔色1 4" xfId="26617"/>
    <cellStyle name="好_其他应付款 3 3" xfId="26618"/>
    <cellStyle name="輔色1 5" xfId="26619"/>
    <cellStyle name="好_其他应付款 3 4" xfId="26620"/>
    <cellStyle name="輔色1 6" xfId="26621"/>
    <cellStyle name="好_1短期借款 15 4" xfId="26622"/>
    <cellStyle name="輔色2" xfId="26623"/>
    <cellStyle name="輔色2 2" xfId="26624"/>
    <cellStyle name="好_专项应付款 5_明细表 4" xfId="26625"/>
    <cellStyle name="輔色2 3" xfId="26626"/>
    <cellStyle name="好_专项应付款 5_明细表 5" xfId="26627"/>
    <cellStyle name="好_其他应付款 4 2" xfId="26628"/>
    <cellStyle name="輔色2 4" xfId="26629"/>
    <cellStyle name="好_55-资产减值损失（空白模板） 5_明细表" xfId="26630"/>
    <cellStyle name="好_其他应付款 4 3" xfId="26631"/>
    <cellStyle name="輔色2 5" xfId="26632"/>
    <cellStyle name="好_其他应付款 4 4" xfId="26633"/>
    <cellStyle name="輔色2 6" xfId="26634"/>
    <cellStyle name="好_1短期借款 15 5" xfId="26635"/>
    <cellStyle name="輔色3" xfId="26636"/>
    <cellStyle name="輔色3 2" xfId="26637"/>
    <cellStyle name="輔色3 4" xfId="26638"/>
    <cellStyle name="好_51-营业税金及附加（空白模板） 3_附注表一（财务报表）" xfId="26639"/>
    <cellStyle name="千位分隔 2 4 6 2 2" xfId="26640"/>
    <cellStyle name="輔色3 5" xfId="26641"/>
    <cellStyle name="千位分隔 2 4 6 2 3" xfId="26642"/>
    <cellStyle name="輔色3 6" xfId="26643"/>
    <cellStyle name="千位分隔 2 4 6 3 2" xfId="26644"/>
    <cellStyle name="輔色4 5" xfId="26645"/>
    <cellStyle name="千位分隔 2 4 6 3 3" xfId="26646"/>
    <cellStyle name="輔色4 6" xfId="26647"/>
    <cellStyle name="輔色5 6" xfId="26648"/>
    <cellStyle name="好_1营业收入 8 2 3" xfId="26649"/>
    <cellStyle name="輔色6" xfId="26650"/>
    <cellStyle name="輔色6 2" xfId="26651"/>
    <cellStyle name="輔色6 3" xfId="26652"/>
    <cellStyle name="輔色6 4" xfId="26653"/>
    <cellStyle name="輔色6 5" xfId="26654"/>
    <cellStyle name="輔色6 6" xfId="26655"/>
    <cellStyle name="公司标准表" xfId="26656"/>
    <cellStyle name="好_Sheet1 2 2 3" xfId="26657"/>
    <cellStyle name="公司标准表 2 6" xfId="26658"/>
    <cellStyle name="公司标准表 4" xfId="26659"/>
    <cellStyle name="公司标准表 5" xfId="26660"/>
    <cellStyle name="公司标准表 6" xfId="26661"/>
    <cellStyle name="公司标准表 7" xfId="26662"/>
    <cellStyle name="好_27-短期借款(空白模板) 6 2" xfId="26663"/>
    <cellStyle name="归盒啦_95" xfId="26664"/>
    <cellStyle name="好 10" xfId="26665"/>
    <cellStyle name="好_27-短期借款(空白模板) 9_明细表 3" xfId="26666"/>
    <cellStyle name="好 2 10" xfId="26667"/>
    <cellStyle name="好 2 11" xfId="26668"/>
    <cellStyle name="好 2 12" xfId="26669"/>
    <cellStyle name="好 2 2 10" xfId="26670"/>
    <cellStyle name="好_应收账款 10" xfId="26671"/>
    <cellStyle name="好 2 2 11" xfId="26672"/>
    <cellStyle name="好_复件 固定资产 6 2 3" xfId="26673"/>
    <cellStyle name="好 2 2 2 2" xfId="26674"/>
    <cellStyle name="好_在建工程" xfId="26675"/>
    <cellStyle name="好_复件 固定资产 6 2 4" xfId="26676"/>
    <cellStyle name="好 2 2 2 3" xfId="26677"/>
    <cellStyle name="好 2 2 3" xfId="26678"/>
    <cellStyle name="好_32-应付职工薪酬(空白模板) 18" xfId="26679"/>
    <cellStyle name="好_32-应付职工薪酬(空白模板) 23" xfId="26680"/>
    <cellStyle name="好 2 2 3 2" xfId="26681"/>
    <cellStyle name="好_32-应付职工薪酬(空白模板) 19" xfId="26682"/>
    <cellStyle name="好_32-应付职工薪酬(空白模板) 24" xfId="26683"/>
    <cellStyle name="好 2 2 3 3" xfId="26684"/>
    <cellStyle name="好_32-应付职工薪酬(空白模板) 25" xfId="26685"/>
    <cellStyle name="好_32-应付职工薪酬(空白模板) 30" xfId="26686"/>
    <cellStyle name="好 2 2 3 4" xfId="26687"/>
    <cellStyle name="好 2 2 4" xfId="26688"/>
    <cellStyle name="好 2 2 5" xfId="26689"/>
    <cellStyle name="好 2 2 6" xfId="26690"/>
    <cellStyle name="好 2 3 3" xfId="26691"/>
    <cellStyle name="好 2 3 3 2" xfId="26692"/>
    <cellStyle name="好 2 3 4" xfId="26693"/>
    <cellStyle name="好 2 3 5" xfId="26694"/>
    <cellStyle name="好 2 3 6" xfId="26695"/>
    <cellStyle name="好 2 3 7" xfId="26696"/>
    <cellStyle name="好 2 3_附注表一（财务报表）" xfId="26697"/>
    <cellStyle name="好 2 4 2" xfId="26698"/>
    <cellStyle name="好 2 4 3" xfId="26699"/>
    <cellStyle name="好 2 4 4" xfId="26700"/>
    <cellStyle name="好 2 4 5" xfId="26701"/>
    <cellStyle name="好 2 4 6" xfId="26702"/>
    <cellStyle name="好 2 5 2" xfId="26703"/>
    <cellStyle name="好_30-应付账款（空白模板）_附注表一（财务报表）" xfId="26704"/>
    <cellStyle name="好 2 9" xfId="26705"/>
    <cellStyle name="好 3" xfId="26706"/>
    <cellStyle name="好 3 2" xfId="26707"/>
    <cellStyle name="好 3 3" xfId="26708"/>
    <cellStyle name="好 3 4" xfId="26709"/>
    <cellStyle name="好 4 2 2" xfId="26710"/>
    <cellStyle name="好 5 2 2" xfId="26711"/>
    <cellStyle name="千位分隔 2 5 2 4_附注表一（财务报表）" xfId="26712"/>
    <cellStyle name="好 5 2 3" xfId="26713"/>
    <cellStyle name="好 5 3" xfId="26714"/>
    <cellStyle name="好 6 3" xfId="26715"/>
    <cellStyle name="好 7 3" xfId="26716"/>
    <cellStyle name="好 8 2" xfId="26717"/>
    <cellStyle name="好 8 3" xfId="26718"/>
    <cellStyle name="好 9 2" xfId="26719"/>
    <cellStyle name="好 9 3" xfId="26720"/>
    <cellStyle name="好__dxn_tempA空白表页" xfId="26721"/>
    <cellStyle name="好__dxn_tempA空白表页 3 2" xfId="26722"/>
    <cellStyle name="好__dxn_tempA空白表页 3 3" xfId="26723"/>
    <cellStyle name="好_1短期借款 4_明细表" xfId="26724"/>
    <cellStyle name="好__dxn_tempA空白表页 4 2" xfId="26725"/>
    <cellStyle name="好__dxn_tempA空白表页 4 3" xfId="26726"/>
    <cellStyle name="好__dxn_temp货币资金 2" xfId="26727"/>
    <cellStyle name="好_ZA0货币资金审定表  16 6" xfId="26728"/>
    <cellStyle name="好__dxn_temp货币资金-保险柜检查记录表" xfId="26729"/>
    <cellStyle name="好__dxn_temp货币资金-保险柜检查记录表 2" xfId="26730"/>
    <cellStyle name="好_财务费用 11_明细表 2" xfId="26731"/>
    <cellStyle name="好__dxn_temp货币资金-保险柜检查记录表 3" xfId="26732"/>
    <cellStyle name="好__dxn_temp货币资金-截止测试 3" xfId="26733"/>
    <cellStyle name="好_2007 4 19 Qingdao Appendix4 TBJA 2" xfId="26734"/>
    <cellStyle name="好__dxn_temp检查情况表模版" xfId="26735"/>
    <cellStyle name="好__dxn_temp检查情况表模版 2" xfId="26736"/>
    <cellStyle name="好__dxn_temp检查情况表模版 3" xfId="26737"/>
    <cellStyle name="好_51-营业税金及附加（空白模板） 2 2 2 2" xfId="26738"/>
    <cellStyle name="好__dxn_temp空白表页 10" xfId="26739"/>
    <cellStyle name="好__dxn_temp空白表页 10 2" xfId="26740"/>
    <cellStyle name="好__dxn_temp空白表页 10 3" xfId="26741"/>
    <cellStyle name="好_1营业收入 10_明细表" xfId="26742"/>
    <cellStyle name="好__dxn_temp空白表页 10 4" xfId="26743"/>
    <cellStyle name="好__dxn_temp空白表页 11 2" xfId="26744"/>
    <cellStyle name="好__dxn_temp空白表页 11 3" xfId="26745"/>
    <cellStyle name="好__dxn_temp空白表页 11_附注表一（财务报表）" xfId="26746"/>
    <cellStyle name="好_应收账款_明细表 2 5" xfId="26747"/>
    <cellStyle name="好_营业收入 2_明细表 5" xfId="26748"/>
    <cellStyle name="好__dxn_temp空白表页 12" xfId="26749"/>
    <cellStyle name="好__dxn_temp空白表页 12 2" xfId="26750"/>
    <cellStyle name="好__dxn_temp空白表页 12 2 2" xfId="26751"/>
    <cellStyle name="好_固定资产 9 2" xfId="26752"/>
    <cellStyle name="好__dxn_temp空白表页 12 2 3" xfId="26753"/>
    <cellStyle name="好__dxn_temp空白表页 12 3" xfId="26754"/>
    <cellStyle name="好__dxn_temp空白表页 13 2" xfId="26755"/>
    <cellStyle name="好_55-资产减值损失（空白模板） 18" xfId="26756"/>
    <cellStyle name="好_55-资产减值损失（空白模板） 23" xfId="26757"/>
    <cellStyle name="好__dxn_temp空白表页 13 2 2" xfId="26758"/>
    <cellStyle name="好_55-资产减值损失（空白模板） 19" xfId="26759"/>
    <cellStyle name="好_55-资产减值损失（空白模板） 24" xfId="26760"/>
    <cellStyle name="好__dxn_temp空白表页 13 2 3" xfId="26761"/>
    <cellStyle name="好__dxn_temp空白表页 13 3" xfId="26762"/>
    <cellStyle name="千位分隔 28 5" xfId="26763"/>
    <cellStyle name="好__dxn_temp空白表页 13_明细表" xfId="26764"/>
    <cellStyle name="好_1资产减值损失 12 2" xfId="26765"/>
    <cellStyle name="好__dxn_temp空白表页 14 2 3" xfId="26766"/>
    <cellStyle name="好__dxn_temp空白表页 14_附注表一（财务报表）" xfId="26767"/>
    <cellStyle name="好__dxn_temp空白表页 15" xfId="26768"/>
    <cellStyle name="好__dxn_temp空白表页 20" xfId="26769"/>
    <cellStyle name="好__dxn_temp空白表页 15 2" xfId="26770"/>
    <cellStyle name="好__dxn_temp空白表页 15 3" xfId="26771"/>
    <cellStyle name="好_1短期借款_明细表 2 5" xfId="26772"/>
    <cellStyle name="好__dxn_temp空白表页 15_附注表一（财务报表）" xfId="26773"/>
    <cellStyle name="好__dxn_temp空白表页 16 2 3" xfId="26774"/>
    <cellStyle name="好_49-营业收入（空白模板） 15_附注表一（财务报表）" xfId="26775"/>
    <cellStyle name="好__dxn_temp空白表页 16 5" xfId="26776"/>
    <cellStyle name="好__dxn_temp空白表页 16 6" xfId="26777"/>
    <cellStyle name="好_固定资产 3_附注表一（财务报表）" xfId="26778"/>
    <cellStyle name="好_1预收款项 8_附注表一（财务报表）" xfId="26779"/>
    <cellStyle name="好__dxn_temp空白表页 17" xfId="26780"/>
    <cellStyle name="好__dxn_temp空白表页 22" xfId="26781"/>
    <cellStyle name="好_15-固定资产（空白模板） 3 3" xfId="26782"/>
    <cellStyle name="好__dxn_temp空白表页 17 2" xfId="26783"/>
    <cellStyle name="好_51-营业税金及附加（空白模板） 9_明细表 3" xfId="26784"/>
    <cellStyle name="好__dxn_temp空白表页 17 2 2" xfId="26785"/>
    <cellStyle name="好_51-营业税金及附加（空白模板） 9_明细表 4" xfId="26786"/>
    <cellStyle name="好__dxn_temp空白表页 17 2 3" xfId="26787"/>
    <cellStyle name="好__dxn_temp空白表页 17 2 5" xfId="26788"/>
    <cellStyle name="好__dxn_temp空白表页 17 3" xfId="26789"/>
    <cellStyle name="好__dxn_temp空白表页 17 4" xfId="26790"/>
    <cellStyle name="好__dxn_temp空白表页 17 5" xfId="26791"/>
    <cellStyle name="好__dxn_temp空白表页 18" xfId="26792"/>
    <cellStyle name="好__dxn_temp空白表页 23" xfId="26793"/>
    <cellStyle name="好_15-固定资产（空白模板） 4 3" xfId="26794"/>
    <cellStyle name="好__dxn_temp空白表页 18 2" xfId="26795"/>
    <cellStyle name="好_Book1 2" xfId="26796"/>
    <cellStyle name="好__dxn_temp空白表页 18 3" xfId="26797"/>
    <cellStyle name="好__dxn_temp空白表页 18 4" xfId="26798"/>
    <cellStyle name="好__dxn_temp空白表页 18 5" xfId="26799"/>
    <cellStyle name="好__dxn_temp空白表页 19" xfId="26800"/>
    <cellStyle name="好__dxn_temp空白表页 24" xfId="26801"/>
    <cellStyle name="好__dxn_temp空白表页 2" xfId="26802"/>
    <cellStyle name="好_无形资产 15 2 5" xfId="26803"/>
    <cellStyle name="好__dxn_temp空白表页 2 2" xfId="26804"/>
    <cellStyle name="好__dxn_temp空白表页 2 2 2" xfId="26805"/>
    <cellStyle name="好__dxn_temp空白表页 2 2 2 2" xfId="26806"/>
    <cellStyle name="好__dxn_temp空白表页 2 2 3" xfId="26807"/>
    <cellStyle name="好_底稿设置宏 6 2 2" xfId="26808"/>
    <cellStyle name="好__dxn_temp空白表页 2 2 4" xfId="26809"/>
    <cellStyle name="好_底稿设置宏 6 2 3" xfId="26810"/>
    <cellStyle name="好_55-资产减值损失（空白模板） 15_明细表" xfId="26811"/>
    <cellStyle name="好__dxn_temp空白表页 2 2 5" xfId="26812"/>
    <cellStyle name="好_底稿设置宏 6 2 4" xfId="26813"/>
    <cellStyle name="好_1营业成本 3 2 2" xfId="26814"/>
    <cellStyle name="千位分隔 3 2 4 2 2" xfId="26815"/>
    <cellStyle name="好__dxn_temp空白表页 2 3" xfId="26816"/>
    <cellStyle name="千位分隔 3 2 4 2 2 2" xfId="26817"/>
    <cellStyle name="好__dxn_temp空白表页 2 3 2" xfId="26818"/>
    <cellStyle name="好__dxn_temp空白表页 2 3 3" xfId="26819"/>
    <cellStyle name="好_底稿设置宏 6 3 2" xfId="26820"/>
    <cellStyle name="千位分隔 3 2 4 2 3" xfId="26821"/>
    <cellStyle name="好__dxn_temp空白表页 2 4" xfId="26822"/>
    <cellStyle name="千位分隔 3 2 4 2 4" xfId="26823"/>
    <cellStyle name="好__dxn_temp空白表页 2 5" xfId="26824"/>
    <cellStyle name="好_51-营业税金及附加（空白模板） 16 2 2" xfId="26825"/>
    <cellStyle name="千位分隔 3 2 4 2 5" xfId="26826"/>
    <cellStyle name="好__dxn_temp空白表页 2 6" xfId="26827"/>
    <cellStyle name="好_40-专项应付款(空白模板) 4_明细表 5" xfId="26828"/>
    <cellStyle name="好_预付款项 2 2" xfId="26829"/>
    <cellStyle name="好__dxn_temp空白表页 2_明细表" xfId="26830"/>
    <cellStyle name="好__dxn_temp空白表页 2_明细表 2" xfId="26831"/>
    <cellStyle name="好__dxn_temp空白表页 2_明细表 3" xfId="26832"/>
    <cellStyle name="好__dxn_temp空白表页 2_明细表 4" xfId="26833"/>
    <cellStyle name="好__dxn_temp空白表页 2_明细表 5" xfId="26834"/>
    <cellStyle name="好__dxn_temp空白表页 3" xfId="26835"/>
    <cellStyle name="好_未分配利润 3" xfId="26836"/>
    <cellStyle name="好__dxn_temp空白表页 3 2" xfId="26837"/>
    <cellStyle name="好_未分配利润 3 2" xfId="26838"/>
    <cellStyle name="好__dxn_temp空白表页 3 2 2" xfId="26839"/>
    <cellStyle name="好_未分配利润 3 3" xfId="26840"/>
    <cellStyle name="好__dxn_temp空白表页 3 2 3" xfId="26841"/>
    <cellStyle name="好_底稿设置宏 7 2 2" xfId="26842"/>
    <cellStyle name="好_1营业收入 5 2" xfId="26843"/>
    <cellStyle name="好__dxn_temp空白表页 3 2 4" xfId="26844"/>
    <cellStyle name="好_底稿设置宏 7 2 3" xfId="26845"/>
    <cellStyle name="好_9-存货（空白模板） 4 2" xfId="26846"/>
    <cellStyle name="好_1营业收入 5 3" xfId="26847"/>
    <cellStyle name="好__dxn_temp空白表页 3 2 5" xfId="26848"/>
    <cellStyle name="好_底稿设置宏 7 2 4" xfId="26849"/>
    <cellStyle name="好_1营业收入 5 4" xfId="26850"/>
    <cellStyle name="好_未分配利润 4" xfId="26851"/>
    <cellStyle name="千位分隔 3 2 4 3 2" xfId="26852"/>
    <cellStyle name="好__dxn_temp空白表页 3 3" xfId="26853"/>
    <cellStyle name="千位分隔 3 2 4 3 2 2" xfId="26854"/>
    <cellStyle name="好__dxn_temp空白表页 3 3 2" xfId="26855"/>
    <cellStyle name="好_未分配利润 5" xfId="26856"/>
    <cellStyle name="千位分隔 3 2 4 3 3" xfId="26857"/>
    <cellStyle name="好__dxn_temp空白表页 3 4" xfId="26858"/>
    <cellStyle name="好__dxn_temp空白表页 3 5" xfId="26859"/>
    <cellStyle name="好_49-营业收入（空白模板） 5_明细表 5" xfId="26860"/>
    <cellStyle name="好__dxn_temp空白表页 3_附注表一（财务报表）" xfId="26861"/>
    <cellStyle name="好_固定资产_明细表 2" xfId="26862"/>
    <cellStyle name="好__dxn_temp空白表页 3_明细表" xfId="26863"/>
    <cellStyle name="好__dxn_temp空白表页 4" xfId="26864"/>
    <cellStyle name="好__dxn_temp空白表页 4 2 3" xfId="26865"/>
    <cellStyle name="好_底稿设置宏 8 2 2" xfId="26866"/>
    <cellStyle name="好__dxn_temp空白表页 4 2 4" xfId="26867"/>
    <cellStyle name="好_底稿设置宏 8 2 3" xfId="26868"/>
    <cellStyle name="好__dxn_temp空白表页 4 2 5" xfId="26869"/>
    <cellStyle name="好_财务费用 2_明细表" xfId="26870"/>
    <cellStyle name="好_底稿设置宏 8 2 4" xfId="26871"/>
    <cellStyle name="千位分隔 3 2 4 4 2" xfId="26872"/>
    <cellStyle name="好__dxn_temp空白表页 4 3" xfId="26873"/>
    <cellStyle name="好__dxn_temp空白表页 4 3 2" xfId="26874"/>
    <cellStyle name="好__dxn_temp空白表页 4 4" xfId="26875"/>
    <cellStyle name="好__dxn_temp空白表页 4 5" xfId="26876"/>
    <cellStyle name="好__dxn_temp空白表页 4_明细表" xfId="26877"/>
    <cellStyle name="好__dxn_temp空白表页 4_明细表 2" xfId="26878"/>
    <cellStyle name="好__dxn_temp空白表页 4_明细表 3" xfId="26879"/>
    <cellStyle name="好__dxn_temp空白表页 5" xfId="26880"/>
    <cellStyle name="好__dxn_temp空白表页 5 2" xfId="26881"/>
    <cellStyle name="好_应付职工薪酬 - 复制" xfId="26882"/>
    <cellStyle name="好__dxn_temp空白表页 5 2 2" xfId="26883"/>
    <cellStyle name="好__dxn_temp空白表页 5 2 3" xfId="26884"/>
    <cellStyle name="好_底稿设置宏 9 2 2" xfId="26885"/>
    <cellStyle name="好__dxn_temp空白表页 5 2 4" xfId="26886"/>
    <cellStyle name="好_底稿设置宏 9 2 3" xfId="26887"/>
    <cellStyle name="好__dxn_temp空白表页 5 3" xfId="26888"/>
    <cellStyle name="好__dxn_temp空白表页 5 4" xfId="26889"/>
    <cellStyle name="好__dxn_temp空白表页 5 5" xfId="26890"/>
    <cellStyle name="好__dxn_temp空白表页 5_附注表一（财务报表）" xfId="26891"/>
    <cellStyle name="好__dxn_temp空白表页 5_明细表" xfId="26892"/>
    <cellStyle name="好_应收利息 11" xfId="26893"/>
    <cellStyle name="好_49-营业收入（空白模板） 2 3 3" xfId="26894"/>
    <cellStyle name="好_19-无形资产（空白模板） 10_明细表" xfId="26895"/>
    <cellStyle name="好__dxn_temp空白表页 5_明细表 2" xfId="26896"/>
    <cellStyle name="好__dxn_temp空白表页 6" xfId="26897"/>
    <cellStyle name="好__dxn_temp空白表页 6 2" xfId="26898"/>
    <cellStyle name="好_G-应收账款 28" xfId="26899"/>
    <cellStyle name="好_G-应收账款 33" xfId="26900"/>
    <cellStyle name="好__dxn_temp空白表页 6 2 2" xfId="26901"/>
    <cellStyle name="好_G-应收账款 29" xfId="26902"/>
    <cellStyle name="好_G-应收账款 34" xfId="26903"/>
    <cellStyle name="好__dxn_temp空白表页 6 2 3" xfId="26904"/>
    <cellStyle name="好__dxn_temp空白表页 6 2 4" xfId="26905"/>
    <cellStyle name="好__dxn_temp空白表页 6 2 5" xfId="26906"/>
    <cellStyle name="好_财务费用 4_明细表" xfId="26907"/>
    <cellStyle name="好__dxn_temp空白表页 6 3" xfId="26908"/>
    <cellStyle name="好__dxn_temp空白表页 6 3 2" xfId="26909"/>
    <cellStyle name="好__dxn_temp空白表页 6 5" xfId="26910"/>
    <cellStyle name="好_1交易性金融负债 3" xfId="26911"/>
    <cellStyle name="好__dxn_temp空白表页 7" xfId="26912"/>
    <cellStyle name="好__dxn_temp空白表页 7_附注表一（财务报表）" xfId="26913"/>
    <cellStyle name="好__dxn_temp空白表页 8" xfId="26914"/>
    <cellStyle name="好_应收利息 16 2 5" xfId="26915"/>
    <cellStyle name="好__dxn_temp空白表页 8 2" xfId="26916"/>
    <cellStyle name="好__dxn_temp空白表页 8 2 3" xfId="26917"/>
    <cellStyle name="好__dxn_temp空白表页 8 2 4" xfId="26918"/>
    <cellStyle name="好__dxn_temp空白表页 8 2 5" xfId="26919"/>
    <cellStyle name="好_财务费用 6_明细表" xfId="26920"/>
    <cellStyle name="好__dxn_temp空白表页 8 3" xfId="26921"/>
    <cellStyle name="好__dxn_temp空白表页 8 4" xfId="26922"/>
    <cellStyle name="好__dxn_temp空白表页 8_明细表 4" xfId="26923"/>
    <cellStyle name="好__dxn_temp空白表页 8_明细表 5" xfId="26924"/>
    <cellStyle name="好__dxn_temp空白表页 9" xfId="26925"/>
    <cellStyle name="好__dxn_temp空白表页 9 2" xfId="26926"/>
    <cellStyle name="好_22-长期待摊费用（空白模板） 2 7" xfId="26927"/>
    <cellStyle name="好__dxn_temp空白表页 9 2 3" xfId="26928"/>
    <cellStyle name="好__dxn_temp空白表页 9 2 5" xfId="26929"/>
    <cellStyle name="好_财务费用 7_明细表" xfId="26930"/>
    <cellStyle name="好_1专项应付款 2 2 3" xfId="26931"/>
    <cellStyle name="好__dxn_temp空白表页 9 3" xfId="26932"/>
    <cellStyle name="好__dxn_temp空白表页 9 4" xfId="26933"/>
    <cellStyle name="好_30-应付账款（空白模板） 13_明细表 4" xfId="26934"/>
    <cellStyle name="好_31-预收账款（空白模板） 11 2 4" xfId="26935"/>
    <cellStyle name="好__dxn_temp空白表页 9_附注表一（财务报表）" xfId="26936"/>
    <cellStyle name="好_G-应收账款 5_明细表 4" xfId="26937"/>
    <cellStyle name="好__dxn_temp空白表页 9_明细表" xfId="26938"/>
    <cellStyle name="好__dxn_temp空白表页 9_明细表 4" xfId="26939"/>
    <cellStyle name="好__dxn_temp空白表页 9_明细表 5" xfId="26940"/>
    <cellStyle name="好_专项应付款 11_明细表 3" xfId="26941"/>
    <cellStyle name="好_复件 固定资产 3 2 3" xfId="26942"/>
    <cellStyle name="好_1财务费用 6 3" xfId="26943"/>
    <cellStyle name="千位分隔 2 2 11 2" xfId="26944"/>
    <cellStyle name="好__dxn_temp空白表页_明细表 2 3" xfId="26945"/>
    <cellStyle name="好_复件 固定资产 13_明细表 2" xfId="26946"/>
    <cellStyle name="好_ZH其他应收款 5" xfId="26947"/>
    <cellStyle name="好__dxn_temp空白表页_明细表_1 2" xfId="26948"/>
    <cellStyle name="好_复件 固定资产 13_明细表 3" xfId="26949"/>
    <cellStyle name="好_ZH其他应收款 6" xfId="26950"/>
    <cellStyle name="好__dxn_temp空白表页_明细表_1 3" xfId="26951"/>
    <cellStyle name="好_复件 固定资产 13_明细表 4" xfId="26952"/>
    <cellStyle name="好_ZH其他应收款 7" xfId="26953"/>
    <cellStyle name="好__dxn_temp空白表页_明细表_1 4" xfId="26954"/>
    <cellStyle name="好__dxn_temp替代测试表(二)-借方金额检查模板 2" xfId="26955"/>
    <cellStyle name="好__dxn_temp替代测试表(二)-借方金额检查模板 3" xfId="26956"/>
    <cellStyle name="好_专项应付款 9 2" xfId="26957"/>
    <cellStyle name="好_54-财务费用（空白模板） 4_明细表 4" xfId="26958"/>
    <cellStyle name="好__dxn_temp替代测试表(一)-期后收款情况模板" xfId="26959"/>
    <cellStyle name="好_预收款项 9 2 3" xfId="26960"/>
    <cellStyle name="好_专项应付款 9 2 2" xfId="26961"/>
    <cellStyle name="好__dxn_temp替代测试表(一)-期后收款情况模板 2" xfId="26962"/>
    <cellStyle name="好_预收款项 9 2 4" xfId="26963"/>
    <cellStyle name="好_专项应付款 9 2 3" xfId="26964"/>
    <cellStyle name="好__dxn_temp替代测试表(一)-期后收款情况模板 3" xfId="26965"/>
    <cellStyle name="好_预收款项 6_明细表 2" xfId="26966"/>
    <cellStyle name="好_03-附件2-辞退福利表（11.11）" xfId="26967"/>
    <cellStyle name="好_04-06 东营 Appendix4 TBJA.0411.v17 3" xfId="26968"/>
    <cellStyle name="好_04-06 东营 Appendix4 TBJA.0411.v17 4" xfId="26969"/>
    <cellStyle name="好_1短期借款 4_附注表一（财务报表）" xfId="26970"/>
    <cellStyle name="好_10-ZH 其他应收款" xfId="26971"/>
    <cellStyle name="好_销售返利变动-ＦＬＸ" xfId="26972"/>
    <cellStyle name="好_10-ZH 其他应收款 2" xfId="26973"/>
    <cellStyle name="好_10-ZH 其他应收款 2 2 2" xfId="26974"/>
    <cellStyle name="好_10-ZH 其他应收款 2 2 3" xfId="26975"/>
    <cellStyle name="好_10-ZH 其他应收款 4" xfId="26976"/>
    <cellStyle name="好_10-ZH 其他应收款 4 2" xfId="26977"/>
    <cellStyle name="好_10-ZH 其他应收款 4 3" xfId="26978"/>
    <cellStyle name="好_10-ZH 其他应收款 5" xfId="26979"/>
    <cellStyle name="好_预收款项 13 2 4" xfId="26980"/>
    <cellStyle name="好_10-ZH 其他应收款 5 2" xfId="26981"/>
    <cellStyle name="好_预收款项 13 2 5" xfId="26982"/>
    <cellStyle name="好_10-ZH 其他应收款 5 3" xfId="26983"/>
    <cellStyle name="好_10存货 2 2 2" xfId="26984"/>
    <cellStyle name="好_10存货 2 2 3" xfId="26985"/>
    <cellStyle name="好_22-长期待摊费用（空白模板）_附注表一（财务报表）" xfId="26986"/>
    <cellStyle name="好_1短期借款 11 2 5" xfId="26987"/>
    <cellStyle name="好_10存货 3" xfId="26988"/>
    <cellStyle name="好_27-短期借款(空白模板)_明细表_1 2" xfId="26989"/>
    <cellStyle name="好_10存货 4" xfId="26990"/>
    <cellStyle name="好_27-短期借款(空白模板)_明细表_1 3" xfId="26991"/>
    <cellStyle name="好_10存货 5" xfId="26992"/>
    <cellStyle name="好_10-可供出售金融资产（空白模板）" xfId="26993"/>
    <cellStyle name="好_10-可供出售金融资产（空白模板） 3 2" xfId="26994"/>
    <cellStyle name="好_10针对持续经营的调查问卷" xfId="26995"/>
    <cellStyle name="好_黄金项目组审计人员通讯录_明细表 4" xfId="26996"/>
    <cellStyle name="好_50-营业成本（空白模板） 3 3 2" xfId="26997"/>
    <cellStyle name="好_10针对持续经营的调查问卷 2 2" xfId="26998"/>
    <cellStyle name="好_50-营业成本（空白模板） 3 4" xfId="26999"/>
    <cellStyle name="好_10针对持续经营的调查问卷 3" xfId="27000"/>
    <cellStyle name="好_1财务费用 15 2 5" xfId="27001"/>
    <cellStyle name="好_111其他流动资产 3" xfId="27002"/>
    <cellStyle name="汇总 2 4" xfId="27003"/>
    <cellStyle name="好_11-持有至到期投资（空白模板）" xfId="27004"/>
    <cellStyle name="汇总 2 4 2" xfId="27005"/>
    <cellStyle name="好_11-持有至到期投资（空白模板） 2" xfId="27006"/>
    <cellStyle name="汇总 2 4 3" xfId="27007"/>
    <cellStyle name="好_11-持有至到期投资（空白模板） 3" xfId="27008"/>
    <cellStyle name="好_11-持有至到期投资（空白模板） 3 2" xfId="27009"/>
    <cellStyle name="好_2011.12全年年报资料汇总(樣本) 4" xfId="27010"/>
    <cellStyle name="好_12-长期应收款（空白模板）" xfId="27011"/>
    <cellStyle name="好_12-长期应收款（空白模板） 2" xfId="27012"/>
    <cellStyle name="好_12-长期应收款（空白模板） 2 2" xfId="27013"/>
    <cellStyle name="好_13-长期股权投资（空白模板）" xfId="27014"/>
    <cellStyle name="好_13-长期股权投资（空白模板） 2" xfId="27015"/>
    <cellStyle name="好_14-投资性房地产（空白模板）" xfId="27016"/>
    <cellStyle name="好_14-投资性房地产（空白模板） 2" xfId="27017"/>
    <cellStyle name="好_15-固定资产（空白模板）" xfId="27018"/>
    <cellStyle name="好_银行函证结果汇总表_明细表 5" xfId="27019"/>
    <cellStyle name="好_专项应付款 15_明细表 2" xfId="27020"/>
    <cellStyle name="好_15-固定资产（空白模板） 10 2" xfId="27021"/>
    <cellStyle name="好_15-固定资产（空白模板） 10 2 2" xfId="27022"/>
    <cellStyle name="好_15-固定资产（空白模板） 10 2 5" xfId="27023"/>
    <cellStyle name="好_15-固定资产（空白模板） 10_附注表一（财务报表）" xfId="27024"/>
    <cellStyle name="好_15-固定资产（空白模板） 10_明细表" xfId="27025"/>
    <cellStyle name="好_资产负债标准底稿 12" xfId="27026"/>
    <cellStyle name="好_15-固定资产（空白模板） 10_明细表 2" xfId="27027"/>
    <cellStyle name="好_资产负债标准底稿 13" xfId="27028"/>
    <cellStyle name="好_15-固定资产（空白模板） 10_明细表 3" xfId="27029"/>
    <cellStyle name="好_15-固定资产（空白模板） 11 2" xfId="27030"/>
    <cellStyle name="好_15-固定资产（空白模板） 11 2 2" xfId="27031"/>
    <cellStyle name="好_15-固定资产（空白模板） 11 3" xfId="27032"/>
    <cellStyle name="好_15-固定资产（空白模板） 11_明细表 3" xfId="27033"/>
    <cellStyle name="好_15-固定资产（空白模板） 11_明细表 4" xfId="27034"/>
    <cellStyle name="好_15-固定资产（空白模板） 11_明细表 5" xfId="27035"/>
    <cellStyle name="好_15-固定资产（空白模板） 12 2" xfId="27036"/>
    <cellStyle name="好_15-固定资产（空白模板） 12 2 3" xfId="27037"/>
    <cellStyle name="好_15-固定资产（空白模板） 12 3" xfId="27038"/>
    <cellStyle name="好_基础信息表 20130323" xfId="27039"/>
    <cellStyle name="好_15-固定资产（空白模板） 12_明细表 4" xfId="27040"/>
    <cellStyle name="好_15-固定资产（空白模板） 12_明细表 5" xfId="27041"/>
    <cellStyle name="好_15-固定资产（空白模板） 13" xfId="27042"/>
    <cellStyle name="好_15-固定资产（空白模板） 13 2" xfId="27043"/>
    <cellStyle name="好_FG 应交税费" xfId="27044"/>
    <cellStyle name="好_15-固定资产（空白模板） 13 2 2" xfId="27045"/>
    <cellStyle name="好_FG 应交税费 2" xfId="27046"/>
    <cellStyle name="好_15-固定资产（空白模板） 13 2 3" xfId="27047"/>
    <cellStyle name="好_15-固定资产（空白模板） 13 3" xfId="27048"/>
    <cellStyle name="好_15-固定资产（空白模板） 13_明细表 2" xfId="27049"/>
    <cellStyle name="好_15-固定资产（空白模板） 13_明细表 3" xfId="27050"/>
    <cellStyle name="好_15-固定资产（空白模板） 13_明细表 4" xfId="27051"/>
    <cellStyle name="好_15-固定资产（空白模板） 13_明细表 5" xfId="27052"/>
    <cellStyle name="好_15-固定资产（空白模板） 14" xfId="27053"/>
    <cellStyle name="好_15-固定资产（空白模板） 14 2" xfId="27054"/>
    <cellStyle name="好_15-固定资产（空白模板） 15" xfId="27055"/>
    <cellStyle name="好_15-固定资产（空白模板） 2 2" xfId="27056"/>
    <cellStyle name="好_15-固定资产（空白模板） 2 2 2" xfId="27057"/>
    <cellStyle name="好_固定资产 4_附注表一（财务报表）" xfId="27058"/>
    <cellStyle name="好_1预收款项 9_附注表一（财务报表）" xfId="27059"/>
    <cellStyle name="好_15-固定资产（空白模板） 2_明细表" xfId="27060"/>
    <cellStyle name="好_15-固定资产（空白模板） 2_明细表 5" xfId="27061"/>
    <cellStyle name="好_15-固定资产（空白模板） 3" xfId="27062"/>
    <cellStyle name="好_15-固定资产（空白模板） 3 2" xfId="27063"/>
    <cellStyle name="好_公允价值变动损益_附注表一（财务报表）" xfId="27064"/>
    <cellStyle name="好_19-无形资产（空白模板） 3_明细表 3" xfId="27065"/>
    <cellStyle name="好_15-固定资产（空白模板） 3 2 2" xfId="27066"/>
    <cellStyle name="好_15-固定资产（空白模板） 3 2 5" xfId="27067"/>
    <cellStyle name="好_15-固定资产（空白模板） 3_明细表" xfId="27068"/>
    <cellStyle name="好_15-固定资产（空白模板） 3_明细表 3" xfId="27069"/>
    <cellStyle name="好_15-固定资产（空白模板） 3_明细表 4" xfId="27070"/>
    <cellStyle name="好_15-固定资产（空白模板） 3_明细表 5" xfId="27071"/>
    <cellStyle name="好_15-固定资产（空白模板） 4" xfId="27072"/>
    <cellStyle name="好_15-固定资产（空白模板） 4 2" xfId="27073"/>
    <cellStyle name="好_15-固定资产（空白模板） 4 2 2" xfId="27074"/>
    <cellStyle name="好_15-固定资产（空白模板） 4 2 3" xfId="27075"/>
    <cellStyle name="好_15-固定资产（空白模板） 4 2 4" xfId="27076"/>
    <cellStyle name="好_15-固定资产（空白模板） 4 2 5" xfId="27077"/>
    <cellStyle name="好_FM长期应付款 4 3" xfId="27078"/>
    <cellStyle name="好_1应收账款_明细表_1" xfId="27079"/>
    <cellStyle name="好_15-固定资产（空白模板） 4_附注表一（财务报表）" xfId="27080"/>
    <cellStyle name="好_15-固定资产（空白模板） 4_明细表" xfId="27081"/>
    <cellStyle name="好_15-固定资产（空白模板） 4_明细表 2" xfId="27082"/>
    <cellStyle name="好_15-固定资产（空白模板） 4_明细表 3" xfId="27083"/>
    <cellStyle name="好_51-营业税金及附加（空白模板） 17 2" xfId="27084"/>
    <cellStyle name="好_15-固定资产（空白模板） 4_明细表 4" xfId="27085"/>
    <cellStyle name="好_51-营业税金及附加（空白模板） 17 3" xfId="27086"/>
    <cellStyle name="好_15-固定资产（空白模板） 4_明细表 5" xfId="27087"/>
    <cellStyle name="好_15-固定资产（空白模板） 5 2 2" xfId="27088"/>
    <cellStyle name="好_15-固定资产（空白模板） 5 2 3" xfId="27089"/>
    <cellStyle name="好_15-固定资产（空白模板） 5 2 4" xfId="27090"/>
    <cellStyle name="好_15-固定资产（空白模板） 5 2 5" xfId="27091"/>
    <cellStyle name="好_15-固定资产（空白模板） 5 3" xfId="27092"/>
    <cellStyle name="好_15-固定资产（空白模板） 5_明细表" xfId="27093"/>
    <cellStyle name="好_15-固定资产（空白模板） 5_明细表 2" xfId="27094"/>
    <cellStyle name="好_15-固定资产（空白模板） 5_明细表 3" xfId="27095"/>
    <cellStyle name="好_15-固定资产（空白模板） 5_明细表 4" xfId="27096"/>
    <cellStyle name="好_15-固定资产（空白模板） 5_明细表 5" xfId="27097"/>
    <cellStyle name="好_15-固定资产（空白模板） 6 2" xfId="27098"/>
    <cellStyle name="好_15-固定资产（空白模板） 6 2 2" xfId="27099"/>
    <cellStyle name="好_15-固定资产（空白模板） 6 2 3" xfId="27100"/>
    <cellStyle name="好_15-固定资产（空白模板） 6 2 4" xfId="27101"/>
    <cellStyle name="好_15-固定资产（空白模板） 6 2 5" xfId="27102"/>
    <cellStyle name="好_15-固定资产（空白模板） 6 3" xfId="27103"/>
    <cellStyle name="好_15-固定资产（空白模板） 6_附注表一（财务报表）" xfId="27104"/>
    <cellStyle name="好_15-固定资产（空白模板） 6_明细表" xfId="27105"/>
    <cellStyle name="好_15-固定资产（空白模板） 6_明细表 3" xfId="27106"/>
    <cellStyle name="好_15-固定资产（空白模板） 6_明细表 4" xfId="27107"/>
    <cellStyle name="好_4-应收账款（空白模板）" xfId="27108"/>
    <cellStyle name="好_15-固定资产（空白模板） 7" xfId="27109"/>
    <cellStyle name="好_15-固定资产（空白模板） 7 2" xfId="27110"/>
    <cellStyle name="好_19-无形资产（空白模板） 14_明细表 3" xfId="27111"/>
    <cellStyle name="好_15-固定资产（空白模板） 7 2 4" xfId="27112"/>
    <cellStyle name="好_19-无形资产（空白模板） 14_明细表 4" xfId="27113"/>
    <cellStyle name="好_15-固定资产（空白模板） 7 2 5" xfId="27114"/>
    <cellStyle name="好_15-固定资产（空白模板） 7 3" xfId="27115"/>
    <cellStyle name="好_15-固定资产（空白模板） 7_附注表一（财务报表）" xfId="27116"/>
    <cellStyle name="好_30-应付账款（空白模板）_明细表 5" xfId="27117"/>
    <cellStyle name="好_15-固定资产（空白模板） 7_明细表" xfId="27118"/>
    <cellStyle name="好_15-固定资产（空白模板） 7_明细表 2" xfId="27119"/>
    <cellStyle name="好_54-财务费用（空白模板） 11 2 2" xfId="27120"/>
    <cellStyle name="好_15-固定资产（空白模板） 7_明细表 4" xfId="27121"/>
    <cellStyle name="好_54-财务费用（空白模板） 11 2 3" xfId="27122"/>
    <cellStyle name="好_15-固定资产（空白模板） 7_明细表 5" xfId="27123"/>
    <cellStyle name="好_FP递延所得税负债 2" xfId="27124"/>
    <cellStyle name="好_15-固定资产（空白模板） 8" xfId="27125"/>
    <cellStyle name="好_FP递延所得税负债 2 2" xfId="27126"/>
    <cellStyle name="好_15-固定资产（空白模板） 8 2" xfId="27127"/>
    <cellStyle name="好_FP递延所得税负债 2 2 2" xfId="27128"/>
    <cellStyle name="好_15-固定资产（空白模板） 8 2 2" xfId="27129"/>
    <cellStyle name="好_FP递延所得税负债 2 2 3" xfId="27130"/>
    <cellStyle name="好_15-固定资产（空白模板） 8 2 3" xfId="27131"/>
    <cellStyle name="好_15-固定资产（空白模板） 8 2 4" xfId="27132"/>
    <cellStyle name="好_FP递延所得税负债 2 3" xfId="27133"/>
    <cellStyle name="好_15-固定资产（空白模板） 8 3" xfId="27134"/>
    <cellStyle name="好_15-固定资产（空白模板） 8_附注表一（财务报表）" xfId="27135"/>
    <cellStyle name="好_15-固定资产（空白模板） 9 2 3" xfId="27136"/>
    <cellStyle name="好_15-固定资产（空白模板） 9 2 4" xfId="27137"/>
    <cellStyle name="好_15-固定资产（空白模板） 9 2 5" xfId="27138"/>
    <cellStyle name="好_应付账款 - 复制 2 2 2" xfId="27139"/>
    <cellStyle name="好_应收利息 5_明细表" xfId="27140"/>
    <cellStyle name="好_初步业务活动之首次承接" xfId="27141"/>
    <cellStyle name="好_FP递延所得税负债 3 3" xfId="27142"/>
    <cellStyle name="好_15-固定资产（空白模板） 9 3" xfId="27143"/>
    <cellStyle name="好_15-固定资产（空白模板） 9_明细表" xfId="27144"/>
    <cellStyle name="好_15-固定资产（空白模板） 9_明细表 2" xfId="27145"/>
    <cellStyle name="好_15-固定资产（空白模板） 9_明细表 3" xfId="27146"/>
    <cellStyle name="好_15-固定资产（空白模板） 9_明细表 4" xfId="27147"/>
    <cellStyle name="好_15-固定资产（空白模板） 9_明细表 5" xfId="27148"/>
    <cellStyle name="好_15-固定资产（空白模板）_明细表" xfId="27149"/>
    <cellStyle name="好_15-固定资产（空白模板）_明细表 3" xfId="27150"/>
    <cellStyle name="好_FA 短期借款 3 2" xfId="27151"/>
    <cellStyle name="好_15-固定资产（空白模板）_明细表 4" xfId="27152"/>
    <cellStyle name="好_FA 短期借款 3 3" xfId="27153"/>
    <cellStyle name="好_19-无形资产（空白模板） 13 2" xfId="27154"/>
    <cellStyle name="好_15-固定资产（空白模板）_明细表 5" xfId="27155"/>
    <cellStyle name="好_16-在建工程（空白模板） 3" xfId="27156"/>
    <cellStyle name="好_16-在建工程（空白模板） 4" xfId="27157"/>
    <cellStyle name="好_16-在建工程（空白模板） 4 2" xfId="27158"/>
    <cellStyle name="好_16-在建工程（空白模板） 5" xfId="27159"/>
    <cellStyle name="好_16-在建工程（空白模板） 5 2" xfId="27160"/>
    <cellStyle name="好_16-在建工程（空白模板） 6" xfId="27161"/>
    <cellStyle name="好_应收利息 5 5" xfId="27162"/>
    <cellStyle name="好_17-工程物资（空白模板） 2" xfId="27163"/>
    <cellStyle name="好_19-无形资产（空白模板）" xfId="27164"/>
    <cellStyle name="好_19-无形资产（空白模板） 10 2" xfId="27165"/>
    <cellStyle name="好_19-无形资产（空白模板） 10 2 4" xfId="27166"/>
    <cellStyle name="好_19-无形资产（空白模板） 10 2 5" xfId="27167"/>
    <cellStyle name="好_19-无形资产（空白模板） 10 3" xfId="27168"/>
    <cellStyle name="好_19-无形资产（空白模板） 10 4" xfId="27169"/>
    <cellStyle name="好_19-无形资产（空白模板） 10_附注表一（财务报表）" xfId="27170"/>
    <cellStyle name="好_应收利息 11 2" xfId="27171"/>
    <cellStyle name="好_19-无形资产（空白模板） 10_明细表 2" xfId="27172"/>
    <cellStyle name="好_应收利息 11 3" xfId="27173"/>
    <cellStyle name="好_19-无形资产（空白模板） 10_明细表 3" xfId="27174"/>
    <cellStyle name="好_19-无形资产（空白模板） 10_明细表 4" xfId="27175"/>
    <cellStyle name="好_19-无形资产（空白模板） 11 2" xfId="27176"/>
    <cellStyle name="好_19-无形资产（空白模板） 11 2 2" xfId="27177"/>
    <cellStyle name="好_19-无形资产（空白模板） 11 2 3" xfId="27178"/>
    <cellStyle name="好_19-无形资产（空白模板） 11 2 4" xfId="27179"/>
    <cellStyle name="好_19-无形资产（空白模板） 11 3" xfId="27180"/>
    <cellStyle name="好_40-专项应付款(空白模板) 12 2 2" xfId="27181"/>
    <cellStyle name="好_19-无形资产（空白模板） 11_附注表一（财务报表）" xfId="27182"/>
    <cellStyle name="好_Sales breakdown by customer - 新滔 (to KPMG) 3" xfId="27183"/>
    <cellStyle name="好_19-无形资产（空白模板） 11_明细表" xfId="27184"/>
    <cellStyle name="好_19-无形资产（空白模板） 11_明细表 2" xfId="27185"/>
    <cellStyle name="好_19-无形资产（空白模板） 11_明细表 4" xfId="27186"/>
    <cellStyle name="好_其他应付款 5" xfId="27187"/>
    <cellStyle name="好_19-无形资产（空白模板） 12 2 2" xfId="27188"/>
    <cellStyle name="好_其他应付款 6" xfId="27189"/>
    <cellStyle name="好_4-应收账款（空白模板） 10 2 2" xfId="27190"/>
    <cellStyle name="好_19-无形资产（空白模板） 12 2 3" xfId="27191"/>
    <cellStyle name="好_4-应收账款（空白模板） 10 2 3" xfId="27192"/>
    <cellStyle name="好_19-无形资产（空白模板） 12 2 4" xfId="27193"/>
    <cellStyle name="好_4-应收账款（空白模板） 10 2 4" xfId="27194"/>
    <cellStyle name="好_19-无形资产（空白模板） 12 2 5" xfId="27195"/>
    <cellStyle name="好_19-无形资产（空白模板） 12_附注表一（财务报表）" xfId="27196"/>
    <cellStyle name="好_19-无形资产（空白模板） 12_明细表" xfId="27197"/>
    <cellStyle name="好_19-无形资产（空白模板） 12_明细表 2" xfId="27198"/>
    <cellStyle name="好_19-无形资产（空白模板） 12_明细表 3" xfId="27199"/>
    <cellStyle name="好_应收利息 7_附注表一（财务报表）" xfId="27200"/>
    <cellStyle name="好_19-无形资产（空白模板） 12_明细表 4" xfId="27201"/>
    <cellStyle name="好_19-无形资产（空白模板） 12_明细表 5" xfId="27202"/>
    <cellStyle name="好_19-无形资产（空白模板） 13_附注表一（财务报表）" xfId="27203"/>
    <cellStyle name="好_19-无形资产（空白模板） 13_明细表 3" xfId="27204"/>
    <cellStyle name="好_19-无形资产（空白模板） 13_明细表 4" xfId="27205"/>
    <cellStyle name="好_19-无形资产（空白模板） 13_明细表 5" xfId="27206"/>
    <cellStyle name="好_财务费用 15 3" xfId="27207"/>
    <cellStyle name="好_资产负债类底稿模版 15 3" xfId="27208"/>
    <cellStyle name="好_19-无形资产（空白模板） 14 2 2" xfId="27209"/>
    <cellStyle name="好_19-无形资产（空白模板） 14 3" xfId="27210"/>
    <cellStyle name="好_19-无形资产（空白模板） 14_附注表一（财务报表）" xfId="27211"/>
    <cellStyle name="好_19-无形资产（空白模板） 14_明细表" xfId="27212"/>
    <cellStyle name="好_FA 短期借款 5 3" xfId="27213"/>
    <cellStyle name="好_19-无形资产（空白模板） 15 2" xfId="27214"/>
    <cellStyle name="好_1-销售与收款循环 3" xfId="27215"/>
    <cellStyle name="好_19-无形资产（空白模板） 15 2 2" xfId="27216"/>
    <cellStyle name="好_1-销售与收款循环 4" xfId="27217"/>
    <cellStyle name="好_4-应收账款（空白模板） 13 2 2" xfId="27218"/>
    <cellStyle name="好_19-无形资产（空白模板） 15 2 3" xfId="27219"/>
    <cellStyle name="好_19-无形资产（空白模板） 15 3" xfId="27220"/>
    <cellStyle name="好_19-无形资产（空白模板） 15_明细表" xfId="27221"/>
    <cellStyle name="好_S4销售费用 3" xfId="27222"/>
    <cellStyle name="好_19-无形资产（空白模板） 15_明细表 3" xfId="27223"/>
    <cellStyle name="好_19-无形资产（空白模板） 15_明细表 4" xfId="27224"/>
    <cellStyle name="好_1资产减值损失 10 2 3" xfId="27225"/>
    <cellStyle name="好_19-无形资产（空白模板） 16 2" xfId="27226"/>
    <cellStyle name="好_19-无形资产（空白模板） 16 2 2" xfId="27227"/>
    <cellStyle name="好_FJ其他应付款 2" xfId="27228"/>
    <cellStyle name="好_4-应收账款（空白模板） 14 2 2" xfId="27229"/>
    <cellStyle name="好_19-无形资产（空白模板） 16 2 3" xfId="27230"/>
    <cellStyle name="好_1资产减值损失 10 2 4" xfId="27231"/>
    <cellStyle name="好_19-无形资产（空白模板） 16 3" xfId="27232"/>
    <cellStyle name="好_1资产减值损失 10 2 5" xfId="27233"/>
    <cellStyle name="好_19-无形资产（空白模板） 16 4" xfId="27234"/>
    <cellStyle name="好_19-无形资产（空白模板） 16 5" xfId="27235"/>
    <cellStyle name="好_19-无形资产（空白模板） 16 6" xfId="27236"/>
    <cellStyle name="好_19-无形资产（空白模板） 17 4" xfId="27237"/>
    <cellStyle name="千位分隔 4 2 10" xfId="27238"/>
    <cellStyle name="好_19-无形资产（空白模板） 17 5" xfId="27239"/>
    <cellStyle name="好_其他应收款 2 2 2" xfId="27240"/>
    <cellStyle name="千位分隔 4 2 11" xfId="27241"/>
    <cellStyle name="好_19-无形资产（空白模板） 17 6" xfId="27242"/>
    <cellStyle name="好_19-无形资产（空白模板） 18 2" xfId="27243"/>
    <cellStyle name="好_19-无形资产（空白模板） 18 3" xfId="27244"/>
    <cellStyle name="好_无形资产_固定资产 2" xfId="27245"/>
    <cellStyle name="好_19-无形资产（空白模板） 18 4" xfId="27246"/>
    <cellStyle name="好_19-无形资产（空白模板） 18 5" xfId="27247"/>
    <cellStyle name="好_19-无形资产（空白模板） 2 2" xfId="27248"/>
    <cellStyle name="好_50-营业成本（空白模板）_明细表 2 4" xfId="27249"/>
    <cellStyle name="好_19-无形资产（空白模板） 2 2 2" xfId="27250"/>
    <cellStyle name="好_19-无形资产（空白模板） 2 2 2 2" xfId="27251"/>
    <cellStyle name="好_19-无形资产（空白模板） 2 4" xfId="27252"/>
    <cellStyle name="好_19-无形资产（空白模板） 2 5" xfId="27253"/>
    <cellStyle name="好_19-无形资产（空白模板） 2_附注表一（财务报表）" xfId="27254"/>
    <cellStyle name="好_19-无形资产（空白模板） 2_明细表 2" xfId="27255"/>
    <cellStyle name="好_19-无形资产（空白模板） 2_明细表 4" xfId="27256"/>
    <cellStyle name="好_19-无形资产（空白模板） 29" xfId="27257"/>
    <cellStyle name="好_19-无形资产（空白模板） 34" xfId="27258"/>
    <cellStyle name="好_19-无形资产（空白模板） 3" xfId="27259"/>
    <cellStyle name="好_19-无形资产（空白模板） 3 2 2" xfId="27260"/>
    <cellStyle name="好_19-无形资产（空白模板） 3_附注表一（财务报表）" xfId="27261"/>
    <cellStyle name="好_预收款项 14 2 2" xfId="27262"/>
    <cellStyle name="好_19-无形资产（空白模板） 3_明细表" xfId="27263"/>
    <cellStyle name="好_19-无形资产（空白模板） 3_明细表 2" xfId="27264"/>
    <cellStyle name="好_19-无形资产（空白模板） 4 2" xfId="27265"/>
    <cellStyle name="好_19-无形资产（空白模板） 4 2 2" xfId="27266"/>
    <cellStyle name="好_银行函证结果汇总表 6_明细表 2" xfId="27267"/>
    <cellStyle name="好_19-无形资产（空白模板） 4 4" xfId="27268"/>
    <cellStyle name="好_银行函证结果汇总表 6_明细表 3" xfId="27269"/>
    <cellStyle name="好_19-无形资产（空白模板） 4 5" xfId="27270"/>
    <cellStyle name="好_19-无形资产（空白模板） 4_附注表一（财务报表）" xfId="27271"/>
    <cellStyle name="好_预收款项 15 2 2" xfId="27272"/>
    <cellStyle name="好_19-无形资产（空白模板） 4_明细表" xfId="27273"/>
    <cellStyle name="好_19-无形资产（空白模板） 4_明细表 2" xfId="27274"/>
    <cellStyle name="千位分隔 4 2 3" xfId="27275"/>
    <cellStyle name="好_19-无形资产（空白模板） 5 2" xfId="27276"/>
    <cellStyle name="千位分隔 4 2 5" xfId="27277"/>
    <cellStyle name="好_19-无形资产（空白模板） 5 4" xfId="27278"/>
    <cellStyle name="千位分隔 4 2 6" xfId="27279"/>
    <cellStyle name="好_19-无形资产（空白模板） 5 5" xfId="27280"/>
    <cellStyle name="好_19-无形资产（空白模板） 5_附注表一（财务报表）" xfId="27281"/>
    <cellStyle name="好_19-无形资产（空白模板） 5_明细表 3" xfId="27282"/>
    <cellStyle name="好_19-无形资产（空白模板） 5_明细表 4" xfId="27283"/>
    <cellStyle name="好_19-无形资产（空白模板） 5_明细表 5" xfId="27284"/>
    <cellStyle name="好_短期借款_明细表" xfId="27285"/>
    <cellStyle name="千位分隔 4 3 3" xfId="27286"/>
    <cellStyle name="好_19-无形资产（空白模板） 6 2" xfId="27287"/>
    <cellStyle name="好_短期借款_明细表 2" xfId="27288"/>
    <cellStyle name="千位分隔 4 3 3 2" xfId="27289"/>
    <cellStyle name="好_19-无形资产（空白模板） 6 2 2" xfId="27290"/>
    <cellStyle name="好_短期借款_明细表 3" xfId="27291"/>
    <cellStyle name="千位分隔 4 3 3 3" xfId="27292"/>
    <cellStyle name="好_19-无形资产（空白模板） 6 2 3" xfId="27293"/>
    <cellStyle name="千位分隔 4 3 4" xfId="27294"/>
    <cellStyle name="好_19-无形资产（空白模板） 6 3" xfId="27295"/>
    <cellStyle name="千位分隔 4 3 4 2" xfId="27296"/>
    <cellStyle name="好_19-无形资产（空白模板） 6 3 2" xfId="27297"/>
    <cellStyle name="千位分隔 4 3 6" xfId="27298"/>
    <cellStyle name="好_19-无形资产（空白模板） 6 5" xfId="27299"/>
    <cellStyle name="好_19-无形资产（空白模板） 6_明细表" xfId="27300"/>
    <cellStyle name="好_ZL长期应收款 4 3" xfId="27301"/>
    <cellStyle name="好_19-无形资产（空白模板） 6_明细表 2" xfId="27302"/>
    <cellStyle name="好_19-无形资产（空白模板） 7" xfId="27303"/>
    <cellStyle name="千位分隔 4 4 3" xfId="27304"/>
    <cellStyle name="好_19-无形资产（空白模板） 7 2" xfId="27305"/>
    <cellStyle name="千位分隔 4 4 3 2" xfId="27306"/>
    <cellStyle name="好_19-无形资产（空白模板） 7 2 2" xfId="27307"/>
    <cellStyle name="好_19-无形资产（空白模板） 7_附注表一（财务报表）" xfId="27308"/>
    <cellStyle name="好_19-无形资产（空白模板） 7_明细表" xfId="27309"/>
    <cellStyle name="好_19-无形资产（空白模板） 7_明细表 3" xfId="27310"/>
    <cellStyle name="好_19-无形资产（空白模板） 7_明细表 4" xfId="27311"/>
    <cellStyle name="好_19-无形资产（空白模板） 7_明细表 5" xfId="27312"/>
    <cellStyle name="好_19-无形资产（空白模板） 8" xfId="27313"/>
    <cellStyle name="好_54-财务费用（空白模板） 6_附注表一（财务报表）" xfId="27314"/>
    <cellStyle name="千位分隔 4 5 3 2" xfId="27315"/>
    <cellStyle name="好_19-无形资产（空白模板） 8 2 2" xfId="27316"/>
    <cellStyle name="千位分隔 4 5 3 3" xfId="27317"/>
    <cellStyle name="好_19-无形资产（空白模板） 8 2 3" xfId="27318"/>
    <cellStyle name="好_19-无形资产（空白模板） 8_附注表一（财务报表）" xfId="27319"/>
    <cellStyle name="好_1货币资金 8" xfId="27320"/>
    <cellStyle name="好_19-无形资产（空白模板） 8_明细表 3" xfId="27321"/>
    <cellStyle name="好_1货币资金 9" xfId="27322"/>
    <cellStyle name="好_19-无形资产（空白模板） 8_明细表 4" xfId="27323"/>
    <cellStyle name="好_51-营业税金及附加（空白模板） 11" xfId="27324"/>
    <cellStyle name="千位分隔 4 6 3 2" xfId="27325"/>
    <cellStyle name="好_19-无形资产（空白模板） 9 2 2" xfId="27326"/>
    <cellStyle name="好_资产负债标准底稿 4 2" xfId="27327"/>
    <cellStyle name="好_51-营业税金及附加（空白模板） 13" xfId="27328"/>
    <cellStyle name="好_19-无形资产（空白模板） 9 2 4" xfId="27329"/>
    <cellStyle name="好_资产负债标准底稿 4 3" xfId="27330"/>
    <cellStyle name="好_51-营业税金及附加（空白模板） 14" xfId="27331"/>
    <cellStyle name="好_19-无形资产（空白模板） 9 2 5" xfId="27332"/>
    <cellStyle name="千位分隔 4 6 5" xfId="27333"/>
    <cellStyle name="好_19-无形资产（空白模板） 9 4" xfId="27334"/>
    <cellStyle name="好_19-无形资产（空白模板） 9_明细表" xfId="27335"/>
    <cellStyle name="好_ZY递延所得税资产 4 3" xfId="27336"/>
    <cellStyle name="好_19-无形资产（空白模板） 9_明细表 2" xfId="27337"/>
    <cellStyle name="好_价值评估" xfId="27338"/>
    <cellStyle name="好_19-无形资产（空白模板） 9_明细表 3" xfId="27339"/>
    <cellStyle name="好_19-无形资产（空白模板） 9_明细表 4" xfId="27340"/>
    <cellStyle name="好_19-无形资产（空白模板） 9_明细表 5" xfId="27341"/>
    <cellStyle name="好_ZA0货币资金审定表  2_附注表一（财务报表）" xfId="27342"/>
    <cellStyle name="好_19-无形资产（空白模板）_3固定资产" xfId="27343"/>
    <cellStyle name="好_30-应付账款（空白模板） 14 2 4" xfId="27344"/>
    <cellStyle name="好_1专项应付款 13_附注表一（财务报表）" xfId="27345"/>
    <cellStyle name="好_19-无形资产（空白模板）_3固定资产 2" xfId="27346"/>
    <cellStyle name="好_19-无形资产（空白模板）_Book2" xfId="27347"/>
    <cellStyle name="好_专项应付款 6_明细表 3" xfId="27348"/>
    <cellStyle name="好_19-无形资产（空白模板）_Book2 2" xfId="27349"/>
    <cellStyle name="好_19-无形资产（空白模板）_固定资产" xfId="27350"/>
    <cellStyle name="输入 2 2 8" xfId="27351"/>
    <cellStyle name="好_19-无形资产（空白模板）_固定资产 2" xfId="27352"/>
    <cellStyle name="好_19-无形资产（空白模板）_货币资金" xfId="27353"/>
    <cellStyle name="好_19-无形资产（空白模板）_货币资金 2" xfId="27354"/>
    <cellStyle name="好_19-无形资产（空白模板）_明细表 2" xfId="27355"/>
    <cellStyle name="好_19-无形资产（空白模板）_明细表 2 4" xfId="27356"/>
    <cellStyle name="好_19-无形资产（空白模板）_明细表 2 5" xfId="27357"/>
    <cellStyle name="好_ZA0货币资金审定表  10_明细表 4" xfId="27358"/>
    <cellStyle name="好_19-无形资产（空白模板）_明细表_1" xfId="27359"/>
    <cellStyle name="好_19-无形资产（空白模板）_明细表_1 2" xfId="27360"/>
    <cellStyle name="好_19-无形资产（空白模板）_明细表_1 3" xfId="27361"/>
    <cellStyle name="好_19-无形资产（空白模板）_明细表_1 4" xfId="27362"/>
    <cellStyle name="好_19-无形资产（空白模板）_明细表_1 5" xfId="27363"/>
    <cellStyle name="好_19-无形资产（空白模板）_应收账款" xfId="27364"/>
    <cellStyle name="好_1财务费用 10 2 5" xfId="27365"/>
    <cellStyle name="好_1财务费用 10 3" xfId="27366"/>
    <cellStyle name="好_1财务费用 10 4" xfId="27367"/>
    <cellStyle name="好_1财务费用 10_明细表" xfId="27368"/>
    <cellStyle name="好_1财务费用 10_明细表 3" xfId="27369"/>
    <cellStyle name="好_1财务费用 10_明细表 4" xfId="27370"/>
    <cellStyle name="好_1财务费用 10_明细表 5" xfId="27371"/>
    <cellStyle name="好_FS 其他流动负债" xfId="27372"/>
    <cellStyle name="好_1财务费用 11" xfId="27373"/>
    <cellStyle name="好_FS 其他流动负债 2" xfId="27374"/>
    <cellStyle name="好_1财务费用 11 2" xfId="27375"/>
    <cellStyle name="好_1财务费用 11 2 5" xfId="27376"/>
    <cellStyle name="好_1财务费用 11 3" xfId="27377"/>
    <cellStyle name="好_1财务费用 11_附注表一（财务报表）" xfId="27378"/>
    <cellStyle name="好_1财务费用 11_明细表" xfId="27379"/>
    <cellStyle name="好_资产负债标准底稿 8 2 2" xfId="27380"/>
    <cellStyle name="好_1财务费用 11_明细表 3" xfId="27381"/>
    <cellStyle name="好_资产负债标准底稿 8 2 3" xfId="27382"/>
    <cellStyle name="好_1财务费用 11_明细表 4" xfId="27383"/>
    <cellStyle name="好_资产负债标准底稿 8 2 4" xfId="27384"/>
    <cellStyle name="好_1财务费用 11_明细表 5" xfId="27385"/>
    <cellStyle name="好_应收账款 7 2" xfId="27386"/>
    <cellStyle name="好_大信底稿目录 4_附注表一（财务报表）" xfId="27387"/>
    <cellStyle name="好_ZQ工程物资 5 2" xfId="27388"/>
    <cellStyle name="好_1财务费用 12" xfId="27389"/>
    <cellStyle name="好_1财务费用 12 2 5" xfId="27390"/>
    <cellStyle name="好_1财务费用 12_明细表" xfId="27391"/>
    <cellStyle name="好_1财务费用 12_明细表 2" xfId="27392"/>
    <cellStyle name="好_1财务费用 12_明细表 3" xfId="27393"/>
    <cellStyle name="好_1财务费用 12_明细表 4" xfId="27394"/>
    <cellStyle name="好_1财务费用 12_明细表 5" xfId="27395"/>
    <cellStyle name="好_1财务费用 13" xfId="27396"/>
    <cellStyle name="好_1财务费用 13 2" xfId="27397"/>
    <cellStyle name="好_1财务费用 13 2 5" xfId="27398"/>
    <cellStyle name="好_1财务费用 13 3" xfId="27399"/>
    <cellStyle name="好_1财务费用 13_附注表一（财务报表）" xfId="27400"/>
    <cellStyle name="好_报表层次重要性水平 5 3" xfId="27401"/>
    <cellStyle name="好_1财务费用 13_明细表" xfId="27402"/>
    <cellStyle name="好_1财务费用 13_明细表 2" xfId="27403"/>
    <cellStyle name="好_1财务费用 13_明细表 3" xfId="27404"/>
    <cellStyle name="好_1财务费用 13_明细表 4" xfId="27405"/>
    <cellStyle name="好_1财务费用 14" xfId="27406"/>
    <cellStyle name="好_1财务费用 14 2" xfId="27407"/>
    <cellStyle name="好_1财务费用 14 3" xfId="27408"/>
    <cellStyle name="好_1财务费用 14_附注表一（财务报表）" xfId="27409"/>
    <cellStyle name="好_1财务费用 14_明细表" xfId="27410"/>
    <cellStyle name="好_1财务费用 14_明细表 2" xfId="27411"/>
    <cellStyle name="好_1财务费用 14_明细表 3" xfId="27412"/>
    <cellStyle name="好_1财务费用 14_明细表 4" xfId="27413"/>
    <cellStyle name="好_1财务费用 14_明细表 5" xfId="27414"/>
    <cellStyle name="好_1财务费用 15" xfId="27415"/>
    <cellStyle name="好_1财务费用 20" xfId="27416"/>
    <cellStyle name="好_1财务费用 15 2" xfId="27417"/>
    <cellStyle name="好_1财务费用 15 3" xfId="27418"/>
    <cellStyle name="好_1财务费用 15_附注表一（财务报表）" xfId="27419"/>
    <cellStyle name="好_1财务费用 16" xfId="27420"/>
    <cellStyle name="好_1财务费用 21" xfId="27421"/>
    <cellStyle name="好_1财务费用 16 2" xfId="27422"/>
    <cellStyle name="好_银行函证结果汇总表 16 4" xfId="27423"/>
    <cellStyle name="好_1财务费用 16 2 2" xfId="27424"/>
    <cellStyle name="好_银行函证结果汇总表 16 5" xfId="27425"/>
    <cellStyle name="好_1财务费用 16 2 3" xfId="27426"/>
    <cellStyle name="好_1财务费用 16 2 5" xfId="27427"/>
    <cellStyle name="好_1财务费用 16 3" xfId="27428"/>
    <cellStyle name="好_1财务费用 16 4" xfId="27429"/>
    <cellStyle name="好_1财务费用 16 5" xfId="27430"/>
    <cellStyle name="好_1财务费用 17 2 4" xfId="27431"/>
    <cellStyle name="好_1财务费用 17 2 5" xfId="27432"/>
    <cellStyle name="好_1财务费用 17 5" xfId="27433"/>
    <cellStyle name="好_1财务费用 17 6" xfId="27434"/>
    <cellStyle name="好_1财务费用 18" xfId="27435"/>
    <cellStyle name="好_1财务费用 23" xfId="27436"/>
    <cellStyle name="好_1财务费用 18 2" xfId="27437"/>
    <cellStyle name="好_1财务费用 18 3" xfId="27438"/>
    <cellStyle name="好_1财务费用 2" xfId="27439"/>
    <cellStyle name="好_30-应付账款（空白模板）_明细表 6" xfId="27440"/>
    <cellStyle name="好_1财务费用 2 2" xfId="27441"/>
    <cellStyle name="好_无形资产 4 2 6" xfId="27442"/>
    <cellStyle name="好_1财务费用 2 2 2 2" xfId="27443"/>
    <cellStyle name="好_1财务费用 2 2 3" xfId="27444"/>
    <cellStyle name="好_1财务费用 2 2 4" xfId="27445"/>
    <cellStyle name="好_1财务费用 2 2 5" xfId="27446"/>
    <cellStyle name="好_1财务费用 2 2 6" xfId="27447"/>
    <cellStyle name="好_1财务费用 2 3" xfId="27448"/>
    <cellStyle name="好_1财务费用 2 3 3" xfId="27449"/>
    <cellStyle name="好_1财务费用 2 6" xfId="27450"/>
    <cellStyle name="好_1财务费用 2_附注表一（财务报表）" xfId="27451"/>
    <cellStyle name="好_1财务费用 26" xfId="27452"/>
    <cellStyle name="好_1财务费用 31" xfId="27453"/>
    <cellStyle name="好_1财务费用 3" xfId="27454"/>
    <cellStyle name="好_1财务费用 3 2" xfId="27455"/>
    <cellStyle name="好_1财务费用 3 2 3" xfId="27456"/>
    <cellStyle name="好_1财务费用 3 2 4" xfId="27457"/>
    <cellStyle name="好_1财务费用 3 3" xfId="27458"/>
    <cellStyle name="好_33-应交税费（空白模板） 2" xfId="27459"/>
    <cellStyle name="好_1财务费用 3 4" xfId="27460"/>
    <cellStyle name="好_33-应交税费（空白模板） 3" xfId="27461"/>
    <cellStyle name="好_1财务费用 3 5" xfId="27462"/>
    <cellStyle name="好_1财务费用 3_附注表一（财务报表）" xfId="27463"/>
    <cellStyle name="好_1财务费用 3_明细表 4" xfId="27464"/>
    <cellStyle name="好_1财务费用 3_明细表 5" xfId="27465"/>
    <cellStyle name="好_1财务费用 4 2" xfId="27466"/>
    <cellStyle name="好_1财务费用 4 2 3" xfId="27467"/>
    <cellStyle name="好_ZD 应收账款 4 2" xfId="27468"/>
    <cellStyle name="好_29-应付票据（空白模板） 2 2" xfId="27469"/>
    <cellStyle name="好_1财务费用 4 2 5" xfId="27470"/>
    <cellStyle name="好_无形资产 14" xfId="27471"/>
    <cellStyle name="好_1其他应收款_明细表 2" xfId="27472"/>
    <cellStyle name="好_1财务费用 4 3 2" xfId="27473"/>
    <cellStyle name="好_1财务费用 4_明细表 2" xfId="27474"/>
    <cellStyle name="好_1财务费用 4_明细表 3" xfId="27475"/>
    <cellStyle name="好_1财务费用 5 2" xfId="27476"/>
    <cellStyle name="好_1财务费用 5 2 3" xfId="27477"/>
    <cellStyle name="好_1财务费用 5 2 5" xfId="27478"/>
    <cellStyle name="好_40-专项应付款(空白模板) 2 3 2" xfId="27479"/>
    <cellStyle name="好_1财务费用 5 2 6" xfId="27480"/>
    <cellStyle name="好_1财务费用 5 3" xfId="27481"/>
    <cellStyle name="好_30-应付账款（空白模板） 6 5" xfId="27482"/>
    <cellStyle name="好_1财务费用 5 3 2" xfId="27483"/>
    <cellStyle name="好_1财务费用 5_明细表 2" xfId="27484"/>
    <cellStyle name="好_1财务费用 5_明细表 3" xfId="27485"/>
    <cellStyle name="好_1财务费用 6 2 3" xfId="27486"/>
    <cellStyle name="好_1财务费用 6 2 4" xfId="27487"/>
    <cellStyle name="好_1财务费用 6 2 5" xfId="27488"/>
    <cellStyle name="好_40-专项应付款(空白模板) 3 3 2" xfId="27489"/>
    <cellStyle name="好_1财务费用 6 2 6" xfId="27490"/>
    <cellStyle name="好_1财务费用 6_明细表" xfId="27491"/>
    <cellStyle name="好_1财务费用 6_明细表 2" xfId="27492"/>
    <cellStyle name="好_1财务费用 6_明细表 3" xfId="27493"/>
    <cellStyle name="好_1财务费用 6_明细表 4" xfId="27494"/>
    <cellStyle name="好_1财务费用 6_明细表 5" xfId="27495"/>
    <cellStyle name="好_1营业收入 3_明细表 4" xfId="27496"/>
    <cellStyle name="好_1财务费用 7 2 3" xfId="27497"/>
    <cellStyle name="好_1营业收入 3_明细表 5" xfId="27498"/>
    <cellStyle name="好_1财务费用 7 2 4" xfId="27499"/>
    <cellStyle name="好_1财务费用 7 2 5" xfId="27500"/>
    <cellStyle name="好_1财务费用 7 3" xfId="27501"/>
    <cellStyle name="好_ZA0货币资金审定表  6 2" xfId="27502"/>
    <cellStyle name="好_1财务费用 7_明细表" xfId="27503"/>
    <cellStyle name="好_ZA0货币资金审定表  6 2 4" xfId="27504"/>
    <cellStyle name="好_1财务费用 7_明细表 4" xfId="27505"/>
    <cellStyle name="好_ZA0货币资金审定表  6 2 5" xfId="27506"/>
    <cellStyle name="好_1财务费用 7_明细表 5" xfId="27507"/>
    <cellStyle name="好_底稿设置宏_大信底稿目录 2 4" xfId="27508"/>
    <cellStyle name="好_1财务费用 8 2" xfId="27509"/>
    <cellStyle name="好_1财务费用 8 2 2" xfId="27510"/>
    <cellStyle name="好_1财务费用 8 2 3" xfId="27511"/>
    <cellStyle name="好_底稿设置宏_大信底稿目录 2 5" xfId="27512"/>
    <cellStyle name="好_1财务费用 8 3" xfId="27513"/>
    <cellStyle name="好_1财务费用 8_附注表一（财务报表）" xfId="27514"/>
    <cellStyle name="好_1预收款项_明细表_1 3" xfId="27515"/>
    <cellStyle name="好_1财务费用 8_明细表" xfId="27516"/>
    <cellStyle name="好_1财务费用 8_明细表 2" xfId="27517"/>
    <cellStyle name="好_1财务费用 8_明细表 3" xfId="27518"/>
    <cellStyle name="好_1财务费用 8_明细表 4" xfId="27519"/>
    <cellStyle name="好_1财务费用 8_明细表 5" xfId="27520"/>
    <cellStyle name="好_底稿设置宏_大信底稿目录 3 4" xfId="27521"/>
    <cellStyle name="好_存货 14" xfId="27522"/>
    <cellStyle name="好_1财务费用 9 2" xfId="27523"/>
    <cellStyle name="好_存货 14 2" xfId="27524"/>
    <cellStyle name="好_1财务费用 9 2 2" xfId="27525"/>
    <cellStyle name="好_1财务费用 9 2 3" xfId="27526"/>
    <cellStyle name="好_1财务费用 9 2 5" xfId="27527"/>
    <cellStyle name="好_底稿设置宏_大信底稿目录 3 5" xfId="27528"/>
    <cellStyle name="好_存货 15" xfId="27529"/>
    <cellStyle name="好_1财务费用 9 3" xfId="27530"/>
    <cellStyle name="好_财务费用 2 2 6" xfId="27531"/>
    <cellStyle name="好_1财务费用 9_附注表一（财务报表）" xfId="27532"/>
    <cellStyle name="好_底稿设置宏_大信底稿目录 10_明细表 4" xfId="27533"/>
    <cellStyle name="好_1财务费用 9_明细表" xfId="27534"/>
    <cellStyle name="好_1财务费用 9_明细表 2" xfId="27535"/>
    <cellStyle name="好_1财务费用 9_明细表 3" xfId="27536"/>
    <cellStyle name="好_1财务费用_3固定资产" xfId="27537"/>
    <cellStyle name="好_1财务费用_3固定资产 2" xfId="27538"/>
    <cellStyle name="好_22-长期待摊费用（空白模板） 3 2 3" xfId="27539"/>
    <cellStyle name="好_1财务费用_Book2 2" xfId="27540"/>
    <cellStyle name="好_1财务费用_固定资产 2" xfId="27541"/>
    <cellStyle name="好_1财务费用_货币资金" xfId="27542"/>
    <cellStyle name="好_1财务费用_明细表 2 3" xfId="27543"/>
    <cellStyle name="好_1财务费用_明细表 2 5" xfId="27544"/>
    <cellStyle name="好_1财务费用_明细表 3" xfId="27545"/>
    <cellStyle name="好_1财务费用_明细表 4" xfId="27546"/>
    <cellStyle name="好_1财务费用_明细表_1" xfId="27547"/>
    <cellStyle name="好_2-交易性金融资产（空白模板） 4" xfId="27548"/>
    <cellStyle name="好_1财务费用_明细表_1 2" xfId="27549"/>
    <cellStyle name="好_2-交易性金融资产（空白模板） 5" xfId="27550"/>
    <cellStyle name="好_1财务费用_明细表_1 3" xfId="27551"/>
    <cellStyle name="好_1财务费用_明细表_1 4" xfId="27552"/>
    <cellStyle name="好_1财务费用_明细表_1 5" xfId="27553"/>
    <cellStyle name="好_1财务费用_应收账款" xfId="27554"/>
    <cellStyle name="好_1持有至到期投资" xfId="27555"/>
    <cellStyle name="好_1持有至到期投资 2" xfId="27556"/>
    <cellStyle name="好_固定资产 4 2" xfId="27557"/>
    <cellStyle name="好_1预收款项 9 2" xfId="27558"/>
    <cellStyle name="好_1持有至到期投资 3" xfId="27559"/>
    <cellStyle name="好_固定资产 4 3" xfId="27560"/>
    <cellStyle name="好_1预收款项 9 3" xfId="27561"/>
    <cellStyle name="好_1持有至到期投资 4" xfId="27562"/>
    <cellStyle name="好_1存货" xfId="27563"/>
    <cellStyle name="好_F4应付账款 4" xfId="27564"/>
    <cellStyle name="好_1存货 2 2 2" xfId="27565"/>
    <cellStyle name="好_1存货 3 2" xfId="27566"/>
    <cellStyle name="好_1存货 3 2 2" xfId="27567"/>
    <cellStyle name="好_1存货 4" xfId="27568"/>
    <cellStyle name="好_1预收款项 13_明细表 3" xfId="27569"/>
    <cellStyle name="好_1存货 4 2" xfId="27570"/>
    <cellStyle name="好_其他应收款_明细表" xfId="27571"/>
    <cellStyle name="好_1递延所得税负债" xfId="27572"/>
    <cellStyle name="好_其他应收款_明细表 2" xfId="27573"/>
    <cellStyle name="好_1递延所得税负债 2" xfId="27574"/>
    <cellStyle name="好_其他应收款_明细表 3" xfId="27575"/>
    <cellStyle name="好_1递延所得税负债 3" xfId="27576"/>
    <cellStyle name="好_1递延所得税负债 3 2" xfId="27577"/>
    <cellStyle name="千位分隔 5 8 6" xfId="27578"/>
    <cellStyle name="好_1递延所得税资产" xfId="27579"/>
    <cellStyle name="好_1递延所得税资产 2 2" xfId="27580"/>
    <cellStyle name="计算 2 12" xfId="27581"/>
    <cellStyle name="好_1递延所得税资产 4" xfId="27582"/>
    <cellStyle name="好_1短期借款 10" xfId="27583"/>
    <cellStyle name="好_1短期借款 10 2" xfId="27584"/>
    <cellStyle name="好_1短期借款 10 2 2" xfId="27585"/>
    <cellStyle name="好_1短期借款 10 2 3" xfId="27586"/>
    <cellStyle name="好_1短期借款 10 2 5" xfId="27587"/>
    <cellStyle name="好_1短期借款 10 3" xfId="27588"/>
    <cellStyle name="好_1短期借款 10_附注表一（财务报表）" xfId="27589"/>
    <cellStyle name="好_1短期借款 10_明细表 2" xfId="27590"/>
    <cellStyle name="好_1短期借款 10_明细表 3" xfId="27591"/>
    <cellStyle name="好_1短期借款 10_明细表 4" xfId="27592"/>
    <cellStyle name="好_资产负债标准底稿_大信底稿目录 2 2 2 2" xfId="27593"/>
    <cellStyle name="好_1短期借款 10_明细表 5" xfId="27594"/>
    <cellStyle name="好_1短期借款 11 2" xfId="27595"/>
    <cellStyle name="好_1短期借款 11 2 2" xfId="27596"/>
    <cellStyle name="好_1短期借款 11 2 3" xfId="27597"/>
    <cellStyle name="好_1短期借款 11 3" xfId="27598"/>
    <cellStyle name="好_存货 - 复制 3 2" xfId="27599"/>
    <cellStyle name="好_1短期借款 11_附注表一（财务报表）" xfId="27600"/>
    <cellStyle name="好_FA 短期借款 4" xfId="27601"/>
    <cellStyle name="好_1短期借款 11_明细表 2" xfId="27602"/>
    <cellStyle name="好_1短期借款 11_明细表 3" xfId="27603"/>
    <cellStyle name="好_1短期借款 12" xfId="27604"/>
    <cellStyle name="好_1短期借款 12 2" xfId="27605"/>
    <cellStyle name="好_1短期借款 12 2 2" xfId="27606"/>
    <cellStyle name="好_1短期借款 12 2 3" xfId="27607"/>
    <cellStyle name="好_1短期借款 12 2 5" xfId="27608"/>
    <cellStyle name="好_1短期借款 12 3" xfId="27609"/>
    <cellStyle name="好_1短期借款 12_附注表一（财务报表）" xfId="27610"/>
    <cellStyle name="好_1短期借款 12_明细表" xfId="27611"/>
    <cellStyle name="好_1短期借款 12_明细表 5" xfId="27612"/>
    <cellStyle name="好_50-营业成本（空白模板） 9_附注表一（财务报表）" xfId="27613"/>
    <cellStyle name="好_1短期借款 13" xfId="27614"/>
    <cellStyle name="好_1短期借款 13 3" xfId="27615"/>
    <cellStyle name="好_1短期借款 13_明细表" xfId="27616"/>
    <cellStyle name="好_1短期借款 13_明细表 2" xfId="27617"/>
    <cellStyle name="好_1短期借款 13_明细表 3" xfId="27618"/>
    <cellStyle name="好_1短期借款 13_明细表 5" xfId="27619"/>
    <cellStyle name="好_1短期借款 14" xfId="27620"/>
    <cellStyle name="好_1短期借款 14 2" xfId="27621"/>
    <cellStyle name="好_1短期借款 14 2 2" xfId="27622"/>
    <cellStyle name="好_1短期借款 14 2 3" xfId="27623"/>
    <cellStyle name="好_1短期借款 14 3" xfId="27624"/>
    <cellStyle name="好_1短期借款 14_明细表 2" xfId="27625"/>
    <cellStyle name="好_1短期借款 14_明细表 3" xfId="27626"/>
    <cellStyle name="好_1短期借款 14_明细表 4" xfId="27627"/>
    <cellStyle name="好_1短期借款 14_明细表 5" xfId="27628"/>
    <cellStyle name="好_1短期借款 15 2" xfId="27629"/>
    <cellStyle name="好_1短期借款 15 2 2" xfId="27630"/>
    <cellStyle name="好_1短期借款 15 2 3" xfId="27631"/>
    <cellStyle name="好_其他应付款 2 3" xfId="27632"/>
    <cellStyle name="好_1短期借款 15 2 5" xfId="27633"/>
    <cellStyle name="好_1短期借款 16" xfId="27634"/>
    <cellStyle name="好_1短期借款 21" xfId="27635"/>
    <cellStyle name="好_1短期借款 16 2" xfId="27636"/>
    <cellStyle name="好_1短期借款 16 3" xfId="27637"/>
    <cellStyle name="好_1短期借款 16 4" xfId="27638"/>
    <cellStyle name="好_1短期借款 16 5" xfId="27639"/>
    <cellStyle name="好_54-财务费用（空白模板）_货币资金" xfId="27640"/>
    <cellStyle name="好_1短期借款 17" xfId="27641"/>
    <cellStyle name="好_1短期借款 22" xfId="27642"/>
    <cellStyle name="千位分隔 3 2 7 2 4" xfId="27643"/>
    <cellStyle name="好_54-财务费用（空白模板）_货币资金 2" xfId="27644"/>
    <cellStyle name="好_1短期借款 17 2" xfId="27645"/>
    <cellStyle name="好_1短期借款 17 3" xfId="27646"/>
    <cellStyle name="好_1短期借款 17 5" xfId="27647"/>
    <cellStyle name="好_1短期借款 18" xfId="27648"/>
    <cellStyle name="好_1短期借款 23" xfId="27649"/>
    <cellStyle name="好_1短期借款 19" xfId="27650"/>
    <cellStyle name="好_1短期借款 24" xfId="27651"/>
    <cellStyle name="好_1专项应付款 6_明细表 2" xfId="27652"/>
    <cellStyle name="好_1短期借款 2 2" xfId="27653"/>
    <cellStyle name="好_1短期借款 2 2 2" xfId="27654"/>
    <cellStyle name="好_1短期借款 2 2 3" xfId="27655"/>
    <cellStyle name="好_1短期借款 2 2 6" xfId="27656"/>
    <cellStyle name="好_G-应收账款 12 2" xfId="27657"/>
    <cellStyle name="好_1专项应付款 6_明细表 3" xfId="27658"/>
    <cellStyle name="好_1短期借款 2 3" xfId="27659"/>
    <cellStyle name="好_G-应收账款 12 2 2" xfId="27660"/>
    <cellStyle name="好_1短期借款 2 3 2" xfId="27661"/>
    <cellStyle name="好_G-应收账款 12 2 3" xfId="27662"/>
    <cellStyle name="好_1短期借款 2 3 3" xfId="27663"/>
    <cellStyle name="好_G-应收账款 12 3" xfId="27664"/>
    <cellStyle name="好_1专项应付款 6_明细表 4" xfId="27665"/>
    <cellStyle name="好_1短期借款 2 4" xfId="27666"/>
    <cellStyle name="好_应收利息_明细表_1" xfId="27667"/>
    <cellStyle name="好_1短期借款 2 5" xfId="27668"/>
    <cellStyle name="好_1资产减值损失 12_明细表" xfId="27669"/>
    <cellStyle name="好_1专项应付款 6_明细表 5" xfId="27670"/>
    <cellStyle name="好_1短期借款 2_附注表一（财务报表）" xfId="27671"/>
    <cellStyle name="好_1短期借款 2_明细表" xfId="27672"/>
    <cellStyle name="好_1短期借款 2_明细表 3" xfId="27673"/>
    <cellStyle name="好_1短期借款 2_明细表 4" xfId="27674"/>
    <cellStyle name="好_1短期借款 2_明细表 5" xfId="27675"/>
    <cellStyle name="好_1短期借款 25" xfId="27676"/>
    <cellStyle name="好_1短期借款 30" xfId="27677"/>
    <cellStyle name="好_1短期借款 28" xfId="27678"/>
    <cellStyle name="好_1短期借款 33" xfId="27679"/>
    <cellStyle name="好_1短期借款 29" xfId="27680"/>
    <cellStyle name="好_1短期借款 34" xfId="27681"/>
    <cellStyle name="好_1短期借款 3" xfId="27682"/>
    <cellStyle name="好_1短期借款 3 2" xfId="27683"/>
    <cellStyle name="好_1短期借款 3 2 2" xfId="27684"/>
    <cellStyle name="好_预收款项 8 2" xfId="27685"/>
    <cellStyle name="好_1短期借款 3 2 4" xfId="27686"/>
    <cellStyle name="好_G-应收账款 13 2" xfId="27687"/>
    <cellStyle name="好_1短期借款 3 3" xfId="27688"/>
    <cellStyle name="好_1短期借款 3_附注表一（财务报表）" xfId="27689"/>
    <cellStyle name="好_1短期借款 3_明细表" xfId="27690"/>
    <cellStyle name="好_1短期借款 3_明细表 2" xfId="27691"/>
    <cellStyle name="好_1短期借款 4" xfId="27692"/>
    <cellStyle name="好_1短期借款 4 2" xfId="27693"/>
    <cellStyle name="好_G-应收账款 14 2" xfId="27694"/>
    <cellStyle name="好_1短期借款 4 3" xfId="27695"/>
    <cellStyle name="好_G-应收账款 14 2 2" xfId="27696"/>
    <cellStyle name="好_1短期借款 4 3 2" xfId="27697"/>
    <cellStyle name="好_49-营业收入（空白模板）_应收账款 2" xfId="27698"/>
    <cellStyle name="好_1短期借款 4 5" xfId="27699"/>
    <cellStyle name="好_1短期借款 4_明细表 3" xfId="27700"/>
    <cellStyle name="好_1营业外支出 2" xfId="27701"/>
    <cellStyle name="好_1短期借款 4_明细表 4" xfId="27702"/>
    <cellStyle name="好_1短期借款 5" xfId="27703"/>
    <cellStyle name="好_FK长期借款 2 2 3" xfId="27704"/>
    <cellStyle name="好_1短期借款 5 2 2" xfId="27705"/>
    <cellStyle name="好_1短期借款 5 2 3" xfId="27706"/>
    <cellStyle name="好_1短期借款 5 2 4" xfId="27707"/>
    <cellStyle name="好_1短期借款 5 2 5" xfId="27708"/>
    <cellStyle name="好_1短期借款 5 2 6" xfId="27709"/>
    <cellStyle name="好_G-应收账款 15 2" xfId="27710"/>
    <cellStyle name="好_1短期借款 5 3" xfId="27711"/>
    <cellStyle name="好_G-应收账款 15 2 2" xfId="27712"/>
    <cellStyle name="好_1短期借款 5 3 2" xfId="27713"/>
    <cellStyle name="好_G-应收账款 15 3" xfId="27714"/>
    <cellStyle name="好_1短期借款 5 4" xfId="27715"/>
    <cellStyle name="好_G-应收账款 15 4" xfId="27716"/>
    <cellStyle name="好_1短期借款 5 5" xfId="27717"/>
    <cellStyle name="好_1短期借款 6" xfId="27718"/>
    <cellStyle name="好_1短期借款 6 2" xfId="27719"/>
    <cellStyle name="好_4-应收账款（空白模板） 14" xfId="27720"/>
    <cellStyle name="好_1短期借款 6 2 2" xfId="27721"/>
    <cellStyle name="好_4-应收账款（空白模板） 15" xfId="27722"/>
    <cellStyle name="好_4-应收账款（空白模板） 20" xfId="27723"/>
    <cellStyle name="好_1短期借款 6 2 3" xfId="27724"/>
    <cellStyle name="好_4-应收账款（空白模板） 16" xfId="27725"/>
    <cellStyle name="好_4-应收账款（空白模板） 21" xfId="27726"/>
    <cellStyle name="好_1短期借款 6 2 4" xfId="27727"/>
    <cellStyle name="好_G-应收账款 16 2" xfId="27728"/>
    <cellStyle name="好_1短期借款 6 3" xfId="27729"/>
    <cellStyle name="好_Sheet1_明细表 4" xfId="27730"/>
    <cellStyle name="好_G-应收账款 16 2 2" xfId="27731"/>
    <cellStyle name="好_1短期借款 6 3 2" xfId="27732"/>
    <cellStyle name="好_G-应收账款 16 3" xfId="27733"/>
    <cellStyle name="好_1短期借款 6 4" xfId="27734"/>
    <cellStyle name="好_G-应收账款 16 4" xfId="27735"/>
    <cellStyle name="好_1其他应收款_附注表一（财务报表）" xfId="27736"/>
    <cellStyle name="好_1短期借款 6 5" xfId="27737"/>
    <cellStyle name="好_1短期借款 6_附注表一（财务报表）" xfId="27738"/>
    <cellStyle name="好_1短期借款 6_明细表" xfId="27739"/>
    <cellStyle name="好_1短期借款 6_明细表 3" xfId="27740"/>
    <cellStyle name="好_1短期借款 6_明细表 4" xfId="27741"/>
    <cellStyle name="好_1短期借款 7" xfId="27742"/>
    <cellStyle name="好_1短期借款 7 2" xfId="27743"/>
    <cellStyle name="好_1短期借款 7 2 3" xfId="27744"/>
    <cellStyle name="好_1短期借款 7 2 4" xfId="27745"/>
    <cellStyle name="好_1短期借款 7 2 5" xfId="27746"/>
    <cellStyle name="好_G-应收账款 17 2" xfId="27747"/>
    <cellStyle name="好_1短期借款 7 3" xfId="27748"/>
    <cellStyle name="好_G-应收账款 17 3" xfId="27749"/>
    <cellStyle name="好_1短期借款 7 4" xfId="27750"/>
    <cellStyle name="好_无形资产 11_明细表 2" xfId="27751"/>
    <cellStyle name="好_1短期借款 7_明细表" xfId="27752"/>
    <cellStyle name="好_1短期借款 7_明细表 3" xfId="27753"/>
    <cellStyle name="好_大信底稿目录 14 2 5" xfId="27754"/>
    <cellStyle name="好_1短期借款 7_明细表 4" xfId="27755"/>
    <cellStyle name="好_1短期借款 7_明细表 5" xfId="27756"/>
    <cellStyle name="好_1短期借款 8" xfId="27757"/>
    <cellStyle name="好_1短期借款 8 2" xfId="27758"/>
    <cellStyle name="好_1短期借款 8 2 2" xfId="27759"/>
    <cellStyle name="好_1短期借款 8 2 3" xfId="27760"/>
    <cellStyle name="好_1短期借款 8 2 4" xfId="27761"/>
    <cellStyle name="好_1短期借款 8 2 5" xfId="27762"/>
    <cellStyle name="好_1短期借款 8 3" xfId="27763"/>
    <cellStyle name="好_底稿设置宏 3_明细表 5" xfId="27764"/>
    <cellStyle name="好_1短期借款 8_附注表一（财务报表）" xfId="27765"/>
    <cellStyle name="好_1短期借款 8_明细表" xfId="27766"/>
    <cellStyle name="好_1短期借款 8_明细表 2" xfId="27767"/>
    <cellStyle name="好_1短期借款 8_明细表 4" xfId="27768"/>
    <cellStyle name="好_1短期借款 9 2" xfId="27769"/>
    <cellStyle name="好_1短期借款 9 2 4" xfId="27770"/>
    <cellStyle name="好_1短期借款 9_明细表 2" xfId="27771"/>
    <cellStyle name="好_财务费用 2 2 5" xfId="27772"/>
    <cellStyle name="好_1短期借款_明细表" xfId="27773"/>
    <cellStyle name="好_1短期借款_明细表 2 2" xfId="27774"/>
    <cellStyle name="好_1短期借款_明细表 2 3" xfId="27775"/>
    <cellStyle name="好_1短期借款_明细表 2 4" xfId="27776"/>
    <cellStyle name="好_1专项应付款 3 3 2" xfId="27777"/>
    <cellStyle name="好_1短期借款_明细表 6" xfId="27778"/>
    <cellStyle name="好_1短期借款_明细表_1" xfId="27779"/>
    <cellStyle name="好_1短期借款_明细表_1 2" xfId="27780"/>
    <cellStyle name="好_1短期借款_明细表_1 3" xfId="27781"/>
    <cellStyle name="好_1短期借款_明细表_1 4" xfId="27782"/>
    <cellStyle name="好_1短期借款_明细表_1 5" xfId="27783"/>
    <cellStyle name="好_1公允价值变动损益 4" xfId="27784"/>
    <cellStyle name="好_1固定资产" xfId="27785"/>
    <cellStyle name="好_1固定资产 10" xfId="27786"/>
    <cellStyle name="好_1固定资产 10 2" xfId="27787"/>
    <cellStyle name="好_1固定资产 10 2 2" xfId="27788"/>
    <cellStyle name="好_明细表_1 2" xfId="27789"/>
    <cellStyle name="好_1固定资产 10 2 3" xfId="27790"/>
    <cellStyle name="好_明细表_1 3" xfId="27791"/>
    <cellStyle name="好_1固定资产 10 2 4" xfId="27792"/>
    <cellStyle name="好_1固定资产 10 3" xfId="27793"/>
    <cellStyle name="好_1固定资产 10_附注表一（财务报表）" xfId="27794"/>
    <cellStyle name="好_1固定资产 10_明细表" xfId="27795"/>
    <cellStyle name="好_1固定资产 10_明细表 2" xfId="27796"/>
    <cellStyle name="好_1固定资产 10_明细表 3" xfId="27797"/>
    <cellStyle name="好_1固定资产 10_明细表 4" xfId="27798"/>
    <cellStyle name="好_1固定资产 11 2 3" xfId="27799"/>
    <cellStyle name="好_1固定资产 11 2 4" xfId="27800"/>
    <cellStyle name="好_1固定资产 11 2 5" xfId="27801"/>
    <cellStyle name="好_1固定资产 11_附注表一（财务报表）" xfId="27802"/>
    <cellStyle name="好_ZA0货币资金审定表  15 2" xfId="27803"/>
    <cellStyle name="好_1固定资产 12" xfId="27804"/>
    <cellStyle name="好_ZA0货币资金审定表  15 2 2" xfId="27805"/>
    <cellStyle name="好_1固定资产 12 2" xfId="27806"/>
    <cellStyle name="好_1固定资产 12 2 2" xfId="27807"/>
    <cellStyle name="好_1固定资产 12 2 3" xfId="27808"/>
    <cellStyle name="好_1固定资产 12 2 5" xfId="27809"/>
    <cellStyle name="好_ZA0货币资金审定表  15 2 3" xfId="27810"/>
    <cellStyle name="好_1专项应付款 4_明细表" xfId="27811"/>
    <cellStyle name="好_1固定资产 12 3" xfId="27812"/>
    <cellStyle name="好_1固定资产 12_附注表一（财务报表）" xfId="27813"/>
    <cellStyle name="好_1固定资产 12_明细表" xfId="27814"/>
    <cellStyle name="好_持有至到期投资 3" xfId="27815"/>
    <cellStyle name="好_1固定资产 12_明细表 2" xfId="27816"/>
    <cellStyle name="好_持有至到期投资 4" xfId="27817"/>
    <cellStyle name="好_1固定资产 12_明细表 3" xfId="27818"/>
    <cellStyle name="好_大信底稿目录 4_明细表" xfId="27819"/>
    <cellStyle name="好_持有至到期投资 5" xfId="27820"/>
    <cellStyle name="好_1固定资产 12_明细表 4" xfId="27821"/>
    <cellStyle name="好_应收利息 14 2 2" xfId="27822"/>
    <cellStyle name="好_1固定资产 12_明细表 5" xfId="27823"/>
    <cellStyle name="好_ZA0货币资金审定表  15 3" xfId="27824"/>
    <cellStyle name="好_1固定资产 13" xfId="27825"/>
    <cellStyle name="好_27-短期借款(空白模板)_明细表_1 4" xfId="27826"/>
    <cellStyle name="好_1固定资产 13 2" xfId="27827"/>
    <cellStyle name="好_1固定资产 13 2 3" xfId="27828"/>
    <cellStyle name="好_27-短期借款(空白模板)_明细表_1 5" xfId="27829"/>
    <cellStyle name="好_1固定资产 13 3" xfId="27830"/>
    <cellStyle name="好_银行函证结果汇总表 28" xfId="27831"/>
    <cellStyle name="好_银行函证结果汇总表 33" xfId="27832"/>
    <cellStyle name="好_1固定资产 13_明细表" xfId="27833"/>
    <cellStyle name="好_1固定资产 13_明细表 4" xfId="27834"/>
    <cellStyle name="好_1固定资产 13_明细表 5" xfId="27835"/>
    <cellStyle name="好_ZA0货币资金审定表  15 4" xfId="27836"/>
    <cellStyle name="好_1固定资产 14" xfId="27837"/>
    <cellStyle name="好_50-营业成本（空白模板） 14 2 3" xfId="27838"/>
    <cellStyle name="好_1固定资产 14 2" xfId="27839"/>
    <cellStyle name="好_50-营业成本（空白模板） 14 2 4" xfId="27840"/>
    <cellStyle name="好_1固定资产 14 3" xfId="27841"/>
    <cellStyle name="好_50-营业成本（空白模板） 14 2 5" xfId="27842"/>
    <cellStyle name="好_1固定资产 14 4" xfId="27843"/>
    <cellStyle name="好_1固定资产 14 5" xfId="27844"/>
    <cellStyle name="好_ZA0货币资金审定表  15 5" xfId="27845"/>
    <cellStyle name="好_1固定资产 15" xfId="27846"/>
    <cellStyle name="好_1固定资产 2" xfId="27847"/>
    <cellStyle name="好_1固定资产 2 2" xfId="27848"/>
    <cellStyle name="好_1固定资产 2 2 2" xfId="27849"/>
    <cellStyle name="好_54-财务费用（空白模板） 7 2" xfId="27850"/>
    <cellStyle name="好_1固定资产 2 2 3" xfId="27851"/>
    <cellStyle name="好_54-财务费用（空白模板） 7 3" xfId="27852"/>
    <cellStyle name="好_1固定资产 2 2 4" xfId="27853"/>
    <cellStyle name="好_54-财务费用（空白模板） 7 4" xfId="27854"/>
    <cellStyle name="好_1固定资产 2 2 5" xfId="27855"/>
    <cellStyle name="好_1固定资产 2 3" xfId="27856"/>
    <cellStyle name="好_1固定资产 2_明细表" xfId="27857"/>
    <cellStyle name="好_51-营业税金及附加（空白模板） 3 5" xfId="27858"/>
    <cellStyle name="好_1固定资产 2_明细表 2" xfId="27859"/>
    <cellStyle name="好_ZA货币资金" xfId="27860"/>
    <cellStyle name="好_1固定资产 2_明细表 3" xfId="27861"/>
    <cellStyle name="好_资产负债标准底稿 11 2" xfId="27862"/>
    <cellStyle name="好_1固定资产 2_明细表 4" xfId="27863"/>
    <cellStyle name="好_资产负债标准底稿 11 3" xfId="27864"/>
    <cellStyle name="好_1固定资产 2_明细表 5" xfId="27865"/>
    <cellStyle name="好_应收账款 4 5" xfId="27866"/>
    <cellStyle name="好_1固定资产 3 2 2" xfId="27867"/>
    <cellStyle name="好_1固定资产 3 2 3" xfId="27868"/>
    <cellStyle name="好_1固定资产 3 2 4" xfId="27869"/>
    <cellStyle name="好_1固定资产 3 2 5" xfId="27870"/>
    <cellStyle name="好_1固定资产 3_明细表 3" xfId="27871"/>
    <cellStyle name="好_预收款项 16 3" xfId="27872"/>
    <cellStyle name="好_1固定资产 4 2 5" xfId="27873"/>
    <cellStyle name="好_1固定资产 4_明细表 2" xfId="27874"/>
    <cellStyle name="好_1固定资产 5 2" xfId="27875"/>
    <cellStyle name="好_1固定资产 5 2 2" xfId="27876"/>
    <cellStyle name="好_1固定资产 5 2 3" xfId="27877"/>
    <cellStyle name="好_1固定资产 5 2 4" xfId="27878"/>
    <cellStyle name="好_27-短期借款(空白模板)_明细表 2" xfId="27879"/>
    <cellStyle name="好_1固定资产 5 2 5" xfId="27880"/>
    <cellStyle name="好_专项应付款 4_明细表 4" xfId="27881"/>
    <cellStyle name="好_1固定资产 5_附注表一（财务报表）" xfId="27882"/>
    <cellStyle name="好_1固定资产 5_明细表" xfId="27883"/>
    <cellStyle name="好_1固定资产 5_明细表 2" xfId="27884"/>
    <cellStyle name="好_1固定资产 5_明细表 3" xfId="27885"/>
    <cellStyle name="好_1固定资产 5_明细表 4" xfId="27886"/>
    <cellStyle name="好_1固定资产 5_明细表 5" xfId="27887"/>
    <cellStyle name="好_1固定资产 6" xfId="27888"/>
    <cellStyle name="好_1固定资产 6 2" xfId="27889"/>
    <cellStyle name="好_1固定资产 6 2 2" xfId="27890"/>
    <cellStyle name="好_1固定资产 6 2 3" xfId="27891"/>
    <cellStyle name="好_1固定资产 6 2 4" xfId="27892"/>
    <cellStyle name="好_1固定资产 6 2 5" xfId="27893"/>
    <cellStyle name="好_资产负债标准底稿 4 2 2" xfId="27894"/>
    <cellStyle name="好_51-营业税金及附加（空白模板） 13 2" xfId="27895"/>
    <cellStyle name="好_1固定资产 6 3" xfId="27896"/>
    <cellStyle name="好_1固定资产 6_附注表一（财务报表）" xfId="27897"/>
    <cellStyle name="好_1固定资产 6_明细表" xfId="27898"/>
    <cellStyle name="好_1固定资产 6_明细表 3" xfId="27899"/>
    <cellStyle name="好_1固定资产 6_明细表 4" xfId="27900"/>
    <cellStyle name="好_1固定资产 6_明细表 5" xfId="27901"/>
    <cellStyle name="好_54-财务费用（空白模板） 2_明细表 4" xfId="27902"/>
    <cellStyle name="好_明细表_应收账款期末审定表 5" xfId="27903"/>
    <cellStyle name="强调文字颜色 3 2 4 5" xfId="27904"/>
    <cellStyle name="好_1固定资产 7 2 2" xfId="27905"/>
    <cellStyle name="好_27-短期借款(空白模板) 8_明细表 3" xfId="27906"/>
    <cellStyle name="好_1固定资产 7 2 4" xfId="27907"/>
    <cellStyle name="好_1固定资产 7_明细表" xfId="27908"/>
    <cellStyle name="好_1固定资产 7_明细表 2" xfId="27909"/>
    <cellStyle name="千位分隔 2 2 2 8 2 4" xfId="27910"/>
    <cellStyle name="好_1固定资产 8 2" xfId="27911"/>
    <cellStyle name="好_营业收入 15_明细表 5" xfId="27912"/>
    <cellStyle name="好_1固定资产 8 2 2" xfId="27913"/>
    <cellStyle name="好_1固定资产 8 2 4" xfId="27914"/>
    <cellStyle name="好_资产负债标准底稿 11 2 2" xfId="27915"/>
    <cellStyle name="好_1固定资产 8 2 5" xfId="27916"/>
    <cellStyle name="好_资产负债标准底稿 4 4 2" xfId="27917"/>
    <cellStyle name="好_51-营业税金及附加（空白模板） 15 2" xfId="27918"/>
    <cellStyle name="千位分隔 2 2 2 8 2 5" xfId="27919"/>
    <cellStyle name="好_1固定资产 8 3" xfId="27920"/>
    <cellStyle name="好_1固定资产 8_明细表 2" xfId="27921"/>
    <cellStyle name="好_1固定资产 8_明细表 3" xfId="27922"/>
    <cellStyle name="好_1固定资产 8_明细表 4" xfId="27923"/>
    <cellStyle name="好_1固定资产 8_明细表 5" xfId="27924"/>
    <cellStyle name="好_1固定资产 9" xfId="27925"/>
    <cellStyle name="好_1固定资产 9 2" xfId="27926"/>
    <cellStyle name="好_1固定资产 9 2 2" xfId="27927"/>
    <cellStyle name="好_1固定资产 9 2 3" xfId="27928"/>
    <cellStyle name="好_1固定资产 9 2 4" xfId="27929"/>
    <cellStyle name="好_资产负债标准底稿 12 2 2" xfId="27930"/>
    <cellStyle name="好_1固定资产 9 2 5" xfId="27931"/>
    <cellStyle name="好_51-营业税金及附加（空白模板） 16 2" xfId="27932"/>
    <cellStyle name="好_4-应收账款（空白模板） 9 2 2" xfId="27933"/>
    <cellStyle name="好_1固定资产 9 3" xfId="27934"/>
    <cellStyle name="好_1固定资产 9_明细表" xfId="27935"/>
    <cellStyle name="好_1固定资产_附注表一（财务报表）" xfId="27936"/>
    <cellStyle name="好_财务费用 5 4" xfId="27937"/>
    <cellStyle name="好_1固定资产_明细表 2" xfId="27938"/>
    <cellStyle name="好_1固定资产_明细表 4" xfId="27939"/>
    <cellStyle name="好_1管理费用" xfId="27940"/>
    <cellStyle name="好_1管理费用 2" xfId="27941"/>
    <cellStyle name="好_1管理费用 2 2" xfId="27942"/>
    <cellStyle name="好_1营业收入_3固定资产 2" xfId="27943"/>
    <cellStyle name="好_1管理费用 2 3" xfId="27944"/>
    <cellStyle name="好_1管理费用 2 4" xfId="27945"/>
    <cellStyle name="好_1管理费用 3" xfId="27946"/>
    <cellStyle name="好_1管理费用 3 2" xfId="27947"/>
    <cellStyle name="好_1管理费用 4" xfId="27948"/>
    <cellStyle name="好_资产负债标准底稿 7 2 5" xfId="27949"/>
    <cellStyle name="好_1货币资金 10" xfId="27950"/>
    <cellStyle name="好_1货币资金 11" xfId="27951"/>
    <cellStyle name="好_1货币资金 12" xfId="27952"/>
    <cellStyle name="好_1货币资金 13" xfId="27953"/>
    <cellStyle name="好_1货币资金 2" xfId="27954"/>
    <cellStyle name="好_Z10一年内到期的非流动资产 2" xfId="27955"/>
    <cellStyle name="好_1货币资金 2 3" xfId="27956"/>
    <cellStyle name="好_Z10一年内到期的非流动资产 3" xfId="27957"/>
    <cellStyle name="好_1货币资金 2 4" xfId="27958"/>
    <cellStyle name="好_1货币资金 3" xfId="27959"/>
    <cellStyle name="好_1货币资金 3 2" xfId="27960"/>
    <cellStyle name="好_1货币资金 3 3" xfId="27961"/>
    <cellStyle name="好_1货币资金 4 2" xfId="27962"/>
    <cellStyle name="好_1交易性金融负债" xfId="27963"/>
    <cellStyle name="好_1交易性金融负债 4" xfId="27964"/>
    <cellStyle name="好_1交易性金融资产" xfId="27965"/>
    <cellStyle name="好_1营业收入_明细表" xfId="27966"/>
    <cellStyle name="好_1交易性金融资产 2" xfId="27967"/>
    <cellStyle name="好_1营业收入_明细表 2" xfId="27968"/>
    <cellStyle name="好_1交易性金融资产 2 2" xfId="27969"/>
    <cellStyle name="好_1交易性金融资产 3" xfId="27970"/>
    <cellStyle name="好_1交易性金融资产 4" xfId="27971"/>
    <cellStyle name="好_1交易性金融资产 5" xfId="27972"/>
    <cellStyle name="好_1可供出售金融资产" xfId="27973"/>
    <cellStyle name="好_1可供出售金融资产 2 2" xfId="27974"/>
    <cellStyle name="好_55-资产减值损失（空白模板） 3 2 3" xfId="27975"/>
    <cellStyle name="好_1可供出售金融资产 3 2" xfId="27976"/>
    <cellStyle name="好_1其他流动资产" xfId="27977"/>
    <cellStyle name="好_1其他应付款 2" xfId="27978"/>
    <cellStyle name="好_1其他应付款 2 2" xfId="27979"/>
    <cellStyle name="好_1其他应付款_附注表一（财务报表）" xfId="27980"/>
    <cellStyle name="好_1其他应付款_明细表 2" xfId="27981"/>
    <cellStyle name="好_27-短期借款(空白模板) 3_明细表" xfId="27982"/>
    <cellStyle name="好_1其他应付款_明细表 3" xfId="27983"/>
    <cellStyle name="好_1其他应付款_明细表 4" xfId="27984"/>
    <cellStyle name="好_1其他应付款_明细表 5" xfId="27985"/>
    <cellStyle name="好_1其他应收款" xfId="27986"/>
    <cellStyle name="好_1其他应收款 2" xfId="27987"/>
    <cellStyle name="好_1其他应收款 2 2" xfId="27988"/>
    <cellStyle name="好_1其他应收款 2 2 2" xfId="27989"/>
    <cellStyle name="好_50-营业成本（空白模板） 13_明细表 2" xfId="27990"/>
    <cellStyle name="好_1其他应收款 2 3" xfId="27991"/>
    <cellStyle name="好_1其他应收款 3" xfId="27992"/>
    <cellStyle name="好_1其他应收款 3 2" xfId="27993"/>
    <cellStyle name="好_1其他应收款 3 2 2" xfId="27994"/>
    <cellStyle name="好_G-应收账款 12_附注表一（财务报表）" xfId="27995"/>
    <cellStyle name="好_1其他应收款 3 3 2" xfId="27996"/>
    <cellStyle name="好_1其他应收款 4" xfId="27997"/>
    <cellStyle name="好_短期借款 4_明细表 3" xfId="27998"/>
    <cellStyle name="好_1其他应收款 4 2" xfId="27999"/>
    <cellStyle name="好_1其他应收款 5" xfId="28000"/>
    <cellStyle name="好_1其他应收款 7" xfId="28001"/>
    <cellStyle name="好_无形资产 15" xfId="28002"/>
    <cellStyle name="好_无形资产 20" xfId="28003"/>
    <cellStyle name="好_ZD 应收账款 5 2" xfId="28004"/>
    <cellStyle name="好_29-应付票据（空白模板） 3 2" xfId="28005"/>
    <cellStyle name="好_1其他应收款_明细表 3" xfId="28006"/>
    <cellStyle name="好_50-营业成本（空白模板） 17 2" xfId="28007"/>
    <cellStyle name="好_1所得税费用" xfId="28008"/>
    <cellStyle name="好_1所得税费用 11" xfId="28009"/>
    <cellStyle name="好_50-营业成本（空白模板） 17 2 2" xfId="28010"/>
    <cellStyle name="好_1所得税费用 2" xfId="28011"/>
    <cellStyle name="好_1所得税费用 2 2" xfId="28012"/>
    <cellStyle name="好_50-营业成本（空白模板） 17 2 3" xfId="28013"/>
    <cellStyle name="好_1所得税费用 3" xfId="28014"/>
    <cellStyle name="好_1所得税费用 3 2" xfId="28015"/>
    <cellStyle name="好_50-营业成本（空白模板） 17 2 4" xfId="28016"/>
    <cellStyle name="好_1所得税费用 4" xfId="28017"/>
    <cellStyle name="好_1所得税费用 4 2" xfId="28018"/>
    <cellStyle name="好_50-营业成本（空白模板） 17 2 5" xfId="28019"/>
    <cellStyle name="好_1所得税费用 5" xfId="28020"/>
    <cellStyle name="好_1所得税费用 5 2" xfId="28021"/>
    <cellStyle name="好_1所得税费用 6 2" xfId="28022"/>
    <cellStyle name="好_1所得税费用 7 2" xfId="28023"/>
    <cellStyle name="好_1所得税费用 8 2" xfId="28024"/>
    <cellStyle name="好_1所得税费用 9" xfId="28025"/>
    <cellStyle name="好_1所得税费用 9 2" xfId="28026"/>
    <cellStyle name="好_1投资收益" xfId="28027"/>
    <cellStyle name="好_1投资收益 2" xfId="28028"/>
    <cellStyle name="好_1投资收益 2 2" xfId="28029"/>
    <cellStyle name="好_1投资收益 3" xfId="28030"/>
    <cellStyle name="好_1投资收益 3 2" xfId="28031"/>
    <cellStyle name="好_1销售费用 2 2" xfId="28032"/>
    <cellStyle name="好_Turnover 2" xfId="28033"/>
    <cellStyle name="欧" xfId="28034"/>
    <cellStyle name="好_1销售费用 3" xfId="28035"/>
    <cellStyle name="欧 2" xfId="28036"/>
    <cellStyle name="好_1销售费用 3 2" xfId="28037"/>
    <cellStyle name="好_1销售费用 3 2 2" xfId="28038"/>
    <cellStyle name="好_Turnover 3" xfId="28039"/>
    <cellStyle name="好_1销售费用 4" xfId="28040"/>
    <cellStyle name="好_1-销售与收款循环 2" xfId="28041"/>
    <cellStyle name="好_1-销售与收款循环 2 2" xfId="28042"/>
    <cellStyle name="好_1-销售与收款循环 2 3" xfId="28043"/>
    <cellStyle name="好_1-销售与收款循环 2 4" xfId="28044"/>
    <cellStyle name="好_1-销售与收款循环 3 2" xfId="28045"/>
    <cellStyle name="好_1盈余公积" xfId="28046"/>
    <cellStyle name="好_1专项应付款 13_明细表 5" xfId="28047"/>
    <cellStyle name="好_1盈余公积 2" xfId="28048"/>
    <cellStyle name="好_1盈余公积 2 2" xfId="28049"/>
    <cellStyle name="好_1盈余公积 3" xfId="28050"/>
    <cellStyle name="好_1盈余公积 3 2" xfId="28051"/>
    <cellStyle name="好_1盈余公积 4" xfId="28052"/>
    <cellStyle name="好_1营业成本" xfId="28053"/>
    <cellStyle name="好_1营业成本 2 2" xfId="28054"/>
    <cellStyle name="好_底稿设置宏 5 2 4" xfId="28055"/>
    <cellStyle name="好_1营业成本 2 2 2" xfId="28056"/>
    <cellStyle name="好_1营业成本 2 2 2 2" xfId="28057"/>
    <cellStyle name="好_1营业成本 2 3" xfId="28058"/>
    <cellStyle name="好_1营业成本 2 4" xfId="28059"/>
    <cellStyle name="好_1营业成本 2 5" xfId="28060"/>
    <cellStyle name="好_1营业成本 3" xfId="28061"/>
    <cellStyle name="好_1营业成本 3 2" xfId="28062"/>
    <cellStyle name="好_1营业成本 3 3" xfId="28063"/>
    <cellStyle name="好_预收款项 10 2" xfId="28064"/>
    <cellStyle name="好_1营业成本 4" xfId="28065"/>
    <cellStyle name="好_预收款项 10 3" xfId="28066"/>
    <cellStyle name="好_1营业成本 5" xfId="28067"/>
    <cellStyle name="好_预收款项 10 4" xfId="28068"/>
    <cellStyle name="好_1营业成本 6" xfId="28069"/>
    <cellStyle name="好_1营业成本 7" xfId="28070"/>
    <cellStyle name="好_1营业收入" xfId="28071"/>
    <cellStyle name="好_ZY-递延所得税资产 2 2 2" xfId="28072"/>
    <cellStyle name="好_1营业收入 10 2 4" xfId="28073"/>
    <cellStyle name="好_ZY-递延所得税资产 2 2 3" xfId="28074"/>
    <cellStyle name="好_1营业收入 10 2 5" xfId="28075"/>
    <cellStyle name="好_1营业收入 10 3" xfId="28076"/>
    <cellStyle name="好_1营业收入 10_附注表一（财务报表）" xfId="28077"/>
    <cellStyle name="好_1营业收入 11 2 3" xfId="28078"/>
    <cellStyle name="好_1营业收入 11 2 4" xfId="28079"/>
    <cellStyle name="好_财务费用 2 2 2 2" xfId="28080"/>
    <cellStyle name="好_资产负债类底稿模版 2 2 2 2" xfId="28081"/>
    <cellStyle name="好_1营业收入 11 2 5" xfId="28082"/>
    <cellStyle name="好_1营业收入 11 3" xfId="28083"/>
    <cellStyle name="好_1营业收入 11_明细表" xfId="28084"/>
    <cellStyle name="好_1营业收入 11_明细表 3" xfId="28085"/>
    <cellStyle name="好_1营业收入 11_明细表 4" xfId="28086"/>
    <cellStyle name="好_1营业收入 11_明细表 5" xfId="28087"/>
    <cellStyle name="好_1营业收入 12 2 2" xfId="28088"/>
    <cellStyle name="好_1营业收入 12_附注表一（财务报表）" xfId="28089"/>
    <cellStyle name="好_1营业收入 12_明细表" xfId="28090"/>
    <cellStyle name="好_1营业收入 12_明细表 2" xfId="28091"/>
    <cellStyle name="好_1营业收入 12_明细表 3" xfId="28092"/>
    <cellStyle name="好_1营业收入 12_明细表 4" xfId="28093"/>
    <cellStyle name="好_1营业收入 12_明细表 5" xfId="28094"/>
    <cellStyle name="好_1营业收入 13_附注表一（财务报表）" xfId="28095"/>
    <cellStyle name="好_盈余公积 3 3" xfId="28096"/>
    <cellStyle name="好_1营业收入 13_明细表" xfId="28097"/>
    <cellStyle name="好_1营业收入 13_明细表 5" xfId="28098"/>
    <cellStyle name="好_1营业收入 14" xfId="28099"/>
    <cellStyle name="好_1营业收入 14 2" xfId="28100"/>
    <cellStyle name="好_1营业收入 14 2 2" xfId="28101"/>
    <cellStyle name="好_1营业收入 14 3" xfId="28102"/>
    <cellStyle name="好_1营业收入 14_明细表" xfId="28103"/>
    <cellStyle name="好_存货 6" xfId="28104"/>
    <cellStyle name="好_ZH其他应收款 2 2 3" xfId="28105"/>
    <cellStyle name="好_1营业收入 14_明细表 2" xfId="28106"/>
    <cellStyle name="好_底稿设置宏_大信底稿目录 10" xfId="28107"/>
    <cellStyle name="好_存货 7" xfId="28108"/>
    <cellStyle name="好_1营业收入 14_明细表 3" xfId="28109"/>
    <cellStyle name="好_底稿设置宏_大信底稿目录 11" xfId="28110"/>
    <cellStyle name="好_存货 8" xfId="28111"/>
    <cellStyle name="好_1营业收入 14_明细表 4" xfId="28112"/>
    <cellStyle name="好_底稿设置宏_大信底稿目录 12" xfId="28113"/>
    <cellStyle name="好_存货 9" xfId="28114"/>
    <cellStyle name="好_1营业收入 14_明细表 5" xfId="28115"/>
    <cellStyle name="好_1营业收入 15" xfId="28116"/>
    <cellStyle name="好_1营业收入 20" xfId="28117"/>
    <cellStyle name="好_1营业收入 15_附注表一（财务报表）" xfId="28118"/>
    <cellStyle name="好_1营业收入 15_明细表 5" xfId="28119"/>
    <cellStyle name="好_1资本公积 4" xfId="28120"/>
    <cellStyle name="好_1营业收入 16 2" xfId="28121"/>
    <cellStyle name="好_1营业收入 16 2 2" xfId="28122"/>
    <cellStyle name="好_1营业收入 16 3" xfId="28123"/>
    <cellStyle name="好_1营业收入 16 4" xfId="28124"/>
    <cellStyle name="好_1营业收入 16 5" xfId="28125"/>
    <cellStyle name="好_1营业收入 16 6" xfId="28126"/>
    <cellStyle name="好_1营业收入 17" xfId="28127"/>
    <cellStyle name="好_1营业收入 22" xfId="28128"/>
    <cellStyle name="好_1营业收入 17 2 2" xfId="28129"/>
    <cellStyle name="好_应收利息_明细表 5" xfId="28130"/>
    <cellStyle name="好_1营业收入 17 3" xfId="28131"/>
    <cellStyle name="好_应收利息_明细表 6" xfId="28132"/>
    <cellStyle name="好_1营业收入 17 4" xfId="28133"/>
    <cellStyle name="好_1营业收入 17 5" xfId="28134"/>
    <cellStyle name="好_1营业收入 17 6" xfId="28135"/>
    <cellStyle name="好_1营业收入 18" xfId="28136"/>
    <cellStyle name="好_1营业收入 23" xfId="28137"/>
    <cellStyle name="好_1营业收入 18 2" xfId="28138"/>
    <cellStyle name="好_1营业收入 18 3" xfId="28139"/>
    <cellStyle name="好_1营业收入 18 4" xfId="28140"/>
    <cellStyle name="好_1营业收入 18 5" xfId="28141"/>
    <cellStyle name="好_1营业收入 19" xfId="28142"/>
    <cellStyle name="好_1营业收入 24" xfId="28143"/>
    <cellStyle name="好_1营业收入 2" xfId="28144"/>
    <cellStyle name="好_1营业收入 2 2 2 2" xfId="28145"/>
    <cellStyle name="好_1营业收入 2 2 3" xfId="28146"/>
    <cellStyle name="好_1营业收入 2 2 4" xfId="28147"/>
    <cellStyle name="好_1营业收入 2 2 6" xfId="28148"/>
    <cellStyle name="好_G-应收账款 8_附注表一（财务报表）" xfId="28149"/>
    <cellStyle name="好_1营业收入 2 3 2" xfId="28150"/>
    <cellStyle name="好_1营业收入 2 3 3" xfId="28151"/>
    <cellStyle name="好_54-财务费用（空白模板） 4 2" xfId="28152"/>
    <cellStyle name="好_1应收账款_明细表 2 4" xfId="28153"/>
    <cellStyle name="好_1营业收入 2_明细表 4" xfId="28154"/>
    <cellStyle name="好_营业收入 12_明细表 2" xfId="28155"/>
    <cellStyle name="好_1营业收入 29" xfId="28156"/>
    <cellStyle name="好_1营业收入 34" xfId="28157"/>
    <cellStyle name="好_40-专项应付款(空白模板) 16 2 2" xfId="28158"/>
    <cellStyle name="好_1营业收入 3" xfId="28159"/>
    <cellStyle name="好_1营业收入 3 2" xfId="28160"/>
    <cellStyle name="好_1营业收入 3 2 2" xfId="28161"/>
    <cellStyle name="好_1营业收入 3 2 3" xfId="28162"/>
    <cellStyle name="好_1营业收入 3 2 4" xfId="28163"/>
    <cellStyle name="好_1营业收入 3 2 6" xfId="28164"/>
    <cellStyle name="好_9-存货（空白模板） 2 2" xfId="28165"/>
    <cellStyle name="好_1营业收入 3 3" xfId="28166"/>
    <cellStyle name="好_资产负债标准底稿 10 2 3" xfId="28167"/>
    <cellStyle name="好_1长期借款 3" xfId="28168"/>
    <cellStyle name="好_27-短期借款(空白模板) 8_明细表 5" xfId="28169"/>
    <cellStyle name="好_9-存货（空白模板） 2 2 2" xfId="28170"/>
    <cellStyle name="好_1营业收入 3 3 2" xfId="28171"/>
    <cellStyle name="好_9-存货（空白模板） 2 3" xfId="28172"/>
    <cellStyle name="好_1营业收入 3 4" xfId="28173"/>
    <cellStyle name="好_40-专项应付款(空白模板) 16 2 3" xfId="28174"/>
    <cellStyle name="好_1营业收入 4" xfId="28175"/>
    <cellStyle name="好_未分配利润 2 3" xfId="28176"/>
    <cellStyle name="好_1营业收入 4 2" xfId="28177"/>
    <cellStyle name="好_ZA货币资金 3" xfId="28178"/>
    <cellStyle name="好_1营业收入 4 2 2" xfId="28179"/>
    <cellStyle name="好_ZA货币资金 4" xfId="28180"/>
    <cellStyle name="好_1营业收入 4 2 3" xfId="28181"/>
    <cellStyle name="好_未分配利润 2 4" xfId="28182"/>
    <cellStyle name="好_9-存货（空白模板） 3 2" xfId="28183"/>
    <cellStyle name="好_1营业收入 4 3" xfId="28184"/>
    <cellStyle name="好_资产负债标准底稿 11 2 3" xfId="28185"/>
    <cellStyle name="好_9-存货（空白模板） 3 2 2" xfId="28186"/>
    <cellStyle name="好_1营业收入 4 3 2" xfId="28187"/>
    <cellStyle name="好_9-存货（空白模板） 3 3" xfId="28188"/>
    <cellStyle name="好_1营业收入 4 4" xfId="28189"/>
    <cellStyle name="好_1营业收入 4 5" xfId="28190"/>
    <cellStyle name="好_1营业收入 4_附注表一（财务报表）" xfId="28191"/>
    <cellStyle name="好_1营业收入 4_明细表 3" xfId="28192"/>
    <cellStyle name="好_1营业收入 4_明细表 5" xfId="28193"/>
    <cellStyle name="好_底稿设置宏 7 2" xfId="28194"/>
    <cellStyle name="好_40-专项应付款(空白模板) 16 2 4" xfId="28195"/>
    <cellStyle name="好_1营业收入 5" xfId="28196"/>
    <cellStyle name="好_1营业收入 5 2 2" xfId="28197"/>
    <cellStyle name="好_资产负债标准底稿 12 2 3" xfId="28198"/>
    <cellStyle name="好_1营业收入 5 3 2" xfId="28199"/>
    <cellStyle name="好_底稿设置宏 7 2 5" xfId="28200"/>
    <cellStyle name="好_1营业收入 5 5" xfId="28201"/>
    <cellStyle name="好_1营业收入 5_附注表一（财务报表）" xfId="28202"/>
    <cellStyle name="好_资产负债标准底稿_明细表 2 3" xfId="28203"/>
    <cellStyle name="好_1营业收入 5_明细表 2" xfId="28204"/>
    <cellStyle name="好_资产负债标准底稿_明细表 2 4" xfId="28205"/>
    <cellStyle name="好_1营业收入 5_明细表 3" xfId="28206"/>
    <cellStyle name="好_资产负债标准底稿_明细表 2 5" xfId="28207"/>
    <cellStyle name="好_1营业收入 5_明细表 4" xfId="28208"/>
    <cellStyle name="好_1营业收入 5_明细表 5" xfId="28209"/>
    <cellStyle name="好_底稿设置宏 7 3" xfId="28210"/>
    <cellStyle name="好_40-专项应付款(空白模板) 16 2 5" xfId="28211"/>
    <cellStyle name="好_1营业收入 6" xfId="28212"/>
    <cellStyle name="好_1营业收入 6 2 2" xfId="28213"/>
    <cellStyle name="好_1营业收入 6 2 3" xfId="28214"/>
    <cellStyle name="好_1营业收入 6 2 4" xfId="28215"/>
    <cellStyle name="好_1营业收入 6 3" xfId="28216"/>
    <cellStyle name="好_资产负债标准底稿 13 2 3" xfId="28217"/>
    <cellStyle name="好_1营业收入 6 3 2" xfId="28218"/>
    <cellStyle name="好_51-营业税金及附加（空白模板） 5_明细表 2" xfId="28219"/>
    <cellStyle name="好_1营业收入 6 4" xfId="28220"/>
    <cellStyle name="好_51-营业税金及附加（空白模板） 5_明细表 3" xfId="28221"/>
    <cellStyle name="好_1营业收入 6 5" xfId="28222"/>
    <cellStyle name="好_1营业收入 6_附注表一（财务报表）" xfId="28223"/>
    <cellStyle name="好_应收利息 13 3" xfId="28224"/>
    <cellStyle name="好_1营业收入 6_明细表 5" xfId="28225"/>
    <cellStyle name="好_底稿设置宏 7 4" xfId="28226"/>
    <cellStyle name="好_1营业收入 7" xfId="28227"/>
    <cellStyle name="好_27-短期借款(空白模板) 15_明细表" xfId="28228"/>
    <cellStyle name="好_1营业收入 7 2" xfId="28229"/>
    <cellStyle name="好_1营业收入 7 3" xfId="28230"/>
    <cellStyle name="好_1营业收入 7 4" xfId="28231"/>
    <cellStyle name="好_1营业收入 7_附注表一（财务报表）" xfId="28232"/>
    <cellStyle name="好_1预收款项 11_明细表" xfId="28233"/>
    <cellStyle name="好_1营业收入 8" xfId="28234"/>
    <cellStyle name="好_1营业收入 8 2 4" xfId="28235"/>
    <cellStyle name="好_1营业收入 8 2 5" xfId="28236"/>
    <cellStyle name="好_财务费用 8_明细表 4" xfId="28237"/>
    <cellStyle name="好_1营业收入 8_附注表一（财务报表）" xfId="28238"/>
    <cellStyle name="好_大信 递延所得税资产" xfId="28239"/>
    <cellStyle name="好_1营业收入 8_明细表 2" xfId="28240"/>
    <cellStyle name="好_1营业收入 8_明细表 3" xfId="28241"/>
    <cellStyle name="好_1营业收入 8_明细表 4" xfId="28242"/>
    <cellStyle name="好_1营业收入 8_明细表 5" xfId="28243"/>
    <cellStyle name="好_1营业收入 9 2 3" xfId="28244"/>
    <cellStyle name="好_1营业收入 9 2 4" xfId="28245"/>
    <cellStyle name="好_1营业收入 9_附注表一（财务报表）" xfId="28246"/>
    <cellStyle name="好_1营业收入 9_明细表 2" xfId="28247"/>
    <cellStyle name="好_1营业收入 9_明细表 5" xfId="28248"/>
    <cellStyle name="好_1营业收入_Book2 2" xfId="28249"/>
    <cellStyle name="好_1营业收入_附注表一（财务报表）" xfId="28250"/>
    <cellStyle name="好_1营业收入_货币资金" xfId="28251"/>
    <cellStyle name="好_短期借款 10 3" xfId="28252"/>
    <cellStyle name="好_1营业收入_明细表 2 5" xfId="28253"/>
    <cellStyle name="好_1营业收入_明细表 3" xfId="28254"/>
    <cellStyle name="好_1营业收入_明细表 4" xfId="28255"/>
    <cellStyle name="好_1营业收入_明细表_1 2" xfId="28256"/>
    <cellStyle name="好_1营业收入_明细表_1 3" xfId="28257"/>
    <cellStyle name="千位分隔 2 2 2 5 3 2" xfId="28258"/>
    <cellStyle name="好_1营业收入_明细表_1 4" xfId="28259"/>
    <cellStyle name="好_1营业收入_明细表_1 5" xfId="28260"/>
    <cellStyle name="好_实地观察模板 2 3" xfId="28261"/>
    <cellStyle name="好_1营业收入_应收账款" xfId="28262"/>
    <cellStyle name="好_1营业税金及附加 2 2" xfId="28263"/>
    <cellStyle name="好_1营业税金及附加 3" xfId="28264"/>
    <cellStyle name="好_1营业税金及附加 3 2" xfId="28265"/>
    <cellStyle name="好_27-短期借款(空白模板) 16 2 5" xfId="28266"/>
    <cellStyle name="好_1营业外收入 4" xfId="28267"/>
    <cellStyle name="好_47-盈余公积（空白模板） 2" xfId="28268"/>
    <cellStyle name="好_1营业外收入 5" xfId="28269"/>
    <cellStyle name="好_1营业外支出" xfId="28270"/>
    <cellStyle name="好_1营业外支出 2 3" xfId="28271"/>
    <cellStyle name="好_1营业外支出 2 4" xfId="28272"/>
    <cellStyle name="好_1营业外支出 3 2" xfId="28273"/>
    <cellStyle name="好_1应付账款" xfId="28274"/>
    <cellStyle name="好_1应付账款 2" xfId="28275"/>
    <cellStyle name="好_1应付账款 2 2" xfId="28276"/>
    <cellStyle name="好_1应付账款 3" xfId="28277"/>
    <cellStyle name="好_1应付职工薪酬" xfId="28278"/>
    <cellStyle name="好_1应付职工薪酬 10" xfId="28279"/>
    <cellStyle name="好_1应付职工薪酬 11" xfId="28280"/>
    <cellStyle name="好_1应付职工薪酬 12" xfId="28281"/>
    <cellStyle name="好_1应付职工薪酬 13" xfId="28282"/>
    <cellStyle name="好_1应付职工薪酬 14" xfId="28283"/>
    <cellStyle name="好_1应付职工薪酬 15" xfId="28284"/>
    <cellStyle name="好_1应付职工薪酬 20" xfId="28285"/>
    <cellStyle name="好_1应付职工薪酬 16" xfId="28286"/>
    <cellStyle name="好_1应付职工薪酬 21" xfId="28287"/>
    <cellStyle name="好_1应付职工薪酬 18" xfId="28288"/>
    <cellStyle name="好_1应付职工薪酬 23" xfId="28289"/>
    <cellStyle name="好_1预收款项 3 2 4" xfId="28290"/>
    <cellStyle name="好_1应付职工薪酬 2 2 3" xfId="28291"/>
    <cellStyle name="好_1应付职工薪酬 25" xfId="28292"/>
    <cellStyle name="好_1应付职工薪酬 30" xfId="28293"/>
    <cellStyle name="好_1应付职工薪酬 26" xfId="28294"/>
    <cellStyle name="好_1应付职工薪酬 31" xfId="28295"/>
    <cellStyle name="好_1应付职工薪酬 27" xfId="28296"/>
    <cellStyle name="好_1应付职工薪酬 32" xfId="28297"/>
    <cellStyle name="好_1资产减值损失 11 2 2" xfId="28298"/>
    <cellStyle name="好_1应付职工薪酬 28" xfId="28299"/>
    <cellStyle name="好_1应付职工薪酬 33" xfId="28300"/>
    <cellStyle name="好_1资产减值损失 11 2 3" xfId="28301"/>
    <cellStyle name="好_专项应付款 13 2 5" xfId="28302"/>
    <cellStyle name="好_1应付职工薪酬 3 2" xfId="28303"/>
    <cellStyle name="好_财务费用_明细表 2" xfId="28304"/>
    <cellStyle name="好_1应付职工薪酬 4 2" xfId="28305"/>
    <cellStyle name="好_1应付职工薪酬 8" xfId="28306"/>
    <cellStyle name="好_1应付职工薪酬 9" xfId="28307"/>
    <cellStyle name="好_1应收股利" xfId="28308"/>
    <cellStyle name="好_1应收股利 2" xfId="28309"/>
    <cellStyle name="好_1应收股利 2 2" xfId="28310"/>
    <cellStyle name="好_49-营业收入（空白模板） 14_明细表 2" xfId="28311"/>
    <cellStyle name="好_1应收股利 3 2" xfId="28312"/>
    <cellStyle name="好_1应收利息 2 2" xfId="28313"/>
    <cellStyle name="好_1应收利息 2 2 3" xfId="28314"/>
    <cellStyle name="好_底稿设置宏 12_明细表" xfId="28315"/>
    <cellStyle name="好_1应收利息 2 4" xfId="28316"/>
    <cellStyle name="强调文字颜色 3 2 2 11" xfId="28317"/>
    <cellStyle name="好_1应收利息 3" xfId="28318"/>
    <cellStyle name="好_1应收利息 4" xfId="28319"/>
    <cellStyle name="好_1应收利息 4 2" xfId="28320"/>
    <cellStyle name="好_资产负债标准底稿_大信底稿目录 10" xfId="28321"/>
    <cellStyle name="好_1应收利息 5" xfId="28322"/>
    <cellStyle name="好_资产负债标准底稿_大信底稿目录 10 2" xfId="28323"/>
    <cellStyle name="好_1应收利息 5 2" xfId="28324"/>
    <cellStyle name="好_1应收票据 3" xfId="28325"/>
    <cellStyle name="好_1应收票据 5" xfId="28326"/>
    <cellStyle name="好_1应收账款" xfId="28327"/>
    <cellStyle name="好_ZY递延所得税资产 3 3" xfId="28328"/>
    <cellStyle name="好_1应收账款 2" xfId="28329"/>
    <cellStyle name="好_1应收账款 2 2 3" xfId="28330"/>
    <cellStyle name="好_银行函证结果汇总表 13 2" xfId="28331"/>
    <cellStyle name="好_1应收账款 2 2 4" xfId="28332"/>
    <cellStyle name="好_银行函证结果汇总表 13 3" xfId="28333"/>
    <cellStyle name="好_1应收账款 2 2 5" xfId="28334"/>
    <cellStyle name="好_1应收账款 2 4" xfId="28335"/>
    <cellStyle name="好_1应收账款 2 5" xfId="28336"/>
    <cellStyle name="好_1应收账款 3" xfId="28337"/>
    <cellStyle name="好_1应收账款 3 2 2" xfId="28338"/>
    <cellStyle name="好_1应收账款 3 2 3" xfId="28339"/>
    <cellStyle name="好_1应收账款 3 2 4" xfId="28340"/>
    <cellStyle name="好_1应收账款 3 2 5" xfId="28341"/>
    <cellStyle name="好_1应收账款 3 5" xfId="28342"/>
    <cellStyle name="好_1应收账款 4 5" xfId="28343"/>
    <cellStyle name="好_1应收账款 8" xfId="28344"/>
    <cellStyle name="好_1应收账款_明细表_1 3" xfId="28345"/>
    <cellStyle name="好_1应收账款_明细表_1 5" xfId="28346"/>
    <cellStyle name="好_短期借款 7 2 2" xfId="28347"/>
    <cellStyle name="好_4-应收账款（空白模板） 15 2 5" xfId="28348"/>
    <cellStyle name="好_1预付款项" xfId="28349"/>
    <cellStyle name="好_1预付款项 2 3" xfId="28350"/>
    <cellStyle name="好_1预付款项 4" xfId="28351"/>
    <cellStyle name="好_1预付款项_附注表一（财务报表）" xfId="28352"/>
    <cellStyle name="好_Qingdao销售费用 3" xfId="28353"/>
    <cellStyle name="好_1预付款项_明细表 2" xfId="28354"/>
    <cellStyle name="好_Qingdao销售费用 4" xfId="28355"/>
    <cellStyle name="好_1预付款项_明细表 3" xfId="28356"/>
    <cellStyle name="好_Qingdao销售费用 5" xfId="28357"/>
    <cellStyle name="好_1预付款项_明细表 4" xfId="28358"/>
    <cellStyle name="好_Qingdao销售费用 6" xfId="28359"/>
    <cellStyle name="好_1预付款项_明细表 5" xfId="28360"/>
    <cellStyle name="好_1预收款项" xfId="28361"/>
    <cellStyle name="好_1预收款项 10 2 2" xfId="28362"/>
    <cellStyle name="好_1预收款项 10 2 5" xfId="28363"/>
    <cellStyle name="好_1预收款项 10_附注表一（财务报表）" xfId="28364"/>
    <cellStyle name="好_1预收款项 10_明细表" xfId="28365"/>
    <cellStyle name="好_1预收款项 10_明细表 3" xfId="28366"/>
    <cellStyle name="好_1预收款项 10_明细表 4" xfId="28367"/>
    <cellStyle name="好_31-预收账款（空白模板） 13_附注表一（财务报表）" xfId="28368"/>
    <cellStyle name="好_1预收款项 10_明细表 5" xfId="28369"/>
    <cellStyle name="好_3-应收票据（空白模板） 2 2" xfId="28370"/>
    <cellStyle name="好_1预收款项 11" xfId="28371"/>
    <cellStyle name="好_1预收款项 11 2 2" xfId="28372"/>
    <cellStyle name="好_1预收款项 11 2 5" xfId="28373"/>
    <cellStyle name="好_1预收款项 11 3" xfId="28374"/>
    <cellStyle name="好_1预收款项 11_附注表一（财务报表）" xfId="28375"/>
    <cellStyle name="好_1预收款项 12" xfId="28376"/>
    <cellStyle name="好_1预收款项 12 2" xfId="28377"/>
    <cellStyle name="好_1预收款项 12 2 2" xfId="28378"/>
    <cellStyle name="好_1预收款项 12 2 3" xfId="28379"/>
    <cellStyle name="好_2011.12全年年报资料汇总(樣本) 3" xfId="28380"/>
    <cellStyle name="好_1预收款项 12 2 5" xfId="28381"/>
    <cellStyle name="好_1预收款项 12 3" xfId="28382"/>
    <cellStyle name="好_1预收款项 12_附注表一（财务报表）" xfId="28383"/>
    <cellStyle name="好_1预收款项 13" xfId="28384"/>
    <cellStyle name="好_1预收款项 13 2" xfId="28385"/>
    <cellStyle name="好_1预收款项 13 3" xfId="28386"/>
    <cellStyle name="好_1预收款项 13_附注表一（财务报表）" xfId="28387"/>
    <cellStyle name="好_1预收款项 14" xfId="28388"/>
    <cellStyle name="好_Z9存货" xfId="28389"/>
    <cellStyle name="好_1预收款项 14_明细表" xfId="28390"/>
    <cellStyle name="好_Z9存货 2" xfId="28391"/>
    <cellStyle name="好_1预收款项 14_明细表 2" xfId="28392"/>
    <cellStyle name="好_Z9存货 3" xfId="28393"/>
    <cellStyle name="好_1预收款项 14_明细表 3" xfId="28394"/>
    <cellStyle name="好_1预收款项 14_明细表 4" xfId="28395"/>
    <cellStyle name="好_1预收款项 14_明细表 5" xfId="28396"/>
    <cellStyle name="好_1预收款项 15" xfId="28397"/>
    <cellStyle name="好_1预收款项 20" xfId="28398"/>
    <cellStyle name="好_1预收款项 15 2 2" xfId="28399"/>
    <cellStyle name="好_1预收款项 15 2 3" xfId="28400"/>
    <cellStyle name="好_1预收款项 15 4" xfId="28401"/>
    <cellStyle name="好_1预收款项 15 5" xfId="28402"/>
    <cellStyle name="好_1资产减值损失 13_明细表" xfId="28403"/>
    <cellStyle name="好_TOC" xfId="28404"/>
    <cellStyle name="好_1预收款项 15 6" xfId="28405"/>
    <cellStyle name="好_1预收款项 16 3" xfId="28406"/>
    <cellStyle name="好_1预收款项 16 6" xfId="28407"/>
    <cellStyle name="好_1预收款项 18" xfId="28408"/>
    <cellStyle name="好_1预收款项 23" xfId="28409"/>
    <cellStyle name="好_1预收款项 19" xfId="28410"/>
    <cellStyle name="好_1预收款项 24" xfId="28411"/>
    <cellStyle name="好_1预收款项 2" xfId="28412"/>
    <cellStyle name="好_复件 固定资产 2_明细表 3" xfId="28413"/>
    <cellStyle name="好_1预收款项 2 2" xfId="28414"/>
    <cellStyle name="好_54-财务费用（空白模板） 2_明细表 3" xfId="28415"/>
    <cellStyle name="好_明细表_应收账款期末审定表 4" xfId="28416"/>
    <cellStyle name="好_1预收款项 2 2 2 2" xfId="28417"/>
    <cellStyle name="好_复件 固定资产 2_明细表 4" xfId="28418"/>
    <cellStyle name="好_30-应付账款（空白模板） 6_明细表 2" xfId="28419"/>
    <cellStyle name="好_1预收款项 2 3" xfId="28420"/>
    <cellStyle name="好_1预收款项 2 5" xfId="28421"/>
    <cellStyle name="好_短期借款 2 3 3" xfId="28422"/>
    <cellStyle name="好_30-应付账款（空白模板） 6_明细表 4" xfId="28423"/>
    <cellStyle name="好_1预收款项 2_附注表一（财务报表）" xfId="28424"/>
    <cellStyle name="好_1预收款项 2_明细表" xfId="28425"/>
    <cellStyle name="好_其他应收款 2 3 2" xfId="28426"/>
    <cellStyle name="强调文字颜色 1 2 5" xfId="28427"/>
    <cellStyle name="好_1预收款项 2_明细表 2" xfId="28428"/>
    <cellStyle name="强调文字颜色 1 2 8" xfId="28429"/>
    <cellStyle name="好_1预收款项 2_明细表 5" xfId="28430"/>
    <cellStyle name="好_1预收款项 25" xfId="28431"/>
    <cellStyle name="好_1预收款项 30" xfId="28432"/>
    <cellStyle name="好_1预收款项 26" xfId="28433"/>
    <cellStyle name="好_1预收款项 31" xfId="28434"/>
    <cellStyle name="好_1预收款项 27" xfId="28435"/>
    <cellStyle name="好_1预收款项 32" xfId="28436"/>
    <cellStyle name="好_长期应收款 2" xfId="28437"/>
    <cellStyle name="好_1预收款项 28" xfId="28438"/>
    <cellStyle name="好_1预收款项 33" xfId="28439"/>
    <cellStyle name="好_1预收款项 3 2 5" xfId="28440"/>
    <cellStyle name="好_1预收款项 3 3 2" xfId="28441"/>
    <cellStyle name="好_1预收款项 3_附注表一（财务报表）" xfId="28442"/>
    <cellStyle name="好_40-专项应付款(空白模板) 6_附注表一（财务报表）" xfId="28443"/>
    <cellStyle name="好_1预收款项 4 3" xfId="28444"/>
    <cellStyle name="好_1预收款项 4 3 2" xfId="28445"/>
    <cellStyle name="好_1预收款项 4 4" xfId="28446"/>
    <cellStyle name="好_1预收款项 4 5" xfId="28447"/>
    <cellStyle name="好_1预收款项 4_明细表" xfId="28448"/>
    <cellStyle name="好_1预收款项 5 2" xfId="28449"/>
    <cellStyle name="好_1预收款项 5 2 2" xfId="28450"/>
    <cellStyle name="好_1预收款项 5 2 3" xfId="28451"/>
    <cellStyle name="好_1预收款项 5 2 4" xfId="28452"/>
    <cellStyle name="好_1预收款项 5 2 5" xfId="28453"/>
    <cellStyle name="好_1预收款项 5 3" xfId="28454"/>
    <cellStyle name="样式 1 10" xfId="28455"/>
    <cellStyle name="好_应收账款期末审定表 5" xfId="28456"/>
    <cellStyle name="好_1预收款项 5 3 2" xfId="28457"/>
    <cellStyle name="好_1预收款项 5 4" xfId="28458"/>
    <cellStyle name="好_1预收款项 5 5" xfId="28459"/>
    <cellStyle name="好_1预收款项 5_附注表一（财务报表）" xfId="28460"/>
    <cellStyle name="好_1预收款项 5_明细表" xfId="28461"/>
    <cellStyle name="好_1预收款项 5_明细表 2" xfId="28462"/>
    <cellStyle name="好_1预收款项 5_明细表 4" xfId="28463"/>
    <cellStyle name="好_1预收款项 5_明细表 5" xfId="28464"/>
    <cellStyle name="好_预收款项 8_明细表 2" xfId="28465"/>
    <cellStyle name="好_1预收款项 6 2" xfId="28466"/>
    <cellStyle name="好_1预收款项 6 2 2" xfId="28467"/>
    <cellStyle name="好_1预收款项 6 2 4" xfId="28468"/>
    <cellStyle name="好_1预收款项 6 2 5" xfId="28469"/>
    <cellStyle name="好_预收款项 8_明细表 4" xfId="28470"/>
    <cellStyle name="好_1预收款项 6 4" xfId="28471"/>
    <cellStyle name="好_预收款项 8_明细表 5" xfId="28472"/>
    <cellStyle name="好_1预收款项 6 5" xfId="28473"/>
    <cellStyle name="好_1预收款项 6_附注表一（财务报表）" xfId="28474"/>
    <cellStyle name="好_1预收款项 6_明细表" xfId="28475"/>
    <cellStyle name="好_1预收款项 6_明细表 2" xfId="28476"/>
    <cellStyle name="好_短期借款 16 4" xfId="28477"/>
    <cellStyle name="好_1预收款项 6_明细表 5" xfId="28478"/>
    <cellStyle name="好_专项应付款 8_明细表 2" xfId="28479"/>
    <cellStyle name="好_1专项应付款 26" xfId="28480"/>
    <cellStyle name="好_1专项应付款 31" xfId="28481"/>
    <cellStyle name="好_固定资产 2 2" xfId="28482"/>
    <cellStyle name="好_1预收款项 7 2" xfId="28483"/>
    <cellStyle name="好_固定资产 2 2 2" xfId="28484"/>
    <cellStyle name="好_1预收款项 7 2 2" xfId="28485"/>
    <cellStyle name="好_固定资产 2 2 3" xfId="28486"/>
    <cellStyle name="好_递延所得税资产 2" xfId="28487"/>
    <cellStyle name="好_1预收款项 7 2 3" xfId="28488"/>
    <cellStyle name="好_固定资产 2 2 4" xfId="28489"/>
    <cellStyle name="好_递延所得税资产 3" xfId="28490"/>
    <cellStyle name="好_1预收款项 7 2 4" xfId="28491"/>
    <cellStyle name="好_固定资产 2 2 5" xfId="28492"/>
    <cellStyle name="好_递延所得税资产 4" xfId="28493"/>
    <cellStyle name="好_1预收款项 7 2 5" xfId="28494"/>
    <cellStyle name="好_专项应付款 8_明细表 3" xfId="28495"/>
    <cellStyle name="好_1专项应付款 27" xfId="28496"/>
    <cellStyle name="好_1专项应付款 32" xfId="28497"/>
    <cellStyle name="好_固定资产 2 3" xfId="28498"/>
    <cellStyle name="好_1预收款项 7 3" xfId="28499"/>
    <cellStyle name="好_固定资产 3 2" xfId="28500"/>
    <cellStyle name="好_1预收款项 8 2" xfId="28501"/>
    <cellStyle name="好_固定资产 3 3" xfId="28502"/>
    <cellStyle name="好_1预收款项 8 3" xfId="28503"/>
    <cellStyle name="好_固定资产 3_明细表 2" xfId="28504"/>
    <cellStyle name="好_1预收款项 8_明细表 2" xfId="28505"/>
    <cellStyle name="好_固定资产 3_明细表 4" xfId="28506"/>
    <cellStyle name="好_1预收款项 8_明细表 4" xfId="28507"/>
    <cellStyle name="好_固定资产 3_明细表 5" xfId="28508"/>
    <cellStyle name="好_1预收款项 8_明细表 5" xfId="28509"/>
    <cellStyle name="好_固定资产 4" xfId="28510"/>
    <cellStyle name="好_1预收款项 9" xfId="28511"/>
    <cellStyle name="好_固定资产 4 2 4" xfId="28512"/>
    <cellStyle name="好_1预收款项 9 2 4" xfId="28513"/>
    <cellStyle name="好_固定资产 4 2 5" xfId="28514"/>
    <cellStyle name="好_1预收款项 9 2 5" xfId="28515"/>
    <cellStyle name="好_1预收款项 9 4" xfId="28516"/>
    <cellStyle name="好_固定资产 4_明细表" xfId="28517"/>
    <cellStyle name="好_1预收款项 9_明细表" xfId="28518"/>
    <cellStyle name="好_固定资产 4_明细表 2" xfId="28519"/>
    <cellStyle name="好_1预收款项 9_明细表 2" xfId="28520"/>
    <cellStyle name="好_固定资产 4_明细表 3" xfId="28521"/>
    <cellStyle name="好_1预收款项 9_明细表 3" xfId="28522"/>
    <cellStyle name="好_固定资产 4_明细表 4" xfId="28523"/>
    <cellStyle name="好_1预收款项 9_明细表 4" xfId="28524"/>
    <cellStyle name="好_固定资产 4_明细表 5" xfId="28525"/>
    <cellStyle name="好_1预收款项 9_明细表 5" xfId="28526"/>
    <cellStyle name="好_49-营业收入（空白模板） 18 2" xfId="28527"/>
    <cellStyle name="好_1预收款项_明细表 2" xfId="28528"/>
    <cellStyle name="好_1预收款项_明细表 2 2" xfId="28529"/>
    <cellStyle name="好_30-应付账款（空白模板） 7 2 4" xfId="28530"/>
    <cellStyle name="好_1预收款项_明细表 2 3" xfId="28531"/>
    <cellStyle name="好_30-应付账款（空白模板） 7 2 5" xfId="28532"/>
    <cellStyle name="好_资产负债标准底稿 14_明细表 2" xfId="28533"/>
    <cellStyle name="好_40-专项应付款(空白模板) 4_附注表一（财务报表）" xfId="28534"/>
    <cellStyle name="好_1预收款项_明细表 2 4" xfId="28535"/>
    <cellStyle name="好_资产负债标准底稿 14_明细表 3" xfId="28536"/>
    <cellStyle name="好_1预收款项_明细表 2 5" xfId="28537"/>
    <cellStyle name="好_底稿设置宏 2_明细表" xfId="28538"/>
    <cellStyle name="好_49-营业收入（空白模板） 18 3" xfId="28539"/>
    <cellStyle name="好_1预收款项_明细表 3" xfId="28540"/>
    <cellStyle name="好_底稿设置宏_大信底稿目录 13_附注表一（财务报表）" xfId="28541"/>
    <cellStyle name="好_49-营业收入（空白模板） 18 4" xfId="28542"/>
    <cellStyle name="好_1预收款项_明细表 4" xfId="28543"/>
    <cellStyle name="好_营业收入_固定资产 2" xfId="28544"/>
    <cellStyle name="好_49-营业收入（空白模板） 18 5" xfId="28545"/>
    <cellStyle name="好_1预收款项_明细表 5" xfId="28546"/>
    <cellStyle name="好_1预收款项_明细表_1" xfId="28547"/>
    <cellStyle name="好_1预收款项_明细表_1 2" xfId="28548"/>
    <cellStyle name="好_专项应付款 18 2" xfId="28549"/>
    <cellStyle name="好_1预收款项_明细表_1 4" xfId="28550"/>
    <cellStyle name="强调文字颜色 5 2 2 2 2" xfId="28551"/>
    <cellStyle name="好_专项应付款 18 3" xfId="28552"/>
    <cellStyle name="好_1预收款项_明细表_1 5" xfId="28553"/>
    <cellStyle name="好_资产负债标准底稿 10 2" xfId="28554"/>
    <cellStyle name="好_1长期借款" xfId="28555"/>
    <cellStyle name="好_资产负债标准底稿 10 2 4" xfId="28556"/>
    <cellStyle name="好_1长期借款 4" xfId="28557"/>
    <cellStyle name="好_1长期应付款 3 2" xfId="28558"/>
    <cellStyle name="好_1长期应收款 3 2" xfId="28559"/>
    <cellStyle name="好_1专项应付款" xfId="28560"/>
    <cellStyle name="好_营业收入 3 2 4" xfId="28561"/>
    <cellStyle name="好_1专项应付款 10_明细表" xfId="28562"/>
    <cellStyle name="好_1专项应付款 11" xfId="28563"/>
    <cellStyle name="好_55-资产减值损失（空白模板） 16 5" xfId="28564"/>
    <cellStyle name="好_1专项应付款 11_附注表一（财务报表）" xfId="28565"/>
    <cellStyle name="好_营业收入 4 2 4" xfId="28566"/>
    <cellStyle name="好_1专项应付款 11_明细表" xfId="28567"/>
    <cellStyle name="好_30-应付账款（空白模板） 3 5" xfId="28568"/>
    <cellStyle name="好_1专项应付款 11_明细表 3" xfId="28569"/>
    <cellStyle name="好_预收款项 5 5" xfId="28570"/>
    <cellStyle name="好_固定资产 8_附注表一（财务报表）" xfId="28571"/>
    <cellStyle name="好_1专项应付款 11_明细表 4" xfId="28572"/>
    <cellStyle name="好_专项应付款 11 2" xfId="28573"/>
    <cellStyle name="好_1专项应付款 12" xfId="28574"/>
    <cellStyle name="好_1专项应付款 12 2 2" xfId="28575"/>
    <cellStyle name="好_1专项应付款 12 2 3" xfId="28576"/>
    <cellStyle name="好_大信底稿目录 11_明细表" xfId="28577"/>
    <cellStyle name="好_1专项应付款 12 2 4" xfId="28578"/>
    <cellStyle name="好_1专项应付款 12 2 5" xfId="28579"/>
    <cellStyle name="好_1专项应付款 12_明细表 3" xfId="28580"/>
    <cellStyle name="好_1专项应付款 12_明细表 4" xfId="28581"/>
    <cellStyle name="好_1专项应付款 12_明细表 5" xfId="28582"/>
    <cellStyle name="好_专项应付款 11 3" xfId="28583"/>
    <cellStyle name="好_4-对环境事项的考虑【定】" xfId="28584"/>
    <cellStyle name="好_1专项应付款 13" xfId="28585"/>
    <cellStyle name="好_1专项应付款 13 2 3" xfId="28586"/>
    <cellStyle name="好_大信底稿目录 12_明细表" xfId="28587"/>
    <cellStyle name="好_1专项应付款 13 2 4" xfId="28588"/>
    <cellStyle name="好_1专项应付款 13_明细表 2" xfId="28589"/>
    <cellStyle name="好_1专项应付款 13_明细表 3" xfId="28590"/>
    <cellStyle name="好_1专项应付款 13_明细表 4" xfId="28591"/>
    <cellStyle name="好_1专项应付款 14 2 2" xfId="28592"/>
    <cellStyle name="好_大信底稿目录 13_明细表" xfId="28593"/>
    <cellStyle name="好_1专项应付款 14 2 4" xfId="28594"/>
    <cellStyle name="好_1专项应付款 14 2 5" xfId="28595"/>
    <cellStyle name="好_1专项应付款 14_明细表 2" xfId="28596"/>
    <cellStyle name="好_底稿设置宏_大信底稿目录 2 2 2 2" xfId="28597"/>
    <cellStyle name="好_1专项应付款 14_明细表 3" xfId="28598"/>
    <cellStyle name="好_1专项应付款 14_明细表 4" xfId="28599"/>
    <cellStyle name="好_1专项应付款 15" xfId="28600"/>
    <cellStyle name="好_1专项应付款 20" xfId="28601"/>
    <cellStyle name="好_1专项应付款 15 2" xfId="28602"/>
    <cellStyle name="好_1专项应付款 15 2 2" xfId="28603"/>
    <cellStyle name="好_1专项应付款 15 2 3" xfId="28604"/>
    <cellStyle name="好_1专项应付款 15 2 4" xfId="28605"/>
    <cellStyle name="好_1专项应付款 15 2 5" xfId="28606"/>
    <cellStyle name="好_1专项应付款 15 3" xfId="28607"/>
    <cellStyle name="好_31-预收账款（空白模板） 12" xfId="28608"/>
    <cellStyle name="好_1专项应付款 15_明细表 2" xfId="28609"/>
    <cellStyle name="好_31-预收账款（空白模板） 13" xfId="28610"/>
    <cellStyle name="好_1专项应付款 15_明细表 3" xfId="28611"/>
    <cellStyle name="好_31-预收账款（空白模板） 14" xfId="28612"/>
    <cellStyle name="好_1专项应付款 15_明细表 4" xfId="28613"/>
    <cellStyle name="好_银行函证结果汇总表 6 2" xfId="28614"/>
    <cellStyle name="好_31-预收账款（空白模板） 15" xfId="28615"/>
    <cellStyle name="好_31-预收账款（空白模板） 20" xfId="28616"/>
    <cellStyle name="好_1专项应付款 15_明细表 5" xfId="28617"/>
    <cellStyle name="好_1专项应付款 16" xfId="28618"/>
    <cellStyle name="好_1专项应付款 21" xfId="28619"/>
    <cellStyle name="好_1专项应付款 16 6" xfId="28620"/>
    <cellStyle name="好_1专项应付款 17" xfId="28621"/>
    <cellStyle name="好_1专项应付款 22" xfId="28622"/>
    <cellStyle name="好_1专项应付款 17 2" xfId="28623"/>
    <cellStyle name="好_1专项应付款 17 2 2" xfId="28624"/>
    <cellStyle name="好_1专项应付款 17 2 3" xfId="28625"/>
    <cellStyle name="好_1专项应付款 17 2 4" xfId="28626"/>
    <cellStyle name="好_2-交易性金融资产（空白模板） 2 2" xfId="28627"/>
    <cellStyle name="好_1专项应付款 17 2 5" xfId="28628"/>
    <cellStyle name="好_1专项应付款 17 5" xfId="28629"/>
    <cellStyle name="好_1专项应付款 17 6" xfId="28630"/>
    <cellStyle name="好_1专项应付款 18" xfId="28631"/>
    <cellStyle name="好_1专项应付款 23" xfId="28632"/>
    <cellStyle name="好_1专项应付款 18 5" xfId="28633"/>
    <cellStyle name="好_1专项应付款 19" xfId="28634"/>
    <cellStyle name="好_1专项应付款 24" xfId="28635"/>
    <cellStyle name="好_1专项应付款 2" xfId="28636"/>
    <cellStyle name="好_1专项应付款 2 2 4" xfId="28637"/>
    <cellStyle name="好_1专项应付款 2 2 5" xfId="28638"/>
    <cellStyle name="好_1专项应付款 2 3" xfId="28639"/>
    <cellStyle name="好_1专项应付款 2 3 2" xfId="28640"/>
    <cellStyle name="好_1专项应付款 2 3 3" xfId="28641"/>
    <cellStyle name="好_1专项应付款 2 5" xfId="28642"/>
    <cellStyle name="好_1专项应付款 2 6" xfId="28643"/>
    <cellStyle name="好_1专项应付款 2_附注表一（财务报表）" xfId="28644"/>
    <cellStyle name="好_ZA0货币资金审定表  13 2 3" xfId="28645"/>
    <cellStyle name="好_1专项应付款 2_明细表" xfId="28646"/>
    <cellStyle name="好_1专项应付款 2_明细表 5" xfId="28647"/>
    <cellStyle name="好_1专项应付款 25" xfId="28648"/>
    <cellStyle name="好_1专项应付款 30" xfId="28649"/>
    <cellStyle name="好_1专项应付款 3" xfId="28650"/>
    <cellStyle name="好_1专项应付款 3 2" xfId="28651"/>
    <cellStyle name="好_1专项应付款 3 2 2" xfId="28652"/>
    <cellStyle name="好_财务费用 8_明细表" xfId="28653"/>
    <cellStyle name="好_1专项应付款 3 2 3" xfId="28654"/>
    <cellStyle name="好_1专项应付款 3 2 4" xfId="28655"/>
    <cellStyle name="好_1专项应付款 3 2 5" xfId="28656"/>
    <cellStyle name="好_1专项应付款 3_明细表 2" xfId="28657"/>
    <cellStyle name="好_1专项应付款 3_明细表 3" xfId="28658"/>
    <cellStyle name="强调文字颜色 5 6 2 3" xfId="28659"/>
    <cellStyle name="好_56-公允价值损益变动（空白模板） 11 2" xfId="28660"/>
    <cellStyle name="好_1专项应付款 3_明细表 4" xfId="28661"/>
    <cellStyle name="好_1专项应付款 3_明细表 5" xfId="28662"/>
    <cellStyle name="好_1专项应付款 4" xfId="28663"/>
    <cellStyle name="好_1专项应付款 4 2 4" xfId="28664"/>
    <cellStyle name="好_1专项应付款 4 2 5" xfId="28665"/>
    <cellStyle name="好_1专项应付款 4 3" xfId="28666"/>
    <cellStyle name="好_1专项应付款 4 3 2" xfId="28667"/>
    <cellStyle name="好_1专项应付款 4 4" xfId="28668"/>
    <cellStyle name="好_1专项应付款 4 5" xfId="28669"/>
    <cellStyle name="好_报表层次重要性水平 9 2" xfId="28670"/>
    <cellStyle name="好_1专项应付款 4_附注表一（财务报表）" xfId="28671"/>
    <cellStyle name="好_1专项应付款 4_明细表 2" xfId="28672"/>
    <cellStyle name="好_1专项应付款 4_明细表 3" xfId="28673"/>
    <cellStyle name="好_1专项应付款 4_明细表 4" xfId="28674"/>
    <cellStyle name="好_1专项应付款 4_明细表 5" xfId="28675"/>
    <cellStyle name="好_固定资产 9_明细表" xfId="28676"/>
    <cellStyle name="好_FD 应付账款 2" xfId="28677"/>
    <cellStyle name="好_1专项应付款 5" xfId="28678"/>
    <cellStyle name="好_FD 应付账款 2 2" xfId="28679"/>
    <cellStyle name="好_54-财务费用（空白模板） 14_明细表" xfId="28680"/>
    <cellStyle name="好_1专项应付款 5 2" xfId="28681"/>
    <cellStyle name="好_FD 应付账款 2 3" xfId="28682"/>
    <cellStyle name="好_1专项应付款 5 3" xfId="28683"/>
    <cellStyle name="好_1专项应付款 5 3 2" xfId="28684"/>
    <cellStyle name="好_FD 应付账款 2 4" xfId="28685"/>
    <cellStyle name="好_40-专项应付款(空白模板) 2_明细表" xfId="28686"/>
    <cellStyle name="好_1专项应付款 5 4" xfId="28687"/>
    <cellStyle name="好_1专项应付款 5 5" xfId="28688"/>
    <cellStyle name="好_FD 应付账款 3 3" xfId="28689"/>
    <cellStyle name="好_1专项应付款 6 3" xfId="28690"/>
    <cellStyle name="好_1专项应付款 6 3 2" xfId="28691"/>
    <cellStyle name="好_1专项应付款 6 4" xfId="28692"/>
    <cellStyle name="好_1专项应付款 6 5" xfId="28693"/>
    <cellStyle name="好_FD 应付账款 4" xfId="28694"/>
    <cellStyle name="好_1专项应付款 7" xfId="28695"/>
    <cellStyle name="好_54-财务费用（空白模板） 12_明细表 2" xfId="28696"/>
    <cellStyle name="好_FD 应付账款 4 2" xfId="28697"/>
    <cellStyle name="好_1专项应付款 7 2" xfId="28698"/>
    <cellStyle name="好_FD 应付账款 4 3" xfId="28699"/>
    <cellStyle name="好_1专项应付款 7 3" xfId="28700"/>
    <cellStyle name="好_1专项应付款 7 4" xfId="28701"/>
    <cellStyle name="好_1专项应付款 7_附注表一（财务报表）" xfId="28702"/>
    <cellStyle name="好_1专项应付款 7_明细表" xfId="28703"/>
    <cellStyle name="好_1专项应付款 7_明细表 2" xfId="28704"/>
    <cellStyle name="好_1专项应付款 7_明细表 3" xfId="28705"/>
    <cellStyle name="好_1专项应付款 8 2 5" xfId="28706"/>
    <cellStyle name="好_50-营业成本（空白模板） 14_附注表一（财务报表）" xfId="28707"/>
    <cellStyle name="好_1专项应付款 8_明细表" xfId="28708"/>
    <cellStyle name="好_1专项应付款 8_明细表 2" xfId="28709"/>
    <cellStyle name="好_1专项应付款 8_明细表 3" xfId="28710"/>
    <cellStyle name="好_1专项应付款 8_明细表 5" xfId="28711"/>
    <cellStyle name="好_1专项应付款 9_附注表一（财务报表）" xfId="28712"/>
    <cellStyle name="好_1专项应付款 9_明细表 2" xfId="28713"/>
    <cellStyle name="好_1专项应付款 9_明细表 3" xfId="28714"/>
    <cellStyle name="好_1专项应付款 9_明细表 4" xfId="28715"/>
    <cellStyle name="好_1专项应付款 9_明细表 5" xfId="28716"/>
    <cellStyle name="好_1专项应付款_明细表 2" xfId="28717"/>
    <cellStyle name="好_1专项应付款_明细表 2 3" xfId="28718"/>
    <cellStyle name="好_1专项应付款_明细表 2 4" xfId="28719"/>
    <cellStyle name="好_1专项应付款_明细表 2 5" xfId="28720"/>
    <cellStyle name="好_1专项应付款_明细表 3" xfId="28721"/>
    <cellStyle name="好_1专项应付款_明细表 4" xfId="28722"/>
    <cellStyle name="好_1专项应付款_明细表 5" xfId="28723"/>
    <cellStyle name="好_1专项应付款_明细表_1 2" xfId="28724"/>
    <cellStyle name="好_1专项应付款_明细表_1 4" xfId="28725"/>
    <cellStyle name="好_1专项应付款_明细表_1 5" xfId="28726"/>
    <cellStyle name="好_1资本公积" xfId="28727"/>
    <cellStyle name="好_1资本公积 2" xfId="28728"/>
    <cellStyle name="好_1资本公积 2 2" xfId="28729"/>
    <cellStyle name="好_1资本公积 3" xfId="28730"/>
    <cellStyle name="好_底稿设置宏_明细表 2 5" xfId="28731"/>
    <cellStyle name="好_1资本公积 3 2" xfId="28732"/>
    <cellStyle name="好_应收利息 5_附注表一（财务报表）" xfId="28733"/>
    <cellStyle name="好_1资产减值损失" xfId="28734"/>
    <cellStyle name="好_1资产减值损失 10" xfId="28735"/>
    <cellStyle name="好_1资产减值损失 10 2" xfId="28736"/>
    <cellStyle name="好_1资产减值损失 10 3" xfId="28737"/>
    <cellStyle name="好_1资产减值损失 10 4" xfId="28738"/>
    <cellStyle name="好_1资产减值损失 10_附注表一（财务报表）" xfId="28739"/>
    <cellStyle name="好_1资产减值损失 10_明细表 2" xfId="28740"/>
    <cellStyle name="好_1资产减值损失 10_明细表 4" xfId="28741"/>
    <cellStyle name="好_1资产减值损失 10_明细表 5" xfId="28742"/>
    <cellStyle name="好_1资产减值损失 11" xfId="28743"/>
    <cellStyle name="好_1资产减值损失 11 2" xfId="28744"/>
    <cellStyle name="好_1资产减值损失 11 3" xfId="28745"/>
    <cellStyle name="好_1资产减值损失 11_附注表一（财务报表）" xfId="28746"/>
    <cellStyle name="好_1资产减值损失 11_明细表 3" xfId="28747"/>
    <cellStyle name="好_1资产减值损失 12" xfId="28748"/>
    <cellStyle name="好_1资产减值损失 12 2 2" xfId="28749"/>
    <cellStyle name="好_应收利息_明细表_1 2" xfId="28750"/>
    <cellStyle name="好_1资产减值损失 12_明细表 2" xfId="28751"/>
    <cellStyle name="好_应收利息_明细表_1 3" xfId="28752"/>
    <cellStyle name="好_1资产减值损失 12_明细表 3" xfId="28753"/>
    <cellStyle name="好_1资产减值损失 13 2" xfId="28754"/>
    <cellStyle name="好_1资产减值损失 13 2 2" xfId="28755"/>
    <cellStyle name="好_1资产减值损失 13 2 3" xfId="28756"/>
    <cellStyle name="好_1资产减值损失 13_附注表一（财务报表）" xfId="28757"/>
    <cellStyle name="好_1资产减值损失 13_明细表 2" xfId="28758"/>
    <cellStyle name="好_TOC 2" xfId="28759"/>
    <cellStyle name="好_1资产减值损失 13_明细表 3" xfId="28760"/>
    <cellStyle name="好_营业收入_Book2" xfId="28761"/>
    <cellStyle name="好_1资产减值损失 14 2" xfId="28762"/>
    <cellStyle name="好_1资产减值损失 14 2 3" xfId="28763"/>
    <cellStyle name="好_1资产减值损失 14 3" xfId="28764"/>
    <cellStyle name="好_1资产减值损失 14_明细表" xfId="28765"/>
    <cellStyle name="好_1资产减值损失 14_明细表 2" xfId="28766"/>
    <cellStyle name="好_1资产减值损失 14_明细表 3" xfId="28767"/>
    <cellStyle name="好_1资产减值损失 14_明细表 4" xfId="28768"/>
    <cellStyle name="好_1资产减值损失 14_明细表 5" xfId="28769"/>
    <cellStyle name="好_1资产减值损失 15 2" xfId="28770"/>
    <cellStyle name="好_1资产减值损失 15 2 2" xfId="28771"/>
    <cellStyle name="好_1资产减值损失 15 2 3" xfId="28772"/>
    <cellStyle name="好_1资产减值损失 15 3" xfId="28773"/>
    <cellStyle name="好_1资产减值损失 15_附注表一（财务报表）" xfId="28774"/>
    <cellStyle name="好_1资产减值损失 16 3" xfId="28775"/>
    <cellStyle name="好_1资产减值损失 16 4" xfId="28776"/>
    <cellStyle name="好_1资产减值损失 16 5" xfId="28777"/>
    <cellStyle name="好_1资产减值损失 16 6" xfId="28778"/>
    <cellStyle name="好_1资产减值损失 17 2" xfId="28779"/>
    <cellStyle name="好_1资产减值损失 17 2 3" xfId="28780"/>
    <cellStyle name="好_1资产减值损失 17 3" xfId="28781"/>
    <cellStyle name="好_1资产减值损失 17 4" xfId="28782"/>
    <cellStyle name="好_1资产减值损失 17 5" xfId="28783"/>
    <cellStyle name="好_1资产减值损失 17 6" xfId="28784"/>
    <cellStyle name="好_1资产减值损失 18 3" xfId="28785"/>
    <cellStyle name="好_1资产减值损失 18 4" xfId="28786"/>
    <cellStyle name="好_1资产减值损失 18 5" xfId="28787"/>
    <cellStyle name="好_1资产减值损失 2 2 2 2" xfId="28788"/>
    <cellStyle name="好_1资产减值损失 2 2 6" xfId="28789"/>
    <cellStyle name="好_1资产减值损失 2 3 2" xfId="28790"/>
    <cellStyle name="好_应付票据 4" xfId="28791"/>
    <cellStyle name="好_1资产减值损失 2 6" xfId="28792"/>
    <cellStyle name="好_1资产减值损失 3 3 2" xfId="28793"/>
    <cellStyle name="好_1资产减值损失 3 5" xfId="28794"/>
    <cellStyle name="好_资产负债标准底稿_大信底稿目录 4 4" xfId="28795"/>
    <cellStyle name="好_1资产减值损失 4 2 6" xfId="28796"/>
    <cellStyle name="好_1资产减值损失 4 3 2" xfId="28797"/>
    <cellStyle name="好_1资产减值损失 5 2 6" xfId="28798"/>
    <cellStyle name="好_1资产减值损失 5 3 2" xfId="28799"/>
    <cellStyle name="好_1资产减值损失 6" xfId="28800"/>
    <cellStyle name="千位分隔 2 3_附注表一（财务报表）" xfId="28801"/>
    <cellStyle name="好_1资产减值损失 6 2" xfId="28802"/>
    <cellStyle name="好_1资产减值损失 6 2 2" xfId="28803"/>
    <cellStyle name="好_FK长期借款 4 2" xfId="28804"/>
    <cellStyle name="好_1资产减值损失 6 2 3" xfId="28805"/>
    <cellStyle name="好_FK长期借款 4 3" xfId="28806"/>
    <cellStyle name="好_1资产减值损失 6 2 4" xfId="28807"/>
    <cellStyle name="好_1资产减值损失 6 3 2" xfId="28808"/>
    <cellStyle name="好_1资产减值损失 6_明细表" xfId="28809"/>
    <cellStyle name="好_1资产减值损失 7" xfId="28810"/>
    <cellStyle name="好_1资产减值损失 7 2" xfId="28811"/>
    <cellStyle name="好_1资产减值损失 7 2 3" xfId="28812"/>
    <cellStyle name="好_1资产减值损失 7 2 4" xfId="28813"/>
    <cellStyle name="好_1资产减值损失 7 3" xfId="28814"/>
    <cellStyle name="好_1资产减值损失 7 4" xfId="28815"/>
    <cellStyle name="好_1资产减值损失 7_明细表" xfId="28816"/>
    <cellStyle name="好_1资产减值损失 7_明细表 2" xfId="28817"/>
    <cellStyle name="好_1资产减值损失 7_明细表 3" xfId="28818"/>
    <cellStyle name="好_7-应收股利（空白模板） 2" xfId="28819"/>
    <cellStyle name="好_1资产减值损失 7_明细表 5" xfId="28820"/>
    <cellStyle name="好_1资产减值损失 8" xfId="28821"/>
    <cellStyle name="好_1资产减值损失 8 2" xfId="28822"/>
    <cellStyle name="好_50-营业成本（空白模板） 5 5" xfId="28823"/>
    <cellStyle name="好_1资产减值损失 8 2 2" xfId="28824"/>
    <cellStyle name="好_1资产减值损失 8 2 3" xfId="28825"/>
    <cellStyle name="好_1资产减值损失 8 2 4" xfId="28826"/>
    <cellStyle name="好_1资产减值损失 8 3" xfId="28827"/>
    <cellStyle name="好_1资产减值损失 8_明细表" xfId="28828"/>
    <cellStyle name="好_1资产减值损失 8_明细表 4" xfId="28829"/>
    <cellStyle name="好_1资产减值损失 8_明细表 5" xfId="28830"/>
    <cellStyle name="好_1资产减值损失 9" xfId="28831"/>
    <cellStyle name="好_1资产减值损失 9 2" xfId="28832"/>
    <cellStyle name="好_1资产减值损失 9 2 2" xfId="28833"/>
    <cellStyle name="好_1资产减值损失 9 2 3" xfId="28834"/>
    <cellStyle name="好_1资产减值损失 9 2 4" xfId="28835"/>
    <cellStyle name="好_1资产减值损失 9_附注表一（财务报表）" xfId="28836"/>
    <cellStyle name="好_G-应收账款 7_明细表 3" xfId="28837"/>
    <cellStyle name="好_1资产减值损失 9_明细表" xfId="28838"/>
    <cellStyle name="好_1资产减值损失 9_明细表 2" xfId="28839"/>
    <cellStyle name="好_1资产减值损失 9_明细表 3" xfId="28840"/>
    <cellStyle name="好_1资产减值损失 9_明细表 4" xfId="28841"/>
    <cellStyle name="好_1资产减值损失_3固定资产" xfId="28842"/>
    <cellStyle name="好_1资产减值损失_3固定资产 2" xfId="28843"/>
    <cellStyle name="好_1资产减值损失_固定资产" xfId="28844"/>
    <cellStyle name="好_1资产减值损失_货币资金 2" xfId="28845"/>
    <cellStyle name="好_1资产减值损失_明细表" xfId="28846"/>
    <cellStyle name="好_1资产减值损失_明细表 2" xfId="28847"/>
    <cellStyle name="好_1资产减值损失_明细表 2 2" xfId="28848"/>
    <cellStyle name="好_1资产减值损失_明细表 2 3" xfId="28849"/>
    <cellStyle name="好_1资产减值损失_明细表 2 5" xfId="28850"/>
    <cellStyle name="好_1资产减值损失_明细表 3" xfId="28851"/>
    <cellStyle name="好_1资产减值损失_明细表 4" xfId="28852"/>
    <cellStyle name="好_1资产减值损失_明细表 5" xfId="28853"/>
    <cellStyle name="好_1资产减值损失_明细表 6" xfId="28854"/>
    <cellStyle name="好_1资产减值损失_明细表_1 4" xfId="28855"/>
    <cellStyle name="好_1资产减值损失_应收账款" xfId="28856"/>
    <cellStyle name="好_2007 4 19 Qingdao Appendix4 TBJA" xfId="28857"/>
    <cellStyle name="好_2007 4 19 Qingdao Appendix4 TBJA 3" xfId="28858"/>
    <cellStyle name="好_2007 4 19 Qingdao Appendix4 TBJA 4" xfId="28859"/>
    <cellStyle name="好_2007 4 19 Qingdao Appendix4 TBJA 5" xfId="28860"/>
    <cellStyle name="好_2007 4 19 Qingdao Appendix4 TBJA 6" xfId="28861"/>
    <cellStyle name="好_2009 聊城final PBC V3" xfId="28862"/>
    <cellStyle name="好_短期借款 9 2 2" xfId="28863"/>
    <cellStyle name="好_ZA0货币资金审定表 _明细表" xfId="28864"/>
    <cellStyle name="好_4-应收账款（空白模板） 17 2 5" xfId="28865"/>
    <cellStyle name="好_2009 聊城final PBC V3 3" xfId="28866"/>
    <cellStyle name="好_2009年6月30日资产负债表 2" xfId="28867"/>
    <cellStyle name="好_2009年6月30日资产负债表 2 3" xfId="28868"/>
    <cellStyle name="好_2009年6月30日资产负债表 2 4" xfId="28869"/>
    <cellStyle name="好_无形资产 6 3 2" xfId="28870"/>
    <cellStyle name="好_2009年6月30日资产负债表 2 5" xfId="28871"/>
    <cellStyle name="好_2009年6月30日资产负债表 2 6" xfId="28872"/>
    <cellStyle name="好_FA短期借款 2 2" xfId="28873"/>
    <cellStyle name="好_4-应收账款（空白模板）_明细表_1 2" xfId="28874"/>
    <cellStyle name="好_2009年6月30日资产负债表 3" xfId="28875"/>
    <cellStyle name="好_FA短期借款 2 3" xfId="28876"/>
    <cellStyle name="好_4-应收账款（空白模板）_明细表_1 3" xfId="28877"/>
    <cellStyle name="好_2009年6月30日资产负债表 4" xfId="28878"/>
    <cellStyle name="好_20-开发支出（空白模板） 2" xfId="28879"/>
    <cellStyle name="好_21-商誉（空白模板）" xfId="28880"/>
    <cellStyle name="好_21-商誉（空白模板） 2" xfId="28881"/>
    <cellStyle name="好_22-长期待摊费用（空白模板）" xfId="28882"/>
    <cellStyle name="好_大信底稿目录 16 5" xfId="28883"/>
    <cellStyle name="好_22-长期待摊费用（空白模板） 2" xfId="28884"/>
    <cellStyle name="好_22-长期待摊费用（空白模板） 2 2" xfId="28885"/>
    <cellStyle name="好_22-长期待摊费用（空白模板） 2 2 2" xfId="28886"/>
    <cellStyle name="好_22-长期待摊费用（空白模板） 2 2 3" xfId="28887"/>
    <cellStyle name="好_22-长期待摊费用（空白模板） 2 2 4" xfId="28888"/>
    <cellStyle name="好_审定表_明细表 2" xfId="28889"/>
    <cellStyle name="好_22-长期待摊费用（空白模板） 2 2 5" xfId="28890"/>
    <cellStyle name="好_22-长期待摊费用（空白模板） 2 3" xfId="28891"/>
    <cellStyle name="好_22-长期待摊费用（空白模板） 2 4" xfId="28892"/>
    <cellStyle name="好_22-长期待摊费用（空白模板） 3" xfId="28893"/>
    <cellStyle name="好_22-长期待摊费用（空白模板） 3 2" xfId="28894"/>
    <cellStyle name="好_22-长期待摊费用（空白模板） 3 2 2" xfId="28895"/>
    <cellStyle name="好_22-长期待摊费用（空白模板） 3 2 4" xfId="28896"/>
    <cellStyle name="好_22-长期待摊费用（空白模板） 3 2 5" xfId="28897"/>
    <cellStyle name="好_22-长期待摊费用（空白模板） 4" xfId="28898"/>
    <cellStyle name="好_22-长期待摊费用（空白模板） 4 2" xfId="28899"/>
    <cellStyle name="好_22-长期待摊费用（空白模板） 4 4" xfId="28900"/>
    <cellStyle name="好_22-长期待摊费用（空白模板） 4 5" xfId="28901"/>
    <cellStyle name="好_22-长期待摊费用（空白模板） 4 6" xfId="28902"/>
    <cellStyle name="好_22-长期待摊费用（空白模板） 5" xfId="28903"/>
    <cellStyle name="好_40-专项应付款(空白模板) 13_明细表" xfId="28904"/>
    <cellStyle name="好_22-长期待摊费用（空白模板） 5 2" xfId="28905"/>
    <cellStyle name="好_22-长期待摊费用（空白模板） 6" xfId="28906"/>
    <cellStyle name="好_22-长期待摊费用（空白模板） 6 2" xfId="28907"/>
    <cellStyle name="好_22-长期待摊费用（空白模板） 7" xfId="28908"/>
    <cellStyle name="好_附注表(二) 2" xfId="28909"/>
    <cellStyle name="好_22-长期待摊费用（空白模板） 8" xfId="28910"/>
    <cellStyle name="好_22-长期待摊费用（空白模板）_明细表" xfId="28911"/>
    <cellStyle name="好_22-长期待摊费用（空白模板）_明细表 2" xfId="28912"/>
    <cellStyle name="好_22-长期待摊费用（空白模板）_明细表 4" xfId="28913"/>
    <cellStyle name="好_22-长期待摊费用（空白模板）_明细表 5" xfId="28914"/>
    <cellStyle name="好_22-长期待摊费用（空白模板）_明细表 6" xfId="28915"/>
    <cellStyle name="好_短期借款 12 2 2" xfId="28916"/>
    <cellStyle name="好_22-长期待摊费用（空白模板）_明细表_1 2" xfId="28917"/>
    <cellStyle name="好_短期借款 12 2 4" xfId="28918"/>
    <cellStyle name="好_22-长期待摊费用（空白模板）_明细表_1 4" xfId="28919"/>
    <cellStyle name="好_27-短期借款(空白模板)" xfId="28920"/>
    <cellStyle name="好_27-短期借款(空白模板) 10_明细表 3" xfId="28921"/>
    <cellStyle name="好_27-短期借款(空白模板) 10_明细表 4" xfId="28922"/>
    <cellStyle name="好_50-营业成本（空白模板） 14 2" xfId="28923"/>
    <cellStyle name="好_27-短期借款(空白模板) 10_明细表 5" xfId="28924"/>
    <cellStyle name="好_27-短期借款(空白模板) 11 2 5" xfId="28925"/>
    <cellStyle name="好_27-短期借款(空白模板) 11_附注表一（财务报表）" xfId="28926"/>
    <cellStyle name="好_27-短期借款(空白模板) 11_明细表" xfId="28927"/>
    <cellStyle name="好_27-短期借款(空白模板) 12_附注表一（财务报表）" xfId="28928"/>
    <cellStyle name="好_27-短期借款(空白模板) 12_明细表 2" xfId="28929"/>
    <cellStyle name="好_40-专项应付款(空白模板) 10 2 5" xfId="28930"/>
    <cellStyle name="好_27-短期借款(空白模板) 12_明细表 3" xfId="28931"/>
    <cellStyle name="好_27-短期借款(空白模板) 12_明细表 4" xfId="28932"/>
    <cellStyle name="好_27-短期借款(空白模板) 12_明细表 5" xfId="28933"/>
    <cellStyle name="好_27-短期借款(空白模板) 13 2 5" xfId="28934"/>
    <cellStyle name="好_27-短期借款(空白模板) 13_附注表一（财务报表）" xfId="28935"/>
    <cellStyle name="好_27-短期借款(空白模板) 13_明细表" xfId="28936"/>
    <cellStyle name="好_27-短期借款(空白模板) 13_明细表 2" xfId="28937"/>
    <cellStyle name="好_27-短期借款(空白模板) 13_明细表 3" xfId="28938"/>
    <cellStyle name="好_27-短期借款(空白模板) 13_明细表 4" xfId="28939"/>
    <cellStyle name="好_27-短期借款(空白模板) 13_明细表 5" xfId="28940"/>
    <cellStyle name="好_27-短期借款(空白模板) 14 2 4" xfId="28941"/>
    <cellStyle name="好_27-短期借款(空白模板) 14 2 5" xfId="28942"/>
    <cellStyle name="好_27-短期借款(空白模板) 14_明细表" xfId="28943"/>
    <cellStyle name="好_27-短期借款(空白模板) 14_明细表 2" xfId="28944"/>
    <cellStyle name="好_27-短期借款(空白模板) 14_明细表 3" xfId="28945"/>
    <cellStyle name="好_27-短期借款(空白模板) 14_明细表 5" xfId="28946"/>
    <cellStyle name="好_27-短期借款(空白模板) 15 2 5" xfId="28947"/>
    <cellStyle name="好_27-短期借款(空白模板) 15_附注表一（财务报表）" xfId="28948"/>
    <cellStyle name="好_资产负债标准底稿 16 2 2" xfId="28949"/>
    <cellStyle name="好_27-短期借款(空白模板) 16 2" xfId="28950"/>
    <cellStyle name="好_27-短期借款(空白模板) 16 2 2" xfId="28951"/>
    <cellStyle name="好_资产负债标准底稿 16 2 3" xfId="28952"/>
    <cellStyle name="好_27-短期借款(空白模板) 16 3" xfId="28953"/>
    <cellStyle name="好_资产负债标准底稿 16 2 4" xfId="28954"/>
    <cellStyle name="好_27-短期借款(空白模板) 16 4" xfId="28955"/>
    <cellStyle name="好_固定资产 7_附注表一（财务报表）" xfId="28956"/>
    <cellStyle name="好_资产负债标准底稿 16 2 5" xfId="28957"/>
    <cellStyle name="好_27-短期借款(空白模板) 16 5" xfId="28958"/>
    <cellStyle name="好_27-短期借款(空白模板) 16 6" xfId="28959"/>
    <cellStyle name="好_SD销售费用" xfId="28960"/>
    <cellStyle name="好_27-短期借款(空白模板) 17 3" xfId="28961"/>
    <cellStyle name="好_27-短期借款(空白模板) 17 4" xfId="28962"/>
    <cellStyle name="好_27-短期借款(空白模板) 17 5" xfId="28963"/>
    <cellStyle name="好_27-短期借款(空白模板) 17 6" xfId="28964"/>
    <cellStyle name="好_27-短期借款(空白模板) 2 2 2 2" xfId="28965"/>
    <cellStyle name="好_30-应付账款（空白模板） 10" xfId="28966"/>
    <cellStyle name="好_27-短期借款(空白模板) 2 2 6" xfId="28967"/>
    <cellStyle name="好_27-短期借款(空白模板) 2 3" xfId="28968"/>
    <cellStyle name="好_27-短期借款(空白模板) 2 3 3" xfId="28969"/>
    <cellStyle name="好_固定资产 11" xfId="28970"/>
    <cellStyle name="好_3-应收票据（空白模板） 3 2" xfId="28971"/>
    <cellStyle name="好_27-短期借款(空白模板) 2_附注表一（财务报表）" xfId="28972"/>
    <cellStyle name="好_27-短期借款(空白模板) 2_明细表 2" xfId="28973"/>
    <cellStyle name="好_27-短期借款(空白模板) 2_明细表 4" xfId="28974"/>
    <cellStyle name="好_27-短期借款(空白模板) 2_明细表 5" xfId="28975"/>
    <cellStyle name="好_27-短期借款(空白模板) 3 2 3" xfId="28976"/>
    <cellStyle name="好_27-短期借款(空白模板) 3 2 4" xfId="28977"/>
    <cellStyle name="好_27-短期借款(空白模板) 3 2 5" xfId="28978"/>
    <cellStyle name="好_27-短期借款(空白模板) 3 2 6" xfId="28979"/>
    <cellStyle name="好_27-短期借款(空白模板) 3 3" xfId="28980"/>
    <cellStyle name="好_27-短期借款(空白模板) 3 3 2" xfId="28981"/>
    <cellStyle name="好_27-短期借款(空白模板) 3 4" xfId="28982"/>
    <cellStyle name="好_27-短期借款(空白模板) 3_附注表一（财务报表）" xfId="28983"/>
    <cellStyle name="好_27-短期借款(空白模板) 3_明细表 3" xfId="28984"/>
    <cellStyle name="好_27-短期借款(空白模板) 3_明细表 4" xfId="28985"/>
    <cellStyle name="好_27-短期借款(空白模板) 3_明细表 5" xfId="28986"/>
    <cellStyle name="好_49-营业收入（空白模板） 6_明细表 4" xfId="28987"/>
    <cellStyle name="好_27-短期借款(空白模板) 4 2 4" xfId="28988"/>
    <cellStyle name="好_49-营业收入（空白模板） 6_明细表 5" xfId="28989"/>
    <cellStyle name="好_27-短期借款(空白模板) 4 2 5" xfId="28990"/>
    <cellStyle name="好_27-短期借款(空白模板) 4 2 6" xfId="28991"/>
    <cellStyle name="好_应收账款 - 复制" xfId="28992"/>
    <cellStyle name="好_27-短期借款(空白模板) 4_明细表" xfId="28993"/>
    <cellStyle name="好_应收账款 - 复制 2" xfId="28994"/>
    <cellStyle name="好_27-短期借款(空白模板) 4_明细表 2" xfId="28995"/>
    <cellStyle name="好_应收账款 - 复制 3" xfId="28996"/>
    <cellStyle name="好_27-短期借款(空白模板) 4_明细表 3" xfId="28997"/>
    <cellStyle name="好_应收账款 - 复制 4" xfId="28998"/>
    <cellStyle name="好_27-短期借款(空白模板) 4_明细表 4" xfId="28999"/>
    <cellStyle name="好_应收账款 - 复制 5" xfId="29000"/>
    <cellStyle name="好_27-短期借款(空白模板) 4_明细表 5" xfId="29001"/>
    <cellStyle name="好_27-短期借款(空白模板) 5 2 3" xfId="29002"/>
    <cellStyle name="好_27-短期借款(空白模板) 5 2 4" xfId="29003"/>
    <cellStyle name="好_27-短期借款(空白模板) 5_附注表一（财务报表）" xfId="29004"/>
    <cellStyle name="好_27-短期借款(空白模板) 5_明细表 4" xfId="29005"/>
    <cellStyle name="好_27-短期借款(空白模板) 6 2 2" xfId="29006"/>
    <cellStyle name="好_27-短期借款(空白模板) 6 2 3" xfId="29007"/>
    <cellStyle name="好_27-短期借款(空白模板) 6 2 4" xfId="29008"/>
    <cellStyle name="好_27-短期借款(空白模板) 6 2 5" xfId="29009"/>
    <cellStyle name="好_27-短期借款(空白模板) 6 2 6" xfId="29010"/>
    <cellStyle name="好_27-短期借款(空白模板) 6 3" xfId="29011"/>
    <cellStyle name="好_27-短期借款(空白模板) 6 3 2" xfId="29012"/>
    <cellStyle name="好_27-短期借款(空白模板) 6 4" xfId="29013"/>
    <cellStyle name="好_银行函证结果汇总表 3_明细表 2" xfId="29014"/>
    <cellStyle name="好_资本到位及工商情况 2 2 2" xfId="29015"/>
    <cellStyle name="好_27-短期借款(空白模板) 6 5" xfId="29016"/>
    <cellStyle name="好_银行函证结果汇总表 3_明细表 3" xfId="29017"/>
    <cellStyle name="好_27-短期借款(空白模板) 6_附注表一（财务报表）" xfId="29018"/>
    <cellStyle name="好_27-短期借款(空白模板) 6_明细表" xfId="29019"/>
    <cellStyle name="好_27-短期借款(空白模板) 6_明细表 2" xfId="29020"/>
    <cellStyle name="好_27-短期借款(空白模板) 6_明细表 3" xfId="29021"/>
    <cellStyle name="好_27-短期借款(空白模板) 6_明细表 4" xfId="29022"/>
    <cellStyle name="好_27-短期借款(空白模板) 6_明细表 5" xfId="29023"/>
    <cellStyle name="好_27-短期借款(空白模板) 7 2 2" xfId="29024"/>
    <cellStyle name="好_27-短期借款(空白模板) 7 2 3" xfId="29025"/>
    <cellStyle name="好_27-短期借款(空白模板) 7 2 4" xfId="29026"/>
    <cellStyle name="好_53-管理费用（空白模板）" xfId="29027"/>
    <cellStyle name="好_27-短期借款(空白模板) 7 2 5" xfId="29028"/>
    <cellStyle name="好_27-短期借款(空白模板) 7_附注表一（财务报表）" xfId="29029"/>
    <cellStyle name="好_27-短期借款(空白模板) 7_明细表 5" xfId="29030"/>
    <cellStyle name="好_27-短期借款(空白模板) 8 2" xfId="29031"/>
    <cellStyle name="好_27-短期借款(空白模板) 8 2 2" xfId="29032"/>
    <cellStyle name="好_27-短期借款(空白模板) 8 2 3" xfId="29033"/>
    <cellStyle name="好_27-短期借款(空白模板) 8 2 4" xfId="29034"/>
    <cellStyle name="好_27-短期借款(空白模板) 8 2 5" xfId="29035"/>
    <cellStyle name="好_27-短期借款(空白模板) 9 2" xfId="29036"/>
    <cellStyle name="好_27-短期借款(空白模板) 9 2 2" xfId="29037"/>
    <cellStyle name="好_27-短期借款(空白模板) 9 2 3" xfId="29038"/>
    <cellStyle name="好_27-短期借款(空白模板) 9 2 4" xfId="29039"/>
    <cellStyle name="好_27-短期借款(空白模板) 9 2 5" xfId="29040"/>
    <cellStyle name="好_27-短期借款(空白模板) 9_明细表" xfId="29041"/>
    <cellStyle name="好_27-短期借款(空白模板) 9_明细表 2" xfId="29042"/>
    <cellStyle name="好_54-财务费用（空白模板） 3_明细表 5" xfId="29043"/>
    <cellStyle name="好_27-短期借款(空白模板) 9_明细表 4" xfId="29044"/>
    <cellStyle name="好_27-短期借款(空白模板) 9_明细表 5" xfId="29045"/>
    <cellStyle name="好_27-短期借款(空白模板)_附注表一（财务报表）" xfId="29046"/>
    <cellStyle name="好_27-短期借款(空白模板)_明细表 2 2" xfId="29047"/>
    <cellStyle name="好_27-短期借款(空白模板)_明细表 2 3" xfId="29048"/>
    <cellStyle name="好_27-短期借款(空白模板)_明细表 2 5" xfId="29049"/>
    <cellStyle name="好_27-短期借款(空白模板)_明细表 3" xfId="29050"/>
    <cellStyle name="好_27-短期借款(空白模板)_明细表_1" xfId="29051"/>
    <cellStyle name="好_28-交易性金融负债（空白模板）" xfId="29052"/>
    <cellStyle name="好_28-交易性金融负债（空白模板） 2" xfId="29053"/>
    <cellStyle name="好_28-交易性金融负债（空白模板） 2 2" xfId="29054"/>
    <cellStyle name="好_ZY递延所得税资产 2 2" xfId="29055"/>
    <cellStyle name="好_28-交易性金融负债（空白模板） 3" xfId="29056"/>
    <cellStyle name="好_ZY递延所得税资产 2 2 2" xfId="29057"/>
    <cellStyle name="好_49-营业收入（空白模板） 13 2 3" xfId="29058"/>
    <cellStyle name="好_30-应付账款（空白模板） 2 2 5" xfId="29059"/>
    <cellStyle name="好_28-交易性金融负债（空白模板） 3 2" xfId="29060"/>
    <cellStyle name="好_ZY递延所得税资产 2 3" xfId="29061"/>
    <cellStyle name="好_28-交易性金融负债（空白模板） 4" xfId="29062"/>
    <cellStyle name="好_29-应付票据（空白模板）" xfId="29063"/>
    <cellStyle name="好_2-ZI-存货监盘（案例） 2" xfId="29064"/>
    <cellStyle name="好_40-专项应付款(空白模板) 14_明细表 4" xfId="29065"/>
    <cellStyle name="好_2-ZI-存货监盘（案例） 2 2" xfId="29066"/>
    <cellStyle name="好_40-专项应付款(空白模板) 14_明细表 5" xfId="29067"/>
    <cellStyle name="好_2-ZI-存货监盘（案例） 2 3" xfId="29068"/>
    <cellStyle name="好_2-ZI-存货监盘（案例） 4" xfId="29069"/>
    <cellStyle name="好_资产减值损失_Book2 2 2" xfId="29070"/>
    <cellStyle name="好_2-交易性金融资产（空白模板）" xfId="29071"/>
    <cellStyle name="好_2-交易性金融资产（空白模板） 2" xfId="29072"/>
    <cellStyle name="好_2-交易性金融资产（空白模板） 2 3" xfId="29073"/>
    <cellStyle name="好_2-交易性金融资产（空白模板） 3" xfId="29074"/>
    <cellStyle name="好_2-交易性金融资产（空白模板） 3 2" xfId="29075"/>
    <cellStyle name="好_2-交易性金融资产（空白模板） 3 3" xfId="29076"/>
    <cellStyle name="好_2应收账款 3" xfId="29077"/>
    <cellStyle name="好_2应收账款 4" xfId="29078"/>
    <cellStyle name="好_2应收账款 5" xfId="29079"/>
    <cellStyle name="好_30-应付账款（空白模板） 10 2 2" xfId="29080"/>
    <cellStyle name="好_30-应付账款（空白模板） 10 2 4" xfId="29081"/>
    <cellStyle name="好_30-应付账款（空白模板） 10 4" xfId="29082"/>
    <cellStyle name="好_30-应付账款（空白模板） 10_附注表一（财务报表）" xfId="29083"/>
    <cellStyle name="好_银行函证结果汇总表 5 3" xfId="29084"/>
    <cellStyle name="千位分隔[0] 7 4" xfId="29085"/>
    <cellStyle name="好_30-应付账款（空白模板） 10_明细表 5" xfId="29086"/>
    <cellStyle name="好_55-资产减值损失（空白模板） 14_附注表一（财务报表）" xfId="29087"/>
    <cellStyle name="好_30-应付账款（空白模板） 11" xfId="29088"/>
    <cellStyle name="壞_G2 Turnover Kaizhou 2" xfId="29089"/>
    <cellStyle name="好_30-应付账款（空白模板） 11 2 4" xfId="29090"/>
    <cellStyle name="好_30-应付账款（空白模板） 11_附注表一（财务报表）" xfId="29091"/>
    <cellStyle name="好_30-应付账款（空白模板） 11_明细表" xfId="29092"/>
    <cellStyle name="好_30-应付账款（空白模板） 11_明细表 3" xfId="29093"/>
    <cellStyle name="好_30-应付账款（空白模板） 11_明细表 4" xfId="29094"/>
    <cellStyle name="好_30-应付账款（空白模板） 11_明细表 5" xfId="29095"/>
    <cellStyle name="好_30-应付账款（空白模板） 12" xfId="29096"/>
    <cellStyle name="好_所得税费用 6" xfId="29097"/>
    <cellStyle name="好_30-应付账款（空白模板） 12 2 3" xfId="29098"/>
    <cellStyle name="好_所得税费用 7" xfId="29099"/>
    <cellStyle name="好_30-应付账款（空白模板） 12 2 4" xfId="29100"/>
    <cellStyle name="好_函证结果汇总表 4" xfId="29101"/>
    <cellStyle name="好_30-应付账款（空白模板） 12_附注表一（财务报表）" xfId="29102"/>
    <cellStyle name="好_30-应付账款（空白模板） 13_附注表一（财务报表）" xfId="29103"/>
    <cellStyle name="好_30-应付账款（空白模板） 13_明细表" xfId="29104"/>
    <cellStyle name="好_31-预收账款（空白模板） 11 2" xfId="29105"/>
    <cellStyle name="好_30-应付账款（空白模板） 13_明细表 2" xfId="29106"/>
    <cellStyle name="好_31-预收账款（空白模板） 11 2 2" xfId="29107"/>
    <cellStyle name="好_30-应付账款（空白模板） 13_明细表 3" xfId="29108"/>
    <cellStyle name="好_31-预收账款（空白模板） 11 2 3" xfId="29109"/>
    <cellStyle name="好_30-应付账款（空白模板） 14" xfId="29110"/>
    <cellStyle name="好_30-应付账款（空白模板） 14 2" xfId="29111"/>
    <cellStyle name="好_30-应付账款（空白模板） 14 2 3" xfId="29112"/>
    <cellStyle name="好_30-应付账款（空白模板） 14 3" xfId="29113"/>
    <cellStyle name="好_30-应付账款（空白模板） 14_明细表 2" xfId="29114"/>
    <cellStyle name="好_30-应付账款（空白模板） 14_明细表 3" xfId="29115"/>
    <cellStyle name="好_30-应付账款（空白模板） 14_明细表 4" xfId="29116"/>
    <cellStyle name="好_30-应付账款（空白模板） 14_明细表 5" xfId="29117"/>
    <cellStyle name="好_30-应付账款（空白模板） 15" xfId="29118"/>
    <cellStyle name="好_30-应付账款（空白模板） 20" xfId="29119"/>
    <cellStyle name="好_30-应付账款（空白模板） 15 2" xfId="29120"/>
    <cellStyle name="好_30-应付账款（空白模板） 15 2 4" xfId="29121"/>
    <cellStyle name="好_30-应付账款（空白模板） 15 3" xfId="29122"/>
    <cellStyle name="好_30-应付账款（空白模板） 15_明细表" xfId="29123"/>
    <cellStyle name="好_40-专项应付款(空白模板) 17 4" xfId="29124"/>
    <cellStyle name="好_40-专项应付款(空白模板) 10_明细表 4" xfId="29125"/>
    <cellStyle name="好_30-应付账款（空白模板） 15_明细表 2" xfId="29126"/>
    <cellStyle name="好_30-应付账款（空白模板） 16 2" xfId="29127"/>
    <cellStyle name="好_30-应付账款（空白模板） 16 2 2" xfId="29128"/>
    <cellStyle name="好_ZH其他应收款 2" xfId="29129"/>
    <cellStyle name="好_30-应付账款（空白模板） 16 2 3" xfId="29130"/>
    <cellStyle name="好_ZH其他应收款 3" xfId="29131"/>
    <cellStyle name="好_30-应付账款（空白模板） 16 2 4" xfId="29132"/>
    <cellStyle name="好_30-应付账款（空白模板） 16 3" xfId="29133"/>
    <cellStyle name="好_30-应付账款（空白模板） 16 5" xfId="29134"/>
    <cellStyle name="好_30-应付账款（空白模板） 16 6" xfId="29135"/>
    <cellStyle name="好_30-应付账款（空白模板） 17 2" xfId="29136"/>
    <cellStyle name="好_30-应付账款（空白模板） 17 2 2" xfId="29137"/>
    <cellStyle name="好_30-应付账款（空白模板） 17 2 3" xfId="29138"/>
    <cellStyle name="好_30-应付账款（空白模板） 17 2 4" xfId="29139"/>
    <cellStyle name="好_30-应付账款（空白模板） 17 2 5" xfId="29140"/>
    <cellStyle name="好_30-应付账款（空白模板） 17 4" xfId="29141"/>
    <cellStyle name="好_30-应付账款（空白模板） 17 5" xfId="29142"/>
    <cellStyle name="好_30-应付账款（空白模板） 17 6" xfId="29143"/>
    <cellStyle name="好_30-应付账款（空白模板） 18 3" xfId="29144"/>
    <cellStyle name="好_30-应付账款（空白模板） 18 5" xfId="29145"/>
    <cellStyle name="好_30-应付账款（空白模板） 2 2 2 2" xfId="29146"/>
    <cellStyle name="好_30-应付账款（空白模板） 2 5" xfId="29147"/>
    <cellStyle name="好_30-应付账款（空白模板） 2 6" xfId="29148"/>
    <cellStyle name="好_30-应付账款（空白模板） 2_附注表一（财务报表）" xfId="29149"/>
    <cellStyle name="好_30-应付账款（空白模板） 25" xfId="29150"/>
    <cellStyle name="好_30-应付账款（空白模板） 30" xfId="29151"/>
    <cellStyle name="好_30-应付账款（空白模板） 26" xfId="29152"/>
    <cellStyle name="好_30-应付账款（空白模板） 31" xfId="29153"/>
    <cellStyle name="好_30-应付账款（空白模板） 27" xfId="29154"/>
    <cellStyle name="好_30-应付账款（空白模板） 32" xfId="29155"/>
    <cellStyle name="好_30-应付账款（空白模板） 28" xfId="29156"/>
    <cellStyle name="好_30-应付账款（空白模板） 33" xfId="29157"/>
    <cellStyle name="好_30-应付账款（空白模板） 3" xfId="29158"/>
    <cellStyle name="好_30-应付账款（空白模板） 3 2" xfId="29159"/>
    <cellStyle name="好_49-营业收入（空白模板） 14 2 3" xfId="29160"/>
    <cellStyle name="好_30-应付账款（空白模板） 3 2 5" xfId="29161"/>
    <cellStyle name="好_营业收入 4 2 2" xfId="29162"/>
    <cellStyle name="好_30-应付账款（空白模板） 3 3" xfId="29163"/>
    <cellStyle name="好_30-应付账款（空白模板） 3_明细表" xfId="29164"/>
    <cellStyle name="好_30-应付账款（空白模板） 3_明细表 2" xfId="29165"/>
    <cellStyle name="好_30-应付账款（空白模板） 3_明细表 3" xfId="29166"/>
    <cellStyle name="好_30-应付账款（空白模板） 3_明细表 4" xfId="29167"/>
    <cellStyle name="好_30-应付账款（空白模板） 3_明细表 5" xfId="29168"/>
    <cellStyle name="好_FP 递延所得税负债" xfId="29169"/>
    <cellStyle name="好_30-应付账款（空白模板） 4" xfId="29170"/>
    <cellStyle name="好_固定资产 8 2 5" xfId="29171"/>
    <cellStyle name="好_FP 递延所得税负债 2" xfId="29172"/>
    <cellStyle name="好_30-应付账款（空白模板） 4 2" xfId="29173"/>
    <cellStyle name="好_49-营业收入（空白模板） 15 2 3" xfId="29174"/>
    <cellStyle name="好_30-应付账款（空白模板） 4 2 5" xfId="29175"/>
    <cellStyle name="好_30-应付账款（空白模板） 4 5" xfId="29176"/>
    <cellStyle name="好_应付职工薪酬 8" xfId="29177"/>
    <cellStyle name="好_大信底稿目录 3_明细表 2" xfId="29178"/>
    <cellStyle name="好_30-应付账款（空白模板） 4_明细表" xfId="29179"/>
    <cellStyle name="好_30-应付账款（空白模板） 4_明细表 2" xfId="29180"/>
    <cellStyle name="好_40-专项应付款(空白模板) 7_明细表" xfId="29181"/>
    <cellStyle name="好_30-应付账款（空白模板） 4_明细表 3" xfId="29182"/>
    <cellStyle name="好_30-应付账款（空白模板） 4_明细表 4" xfId="29183"/>
    <cellStyle name="好_30-应付账款（空白模板） 4_明细表 5" xfId="29184"/>
    <cellStyle name="好_30-应付账款（空白模板） 5" xfId="29185"/>
    <cellStyle name="好_30-应付账款（空白模板） 5 2" xfId="29186"/>
    <cellStyle name="好_30-应付账款（空白模板） 5 2 2" xfId="29187"/>
    <cellStyle name="好_30-应付账款（空白模板） 5 2 3" xfId="29188"/>
    <cellStyle name="好_财务费用_明细表_1" xfId="29189"/>
    <cellStyle name="好_49-营业收入（空白模板） 16 2 2" xfId="29190"/>
    <cellStyle name="好_30-应付账款（空白模板） 5 2 4" xfId="29191"/>
    <cellStyle name="好_49-营业收入（空白模板） 16 2 3" xfId="29192"/>
    <cellStyle name="好_30-应付账款（空白模板） 5 2 5" xfId="29193"/>
    <cellStyle name="好_30-应付账款（空白模板） 5_明细表 2" xfId="29194"/>
    <cellStyle name="好_30-应付账款（空白模板） 5_明细表 3" xfId="29195"/>
    <cellStyle name="好_30-应付账款（空白模板） 5_明细表 4" xfId="29196"/>
    <cellStyle name="好_30-应付账款（空白模板） 5_明细表 5" xfId="29197"/>
    <cellStyle name="好_30-应付账款（空白模板） 6 2" xfId="29198"/>
    <cellStyle name="好_30-应付账款（空白模板） 6 2 3" xfId="29199"/>
    <cellStyle name="好_49-营业收入（空白模板） 17 2 2" xfId="29200"/>
    <cellStyle name="好_30-应付账款（空白模板） 6 2 4" xfId="29201"/>
    <cellStyle name="好_49-营业收入（空白模板） 17 2 3" xfId="29202"/>
    <cellStyle name="好_30-应付账款（空白模板） 6 2 5" xfId="29203"/>
    <cellStyle name="好_30-应付账款（空白模板） 6 3" xfId="29204"/>
    <cellStyle name="好_30-应付账款（空白模板） 6 4" xfId="29205"/>
    <cellStyle name="好_30-应付账款（空白模板） 6_明细表" xfId="29206"/>
    <cellStyle name="好_30-应付账款（空白模板） 7 2" xfId="29207"/>
    <cellStyle name="好_54-财务费用（空白模板） 15 3" xfId="29208"/>
    <cellStyle name="好_30-应付账款（空白模板） 7 2 2" xfId="29209"/>
    <cellStyle name="好_30-应付账款（空白模板） 7 2 3" xfId="29210"/>
    <cellStyle name="好_30-应付账款（空白模板） 7 3" xfId="29211"/>
    <cellStyle name="好_30-应付账款（空白模板） 8 2 2" xfId="29212"/>
    <cellStyle name="好_30-应付账款（空白模板） 8 2 3" xfId="29213"/>
    <cellStyle name="好_30-应付账款（空白模板） 8 2 5" xfId="29214"/>
    <cellStyle name="好_30-应付账款（空白模板） 8 4" xfId="29215"/>
    <cellStyle name="好_30-应付账款（空白模板） 8_明细表" xfId="29216"/>
    <cellStyle name="好_复件 固定资产 4_明细表 4" xfId="29217"/>
    <cellStyle name="好_30-应付账款（空白模板） 8_明细表 2" xfId="29218"/>
    <cellStyle name="好_复件 固定资产 4_明细表 5" xfId="29219"/>
    <cellStyle name="好_30-应付账款（空白模板） 8_明细表 3" xfId="29220"/>
    <cellStyle name="好_30-应付账款（空白模板） 8_明细表 4" xfId="29221"/>
    <cellStyle name="好_30-应付账款（空白模板） 8_明细表 5" xfId="29222"/>
    <cellStyle name="好_30-应付账款（空白模板） 9 2 3" xfId="29223"/>
    <cellStyle name="好_30-应付账款（空白模板） 9 2 4" xfId="29224"/>
    <cellStyle name="好_30-应付账款（空白模板） 9 2 5" xfId="29225"/>
    <cellStyle name="好_30-应付账款（空白模板） 9 4" xfId="29226"/>
    <cellStyle name="好_应收利息 10 2" xfId="29227"/>
    <cellStyle name="好_30-应付账款（空白模板） 9_附注表一（财务报表）" xfId="29228"/>
    <cellStyle name="好_30-应付账款（空白模板） 9_明细表" xfId="29229"/>
    <cellStyle name="好_长期应收款 3 2" xfId="29230"/>
    <cellStyle name="好_30-应付账款（空白模板）_明细表" xfId="29231"/>
    <cellStyle name="好_30-应付账款（空白模板）_明细表 2" xfId="29232"/>
    <cellStyle name="好_49-营业收入（空白模板） 5_明细表 3" xfId="29233"/>
    <cellStyle name="好_30-应付账款（空白模板）_明细表_1" xfId="29234"/>
    <cellStyle name="好_30-应付账款（空白模板）_明细表_1 2" xfId="29235"/>
    <cellStyle name="好_G2 - Sales.091231.v3 6" xfId="29236"/>
    <cellStyle name="好_31-预收账款（空白模板） 10 2" xfId="29237"/>
    <cellStyle name="好_31-预收账款（空白模板） 10 2 2" xfId="29238"/>
    <cellStyle name="好_31-预收账款（空白模板） 10 2 3" xfId="29239"/>
    <cellStyle name="好_31-预收账款（空白模板） 10 2 4" xfId="29240"/>
    <cellStyle name="好_QB资本公积" xfId="29241"/>
    <cellStyle name="好_31-预收账款（空白模板） 10 2 5" xfId="29242"/>
    <cellStyle name="好_31-预收账款（空白模板） 10 3" xfId="29243"/>
    <cellStyle name="好_31-预收账款（空白模板） 10 4" xfId="29244"/>
    <cellStyle name="好_31-预收账款（空白模板） 10_附注表一（财务报表）" xfId="29245"/>
    <cellStyle name="好_31-预收账款（空白模板） 10_明细表 3" xfId="29246"/>
    <cellStyle name="好_31-预收账款（空白模板） 11 3" xfId="29247"/>
    <cellStyle name="好_31-预收账款（空白模板） 12 2" xfId="29248"/>
    <cellStyle name="好_31-预收账款（空白模板） 12 2 5" xfId="29249"/>
    <cellStyle name="好_55-资产减值损失（空白模板） 13_附注表一（财务报表）" xfId="29250"/>
    <cellStyle name="好_31-预收账款（空白模板） 12 3" xfId="29251"/>
    <cellStyle name="好_31-预收账款（空白模板） 12_明细表 2" xfId="29252"/>
    <cellStyle name="好_31-预收账款（空白模板） 13 2 2" xfId="29253"/>
    <cellStyle name="好_31-预收账款（空白模板） 13 2 3" xfId="29254"/>
    <cellStyle name="好_31-预收账款（空白模板） 13 2 4" xfId="29255"/>
    <cellStyle name="好_31-预收账款（空白模板） 13_明细表 2" xfId="29256"/>
    <cellStyle name="好_31-预收账款（空白模板） 13_明细表 3" xfId="29257"/>
    <cellStyle name="好_31-预收账款（空白模板） 13_明细表 4" xfId="29258"/>
    <cellStyle name="好_31-预收账款（空白模板） 13_明细表 5" xfId="29259"/>
    <cellStyle name="好_31-预收账款（空白模板） 14 2" xfId="29260"/>
    <cellStyle name="好_31-预收账款（空白模板） 14 2 2" xfId="29261"/>
    <cellStyle name="好_31-预收账款（空白模板） 14 2 4" xfId="29262"/>
    <cellStyle name="好_31-预收账款（空白模板） 14 3" xfId="29263"/>
    <cellStyle name="好_31-预收账款（空白模板） 14_附注表一（财务报表）" xfId="29264"/>
    <cellStyle name="好_31-预收账款（空白模板）_明细表 6" xfId="29265"/>
    <cellStyle name="好_31-预收账款（空白模板） 14_明细表" xfId="29266"/>
    <cellStyle name="好_31-预收账款（空白模板） 14_明细表 2" xfId="29267"/>
    <cellStyle name="好_31-预收账款（空白模板） 14_明细表 3" xfId="29268"/>
    <cellStyle name="好_31-预收账款（空白模板） 14_明细表 4" xfId="29269"/>
    <cellStyle name="好_31-预收账款（空白模板） 14_明细表 5" xfId="29270"/>
    <cellStyle name="好_31-预收账款（空白模板） 15 2 2" xfId="29271"/>
    <cellStyle name="好_31-预收账款（空白模板） 15 2 3" xfId="29272"/>
    <cellStyle name="好_31-预收账款（空白模板） 15 2 4" xfId="29273"/>
    <cellStyle name="千位分隔 2 2 2 11 2" xfId="29274"/>
    <cellStyle name="好_银行函证结果汇总表 6 2 3" xfId="29275"/>
    <cellStyle name="好_55-资产减值损失（空白模板）_财务费用" xfId="29276"/>
    <cellStyle name="好_49-营业收入（空白模板） 2 6" xfId="29277"/>
    <cellStyle name="好_31-预收账款（空白模板） 15 3" xfId="29278"/>
    <cellStyle name="好_31-预收账款（空白模板） 15_明细表" xfId="29279"/>
    <cellStyle name="好_31-预收账款（空白模板） 15_明细表 2" xfId="29280"/>
    <cellStyle name="好_31-预收账款（空白模板） 15_明细表 3" xfId="29281"/>
    <cellStyle name="好_复件 固定资产_明细表 2" xfId="29282"/>
    <cellStyle name="好_31-预收账款（空白模板） 15_明细表 4" xfId="29283"/>
    <cellStyle name="好_复件 固定资产_明细表 3" xfId="29284"/>
    <cellStyle name="好_银行函证结果汇总表 6 3" xfId="29285"/>
    <cellStyle name="好_31-预收账款（空白模板） 16" xfId="29286"/>
    <cellStyle name="好_31-预收账款（空白模板） 21" xfId="29287"/>
    <cellStyle name="好_31-预收账款（空白模板） 16 2 2" xfId="29288"/>
    <cellStyle name="好_31-预收账款（空白模板） 16 2 3" xfId="29289"/>
    <cellStyle name="好_31-预收账款（空白模板） 16 2 4" xfId="29290"/>
    <cellStyle name="好_附注表一（财务报表） 4" xfId="29291"/>
    <cellStyle name="好_31-预收账款（空白模板） 16 3" xfId="29292"/>
    <cellStyle name="好_附注表一（财务报表） 5" xfId="29293"/>
    <cellStyle name="好_31-预收账款（空白模板） 16 4" xfId="29294"/>
    <cellStyle name="好_31-预收账款（空白模板） 16 5" xfId="29295"/>
    <cellStyle name="好_31-预收账款（空白模板） 16 6" xfId="29296"/>
    <cellStyle name="好_31-预收账款（空白模板） 17 2 3" xfId="29297"/>
    <cellStyle name="好_31-预收账款（空白模板） 17 2 4" xfId="29298"/>
    <cellStyle name="好_31-预收账款（空白模板） 17 4" xfId="29299"/>
    <cellStyle name="好_底稿设置宏_明细表_1 3" xfId="29300"/>
    <cellStyle name="好_31-预收账款（空白模板） 17 6" xfId="29301"/>
    <cellStyle name="好_49-营业收入（空白模板） 5 5" xfId="29302"/>
    <cellStyle name="好_31-预收账款（空白模板） 18 2" xfId="29303"/>
    <cellStyle name="好_31-预收账款（空白模板） 18 3" xfId="29304"/>
    <cellStyle name="好_31-预收账款（空白模板） 18 4" xfId="29305"/>
    <cellStyle name="好_31-预收账款（空白模板） 18 5" xfId="29306"/>
    <cellStyle name="好_31-预收账款（空白模板） 2 2 2" xfId="29307"/>
    <cellStyle name="好_31-预收账款（空白模板） 2 2 3" xfId="29308"/>
    <cellStyle name="好_31-预收账款（空白模板） 2 2 4" xfId="29309"/>
    <cellStyle name="好_49-营业收入（空白模板）_附注表一（财务报表）" xfId="29310"/>
    <cellStyle name="好_31-预收账款（空白模板） 2 2 5" xfId="29311"/>
    <cellStyle name="好_31-预收账款（空白模板） 2 3" xfId="29312"/>
    <cellStyle name="好_31-预收账款（空白模板） 2 4" xfId="29313"/>
    <cellStyle name="好_31-预收账款（空白模板） 2 5" xfId="29314"/>
    <cellStyle name="好_31-预收账款（空白模板） 2 6" xfId="29315"/>
    <cellStyle name="好_31-预收账款（空白模板） 2_明细表" xfId="29316"/>
    <cellStyle name="好_31-预收账款（空白模板） 2_明细表 2" xfId="29317"/>
    <cellStyle name="好_31-预收账款（空白模板） 2_明细表 4" xfId="29318"/>
    <cellStyle name="好_31-预收账款（空白模板） 2_明细表 5" xfId="29319"/>
    <cellStyle name="好_31-预收账款（空白模板） 25" xfId="29320"/>
    <cellStyle name="好_31-预收账款（空白模板） 30" xfId="29321"/>
    <cellStyle name="好_31-预收账款（空白模板） 26" xfId="29322"/>
    <cellStyle name="好_31-预收账款（空白模板） 31" xfId="29323"/>
    <cellStyle name="好_31-预收账款（空白模板） 27" xfId="29324"/>
    <cellStyle name="好_31-预收账款（空白模板） 32" xfId="29325"/>
    <cellStyle name="好_31-预收账款（空白模板） 28" xfId="29326"/>
    <cellStyle name="好_31-预收账款（空白模板） 33" xfId="29327"/>
    <cellStyle name="好_ZA0货币资金审定表  13_明细表" xfId="29328"/>
    <cellStyle name="好_31-预收账款（空白模板） 29" xfId="29329"/>
    <cellStyle name="好_31-预收账款（空白模板） 34" xfId="29330"/>
    <cellStyle name="好_31-预收账款（空白模板） 3" xfId="29331"/>
    <cellStyle name="好_31-预收账款（空白模板） 3 2" xfId="29332"/>
    <cellStyle name="好_31-预收账款（空白模板） 3 2 3" xfId="29333"/>
    <cellStyle name="好_31-预收账款（空白模板） 3 2 4" xfId="29334"/>
    <cellStyle name="好_31-预收账款（空白模板） 3 3" xfId="29335"/>
    <cellStyle name="好_31-预收账款（空白模板） 3 3 2" xfId="29336"/>
    <cellStyle name="好_31-预收账款（空白模板） 3 4" xfId="29337"/>
    <cellStyle name="好_31-预收账款（空白模板） 3_附注表一（财务报表）" xfId="29338"/>
    <cellStyle name="好_存货 4 2 2" xfId="29339"/>
    <cellStyle name="好_31-预收账款（空白模板） 4" xfId="29340"/>
    <cellStyle name="好_31-预收账款（空白模板） 4 2" xfId="29341"/>
    <cellStyle name="好_31-预收账款（空白模板） 4 2 3" xfId="29342"/>
    <cellStyle name="好_31-预收账款（空白模板） 4 2 4" xfId="29343"/>
    <cellStyle name="好_实收资本(股本) 2 2" xfId="29344"/>
    <cellStyle name="好_31-预收账款（空白模板） 4 2 5" xfId="29345"/>
    <cellStyle name="好_31-预收账款（空白模板） 4 3" xfId="29346"/>
    <cellStyle name="好_31-预收账款（空白模板） 4 3 2" xfId="29347"/>
    <cellStyle name="好_31-预收账款（空白模板） 4 4" xfId="29348"/>
    <cellStyle name="好_31-预收账款（空白模板） 4 5" xfId="29349"/>
    <cellStyle name="好_31-预收账款（空白模板） 4_附注表一（财务报表）" xfId="29350"/>
    <cellStyle name="好_31-预收账款（空白模板） 5" xfId="29351"/>
    <cellStyle name="好_31-预收账款（空白模板） 5 2" xfId="29352"/>
    <cellStyle name="好_31-预收账款（空白模板） 5 2 3" xfId="29353"/>
    <cellStyle name="好_50-营业成本（空白模板） 2 2" xfId="29354"/>
    <cellStyle name="好_31-预收账款（空白模板） 5 2 4" xfId="29355"/>
    <cellStyle name="好_50-营业成本（空白模板） 2 3" xfId="29356"/>
    <cellStyle name="好_49-营业收入（空白模板） 9_明细表 2" xfId="29357"/>
    <cellStyle name="好_31-预收账款（空白模板） 5 2 5" xfId="29358"/>
    <cellStyle name="好_50-营业成本（空白模板） 2 4" xfId="29359"/>
    <cellStyle name="好_49-营业收入（空白模板） 9_明细表 3" xfId="29360"/>
    <cellStyle name="好_31-预收账款（空白模板） 5 3" xfId="29361"/>
    <cellStyle name="好_31-预收账款（空白模板） 5 3 2" xfId="29362"/>
    <cellStyle name="好_31-预收账款（空白模板） 5 4" xfId="29363"/>
    <cellStyle name="好_31-预收账款（空白模板） 5 5" xfId="29364"/>
    <cellStyle name="好_31-预收账款（空白模板） 5_附注表一（财务报表）" xfId="29365"/>
    <cellStyle name="好_31-预收账款（空白模板） 5_明细表 2" xfId="29366"/>
    <cellStyle name="好_31-预收账款（空白模板） 5_明细表 3" xfId="29367"/>
    <cellStyle name="好_31-预收账款（空白模板） 5_明细表 4" xfId="29368"/>
    <cellStyle name="好_控制测试过程2 2" xfId="29369"/>
    <cellStyle name="好_31-预收账款（空白模板） 6 2" xfId="29370"/>
    <cellStyle name="好_31-预收账款（空白模板） 6 2 3" xfId="29371"/>
    <cellStyle name="好_31-预收账款（空白模板） 6 2 4" xfId="29372"/>
    <cellStyle name="好_31-预收账款（空白模板） 6 2 5" xfId="29373"/>
    <cellStyle name="好_31-预收账款（空白模板） 6 4" xfId="29374"/>
    <cellStyle name="好_31-预收账款（空白模板） 6 5" xfId="29375"/>
    <cellStyle name="好_31-预收账款（空白模板） 6_附注表一（财务报表）" xfId="29376"/>
    <cellStyle name="好_31-预收账款（空白模板） 6_明细表 2" xfId="29377"/>
    <cellStyle name="好_31-预收账款（空白模板） 6_明细表 3" xfId="29378"/>
    <cellStyle name="好_31-预收账款（空白模板） 6_明细表 4" xfId="29379"/>
    <cellStyle name="好_专项应付款_明细表 2 2" xfId="29380"/>
    <cellStyle name="好_31-预收账款（空白模板） 6_明细表 5" xfId="29381"/>
    <cellStyle name="好_31-预收账款（空白模板） 7 2 3" xfId="29382"/>
    <cellStyle name="好_31-预收账款（空白模板） 7 2 4" xfId="29383"/>
    <cellStyle name="好_31-预收账款（空白模板） 7 2 5" xfId="29384"/>
    <cellStyle name="好_31-预收账款（空白模板） 7 3" xfId="29385"/>
    <cellStyle name="好_31-预收账款（空白模板） 7 4" xfId="29386"/>
    <cellStyle name="好_31-预收账款（空白模板） 7_明细表 2" xfId="29387"/>
    <cellStyle name="好_31-预收账款（空白模板） 7_明细表 3" xfId="29388"/>
    <cellStyle name="好_31-预收账款（空白模板） 7_明细表 4" xfId="29389"/>
    <cellStyle name="好_31-预收账款（空白模板） 7_明细表 5" xfId="29390"/>
    <cellStyle name="好_31-预收账款（空白模板） 8 2 3" xfId="29391"/>
    <cellStyle name="好_31-预收账款（空白模板） 8 2 4" xfId="29392"/>
    <cellStyle name="好_31-预收账款（空白模板） 8 2 5" xfId="29393"/>
    <cellStyle name="好_31-预收账款（空白模板） 8_附注表一（财务报表）" xfId="29394"/>
    <cellStyle name="好_31-预收账款（空白模板） 9" xfId="29395"/>
    <cellStyle name="好_31-预收账款（空白模板） 9 2" xfId="29396"/>
    <cellStyle name="好_31-预收账款（空白模板） 9 2 3" xfId="29397"/>
    <cellStyle name="好_50-营业成本（空白模板）_明细表 2" xfId="29398"/>
    <cellStyle name="好_31-预收账款（空白模板） 9 2 4" xfId="29399"/>
    <cellStyle name="好_50-营业成本（空白模板）_明细表 3" xfId="29400"/>
    <cellStyle name="好_31-预收账款（空白模板） 9 2 5" xfId="29401"/>
    <cellStyle name="好_31-预收账款（空白模板） 9 3" xfId="29402"/>
    <cellStyle name="好_31-预收账款（空白模板） 9 4" xfId="29403"/>
    <cellStyle name="好_31-预收账款（空白模板） 9_附注表一（财务报表）" xfId="29404"/>
    <cellStyle name="好_31-预收账款（空白模板） 9_明细表 3" xfId="29405"/>
    <cellStyle name="好_31-预收账款（空白模板） 9_明细表 4" xfId="29406"/>
    <cellStyle name="好_31-预收账款（空白模板） 9_明细表 5" xfId="29407"/>
    <cellStyle name="好_FA 短期借款 3" xfId="29408"/>
    <cellStyle name="好_31-预收账款（空白模板）_附注表一（财务报表）" xfId="29409"/>
    <cellStyle name="好_31-预收账款（空白模板）_明细表" xfId="29410"/>
    <cellStyle name="好_31-预收账款（空白模板）_明细表 2 3" xfId="29411"/>
    <cellStyle name="好_31-预收账款（空白模板）_明细表 4" xfId="29412"/>
    <cellStyle name="好_31-预收账款（空白模板）_明细表 5" xfId="29413"/>
    <cellStyle name="好_31-预收账款（空白模板）_明细表_1" xfId="29414"/>
    <cellStyle name="好_31-预收账款（空白模板）_明细表_1 2" xfId="29415"/>
    <cellStyle name="好_31-预收账款（空白模板）_明细表_1 3" xfId="29416"/>
    <cellStyle name="好_31-预收账款（空白模板）_明细表_1 4" xfId="29417"/>
    <cellStyle name="好_31-预收账款（空白模板）_明细表_1 5" xfId="29418"/>
    <cellStyle name="好_S4-1营业税金及附加审定表" xfId="29419"/>
    <cellStyle name="好_3-2 进一步审计程序-采购与付款循环" xfId="29420"/>
    <cellStyle name="好_3-2 进一步审计程序-采购与付款循环 2 2" xfId="29421"/>
    <cellStyle name="好_3-2 进一步审计程序-采购与付款循环 2 3" xfId="29422"/>
    <cellStyle name="好_3-2 进一步审计程序-采购与付款循环 3" xfId="29423"/>
    <cellStyle name="好_3-2 进一步审计程序-采购与付款循环 3 2" xfId="29424"/>
    <cellStyle name="好_3-2 进一步审计程序-采购与付款循环 5" xfId="29425"/>
    <cellStyle name="好_32-应付职工薪酬(空白模板)" xfId="29426"/>
    <cellStyle name="好_32-应付职工薪酬(空白模板) 12" xfId="29427"/>
    <cellStyle name="好_32-应付职工薪酬(空白模板) 17" xfId="29428"/>
    <cellStyle name="好_32-应付职工薪酬(空白模板) 22" xfId="29429"/>
    <cellStyle name="好_32-应付职工薪酬(空白模板) 2" xfId="29430"/>
    <cellStyle name="好_49-营业收入（空白模板） 17 3" xfId="29431"/>
    <cellStyle name="好_32-应付职工薪酬(空白模板) 2 2 2" xfId="29432"/>
    <cellStyle name="好_49-营业收入（空白模板） 17 4" xfId="29433"/>
    <cellStyle name="好_32-应付职工薪酬(空白模板) 2 2 3" xfId="29434"/>
    <cellStyle name="好_32-应付职工薪酬(空白模板) 2 3" xfId="29435"/>
    <cellStyle name="好_32-应付职工薪酬(空白模板) 3" xfId="29436"/>
    <cellStyle name="好_无形资产 2 3" xfId="29437"/>
    <cellStyle name="好_32-应付职工薪酬(空白模板) 3 2" xfId="29438"/>
    <cellStyle name="好_应收利息 3_明细表 4" xfId="29439"/>
    <cellStyle name="好_无形资产 2 3 2" xfId="29440"/>
    <cellStyle name="好_32-应付职工薪酬(空白模板) 3 2 2" xfId="29441"/>
    <cellStyle name="好_应收利息 3_明细表 5" xfId="29442"/>
    <cellStyle name="好_无形资产 2 3 3" xfId="29443"/>
    <cellStyle name="好_32-应付职工薪酬(空白模板) 3 2 3" xfId="29444"/>
    <cellStyle name="好_32-应付职工薪酬(空白模板) 4" xfId="29445"/>
    <cellStyle name="好_无形资产 3 3" xfId="29446"/>
    <cellStyle name="好_32-应付职工薪酬(空白模板) 4 2" xfId="29447"/>
    <cellStyle name="好_无形资产 3 4" xfId="29448"/>
    <cellStyle name="好_32-应付职工薪酬(空白模板) 4 3" xfId="29449"/>
    <cellStyle name="好_32-应付职工薪酬(空白模板) 5" xfId="29450"/>
    <cellStyle name="好_32-应付职工薪酬(空白模板) 8" xfId="29451"/>
    <cellStyle name="好_32-应付职工薪酬(空白模板) 9" xfId="29452"/>
    <cellStyle name="好_3-3 进一步审计程序-存货与生产循环" xfId="29453"/>
    <cellStyle name="好_3-3 进一步审计程序-存货与生产循环 3 3" xfId="29454"/>
    <cellStyle name="好_33-应交税费（空白模板） 2 3" xfId="29455"/>
    <cellStyle name="好_33-应交税费（空白模板） 2_明细表" xfId="29456"/>
    <cellStyle name="好_33-应交税费（空白模板） 2_明细表 2" xfId="29457"/>
    <cellStyle name="好_33-应交税费（空白模板） 2_明细表 3" xfId="29458"/>
    <cellStyle name="好_33-应交税费（空白模板） 2_明细表 4" xfId="29459"/>
    <cellStyle name="好_33-应交税费（空白模板） 3 2" xfId="29460"/>
    <cellStyle name="好_银行函证结果汇总表_货币资金" xfId="29461"/>
    <cellStyle name="好_33-应交税费（空白模板） 3 4" xfId="29462"/>
    <cellStyle name="好_33-应交税费（空白模板） 3 5" xfId="29463"/>
    <cellStyle name="好_33-应交税费（空白模板） 4" xfId="29464"/>
    <cellStyle name="好_33-应交税费（空白模板）_附注表一（财务报表）" xfId="29465"/>
    <cellStyle name="好_33-应交税费（空白模板）_明细表 2" xfId="29466"/>
    <cellStyle name="好_33-应交税费（空白模板）_明细表 3" xfId="29467"/>
    <cellStyle name="好_G-应收账款 2 3" xfId="29468"/>
    <cellStyle name="强调文字颜色 5 7 2" xfId="29469"/>
    <cellStyle name="好_35-应付股利（空白模板）" xfId="29470"/>
    <cellStyle name="好_大信底稿目录 10 2 3" xfId="29471"/>
    <cellStyle name="好_G-应收账款 2 3 2" xfId="29472"/>
    <cellStyle name="好_35-应付股利（空白模板） 2" xfId="29473"/>
    <cellStyle name="好_35-应付股利（空白模板） 2 2" xfId="29474"/>
    <cellStyle name="好_37-长期借款（空白模板） 3 3" xfId="29475"/>
    <cellStyle name="好_37-长期借款（空白模板） 4" xfId="29476"/>
    <cellStyle name="好_37-长期借款（空白模板） 5" xfId="29477"/>
    <cellStyle name="好_38-应付债券（空白模板）" xfId="29478"/>
    <cellStyle name="好_38-应付债券（空白模板） 3" xfId="29479"/>
    <cellStyle name="注释 11 2" xfId="29480"/>
    <cellStyle name="好_38-应付债券（空白模板） 4" xfId="29481"/>
    <cellStyle name="好_39-长期应付款（空白模板） 2 2" xfId="29482"/>
    <cellStyle name="好_39-长期应付款（空白模板） 3 2" xfId="29483"/>
    <cellStyle name="好_54-财务费用（空白模板） 2 2 4" xfId="29484"/>
    <cellStyle name="好_3-应收票据（空白模板） 2" xfId="29485"/>
    <cellStyle name="好_40-专项应付款(空白模板) 10 2" xfId="29486"/>
    <cellStyle name="好_40-专项应付款(空白模板) 10 2 2" xfId="29487"/>
    <cellStyle name="好_40-专项应付款(空白模板) 10 2 3" xfId="29488"/>
    <cellStyle name="好_40-专项应付款(空白模板) 10 2 4" xfId="29489"/>
    <cellStyle name="好_40-专项应付款(空白模板) 10_附注表一（财务报表）" xfId="29490"/>
    <cellStyle name="好_40-专项应付款(空白模板) 17" xfId="29491"/>
    <cellStyle name="好_40-专项应付款(空白模板) 22" xfId="29492"/>
    <cellStyle name="好_40-专项应付款(空白模板) 10_明细表" xfId="29493"/>
    <cellStyle name="好_40-专项应付款(空白模板) 17 2" xfId="29494"/>
    <cellStyle name="好_40-专项应付款(空白模板) 10_明细表 2" xfId="29495"/>
    <cellStyle name="好_40-专项应付款(空白模板) 17 3" xfId="29496"/>
    <cellStyle name="好_40-专项应付款(空白模板) 10_明细表 3" xfId="29497"/>
    <cellStyle name="好_40-专项应付款(空白模板) 11" xfId="29498"/>
    <cellStyle name="好_40-专项应付款(空白模板) 11 2" xfId="29499"/>
    <cellStyle name="好_40-专项应付款(空白模板) 11 2 3" xfId="29500"/>
    <cellStyle name="好_40-专项应付款(空白模板) 11 2 4" xfId="29501"/>
    <cellStyle name="好_40-专项应付款(空白模板) 11 2 5" xfId="29502"/>
    <cellStyle name="好_40-专项应付款(空白模板) 11 3" xfId="29503"/>
    <cellStyle name="好_G-应收账款 4_明细表 4" xfId="29504"/>
    <cellStyle name="好_40-专项应付款(空白模板) 11_附注表一（财务报表）" xfId="29505"/>
    <cellStyle name="好_40-专项应付款(空白模板) 11_明细表 2" xfId="29506"/>
    <cellStyle name="好_40-专项应付款(空白模板) 11_明细表 3" xfId="29507"/>
    <cellStyle name="好_40-专项应付款(空白模板) 11_明细表 4" xfId="29508"/>
    <cellStyle name="好_40-专项应付款(空白模板) 11_明细表 5" xfId="29509"/>
    <cellStyle name="好_40-专项应付款(空白模板) 12 2" xfId="29510"/>
    <cellStyle name="好_40-专项应付款(空白模板) 12 2 3" xfId="29511"/>
    <cellStyle name="好_40-专项应付款(空白模板) 12 2 4" xfId="29512"/>
    <cellStyle name="好_40-专项应付款(空白模板) 12 2 5" xfId="29513"/>
    <cellStyle name="好_40-专项应付款(空白模板) 12_明细表" xfId="29514"/>
    <cellStyle name="好_40-专项应付款(空白模板) 13" xfId="29515"/>
    <cellStyle name="好_40-专项应付款(空白模板) 13 2" xfId="29516"/>
    <cellStyle name="好_40-专项应付款(空白模板) 13 2 4" xfId="29517"/>
    <cellStyle name="好_40-专项应付款(空白模板) 13 2 5" xfId="29518"/>
    <cellStyle name="好_40-专项应付款(空白模板) 13 3" xfId="29519"/>
    <cellStyle name="好_40-专项应付款(空白模板) 13_附注表一（财务报表）" xfId="29520"/>
    <cellStyle name="好_40-专项应付款(空白模板) 13_明细表 2" xfId="29521"/>
    <cellStyle name="好_40-专项应付款(空白模板) 13_明细表 3" xfId="29522"/>
    <cellStyle name="好_40-专项应付款(空白模板) 13_明细表 4" xfId="29523"/>
    <cellStyle name="好_40-专项应付款(空白模板) 13_明细表 5" xfId="29524"/>
    <cellStyle name="好_40-专项应付款(空白模板) 14" xfId="29525"/>
    <cellStyle name="好_40-专项应付款(空白模板) 14 2" xfId="29526"/>
    <cellStyle name="好_40-专项应付款(空白模板) 14 2 2" xfId="29527"/>
    <cellStyle name="好_40-专项应付款(空白模板) 14 2 3" xfId="29528"/>
    <cellStyle name="好_40-专项应付款(空白模板) 14 2 4" xfId="29529"/>
    <cellStyle name="好_40-专项应付款(空白模板) 14 2 5" xfId="29530"/>
    <cellStyle name="好_40-专项应付款(空白模板) 14 3" xfId="29531"/>
    <cellStyle name="好_40-专项应付款(空白模板) 14_附注表一（财务报表）" xfId="29532"/>
    <cellStyle name="好_40-专项应付款(空白模板) 15" xfId="29533"/>
    <cellStyle name="好_40-专项应付款(空白模板) 20" xfId="29534"/>
    <cellStyle name="好_40-专项应付款(空白模板) 15 2" xfId="29535"/>
    <cellStyle name="好_40-专项应付款(空白模板) 15 2 2" xfId="29536"/>
    <cellStyle name="好_40-专项应付款(空白模板) 15 2 3" xfId="29537"/>
    <cellStyle name="好_40-专项应付款(空白模板) 15 2 5" xfId="29538"/>
    <cellStyle name="好_40-专项应付款(空白模板) 15 3" xfId="29539"/>
    <cellStyle name="好_40-专项应付款(空白模板) 16" xfId="29540"/>
    <cellStyle name="好_40-专项应付款(空白模板) 21" xfId="29541"/>
    <cellStyle name="好_40-专项应付款(空白模板) 16 2" xfId="29542"/>
    <cellStyle name="好_40-专项应付款(空白模板) 16 3" xfId="29543"/>
    <cellStyle name="好_40-专项应付款(空白模板) 16 5" xfId="29544"/>
    <cellStyle name="好_40-专项应付款(空白模板) 16 6" xfId="29545"/>
    <cellStyle name="好_40-专项应付款(空白模板) 17 2 2" xfId="29546"/>
    <cellStyle name="好_40-专项应付款(空白模板) 17 2 4" xfId="29547"/>
    <cellStyle name="好_ZA0货币资金审定表  2 3" xfId="29548"/>
    <cellStyle name="好_40-专项应付款(空白模板) 18 4" xfId="29549"/>
    <cellStyle name="好_底稿设置宏_大信底稿目录 5_明细表" xfId="29550"/>
    <cellStyle name="好_40-专项应付款(空白模板) 2" xfId="29551"/>
    <cellStyle name="好_底稿设置宏_大信底稿目录 5_明细表 2" xfId="29552"/>
    <cellStyle name="好_40-专项应付款(空白模板) 2 2" xfId="29553"/>
    <cellStyle name="好_40-专项应付款(空白模板) 2 2 2" xfId="29554"/>
    <cellStyle name="好_54-财务费用（空白模板） 14 2 4" xfId="29555"/>
    <cellStyle name="好_40-专项应付款(空白模板) 2 2 3" xfId="29556"/>
    <cellStyle name="好_54-财务费用（空白模板） 14 2 5" xfId="29557"/>
    <cellStyle name="好_40-专项应付款(空白模板) 2 2 4" xfId="29558"/>
    <cellStyle name="好_54-财务费用（空白模板） 6 2 2" xfId="29559"/>
    <cellStyle name="好_40-专项应付款(空白模板) 2 2 5" xfId="29560"/>
    <cellStyle name="好_底稿设置宏_大信底稿目录 5_明细表 3" xfId="29561"/>
    <cellStyle name="好_40-专项应付款(空白模板) 2 3" xfId="29562"/>
    <cellStyle name="好_40-专项应付款(空白模板) 2 3 3" xfId="29563"/>
    <cellStyle name="好_底稿设置宏_大信底稿目录 5_明细表 4" xfId="29564"/>
    <cellStyle name="好_40-专项应付款(空白模板) 2 4" xfId="29565"/>
    <cellStyle name="好_底稿设置宏_大信底稿目录 5_明细表 5" xfId="29566"/>
    <cellStyle name="好_40-专项应付款(空白模板) 2 5" xfId="29567"/>
    <cellStyle name="好_底稿设置宏_大信底稿目录 6_附注表一（财务报表）" xfId="29568"/>
    <cellStyle name="好_40-专项应付款(空白模板) 2 6" xfId="29569"/>
    <cellStyle name="好_40-专项应付款(空白模板) 2_明细表 3" xfId="29570"/>
    <cellStyle name="好_40-专项应付款(空白模板) 2_明细表 4" xfId="29571"/>
    <cellStyle name="好_40-专项应付款(空白模板) 28" xfId="29572"/>
    <cellStyle name="好_40-专项应付款(空白模板) 33" xfId="29573"/>
    <cellStyle name="好_40-专项应付款(空白模板) 29" xfId="29574"/>
    <cellStyle name="好_40-专项应付款(空白模板) 34" xfId="29575"/>
    <cellStyle name="好_40-专项应付款(空白模板) 3 2" xfId="29576"/>
    <cellStyle name="好_40-专项应付款(空白模板) 3 3" xfId="29577"/>
    <cellStyle name="好_40-专项应付款(空白模板) 3 5" xfId="29578"/>
    <cellStyle name="好_40-专项应付款(空白模板) 3_附注表一（财务报表）" xfId="29579"/>
    <cellStyle name="好_40-专项应付款(空白模板) 3_明细表 2" xfId="29580"/>
    <cellStyle name="好_40-专项应付款(空白模板) 3_明细表 3" xfId="29581"/>
    <cellStyle name="好_40-专项应付款(空白模板) 3_明细表 4" xfId="29582"/>
    <cellStyle name="好_40-专项应付款(空白模板) 3_明细表 5" xfId="29583"/>
    <cellStyle name="好_40-专项应付款(空白模板) 4" xfId="29584"/>
    <cellStyle name="好_40-专项应付款(空白模板) 4 2 2" xfId="29585"/>
    <cellStyle name="好_54-财务费用（空白模板） 16 2 4" xfId="29586"/>
    <cellStyle name="好_40-专项应付款(空白模板) 4 3" xfId="29587"/>
    <cellStyle name="好_40-专项应付款(空白模板) 4 3 2" xfId="29588"/>
    <cellStyle name="好_40-专项应付款(空白模板) 4_明细表 3" xfId="29589"/>
    <cellStyle name="好_40-专项应付款(空白模板) 4_明细表 4" xfId="29590"/>
    <cellStyle name="好_40-专项应付款(空白模板) 5" xfId="29591"/>
    <cellStyle name="好_专项应付款 17 5" xfId="29592"/>
    <cellStyle name="好_40-专项应付款(空白模板) 5_明细表" xfId="29593"/>
    <cellStyle name="好_40-专项应付款(空白模板) 5_明细表 3" xfId="29594"/>
    <cellStyle name="好_40-专项应付款(空白模板) 5_明细表 4" xfId="29595"/>
    <cellStyle name="好_60-所得税费用（空白模板） 8 2" xfId="29596"/>
    <cellStyle name="好_40-专项应付款(空白模板) 5_明细表 5" xfId="29597"/>
    <cellStyle name="好_40-专项应付款(空白模板) 6" xfId="29598"/>
    <cellStyle name="好_40-专项应付款(空白模板) 6 2" xfId="29599"/>
    <cellStyle name="好_40-专项应付款(空白模板) 6 2 2" xfId="29600"/>
    <cellStyle name="好_40-专项应付款(空白模板) 6 2 3" xfId="29601"/>
    <cellStyle name="好_40-专项应付款(空白模板) 6 2 4" xfId="29602"/>
    <cellStyle name="好_40-专项应付款(空白模板) 6 2 5" xfId="29603"/>
    <cellStyle name="好_40-专项应付款(空白模板) 6 3" xfId="29604"/>
    <cellStyle name="好_40-专项应付款(空白模板) 6 3 2" xfId="29605"/>
    <cellStyle name="好_40-专项应付款(空白模板) 6 5" xfId="29606"/>
    <cellStyle name="好_40-专项应付款(空白模板) 6_明细表 5" xfId="29607"/>
    <cellStyle name="好_40-专项应付款(空白模板) 7 2" xfId="29608"/>
    <cellStyle name="好_40-专项应付款(空白模板) 7 2 2" xfId="29609"/>
    <cellStyle name="好_40-专项应付款(空白模板) 7 2 3" xfId="29610"/>
    <cellStyle name="好_40-专项应付款(空白模板) 7 2 5" xfId="29611"/>
    <cellStyle name="好_40-专项应付款(空白模板) 7 3" xfId="29612"/>
    <cellStyle name="好_40-专项应付款(空白模板) 7_明细表 3" xfId="29613"/>
    <cellStyle name="好_40-专项应付款(空白模板) 7_明细表 4" xfId="29614"/>
    <cellStyle name="好_40-专项应付款(空白模板) 7_明细表 5" xfId="29615"/>
    <cellStyle name="好_40-专项应付款(空白模板) 8" xfId="29616"/>
    <cellStyle name="好_40-专项应付款(空白模板) 8 2" xfId="29617"/>
    <cellStyle name="好_40-专项应付款(空白模板) 8 2 2" xfId="29618"/>
    <cellStyle name="好_40-专项应付款(空白模板) 8 2 3" xfId="29619"/>
    <cellStyle name="好_40-专项应付款(空白模板) 8 2 4" xfId="29620"/>
    <cellStyle name="好_40-专项应付款(空白模板) 8 2 5" xfId="29621"/>
    <cellStyle name="好_40-专项应付款(空白模板) 8_附注表一（财务报表）" xfId="29622"/>
    <cellStyle name="好_40-专项应付款(空白模板) 8_明细表 3" xfId="29623"/>
    <cellStyle name="好_40-专项应付款(空白模板) 8_明细表 4" xfId="29624"/>
    <cellStyle name="好_40-专项应付款(空白模板) 8_明细表 5" xfId="29625"/>
    <cellStyle name="好_40-专项应付款(空白模板) 9_附注表一（财务报表）" xfId="29626"/>
    <cellStyle name="好_40-专项应付款(空白模板) 9_明细表" xfId="29627"/>
    <cellStyle name="好_40-专项应付款(空白模板)_明细表" xfId="29628"/>
    <cellStyle name="好_40-专项应付款(空白模板)_明细表 2" xfId="29629"/>
    <cellStyle name="好_财务费用 6 4" xfId="29630"/>
    <cellStyle name="好_40-专项应付款(空白模板)_明细表 2 2" xfId="29631"/>
    <cellStyle name="好_40-专项应付款(空白模板)_明细表 2 5" xfId="29632"/>
    <cellStyle name="好_40-专项应付款(空白模板)_明细表 3" xfId="29633"/>
    <cellStyle name="好_40-专项应付款(空白模板)_明细表 4" xfId="29634"/>
    <cellStyle name="好_40-专项应付款(空白模板)_明细表 5" xfId="29635"/>
    <cellStyle name="好_财务费用 3_明细表 2" xfId="29636"/>
    <cellStyle name="好_40-专项应付款(空白模板)_明细表 6" xfId="29637"/>
    <cellStyle name="好_应收利息 2 2" xfId="29638"/>
    <cellStyle name="好_40-专项应付款(空白模板)_明细表_1" xfId="29639"/>
    <cellStyle name="好_应收利息 2 2 2" xfId="29640"/>
    <cellStyle name="好_40-专项应付款(空白模板)_明细表_1 2" xfId="29641"/>
    <cellStyle name="好_应收利息 2 2 3" xfId="29642"/>
    <cellStyle name="好_40-专项应付款(空白模板)_明细表_1 3" xfId="29643"/>
    <cellStyle name="好_应收利息 2 2 4" xfId="29644"/>
    <cellStyle name="好_40-专项应付款(空白模板)_明细表_1 4" xfId="29645"/>
    <cellStyle name="好_应收利息 2 2 5" xfId="29646"/>
    <cellStyle name="好_40-专项应付款(空白模板)_明细表_1 5" xfId="29647"/>
    <cellStyle name="好_41-预计负债（空白模板）" xfId="29648"/>
    <cellStyle name="好_41-预计负债（空白模板） 3 2" xfId="29649"/>
    <cellStyle name="好_41-预计负债（空白模板） 4" xfId="29650"/>
    <cellStyle name="好_42-递延所得税负债（空白模板） 2 2" xfId="29651"/>
    <cellStyle name="好_42-递延所得税负债（空白模板） 4" xfId="29652"/>
    <cellStyle name="好_45-股本（实收资本）（空白模板） 2" xfId="29653"/>
    <cellStyle name="好_45-股本（实收资本）（空白模板） 2 2" xfId="29654"/>
    <cellStyle name="好_45-股本（实收资本）（空白模板） 3 2" xfId="29655"/>
    <cellStyle name="好_45-股本（实收资本）（空白模板） 4" xfId="29656"/>
    <cellStyle name="好_46-资本公积（空白模板） 2" xfId="29657"/>
    <cellStyle name="好_46-资本公积（空白模板） 2 2" xfId="29658"/>
    <cellStyle name="好_资产负债标准底稿_大信底稿目录 10_明细表 2" xfId="29659"/>
    <cellStyle name="好_46-资本公积（空白模板） 3" xfId="29660"/>
    <cellStyle name="好_资产负债标准底稿_大信底稿目录 10_明细表 3" xfId="29661"/>
    <cellStyle name="好_应收利息" xfId="29662"/>
    <cellStyle name="好_46-资本公积（空白模板） 4" xfId="29663"/>
    <cellStyle name="好_47-盈余公积（空白模板）" xfId="29664"/>
    <cellStyle name="好_47-盈余公积（空白模板） 4" xfId="29665"/>
    <cellStyle name="好_48-未分配利润（空白模板）" xfId="29666"/>
    <cellStyle name="好_48-未分配利润（空白模板） 3" xfId="29667"/>
    <cellStyle name="好_48-未分配利润（空白模板） 4" xfId="29668"/>
    <cellStyle name="好_50-营业成本（空白模板） 13 2 2" xfId="29669"/>
    <cellStyle name="好_48-未分配利润（空白模板）_附注表一（财务报表）" xfId="29670"/>
    <cellStyle name="好_51-营业税金及附加（空白模板） 6_明细表 4" xfId="29671"/>
    <cellStyle name="好_48-未分配利润（空白模板）_明细表" xfId="29672"/>
    <cellStyle name="好_49-营业收入（空白模板）" xfId="29673"/>
    <cellStyle name="好_49-营业收入（空白模板） 10" xfId="29674"/>
    <cellStyle name="好_49-营业收入（空白模板） 10 2" xfId="29675"/>
    <cellStyle name="好_49-营业收入（空白模板） 10 3" xfId="29676"/>
    <cellStyle name="好_49-营业收入（空白模板） 10 4" xfId="29677"/>
    <cellStyle name="好_49-营业收入（空白模板） 10_明细表" xfId="29678"/>
    <cellStyle name="好_49-营业收入（空白模板） 10_明细表 2" xfId="29679"/>
    <cellStyle name="好_49-营业收入（空白模板） 10_明细表 3" xfId="29680"/>
    <cellStyle name="好_49-营业收入（空白模板） 10_明细表 4" xfId="29681"/>
    <cellStyle name="好_49-营业收入（空白模板） 10_明细表 5" xfId="29682"/>
    <cellStyle name="好_49-营业收入（空白模板） 11" xfId="29683"/>
    <cellStyle name="好_资产负债标准底稿_大信底稿目录 5_明细表 5" xfId="29684"/>
    <cellStyle name="好_49-营业收入（空白模板） 11 2" xfId="29685"/>
    <cellStyle name="好_49-营业收入（空白模板） 11 3" xfId="29686"/>
    <cellStyle name="好_49-营业收入（空白模板） 11_明细表" xfId="29687"/>
    <cellStyle name="好_49-营业收入（空白模板） 12 2 4" xfId="29688"/>
    <cellStyle name="好_49-营业收入（空白模板） 12 2 5" xfId="29689"/>
    <cellStyle name="好_49-营业收入（空白模板） 12_明细表" xfId="29690"/>
    <cellStyle name="好_49-营业收入（空白模板） 12_明细表 3" xfId="29691"/>
    <cellStyle name="好_49-营业收入（空白模板） 12_明细表 4" xfId="29692"/>
    <cellStyle name="好_ZY递延所得税资产 2 2 3" xfId="29693"/>
    <cellStyle name="好_51-营业税金及附加（空白模板） 6_明细表 2" xfId="29694"/>
    <cellStyle name="好_49-营业收入（空白模板） 13 2 4" xfId="29695"/>
    <cellStyle name="好_51-营业税金及附加（空白模板） 6_明细表 3" xfId="29696"/>
    <cellStyle name="好_49-营业收入（空白模板） 13 2 5" xfId="29697"/>
    <cellStyle name="好_49-营业收入（空白模板） 14 2 4" xfId="29698"/>
    <cellStyle name="好_49-营业收入（空白模板） 14 3" xfId="29699"/>
    <cellStyle name="好_49-营业收入（空白模板） 14_明细表 3" xfId="29700"/>
    <cellStyle name="好_49-营业收入（空白模板） 14_明细表 5" xfId="29701"/>
    <cellStyle name="好_49-营业收入（空白模板） 15 2 4" xfId="29702"/>
    <cellStyle name="好_49-营业收入（空白模板） 15 2 5" xfId="29703"/>
    <cellStyle name="好_49-营业收入（空白模板） 15 3" xfId="29704"/>
    <cellStyle name="好_大信底稿目录 3_明细表 4" xfId="29705"/>
    <cellStyle name="好_49-营业收入（空白模板） 15_明细表" xfId="29706"/>
    <cellStyle name="好_49-营业收入（空白模板） 15_明细表 3" xfId="29707"/>
    <cellStyle name="好_49-营业收入（空白模板） 15_明细表 4" xfId="29708"/>
    <cellStyle name="好_49-营业收入（空白模板） 15_明细表 5" xfId="29709"/>
    <cellStyle name="好_49-营业收入（空白模板） 16 2 4" xfId="29710"/>
    <cellStyle name="好_49-营业收入（空白模板） 17 2 4" xfId="29711"/>
    <cellStyle name="好_49-营业收入（空白模板） 17 5" xfId="29712"/>
    <cellStyle name="好_49-营业收入（空白模板） 17 6" xfId="29713"/>
    <cellStyle name="好_FL 应付债券 2" xfId="29714"/>
    <cellStyle name="好_49-营业收入（空白模板） 2 2 2" xfId="29715"/>
    <cellStyle name="好_49-营业收入（空白模板） 2 2 2 2" xfId="29716"/>
    <cellStyle name="好_49-营业收入（空白模板） 2 2 3" xfId="29717"/>
    <cellStyle name="好_应收利息 10" xfId="29718"/>
    <cellStyle name="好_49-营业收入（空白模板） 2 3 2" xfId="29719"/>
    <cellStyle name="好_专项应付款 14_附注表一（财务报表）" xfId="29720"/>
    <cellStyle name="好_49-营业收入（空白模板） 2_明细表 2" xfId="29721"/>
    <cellStyle name="好_49-营业收入（空白模板） 2_明细表 3" xfId="29722"/>
    <cellStyle name="好_49-营业收入（空白模板） 2_明细表 4" xfId="29723"/>
    <cellStyle name="好_49-营业收入（空白模板） 25" xfId="29724"/>
    <cellStyle name="好_49-营业收入（空白模板） 30" xfId="29725"/>
    <cellStyle name="好_49-营业收入（空白模板） 26" xfId="29726"/>
    <cellStyle name="好_49-营业收入（空白模板） 31" xfId="29727"/>
    <cellStyle name="好_49-营业收入（空白模板） 27" xfId="29728"/>
    <cellStyle name="好_49-营业收入（空白模板） 32" xfId="29729"/>
    <cellStyle name="好_49-营业收入（空白模板） 28" xfId="29730"/>
    <cellStyle name="好_49-营业收入（空白模板） 33" xfId="29731"/>
    <cellStyle name="好_49-营业收入（空白模板） 29" xfId="29732"/>
    <cellStyle name="好_49-营业收入（空白模板） 34" xfId="29733"/>
    <cellStyle name="好_49-营业收入（空白模板） 3 2" xfId="29734"/>
    <cellStyle name="好_Sales breakdown by customer - 新滔 (to KPMG)" xfId="29735"/>
    <cellStyle name="好_49-营业收入（空白模板） 3 3" xfId="29736"/>
    <cellStyle name="好_Sales breakdown by customer - 新滔 (to KPMG) 2" xfId="29737"/>
    <cellStyle name="好_49-营业收入（空白模板） 3 3 2" xfId="29738"/>
    <cellStyle name="好_附注表一（财务报表） 2" xfId="29739"/>
    <cellStyle name="好_49-营业收入（空白模板） 3 4" xfId="29740"/>
    <cellStyle name="好_49-营业收入（空白模板） 3_附注表一（财务报表）" xfId="29741"/>
    <cellStyle name="好_49-营业收入（空白模板） 3_明细表" xfId="29742"/>
    <cellStyle name="好_49-营业收入（空白模板） 3_明细表 2" xfId="29743"/>
    <cellStyle name="好_49-营业收入（空白模板） 3_明细表 3" xfId="29744"/>
    <cellStyle name="好_49-营业收入（空白模板） 3_明细表 4" xfId="29745"/>
    <cellStyle name="好_49-营业收入（空白模板） 3_明细表 5" xfId="29746"/>
    <cellStyle name="好_49-营业收入（空白模板） 4 2 5" xfId="29747"/>
    <cellStyle name="好_49-营业收入（空白模板） 4_附注表一（财务报表）" xfId="29748"/>
    <cellStyle name="好_49-营业收入（空白模板） 4_明细表" xfId="29749"/>
    <cellStyle name="好_49-营业收入（空白模板） 4_明细表 2" xfId="29750"/>
    <cellStyle name="好_49-营业收入（空白模板） 4_明细表 5" xfId="29751"/>
    <cellStyle name="好_49-营业收入（空白模板） 5 2 4" xfId="29752"/>
    <cellStyle name="好_49-营业收入（空白模板） 5 4" xfId="29753"/>
    <cellStyle name="好_49-营业收入（空白模板） 5_附注表一（财务报表）" xfId="29754"/>
    <cellStyle name="好_49-营业收入（空白模板） 5_明细表" xfId="29755"/>
    <cellStyle name="好_49-营业收入（空白模板） 5_明细表 2" xfId="29756"/>
    <cellStyle name="好_49-营业收入（空白模板） 6 2" xfId="29757"/>
    <cellStyle name="好_49-营业收入（空白模板） 6 2 3" xfId="29758"/>
    <cellStyle name="好_49-营业收入（空白模板） 6 2 4" xfId="29759"/>
    <cellStyle name="好_49-营业收入（空白模板） 6 2 5" xfId="29760"/>
    <cellStyle name="好_49-营业收入（空白模板） 6 2 6" xfId="29761"/>
    <cellStyle name="好_49-营业收入（空白模板） 6 3" xfId="29762"/>
    <cellStyle name="好_49-营业收入（空白模板） 6 4" xfId="29763"/>
    <cellStyle name="好_银行函证结果汇总表 11_附注表一（财务报表）" xfId="29764"/>
    <cellStyle name="好_49-营业收入（空白模板） 6 5" xfId="29765"/>
    <cellStyle name="好_49-营业收入（空白模板） 6_附注表一（财务报表）" xfId="29766"/>
    <cellStyle name="好_49-营业收入（空白模板） 7" xfId="29767"/>
    <cellStyle name="好_专项应付款 10 2 4" xfId="29768"/>
    <cellStyle name="好_49-营业收入（空白模板） 7 2" xfId="29769"/>
    <cellStyle name="好_49-营业收入（空白模板） 7 2 2" xfId="29770"/>
    <cellStyle name="好_49-营业收入（空白模板） 7 2 3" xfId="29771"/>
    <cellStyle name="好_49-营业收入（空白模板） 7 2 5" xfId="29772"/>
    <cellStyle name="好_专项应付款 10 2 5" xfId="29773"/>
    <cellStyle name="好_S4销售费用" xfId="29774"/>
    <cellStyle name="好_49-营业收入（空白模板） 7 3" xfId="29775"/>
    <cellStyle name="好_49-营业收入（空白模板） 7 4" xfId="29776"/>
    <cellStyle name="千位分隔 2 4 8 3" xfId="29777"/>
    <cellStyle name="好_49-营业收入（空白模板） 7_附注表一（财务报表）" xfId="29778"/>
    <cellStyle name="好_49-营业收入（空白模板） 7_明细表" xfId="29779"/>
    <cellStyle name="好_49-营业收入（空白模板） 7_明细表 3" xfId="29780"/>
    <cellStyle name="好_49-营业收入（空白模板） 7_明细表 4" xfId="29781"/>
    <cellStyle name="好_49-营业收入（空白模板） 7_明细表 5" xfId="29782"/>
    <cellStyle name="好_49-营业收入（空白模板） 8 2" xfId="29783"/>
    <cellStyle name="好_49-营业收入（空白模板） 8 2 2" xfId="29784"/>
    <cellStyle name="好_49-营业收入（空白模板） 8 2 3" xfId="29785"/>
    <cellStyle name="好_49-营业收入（空白模板） 8 2 4" xfId="29786"/>
    <cellStyle name="好_49-营业收入（空白模板） 8 2 5" xfId="29787"/>
    <cellStyle name="好_49-营业收入（空白模板） 8 3" xfId="29788"/>
    <cellStyle name="好_49-营业收入（空白模板） 8 4" xfId="29789"/>
    <cellStyle name="好_49-营业收入（空白模板） 8_附注表一（财务报表）" xfId="29790"/>
    <cellStyle name="好_49-营业收入（空白模板） 8_明细表 2" xfId="29791"/>
    <cellStyle name="好_54-财务费用（空白模板） 11 2" xfId="29792"/>
    <cellStyle name="好_49-营业收入（空白模板） 8_明细表 3" xfId="29793"/>
    <cellStyle name="好_54-财务费用（空白模板） 11 3" xfId="29794"/>
    <cellStyle name="好_49-营业收入（空白模板） 8_明细表 4" xfId="29795"/>
    <cellStyle name="好_49-营业收入（空白模板） 9 2" xfId="29796"/>
    <cellStyle name="好_49-营业收入（空白模板） 9 2 3" xfId="29797"/>
    <cellStyle name="好_49-营业收入（空白模板） 9 2 5" xfId="29798"/>
    <cellStyle name="好_49-营业收入（空白模板） 9 3" xfId="29799"/>
    <cellStyle name="好_无形资产_附注表一（财务报表）" xfId="29800"/>
    <cellStyle name="好_49-营业收入（空白模板） 9 4" xfId="29801"/>
    <cellStyle name="好_49-营业收入（空白模板） 9_附注表一（财务报表）" xfId="29802"/>
    <cellStyle name="好_49-营业收入（空白模板） 9_明细表" xfId="29803"/>
    <cellStyle name="好_50-营业成本（空白模板） 2 5" xfId="29804"/>
    <cellStyle name="好_49-营业收入（空白模板） 9_明细表 4" xfId="29805"/>
    <cellStyle name="好_ZA0货币资金审定表 _Book2 2" xfId="29806"/>
    <cellStyle name="好_50-营业成本（空白模板） 2 6" xfId="29807"/>
    <cellStyle name="好_49-营业收入（空白模板） 9_明细表 5" xfId="29808"/>
    <cellStyle name="好_49-营业收入（空白模板）_3固定资产 2" xfId="29809"/>
    <cellStyle name="好_49-营业收入（空白模板）_固定资产 2" xfId="29810"/>
    <cellStyle name="好_49-营业收入（空白模板）_货币资金" xfId="29811"/>
    <cellStyle name="好_资产负债标准底稿_大信底稿目录 14 2 2" xfId="29812"/>
    <cellStyle name="好_55-资产减值损失（空白模板） 6 5" xfId="29813"/>
    <cellStyle name="好_49-营业收入（空白模板）_货币资金 2" xfId="29814"/>
    <cellStyle name="好_49-营业收入（空白模板）_明细表 3" xfId="29815"/>
    <cellStyle name="好_49-营业收入（空白模板）_明细表 4" xfId="29816"/>
    <cellStyle name="好_49-营业收入（空白模板）_明细表 5" xfId="29817"/>
    <cellStyle name="好_49-营业收入（空白模板）_明细表 6" xfId="29818"/>
    <cellStyle name="好_49-营业收入（空白模板）_明细表_1" xfId="29819"/>
    <cellStyle name="好_49-营业收入（空白模板）_明细表_1 2" xfId="29820"/>
    <cellStyle name="好_49-营业收入（空白模板）_明细表_1 3" xfId="29821"/>
    <cellStyle name="好_4-应收账款（空白模板） 10" xfId="29822"/>
    <cellStyle name="好_4-应收账款（空白模板） 10 2" xfId="29823"/>
    <cellStyle name="好_复件 固定资产 2_明细表" xfId="29824"/>
    <cellStyle name="好_4-应收账款（空白模板） 10 3" xfId="29825"/>
    <cellStyle name="好_4-应收账款（空白模板） 10 4" xfId="29826"/>
    <cellStyle name="好_4-应收账款（空白模板） 10_附注表一（财务报表）" xfId="29827"/>
    <cellStyle name="好_4-应收账款（空白模板） 10_明细表 4" xfId="29828"/>
    <cellStyle name="好_4-应收账款（空白模板） 10_明细表 5" xfId="29829"/>
    <cellStyle name="好_4-应收账款（空白模板） 11" xfId="29830"/>
    <cellStyle name="好_4-应收账款（空白模板） 11 2" xfId="29831"/>
    <cellStyle name="好_4-应收账款（空白模板） 11 3" xfId="29832"/>
    <cellStyle name="好_4-应收账款（空白模板） 11_明细表 5" xfId="29833"/>
    <cellStyle name="好_4-应收账款（空白模板） 12" xfId="29834"/>
    <cellStyle name="好_短期借款 4 2 2" xfId="29835"/>
    <cellStyle name="好_4-应收账款（空白模板） 12 2 5" xfId="29836"/>
    <cellStyle name="好_4-应收账款（空白模板） 12 3" xfId="29837"/>
    <cellStyle name="好_4-应收账款（空白模板） 12_明细表 4" xfId="29838"/>
    <cellStyle name="好_4-应收账款（空白模板） 13" xfId="29839"/>
    <cellStyle name="好_底稿设置宏_大信底稿目录 13_明细表 5" xfId="29840"/>
    <cellStyle name="好_4-应收账款（空白模板） 13 2" xfId="29841"/>
    <cellStyle name="好_4-应收账款（空白模板） 13 3" xfId="29842"/>
    <cellStyle name="好_4-应收账款（空白模板） 13_明细表 4" xfId="29843"/>
    <cellStyle name="好_FJ其他应付款" xfId="29844"/>
    <cellStyle name="好_4-应收账款（空白模板） 14 2" xfId="29845"/>
    <cellStyle name="好_4-应收账款（空白模板） 14 3" xfId="29846"/>
    <cellStyle name="好_4-应收账款（空白模板） 15 2" xfId="29847"/>
    <cellStyle name="好_4-应收账款（空白模板） 15 3" xfId="29848"/>
    <cellStyle name="千位分隔[0] 3 2 2 2 2" xfId="29849"/>
    <cellStyle name="好_4-应收账款（空白模板） 15_附注表一（财务报表）" xfId="29850"/>
    <cellStyle name="好_4-应收账款（空白模板） 16 2" xfId="29851"/>
    <cellStyle name="好_4-应收账款（空白模板） 16 2 2" xfId="29852"/>
    <cellStyle name="好_短期借款 8 2 2" xfId="29853"/>
    <cellStyle name="好_4-应收账款（空白模板） 16 2 5" xfId="29854"/>
    <cellStyle name="好_51-营业税金及附加（空白模板） 2 2 2" xfId="29855"/>
    <cellStyle name="好_4-应收账款（空白模板） 16 3" xfId="29856"/>
    <cellStyle name="好_51-营业税金及附加（空白模板） 2 2 3" xfId="29857"/>
    <cellStyle name="好_4-应收账款（空白模板） 16 4" xfId="29858"/>
    <cellStyle name="好_51-营业税金及附加（空白模板） 2 2 4" xfId="29859"/>
    <cellStyle name="好_4-应收账款（空白模板） 16 5" xfId="29860"/>
    <cellStyle name="好_4-应收账款（空白模板） 18 2" xfId="29861"/>
    <cellStyle name="好_4-应收账款（空白模板） 18 3" xfId="29862"/>
    <cellStyle name="好_4-应收账款（空白模板） 18 4" xfId="29863"/>
    <cellStyle name="好_4-应收账款（空白模板） 18 5" xfId="29864"/>
    <cellStyle name="好_4-应收账款（空白模板） 2" xfId="29865"/>
    <cellStyle name="好_4-应收账款（空白模板） 2 2" xfId="29866"/>
    <cellStyle name="好_4-应收账款（空白模板） 2 2 5" xfId="29867"/>
    <cellStyle name="好_4-应收账款（空白模板） 2 3" xfId="29868"/>
    <cellStyle name="好_4-应收账款（空白模板） 2 3 2" xfId="29869"/>
    <cellStyle name="好_4-应收账款（空白模板） 2 4" xfId="29870"/>
    <cellStyle name="好_4-应收账款（空白模板） 2 5" xfId="29871"/>
    <cellStyle name="好_4-应收账款（空白模板） 2_明细表 2" xfId="29872"/>
    <cellStyle name="好_4-应收账款（空白模板） 2_明细表 3" xfId="29873"/>
    <cellStyle name="好_4-应收账款（空白模板） 28" xfId="29874"/>
    <cellStyle name="好_4-应收账款（空白模板） 33" xfId="29875"/>
    <cellStyle name="好_4-应收账款（空白模板） 3 3" xfId="29876"/>
    <cellStyle name="好_4-应收账款（空白模板） 3 3 2" xfId="29877"/>
    <cellStyle name="好_4-应收账款（空白模板） 3 4" xfId="29878"/>
    <cellStyle name="好_4-应收账款（空白模板） 3 5" xfId="29879"/>
    <cellStyle name="好_4-应收账款（空白模板） 3_明细表 3" xfId="29880"/>
    <cellStyle name="好_4-应收账款（空白模板） 3_明细表 4" xfId="29881"/>
    <cellStyle name="好_4-应收账款（空白模板） 3_明细表 5" xfId="29882"/>
    <cellStyle name="好_4-应收账款（空白模板） 4 2" xfId="29883"/>
    <cellStyle name="好_4-应收账款（空白模板） 4 2 2" xfId="29884"/>
    <cellStyle name="好_底稿设置宏 3 4" xfId="29885"/>
    <cellStyle name="好_4-应收账款（空白模板） 4 2 5" xfId="29886"/>
    <cellStyle name="好_4-应收账款（空白模板） 4 3" xfId="29887"/>
    <cellStyle name="好_4-应收账款（空白模板） 4 4" xfId="29888"/>
    <cellStyle name="好_4-应收账款（空白模板） 4 5" xfId="29889"/>
    <cellStyle name="好_4-应收账款（空白模板） 5 2 4" xfId="29890"/>
    <cellStyle name="好_4-应收账款（空白模板） 5 2 5" xfId="29891"/>
    <cellStyle name="好_资产减值损失 11" xfId="29892"/>
    <cellStyle name="好_4-应收账款（空白模板） 5_附注表一（财务报表）" xfId="29893"/>
    <cellStyle name="好_4-应收账款（空白模板） 5_明细表 4" xfId="29894"/>
    <cellStyle name="好_4-应收账款（空白模板） 5_明细表 5" xfId="29895"/>
    <cellStyle name="好_4-应收账款（空白模板） 6 2" xfId="29896"/>
    <cellStyle name="好_4-应收账款（空白模板） 6 2 4" xfId="29897"/>
    <cellStyle name="好_4-应收账款（空白模板） 6 2 5" xfId="29898"/>
    <cellStyle name="好_4-应收账款（空白模板） 6 4" xfId="29899"/>
    <cellStyle name="好_4-应收账款（空白模板） 6 5" xfId="29900"/>
    <cellStyle name="好_4-应收账款（空白模板） 6_明细表 3" xfId="29901"/>
    <cellStyle name="好_4-应收账款（空白模板） 6_明细表 5" xfId="29902"/>
    <cellStyle name="好_4-应收账款（空白模板） 7 2 4" xfId="29903"/>
    <cellStyle name="好_4-应收账款（空白模板） 7 2 5" xfId="29904"/>
    <cellStyle name="好_资产负债标准底稿 3 5" xfId="29905"/>
    <cellStyle name="好_4-应收账款（空白模板） 8 2" xfId="29906"/>
    <cellStyle name="好_4-应收账款（空白模板） 8 2 2" xfId="29907"/>
    <cellStyle name="好_4-应收账款（空白模板） 8 2 3" xfId="29908"/>
    <cellStyle name="好_4-应收账款（空白模板） 8 2 4" xfId="29909"/>
    <cellStyle name="好_4-应收账款（空白模板） 8 2 5" xfId="29910"/>
    <cellStyle name="好_资产负债标准底稿 3 6" xfId="29911"/>
    <cellStyle name="好_4-应收账款（空白模板） 8 3" xfId="29912"/>
    <cellStyle name="好_4-应收账款（空白模板） 8 4" xfId="29913"/>
    <cellStyle name="好_4-应收账款（空白模板） 8_附注表一（财务报表）" xfId="29914"/>
    <cellStyle name="好_财务费用 7_明细表 2" xfId="29915"/>
    <cellStyle name="好_资产负债类底稿模版 7_明细表 2" xfId="29916"/>
    <cellStyle name="好_4-应收账款（空白模板） 9" xfId="29917"/>
    <cellStyle name="好_资产负债标准底稿 4 5" xfId="29918"/>
    <cellStyle name="好_51-营业税金及附加（空白模板） 16" xfId="29919"/>
    <cellStyle name="好_51-营业税金及附加（空白模板） 21" xfId="29920"/>
    <cellStyle name="好_4-应收账款（空白模板） 9 2" xfId="29921"/>
    <cellStyle name="好_51-营业税金及附加（空白模板） 16 3" xfId="29922"/>
    <cellStyle name="好_4-应收账款（空白模板） 9 2 3" xfId="29923"/>
    <cellStyle name="好_51-营业税金及附加（空白模板） 16 4" xfId="29924"/>
    <cellStyle name="好_4-应收账款（空白模板） 9 2 4" xfId="29925"/>
    <cellStyle name="好_4-应收账款（空白模板） 9_附注表一（财务报表）" xfId="29926"/>
    <cellStyle name="好_4-应收账款（空白模板） 9_明细表 2" xfId="29927"/>
    <cellStyle name="好_4-应收账款（空白模板）_附注表一（财务报表）" xfId="29928"/>
    <cellStyle name="好_4-应收账款（空白模板）_明细表" xfId="29929"/>
    <cellStyle name="好_4-应收账款（空白模板）_明细表 2" xfId="29930"/>
    <cellStyle name="好_4-应收账款（空白模板）_明细表 2 2" xfId="29931"/>
    <cellStyle name="好_4-应收账款（空白模板）_明细表 2 3" xfId="29932"/>
    <cellStyle name="好_4-应收账款（空白模板）_明细表 2 4" xfId="29933"/>
    <cellStyle name="好_4-应收账款（空白模板）_明细表 2 5" xfId="29934"/>
    <cellStyle name="好_4-应收账款（空白模板）_明细表 3" xfId="29935"/>
    <cellStyle name="好_4-应收账款（空白模板）_明细表 4" xfId="29936"/>
    <cellStyle name="好_4-应收账款（空白模板）_明细表 5" xfId="29937"/>
    <cellStyle name="好_4-应收账款（空白模板）_明细表 6" xfId="29938"/>
    <cellStyle name="好_FA短期借款 2" xfId="29939"/>
    <cellStyle name="好_4-应收账款（空白模板）_明细表_1" xfId="29940"/>
    <cellStyle name="好_其他应付款替代程序模板" xfId="29941"/>
    <cellStyle name="好_5、应收票据明细表" xfId="29942"/>
    <cellStyle name="好_5.2-特别风险应对底稿" xfId="29943"/>
    <cellStyle name="好_5.2-特别风险应对底稿 3" xfId="29944"/>
    <cellStyle name="好_50-营业成本（空白模板）" xfId="29945"/>
    <cellStyle name="好_50-营业成本（空白模板） 10 2" xfId="29946"/>
    <cellStyle name="好_50-营业成本（空白模板） 10 2 3" xfId="29947"/>
    <cellStyle name="好_50-营业成本（空白模板） 10 2 5" xfId="29948"/>
    <cellStyle name="好_50-营业成本（空白模板） 10 3" xfId="29949"/>
    <cellStyle name="好_50-营业成本（空白模板） 10_附注表一（财务报表）" xfId="29950"/>
    <cellStyle name="好_50-营业成本（空白模板） 10_明细表" xfId="29951"/>
    <cellStyle name="好_50-营业成本（空白模板） 10_明细表 3" xfId="29952"/>
    <cellStyle name="好_50-营业成本（空白模板） 10_明细表 4" xfId="29953"/>
    <cellStyle name="好_50-营业成本（空白模板） 10_明细表 5" xfId="29954"/>
    <cellStyle name="好_50-营业成本（空白模板） 11" xfId="29955"/>
    <cellStyle name="好_50-营业成本（空白模板） 11 2" xfId="29956"/>
    <cellStyle name="好_50-营业成本（空白模板） 11 2 2" xfId="29957"/>
    <cellStyle name="好_50-营业成本（空白模板） 11 3" xfId="29958"/>
    <cellStyle name="好_50-营业成本（空白模板） 11_附注表一（财务报表）" xfId="29959"/>
    <cellStyle name="好_50-营业成本（空白模板） 11_明细表 2" xfId="29960"/>
    <cellStyle name="好_50-营业成本（空白模板） 11_明细表 3" xfId="29961"/>
    <cellStyle name="好_50-营业成本（空白模板） 11_明细表 4" xfId="29962"/>
    <cellStyle name="好_50-营业成本（空白模板） 12" xfId="29963"/>
    <cellStyle name="好_50-营业成本（空白模板） 12 2" xfId="29964"/>
    <cellStyle name="好_50-营业成本（空白模板） 12 2 2" xfId="29965"/>
    <cellStyle name="好_50-营业成本（空白模板） 12 2 3" xfId="29966"/>
    <cellStyle name="好_底稿设置宏_大信底稿目录 13_明细表 2" xfId="29967"/>
    <cellStyle name="好_50-营业成本（空白模板） 12 2 4" xfId="29968"/>
    <cellStyle name="好_50-营业成本（空白模板） 12 3" xfId="29969"/>
    <cellStyle name="好_50-营业成本（空白模板） 12_明细表 3" xfId="29970"/>
    <cellStyle name="好_50-营业成本（空白模板） 12_明细表 5" xfId="29971"/>
    <cellStyle name="好_应收利息 2 3 2" xfId="29972"/>
    <cellStyle name="好_50-营业成本（空白模板） 13" xfId="29973"/>
    <cellStyle name="好_50-营业成本（空白模板） 13 2" xfId="29974"/>
    <cellStyle name="好_50-营业成本（空白模板） 13 2 3" xfId="29975"/>
    <cellStyle name="好_大信底稿目录 11 2" xfId="29976"/>
    <cellStyle name="好_50-营业成本（空白模板） 13 2 4" xfId="29977"/>
    <cellStyle name="好_大信底稿目录 11 3" xfId="29978"/>
    <cellStyle name="好_50-营业成本（空白模板） 13 2 5" xfId="29979"/>
    <cellStyle name="好_50-营业成本（空白模板） 13 3" xfId="29980"/>
    <cellStyle name="好_50-营业成本（空白模板） 13_附注表一（财务报表）" xfId="29981"/>
    <cellStyle name="好_50-营业成本（空白模板） 13_明细表" xfId="29982"/>
    <cellStyle name="好_应收利息 2 3 3" xfId="29983"/>
    <cellStyle name="好_50-营业成本（空白模板） 14" xfId="29984"/>
    <cellStyle name="好_50-营业成本（空白模板） 14 3" xfId="29985"/>
    <cellStyle name="好_50-营业成本（空白模板） 14_明细表" xfId="29986"/>
    <cellStyle name="好_50-营业成本（空白模板） 14_明细表 2" xfId="29987"/>
    <cellStyle name="好_50-营业成本（空白模板） 15" xfId="29988"/>
    <cellStyle name="好_50-营业成本（空白模板） 20" xfId="29989"/>
    <cellStyle name="好_50-营业成本（空白模板） 15 2" xfId="29990"/>
    <cellStyle name="好_50-营业成本（空白模板） 15 2 2" xfId="29991"/>
    <cellStyle name="好_50-营业成本（空白模板） 15 2 3" xfId="29992"/>
    <cellStyle name="好_50-营业成本（空白模板） 15 2 4" xfId="29993"/>
    <cellStyle name="好_50-营业成本（空白模板） 15 2 5" xfId="29994"/>
    <cellStyle name="好_50-营业成本（空白模板） 15_附注表一（财务报表）" xfId="29995"/>
    <cellStyle name="好_50-营业成本（空白模板） 16" xfId="29996"/>
    <cellStyle name="好_50-营业成本（空白模板） 21" xfId="29997"/>
    <cellStyle name="好_ZA0货币资金审定表  9_明细表 3" xfId="29998"/>
    <cellStyle name="好_50-营业成本（空白模板） 16 2" xfId="29999"/>
    <cellStyle name="好_50-营业成本（空白模板） 16 2 2" xfId="30000"/>
    <cellStyle name="好_50-营业成本（空白模板） 16 2 3" xfId="30001"/>
    <cellStyle name="好_50-营业成本（空白模板） 16 2 4" xfId="30002"/>
    <cellStyle name="好_50-营业成本（空白模板） 16 2 5" xfId="30003"/>
    <cellStyle name="好_ZA0货币资金审定表  9_明细表 4" xfId="30004"/>
    <cellStyle name="好_50-营业成本（空白模板） 16 3" xfId="30005"/>
    <cellStyle name="好_ZA0货币资金审定表  9_明细表 5" xfId="30006"/>
    <cellStyle name="好_50-营业成本（空白模板） 16 4" xfId="30007"/>
    <cellStyle name="好_50-营业成本（空白模板） 16 6" xfId="30008"/>
    <cellStyle name="好_50-营业成本（空白模板） 17 3" xfId="30009"/>
    <cellStyle name="好_50-营业成本（空白模板） 17 4" xfId="30010"/>
    <cellStyle name="好_50-营业成本（空白模板） 17 5" xfId="30011"/>
    <cellStyle name="好_50-营业成本（空白模板） 17 6" xfId="30012"/>
    <cellStyle name="好_50-营业成本（空白模板） 18" xfId="30013"/>
    <cellStyle name="好_50-营业成本（空白模板） 23" xfId="30014"/>
    <cellStyle name="好_50-营业成本（空白模板） 18 5" xfId="30015"/>
    <cellStyle name="好_50-营业成本（空白模板） 19" xfId="30016"/>
    <cellStyle name="好_50-营业成本（空白模板） 24" xfId="30017"/>
    <cellStyle name="好_50-营业成本（空白模板） 2" xfId="30018"/>
    <cellStyle name="好_50-营业成本（空白模板） 2 3 2" xfId="30019"/>
    <cellStyle name="好_50-营业成本（空白模板） 2 3 3" xfId="30020"/>
    <cellStyle name="好_50-营业成本（空白模板） 2_明细表" xfId="30021"/>
    <cellStyle name="好_50-营业成本（空白模板） 2_明细表 2" xfId="30022"/>
    <cellStyle name="好_50-营业成本（空白模板） 2_明细表 3" xfId="30023"/>
    <cellStyle name="好_51-营业税金及附加（空白模板） 6_附注表一（财务报表）" xfId="30024"/>
    <cellStyle name="好_50-营业成本（空白模板） 2_明细表 4" xfId="30025"/>
    <cellStyle name="好_G-应收账款 11 2" xfId="30026"/>
    <cellStyle name="好_50-营业成本（空白模板） 2_明细表 5" xfId="30027"/>
    <cellStyle name="好_G-应收账款 11 3" xfId="30028"/>
    <cellStyle name="好_G-应收账款 10_附注表一（财务报表）" xfId="30029"/>
    <cellStyle name="好_50-营业成本（空白模板） 25" xfId="30030"/>
    <cellStyle name="好_50-营业成本（空白模板） 30" xfId="30031"/>
    <cellStyle name="好_50-营业成本（空白模板） 26" xfId="30032"/>
    <cellStyle name="好_50-营业成本（空白模板） 31" xfId="30033"/>
    <cellStyle name="好_50-营业成本（空白模板） 28" xfId="30034"/>
    <cellStyle name="好_50-营业成本（空白模板） 33" xfId="30035"/>
    <cellStyle name="好_50-营业成本（空白模板） 29" xfId="30036"/>
    <cellStyle name="好_50-营业成本（空白模板） 34" xfId="30037"/>
    <cellStyle name="好_底稿设置宏 14 2 2" xfId="30038"/>
    <cellStyle name="好_50-营业成本（空白模板） 3" xfId="30039"/>
    <cellStyle name="好_50-营业成本（空白模板） 3 2" xfId="30040"/>
    <cellStyle name="好_50-营业成本（空白模板） 3 2 2" xfId="30041"/>
    <cellStyle name="好_模板 3 2" xfId="30042"/>
    <cellStyle name="好_50-营业成本（空白模板） 3 2 3" xfId="30043"/>
    <cellStyle name="好_模板 3 3" xfId="30044"/>
    <cellStyle name="好_50-营业成本（空白模板） 3 2 4" xfId="30045"/>
    <cellStyle name="好_50-营业成本（空白模板） 3_附注表一（财务报表）" xfId="30046"/>
    <cellStyle name="好_50-营业成本（空白模板） 3_明细表" xfId="30047"/>
    <cellStyle name="好_50-营业成本（空白模板） 3_明细表 5" xfId="30048"/>
    <cellStyle name="好_底稿设置宏 14 2 3" xfId="30049"/>
    <cellStyle name="好_50-营业成本（空白模板） 4" xfId="30050"/>
    <cellStyle name="好_50-营业成本（空白模板） 4 2" xfId="30051"/>
    <cellStyle name="好_50-营业成本（空白模板） 4 2 2" xfId="30052"/>
    <cellStyle name="好_50-营业成本（空白模板） 4 2 3" xfId="30053"/>
    <cellStyle name="好_50-营业成本（空白模板） 4 3" xfId="30054"/>
    <cellStyle name="好_50-营业成本（空白模板） 4 5" xfId="30055"/>
    <cellStyle name="好_财务费用 27" xfId="30056"/>
    <cellStyle name="好_财务费用 32" xfId="30057"/>
    <cellStyle name="好_50-营业成本（空白模板） 4_附注表一（财务报表）" xfId="30058"/>
    <cellStyle name="好_50-营业成本（空白模板） 4_明细表" xfId="30059"/>
    <cellStyle name="好_50-营业成本（空白模板） 4_明细表 3" xfId="30060"/>
    <cellStyle name="好_50-营业成本（空白模板） 4_明细表 4" xfId="30061"/>
    <cellStyle name="好_底稿设置宏 14 2 4" xfId="30062"/>
    <cellStyle name="好_50-营业成本（空白模板） 5" xfId="30063"/>
    <cellStyle name="好_无形资产 7_明细表 5" xfId="30064"/>
    <cellStyle name="好_50-营业成本（空白模板） 5 2" xfId="30065"/>
    <cellStyle name="千位分隔 2 3 8" xfId="30066"/>
    <cellStyle name="好_应收利息_应收账款" xfId="30067"/>
    <cellStyle name="好_50-营业成本（空白模板） 5 2 3" xfId="30068"/>
    <cellStyle name="好_50-营业成本（空白模板） 5 2 4" xfId="30069"/>
    <cellStyle name="好_50-营业成本（空白模板） 5 3" xfId="30070"/>
    <cellStyle name="好_50-营业成本（空白模板） 5 3 2" xfId="30071"/>
    <cellStyle name="好_50-营业成本（空白模板） 5 4" xfId="30072"/>
    <cellStyle name="好_银行函证结果汇总表 27" xfId="30073"/>
    <cellStyle name="好_银行函证结果汇总表 32" xfId="30074"/>
    <cellStyle name="好_50-营业成本（空白模板） 5_附注表一（财务报表）" xfId="30075"/>
    <cellStyle name="好_50-营业成本（空白模板） 5_明细表" xfId="30076"/>
    <cellStyle name="好_50-营业成本（空白模板） 6 2" xfId="30077"/>
    <cellStyle name="好_50-营业成本（空白模板） 6 3" xfId="30078"/>
    <cellStyle name="好_50-营业成本（空白模板） 6 3 2" xfId="30079"/>
    <cellStyle name="好_50-营业成本（空白模板） 6 4" xfId="30080"/>
    <cellStyle name="好_银行函证结果汇总表_明细表_1" xfId="30081"/>
    <cellStyle name="好_50-营业成本（空白模板） 6 5" xfId="30082"/>
    <cellStyle name="好_50-营业成本（空白模板） 6_附注表一（财务报表）" xfId="30083"/>
    <cellStyle name="好_50-营业成本（空白模板） 6_明细表" xfId="30084"/>
    <cellStyle name="好_50-营业成本（空白模板） 7" xfId="30085"/>
    <cellStyle name="千位分隔 4 3 8" xfId="30086"/>
    <cellStyle name="好_短期借款 11_明细表 3" xfId="30087"/>
    <cellStyle name="好_50-营业成本（空白模板） 7 2 3" xfId="30088"/>
    <cellStyle name="千位分隔 4 3 9" xfId="30089"/>
    <cellStyle name="好_短期借款 11_明细表 4" xfId="30090"/>
    <cellStyle name="好_50-营业成本（空白模板） 7 2 4" xfId="30091"/>
    <cellStyle name="好_短期借款 11_明细表 5" xfId="30092"/>
    <cellStyle name="好_50-营业成本（空白模板） 7 2 5" xfId="30093"/>
    <cellStyle name="好_50-营业成本（空白模板） 7 3" xfId="30094"/>
    <cellStyle name="好_50-营业成本（空白模板） 7 4" xfId="30095"/>
    <cellStyle name="好_大信底稿目录 3 5" xfId="30096"/>
    <cellStyle name="好_50-营业成本（空白模板） 7_明细表" xfId="30097"/>
    <cellStyle name="好_50-营业成本（空白模板） 7_明细表 4" xfId="30098"/>
    <cellStyle name="好_50-营业成本（空白模板） 7_明细表 5" xfId="30099"/>
    <cellStyle name="好_50-营业成本（空白模板） 8" xfId="30100"/>
    <cellStyle name="好_资产负债标准底稿_大信底稿目录 22" xfId="30101"/>
    <cellStyle name="好_资产负债标准底稿_大信底稿目录 17" xfId="30102"/>
    <cellStyle name="好_50-营业成本（空白模板） 8 2" xfId="30103"/>
    <cellStyle name="好_50-营业成本（空白模板） 8 2 2" xfId="30104"/>
    <cellStyle name="好_50-营业成本（空白模板） 8 2 3" xfId="30105"/>
    <cellStyle name="好_50-营业成本（空白模板） 8 2 5" xfId="30106"/>
    <cellStyle name="好_50-营业成本（空白模板） 8_附注表一（财务报表）" xfId="30107"/>
    <cellStyle name="好_50-营业成本（空白模板） 8_明细表 2" xfId="30108"/>
    <cellStyle name="好_50-营业成本（空白模板） 8_明细表 4" xfId="30109"/>
    <cellStyle name="好_50-营业成本（空白模板） 9" xfId="30110"/>
    <cellStyle name="好_50-营业成本（空白模板） 9 2 2" xfId="30111"/>
    <cellStyle name="好_短期借款 2_附注表一（财务报表）" xfId="30112"/>
    <cellStyle name="好_50-营业成本（空白模板） 9 2 3" xfId="30113"/>
    <cellStyle name="好_50-营业成本（空白模板） 9 2 4" xfId="30114"/>
    <cellStyle name="好_50-营业成本（空白模板） 9 2 5" xfId="30115"/>
    <cellStyle name="好_50-营业成本（空白模板） 9_明细表" xfId="30116"/>
    <cellStyle name="好_营业收入 4_明细表" xfId="30117"/>
    <cellStyle name="好_50-营业成本（空白模板）_Book2" xfId="30118"/>
    <cellStyle name="好_50-营业成本（空白模板）_附注表一（财务报表）" xfId="30119"/>
    <cellStyle name="好_50-营业成本（空白模板）_货币资金" xfId="30120"/>
    <cellStyle name="好_50-营业成本（空白模板）_明细表 2 2" xfId="30121"/>
    <cellStyle name="好_50-营业成本（空白模板）_明细表 2 3" xfId="30122"/>
    <cellStyle name="好_50-营业成本（空白模板）_明细表 4" xfId="30123"/>
    <cellStyle name="好_50-营业成本（空白模板）_明细表 5" xfId="30124"/>
    <cellStyle name="好_50-营业成本（空白模板）_明细表 6" xfId="30125"/>
    <cellStyle name="好_50-营业成本（空白模板）_明细表_1 4" xfId="30126"/>
    <cellStyle name="好_50-营业成本（空白模板）_明细表_1 5" xfId="30127"/>
    <cellStyle name="好_51-营业税金及附加（空白模板）" xfId="30128"/>
    <cellStyle name="好_51-营业税金及附加（空白模板） 10" xfId="30129"/>
    <cellStyle name="好_51-营业税金及附加（空白模板） 10 2 3" xfId="30130"/>
    <cellStyle name="好_51-营业税金及附加（空白模板） 10 2 5" xfId="30131"/>
    <cellStyle name="好_51-营业税金及附加（空白模板） 10 3" xfId="30132"/>
    <cellStyle name="好_51-营业税金及附加（空白模板） 10 4" xfId="30133"/>
    <cellStyle name="好_51-营业税金及附加（空白模板） 10_明细表" xfId="30134"/>
    <cellStyle name="好_营业收入 13 2 5" xfId="30135"/>
    <cellStyle name="好_51-营业税金及附加（空白模板） 10_明细表 2" xfId="30136"/>
    <cellStyle name="好_财务费用 6_附注表一（财务报表）" xfId="30137"/>
    <cellStyle name="好_51-营业税金及附加（空白模板） 10_明细表 3" xfId="30138"/>
    <cellStyle name="好_51-营业税金及附加（空白模板） 10_明细表 4" xfId="30139"/>
    <cellStyle name="好_51-营业税金及附加（空白模板） 10_明细表 5" xfId="30140"/>
    <cellStyle name="好_预收款项 17 2" xfId="30141"/>
    <cellStyle name="好_55-资产减值损失（空白模板） 6_明细表 5" xfId="30142"/>
    <cellStyle name="好_51-营业税金及附加（空白模板） 11 2 4" xfId="30143"/>
    <cellStyle name="好_预收款项 17 3" xfId="30144"/>
    <cellStyle name="好_51-营业税金及附加（空白模板） 11 2 5" xfId="30145"/>
    <cellStyle name="好_银行函证结果汇总表 2 3 3" xfId="30146"/>
    <cellStyle name="好_51-营业税金及附加（空白模板） 11_附注表一（财务报表）" xfId="30147"/>
    <cellStyle name="好_60-所得税费用（空白模板） 9" xfId="30148"/>
    <cellStyle name="好_51-营业税金及附加（空白模板） 11_明细表 2" xfId="30149"/>
    <cellStyle name="好_51-营业税金及附加（空白模板） 11_明细表 3" xfId="30150"/>
    <cellStyle name="好_51-营业税金及附加（空白模板） 11_明细表 4" xfId="30151"/>
    <cellStyle name="好_51-营业税金及附加（空白模板） 12 2 3" xfId="30152"/>
    <cellStyle name="好_51-营业税金及附加（空白模板） 12 2 4" xfId="30153"/>
    <cellStyle name="好_51-营业税金及附加（空白模板） 13 2 3" xfId="30154"/>
    <cellStyle name="好_51-营业税金及附加（空白模板） 13 2 4" xfId="30155"/>
    <cellStyle name="好_51-营业税金及附加（空白模板） 13 2 5" xfId="30156"/>
    <cellStyle name="好_资产负债标准底稿 4 2 3" xfId="30157"/>
    <cellStyle name="好_51-营业税金及附加（空白模板） 13 3" xfId="30158"/>
    <cellStyle name="好_51-营业税金及附加（空白模板） 13_附注表一（财务报表）" xfId="30159"/>
    <cellStyle name="好_51-营业税金及附加（空白模板） 13_明细表 2" xfId="30160"/>
    <cellStyle name="好_51-营业税金及附加（空白模板） 13_明细表 3" xfId="30161"/>
    <cellStyle name="好_51-营业税金及附加（空白模板） 13_明细表 4" xfId="30162"/>
    <cellStyle name="好_51-营业税金及附加（空白模板） 13_明细表 5" xfId="30163"/>
    <cellStyle name="好_底稿设置宏 11_明细表 2" xfId="30164"/>
    <cellStyle name="好_51-营业税金及附加（空白模板） 14 2 4" xfId="30165"/>
    <cellStyle name="好_底稿设置宏 11_明细表 3" xfId="30166"/>
    <cellStyle name="好_51-营业税金及附加（空白模板） 14 2 5" xfId="30167"/>
    <cellStyle name="好_51-营业税金及附加（空白模板） 14_附注表一（财务报表）" xfId="30168"/>
    <cellStyle name="好_51-营业税金及附加（空白模板） 14_明细表 2" xfId="30169"/>
    <cellStyle name="好_存货 10 2" xfId="30170"/>
    <cellStyle name="好_51-营业税金及附加（空白模板） 14_明细表 3" xfId="30171"/>
    <cellStyle name="好_51-营业税金及附加（空白模板） 14_明细表 5" xfId="30172"/>
    <cellStyle name="好_资产负债标准底稿 4 4" xfId="30173"/>
    <cellStyle name="好_51-营业税金及附加（空白模板） 15" xfId="30174"/>
    <cellStyle name="好_51-营业税金及附加（空白模板） 20" xfId="30175"/>
    <cellStyle name="好_51-营业税金及附加（空白模板） 15 2 3" xfId="30176"/>
    <cellStyle name="好_51-营业税金及附加（空白模板） 15 2 4" xfId="30177"/>
    <cellStyle name="好_51-营业税金及附加（空白模板） 15 2 5" xfId="30178"/>
    <cellStyle name="好_51-营业税金及附加（空白模板） 15_附注表一（财务报表）" xfId="30179"/>
    <cellStyle name="好_51-营业税金及附加（空白模板） 15_明细表 2" xfId="30180"/>
    <cellStyle name="好_51-营业税金及附加（空白模板） 15_明细表 3" xfId="30181"/>
    <cellStyle name="好_51-营业税金及附加（空白模板） 15_明细表 4" xfId="30182"/>
    <cellStyle name="好_51-营业税金及附加（空白模板） 16 2 3" xfId="30183"/>
    <cellStyle name="好_51-营业税金及附加（空白模板） 16 2 4" xfId="30184"/>
    <cellStyle name="好_51-营业税金及附加（空白模板） 16 2 5" xfId="30185"/>
    <cellStyle name="好_51-营业税金及附加（空白模板） 16 6" xfId="30186"/>
    <cellStyle name="好_51-营业税金及附加（空白模板） 17 2 2" xfId="30187"/>
    <cellStyle name="好_51-营业税金及附加（空白模板） 17 2 3" xfId="30188"/>
    <cellStyle name="好_51-营业税金及附加（空白模板） 17 2 4" xfId="30189"/>
    <cellStyle name="好_51-营业税金及附加（空白模板） 18 2" xfId="30190"/>
    <cellStyle name="好_51-营业税金及附加（空白模板） 18 3" xfId="30191"/>
    <cellStyle name="好_51-营业税金及附加（空白模板） 2" xfId="30192"/>
    <cellStyle name="好_51-营业税金及附加（空白模板） 2 2 6" xfId="30193"/>
    <cellStyle name="好_51-营业税金及附加（空白模板） 2 3" xfId="30194"/>
    <cellStyle name="好_51-营业税金及附加（空白模板） 2 4" xfId="30195"/>
    <cellStyle name="好_51-营业税金及附加（空白模板） 2 5" xfId="30196"/>
    <cellStyle name="好_51-营业税金及附加（空白模板） 2 6" xfId="30197"/>
    <cellStyle name="好_51-营业税金及附加（空白模板） 2_明细表" xfId="30198"/>
    <cellStyle name="好_51-营业税金及附加（空白模板） 25" xfId="30199"/>
    <cellStyle name="好_51-营业税金及附加（空白模板） 30" xfId="30200"/>
    <cellStyle name="好_51-营业税金及附加（空白模板） 26" xfId="30201"/>
    <cellStyle name="好_51-营业税金及附加（空白模板） 31" xfId="30202"/>
    <cellStyle name="好_51-营业税金及附加（空白模板） 27" xfId="30203"/>
    <cellStyle name="好_51-营业税金及附加（空白模板） 32" xfId="30204"/>
    <cellStyle name="好_51-营业税金及附加（空白模板） 3" xfId="30205"/>
    <cellStyle name="好_51-营业税金及附加（空白模板） 3 2" xfId="30206"/>
    <cellStyle name="好_大信底稿目录 14 6" xfId="30207"/>
    <cellStyle name="好_51-营业税金及附加（空白模板） 3 2 2" xfId="30208"/>
    <cellStyle name="好_预收款项 9_明细表 2" xfId="30209"/>
    <cellStyle name="好_51-营业税金及附加（空白模板） 3 2 3" xfId="30210"/>
    <cellStyle name="好_预收款项 9_明细表 3" xfId="30211"/>
    <cellStyle name="好_51-营业税金及附加（空白模板） 3 2 4" xfId="30212"/>
    <cellStyle name="好_51-营业税金及附加（空白模板） 3 3" xfId="30213"/>
    <cellStyle name="好_51-营业税金及附加（空白模板） 3 4" xfId="30214"/>
    <cellStyle name="好_51-营业税金及附加（空白模板） 3_明细表 3" xfId="30215"/>
    <cellStyle name="好_51-营业税金及附加（空白模板） 3_明细表 4" xfId="30216"/>
    <cellStyle name="好_51-营业税金及附加（空白模板） 4" xfId="30217"/>
    <cellStyle name="好_51-营业税金及附加（空白模板） 4 3" xfId="30218"/>
    <cellStyle name="好_51-营业税金及附加（空白模板） 4 4" xfId="30219"/>
    <cellStyle name="好_51-营业税金及附加（空白模板） 4 5" xfId="30220"/>
    <cellStyle name="好_51-营业税金及附加（空白模板） 4_附注表一（财务报表）" xfId="30221"/>
    <cellStyle name="好_51-营业税金及附加（空白模板） 4_明细表" xfId="30222"/>
    <cellStyle name="千位分隔 2 10_附注表一（财务报表）" xfId="30223"/>
    <cellStyle name="好_51-营业税金及附加（空白模板） 4_明细表 3" xfId="30224"/>
    <cellStyle name="好_51-营业税金及附加（空白模板） 5 2 4" xfId="30225"/>
    <cellStyle name="好_51-营业税金及附加（空白模板） 5 2 5" xfId="30226"/>
    <cellStyle name="好_51-营业税金及附加（空白模板） 5 2 6" xfId="30227"/>
    <cellStyle name="好_51-营业税金及附加（空白模板） 5_附注表一（财务报表）" xfId="30228"/>
    <cellStyle name="好_51-营业税金及附加（空白模板） 5_明细表" xfId="30229"/>
    <cellStyle name="好_预收款项 10 2 3" xfId="30230"/>
    <cellStyle name="好_51-营业税金及附加（空白模板） 5_明细表 4" xfId="30231"/>
    <cellStyle name="好_51-营业税金及附加（空白模板） 7" xfId="30232"/>
    <cellStyle name="好_51-营业税金及附加（空白模板） 7_明细表 5" xfId="30233"/>
    <cellStyle name="好_51-营业税金及附加（空白模板） 8_附注表一（财务报表）" xfId="30234"/>
    <cellStyle name="好_51-营业税金及附加（空白模板） 8_明细表" xfId="30235"/>
    <cellStyle name="好_预收款项 13 2 3" xfId="30236"/>
    <cellStyle name="好_51-营业税金及附加（空白模板） 8_明细表 2" xfId="30237"/>
    <cellStyle name="好_营业成本 2 3" xfId="30238"/>
    <cellStyle name="好_51-营业税金及附加（空白模板） 9" xfId="30239"/>
    <cellStyle name="好_51-营业税金及附加（空白模板）_3固定资产" xfId="30240"/>
    <cellStyle name="好_51-营业税金及附加（空白模板）_3固定资产 2" xfId="30241"/>
    <cellStyle name="好_51-营业税金及附加（空白模板）_附注表一（财务报表）" xfId="30242"/>
    <cellStyle name="好_无形资产 7_明细表 2" xfId="30243"/>
    <cellStyle name="好_51-营业税金及附加（空白模板）_固定资产" xfId="30244"/>
    <cellStyle name="好_无形资产 8_明细表 3" xfId="30245"/>
    <cellStyle name="好_51-营业税金及附加（空白模板）_固定资产 2" xfId="30246"/>
    <cellStyle name="好_51-营业税金及附加（空白模板）_明细表 2 3" xfId="30247"/>
    <cellStyle name="好_51-营业税金及附加（空白模板）_明细表 2 4" xfId="30248"/>
    <cellStyle name="好_报表层次重要性水平 10" xfId="30249"/>
    <cellStyle name="好_51-营业税金及附加（空白模板）_明细表 2 5" xfId="30250"/>
    <cellStyle name="好_52-销售费用（空白模板） 2 2" xfId="30251"/>
    <cellStyle name="好_52-销售费用（空白模板） 2 2 2" xfId="30252"/>
    <cellStyle name="好_52-销售费用（空白模板） 2 3" xfId="30253"/>
    <cellStyle name="好_短期借款 27" xfId="30254"/>
    <cellStyle name="好_短期借款 32" xfId="30255"/>
    <cellStyle name="好_52-销售费用（空白模板） 3 2 2" xfId="30256"/>
    <cellStyle name="好_52-销售费用（空白模板） 3 3" xfId="30257"/>
    <cellStyle name="好_53-4集团外本年累计销售计算表" xfId="30258"/>
    <cellStyle name="好_无形资产 3_明细表 4" xfId="30259"/>
    <cellStyle name="好_53-管理费用（空白模板） 2" xfId="30260"/>
    <cellStyle name="好_53-管理费用（空白模板） 2 2" xfId="30261"/>
    <cellStyle name="好_53-管理费用（空白模板） 2 2 3" xfId="30262"/>
    <cellStyle name="好_底稿设置宏 10 2" xfId="30263"/>
    <cellStyle name="好_53-管理费用（空白模板） 2 3" xfId="30264"/>
    <cellStyle name="好_营业成本" xfId="30265"/>
    <cellStyle name="好_底稿设置宏 10 3" xfId="30266"/>
    <cellStyle name="好_53-管理费用（空白模板） 2 4" xfId="30267"/>
    <cellStyle name="好_复件 固定资产 9_明细表 4" xfId="30268"/>
    <cellStyle name="好_53-管理费用（空白模板） 5" xfId="30269"/>
    <cellStyle name="好_营业收入 16 5" xfId="30270"/>
    <cellStyle name="好_ZA0货币资金审定表  8 2 5" xfId="30271"/>
    <cellStyle name="好_54-财务费用（空白模板）" xfId="30272"/>
    <cellStyle name="好_54-财务费用（空白模板） 10 2" xfId="30273"/>
    <cellStyle name="好_54-财务费用（空白模板） 10 2 2" xfId="30274"/>
    <cellStyle name="好_54-财务费用（空白模板） 10 2 3" xfId="30275"/>
    <cellStyle name="好_54-财务费用（空白模板） 10 2 4" xfId="30276"/>
    <cellStyle name="好_54-财务费用（空白模板） 10 2 5" xfId="30277"/>
    <cellStyle name="好_54-财务费用（空白模板） 10 3" xfId="30278"/>
    <cellStyle name="好_底稿设置宏 5_明细表" xfId="30279"/>
    <cellStyle name="好_54-财务费用（空白模板） 10_附注表一（财务报表）" xfId="30280"/>
    <cellStyle name="好_54-财务费用（空白模板） 10_明细表" xfId="30281"/>
    <cellStyle name="好_54-财务费用（空白模板） 10_明细表 5" xfId="30282"/>
    <cellStyle name="好_54-财务费用（空白模板） 11 2 4" xfId="30283"/>
    <cellStyle name="好_54-财务费用（空白模板） 11 2 5" xfId="30284"/>
    <cellStyle name="好_54-财务费用（空白模板） 11_明细表" xfId="30285"/>
    <cellStyle name="好_54-财务费用（空白模板） 11_明细表 2" xfId="30286"/>
    <cellStyle name="好_54-财务费用（空白模板） 4 2 3" xfId="30287"/>
    <cellStyle name="好_54-财务费用（空白模板） 12 2" xfId="30288"/>
    <cellStyle name="好_54-财务费用（空白模板） 12 2 5" xfId="30289"/>
    <cellStyle name="好_54-财务费用（空白模板） 4 2 4" xfId="30290"/>
    <cellStyle name="好_54-财务费用（空白模板） 12 3" xfId="30291"/>
    <cellStyle name="好_54-财务费用（空白模板） 12_附注表一（财务报表）" xfId="30292"/>
    <cellStyle name="好_54-财务费用（空白模板） 12_明细表" xfId="30293"/>
    <cellStyle name="好_54-财务费用（空白模板） 13 2" xfId="30294"/>
    <cellStyle name="好_54-财务费用（空白模板） 13 3" xfId="30295"/>
    <cellStyle name="好_54-财务费用（空白模板） 13_明细表 3" xfId="30296"/>
    <cellStyle name="好_8-其他应收款（空白模板） 2 2" xfId="30297"/>
    <cellStyle name="好_54-财务费用（空白模板） 13_明细表 4" xfId="30298"/>
    <cellStyle name="好_8-其他应收款（空白模板） 2 3" xfId="30299"/>
    <cellStyle name="好_54-财务费用（空白模板） 13_明细表 5" xfId="30300"/>
    <cellStyle name="好_54-财务费用（空白模板） 14 2 3" xfId="30301"/>
    <cellStyle name="好_54-财务费用（空白模板） 15 2" xfId="30302"/>
    <cellStyle name="好_54-财务费用（空白模板） 15_附注表一（财务报表）" xfId="30303"/>
    <cellStyle name="好_54-财务费用（空白模板） 15_明细表" xfId="30304"/>
    <cellStyle name="好_54-财务费用（空白模板） 15_明细表 2" xfId="30305"/>
    <cellStyle name="好_54-财务费用（空白模板） 16 2 3" xfId="30306"/>
    <cellStyle name="好_54-财务费用（空白模板） 16 3" xfId="30307"/>
    <cellStyle name="好_底稿设置宏 2_明细表 2" xfId="30308"/>
    <cellStyle name="好_54-财务费用（空白模板） 16 5" xfId="30309"/>
    <cellStyle name="好_底稿设置宏 2_明细表 3" xfId="30310"/>
    <cellStyle name="好_54-财务费用（空白模板） 16 6" xfId="30311"/>
    <cellStyle name="好_资产负债标准底稿 10_明细表 5" xfId="30312"/>
    <cellStyle name="好_54-财务费用（空白模板） 17 2 2" xfId="30313"/>
    <cellStyle name="好_54-财务费用（空白模板） 18 5" xfId="30314"/>
    <cellStyle name="好_54-财务费用（空白模板） 2" xfId="30315"/>
    <cellStyle name="好_54-财务费用（空白模板） 2 2 2" xfId="30316"/>
    <cellStyle name="好_54-财务费用（空白模板） 2 3" xfId="30317"/>
    <cellStyle name="好_54-财务费用（空白模板） 2_明细表" xfId="30318"/>
    <cellStyle name="好_54-财务费用（空白模板） 2_明细表 2" xfId="30319"/>
    <cellStyle name="好_明细表_应收账款期末审定表 3" xfId="30320"/>
    <cellStyle name="好_54-财务费用（空白模板） 3 2 2" xfId="30321"/>
    <cellStyle name="好_54-财务费用（空白模板） 3 2 4" xfId="30322"/>
    <cellStyle name="好_54-财务费用（空白模板） 3 2 5" xfId="30323"/>
    <cellStyle name="好_54-财务费用（空白模板） 3 3 2" xfId="30324"/>
    <cellStyle name="好_54-财务费用（空白模板） 3_明细表" xfId="30325"/>
    <cellStyle name="好_54-财务费用（空白模板） 3_明细表 4" xfId="30326"/>
    <cellStyle name="好_54-财务费用（空白模板） 4 2 2" xfId="30327"/>
    <cellStyle name="好_54-财务费用（空白模板） 4 2 5" xfId="30328"/>
    <cellStyle name="好_54-财务费用（空白模板） 4 2 6" xfId="30329"/>
    <cellStyle name="好_54-财务费用（空白模板） 4 3 2" xfId="30330"/>
    <cellStyle name="好_54-财务费用（空白模板） 4_附注表一（财务报表）" xfId="30331"/>
    <cellStyle name="好_营业收入_明细表 6" xfId="30332"/>
    <cellStyle name="好_54-财务费用（空白模板） 4_明细表 2" xfId="30333"/>
    <cellStyle name="好_54-财务费用（空白模板） 4_明细表 3" xfId="30334"/>
    <cellStyle name="好_专项应付款 9 3" xfId="30335"/>
    <cellStyle name="好_54-财务费用（空白模板） 4_明细表 5" xfId="30336"/>
    <cellStyle name="好_54-财务费用（空白模板） 5 2" xfId="30337"/>
    <cellStyle name="好_54-财务费用（空白模板） 5 3" xfId="30338"/>
    <cellStyle name="好_54-财务费用（空白模板） 5 3 2" xfId="30339"/>
    <cellStyle name="好_54-财务费用（空白模板） 5_明细表" xfId="30340"/>
    <cellStyle name="好_54-财务费用（空白模板） 5_明细表 2" xfId="30341"/>
    <cellStyle name="好_54-财务费用（空白模板） 5_明细表 3" xfId="30342"/>
    <cellStyle name="好_54-财务费用（空白模板） 5_明细表 4" xfId="30343"/>
    <cellStyle name="好_54-财务费用（空白模板） 6 2 5" xfId="30344"/>
    <cellStyle name="好_54-财务费用（空白模板） 6 2 6" xfId="30345"/>
    <cellStyle name="好_54-财务费用（空白模板） 6 3" xfId="30346"/>
    <cellStyle name="好_54-财务费用（空白模板） 7_附注表一（财务报表）" xfId="30347"/>
    <cellStyle name="好_54-财务费用（空白模板） 6 3 2" xfId="30348"/>
    <cellStyle name="好_54-财务费用（空白模板） 6 4" xfId="30349"/>
    <cellStyle name="好_54-财务费用（空白模板） 6_明细表" xfId="30350"/>
    <cellStyle name="好_54-财务费用（空白模板） 6_明细表 2" xfId="30351"/>
    <cellStyle name="好_54-财务费用（空白模板） 6_明细表 3" xfId="30352"/>
    <cellStyle name="好_8-其他应收款（空白模板） 2" xfId="30353"/>
    <cellStyle name="好_54-财务费用（空白模板） 6_明细表 4" xfId="30354"/>
    <cellStyle name="好_54-财务费用（空白模板） 7 2 5" xfId="30355"/>
    <cellStyle name="好_54-财务费用（空白模板） 7_明细表" xfId="30356"/>
    <cellStyle name="好_54-财务费用（空白模板） 8" xfId="30357"/>
    <cellStyle name="好_54-财务费用（空白模板） 8 2" xfId="30358"/>
    <cellStyle name="好_54-财务费用（空白模板） 8 2 3" xfId="30359"/>
    <cellStyle name="好_54-财务费用（空白模板） 8 2 4" xfId="30360"/>
    <cellStyle name="好_54-财务费用（空白模板） 8 3" xfId="30361"/>
    <cellStyle name="好_54-财务费用（空白模板） 8 4" xfId="30362"/>
    <cellStyle name="好_G-应收账款 10 3" xfId="30363"/>
    <cellStyle name="好_54-财务费用（空白模板） 8_附注表一（财务报表）" xfId="30364"/>
    <cellStyle name="好_54-财务费用（空白模板） 8_明细表 3" xfId="30365"/>
    <cellStyle name="好_54-财务费用（空白模板） 8_明细表 4" xfId="30366"/>
    <cellStyle name="好_54-财务费用（空白模板） 8_明细表 5" xfId="30367"/>
    <cellStyle name="好_54-财务费用（空白模板） 9 2" xfId="30368"/>
    <cellStyle name="好_54-财务费用（空白模板） 9 2 3" xfId="30369"/>
    <cellStyle name="好_54-财务费用（空白模板） 9 2 4" xfId="30370"/>
    <cellStyle name="好_54-财务费用（空白模板） 9 2 5" xfId="30371"/>
    <cellStyle name="好_54-财务费用（空白模板） 9 4" xfId="30372"/>
    <cellStyle name="好_54-财务费用（空白模板） 9_附注表一（财务报表）" xfId="30373"/>
    <cellStyle name="好_54-财务费用（空白模板） 9_明细表" xfId="30374"/>
    <cellStyle name="好_54-财务费用（空白模板）_3固定资产" xfId="30375"/>
    <cellStyle name="好_54-财务费用（空白模板）_Book2" xfId="30376"/>
    <cellStyle name="好_ZP在建工程 2 4" xfId="30377"/>
    <cellStyle name="好_54-财务费用（空白模板）_Book2 2" xfId="30378"/>
    <cellStyle name="好_财务费用 6_明细表 3" xfId="30379"/>
    <cellStyle name="好_54-财务费用（空白模板）_财务费用" xfId="30380"/>
    <cellStyle name="好_54-财务费用（空白模板）_明细表 2" xfId="30381"/>
    <cellStyle name="好_54-财务费用（空白模板）_明细表 2 5" xfId="30382"/>
    <cellStyle name="好_54-财务费用（空白模板）_明细表 3" xfId="30383"/>
    <cellStyle name="好_54-财务费用（空白模板）_明细表 6" xfId="30384"/>
    <cellStyle name="好_54-财务费用（空白模板）_明细表_1" xfId="30385"/>
    <cellStyle name="好_54-财务费用（空白模板）_明细表_1 4" xfId="30386"/>
    <cellStyle name="好_底稿设置宏_大信底稿目录 10_明细表 5" xfId="30387"/>
    <cellStyle name="好_55-资产减值损失（空白模板） 10" xfId="30388"/>
    <cellStyle name="好_55-资产减值损失（空白模板） 10 2" xfId="30389"/>
    <cellStyle name="好_55-资产减值损失（空白模板） 10 4" xfId="30390"/>
    <cellStyle name="好_55-资产减值损失（空白模板） 10_明细表 2" xfId="30391"/>
    <cellStyle name="好_55-资产减值损失（空白模板） 10_明细表 3" xfId="30392"/>
    <cellStyle name="好_55-资产减值损失（空白模板） 10_明细表 5" xfId="30393"/>
    <cellStyle name="好_55-资产减值损失（空白模板） 11" xfId="30394"/>
    <cellStyle name="好_55-资产减值损失（空白模板） 11 2" xfId="30395"/>
    <cellStyle name="好_55-资产减值损失（空白模板） 11 2 3" xfId="30396"/>
    <cellStyle name="好_55-资产减值损失（空白模板） 11 2 4" xfId="30397"/>
    <cellStyle name="好_55-资产减值损失（空白模板） 11 2 5" xfId="30398"/>
    <cellStyle name="好_55-资产减值损失（空白模板） 11 3" xfId="30399"/>
    <cellStyle name="好_55-资产减值损失（空白模板） 11_附注表一（财务报表）" xfId="30400"/>
    <cellStyle name="好_底稿设置宏 2 2 3" xfId="30401"/>
    <cellStyle name="好_55-资产减值损失（空白模板） 11_明细表" xfId="30402"/>
    <cellStyle name="好_55-资产减值损失（空白模板） 11_明细表 3" xfId="30403"/>
    <cellStyle name="好_55-资产减值损失（空白模板） 11_明细表 5" xfId="30404"/>
    <cellStyle name="好_55-资产减值损失（空白模板） 12" xfId="30405"/>
    <cellStyle name="好_55-资产减值损失（空白模板） 12 2 4" xfId="30406"/>
    <cellStyle name="好_55-资产减值损失（空白模板） 12 2 5" xfId="30407"/>
    <cellStyle name="好_底稿设置宏 3 2 3" xfId="30408"/>
    <cellStyle name="好_55-资产减值损失（空白模板） 12_明细表" xfId="30409"/>
    <cellStyle name="好_大信底稿目录 16" xfId="30410"/>
    <cellStyle name="好_大信底稿目录 21" xfId="30411"/>
    <cellStyle name="好_55-资产减值损失（空白模板） 12_明细表 3" xfId="30412"/>
    <cellStyle name="好_大信底稿目录 17" xfId="30413"/>
    <cellStyle name="好_大信底稿目录 22" xfId="30414"/>
    <cellStyle name="好_55-资产减值损失（空白模板） 12_明细表 4" xfId="30415"/>
    <cellStyle name="好_大信底稿目录 18" xfId="30416"/>
    <cellStyle name="好_大信底稿目录 23" xfId="30417"/>
    <cellStyle name="好_55-资产减值损失（空白模板） 12_明细表 5" xfId="30418"/>
    <cellStyle name="好_55-资产减值损失（空白模板） 13 2 2" xfId="30419"/>
    <cellStyle name="好_55-资产减值损失（空白模板） 13 2 3" xfId="30420"/>
    <cellStyle name="好_55-资产减值损失（空白模板） 13 2 4" xfId="30421"/>
    <cellStyle name="好_55-资产减值损失（空白模板） 13 2 5" xfId="30422"/>
    <cellStyle name="好_55-资产减值损失（空白模板） 13_明细表 5" xfId="30423"/>
    <cellStyle name="好_资产减值损失 10_明细表" xfId="30424"/>
    <cellStyle name="好_55-资产减值损失（空白模板） 14 2 2" xfId="30425"/>
    <cellStyle name="好_55-资产减值损失（空白模板） 14 3" xfId="30426"/>
    <cellStyle name="好_预提费用审定表" xfId="30427"/>
    <cellStyle name="好_55-资产减值损失（空白模板） 14_明细表 3" xfId="30428"/>
    <cellStyle name="好_55-资产减值损失（空白模板） 14_明细表 4" xfId="30429"/>
    <cellStyle name="好_公允价值变动损益 10" xfId="30430"/>
    <cellStyle name="好_55-资产减值损失（空白模板） 14_明细表 5" xfId="30431"/>
    <cellStyle name="好_55-资产减值损失（空白模板） 15_明细表 2" xfId="30432"/>
    <cellStyle name="好_55-资产减值损失（空白模板） 15_明细表 3" xfId="30433"/>
    <cellStyle name="好_55-资产减值损失（空白模板） 15_明细表 5" xfId="30434"/>
    <cellStyle name="好_专项应付款 6_明细表 5" xfId="30435"/>
    <cellStyle name="好_资产减值损失 12_明细表" xfId="30436"/>
    <cellStyle name="好_55-资产减值损失（空白模板） 16 2 2" xfId="30437"/>
    <cellStyle name="好_55-资产减值损失（空白模板） 16 2 3" xfId="30438"/>
    <cellStyle name="好_55-资产减值损失（空白模板） 16 2 4" xfId="30439"/>
    <cellStyle name="好_55-资产减值损失（空白模板） 16 2 5" xfId="30440"/>
    <cellStyle name="好_55-资产减值损失（空白模板） 16 3" xfId="30441"/>
    <cellStyle name="好_55-资产减值损失（空白模板） 16 4" xfId="30442"/>
    <cellStyle name="好_55-资产减值损失（空白模板） 16 6" xfId="30443"/>
    <cellStyle name="好_55-资产减值损失（空白模板） 17 2" xfId="30444"/>
    <cellStyle name="好_资产减值损失 13_明细表" xfId="30445"/>
    <cellStyle name="好_资产负债类底稿模版_大信底稿目录 15 5" xfId="30446"/>
    <cellStyle name="好_55-资产减值损失（空白模板） 17 2 2" xfId="30447"/>
    <cellStyle name="好_财务费用 2 2 2" xfId="30448"/>
    <cellStyle name="好_资产负债类底稿模版_大信底稿目录 15 6" xfId="30449"/>
    <cellStyle name="好_55-资产减值损失（空白模板） 17 2 3" xfId="30450"/>
    <cellStyle name="好_55-资产减值损失（空白模板） 17 3" xfId="30451"/>
    <cellStyle name="好_55-资产减值损失（空白模板） 17 5" xfId="30452"/>
    <cellStyle name="好_55-资产减值损失（空白模板） 17 6" xfId="30453"/>
    <cellStyle name="好_55-资产减值损失（空白模板） 18 2" xfId="30454"/>
    <cellStyle name="好_55-资产减值损失（空白模板） 18 3" xfId="30455"/>
    <cellStyle name="好_应收利息 4 2 2" xfId="30456"/>
    <cellStyle name="好_55-资产减值损失（空白模板） 18 4" xfId="30457"/>
    <cellStyle name="好_应收利息 4 2 3" xfId="30458"/>
    <cellStyle name="好_55-资产减值损失（空白模板） 18 5" xfId="30459"/>
    <cellStyle name="好_55-资产减值损失（空白模板） 2" xfId="30460"/>
    <cellStyle name="好_55-资产减值损失（空白模板） 2 2" xfId="30461"/>
    <cellStyle name="好_55-资产减值损失（空白模板） 2 2 2 2" xfId="30462"/>
    <cellStyle name="好_55-资产减值损失（空白模板） 2 2 5" xfId="30463"/>
    <cellStyle name="好_无形资产 3" xfId="30464"/>
    <cellStyle name="好_55-资产减值损失（空白模板） 2 3 2" xfId="30465"/>
    <cellStyle name="好_无形资产 4" xfId="30466"/>
    <cellStyle name="好_55-资产减值损失（空白模板） 2 3 3" xfId="30467"/>
    <cellStyle name="好_55-资产减值损失（空白模板） 2 5" xfId="30468"/>
    <cellStyle name="好_55-资产减值损失（空白模板） 2_附注表一（财务报表）" xfId="30469"/>
    <cellStyle name="好_55-资产减值损失（空白模板） 2_明细表" xfId="30470"/>
    <cellStyle name="好_55-资产减值损失（空白模板） 2_明细表 5" xfId="30471"/>
    <cellStyle name="好_55-资产减值损失（空白模板） 27" xfId="30472"/>
    <cellStyle name="好_55-资产减值损失（空白模板） 32" xfId="30473"/>
    <cellStyle name="好_55-资产减值损失（空白模板） 28" xfId="30474"/>
    <cellStyle name="好_55-资产减值损失（空白模板） 33" xfId="30475"/>
    <cellStyle name="好_55-资产减值损失（空白模板） 29" xfId="30476"/>
    <cellStyle name="好_55-资产减值损失（空白模板） 34" xfId="30477"/>
    <cellStyle name="好_55-资产减值损失（空白模板） 3" xfId="30478"/>
    <cellStyle name="好_55-资产减值损失（空白模板） 3 2" xfId="30479"/>
    <cellStyle name="好_55-资产减值损失（空白模板） 3 2 2" xfId="30480"/>
    <cellStyle name="好_55-资产减值损失（空白模板） 3 2 4" xfId="30481"/>
    <cellStyle name="好_55-资产减值损失（空白模板） 3 2 5" xfId="30482"/>
    <cellStyle name="好_55-资产减值损失（空白模板） 3 3" xfId="30483"/>
    <cellStyle name="好_55-资产减值损失（空白模板） 3 3 2" xfId="30484"/>
    <cellStyle name="好_55-资产减值损失（空白模板） 3 4" xfId="30485"/>
    <cellStyle name="好_55-资产减值损失（空白模板） 3 5" xfId="30486"/>
    <cellStyle name="好_55-资产减值损失（空白模板） 4" xfId="30487"/>
    <cellStyle name="好_55-资产减值损失（空白模板） 4 2" xfId="30488"/>
    <cellStyle name="好_55-资产减值损失（空白模板） 4 2 3" xfId="30489"/>
    <cellStyle name="好_55-资产减值损失（空白模板） 4 2 4" xfId="30490"/>
    <cellStyle name="好_55-资产减值损失（空白模板） 4 2 5" xfId="30491"/>
    <cellStyle name="好_55-资产减值损失（空白模板） 4 2 6" xfId="30492"/>
    <cellStyle name="好_55-资产减值损失（空白模板） 4_明细表 2" xfId="30493"/>
    <cellStyle name="好_55-资产减值损失（空白模板） 4_明细表 3" xfId="30494"/>
    <cellStyle name="好_银行函证结果汇总表 7_附注表一（财务报表）" xfId="30495"/>
    <cellStyle name="好_55-资产减值损失（空白模板） 4_明细表 4" xfId="30496"/>
    <cellStyle name="好_55-资产减值损失（空白模板） 4_明细表 5" xfId="30497"/>
    <cellStyle name="好_55-资产减值损失（空白模板） 5" xfId="30498"/>
    <cellStyle name="好_55-资产减值损失（空白模板） 5 2" xfId="30499"/>
    <cellStyle name="好_55-资产减值损失（空白模板） 5 2 2" xfId="30500"/>
    <cellStyle name="好_55-资产减值损失（空白模板） 5 2 3" xfId="30501"/>
    <cellStyle name="好_55-资产减值损失（空白模板） 5 2 4" xfId="30502"/>
    <cellStyle name="好_55-资产减值损失（空白模板） 5 2 6" xfId="30503"/>
    <cellStyle name="好_55-资产减值损失（空白模板） 5 3" xfId="30504"/>
    <cellStyle name="好_55-资产减值损失（空白模板） 5 3 2" xfId="30505"/>
    <cellStyle name="好_55-资产减值损失（空白模板） 5 4" xfId="30506"/>
    <cellStyle name="好_55-资产减值损失（空白模板） 5 5" xfId="30507"/>
    <cellStyle name="好_55-资产减值损失（空白模板） 5_明细表 2" xfId="30508"/>
    <cellStyle name="好_55-资产减值损失（空白模板） 5_明细表 4" xfId="30509"/>
    <cellStyle name="好_55-资产减值损失（空白模板） 6 2" xfId="30510"/>
    <cellStyle name="好_55-资产减值损失（空白模板） 6 2 2" xfId="30511"/>
    <cellStyle name="好_55-资产减值损失（空白模板） 6 2 3" xfId="30512"/>
    <cellStyle name="好_55-资产减值损失（空白模板） 6 3" xfId="30513"/>
    <cellStyle name="好_55-资产减值损失（空白模板） 6 4" xfId="30514"/>
    <cellStyle name="好_55-资产减值损失（空白模板） 7_附注表一（财务报表）" xfId="30515"/>
    <cellStyle name="好_固定资产 6 3" xfId="30516"/>
    <cellStyle name="好_55-资产减值损失（空白模板） 7_明细表" xfId="30517"/>
    <cellStyle name="好_55-资产减值损失（空白模板） 7_明细表 2" xfId="30518"/>
    <cellStyle name="好_55-资产减值损失（空白模板） 7_明细表 3" xfId="30519"/>
    <cellStyle name="好_55-资产减值损失（空白模板） 7_明细表 4" xfId="30520"/>
    <cellStyle name="好_FJ其他应付款 5 2" xfId="30521"/>
    <cellStyle name="好_55-资产减值损失（空白模板） 8 2 2" xfId="30522"/>
    <cellStyle name="好_FJ其他应付款 5 3" xfId="30523"/>
    <cellStyle name="好_55-资产减值损失（空白模板） 8 2 3" xfId="30524"/>
    <cellStyle name="桁区切り [0.00]_１１月価格表" xfId="30525"/>
    <cellStyle name="好_55-资产减值损失（空白模板） 8 2 5" xfId="30526"/>
    <cellStyle name="好_短期借款 6 2 3" xfId="30527"/>
    <cellStyle name="好_FJ其他应付款 6" xfId="30528"/>
    <cellStyle name="好_55-资产减值损失（空白模板） 8 3" xfId="30529"/>
    <cellStyle name="好_短期借款 6 2 4" xfId="30530"/>
    <cellStyle name="好_FJ其他应付款 7" xfId="30531"/>
    <cellStyle name="好_55-资产减值损失（空白模板） 8 4" xfId="30532"/>
    <cellStyle name="好_55-资产减值损失（空白模板） 8_附注表一（财务报表）" xfId="30533"/>
    <cellStyle name="好_55-资产减值损失（空白模板） 8_明细表" xfId="30534"/>
    <cellStyle name="好_大信底稿目录 6 2 3" xfId="30535"/>
    <cellStyle name="好_55-资产减值损失（空白模板） 8_明细表 2" xfId="30536"/>
    <cellStyle name="好_大信底稿目录 6 2 6" xfId="30537"/>
    <cellStyle name="好_9管理费用 4" xfId="30538"/>
    <cellStyle name="好_55-资产减值损失（空白模板） 8_明细表 5" xfId="30539"/>
    <cellStyle name="好_短期借款 6 3 2" xfId="30540"/>
    <cellStyle name="好_55-资产减值损失（空白模板） 9 2" xfId="30541"/>
    <cellStyle name="好_55-资产减值损失（空白模板） 9 2 2" xfId="30542"/>
    <cellStyle name="好_55-资产减值损失（空白模板） 9 2 3" xfId="30543"/>
    <cellStyle name="好_55-资产减值损失（空白模板） 9 2 4" xfId="30544"/>
    <cellStyle name="好_55-资产减值损失（空白模板） 9 2 5" xfId="30545"/>
    <cellStyle name="好_55-资产减值损失（空白模板） 9 4" xfId="30546"/>
    <cellStyle name="好_55-资产减值损失（空白模板）_3固定资产" xfId="30547"/>
    <cellStyle name="好_55-资产减值损失（空白模板）_Book2" xfId="30548"/>
    <cellStyle name="好_55-资产减值损失（空白模板）_Book2 2" xfId="30549"/>
    <cellStyle name="好_附件3存货监盘 2 2" xfId="30550"/>
    <cellStyle name="好_55-资产减值损失（空白模板）_附注表一（财务报表）" xfId="30551"/>
    <cellStyle name="好_55-资产减值损失（空白模板）_固定资产" xfId="30552"/>
    <cellStyle name="好_55-资产减值损失（空白模板）_固定资产 2" xfId="30553"/>
    <cellStyle name="好_55-资产减值损失（空白模板）_明细表" xfId="30554"/>
    <cellStyle name="好_55-资产减值损失（空白模板）_明细表 2" xfId="30555"/>
    <cellStyle name="好_55-资产减值损失（空白模板）_明细表 2 2" xfId="30556"/>
    <cellStyle name="好_55-资产减值损失（空白模板）_明细表 2 3" xfId="30557"/>
    <cellStyle name="好_55-资产减值损失（空白模板）_明细表 2 5" xfId="30558"/>
    <cellStyle name="好_55-资产减值损失（空白模板）_明细表 3" xfId="30559"/>
    <cellStyle name="好_55-资产减值损失（空白模板）_明细表 6" xfId="30560"/>
    <cellStyle name="千位分隔 4 10 3" xfId="30561"/>
    <cellStyle name="好_55-资产减值损失（空白模板）_应收账款" xfId="30562"/>
    <cellStyle name="好_55-资产减值损失（空白模板）_应收账款 2" xfId="30563"/>
    <cellStyle name="好_预收款项 2 2 5" xfId="30564"/>
    <cellStyle name="好_专项应付款 2 2 4" xfId="30565"/>
    <cellStyle name="好_56-公允价值损益变动（空白模板） 10" xfId="30566"/>
    <cellStyle name="好_56-公允价值损益变动（空白模板） 10 2" xfId="30567"/>
    <cellStyle name="好_专项应付款 2 2 5" xfId="30568"/>
    <cellStyle name="好_56-公允价值损益变动（空白模板） 11" xfId="30569"/>
    <cellStyle name="好_56-公允价值损益变动（空白模板） 12" xfId="30570"/>
    <cellStyle name="好_56-公允价值损益变动（空白模板） 13" xfId="30571"/>
    <cellStyle name="好_56-公允价值损益变动（空白模板） 2 3" xfId="30572"/>
    <cellStyle name="好_56-公允价值损益变动（空白模板） 2 4" xfId="30573"/>
    <cellStyle name="好_56-公允价值损益变动（空白模板） 4 2" xfId="30574"/>
    <cellStyle name="好_56-公允价值损益变动（空白模板） 5" xfId="30575"/>
    <cellStyle name="好_56-公允价值损益变动（空白模板） 5 2" xfId="30576"/>
    <cellStyle name="好_56-公允价值损益变动（空白模板） 6" xfId="30577"/>
    <cellStyle name="好_56-公允价值损益变动（空白模板） 7" xfId="30578"/>
    <cellStyle name="好_56-公允价值损益变动（空白模板） 8" xfId="30579"/>
    <cellStyle name="好_56-公允价值损益变动（空白模板） 9" xfId="30580"/>
    <cellStyle name="好_56-公允价值损益变动（空白模板） 9 2" xfId="30581"/>
    <cellStyle name="好_57-投资收益（空白模板）" xfId="30582"/>
    <cellStyle name="好_57-投资收益（空白模板） 2" xfId="30583"/>
    <cellStyle name="好_57-投资收益（空白模板） 2 2" xfId="30584"/>
    <cellStyle name="好_57-投资收益（空白模板） 3 2" xfId="30585"/>
    <cellStyle name="好_复件 固定资产 3_明细表" xfId="30586"/>
    <cellStyle name="好_58-营业外收入（空白模板） 2" xfId="30587"/>
    <cellStyle name="好_复件 固定资产 3_明细表 2" xfId="30588"/>
    <cellStyle name="好_58-营业外收入（空白模板） 2 2" xfId="30589"/>
    <cellStyle name="好_58-营业外收入（空白模板） 2 2 2" xfId="30590"/>
    <cellStyle name="好_58-营业外收入（空白模板） 2 2 3" xfId="30591"/>
    <cellStyle name="好_复件 固定资产 3_明细表 3" xfId="30592"/>
    <cellStyle name="好_58-营业外收入（空白模板） 2 3" xfId="30593"/>
    <cellStyle name="好_58-营业外收入（空白模板） 3 2" xfId="30594"/>
    <cellStyle name="好_58-营业外收入（空白模板） 3 3" xfId="30595"/>
    <cellStyle name="好_58-营业外收入（空白模板） 4" xfId="30596"/>
    <cellStyle name="好_专项应付款 5 6" xfId="30597"/>
    <cellStyle name="好_59-营业外支出（空白模板）" xfId="30598"/>
    <cellStyle name="好_59-营业外支出（空白模板） 2" xfId="30599"/>
    <cellStyle name="好_59-营业外支出（空白模板） 2 2 2" xfId="30600"/>
    <cellStyle name="好_59-营业外支出（空白模板） 2 2 3" xfId="30601"/>
    <cellStyle name="好_59-营业外支出（空白模板） 2 3" xfId="30602"/>
    <cellStyle name="好_59-营业外支出（空白模板） 2 4" xfId="30603"/>
    <cellStyle name="好_5-预付款项（空白模板） 2 3" xfId="30604"/>
    <cellStyle name="好_5-预付款项（空白模板） 2 4" xfId="30605"/>
    <cellStyle name="好_5-预付款项（空白模板） 2 5" xfId="30606"/>
    <cellStyle name="好_5-预付款项（空白模板） 3 2" xfId="30607"/>
    <cellStyle name="好_5-预付款项（空白模板） 4" xfId="30608"/>
    <cellStyle name="好_5-预付款项（空白模板）_明细表" xfId="30609"/>
    <cellStyle name="好_5-预付款项（空白模板）_明细表 2" xfId="30610"/>
    <cellStyle name="好_5-预付款项（空白模板）_明细表 3" xfId="30611"/>
    <cellStyle name="好_5-预付款项（空白模板）_明细表 4" xfId="30612"/>
    <cellStyle name="好_5-预付款项（空白模板）_明细表 5" xfId="30613"/>
    <cellStyle name="好_6、应收帐款" xfId="30614"/>
    <cellStyle name="好_财务费用 11 2 4" xfId="30615"/>
    <cellStyle name="好_6、应收帐款 5" xfId="30616"/>
    <cellStyle name="好_财务费用 11 2 5" xfId="30617"/>
    <cellStyle name="好_6、应收帐款 6" xfId="30618"/>
    <cellStyle name="好_资产负债标准底稿_大信底稿目录 9 2" xfId="30619"/>
    <cellStyle name="好_60-所得税费用（空白模板） 10" xfId="30620"/>
    <cellStyle name="好_资产负债标准底稿_大信底稿目录 9 2 2" xfId="30621"/>
    <cellStyle name="好_60-所得税费用（空白模板） 10 2" xfId="30622"/>
    <cellStyle name="好_资产负债标准底稿_大信底稿目录 9 4" xfId="30623"/>
    <cellStyle name="好_60-所得税费用（空白模板） 12" xfId="30624"/>
    <cellStyle name="好_60-所得税费用（空白模板） 2 2" xfId="30625"/>
    <cellStyle name="好_60-所得税费用（空白模板） 3 2" xfId="30626"/>
    <cellStyle name="好_60-所得税费用（空白模板） 4 2" xfId="30627"/>
    <cellStyle name="好_专项应付款 17 2 4" xfId="30628"/>
    <cellStyle name="好_60-所得税费用（空白模板） 5 2" xfId="30629"/>
    <cellStyle name="好_60-所得税费用（空白模板） 6 2" xfId="30630"/>
    <cellStyle name="好_60-所得税费用（空白模板） 7" xfId="30631"/>
    <cellStyle name="好_60-所得税费用（空白模板） 8" xfId="30632"/>
    <cellStyle name="好_资产负债标准底稿_大信底稿目录 12_明细表 3" xfId="30633"/>
    <cellStyle name="好_6实地观察经营场所调查问卷" xfId="30634"/>
    <cellStyle name="好_6实地观察经营场所调查问卷 2 2" xfId="30635"/>
    <cellStyle name="好_6实地观察经营场所调查问卷 2 3" xfId="30636"/>
    <cellStyle name="好_银行函证结果汇总表_Book2 2" xfId="30637"/>
    <cellStyle name="好_6实地观察经营场所调查问卷 3" xfId="30638"/>
    <cellStyle name="好_6实地观察经营场所调查问卷 4" xfId="30639"/>
    <cellStyle name="好_6-应收利息（空白模板）" xfId="30640"/>
    <cellStyle name="好_6-应收利息（空白模板） 2 2" xfId="30641"/>
    <cellStyle name="好_6-应收利息（空白模板） 2 2 2" xfId="30642"/>
    <cellStyle name="好_6-应收利息（空白模板） 2 2 3" xfId="30643"/>
    <cellStyle name="好_6-应收利息（空白模板） 2 2 4" xfId="30644"/>
    <cellStyle name="好_6-应收利息（空白模板） 2 2 5" xfId="30645"/>
    <cellStyle name="好_6-应收利息（空白模板） 2 4" xfId="30646"/>
    <cellStyle name="好_6-应收利息（空白模板） 2 5" xfId="30647"/>
    <cellStyle name="好_6-应收利息（空白模板） 2 6" xfId="30648"/>
    <cellStyle name="好_6-应收利息（空白模板） 3 2 2" xfId="30649"/>
    <cellStyle name="好_6-应收利息（空白模板） 3 2 3" xfId="30650"/>
    <cellStyle name="好_Spreadsheet 3" xfId="30651"/>
    <cellStyle name="好_6-应收利息（空白模板） 3 7" xfId="30652"/>
    <cellStyle name="好_6-应收利息（空白模板） 4" xfId="30653"/>
    <cellStyle name="好_6-应收利息（空白模板） 4 2" xfId="30654"/>
    <cellStyle name="好_6-应收利息（空白模板） 4 5" xfId="30655"/>
    <cellStyle name="好_6-应收利息（空白模板） 5" xfId="30656"/>
    <cellStyle name="好_6-应收利息（空白模板） 5 2" xfId="30657"/>
    <cellStyle name="好_6-应收利息（空白模板） 6" xfId="30658"/>
    <cellStyle name="好_6-应收利息（空白模板） 7" xfId="30659"/>
    <cellStyle name="好_6-应收利息（空白模板） 8" xfId="30660"/>
    <cellStyle name="好_6-应收利息（空白模板）_明细表 2 4" xfId="30661"/>
    <cellStyle name="好_ZO固定资产 2 2" xfId="30662"/>
    <cellStyle name="好_6-应收利息（空白模板）_明细表 4" xfId="30663"/>
    <cellStyle name="好_ZO固定资产 2 3" xfId="30664"/>
    <cellStyle name="好_6-应收利息（空白模板）_明细表 5" xfId="30665"/>
    <cellStyle name="好_6-应收利息（空白模板）_明细表 6" xfId="30666"/>
    <cellStyle name="好_6-应收利息（空白模板）_明细表_1 3" xfId="30667"/>
    <cellStyle name="好_6-应收利息（空白模板）_明细表_1 4" xfId="30668"/>
    <cellStyle name="好_6-应收利息（空白模板）_明细表_1 5" xfId="30669"/>
    <cellStyle name="好_7-应收股利（空白模板） 3" xfId="30670"/>
    <cellStyle name="好_8-其他应收款（空白模板）" xfId="30671"/>
    <cellStyle name="好_8-其他应收款（空白模板） 2 4" xfId="30672"/>
    <cellStyle name="好_8-其他应收款（空白模板） 3 2" xfId="30673"/>
    <cellStyle name="好_8-其他应收款（空白模板） 3 2 2" xfId="30674"/>
    <cellStyle name="好_8-其他应收款（空白模板） 3 3" xfId="30675"/>
    <cellStyle name="好_8-其他应收款（空白模板） 3 3 2" xfId="30676"/>
    <cellStyle name="好_8-其他应收款（空白模板） 3 4" xfId="30677"/>
    <cellStyle name="好_8-其他应收款（空白模板） 4 2" xfId="30678"/>
    <cellStyle name="好_8-其他应收款（空白模板） 4 3" xfId="30679"/>
    <cellStyle name="好_8-其他应收款（空白模板） 4 4" xfId="30680"/>
    <cellStyle name="好_8-其他应收款（空白模板） 5" xfId="30681"/>
    <cellStyle name="好_8-其他应收款（空白模板） 6" xfId="30682"/>
    <cellStyle name="好_财务费用 15 2 2" xfId="30683"/>
    <cellStyle name="好_8-其他应收款（空白模板）_明细表 2" xfId="30684"/>
    <cellStyle name="好_财务费用 15 2 3" xfId="30685"/>
    <cellStyle name="好_8-其他应收款（空白模板）_明细表 3" xfId="30686"/>
    <cellStyle name="好_9-存货（空白模板） 4" xfId="30687"/>
    <cellStyle name="好_9管理费用 2 2" xfId="30688"/>
    <cellStyle name="好_9管理费用 2 3" xfId="30689"/>
    <cellStyle name="好_9管理费用 3 3" xfId="30690"/>
    <cellStyle name="好_9管理费用 5" xfId="30691"/>
    <cellStyle name="好_Book2 2" xfId="30692"/>
    <cellStyle name="好_Book2 2 2" xfId="30693"/>
    <cellStyle name="好_Book2 2 2 2" xfId="30694"/>
    <cellStyle name="好_Book2 2 2 3" xfId="30695"/>
    <cellStyle name="好_Book2 2 3" xfId="30696"/>
    <cellStyle name="好_无形资产 2_附注表一（财务报表）" xfId="30697"/>
    <cellStyle name="好_Book2 2 4" xfId="30698"/>
    <cellStyle name="好_Book2 3 3" xfId="30699"/>
    <cellStyle name="好_Book2 5" xfId="30700"/>
    <cellStyle name="好_F4应付账款 2 3" xfId="30701"/>
    <cellStyle name="好_F4应付账款 3" xfId="30702"/>
    <cellStyle name="好_F4应付账款 3 2" xfId="30703"/>
    <cellStyle name="好_F4应付账款 5" xfId="30704"/>
    <cellStyle name="好_FA 短期借款" xfId="30705"/>
    <cellStyle name="好_FA 短期借款 2" xfId="30706"/>
    <cellStyle name="好_FA 短期借款 2 2" xfId="30707"/>
    <cellStyle name="好_FA短期借款" xfId="30708"/>
    <cellStyle name="好_FA短期借款 2 2 2" xfId="30709"/>
    <cellStyle name="好_FA短期借款 2 2 3" xfId="30710"/>
    <cellStyle name="好_FA短期借款 3" xfId="30711"/>
    <cellStyle name="好_FA短期借款 3 2" xfId="30712"/>
    <cellStyle name="好_FA短期借款 3 3" xfId="30713"/>
    <cellStyle name="好_FA短期借款 4" xfId="30714"/>
    <cellStyle name="好_FA短期借款 4 2" xfId="30715"/>
    <cellStyle name="好_FA短期借款 5" xfId="30716"/>
    <cellStyle name="好_FA短期借款 5 2" xfId="30717"/>
    <cellStyle name="好_FA短期借款 5 3" xfId="30718"/>
    <cellStyle name="好_FA短期借款 6" xfId="30719"/>
    <cellStyle name="好_FA短期借款 7" xfId="30720"/>
    <cellStyle name="好_无形资产 7 2 3" xfId="30721"/>
    <cellStyle name="好_FB 交易性金融负债" xfId="30722"/>
    <cellStyle name="好_FB 交易性金融负债 2" xfId="30723"/>
    <cellStyle name="好_FB 交易性金融负债 2 2" xfId="30724"/>
    <cellStyle name="好_FB 交易性金融负债 2 3" xfId="30725"/>
    <cellStyle name="好_FB 交易性金融负债 3" xfId="30726"/>
    <cellStyle name="好_FB 交易性金融负债 4" xfId="30727"/>
    <cellStyle name="好_FD 应付账款" xfId="30728"/>
    <cellStyle name="好_FD应付账款" xfId="30729"/>
    <cellStyle name="好_FD应付账款 2 2" xfId="30730"/>
    <cellStyle name="好_FD应付账款 3" xfId="30731"/>
    <cellStyle name="好_FD应付账款 3 2" xfId="30732"/>
    <cellStyle name="好_FD应付账款 3 3" xfId="30733"/>
    <cellStyle name="好_FD应付账款 5" xfId="30734"/>
    <cellStyle name="好_FE预收款项" xfId="30735"/>
    <cellStyle name="好_FE预收款项 2" xfId="30736"/>
    <cellStyle name="好_FE预收款项 2 2" xfId="30737"/>
    <cellStyle name="好_FE预收款项 2 3" xfId="30738"/>
    <cellStyle name="好_FE预收款项 3" xfId="30739"/>
    <cellStyle name="好_FE预收款项 3 2" xfId="30740"/>
    <cellStyle name="好_FE预收款项 3 3" xfId="30741"/>
    <cellStyle name="好_营业收入 2_附注表一（财务报表）" xfId="30742"/>
    <cellStyle name="好_FE预收款项 4" xfId="30743"/>
    <cellStyle name="好_往来款项函证结果汇总表 2 2" xfId="30744"/>
    <cellStyle name="好_FF 应付职工薪酬" xfId="30745"/>
    <cellStyle name="好_往来款项函证结果汇总表 2 3" xfId="30746"/>
    <cellStyle name="好_FG  应交税费 2 2" xfId="30747"/>
    <cellStyle name="好_FG  应交税费 3" xfId="30748"/>
    <cellStyle name="好_往来款项函证结果汇总表 3 4" xfId="30749"/>
    <cellStyle name="好_FG  应交税费 3 3" xfId="30750"/>
    <cellStyle name="好_FG  应交税费 4" xfId="30751"/>
    <cellStyle name="好_FG  应交税费 5" xfId="30752"/>
    <cellStyle name="好_FG应交税费 2" xfId="30753"/>
    <cellStyle name="好_FG应交税费 2 2" xfId="30754"/>
    <cellStyle name="好_FG应交税费 2 3" xfId="30755"/>
    <cellStyle name="好_FG应交税费 3" xfId="30756"/>
    <cellStyle name="好_FG应交税费 4" xfId="30757"/>
    <cellStyle name="好_FG应交税费 5" xfId="30758"/>
    <cellStyle name="好_大信底稿目录 7" xfId="30759"/>
    <cellStyle name="好_FJ 其他应付款" xfId="30760"/>
    <cellStyle name="好_大信底稿目录 7 2" xfId="30761"/>
    <cellStyle name="好_FJ 其他应付款 2" xfId="30762"/>
    <cellStyle name="好_大信底稿目录 7 2 2" xfId="30763"/>
    <cellStyle name="好_FJ 其他应付款 2 2" xfId="30764"/>
    <cellStyle name="好_大信底稿目录 7 2 4" xfId="30765"/>
    <cellStyle name="好_FJ 其他应付款 2 4" xfId="30766"/>
    <cellStyle name="好_大信底稿目录 7 3" xfId="30767"/>
    <cellStyle name="好_FJ 其他应付款 3" xfId="30768"/>
    <cellStyle name="好_FJ 其他应付款 3 2" xfId="30769"/>
    <cellStyle name="好_大信底稿目录 7 4" xfId="30770"/>
    <cellStyle name="好_FJ 其他应付款 4" xfId="30771"/>
    <cellStyle name="好_FJ 其他应付款 4 2" xfId="30772"/>
    <cellStyle name="好_FJ 其他应付款 5" xfId="30773"/>
    <cellStyle name="好_FJ 其他应付款 5 2" xfId="30774"/>
    <cellStyle name="好_FJ 其他应付款 6" xfId="30775"/>
    <cellStyle name="好_FJ 其他应付款 7" xfId="30776"/>
    <cellStyle name="好_FJ其他应付款 2 2" xfId="30777"/>
    <cellStyle name="好_FJ其他应付款 2 2 2" xfId="30778"/>
    <cellStyle name="好_FJ其他应付款 2 4" xfId="30779"/>
    <cellStyle name="好_FJ其他应付款 4 2" xfId="30780"/>
    <cellStyle name="好_FJ其他应付款 4 3" xfId="30781"/>
    <cellStyle name="好_FK 长期借款 2" xfId="30782"/>
    <cellStyle name="好_FK长期借款 2 2" xfId="30783"/>
    <cellStyle name="好_FK长期借款 2 2 2" xfId="30784"/>
    <cellStyle name="好_FK长期借款 3" xfId="30785"/>
    <cellStyle name="好_其他应付款_明细表 2" xfId="30786"/>
    <cellStyle name="好_FK长期借款 3 2" xfId="30787"/>
    <cellStyle name="好_FK长期借款 4" xfId="30788"/>
    <cellStyle name="好_其他应付款_明细表 3" xfId="30789"/>
    <cellStyle name="好_FK长期借款 5" xfId="30790"/>
    <cellStyle name="好_其他应付款_明细表 4" xfId="30791"/>
    <cellStyle name="好_营业收入 9_附注表一（财务报表）" xfId="30792"/>
    <cellStyle name="好_FK长期借款 5 2" xfId="30793"/>
    <cellStyle name="好_FK长期借款 5 3" xfId="30794"/>
    <cellStyle name="好_FK长期借款 6" xfId="30795"/>
    <cellStyle name="好_其他应付款_明细表 5" xfId="30796"/>
    <cellStyle name="好_FK长期借款 7" xfId="30797"/>
    <cellStyle name="好_专项应付款 10 2 2" xfId="30798"/>
    <cellStyle name="好_FM长期应付款" xfId="30799"/>
    <cellStyle name="好_FM长期应付款 2" xfId="30800"/>
    <cellStyle name="好_FM长期应付款 2 2" xfId="30801"/>
    <cellStyle name="千位分隔 2 36 4" xfId="30802"/>
    <cellStyle name="好_FM长期应付款 2 2 2" xfId="30803"/>
    <cellStyle name="好_FM长期应付款 2 3" xfId="30804"/>
    <cellStyle name="好_FM长期应付款 2 4" xfId="30805"/>
    <cellStyle name="好_FM长期应付款 3" xfId="30806"/>
    <cellStyle name="好_FM长期应付款 4" xfId="30807"/>
    <cellStyle name="好_银行函证结果汇总表 3 5" xfId="30808"/>
    <cellStyle name="好_FM长期应付款 4 2" xfId="30809"/>
    <cellStyle name="好_FM长期应付款 5" xfId="30810"/>
    <cellStyle name="好_银行函证结果汇总表 4 5" xfId="30811"/>
    <cellStyle name="好_FM长期应付款 5 2" xfId="30812"/>
    <cellStyle name="好_FM长期应付款 7" xfId="30813"/>
    <cellStyle name="好_FO预计负债" xfId="30814"/>
    <cellStyle name="好_FO预计负债 2" xfId="30815"/>
    <cellStyle name="好_FO预计负债 2 2" xfId="30816"/>
    <cellStyle name="好_FO预计负债 2 2 2" xfId="30817"/>
    <cellStyle name="好_FO预计负债 2 3" xfId="30818"/>
    <cellStyle name="好_FO预计负债 2 4" xfId="30819"/>
    <cellStyle name="好_FO预计负债 3 3" xfId="30820"/>
    <cellStyle name="好_FO预计负债 4" xfId="30821"/>
    <cellStyle name="好_短期借款_附注表一（财务报表）" xfId="30822"/>
    <cellStyle name="好_FO预计负债 4 2" xfId="30823"/>
    <cellStyle name="好_FO预计负债 4 3" xfId="30824"/>
    <cellStyle name="好_FO预计负债 5" xfId="30825"/>
    <cellStyle name="好_FO预计负债 5 2" xfId="30826"/>
    <cellStyle name="好_FO预计负债 5 3" xfId="30827"/>
    <cellStyle name="好_FP递延所得税负债" xfId="30828"/>
    <cellStyle name="好_FP递延所得税负债 2 4" xfId="30829"/>
    <cellStyle name="好_FP递延所得税负债 5 2" xfId="30830"/>
    <cellStyle name="好_FP递延所得税负债 5 3" xfId="30831"/>
    <cellStyle name="好_应付职工薪酬 - 复制 4" xfId="30832"/>
    <cellStyle name="好_FQ 一年内到期的非流动负债" xfId="30833"/>
    <cellStyle name="好_G2 - Sales.091231.v3" xfId="30834"/>
    <cellStyle name="好_G2 - Sales.091231.v3 2" xfId="30835"/>
    <cellStyle name="好_G2 - Sales.091231.v3 3" xfId="30836"/>
    <cellStyle name="好_G2 - Sales.091231.v3 4" xfId="30837"/>
    <cellStyle name="好_G2 - Sales.091231.v3 5" xfId="30838"/>
    <cellStyle name="好_G2 Turnover Kaizhou 2" xfId="30839"/>
    <cellStyle name="好_G2 Turnover Kaizhou 3" xfId="30840"/>
    <cellStyle name="好_G2 Turnover Kaizhou 4" xfId="30841"/>
    <cellStyle name="好_G2 Turnover Kaizhou 5" xfId="30842"/>
    <cellStyle name="好_G2 Turnover Kaizhou 6" xfId="30843"/>
    <cellStyle name="好_G-应收账款 10" xfId="30844"/>
    <cellStyle name="好_G-应收账款 10 2" xfId="30845"/>
    <cellStyle name="好_G-应收账款 10 2 2" xfId="30846"/>
    <cellStyle name="好_G-应收账款 10 2 3" xfId="30847"/>
    <cellStyle name="好_G-应收账款 10 2 4" xfId="30848"/>
    <cellStyle name="好_G-应收账款 10 2 5" xfId="30849"/>
    <cellStyle name="好_G-应收账款 10 4" xfId="30850"/>
    <cellStyle name="好_G-应收账款 11" xfId="30851"/>
    <cellStyle name="好_短期借款 5_明细表 3" xfId="30852"/>
    <cellStyle name="好_G-应收账款 11 2 2" xfId="30853"/>
    <cellStyle name="好_短期借款 5_明细表 4" xfId="30854"/>
    <cellStyle name="好_G-应收账款 11 2 3" xfId="30855"/>
    <cellStyle name="好_G-应收账款 11_附注表一（财务报表）" xfId="30856"/>
    <cellStyle name="好_专项应付款 12_明细表 3" xfId="30857"/>
    <cellStyle name="好_G-应收账款 11_明细表" xfId="30858"/>
    <cellStyle name="好_G-应收账款 11_明细表 2" xfId="30859"/>
    <cellStyle name="好_G-应收账款 11_明细表 3" xfId="30860"/>
    <cellStyle name="好_G-应收账款 12" xfId="30861"/>
    <cellStyle name="好_G-应收账款 12_明细表 4" xfId="30862"/>
    <cellStyle name="好_G-应收账款 12_明细表 5" xfId="30863"/>
    <cellStyle name="好_G-应收账款 13" xfId="30864"/>
    <cellStyle name="好_G-应收账款 13_明细表" xfId="30865"/>
    <cellStyle name="好_G-应收账款 13_明细表 2" xfId="30866"/>
    <cellStyle name="好_G-应收账款 13_明细表 3" xfId="30867"/>
    <cellStyle name="好_G-应收账款 13_明细表 4" xfId="30868"/>
    <cellStyle name="好_营业收入 8_明细表 2" xfId="30869"/>
    <cellStyle name="好_G-应收账款 14" xfId="30870"/>
    <cellStyle name="好_G-应收账款 14_明细表" xfId="30871"/>
    <cellStyle name="好_G-应收账款 14_明细表 4" xfId="30872"/>
    <cellStyle name="好_短期借款 15 2 2" xfId="30873"/>
    <cellStyle name="好_G-应收账款 14_明细表 5" xfId="30874"/>
    <cellStyle name="好_营业收入 8_明细表 3" xfId="30875"/>
    <cellStyle name="好_G-应收账款 15" xfId="30876"/>
    <cellStyle name="好_G-应收账款 20" xfId="30877"/>
    <cellStyle name="好_G-应收账款 15 2 3" xfId="30878"/>
    <cellStyle name="好_G-应收账款 15 2 5" xfId="30879"/>
    <cellStyle name="好_G-应收账款 15 5" xfId="30880"/>
    <cellStyle name="好_现金流量表关联方" xfId="30881"/>
    <cellStyle name="好_G-应收账款 15 6" xfId="30882"/>
    <cellStyle name="好_营业收入 8_明细表 4" xfId="30883"/>
    <cellStyle name="好_G-应收账款 16" xfId="30884"/>
    <cellStyle name="好_G-应收账款 21" xfId="30885"/>
    <cellStyle name="好_Sheet1_明细表 5" xfId="30886"/>
    <cellStyle name="好_G-应收账款 16 2 3" xfId="30887"/>
    <cellStyle name="好_G-应收账款 16 2 4" xfId="30888"/>
    <cellStyle name="好_G-应收账款 16 5" xfId="30889"/>
    <cellStyle name="好_G-应收账款 16 6" xfId="30890"/>
    <cellStyle name="好_G-应收账款 17 4" xfId="30891"/>
    <cellStyle name="好_G-应收账款 17 5" xfId="30892"/>
    <cellStyle name="好_G-应收账款 18" xfId="30893"/>
    <cellStyle name="好_G-应收账款 23" xfId="30894"/>
    <cellStyle name="好_G-应收账款 19" xfId="30895"/>
    <cellStyle name="好_G-应收账款 24" xfId="30896"/>
    <cellStyle name="好_G-应收账款 2" xfId="30897"/>
    <cellStyle name="好_G-应收账款 2 2 2" xfId="30898"/>
    <cellStyle name="好_营业收入 3_附注表一（财务报表）" xfId="30899"/>
    <cellStyle name="好_G-应收账款 2 2 3" xfId="30900"/>
    <cellStyle name="好_G-应收账款 2 2 4" xfId="30901"/>
    <cellStyle name="好_G-应收账款 2 6" xfId="30902"/>
    <cellStyle name="适中 2 4 4" xfId="30903"/>
    <cellStyle name="好_G-应收账款 2_明细表 2" xfId="30904"/>
    <cellStyle name="适中 2 4 5" xfId="30905"/>
    <cellStyle name="好_G-应收账款 2_明细表 3" xfId="30906"/>
    <cellStyle name="适中 2 4 6" xfId="30907"/>
    <cellStyle name="好_G-应收账款 2_明细表 4" xfId="30908"/>
    <cellStyle name="好_应收票据 3 2" xfId="30909"/>
    <cellStyle name="好_G-应收账款 25" xfId="30910"/>
    <cellStyle name="好_G-应收账款 30" xfId="30911"/>
    <cellStyle name="好_G-应收账款 27" xfId="30912"/>
    <cellStyle name="好_G-应收账款 32" xfId="30913"/>
    <cellStyle name="好_G-应收账款 3" xfId="30914"/>
    <cellStyle name="好_G-应收账款 3 2" xfId="30915"/>
    <cellStyle name="好_G-应收账款 3 2 2" xfId="30916"/>
    <cellStyle name="好_G-应收账款 3 2 4" xfId="30917"/>
    <cellStyle name="好_G-应收账款 3 2 5" xfId="30918"/>
    <cellStyle name="好_G-应收账款 3 5" xfId="30919"/>
    <cellStyle name="好_G-应收账款 3_明细表" xfId="30920"/>
    <cellStyle name="好_G-应收账款 3_明细表 2" xfId="30921"/>
    <cellStyle name="好_G-应收账款 3_明细表 3" xfId="30922"/>
    <cellStyle name="好_G-应收账款 4 2 2" xfId="30923"/>
    <cellStyle name="好_G-应收账款 4 2 3" xfId="30924"/>
    <cellStyle name="好_G-应收账款 4 2 4" xfId="30925"/>
    <cellStyle name="好_G-应收账款 4 4" xfId="30926"/>
    <cellStyle name="好_G-应收账款 4 5" xfId="30927"/>
    <cellStyle name="好_G-应收账款 4_附注表一（财务报表）" xfId="30928"/>
    <cellStyle name="好_G-应收账款 4_明细表 5" xfId="30929"/>
    <cellStyle name="好_G-应收账款 5 2" xfId="30930"/>
    <cellStyle name="好_G-应收账款 5 2 2" xfId="30931"/>
    <cellStyle name="好_G-应收账款 5 2 5" xfId="30932"/>
    <cellStyle name="好_G-应收账款 5 3" xfId="30933"/>
    <cellStyle name="好_大信底稿目录 13 2 3" xfId="30934"/>
    <cellStyle name="好_G-应收账款 5 3 2" xfId="30935"/>
    <cellStyle name="好_G-应收账款 5 4" xfId="30936"/>
    <cellStyle name="好_G-应收账款 5 5" xfId="30937"/>
    <cellStyle name="好_G-应收账款 5_明细表 2" xfId="30938"/>
    <cellStyle name="好_G-应收账款 5_明细表 3" xfId="30939"/>
    <cellStyle name="好_ZA0货币资金审定表  13 2 2" xfId="30940"/>
    <cellStyle name="好_G-应收账款 5_明细表 5" xfId="30941"/>
    <cellStyle name="好_G-应收账款 6 2" xfId="30942"/>
    <cellStyle name="好_G-应收账款 6 2 5" xfId="30943"/>
    <cellStyle name="好_G-应收账款 6 3" xfId="30944"/>
    <cellStyle name="好_G-应收账款 6 4" xfId="30945"/>
    <cellStyle name="好_G-应收账款 6 5" xfId="30946"/>
    <cellStyle name="好_G-应收账款 6_附注表一（财务报表）" xfId="30947"/>
    <cellStyle name="好_G-应收账款 6_明细表 2" xfId="30948"/>
    <cellStyle name="好_G-应收账款 6_明细表 3" xfId="30949"/>
    <cellStyle name="好_G-应收账款 6_明细表 4" xfId="30950"/>
    <cellStyle name="好_G-应收账款 7 2" xfId="30951"/>
    <cellStyle name="好_G-应收账款 7 2 2" xfId="30952"/>
    <cellStyle name="好_G-应收账款 7 2 3" xfId="30953"/>
    <cellStyle name="好_G-应收账款 7 2 4" xfId="30954"/>
    <cellStyle name="好_G-应收账款 7 2 5" xfId="30955"/>
    <cellStyle name="好_G-应收账款 7 3" xfId="30956"/>
    <cellStyle name="好_底稿设置宏 5_明细表 2" xfId="30957"/>
    <cellStyle name="好_G-应收账款 7 4" xfId="30958"/>
    <cellStyle name="好_预收款项 25" xfId="30959"/>
    <cellStyle name="好_预收款项 30" xfId="30960"/>
    <cellStyle name="好_G-应收账款 7_明细表" xfId="30961"/>
    <cellStyle name="好_G-应收账款 7_明细表 5" xfId="30962"/>
    <cellStyle name="好_G-应收账款 8" xfId="30963"/>
    <cellStyle name="好_G-应收账款 8 2" xfId="30964"/>
    <cellStyle name="好_G-应收账款 8 2 2" xfId="30965"/>
    <cellStyle name="好_应付账款 - 复制 3 2" xfId="30966"/>
    <cellStyle name="好_G-应收账款 8 2 5" xfId="30967"/>
    <cellStyle name="好_G-应收账款 8 4" xfId="30968"/>
    <cellStyle name="好_G-应收账款 8_明细表 2" xfId="30969"/>
    <cellStyle name="好_G-应收账款 8_明细表 3" xfId="30970"/>
    <cellStyle name="好_G-应收账款 8_明细表 4" xfId="30971"/>
    <cellStyle name="好_G-应收账款 8_明细表 5" xfId="30972"/>
    <cellStyle name="好_G-应收账款 9 2 2" xfId="30973"/>
    <cellStyle name="好_G-应收账款 9 2 3" xfId="30974"/>
    <cellStyle name="好_G-应收账款 9 2 5" xfId="30975"/>
    <cellStyle name="好_G-应收账款 9 4" xfId="30976"/>
    <cellStyle name="好_G-应收账款 9_附注表一（财务报表）" xfId="30977"/>
    <cellStyle name="好_G-应收账款 9_明细表" xfId="30978"/>
    <cellStyle name="好_G-应收账款 9_明细表 5" xfId="30979"/>
    <cellStyle name="好_G-应收账款_明细表" xfId="30980"/>
    <cellStyle name="好_G-应收账款_明细表 2 5" xfId="30981"/>
    <cellStyle name="好_递延所得税负债 - 复制 3" xfId="30982"/>
    <cellStyle name="好_G-应收账款_明细表 4" xfId="30983"/>
    <cellStyle name="好_递延所得税负债 - 复制 4" xfId="30984"/>
    <cellStyle name="好_G-应收账款_明细表 5" xfId="30985"/>
    <cellStyle name="好_G-应收账款_明细表_1" xfId="30986"/>
    <cellStyle name="好_G-应收账款_明细表_1 2" xfId="30987"/>
    <cellStyle name="好_G-应收账款_明细表_1 3" xfId="30988"/>
    <cellStyle name="好_QB资本公积 2" xfId="30989"/>
    <cellStyle name="好_QB资本公积 2 3" xfId="30990"/>
    <cellStyle name="好_QB资本公积 3" xfId="30991"/>
    <cellStyle name="好_QB资本公积 3 3" xfId="30992"/>
    <cellStyle name="好_QD 未分配利润 2" xfId="30993"/>
    <cellStyle name="好_S11-1营业外收入审定表 2" xfId="30994"/>
    <cellStyle name="好_S1-1营业收入审定表" xfId="30995"/>
    <cellStyle name="好_S1-1营业收入审定表 2" xfId="30996"/>
    <cellStyle name="好_固定资产循环7-1 2" xfId="30997"/>
    <cellStyle name="好_S1-营业收入" xfId="30998"/>
    <cellStyle name="好_固定资产循环7-1 2 2" xfId="30999"/>
    <cellStyle name="好_S1-营业收入 2" xfId="31000"/>
    <cellStyle name="好_S4销售费用 2" xfId="31001"/>
    <cellStyle name="好_银行函证结果汇总表 9 3" xfId="31002"/>
    <cellStyle name="好_SA保险业务收入 2 3" xfId="31003"/>
    <cellStyle name="好_Sheet1" xfId="31004"/>
    <cellStyle name="好_Sheet1 2 2" xfId="31005"/>
    <cellStyle name="好_Sheet1 2 3" xfId="31006"/>
    <cellStyle name="好_Sheet1 2 8" xfId="31007"/>
    <cellStyle name="好_Sheet1 2 9" xfId="31008"/>
    <cellStyle name="好_Sheet1 3" xfId="31009"/>
    <cellStyle name="好_Sheet1 3 2" xfId="31010"/>
    <cellStyle name="好_Sheet1 3 3" xfId="31011"/>
    <cellStyle name="好_Sheet1 3 4" xfId="31012"/>
    <cellStyle name="好_Sheet1 4" xfId="31013"/>
    <cellStyle name="好_Sheet1 4 2" xfId="31014"/>
    <cellStyle name="好_Sheet1 4 3" xfId="31015"/>
    <cellStyle name="好_Sheet1 5" xfId="31016"/>
    <cellStyle name="好_大信底稿目录 5 2 3" xfId="31017"/>
    <cellStyle name="输出 2 2 4" xfId="31018"/>
    <cellStyle name="好_Sheet1 5 2" xfId="31019"/>
    <cellStyle name="好_大信底稿目录 5 2 4" xfId="31020"/>
    <cellStyle name="输出 2 2 5" xfId="31021"/>
    <cellStyle name="好_Sheet1 5 3" xfId="31022"/>
    <cellStyle name="好_Sheet1_附注表一（财务报表）" xfId="31023"/>
    <cellStyle name="好_Sheet1_明细表" xfId="31024"/>
    <cellStyle name="好_Sheet1_明细表 3" xfId="31025"/>
    <cellStyle name="好_SK营业外支出" xfId="31026"/>
    <cellStyle name="好_Spreadsheet 4" xfId="31027"/>
    <cellStyle name="好_Spreadsheet 5" xfId="31028"/>
    <cellStyle name="好_StartUp" xfId="31029"/>
    <cellStyle name="好_无形资产 6 4" xfId="31030"/>
    <cellStyle name="好_固定资产_明细表 3" xfId="31031"/>
    <cellStyle name="好_底稿设置宏 7_明细表" xfId="31032"/>
    <cellStyle name="好_StartUp 2" xfId="31033"/>
    <cellStyle name="好_Turnover" xfId="31034"/>
    <cellStyle name="好_Turnover 4" xfId="31035"/>
    <cellStyle name="好_Turnover 5" xfId="31036"/>
    <cellStyle name="好_Z10一年内到期的非流动资产" xfId="31037"/>
    <cellStyle name="好_Z10一年内到期的非流动资产 4" xfId="31038"/>
    <cellStyle name="好_Z10一年内到期的非流动资产 5" xfId="31039"/>
    <cellStyle name="好_Z11其它流动资产" xfId="31040"/>
    <cellStyle name="好_Z11其它流动资产 5" xfId="31041"/>
    <cellStyle name="好_Z14-长期应收款（函证汇总表样本）" xfId="31042"/>
    <cellStyle name="好_Z14-长期应收款（函证汇总表样本） 3" xfId="31043"/>
    <cellStyle name="好_Z3应收票据" xfId="31044"/>
    <cellStyle name="好_Z4应收账款" xfId="31045"/>
    <cellStyle name="好_Z4应收账款 2 2" xfId="31046"/>
    <cellStyle name="好_Z4应收账款 2 3" xfId="31047"/>
    <cellStyle name="好_Z4应收账款 3 2" xfId="31048"/>
    <cellStyle name="好_Z4应收账款 3 3" xfId="31049"/>
    <cellStyle name="好_Z4应收账款 4" xfId="31050"/>
    <cellStyle name="好_Z4应收账款 5" xfId="31051"/>
    <cellStyle name="好_Z5-300函证结果汇总表" xfId="31052"/>
    <cellStyle name="好_Z6应收利息" xfId="31053"/>
    <cellStyle name="好_Z6应收利息 2" xfId="31054"/>
    <cellStyle name="好_ZA0货币资金审定表  10" xfId="31055"/>
    <cellStyle name="好_无形资产 9 4" xfId="31056"/>
    <cellStyle name="好_ZA0货币资金审定表  10 2" xfId="31057"/>
    <cellStyle name="好_ZA0货币资金审定表  10 2 2" xfId="31058"/>
    <cellStyle name="好_ZA0货币资金审定表  10 2 3" xfId="31059"/>
    <cellStyle name="好_ZA0货币资金审定表  10 2 4" xfId="31060"/>
    <cellStyle name="好_ZA0货币资金审定表  10 2 5" xfId="31061"/>
    <cellStyle name="好_ZA0货币资金审定表  10 3" xfId="31062"/>
    <cellStyle name="好_ZA0货币资金审定表  10_明细表 2" xfId="31063"/>
    <cellStyle name="好_ZA0货币资金审定表  10_明细表 5" xfId="31064"/>
    <cellStyle name="好_ZA0货币资金审定表  11" xfId="31065"/>
    <cellStyle name="好_ZA0货币资金审定表  11 2" xfId="31066"/>
    <cellStyle name="好_ZA0货币资金审定表  11 2 2" xfId="31067"/>
    <cellStyle name="好_ZA0货币资金审定表  11 2 3" xfId="31068"/>
    <cellStyle name="好_ZA0货币资金审定表  11 2 4" xfId="31069"/>
    <cellStyle name="好_ZA0货币资金审定表  11 2 5" xfId="31070"/>
    <cellStyle name="好_ZA0货币资金审定表  11 3" xfId="31071"/>
    <cellStyle name="好_ZA0货币资金审定表  11_明细表" xfId="31072"/>
    <cellStyle name="好_ZA0货币资金审定表  12 2" xfId="31073"/>
    <cellStyle name="好_ZA0货币资金审定表  12 2 4" xfId="31074"/>
    <cellStyle name="好_ZA0货币资金审定表  12 2 5" xfId="31075"/>
    <cellStyle name="好_ZA0货币资金审定表  12 3" xfId="31076"/>
    <cellStyle name="好_ZA0货币资金审定表  12_附注表一（财务报表）" xfId="31077"/>
    <cellStyle name="好_ZA0货币资金审定表  12_明细表" xfId="31078"/>
    <cellStyle name="好_银行函证结果汇总表 12_明细表" xfId="31079"/>
    <cellStyle name="好_ZA0货币资金审定表  12_明细表 2" xfId="31080"/>
    <cellStyle name="好_ZA0货币资金审定表  12_明细表 3" xfId="31081"/>
    <cellStyle name="好_实地观察模板 2" xfId="31082"/>
    <cellStyle name="好_ZA0货币资金审定表  12_明细表 4" xfId="31083"/>
    <cellStyle name="好_实地观察模板 3" xfId="31084"/>
    <cellStyle name="好_ZA0货币资金审定表  12_明细表 5" xfId="31085"/>
    <cellStyle name="好_ZA0货币资金审定表  13" xfId="31086"/>
    <cellStyle name="好_ZA0货币资金审定表  13 2" xfId="31087"/>
    <cellStyle name="好_ZA0货币资金审定表  13 2 4" xfId="31088"/>
    <cellStyle name="好_ZA0货币资金审定表  13 2 5" xfId="31089"/>
    <cellStyle name="好_ZA0货币资金审定表  13_明细表 2" xfId="31090"/>
    <cellStyle name="好_ZA0货币资金审定表  13_明细表 3" xfId="31091"/>
    <cellStyle name="好_ZA0货币资金审定表  13_明细表 4" xfId="31092"/>
    <cellStyle name="好_ZA0货币资金审定表  13_明细表 5" xfId="31093"/>
    <cellStyle name="好_ZA0货币资金审定表  14 2" xfId="31094"/>
    <cellStyle name="好_ZA0货币资金审定表  14_明细表 2" xfId="31095"/>
    <cellStyle name="好_ZA0货币资金审定表  14_明细表 3" xfId="31096"/>
    <cellStyle name="好_ZA0货币资金审定表  14_明细表 4" xfId="31097"/>
    <cellStyle name="好_检查情况表 3" xfId="31098"/>
    <cellStyle name="好_ZA0货币资金审定表  16 4" xfId="31099"/>
    <cellStyle name="好_检查情况表 4" xfId="31100"/>
    <cellStyle name="好_ZA0货币资金审定表  16 5" xfId="31101"/>
    <cellStyle name="好_ZA0货币资金审定表  17 2" xfId="31102"/>
    <cellStyle name="好_ZA0货币资金审定表  17 3" xfId="31103"/>
    <cellStyle name="好_ZA0货币资金审定表  17 5" xfId="31104"/>
    <cellStyle name="好_固定资产 9_附注表一（财务报表）" xfId="31105"/>
    <cellStyle name="好_ZA0货币资金审定表  18" xfId="31106"/>
    <cellStyle name="好_ZA0货币资金审定表  23" xfId="31107"/>
    <cellStyle name="好_资产负债标准底稿_大信底稿目录 2" xfId="31108"/>
    <cellStyle name="好_ZA0货币资金审定表  2 2 2" xfId="31109"/>
    <cellStyle name="好_资产负债标准底稿_大信底稿目录 2 2" xfId="31110"/>
    <cellStyle name="千位分隔 14 8" xfId="31111"/>
    <cellStyle name="好_ZA0货币资金审定表  2 2 2 2" xfId="31112"/>
    <cellStyle name="好_ZA0货币资金审定表  2 3 3" xfId="31113"/>
    <cellStyle name="好_ZA0货币资金审定表  2_明细表" xfId="31114"/>
    <cellStyle name="好_ZA0货币资金审定表  2_明细表 2" xfId="31115"/>
    <cellStyle name="好_ZA0货币资金审定表  2_明细表 3" xfId="31116"/>
    <cellStyle name="好_ZH其他应收款 2 3" xfId="31117"/>
    <cellStyle name="好_ZA0货币资金审定表  26" xfId="31118"/>
    <cellStyle name="好_ZA0货币资金审定表  31" xfId="31119"/>
    <cellStyle name="好_ZH其他应收款 2 4" xfId="31120"/>
    <cellStyle name="好_ZA0货币资金审定表  27" xfId="31121"/>
    <cellStyle name="好_ZA0货币资金审定表  32" xfId="31122"/>
    <cellStyle name="好_ZA0货币资金审定表  28" xfId="31123"/>
    <cellStyle name="好_ZA0货币资金审定表  33" xfId="31124"/>
    <cellStyle name="好_ZA0货币资金审定表  29" xfId="31125"/>
    <cellStyle name="好_ZA0货币资金审定表  34" xfId="31126"/>
    <cellStyle name="好_ZA0货币资金审定表  3 2" xfId="31127"/>
    <cellStyle name="好_ZA0货币资金审定表  3 2 2" xfId="31128"/>
    <cellStyle name="好_ZA0货币资金审定表  3 2 5" xfId="31129"/>
    <cellStyle name="好_ZA0货币资金审定表  3 2 6" xfId="31130"/>
    <cellStyle name="好_ZA0货币资金审定表  3 3" xfId="31131"/>
    <cellStyle name="好_无形资产_明细表 2 4" xfId="31132"/>
    <cellStyle name="好_底稿设置宏_大信底稿目录_明细表 6" xfId="31133"/>
    <cellStyle name="好_ZA0货币资金审定表  3_附注表一（财务报表）" xfId="31134"/>
    <cellStyle name="好_ZA0货币资金审定表  4 2" xfId="31135"/>
    <cellStyle name="好_ZA0货币资金审定表  4_明细表 2" xfId="31136"/>
    <cellStyle name="好_ZA0货币资金审定表  4_明细表 5" xfId="31137"/>
    <cellStyle name="好_ZA0货币资金审定表  5 2 2" xfId="31138"/>
    <cellStyle name="好_ZA0货币资金审定表  5 2 3" xfId="31139"/>
    <cellStyle name="好_ZA0货币资金审定表  5 3" xfId="31140"/>
    <cellStyle name="好_ZA0货币资金审定表  5 3 2" xfId="31141"/>
    <cellStyle name="好_ZA0货币资金审定表  5_附注表一（财务报表）" xfId="31142"/>
    <cellStyle name="好_ZA0货币资金审定表  5_明细表 2" xfId="31143"/>
    <cellStyle name="好_ZA0货币资金审定表  5_明细表 3" xfId="31144"/>
    <cellStyle name="好_ZA0货币资金审定表  5_明细表 4" xfId="31145"/>
    <cellStyle name="好_ZA0货币资金审定表  5_明细表 5" xfId="31146"/>
    <cellStyle name="好_ZA0货币资金审定表  6" xfId="31147"/>
    <cellStyle name="好_银行函证结果汇总表_固定资产 2" xfId="31148"/>
    <cellStyle name="好_ZA0货币资金审定表  6 2 6" xfId="31149"/>
    <cellStyle name="好_ZA0货币资金审定表  6 3" xfId="31150"/>
    <cellStyle name="好_ZA0货币资金审定表  6_附注表一（财务报表）" xfId="31151"/>
    <cellStyle name="好_ZA0货币资金审定表  6_明细表" xfId="31152"/>
    <cellStyle name="好_ZA0货币资金审定表  6_明细表 2" xfId="31153"/>
    <cellStyle name="好_ZA0货币资金审定表  6_明细表 3" xfId="31154"/>
    <cellStyle name="好_ZA0货币资金审定表  6_明细表 4" xfId="31155"/>
    <cellStyle name="好_ZA0货币资金审定表  7" xfId="31156"/>
    <cellStyle name="好_ZA0货币资金审定表  7 2" xfId="31157"/>
    <cellStyle name="好_ZA0货币资金审定表  7 2 3" xfId="31158"/>
    <cellStyle name="好_ZA0货币资金审定表  7 2 4" xfId="31159"/>
    <cellStyle name="好_ZA0货币资金审定表  7 3" xfId="31160"/>
    <cellStyle name="好_ZA0货币资金审定表  7 4" xfId="31161"/>
    <cellStyle name="好_ZA0货币资金审定表  7_明细表" xfId="31162"/>
    <cellStyle name="好_明细表 3" xfId="31163"/>
    <cellStyle name="好_ZA0货币资金审定表  7_明细表 2" xfId="31164"/>
    <cellStyle name="好_明细表 4" xfId="31165"/>
    <cellStyle name="好_ZA0货币资金审定表  7_明细表 3" xfId="31166"/>
    <cellStyle name="好_明细表 5" xfId="31167"/>
    <cellStyle name="好_ZA0货币资金审定表  7_明细表 4" xfId="31168"/>
    <cellStyle name="好_明细表 6" xfId="31169"/>
    <cellStyle name="千分位 2 2" xfId="31170"/>
    <cellStyle name="好_ZA0货币资金审定表  7_明细表 5" xfId="31171"/>
    <cellStyle name="好_ZA0货币资金审定表  8" xfId="31172"/>
    <cellStyle name="好_营业收入 16" xfId="31173"/>
    <cellStyle name="好_营业收入 21" xfId="31174"/>
    <cellStyle name="好_ZA0货币资金审定表  8 2" xfId="31175"/>
    <cellStyle name="好_营业收入 16 2" xfId="31176"/>
    <cellStyle name="好_ZA0货币资金审定表  8 2 2" xfId="31177"/>
    <cellStyle name="好_营业收入 16 3" xfId="31178"/>
    <cellStyle name="好_ZA0货币资金审定表  8 2 3" xfId="31179"/>
    <cellStyle name="好_营业收入 16 4" xfId="31180"/>
    <cellStyle name="好_ZA0货币资金审定表  8 2 4" xfId="31181"/>
    <cellStyle name="好_营业收入 17" xfId="31182"/>
    <cellStyle name="好_营业收入 22" xfId="31183"/>
    <cellStyle name="好_ZA0货币资金审定表  8 3" xfId="31184"/>
    <cellStyle name="好_ZA0货币资金审定表  8_明细表" xfId="31185"/>
    <cellStyle name="好_ZA0货币资金审定表  8_明细表 2" xfId="31186"/>
    <cellStyle name="好_ZA0货币资金审定表  8_明细表 3" xfId="31187"/>
    <cellStyle name="好_ZA0货币资金审定表  8_明细表 4" xfId="31188"/>
    <cellStyle name="好_ZA0货币资金审定表  8_明细表 5" xfId="31189"/>
    <cellStyle name="好_ZA0货币资金审定表  9" xfId="31190"/>
    <cellStyle name="好_ZA0货币资金审定表  9 2" xfId="31191"/>
    <cellStyle name="好_ZA0货币资金审定表  9_附注表一（财务报表）" xfId="31192"/>
    <cellStyle name="好_ZA0货币资金审定表 _Book2" xfId="31193"/>
    <cellStyle name="好_大信底稿目录 4" xfId="31194"/>
    <cellStyle name="好_ZA0货币资金审定表 _固定资产 2" xfId="31195"/>
    <cellStyle name="好_ZA0货币资金审定表 _明细表 2 3" xfId="31196"/>
    <cellStyle name="好_ZA0货币资金审定表 _明细表 4" xfId="31197"/>
    <cellStyle name="好_ZA0货币资金审定表 _明细表 5" xfId="31198"/>
    <cellStyle name="好_ZA0货币资金审定表 _明细表_1" xfId="31199"/>
    <cellStyle name="好_ZA0货币资金审定表 _明细表_1 3" xfId="31200"/>
    <cellStyle name="好_资产负债标准底稿 8 4" xfId="31201"/>
    <cellStyle name="好_ZA0货币资金审定表 _明细表_1 4" xfId="31202"/>
    <cellStyle name="好_审定表 2 3" xfId="31203"/>
    <cellStyle name="好_ZA0货币资金审定表 _应收账款" xfId="31204"/>
    <cellStyle name="好_ZA0货币资金审定表 _应收账款 2" xfId="31205"/>
    <cellStyle name="好_ZA货币资金 2" xfId="31206"/>
    <cellStyle name="好_ZA货币资金 2 2" xfId="31207"/>
    <cellStyle name="好_ZA货币资金 2 3" xfId="31208"/>
    <cellStyle name="好_ZA货币资金 2 4" xfId="31209"/>
    <cellStyle name="好_ZA货币资金 3 2" xfId="31210"/>
    <cellStyle name="好_ZA货币资金 3 3" xfId="31211"/>
    <cellStyle name="好_ZA货币资金 4 2" xfId="31212"/>
    <cellStyle name="好_ZA货币资金 5 3" xfId="31213"/>
    <cellStyle name="好_营业收入 17 2" xfId="31214"/>
    <cellStyle name="好_ZD 应收账款" xfId="31215"/>
    <cellStyle name="好_营业收入 3 2 6" xfId="31216"/>
    <cellStyle name="好_ZD 应收账款 2 3" xfId="31217"/>
    <cellStyle name="好_ZD 应收账款 2 4" xfId="31218"/>
    <cellStyle name="好_底稿设置宏_大信底稿目录 9 2" xfId="31219"/>
    <cellStyle name="好_ZD应收账款 2 2" xfId="31220"/>
    <cellStyle name="好_底稿设置宏_大信底稿目录 9 2 2" xfId="31221"/>
    <cellStyle name="好_ZD应收账款 2 2 2" xfId="31222"/>
    <cellStyle name="好_底稿设置宏_大信底稿目录 9 2 3" xfId="31223"/>
    <cellStyle name="好_ZD应收账款 2 2 3" xfId="31224"/>
    <cellStyle name="好_底稿设置宏_大信底稿目录 9 3" xfId="31225"/>
    <cellStyle name="好_ZD应收账款 2 3" xfId="31226"/>
    <cellStyle name="好_应收账款 6 3" xfId="31227"/>
    <cellStyle name="好_ZQ工程物资 4 3" xfId="31228"/>
    <cellStyle name="好_ZD应收账款 3" xfId="31229"/>
    <cellStyle name="好_ZD应收账款 3 2" xfId="31230"/>
    <cellStyle name="好_ZD应收账款 3 3" xfId="31231"/>
    <cellStyle name="好_ZD应收账款 4 3" xfId="31232"/>
    <cellStyle name="好_ZD应收账款 5" xfId="31233"/>
    <cellStyle name="好_银行函证结果汇总表 6_附注表一（财务报表）" xfId="31234"/>
    <cellStyle name="好_ZD应收账款 5 2" xfId="31235"/>
    <cellStyle name="好_ZD应收账款 5 3" xfId="31236"/>
    <cellStyle name="好_ZE买入返售金融证券" xfId="31237"/>
    <cellStyle name="好_ZE买入返售金融证券 2" xfId="31238"/>
    <cellStyle name="好_ZE买入返售金融证券 3" xfId="31239"/>
    <cellStyle name="好_ZE买入返售金融证券 4" xfId="31240"/>
    <cellStyle name="好_专项应付款 3_明细表" xfId="31241"/>
    <cellStyle name="好_ZE买入返售金融证券 4 3" xfId="31242"/>
    <cellStyle name="好_ZE买入返售金融证券 5" xfId="31243"/>
    <cellStyle name="好_附件3存货监盘 4" xfId="31244"/>
    <cellStyle name="好_ZE买入返售金融证券 5 3" xfId="31245"/>
    <cellStyle name="好_ZF应收利息" xfId="31246"/>
    <cellStyle name="好_应收利息 10_明细表 3" xfId="31247"/>
    <cellStyle name="好_ZG应收保费" xfId="31248"/>
    <cellStyle name="好_ZG应收保费 2" xfId="31249"/>
    <cellStyle name="好_ZG应收保费 2 2 3" xfId="31250"/>
    <cellStyle name="好_ZG应收保费 3" xfId="31251"/>
    <cellStyle name="好_ZG应收保费 3 2" xfId="31252"/>
    <cellStyle name="好_ZG应收保费 3 3" xfId="31253"/>
    <cellStyle name="好_ZG应收保费 4 2" xfId="31254"/>
    <cellStyle name="好_ZG应收保费 5" xfId="31255"/>
    <cellStyle name="好_ZG应收保费 5 2" xfId="31256"/>
    <cellStyle name="好_ZG应收保费 5 3" xfId="31257"/>
    <cellStyle name="好_ZH其他应收款" xfId="31258"/>
    <cellStyle name="好_存货 5" xfId="31259"/>
    <cellStyle name="好_ZH其他应收款 2 2 2" xfId="31260"/>
    <cellStyle name="好_ZI存货 2" xfId="31261"/>
    <cellStyle name="好_ZI存货 3" xfId="31262"/>
    <cellStyle name="好_ZI存货 4" xfId="31263"/>
    <cellStyle name="好_应收利息_Book2" xfId="31264"/>
    <cellStyle name="好_ZL长期应收款" xfId="31265"/>
    <cellStyle name="好_ZL长期应收款 2 2" xfId="31266"/>
    <cellStyle name="好_ZL长期应收款 2 2 3" xfId="31267"/>
    <cellStyle name="好_应收账款_明细表" xfId="31268"/>
    <cellStyle name="好_ZL长期应收款 2 3" xfId="31269"/>
    <cellStyle name="好_ZL长期应收款 2 4" xfId="31270"/>
    <cellStyle name="好_ZL长期应收款 3 3" xfId="31271"/>
    <cellStyle name="好_ZL长期应收款 4 2" xfId="31272"/>
    <cellStyle name="好_ZL长期应收款 5" xfId="31273"/>
    <cellStyle name="好_ZL长期应收款 5 2" xfId="31274"/>
    <cellStyle name="好_ZO固定资产" xfId="31275"/>
    <cellStyle name="好_ZO固定资产 2" xfId="31276"/>
    <cellStyle name="好_ZO固定资产 3" xfId="31277"/>
    <cellStyle name="好_ZP在建工程" xfId="31278"/>
    <cellStyle name="好_ZP在建工程 2" xfId="31279"/>
    <cellStyle name="好_ZP在建工程 2 2 3" xfId="31280"/>
    <cellStyle name="好_ZP在建工程 3" xfId="31281"/>
    <cellStyle name="好_ZP在建工程 3 2" xfId="31282"/>
    <cellStyle name="好_ZP在建工程 3 3" xfId="31283"/>
    <cellStyle name="好_ZP在建工程 4" xfId="31284"/>
    <cellStyle name="好_ZP在建工程 4 3" xfId="31285"/>
    <cellStyle name="好_ZP在建工程 5" xfId="31286"/>
    <cellStyle name="好_ZP在建工程 5 2" xfId="31287"/>
    <cellStyle name="好_ZP在建工程 5 3" xfId="31288"/>
    <cellStyle name="好_ZQ工程物资" xfId="31289"/>
    <cellStyle name="好_应收账款 4" xfId="31290"/>
    <cellStyle name="好_ZQ工程物资 2" xfId="31291"/>
    <cellStyle name="好_应收账款 4 2" xfId="31292"/>
    <cellStyle name="好_ZQ工程物资 2 2" xfId="31293"/>
    <cellStyle name="好_资产负债标准底稿 8 2 5" xfId="31294"/>
    <cellStyle name="好_应收账款 7 3" xfId="31295"/>
    <cellStyle name="好_ZQ工程物资 5 3" xfId="31296"/>
    <cellStyle name="好_ZU固定资产 2 2" xfId="31297"/>
    <cellStyle name="好_ZU固定资产 2 3" xfId="31298"/>
    <cellStyle name="好_ZU固定资产 3" xfId="31299"/>
    <cellStyle name="好_ZU固定资产 4" xfId="31300"/>
    <cellStyle name="好_底稿设置宏_大信底稿目录 12_明细表 4" xfId="31301"/>
    <cellStyle name="好_ZY递延所得税资产" xfId="31302"/>
    <cellStyle name="好_ZY-递延所得税资产" xfId="31303"/>
    <cellStyle name="好_短期借款 29" xfId="31304"/>
    <cellStyle name="好_短期借款 34" xfId="31305"/>
    <cellStyle name="好_ZY递延所得税资产 2" xfId="31306"/>
    <cellStyle name="好_ZY-递延所得税资产 2" xfId="31307"/>
    <cellStyle name="好_ZY-递延所得税资产 2 2" xfId="31308"/>
    <cellStyle name="好_ZY-递延所得税资产 2 3" xfId="31309"/>
    <cellStyle name="好_货币资金" xfId="31310"/>
    <cellStyle name="好_ZY递延所得税资产 2 4" xfId="31311"/>
    <cellStyle name="好_ZY-递延所得税资产 2 4" xfId="31312"/>
    <cellStyle name="好_ZY递延所得税资产 3" xfId="31313"/>
    <cellStyle name="好_ZY-递延所得税资产 3" xfId="31314"/>
    <cellStyle name="好_ZY递延所得税资产 3 2" xfId="31315"/>
    <cellStyle name="好_ZY-递延所得税资产 3 2" xfId="31316"/>
    <cellStyle name="好_ZY-递延所得税资产 3 3" xfId="31317"/>
    <cellStyle name="好_ZY递延所得税资产 4" xfId="31318"/>
    <cellStyle name="好_ZY递延所得税资产 4 2" xfId="31319"/>
    <cellStyle name="好_ZY-递延所得税资产 4 3" xfId="31320"/>
    <cellStyle name="好_ZY递延所得税资产 5" xfId="31321"/>
    <cellStyle name="好_预收款项 8 2 2" xfId="31322"/>
    <cellStyle name="好_ZY-递延所得税资产 5" xfId="31323"/>
    <cellStyle name="好_ZY递延所得税资产 5 2" xfId="31324"/>
    <cellStyle name="好_ZY-递延所得税资产 5 2" xfId="31325"/>
    <cellStyle name="好_报表层次重要性水平 11" xfId="31326"/>
    <cellStyle name="好_报表层次重要性水平 3" xfId="31327"/>
    <cellStyle name="好_报表层次重要性水平 3 2" xfId="31328"/>
    <cellStyle name="好_报表层次重要性水平 3 3" xfId="31329"/>
    <cellStyle name="好_报表层次重要性水平 4" xfId="31330"/>
    <cellStyle name="好_报表层次重要性水平 4 2" xfId="31331"/>
    <cellStyle name="好_报表层次重要性水平 4 3" xfId="31332"/>
    <cellStyle name="好_报表层次重要性水平 5" xfId="31333"/>
    <cellStyle name="好_报表层次重要性水平 5 2" xfId="31334"/>
    <cellStyle name="好_报表层次重要性水平 6" xfId="31335"/>
    <cellStyle name="好_报表层次重要性水平 7 3" xfId="31336"/>
    <cellStyle name="好_报表层次重要性水平 8 2" xfId="31337"/>
    <cellStyle name="好_报表层次重要性水平 8 3" xfId="31338"/>
    <cellStyle name="好_报表层次重要性水平_明细表" xfId="31339"/>
    <cellStyle name="千位分隔 6 12 2" xfId="31340"/>
    <cellStyle name="好_水量统计 6" xfId="31341"/>
    <cellStyle name="好_报表层次重要性水平_明细表 2" xfId="31342"/>
    <cellStyle name="好_财务费用 10" xfId="31343"/>
    <cellStyle name="好_财务费用 10 2 3" xfId="31344"/>
    <cellStyle name="好_财务费用 10 2 4" xfId="31345"/>
    <cellStyle name="好_财务费用 10_附注表一（财务报表）" xfId="31346"/>
    <cellStyle name="好_财务费用 10_明细表" xfId="31347"/>
    <cellStyle name="好_资产负债类底稿模版 10_明细表 2" xfId="31348"/>
    <cellStyle name="好_银行函证结果汇总表 5" xfId="31349"/>
    <cellStyle name="好_财务费用 10_明细表 2" xfId="31350"/>
    <cellStyle name="好_资产负债类底稿模版 10_明细表 3" xfId="31351"/>
    <cellStyle name="好_银行函证结果汇总表 6" xfId="31352"/>
    <cellStyle name="好_财务费用 10_明细表 3" xfId="31353"/>
    <cellStyle name="好_资产负债类底稿模版 10_明细表 4" xfId="31354"/>
    <cellStyle name="好_银行函证结果汇总表 7" xfId="31355"/>
    <cellStyle name="好_财务费用 10_明细表 4" xfId="31356"/>
    <cellStyle name="好_资产负债类底稿模版 10_明细表 5" xfId="31357"/>
    <cellStyle name="好_银行函证结果汇总表 8" xfId="31358"/>
    <cellStyle name="好_财务费用 10_明细表 5" xfId="31359"/>
    <cellStyle name="好_财务费用 11" xfId="31360"/>
    <cellStyle name="好_财务费用 11 2" xfId="31361"/>
    <cellStyle name="好_预收款项_明细表_1 4" xfId="31362"/>
    <cellStyle name="好_资产负债类底稿模版 11 2" xfId="31363"/>
    <cellStyle name="好_应收利息 12_明细表 4" xfId="31364"/>
    <cellStyle name="好_财务费用 11 3" xfId="31365"/>
    <cellStyle name="好_预收款项_明细表_1 5" xfId="31366"/>
    <cellStyle name="好_资产负债类底稿模版 11 3" xfId="31367"/>
    <cellStyle name="好_应收利息 12_明细表 5" xfId="31368"/>
    <cellStyle name="好_财务费用 11_明细表" xfId="31369"/>
    <cellStyle name="好_财务费用 11_明细表 3" xfId="31370"/>
    <cellStyle name="好_财务费用 11_明细表 4" xfId="31371"/>
    <cellStyle name="好_财务费用 11_明细表 5" xfId="31372"/>
    <cellStyle name="好_财务费用 12" xfId="31373"/>
    <cellStyle name="好_财务费用 12 2 3" xfId="31374"/>
    <cellStyle name="好_财务费用 12 2 4" xfId="31375"/>
    <cellStyle name="好_财务费用 12 2 5" xfId="31376"/>
    <cellStyle name="好_财务费用 12_明细表 3" xfId="31377"/>
    <cellStyle name="好_财务费用 12_明细表 5" xfId="31378"/>
    <cellStyle name="好_财务费用 13" xfId="31379"/>
    <cellStyle name="好_财务费用 13 2" xfId="31380"/>
    <cellStyle name="好_存货函证结果汇总表 6" xfId="31381"/>
    <cellStyle name="好_财务费用 13_附注表一（财务报表）" xfId="31382"/>
    <cellStyle name="好_财务费用 13_明细表" xfId="31383"/>
    <cellStyle name="好_财务费用 13_明细表 2" xfId="31384"/>
    <cellStyle name="好_财务费用 14" xfId="31385"/>
    <cellStyle name="好_财务费用 14 2 2" xfId="31386"/>
    <cellStyle name="好_财务费用 14 2 3" xfId="31387"/>
    <cellStyle name="好_财务费用 15" xfId="31388"/>
    <cellStyle name="好_财务费用 20" xfId="31389"/>
    <cellStyle name="好_财务费用 15_明细表" xfId="31390"/>
    <cellStyle name="好_财务费用 15_明细表 2" xfId="31391"/>
    <cellStyle name="好_财务费用 15_明细表 3" xfId="31392"/>
    <cellStyle name="好_财务费用 15_明细表 4" xfId="31393"/>
    <cellStyle name="好_复件 固定资产 8 2 2" xfId="31394"/>
    <cellStyle name="好_财务费用 15_明细表 5" xfId="31395"/>
    <cellStyle name="好_财务费用 16" xfId="31396"/>
    <cellStyle name="好_财务费用 21" xfId="31397"/>
    <cellStyle name="好_财务费用 16 2" xfId="31398"/>
    <cellStyle name="好_财务费用 16 2 2" xfId="31399"/>
    <cellStyle name="好_财务费用 16 2 3" xfId="31400"/>
    <cellStyle name="好_财务费用 16 2 5" xfId="31401"/>
    <cellStyle name="好_财务费用 16 4" xfId="31402"/>
    <cellStyle name="好_财务费用 16 6" xfId="31403"/>
    <cellStyle name="好_财务费用 17" xfId="31404"/>
    <cellStyle name="好_财务费用 22" xfId="31405"/>
    <cellStyle name="好_财务费用 17 2" xfId="31406"/>
    <cellStyle name="好_财务费用 17 2 2" xfId="31407"/>
    <cellStyle name="好_财务费用 17 2 3" xfId="31408"/>
    <cellStyle name="好_财务费用 17 2 4" xfId="31409"/>
    <cellStyle name="好_财务费用 17 2 5" xfId="31410"/>
    <cellStyle name="好_财务费用 17 3" xfId="31411"/>
    <cellStyle name="好_应付账款 3 2" xfId="31412"/>
    <cellStyle name="好_财务费用 18" xfId="31413"/>
    <cellStyle name="好_财务费用 23" xfId="31414"/>
    <cellStyle name="好_应付账款 3 2 2" xfId="31415"/>
    <cellStyle name="好_财务费用 18 2" xfId="31416"/>
    <cellStyle name="好_财务费用 18 3" xfId="31417"/>
    <cellStyle name="好_财务费用 18 4" xfId="31418"/>
    <cellStyle name="好_财务费用 18 5" xfId="31419"/>
    <cellStyle name="好_应付账款 3 3" xfId="31420"/>
    <cellStyle name="好_财务费用 19" xfId="31421"/>
    <cellStyle name="好_财务费用 24" xfId="31422"/>
    <cellStyle name="好_资产负债标准底稿_大信底稿目录 11 2 3" xfId="31423"/>
    <cellStyle name="好_财务费用 2" xfId="31424"/>
    <cellStyle name="好_财务费用 2 2" xfId="31425"/>
    <cellStyle name="好_财务费用 2 3" xfId="31426"/>
    <cellStyle name="好_财务费用 2 3 2" xfId="31427"/>
    <cellStyle name="千位分隔 2 5 7 2 2" xfId="31428"/>
    <cellStyle name="好_财务费用 2 3 3" xfId="31429"/>
    <cellStyle name="好_财务费用 2 4" xfId="31430"/>
    <cellStyle name="好_财务费用 2_附注表一（财务报表）" xfId="31431"/>
    <cellStyle name="好_财务费用 2_明细表 2" xfId="31432"/>
    <cellStyle name="好_应付账款 3 4" xfId="31433"/>
    <cellStyle name="好_财务费用 25" xfId="31434"/>
    <cellStyle name="好_财务费用 30" xfId="31435"/>
    <cellStyle name="好_财务费用 26" xfId="31436"/>
    <cellStyle name="好_财务费用 31" xfId="31437"/>
    <cellStyle name="好_财务费用 28" xfId="31438"/>
    <cellStyle name="好_财务费用 33" xfId="31439"/>
    <cellStyle name="好_财务费用 29" xfId="31440"/>
    <cellStyle name="好_财务费用 34" xfId="31441"/>
    <cellStyle name="好_资产负债标准底稿_大信底稿目录 11 2 4" xfId="31442"/>
    <cellStyle name="好_财务费用 3" xfId="31443"/>
    <cellStyle name="好_财务费用 3 2" xfId="31444"/>
    <cellStyle name="好_财务费用 3 2 6" xfId="31445"/>
    <cellStyle name="好_财务费用 3 4" xfId="31446"/>
    <cellStyle name="好_财务费用 3_明细表 3" xfId="31447"/>
    <cellStyle name="好_财务费用 3_明细表 4" xfId="31448"/>
    <cellStyle name="好_财务费用 4 2 2" xfId="31449"/>
    <cellStyle name="好_应收利息 28" xfId="31450"/>
    <cellStyle name="好_应收利息 33" xfId="31451"/>
    <cellStyle name="好_财务费用 4 2 3" xfId="31452"/>
    <cellStyle name="好_应收利息 29" xfId="31453"/>
    <cellStyle name="好_应收利息 34" xfId="31454"/>
    <cellStyle name="好_财务费用 4 2 5" xfId="31455"/>
    <cellStyle name="好_财务费用 4 2 6" xfId="31456"/>
    <cellStyle name="好_应付账款 2 2 3" xfId="31457"/>
    <cellStyle name="好_财务费用 4 3" xfId="31458"/>
    <cellStyle name="好_财务费用 4 3 2" xfId="31459"/>
    <cellStyle name="好_财务费用 4 4" xfId="31460"/>
    <cellStyle name="好_应付账款 2 3 2" xfId="31461"/>
    <cellStyle name="好_财务费用 5 2" xfId="31462"/>
    <cellStyle name="好_财务费用 5 2 2" xfId="31463"/>
    <cellStyle name="好_财务费用 5 2 5" xfId="31464"/>
    <cellStyle name="好_财务费用 5 2 6" xfId="31465"/>
    <cellStyle name="好_财务费用 5 3" xfId="31466"/>
    <cellStyle name="好_财务费用 5 3 2" xfId="31467"/>
    <cellStyle name="好_递延所得税资产 - 复制 5" xfId="31468"/>
    <cellStyle name="好_财务费用 5_明细表 5" xfId="31469"/>
    <cellStyle name="好_财务费用 6 2" xfId="31470"/>
    <cellStyle name="好_财务费用 6 2 2" xfId="31471"/>
    <cellStyle name="好_财务费用 6 2 3" xfId="31472"/>
    <cellStyle name="好_财务费用 6 2 4" xfId="31473"/>
    <cellStyle name="好_财务费用 6 2 5" xfId="31474"/>
    <cellStyle name="好_财务费用 6 2 6" xfId="31475"/>
    <cellStyle name="好_财务费用 6 3" xfId="31476"/>
    <cellStyle name="好_财务费用 6_明细表 4" xfId="31477"/>
    <cellStyle name="好_财务费用 6_明细表 5" xfId="31478"/>
    <cellStyle name="好_财务费用 7 4" xfId="31479"/>
    <cellStyle name="好_财务费用 7_明细表 3" xfId="31480"/>
    <cellStyle name="好_财务费用 7_明细表 4" xfId="31481"/>
    <cellStyle name="好_财务费用 7_明细表 5" xfId="31482"/>
    <cellStyle name="好_财务费用 8 2" xfId="31483"/>
    <cellStyle name="好_财务费用 8 2 2" xfId="31484"/>
    <cellStyle name="好_财务费用 8 2 3" xfId="31485"/>
    <cellStyle name="好_财务费用 8 2 4" xfId="31486"/>
    <cellStyle name="好_财务费用 8 2 5" xfId="31487"/>
    <cellStyle name="好_财务费用 8 3" xfId="31488"/>
    <cellStyle name="好_财务费用 8 4" xfId="31489"/>
    <cellStyle name="好_财务费用 8_明细表 2" xfId="31490"/>
    <cellStyle name="好_财务费用 8_明细表 3" xfId="31491"/>
    <cellStyle name="好_财务费用 8_明细表 5" xfId="31492"/>
    <cellStyle name="好_财务费用 9" xfId="31493"/>
    <cellStyle name="好_财务费用 9 2 2" xfId="31494"/>
    <cellStyle name="好_财务费用 9 2 4" xfId="31495"/>
    <cellStyle name="好_财务费用 9 2 5" xfId="31496"/>
    <cellStyle name="好_财务费用 9 4" xfId="31497"/>
    <cellStyle name="好_财务费用_1" xfId="31498"/>
    <cellStyle name="好_财务费用_3固定资产" xfId="31499"/>
    <cellStyle name="好_财务费用_Book2" xfId="31500"/>
    <cellStyle name="好_财务费用_固定资产" xfId="31501"/>
    <cellStyle name="好_财务费用_固定资产 2" xfId="31502"/>
    <cellStyle name="好_财务费用_货币资金" xfId="31503"/>
    <cellStyle name="好_财务费用_货币资金 2" xfId="31504"/>
    <cellStyle name="好_财务费用_明细表_1 2" xfId="31505"/>
    <cellStyle name="好_财务费用_明细表_1 3" xfId="31506"/>
    <cellStyle name="好_财务费用_明细表_1 4" xfId="31507"/>
    <cellStyle name="好_财务费用_明细表_1 5" xfId="31508"/>
    <cellStyle name="好_财务费用000 2" xfId="31509"/>
    <cellStyle name="好_财务费用000 3" xfId="31510"/>
    <cellStyle name="好_程序表模版" xfId="31511"/>
    <cellStyle name="好_程序表模版 2 2 2" xfId="31512"/>
    <cellStyle name="好_持有至到期投资" xfId="31513"/>
    <cellStyle name="好_持有至到期投资 3 2" xfId="31514"/>
    <cellStyle name="好_持有至到期投资—TZ" xfId="31515"/>
    <cellStyle name="好_应收利息 5_明细表 2" xfId="31516"/>
    <cellStyle name="好_初步业务活动之首次承接 2" xfId="31517"/>
    <cellStyle name="好_应收利息 5_明细表 3" xfId="31518"/>
    <cellStyle name="好_初步业务活动之首次承接 3" xfId="31519"/>
    <cellStyle name="好_应收利息 5_明细表 4" xfId="31520"/>
    <cellStyle name="好_初步业务活动之首次承接 4" xfId="31521"/>
    <cellStyle name="好_存货" xfId="31522"/>
    <cellStyle name="好_存货 - 复制 2 2" xfId="31523"/>
    <cellStyle name="好_存货 - 复制 2 2 2" xfId="31524"/>
    <cellStyle name="好_存货 - 复制 2 2 3" xfId="31525"/>
    <cellStyle name="好_存货 - 复制 2 3" xfId="31526"/>
    <cellStyle name="好_存货 10" xfId="31527"/>
    <cellStyle name="好_存货 11" xfId="31528"/>
    <cellStyle name="好_存货 11 2" xfId="31529"/>
    <cellStyle name="好_底稿设置宏_大信底稿目录 3 2" xfId="31530"/>
    <cellStyle name="好_存货 12" xfId="31531"/>
    <cellStyle name="好_底稿设置宏_大信底稿目录 3 3 2" xfId="31532"/>
    <cellStyle name="好_存货 13 2" xfId="31533"/>
    <cellStyle name="好_营业收入_3固定资产" xfId="31534"/>
    <cellStyle name="好_存货 2 2" xfId="31535"/>
    <cellStyle name="好_营业收入_3固定资产 2" xfId="31536"/>
    <cellStyle name="好_存货 2 2 2" xfId="31537"/>
    <cellStyle name="好_存货 2 2 3" xfId="31538"/>
    <cellStyle name="好_存货 2 3" xfId="31539"/>
    <cellStyle name="好_存货 2 4" xfId="31540"/>
    <cellStyle name="好_存货 3" xfId="31541"/>
    <cellStyle name="好_存货 3 2" xfId="31542"/>
    <cellStyle name="好_存货 3 3" xfId="31543"/>
    <cellStyle name="好_存货 4" xfId="31544"/>
    <cellStyle name="好_存货 4 2" xfId="31545"/>
    <cellStyle name="好_存货 4 3" xfId="31546"/>
    <cellStyle name="好_底稿设置宏_大信底稿目录 11 2" xfId="31547"/>
    <cellStyle name="好_存货 8 2" xfId="31548"/>
    <cellStyle name="好_底稿设置宏_大信底稿目录 12 2" xfId="31549"/>
    <cellStyle name="好_存货 9 2" xfId="31550"/>
    <cellStyle name="好_存货函证结果汇总表" xfId="31551"/>
    <cellStyle name="好_存货函证结果汇总表 2 2" xfId="31552"/>
    <cellStyle name="好_存货函证结果汇总表 2 2 2" xfId="31553"/>
    <cellStyle name="好_存货函证结果汇总表 2 3" xfId="31554"/>
    <cellStyle name="好_存货函证结果汇总表 3 2" xfId="31555"/>
    <cellStyle name="好_存货函证结果汇总表 3 2 2" xfId="31556"/>
    <cellStyle name="好_存货函证结果汇总表 3 3" xfId="31557"/>
    <cellStyle name="好_大唐洛阳首阳山发电厂_2007年12月" xfId="31558"/>
    <cellStyle name="好_大信底稿目录 10 2" xfId="31559"/>
    <cellStyle name="好_大信底稿目录 10 2 2" xfId="31560"/>
    <cellStyle name="好_大信底稿目录 10 3" xfId="31561"/>
    <cellStyle name="好_底稿设置宏_大信底稿目录_明细表" xfId="31562"/>
    <cellStyle name="好_大信底稿目录 10 4" xfId="31563"/>
    <cellStyle name="好_大信底稿目录 10_附注表一（财务报表）" xfId="31564"/>
    <cellStyle name="好_银行函证结果汇总表 12 2 3" xfId="31565"/>
    <cellStyle name="好_大信底稿目录 10_明细表 2" xfId="31566"/>
    <cellStyle name="好_银行函证结果汇总表 12 2 4" xfId="31567"/>
    <cellStyle name="好_大信底稿目录 10_明细表 3" xfId="31568"/>
    <cellStyle name="好_银行函证结果汇总表 12 2 5" xfId="31569"/>
    <cellStyle name="好_大信底稿目录 10_明细表 4" xfId="31570"/>
    <cellStyle name="好_大信底稿目录 10_明细表 5" xfId="31571"/>
    <cellStyle name="好_大信底稿目录 11 2 2" xfId="31572"/>
    <cellStyle name="好_大信底稿目录 12" xfId="31573"/>
    <cellStyle name="好_大信底稿目录 12 2" xfId="31574"/>
    <cellStyle name="好_大信底稿目录 12 2 4" xfId="31575"/>
    <cellStyle name="好_大信底稿目录 12 2 5" xfId="31576"/>
    <cellStyle name="好_大信底稿目录 12 3" xfId="31577"/>
    <cellStyle name="好_大信底稿目录 13" xfId="31578"/>
    <cellStyle name="好_大信底稿目录 13 2 2" xfId="31579"/>
    <cellStyle name="好_大信底稿目录 13 2 4" xfId="31580"/>
    <cellStyle name="好_大信底稿目录 13 2 5" xfId="31581"/>
    <cellStyle name="好_大信底稿目录 13 3" xfId="31582"/>
    <cellStyle name="好_大信底稿目录 13_附注表一（财务报表）" xfId="31583"/>
    <cellStyle name="好_大信底稿目录 14" xfId="31584"/>
    <cellStyle name="好_大信底稿目录 16 2" xfId="31585"/>
    <cellStyle name="好_大信底稿目录 16 3" xfId="31586"/>
    <cellStyle name="好_资产负债标准底稿 10_附注表一（财务报表）" xfId="31587"/>
    <cellStyle name="好_大信底稿目录 16 4" xfId="31588"/>
    <cellStyle name="好_大信底稿目录 2 2" xfId="31589"/>
    <cellStyle name="好_大信底稿目录 2 2 6" xfId="31590"/>
    <cellStyle name="好_大信底稿目录 2 3" xfId="31591"/>
    <cellStyle name="好_大信底稿目录 2 4" xfId="31592"/>
    <cellStyle name="好_大信底稿目录 2 5" xfId="31593"/>
    <cellStyle name="好_大信底稿目录 2 6" xfId="31594"/>
    <cellStyle name="好_大信底稿目录 2_明细表" xfId="31595"/>
    <cellStyle name="好_大信底稿目录 2_明细表 2" xfId="31596"/>
    <cellStyle name="好_大信底稿目录 2_明细表 3" xfId="31597"/>
    <cellStyle name="好_大信底稿目录 2_明细表 4" xfId="31598"/>
    <cellStyle name="好_大信底稿目录 2_明细表 5" xfId="31599"/>
    <cellStyle name="好_大信底稿目录 3 2" xfId="31600"/>
    <cellStyle name="好_大信底稿目录 3 2 2" xfId="31601"/>
    <cellStyle name="好_大信底稿目录 3 2 3" xfId="31602"/>
    <cellStyle name="好_大信底稿目录 3 2 4" xfId="31603"/>
    <cellStyle name="好_大信底稿目录 3 2 5" xfId="31604"/>
    <cellStyle name="好_大信底稿目录 3 2 6" xfId="31605"/>
    <cellStyle name="好_大信底稿目录 3 3" xfId="31606"/>
    <cellStyle name="好_大信底稿目录 3 4" xfId="31607"/>
    <cellStyle name="好_大信底稿目录 3_附注表一（财务报表）" xfId="31608"/>
    <cellStyle name="好_大信底稿目录 3_明细表" xfId="31609"/>
    <cellStyle name="好_应付职工薪酬 9" xfId="31610"/>
    <cellStyle name="好_大信底稿目录 3_明细表 3" xfId="31611"/>
    <cellStyle name="好_大信底稿目录 3_明细表 5" xfId="31612"/>
    <cellStyle name="好_大信底稿目录 4 2" xfId="31613"/>
    <cellStyle name="好_大信底稿目录 4 2 2" xfId="31614"/>
    <cellStyle name="好_大信底稿目录 4 2 3" xfId="31615"/>
    <cellStyle name="好_大信底稿目录 4 2 4" xfId="31616"/>
    <cellStyle name="好_大信底稿目录 4 2 5" xfId="31617"/>
    <cellStyle name="好_大信底稿目录 4 2 6" xfId="31618"/>
    <cellStyle name="好_大信底稿目录 4 3" xfId="31619"/>
    <cellStyle name="好_大信底稿目录 4 3 2" xfId="31620"/>
    <cellStyle name="好_大信底稿目录 4 4" xfId="31621"/>
    <cellStyle name="好_大信底稿目录 4 5" xfId="31622"/>
    <cellStyle name="好_大信底稿目录 4_明细表 2" xfId="31623"/>
    <cellStyle name="好_大信底稿目录 4_明细表 3" xfId="31624"/>
    <cellStyle name="好_大信底稿目录 4_明细表 4" xfId="31625"/>
    <cellStyle name="好_大信底稿目录 5" xfId="31626"/>
    <cellStyle name="好_大信底稿目录 5 2" xfId="31627"/>
    <cellStyle name="好_大信底稿目录 5 2 2" xfId="31628"/>
    <cellStyle name="好_大信底稿目录 5 2 5" xfId="31629"/>
    <cellStyle name="好_大信底稿目录 5 2 6" xfId="31630"/>
    <cellStyle name="好_大信底稿目录 5 3" xfId="31631"/>
    <cellStyle name="好_大信底稿目录 5 3 2" xfId="31632"/>
    <cellStyle name="好_大信底稿目录 5_附注表一（财务报表）" xfId="31633"/>
    <cellStyle name="好_大信底稿目录 5_明细表" xfId="31634"/>
    <cellStyle name="好_大信底稿目录 6 2" xfId="31635"/>
    <cellStyle name="好_大信底稿目录 6 2 2" xfId="31636"/>
    <cellStyle name="好_大信底稿目录 6 3" xfId="31637"/>
    <cellStyle name="好_大信底稿目录 6 3 2" xfId="31638"/>
    <cellStyle name="好_大信底稿目录 6_附注表一（财务报表）" xfId="31639"/>
    <cellStyle name="好_大信底稿目录 6_明细表" xfId="31640"/>
    <cellStyle name="好_大信底稿目录 6_明细表 2" xfId="31641"/>
    <cellStyle name="好_大信底稿目录 6_明细表 3" xfId="31642"/>
    <cellStyle name="好_大信底稿目录 6_明细表 4" xfId="31643"/>
    <cellStyle name="好_大信底稿目录 6_明细表 5" xfId="31644"/>
    <cellStyle name="好_大信底稿目录 7 2 5" xfId="31645"/>
    <cellStyle name="好_大信底稿目录 7_附注表一（财务报表）" xfId="31646"/>
    <cellStyle name="好_大信底稿目录 7_明细表 3" xfId="31647"/>
    <cellStyle name="好_大信底稿目录 7_明细表 4" xfId="31648"/>
    <cellStyle name="好_大信底稿目录 7_明细表 5" xfId="31649"/>
    <cellStyle name="好_大信底稿目录 8 2 5" xfId="31650"/>
    <cellStyle name="好_大信底稿目录 8 3" xfId="31651"/>
    <cellStyle name="好_大信底稿目录 8 4" xfId="31652"/>
    <cellStyle name="好_大信底稿目录 8_明细表" xfId="31653"/>
    <cellStyle name="好_大信底稿目录 8_明细表 2" xfId="31654"/>
    <cellStyle name="好_大信底稿目录 8_明细表 3" xfId="31655"/>
    <cellStyle name="好_大信底稿目录 8_明细表 4" xfId="31656"/>
    <cellStyle name="好_大信底稿目录 9" xfId="31657"/>
    <cellStyle name="好_大信底稿目录 9 2" xfId="31658"/>
    <cellStyle name="好_大信底稿目录 9 2 2" xfId="31659"/>
    <cellStyle name="好_大信底稿目录 9 2 3" xfId="31660"/>
    <cellStyle name="好_大信底稿目录 9 2 4" xfId="31661"/>
    <cellStyle name="好_大信底稿目录 9 2 5" xfId="31662"/>
    <cellStyle name="好_大信底稿目录 9 3" xfId="31663"/>
    <cellStyle name="好_大信底稿目录 9 4" xfId="31664"/>
    <cellStyle name="好_大信底稿目录 9_明细表" xfId="31665"/>
    <cellStyle name="好_销售返利变动-ＦＬＸ 5" xfId="31666"/>
    <cellStyle name="好_大信底稿目录 9_明细表 4" xfId="31667"/>
    <cellStyle name="好_销售返利变动-ＦＬＸ 6" xfId="31668"/>
    <cellStyle name="好_大信底稿目录 9_明细表 5" xfId="31669"/>
    <cellStyle name="好_大信底稿目录_附注表一（财务报表）" xfId="31670"/>
    <cellStyle name="好_大信底稿目录_明细表" xfId="31671"/>
    <cellStyle name="好_大信底稿目录_明细表 2 4" xfId="31672"/>
    <cellStyle name="好_大信底稿目录_明细表 2 5" xfId="31673"/>
    <cellStyle name="好_底稿设置宏_大信底稿目录 6 2 5" xfId="31674"/>
    <cellStyle name="好_大信底稿目录_明细表 4" xfId="31675"/>
    <cellStyle name="好_大信底稿目录_明细表_1" xfId="31676"/>
    <cellStyle name="好_底稿设置宏 10" xfId="31677"/>
    <cellStyle name="好_底稿设置宏 10 2 2" xfId="31678"/>
    <cellStyle name="好_底稿设置宏 10 4" xfId="31679"/>
    <cellStyle name="好_底稿设置宏 10_附注表一（财务报表）" xfId="31680"/>
    <cellStyle name="好_底稿设置宏 10_明细表 4" xfId="31681"/>
    <cellStyle name="好_其他应付款明细表-刘师傅" xfId="31682"/>
    <cellStyle name="好_底稿设置宏 10_明细表 5" xfId="31683"/>
    <cellStyle name="好_底稿设置宏 11 2 5" xfId="31684"/>
    <cellStyle name="好_底稿设置宏 11_附注表一（财务报表）" xfId="31685"/>
    <cellStyle name="好_底稿设置宏 11_明细表 5" xfId="31686"/>
    <cellStyle name="好_底稿设置宏 12 3" xfId="31687"/>
    <cellStyle name="好_底稿设置宏 12_附注表一（财务报表）" xfId="31688"/>
    <cellStyle name="好_底稿设置宏 12_明细表 3" xfId="31689"/>
    <cellStyle name="好_底稿设置宏 12_明细表 4" xfId="31690"/>
    <cellStyle name="好_底稿设置宏 13" xfId="31691"/>
    <cellStyle name="好_底稿设置宏 13 2" xfId="31692"/>
    <cellStyle name="好_底稿设置宏 13 2 2" xfId="31693"/>
    <cellStyle name="好_底稿设置宏 13 2 3" xfId="31694"/>
    <cellStyle name="好_底稿设置宏 13 2 4" xfId="31695"/>
    <cellStyle name="好_底稿设置宏 13 2 5" xfId="31696"/>
    <cellStyle name="好_底稿设置宏 13 3" xfId="31697"/>
    <cellStyle name="好_底稿设置宏 13_明细表 2" xfId="31698"/>
    <cellStyle name="好_底稿设置宏 13_明细表 3" xfId="31699"/>
    <cellStyle name="好_底稿设置宏 13_明细表 4" xfId="31700"/>
    <cellStyle name="好_底稿设置宏 13_明细表 5" xfId="31701"/>
    <cellStyle name="好_底稿设置宏 14" xfId="31702"/>
    <cellStyle name="好_底稿设置宏 14 2" xfId="31703"/>
    <cellStyle name="好_底稿设置宏 14 3" xfId="31704"/>
    <cellStyle name="好_底稿设置宏 15" xfId="31705"/>
    <cellStyle name="好_底稿设置宏 20" xfId="31706"/>
    <cellStyle name="好_底稿设置宏 15 2" xfId="31707"/>
    <cellStyle name="好_底稿设置宏 15 2 3" xfId="31708"/>
    <cellStyle name="好_底稿设置宏 15 2 4" xfId="31709"/>
    <cellStyle name="好_底稿设置宏 15 2 5" xfId="31710"/>
    <cellStyle name="好_底稿设置宏 15 3" xfId="31711"/>
    <cellStyle name="好_底稿设置宏 15 4" xfId="31712"/>
    <cellStyle name="适中 3 2 2" xfId="31713"/>
    <cellStyle name="好_底稿设置宏 15 5" xfId="31714"/>
    <cellStyle name="好_底稿设置宏 15 6" xfId="31715"/>
    <cellStyle name="好_底稿设置宏 16 2" xfId="31716"/>
    <cellStyle name="好_底稿设置宏 16 2 3" xfId="31717"/>
    <cellStyle name="好_底稿设置宏 16 2 4" xfId="31718"/>
    <cellStyle name="好_底稿设置宏 16 2 5" xfId="31719"/>
    <cellStyle name="好_底稿设置宏 16 3" xfId="31720"/>
    <cellStyle name="好_银行函证结果汇总表 12 2 2" xfId="31721"/>
    <cellStyle name="好_底稿设置宏 16 6" xfId="31722"/>
    <cellStyle name="好_底稿设置宏 17 2" xfId="31723"/>
    <cellStyle name="好_底稿设置宏 17 3" xfId="31724"/>
    <cellStyle name="好_底稿设置宏 17 4" xfId="31725"/>
    <cellStyle name="好_底稿设置宏 17 5" xfId="31726"/>
    <cellStyle name="好_底稿设置宏 2 2 2" xfId="31727"/>
    <cellStyle name="好_底稿设置宏 2 2 2 2" xfId="31728"/>
    <cellStyle name="好_底稿设置宏 2 2 4" xfId="31729"/>
    <cellStyle name="好_底稿设置宏 2 2 5" xfId="31730"/>
    <cellStyle name="好_底稿设置宏 2 2 6" xfId="31731"/>
    <cellStyle name="好_底稿设置宏 2_明细表 4" xfId="31732"/>
    <cellStyle name="好_底稿设置宏 2_明细表 5" xfId="31733"/>
    <cellStyle name="好_底稿设置宏 25" xfId="31734"/>
    <cellStyle name="好_底稿设置宏 30" xfId="31735"/>
    <cellStyle name="好_底稿设置宏 27" xfId="31736"/>
    <cellStyle name="好_底稿设置宏 32" xfId="31737"/>
    <cellStyle name="好_底稿设置宏 29" xfId="31738"/>
    <cellStyle name="好_底稿设置宏 34" xfId="31739"/>
    <cellStyle name="好_底稿设置宏 3 2 2" xfId="31740"/>
    <cellStyle name="好_底稿设置宏 3 2 4" xfId="31741"/>
    <cellStyle name="好_底稿设置宏 3 2 5" xfId="31742"/>
    <cellStyle name="好_底稿设置宏 3 2 6" xfId="31743"/>
    <cellStyle name="好_底稿设置宏 3 3 2" xfId="31744"/>
    <cellStyle name="好_底稿设置宏 3 5" xfId="31745"/>
    <cellStyle name="好_底稿设置宏 3_附注表一（财务报表）" xfId="31746"/>
    <cellStyle name="好_底稿设置宏 3_明细表 2" xfId="31747"/>
    <cellStyle name="好_底稿设置宏 3_明细表 4" xfId="31748"/>
    <cellStyle name="好_底稿设置宏 4_明细表" xfId="31749"/>
    <cellStyle name="好_应付职工薪酬 29" xfId="31750"/>
    <cellStyle name="好_底稿设置宏 5 2" xfId="31751"/>
    <cellStyle name="好_底稿设置宏 5 2 2" xfId="31752"/>
    <cellStyle name="好_底稿设置宏 5 3" xfId="31753"/>
    <cellStyle name="好_底稿设置宏 5 3 2" xfId="31754"/>
    <cellStyle name="好_底稿设置宏 5 4" xfId="31755"/>
    <cellStyle name="好_底稿设置宏 5 5" xfId="31756"/>
    <cellStyle name="好_底稿设置宏 5_附注表一（财务报表）" xfId="31757"/>
    <cellStyle name="好_底稿设置宏 5_明细表 3" xfId="31758"/>
    <cellStyle name="好_底稿设置宏 6 2" xfId="31759"/>
    <cellStyle name="好_底稿设置宏 6 3" xfId="31760"/>
    <cellStyle name="好_底稿设置宏 6 4" xfId="31761"/>
    <cellStyle name="好_底稿设置宏 6_附注表一（财务报表）" xfId="31762"/>
    <cellStyle name="好_预付款项 2 3" xfId="31763"/>
    <cellStyle name="好_底稿设置宏 6_明细表" xfId="31764"/>
    <cellStyle name="好_底稿设置宏 6_明细表 2" xfId="31765"/>
    <cellStyle name="好_底稿设置宏 6_明细表 3" xfId="31766"/>
    <cellStyle name="好_底稿设置宏 6_明细表 4" xfId="31767"/>
    <cellStyle name="好_底稿设置宏 7" xfId="31768"/>
    <cellStyle name="好_底稿设置宏 7_明细表 2" xfId="31769"/>
    <cellStyle name="好_底稿设置宏 7_明细表 3" xfId="31770"/>
    <cellStyle name="好_底稿设置宏 7_明细表 4" xfId="31771"/>
    <cellStyle name="好_底稿设置宏 8 2 5" xfId="31772"/>
    <cellStyle name="好_底稿设置宏 8 4" xfId="31773"/>
    <cellStyle name="好_底稿设置宏 8_附注表一（财务报表）" xfId="31774"/>
    <cellStyle name="好_底稿设置宏 8_明细表" xfId="31775"/>
    <cellStyle name="好_底稿设置宏 8_明细表 2" xfId="31776"/>
    <cellStyle name="好_底稿设置宏 9 2 5" xfId="31777"/>
    <cellStyle name="好_底稿设置宏 9 3" xfId="31778"/>
    <cellStyle name="好_底稿设置宏 9 4" xfId="31779"/>
    <cellStyle name="好_底稿设置宏_大信底稿目录 10 2 3" xfId="31780"/>
    <cellStyle name="好_底稿设置宏_大信底稿目录 10 3" xfId="31781"/>
    <cellStyle name="好_底稿设置宏_大信底稿目录 10 4" xfId="31782"/>
    <cellStyle name="好_底稿设置宏_大信底稿目录 10_附注表一（财务报表）" xfId="31783"/>
    <cellStyle name="好_短期借款 26" xfId="31784"/>
    <cellStyle name="好_短期借款 31" xfId="31785"/>
    <cellStyle name="好_底稿设置宏_大信底稿目录 10_明细表" xfId="31786"/>
    <cellStyle name="好_底稿设置宏_大信底稿目录 10_明细表 2" xfId="31787"/>
    <cellStyle name="好_底稿设置宏_大信底稿目录 10_明细表 3" xfId="31788"/>
    <cellStyle name="好_底稿设置宏_大信底稿目录 11 2 2" xfId="31789"/>
    <cellStyle name="好_底稿设置宏_大信底稿目录 11 2 3" xfId="31790"/>
    <cellStyle name="好_底稿设置宏_大信底稿目录 11 3" xfId="31791"/>
    <cellStyle name="好_底稿设置宏_大信底稿目录 11_附注表一（财务报表）" xfId="31792"/>
    <cellStyle name="好_底稿设置宏_大信底稿目录 12 2 2" xfId="31793"/>
    <cellStyle name="好_底稿设置宏_大信底稿目录 12 2 3" xfId="31794"/>
    <cellStyle name="好_底稿设置宏_大信底稿目录 12 3" xfId="31795"/>
    <cellStyle name="好_底稿设置宏_大信底稿目录 12_明细表 2" xfId="31796"/>
    <cellStyle name="好_底稿设置宏_大信底稿目录 12_明细表 3" xfId="31797"/>
    <cellStyle name="好_底稿设置宏_大信底稿目录 12_明细表 5" xfId="31798"/>
    <cellStyle name="好_底稿设置宏_大信底稿目录 13" xfId="31799"/>
    <cellStyle name="好_底稿设置宏_大信底稿目录 13 2" xfId="31800"/>
    <cellStyle name="好_底稿设置宏_大信底稿目录 13 2 2" xfId="31801"/>
    <cellStyle name="好_底稿设置宏_大信底稿目录 13 2 3" xfId="31802"/>
    <cellStyle name="好_底稿设置宏_大信底稿目录 13 2 4" xfId="31803"/>
    <cellStyle name="好_底稿设置宏_大信底稿目录 13 2 5" xfId="31804"/>
    <cellStyle name="好_底稿设置宏_大信底稿目录 13 3" xfId="31805"/>
    <cellStyle name="好_底稿设置宏_大信底稿目录 13_明细表" xfId="31806"/>
    <cellStyle name="好_底稿设置宏_大信底稿目录 13_明细表 4" xfId="31807"/>
    <cellStyle name="好_应收利息 3 5" xfId="31808"/>
    <cellStyle name="好_底稿设置宏_大信底稿目录 14 2 2" xfId="31809"/>
    <cellStyle name="好_底稿设置宏_大信底稿目录 14 2 3" xfId="31810"/>
    <cellStyle name="好_底稿设置宏_大信底稿目录 14 2 5" xfId="31811"/>
    <cellStyle name="好_底稿设置宏_大信底稿目录 15 2 3" xfId="31812"/>
    <cellStyle name="好_底稿设置宏_大信底稿目录 15 2 4" xfId="31813"/>
    <cellStyle name="好_底稿设置宏_大信底稿目录 15 2 5" xfId="31814"/>
    <cellStyle name="好_底稿设置宏_大信底稿目录 2 2" xfId="31815"/>
    <cellStyle name="好_底稿设置宏_大信底稿目录 2 3" xfId="31816"/>
    <cellStyle name="好_资产负债标准底稿 10_明细表 3" xfId="31817"/>
    <cellStyle name="好_底稿设置宏_大信底稿目录 2 3 2" xfId="31818"/>
    <cellStyle name="好_底稿设置宏_大信底稿目录 2_附注表一（财务报表）" xfId="31819"/>
    <cellStyle name="好_底稿设置宏_大信底稿目录 2_明细表" xfId="31820"/>
    <cellStyle name="好_底稿设置宏_大信底稿目录 2_明细表 2" xfId="31821"/>
    <cellStyle name="好_底稿设置宏_大信底稿目录 2_明细表 4" xfId="31822"/>
    <cellStyle name="好_底稿设置宏_大信底稿目录 2_明细表 5" xfId="31823"/>
    <cellStyle name="好_底稿设置宏_大信底稿目录 3" xfId="31824"/>
    <cellStyle name="好_底稿设置宏_大信底稿目录 3 2 5" xfId="31825"/>
    <cellStyle name="好_底稿设置宏_大信底稿目录 3 2 6" xfId="31826"/>
    <cellStyle name="好_底稿设置宏_大信底稿目录 3_附注表一（财务报表）" xfId="31827"/>
    <cellStyle name="好_底稿设置宏_大信底稿目录 3_明细表 3" xfId="31828"/>
    <cellStyle name="好_底稿设置宏_大信底稿目录 3_明细表 4" xfId="31829"/>
    <cellStyle name="好_底稿设置宏_大信底稿目录 4" xfId="31830"/>
    <cellStyle name="好_底稿设置宏_大信底稿目录 4 2" xfId="31831"/>
    <cellStyle name="好_底稿设置宏_大信底稿目录 4 2 5" xfId="31832"/>
    <cellStyle name="好_底稿设置宏_大信底稿目录 4 2 6" xfId="31833"/>
    <cellStyle name="好_底稿设置宏_大信底稿目录 4 3" xfId="31834"/>
    <cellStyle name="好_底稿设置宏_大信底稿目录 4 3 2" xfId="31835"/>
    <cellStyle name="好_底稿设置宏_大信底稿目录 4 4" xfId="31836"/>
    <cellStyle name="好_底稿设置宏_大信底稿目录 4 5" xfId="31837"/>
    <cellStyle name="好_底稿设置宏_大信底稿目录 4_明细表" xfId="31838"/>
    <cellStyle name="好_底稿设置宏_大信底稿目录 4_明细表 2" xfId="31839"/>
    <cellStyle name="好_底稿设置宏_大信底稿目录 4_明细表 3" xfId="31840"/>
    <cellStyle name="好_底稿设置宏_大信底稿目录 4_明细表 4" xfId="31841"/>
    <cellStyle name="好_底稿设置宏_大信底稿目录 4_明细表 5" xfId="31842"/>
    <cellStyle name="好_底稿设置宏_大信底稿目录 5" xfId="31843"/>
    <cellStyle name="好_底稿设置宏_大信底稿目录 5 2 5" xfId="31844"/>
    <cellStyle name="好_底稿设置宏_大信底稿目录 5 2 6" xfId="31845"/>
    <cellStyle name="好_底稿设置宏_大信底稿目录 5 3" xfId="31846"/>
    <cellStyle name="好_底稿设置宏_大信底稿目录 5 3 2" xfId="31847"/>
    <cellStyle name="好_底稿设置宏_大信底稿目录 5 4" xfId="31848"/>
    <cellStyle name="好_底稿设置宏_大信底稿目录 5 5" xfId="31849"/>
    <cellStyle name="好_底稿设置宏_大信底稿目录 5_附注表一（财务报表）" xfId="31850"/>
    <cellStyle name="好_底稿设置宏_大信底稿目录 6" xfId="31851"/>
    <cellStyle name="好_底稿设置宏_大信底稿目录 6 2" xfId="31852"/>
    <cellStyle name="好_底稿设置宏_大信底稿目录 6 3" xfId="31853"/>
    <cellStyle name="好_底稿设置宏_大信底稿目录 6 4" xfId="31854"/>
    <cellStyle name="好_底稿设置宏_大信底稿目录 7" xfId="31855"/>
    <cellStyle name="好_底稿设置宏_大信底稿目录 7 4" xfId="31856"/>
    <cellStyle name="好_公允价值变动损益 10 2" xfId="31857"/>
    <cellStyle name="好_底稿设置宏_大信底稿目录 7_附注表一（财务报表）" xfId="31858"/>
    <cellStyle name="好_底稿设置宏_大信底稿目录 7_明细表 2" xfId="31859"/>
    <cellStyle name="好_底稿设置宏_大信底稿目录 7_明细表 3" xfId="31860"/>
    <cellStyle name="好_底稿设置宏_大信底稿目录 7_明细表 4" xfId="31861"/>
    <cellStyle name="好_底稿设置宏_大信底稿目录 7_明细表 5" xfId="31862"/>
    <cellStyle name="好_底稿设置宏_大信底稿目录 8" xfId="31863"/>
    <cellStyle name="好_底稿设置宏_大信底稿目录 8 3" xfId="31864"/>
    <cellStyle name="好_底稿设置宏_大信底稿目录 9 2 4" xfId="31865"/>
    <cellStyle name="好_底稿设置宏_大信底稿目录 9 2 5" xfId="31866"/>
    <cellStyle name="好_底稿设置宏_大信底稿目录 9_明细表 2" xfId="31867"/>
    <cellStyle name="好_底稿设置宏_大信底稿目录 9_明细表 3" xfId="31868"/>
    <cellStyle name="好_底稿设置宏_大信底稿目录 9_明细表 4" xfId="31869"/>
    <cellStyle name="好_底稿设置宏_大信底稿目录 9_明细表 5" xfId="31870"/>
    <cellStyle name="好_底稿设置宏_大信底稿目录_附注表一（财务报表）" xfId="31871"/>
    <cellStyle name="好_复件 固定资产 5_明细表" xfId="31872"/>
    <cellStyle name="好_底稿设置宏_大信底稿目录_明细表 2" xfId="31873"/>
    <cellStyle name="好_底稿设置宏_大信底稿目录_明细表 3" xfId="31874"/>
    <cellStyle name="好_无形资产_明细表 2 2" xfId="31875"/>
    <cellStyle name="好_底稿设置宏_大信底稿目录_明细表 4" xfId="31876"/>
    <cellStyle name="好_无形资产_明细表 2 3" xfId="31877"/>
    <cellStyle name="好_底稿设置宏_大信底稿目录_明细表 5" xfId="31878"/>
    <cellStyle name="好_底稿设置宏_大信底稿目录_明细表_1" xfId="31879"/>
    <cellStyle name="好_底稿设置宏_大信底稿目录_明细表_1 2" xfId="31880"/>
    <cellStyle name="好_底稿设置宏_大信底稿目录_明细表_1 3" xfId="31881"/>
    <cellStyle name="好_底稿设置宏_明细表 2 2" xfId="31882"/>
    <cellStyle name="好_底稿设置宏_明细表_1" xfId="31883"/>
    <cellStyle name="好_递延所得税资产" xfId="31884"/>
    <cellStyle name="好_递延所得税资产 - 复制 2 2 2" xfId="31885"/>
    <cellStyle name="好_递延所得税资产 - 复制 2 2 3" xfId="31886"/>
    <cellStyle name="好_递延所得税资产 - 复制 2 4" xfId="31887"/>
    <cellStyle name="好_递延所得税资产 3 2" xfId="31888"/>
    <cellStyle name="好_短期借款 10 2 3" xfId="31889"/>
    <cellStyle name="好_短期借款 10 2 4" xfId="31890"/>
    <cellStyle name="好_短期借款 10_附注表一（财务报表）" xfId="31891"/>
    <cellStyle name="好_短期借款 11 2 3" xfId="31892"/>
    <cellStyle name="好_短期借款 11 2 4" xfId="31893"/>
    <cellStyle name="好_短期借款 11_附注表一（财务报表）" xfId="31894"/>
    <cellStyle name="好_短期借款 12 3" xfId="31895"/>
    <cellStyle name="好_短期借款 12_附注表一（财务报表）" xfId="31896"/>
    <cellStyle name="好_短期借款 12_明细表" xfId="31897"/>
    <cellStyle name="好_短期借款 12_明细表 2" xfId="31898"/>
    <cellStyle name="好_短期借款 12_明细表 3" xfId="31899"/>
    <cellStyle name="好_短期借款 13_明细表" xfId="31900"/>
    <cellStyle name="好_短期借款 13_明细表 2" xfId="31901"/>
    <cellStyle name="好_短期借款 13_明细表 4" xfId="31902"/>
    <cellStyle name="好_无形资产_应收账款 2" xfId="31903"/>
    <cellStyle name="好_短期借款 13_明细表 5" xfId="31904"/>
    <cellStyle name="好_短期借款 14_附注表一（财务报表）" xfId="31905"/>
    <cellStyle name="好_短期借款 14_明细表" xfId="31906"/>
    <cellStyle name="好_短期借款 16 2 2" xfId="31907"/>
    <cellStyle name="好_短期借款 16 2 3" xfId="31908"/>
    <cellStyle name="好_短期借款 16 2 4" xfId="31909"/>
    <cellStyle name="好_短期借款 16 2 5" xfId="31910"/>
    <cellStyle name="好_短期借款 17 2" xfId="31911"/>
    <cellStyle name="好_短期借款 17 3" xfId="31912"/>
    <cellStyle name="好_短期借款 17 4" xfId="31913"/>
    <cellStyle name="好_短期借款 2 2 5" xfId="31914"/>
    <cellStyle name="好_短期借款 2 2 6" xfId="31915"/>
    <cellStyle name="好_短期借款 2 4" xfId="31916"/>
    <cellStyle name="好_短期借款 2 5" xfId="31917"/>
    <cellStyle name="好_短期借款 2 6" xfId="31918"/>
    <cellStyle name="好_短期借款 2_明细表" xfId="31919"/>
    <cellStyle name="好_短期借款 2_明细表 5" xfId="31920"/>
    <cellStyle name="好_短期借款 25" xfId="31921"/>
    <cellStyle name="好_短期借款 30" xfId="31922"/>
    <cellStyle name="好_货币资金 岳华 2" xfId="31923"/>
    <cellStyle name="好_短期借款 3_附注表一（财务报表）" xfId="31924"/>
    <cellStyle name="好_短期借款 3_明细表" xfId="31925"/>
    <cellStyle name="好_短期借款 3_明细表 3" xfId="31926"/>
    <cellStyle name="好_函证结果汇总表 7" xfId="31927"/>
    <cellStyle name="强调文字颜色 3 2 10" xfId="31928"/>
    <cellStyle name="好_短期借款 3_明细表 4" xfId="31929"/>
    <cellStyle name="好_短期借款 4 2 3" xfId="31930"/>
    <cellStyle name="好_短期借款 4 2 4" xfId="31931"/>
    <cellStyle name="好_短期借款 4 2 5" xfId="31932"/>
    <cellStyle name="好_短期借款 4 2 6" xfId="31933"/>
    <cellStyle name="好_短期借款 4 3" xfId="31934"/>
    <cellStyle name="好_短期借款 4 4" xfId="31935"/>
    <cellStyle name="好_短期借款 4 5" xfId="31936"/>
    <cellStyle name="好_短期借款 4_明细表" xfId="31937"/>
    <cellStyle name="好_短期借款 4_明细表 2" xfId="31938"/>
    <cellStyle name="好_短期借款 5 2 3" xfId="31939"/>
    <cellStyle name="好_短期借款 5 2 5" xfId="31940"/>
    <cellStyle name="好_短期借款 5 2 6" xfId="31941"/>
    <cellStyle name="好_短期借款 5 4" xfId="31942"/>
    <cellStyle name="好_短期借款 5 5" xfId="31943"/>
    <cellStyle name="好_短期借款 5_明细表" xfId="31944"/>
    <cellStyle name="好_短期借款 5_明细表 2" xfId="31945"/>
    <cellStyle name="好_短期借款 6" xfId="31946"/>
    <cellStyle name="好_短期借款 6 2 6" xfId="31947"/>
    <cellStyle name="好_短期借款 6_附注表一（财务报表）" xfId="31948"/>
    <cellStyle name="好_短期借款 7_明细表" xfId="31949"/>
    <cellStyle name="好_短期借款 7_明细表 3" xfId="31950"/>
    <cellStyle name="好_短期借款 7_明细表 4" xfId="31951"/>
    <cellStyle name="好_短期借款 8_附注表一（财务报表）" xfId="31952"/>
    <cellStyle name="好_短期借款 8_明细表" xfId="31953"/>
    <cellStyle name="好_短期借款 8_明细表 4" xfId="31954"/>
    <cellStyle name="好_短期借款 9_明细表" xfId="31955"/>
    <cellStyle name="好_短期借款 9_明细表 2" xfId="31956"/>
    <cellStyle name="好_短期借款 9_明细表 3" xfId="31957"/>
    <cellStyle name="好_短期借款 9_明细表 4" xfId="31958"/>
    <cellStyle name="好_短期借款 9_明细表 5" xfId="31959"/>
    <cellStyle name="好_短期借款_明细表 2 2" xfId="31960"/>
    <cellStyle name="好_短期借款_明细表 2 3" xfId="31961"/>
    <cellStyle name="好_短期借款_明细表 2 4" xfId="31962"/>
    <cellStyle name="好_短期借款_明细表 2 5" xfId="31963"/>
    <cellStyle name="好_短期借款_明细表_1 2" xfId="31964"/>
    <cellStyle name="好_短期借款_明细表_1 4" xfId="31965"/>
    <cellStyle name="好_短期借款_明细表_1 5" xfId="31966"/>
    <cellStyle name="好_短期借款—TZ" xfId="31967"/>
    <cellStyle name="好_无形资产 6" xfId="31968"/>
    <cellStyle name="好_短期投资计划实施的审计程序" xfId="31969"/>
    <cellStyle name="好_附件3存货监盘" xfId="31970"/>
    <cellStyle name="好_附件3存货监盘 2 3" xfId="31971"/>
    <cellStyle name="好_附注 4" xfId="31972"/>
    <cellStyle name="好_附注表(二) 2 2" xfId="31973"/>
    <cellStyle name="好_资产负债标准底稿_大信底稿目录 15 4" xfId="31974"/>
    <cellStyle name="好_附注表(一)" xfId="31975"/>
    <cellStyle name="好_模板 5" xfId="31976"/>
    <cellStyle name="好_附注表(一) 2 2" xfId="31977"/>
    <cellStyle name="好_附注表(一) 2 3" xfId="31978"/>
    <cellStyle name="好_附注表(一) 3" xfId="31979"/>
    <cellStyle name="好_附注表(一) 4" xfId="31980"/>
    <cellStyle name="好_附注表一（财务报表）" xfId="31981"/>
    <cellStyle name="好_附注表一（财务报表）_1" xfId="31982"/>
    <cellStyle name="好_复件 固定资产" xfId="31983"/>
    <cellStyle name="好_复件 固定资产 10_明细表" xfId="31984"/>
    <cellStyle name="好_复件 固定资产 10_明细表 2" xfId="31985"/>
    <cellStyle name="好_复件 固定资产 11_明细表" xfId="31986"/>
    <cellStyle name="好_复件 固定资产 11_明细表 2" xfId="31987"/>
    <cellStyle name="好_复件 固定资产 11_明细表 3" xfId="31988"/>
    <cellStyle name="好_复件 固定资产 11_明细表 5" xfId="31989"/>
    <cellStyle name="好_复件 固定资产 14 5" xfId="31990"/>
    <cellStyle name="好_复件 固定资产 15" xfId="31991"/>
    <cellStyle name="好_复件 固定资产 2 2 2" xfId="31992"/>
    <cellStyle name="好_复件 固定资产 2 2 3" xfId="31993"/>
    <cellStyle name="好_复件 固定资产 2 2 5" xfId="31994"/>
    <cellStyle name="好_复件 固定资产 2 3" xfId="31995"/>
    <cellStyle name="好_复件 固定资产 2_附注表一（财务报表）" xfId="31996"/>
    <cellStyle name="好_复件 固定资产 2_明细表 2" xfId="31997"/>
    <cellStyle name="好_复件 固定资产 4 2" xfId="31998"/>
    <cellStyle name="好_复件 固定资产 4 2 2" xfId="31999"/>
    <cellStyle name="好_复件 固定资产 4 3" xfId="32000"/>
    <cellStyle name="好_复件 固定资产 4_附注表一（财务报表）" xfId="32001"/>
    <cellStyle name="好_复件 固定资产 4_明细表" xfId="32002"/>
    <cellStyle name="好_复件 固定资产 4_明细表 3" xfId="32003"/>
    <cellStyle name="好_复件 固定资产 5 2" xfId="32004"/>
    <cellStyle name="好_复件 固定资产 5 2 2" xfId="32005"/>
    <cellStyle name="好_复件 固定资产 5 2 3" xfId="32006"/>
    <cellStyle name="好_复件 固定资产 5 3" xfId="32007"/>
    <cellStyle name="好_复件 固定资产 5_附注表一（财务报表）" xfId="32008"/>
    <cellStyle name="好_复件 固定资产 6 2" xfId="32009"/>
    <cellStyle name="好_复件 固定资产 6 2 2" xfId="32010"/>
    <cellStyle name="好_复件 固定资产 6 3" xfId="32011"/>
    <cellStyle name="好_复件 固定资产 6_明细表 2" xfId="32012"/>
    <cellStyle name="好_复件 固定资产 6_明细表 5" xfId="32013"/>
    <cellStyle name="好_复件 固定资产 7 2 2" xfId="32014"/>
    <cellStyle name="好_复件 固定资产 7 2 3" xfId="32015"/>
    <cellStyle name="好_复件 固定资产 7_明细表 2" xfId="32016"/>
    <cellStyle name="好_复件 固定资产 7_明细表 3" xfId="32017"/>
    <cellStyle name="好_复件 固定资产 7_明细表 4" xfId="32018"/>
    <cellStyle name="好_复件 固定资产 7_明细表 5" xfId="32019"/>
    <cellStyle name="好_复件 固定资产 8 2" xfId="32020"/>
    <cellStyle name="好_复件 固定资产 8 2 3" xfId="32021"/>
    <cellStyle name="好_复件 固定资产 8 3" xfId="32022"/>
    <cellStyle name="好_复件 固定资产 9 2" xfId="32023"/>
    <cellStyle name="好_复件 固定资产 9 3" xfId="32024"/>
    <cellStyle name="好_专项应付款 9 2 5" xfId="32025"/>
    <cellStyle name="好_预收款项 6_明细表 4" xfId="32026"/>
    <cellStyle name="好_复件 固定资产_附注表一（财务报表）" xfId="32027"/>
    <cellStyle name="好_复件 固定资产_明细表" xfId="32028"/>
    <cellStyle name="好_复件 长期应收款" xfId="32029"/>
    <cellStyle name="好_复件 长期应收款 2" xfId="32030"/>
    <cellStyle name="好_复件 长期应收款 2 2" xfId="32031"/>
    <cellStyle name="好_复件 长期应收款 3" xfId="32032"/>
    <cellStyle name="好_复件 长期应收款 4" xfId="32033"/>
    <cellStyle name="好_公允价值变动损益 11" xfId="32034"/>
    <cellStyle name="好_预收款项 11_明细表 3" xfId="32035"/>
    <cellStyle name="好_公允价值变动损益 11 2" xfId="32036"/>
    <cellStyle name="好_公允价值变动损益 13" xfId="32037"/>
    <cellStyle name="好_公允价值变动损益 2" xfId="32038"/>
    <cellStyle name="好_公允价值变动损益 2 2" xfId="32039"/>
    <cellStyle name="好_公允价值变动损益 4" xfId="32040"/>
    <cellStyle name="好_公允价值变动损益 4 2" xfId="32041"/>
    <cellStyle name="好_公允价值变动损益 6" xfId="32042"/>
    <cellStyle name="好_公允价值变动损益 6 2" xfId="32043"/>
    <cellStyle name="好_公允价值变动损益 7" xfId="32044"/>
    <cellStyle name="好_公允价值变动损益 8" xfId="32045"/>
    <cellStyle name="好_公允价值变动损益 9" xfId="32046"/>
    <cellStyle name="好_固定资产 10" xfId="32047"/>
    <cellStyle name="好_固定资产 10 2" xfId="32048"/>
    <cellStyle name="好_固定资产 10 2 2" xfId="32049"/>
    <cellStyle name="好_固定资产 10 2 3" xfId="32050"/>
    <cellStyle name="好_固定资产 10 2 4" xfId="32051"/>
    <cellStyle name="好_固定资产 10 2 5" xfId="32052"/>
    <cellStyle name="好_固定资产 10_明细表 5" xfId="32053"/>
    <cellStyle name="好_固定资产 11 2 2" xfId="32054"/>
    <cellStyle name="好_固定资产 11 2 3" xfId="32055"/>
    <cellStyle name="好_固定资产 11 2 4" xfId="32056"/>
    <cellStyle name="好_固定资产 11 2 5" xfId="32057"/>
    <cellStyle name="好_固定资产 11_附注表一（财务报表）" xfId="32058"/>
    <cellStyle name="好_固定资产 11_明细表" xfId="32059"/>
    <cellStyle name="好_无形资产 4_明细表 2" xfId="32060"/>
    <cellStyle name="好_固定资产 12" xfId="32061"/>
    <cellStyle name="好_固定资产 12 2" xfId="32062"/>
    <cellStyle name="好_固定资产 12 2 3" xfId="32063"/>
    <cellStyle name="好_固定资产 12 2 4" xfId="32064"/>
    <cellStyle name="好_固定资产 12 2 5" xfId="32065"/>
    <cellStyle name="好_固定资产 12 3" xfId="32066"/>
    <cellStyle name="好_固定资产 12_附注表一（财务报表）" xfId="32067"/>
    <cellStyle name="好_固定资产 12_明细表" xfId="32068"/>
    <cellStyle name="好_无形资产 4_明细表 3" xfId="32069"/>
    <cellStyle name="好_固定资产 13" xfId="32070"/>
    <cellStyle name="好_固定资产 13 2" xfId="32071"/>
    <cellStyle name="好_固定资产 13 2 2" xfId="32072"/>
    <cellStyle name="好_固定资产 13 2 3" xfId="32073"/>
    <cellStyle name="好_固定资产 13 3" xfId="32074"/>
    <cellStyle name="好_固定资产 13_明细表 5" xfId="32075"/>
    <cellStyle name="好_无形资产 4_明细表 4" xfId="32076"/>
    <cellStyle name="好_固定资产 14" xfId="32077"/>
    <cellStyle name="好_固定资产 14 2" xfId="32078"/>
    <cellStyle name="好_固定资产 14 4" xfId="32079"/>
    <cellStyle name="好_固定资产 14 5" xfId="32080"/>
    <cellStyle name="好_无形资产 4_明细表 5" xfId="32081"/>
    <cellStyle name="好_固定资产 15" xfId="32082"/>
    <cellStyle name="好_固定资产 5" xfId="32083"/>
    <cellStyle name="好_固定资产 5 2" xfId="32084"/>
    <cellStyle name="好_固定资产 5 2 5" xfId="32085"/>
    <cellStyle name="好_固定资产 5 3" xfId="32086"/>
    <cellStyle name="好_固定资产 5_附注表一（财务报表）" xfId="32087"/>
    <cellStyle name="好_固定资产 5_明细表" xfId="32088"/>
    <cellStyle name="好_固定资产 6" xfId="32089"/>
    <cellStyle name="好_固定资产 6 2" xfId="32090"/>
    <cellStyle name="好_固定资产 6 2 5" xfId="32091"/>
    <cellStyle name="好_固定资产 6_附注表一（财务报表）" xfId="32092"/>
    <cellStyle name="好_预收款项 17 5" xfId="32093"/>
    <cellStyle name="好_固定资产 6_明细表 2" xfId="32094"/>
    <cellStyle name="好_固定资产 6_明细表 3" xfId="32095"/>
    <cellStyle name="好_固定资产 6_明细表 4" xfId="32096"/>
    <cellStyle name="好_固定资产 7" xfId="32097"/>
    <cellStyle name="好_固定资产 7 2" xfId="32098"/>
    <cellStyle name="好_固定资产 7 2 4" xfId="32099"/>
    <cellStyle name="好_固定资产 7 2 5" xfId="32100"/>
    <cellStyle name="好_固定资产 7 3" xfId="32101"/>
    <cellStyle name="好_固定资产 8" xfId="32102"/>
    <cellStyle name="好_固定资产 8 2" xfId="32103"/>
    <cellStyle name="好_固定资产 8 2 4" xfId="32104"/>
    <cellStyle name="好_固定资产 8 3" xfId="32105"/>
    <cellStyle name="好_固定资产 8_明细表 5" xfId="32106"/>
    <cellStyle name="好_固定资产 9" xfId="32107"/>
    <cellStyle name="好_固定资产 9 2 2" xfId="32108"/>
    <cellStyle name="好_固定资产 9 2 3" xfId="32109"/>
    <cellStyle name="好_固定资产 9_明细表 2" xfId="32110"/>
    <cellStyle name="好_固定资产 9_明细表 3" xfId="32111"/>
    <cellStyle name="好_固定资产 9_明细表 4" xfId="32112"/>
    <cellStyle name="好_固定资产 9_明细表 5" xfId="32113"/>
    <cellStyle name="好_固定资产_明细表 4" xfId="32114"/>
    <cellStyle name="好_固定资产_明细表 5" xfId="32115"/>
    <cellStyle name="好_固定资产明细" xfId="32116"/>
    <cellStyle name="好_固定资产明细 2" xfId="32117"/>
    <cellStyle name="好_固定资产明细 4" xfId="32118"/>
    <cellStyle name="好_固定资产循环7-1" xfId="32119"/>
    <cellStyle name="好_固定资产循环7-1 2 2 3" xfId="32120"/>
    <cellStyle name="好_固定资产循环7-1 2 3" xfId="32121"/>
    <cellStyle name="好_固定资产循环7-1 2 4" xfId="32122"/>
    <cellStyle name="好_管理费用 2" xfId="32123"/>
    <cellStyle name="好_管理费用 2 3" xfId="32124"/>
    <cellStyle name="好_管理费用 5" xfId="32125"/>
    <cellStyle name="好_函证结果汇总表" xfId="32126"/>
    <cellStyle name="好_函证结果汇总表 2 2" xfId="32127"/>
    <cellStyle name="好_函证结果汇总表 3 2" xfId="32128"/>
    <cellStyle name="好_函证结果汇总表 4 2" xfId="32129"/>
    <cellStyle name="好_函证结果汇总表 5 2" xfId="32130"/>
    <cellStyle name="好_函证结果汇总表 6 2" xfId="32131"/>
    <cellStyle name="好_黄金项目组审计人员通讯录" xfId="32132"/>
    <cellStyle name="好_黄金项目组审计人员通讯录 2" xfId="32133"/>
    <cellStyle name="好_黄金项目组审计人员通讯录 2 2" xfId="32134"/>
    <cellStyle name="好_黄金项目组审计人员通讯录 2 3" xfId="32135"/>
    <cellStyle name="好_黄金项目组审计人员通讯录_明细表" xfId="32136"/>
    <cellStyle name="好_黄金项目组审计人员通讯录_明细表 3" xfId="32137"/>
    <cellStyle name="好_货币资金 11" xfId="32138"/>
    <cellStyle name="好_货币资金 12" xfId="32139"/>
    <cellStyle name="好_货币资金 2 2 2" xfId="32140"/>
    <cellStyle name="好_货币资金 3 3" xfId="32141"/>
    <cellStyle name="好_货币资金 4 3" xfId="32142"/>
    <cellStyle name="好_货币资金 5" xfId="32143"/>
    <cellStyle name="好_货币资金 5 2" xfId="32144"/>
    <cellStyle name="好_货币资金 5 3" xfId="32145"/>
    <cellStyle name="好_货币资金 7" xfId="32146"/>
    <cellStyle name="好_货币资金 天职" xfId="32147"/>
    <cellStyle name="好_货币资金 天职 2" xfId="32148"/>
    <cellStyle name="好_货币资金 天职 2 2" xfId="32149"/>
    <cellStyle name="好_货币资金 天职 2 3" xfId="32150"/>
    <cellStyle name="好_货币资金 天职 2 4" xfId="32151"/>
    <cellStyle name="好_货币资金 天职 3" xfId="32152"/>
    <cellStyle name="好_货币资金 天职 3 2" xfId="32153"/>
    <cellStyle name="好_货币资金 天职 3 3" xfId="32154"/>
    <cellStyle name="好_货币资金 天职 4" xfId="32155"/>
    <cellStyle name="好_货币资金 岳华" xfId="32156"/>
    <cellStyle name="好_货币资金 岳华 3" xfId="32157"/>
    <cellStyle name="好_货币资金 岳华 3 2" xfId="32158"/>
    <cellStyle name="好_货币资金 岳华 3 3" xfId="32159"/>
    <cellStyle name="好_无形资产_明细表 2" xfId="32160"/>
    <cellStyle name="好_货币资金 岳华 4" xfId="32161"/>
    <cellStyle name="好_货币资金审定表" xfId="32162"/>
    <cellStyle name="好_基础信息表及表单（江苏国税）0711" xfId="32163"/>
    <cellStyle name="好_记录稿模板" xfId="32164"/>
    <cellStyle name="好_记录稿模板 2" xfId="32165"/>
    <cellStyle name="好_记录稿模板 3" xfId="32166"/>
    <cellStyle name="好_检查情况表 2 2" xfId="32167"/>
    <cellStyle name="好_检查情况表 2 3" xfId="32168"/>
    <cellStyle name="好_交易性金融负债" xfId="32169"/>
    <cellStyle name="好_交易性金融负债 2" xfId="32170"/>
    <cellStyle name="好_交易性金融负债 3 2" xfId="32171"/>
    <cellStyle name="好_交易性金融负债 4" xfId="32172"/>
    <cellStyle name="好_交易性金融资产 2 2" xfId="32173"/>
    <cellStyle name="好_资产减值损失 14_明细表 5" xfId="32174"/>
    <cellStyle name="好_交易性金融资产 4" xfId="32175"/>
    <cellStyle name="好_借款" xfId="32176"/>
    <cellStyle name="好_金融资产函证结果汇总表" xfId="32177"/>
    <cellStyle name="好_金融资产函证结果汇总表 2" xfId="32178"/>
    <cellStyle name="好_应收利息 6 2 4" xfId="32179"/>
    <cellStyle name="好_金融资产函证结果汇总表 2 2" xfId="32180"/>
    <cellStyle name="好_金融资产函证结果汇总表 4" xfId="32181"/>
    <cellStyle name="好_应收利息 6 2 6" xfId="32182"/>
    <cellStyle name="好_金融资产函证结果汇总表 5" xfId="32183"/>
    <cellStyle name="好_可供出售金融资产 2" xfId="32184"/>
    <cellStyle name="好_库存商品明细表" xfId="32185"/>
    <cellStyle name="好_库存商品明细表 2" xfId="32186"/>
    <cellStyle name="好_资产负债标准底稿 12_明细表 3" xfId="32187"/>
    <cellStyle name="好_鲁亚2011.12全年年报资料汇总 6" xfId="32188"/>
    <cellStyle name="好_预收款项 3_附注表一（财务报表）" xfId="32189"/>
    <cellStyle name="好_明细表" xfId="32190"/>
    <cellStyle name="好_明细表 2 2" xfId="32191"/>
    <cellStyle name="好_明细表 2 4" xfId="32192"/>
    <cellStyle name="好_明细表_1" xfId="32193"/>
    <cellStyle name="好_明细表_明细表 3" xfId="32194"/>
    <cellStyle name="好_明细表_应收账款期末审定表" xfId="32195"/>
    <cellStyle name="好_明细表_应收账款期末审定表 2" xfId="32196"/>
    <cellStyle name="好_明细表_应收账款期末审定表 2 2" xfId="32197"/>
    <cellStyle name="好_明细表_应收账款期末审定表 2 3" xfId="32198"/>
    <cellStyle name="好_模板 2 2" xfId="32199"/>
    <cellStyle name="好_模板 2 3" xfId="32200"/>
    <cellStyle name="好_模板 2 4" xfId="32201"/>
    <cellStyle name="好_模板 3" xfId="32202"/>
    <cellStyle name="好_模板 4" xfId="32203"/>
    <cellStyle name="好_模板 4 3" xfId="32204"/>
    <cellStyle name="好_模板 5 2" xfId="32205"/>
    <cellStyle name="好_模板 5 3" xfId="32206"/>
    <cellStyle name="好_期初余额查验 2 2 3" xfId="32207"/>
    <cellStyle name="好_期初余额查验 2 3" xfId="32208"/>
    <cellStyle name="好_期初余额查验 2 4" xfId="32209"/>
    <cellStyle name="好_期初余额查验 3" xfId="32210"/>
    <cellStyle name="好_期初余额查验 3 3" xfId="32211"/>
    <cellStyle name="好_期初余额查验 4" xfId="32212"/>
    <cellStyle name="好_期初余额查验 5 2" xfId="32213"/>
    <cellStyle name="好_其他业务利润检查表" xfId="32214"/>
    <cellStyle name="好_其他业务利润审定表" xfId="32215"/>
    <cellStyle name="好_其他应付款" xfId="32216"/>
    <cellStyle name="好_营业收入 11_明细表 3" xfId="32217"/>
    <cellStyle name="好_其他应付款 2 4" xfId="32218"/>
    <cellStyle name="好_其他应付款 2 5" xfId="32219"/>
    <cellStyle name="好_其他应付款 3 2 2" xfId="32220"/>
    <cellStyle name="好_其他应付款 4" xfId="32221"/>
    <cellStyle name="好_其他应付款_附注表一（财务报表）" xfId="32222"/>
    <cellStyle name="好_所得税费用 2 2" xfId="32223"/>
    <cellStyle name="好_其他应付款替代程序" xfId="32224"/>
    <cellStyle name="好_其他应收款 2" xfId="32225"/>
    <cellStyle name="好_其他应收款 2 2" xfId="32226"/>
    <cellStyle name="好_应收利息 2_附注表一（财务报表）" xfId="32227"/>
    <cellStyle name="好_其他应收款 2 2 3" xfId="32228"/>
    <cellStyle name="好_其他应收款 2 3" xfId="32229"/>
    <cellStyle name="好_其他应收款 2 4" xfId="32230"/>
    <cellStyle name="千位分隔 3 2" xfId="32231"/>
    <cellStyle name="好_其他应收款 2 5" xfId="32232"/>
    <cellStyle name="好_其他应收款 3" xfId="32233"/>
    <cellStyle name="好_其他应收款 3 2" xfId="32234"/>
    <cellStyle name="好_其他应收款 3 2 2" xfId="32235"/>
    <cellStyle name="好_其他应收款 3 3" xfId="32236"/>
    <cellStyle name="千位分隔 5 11 3" xfId="32237"/>
    <cellStyle name="好_营业收入 6 2 2" xfId="32238"/>
    <cellStyle name="好_其他应收款 4" xfId="32239"/>
    <cellStyle name="好_其他应收款 4 2" xfId="32240"/>
    <cellStyle name="好_其他应收款 4 3" xfId="32241"/>
    <cellStyle name="好_其他应收款_附注表一（财务报表）" xfId="32242"/>
    <cellStyle name="好_其他应收款_明细表 5" xfId="32243"/>
    <cellStyle name="好_山东办2011年1-6月发生但未付费用(1)" xfId="32244"/>
    <cellStyle name="好_山东办2011年1-6月发生但未付费用(1) 2" xfId="32245"/>
    <cellStyle name="好_山东办2011年1-6月发生但未付费用(1) 3" xfId="32246"/>
    <cellStyle name="好_山东办2011年1-6月发生但未付费用(1) 4" xfId="32247"/>
    <cellStyle name="好_审定表 2" xfId="32248"/>
    <cellStyle name="好_审定表 2 2" xfId="32249"/>
    <cellStyle name="好_审定表 2 4" xfId="32250"/>
    <cellStyle name="好_审定表 2 5" xfId="32251"/>
    <cellStyle name="好_审定表_附注表一（财务报表）" xfId="32252"/>
    <cellStyle name="好_审定表_明细表" xfId="32253"/>
    <cellStyle name="好_审定表_明细表 3" xfId="32254"/>
    <cellStyle name="好_银行函证结果汇总表 12_明细表 2" xfId="32255"/>
    <cellStyle name="好_审定表_明细表 4" xfId="32256"/>
    <cellStyle name="好_银行函证结果汇总表 12_明细表 3" xfId="32257"/>
    <cellStyle name="好_审定表_明细表 5" xfId="32258"/>
    <cellStyle name="好_银行函证结果汇总表 12_明细表 4" xfId="32259"/>
    <cellStyle name="好_审计分组-1218定稿 3" xfId="32260"/>
    <cellStyle name="好_审计分组-1218定稿_明细表 2" xfId="32261"/>
    <cellStyle name="好_审计分组-1218定稿_明细表 3" xfId="32262"/>
    <cellStyle name="好_审计分组-1218定稿_明细表 4" xfId="32263"/>
    <cellStyle name="好_审计分组-1218定稿_明细表 5" xfId="32264"/>
    <cellStyle name="好_实地观察模板" xfId="32265"/>
    <cellStyle name="好_实地观察模板 4" xfId="32266"/>
    <cellStyle name="好_实收资本(股本) 2 3" xfId="32267"/>
    <cellStyle name="好_实收资本(股本) 3 2" xfId="32268"/>
    <cellStyle name="好_实收资本(股本) 3 3" xfId="32269"/>
    <cellStyle name="好_应收利息_货币资金" xfId="32270"/>
    <cellStyle name="好_实收资本(股本) 4" xfId="32271"/>
    <cellStyle name="好_应收利息_货币资金 2" xfId="32272"/>
    <cellStyle name="好_实收资本(股本) 4 2" xfId="32273"/>
    <cellStyle name="好_实收资本(股本) 4 3" xfId="32274"/>
    <cellStyle name="好_实收资本(股本) 5" xfId="32275"/>
    <cellStyle name="好_实收资本计划实施的实质性程序" xfId="32276"/>
    <cellStyle name="好_实收资本审定表" xfId="32277"/>
    <cellStyle name="好_首阳山实质性测试底稿-资产类" xfId="32278"/>
    <cellStyle name="好_水量统计" xfId="32279"/>
    <cellStyle name="好_水量统计 3" xfId="32280"/>
    <cellStyle name="好_水量统计 4" xfId="32281"/>
    <cellStyle name="好_水量统计 5" xfId="32282"/>
    <cellStyle name="好_所得税费用" xfId="32283"/>
    <cellStyle name="好_所得税费用 12" xfId="32284"/>
    <cellStyle name="好_所得税费用 2" xfId="32285"/>
    <cellStyle name="好_所得税费用 3" xfId="32286"/>
    <cellStyle name="好_所得税费用 3 2" xfId="32287"/>
    <cellStyle name="好_所得税费用 4" xfId="32288"/>
    <cellStyle name="好_所得税费用 7 2" xfId="32289"/>
    <cellStyle name="好_所得税费用 9" xfId="32290"/>
    <cellStyle name="好_投资收益 2" xfId="32291"/>
    <cellStyle name="好_投资收益 2 2" xfId="32292"/>
    <cellStyle name="好_投资收益 3" xfId="32293"/>
    <cellStyle name="好_投资收益 3 2" xfId="32294"/>
    <cellStyle name="好_往来款项函证结果汇总表 2" xfId="32295"/>
    <cellStyle name="好_往来款项函证结果汇总表 3" xfId="32296"/>
    <cellStyle name="好_往来款项函证结果汇总表 3 2" xfId="32297"/>
    <cellStyle name="好_往来款项函证结果汇总表 4" xfId="32298"/>
    <cellStyle name="好_往来款项函证结果汇总表 4 2" xfId="32299"/>
    <cellStyle name="好_往来款项函证结果汇总表 4 3" xfId="32300"/>
    <cellStyle name="好_往来款项函证结果汇总表 4 4" xfId="32301"/>
    <cellStyle name="好_往来款项函证结果汇总表_附注表一（财务报表）" xfId="32302"/>
    <cellStyle name="好_无形资产 16 2 4" xfId="32303"/>
    <cellStyle name="好_往来款项函证结果汇总表_明细表" xfId="32304"/>
    <cellStyle name="好_往来款项函证结果汇总表_明细表 2" xfId="32305"/>
    <cellStyle name="好_往来款项函证结果汇总表_明细表 4" xfId="32306"/>
    <cellStyle name="好_往来款项函证结果汇总表_明细表 5" xfId="32307"/>
    <cellStyle name="好_未分配利润 2" xfId="32308"/>
    <cellStyle name="好_未分配利润 2 2" xfId="32309"/>
    <cellStyle name="好_未分配利润 2 2 2" xfId="32310"/>
    <cellStyle name="好_未分配利润 2 2 3" xfId="32311"/>
    <cellStyle name="好_未审报表" xfId="32312"/>
    <cellStyle name="千位分隔 18 3" xfId="32313"/>
    <cellStyle name="好_未审报表 2" xfId="32314"/>
    <cellStyle name="好_未审报表 2 2" xfId="32315"/>
    <cellStyle name="好_未审报表 2 3" xfId="32316"/>
    <cellStyle name="千位分隔 18 4" xfId="32317"/>
    <cellStyle name="好_未审报表 3" xfId="32318"/>
    <cellStyle name="好_无形资产" xfId="32319"/>
    <cellStyle name="好_无形资产 10 2 5" xfId="32320"/>
    <cellStyle name="好_无形资产 10_附注表一（财务报表）" xfId="32321"/>
    <cellStyle name="好_无形资产 10_明细表" xfId="32322"/>
    <cellStyle name="好_无形资产 10_明细表 2" xfId="32323"/>
    <cellStyle name="好_无形资产 11 2 4" xfId="32324"/>
    <cellStyle name="好_无形资产 11 2 5" xfId="32325"/>
    <cellStyle name="好_无形资产 11_附注表一（财务报表）" xfId="32326"/>
    <cellStyle name="好_无形资产 11_明细表" xfId="32327"/>
    <cellStyle name="好_无形资产 11_明细表 3" xfId="32328"/>
    <cellStyle name="好_无形资产 11_明细表 4" xfId="32329"/>
    <cellStyle name="好_无形资产 11_明细表 5" xfId="32330"/>
    <cellStyle name="好_无形资产 12" xfId="32331"/>
    <cellStyle name="好_无形资产 12 2 2" xfId="32332"/>
    <cellStyle name="好_无形资产 12 2 4" xfId="32333"/>
    <cellStyle name="好_无形资产 12 2 5" xfId="32334"/>
    <cellStyle name="好_无形资产 12_附注表一（财务报表）" xfId="32335"/>
    <cellStyle name="好_无形资产 13" xfId="32336"/>
    <cellStyle name="好_无形资产 13 2 2" xfId="32337"/>
    <cellStyle name="好_无形资产 13 2 3" xfId="32338"/>
    <cellStyle name="好_无形资产 13 2 4" xfId="32339"/>
    <cellStyle name="好_无形资产 13 2 5" xfId="32340"/>
    <cellStyle name="好_无形资产 13_附注表一（财务报表）" xfId="32341"/>
    <cellStyle name="好_无形资产 13_明细表" xfId="32342"/>
    <cellStyle name="好_资产负债标准底稿 9_附注表一（财务报表）" xfId="32343"/>
    <cellStyle name="好_无形资产 13_明细表 2" xfId="32344"/>
    <cellStyle name="好_无形资产 13_明细表 4" xfId="32345"/>
    <cellStyle name="好_无形资产 13_明细表 5" xfId="32346"/>
    <cellStyle name="好_无形资产 14 2" xfId="32347"/>
    <cellStyle name="好_应付债券 5 3" xfId="32348"/>
    <cellStyle name="好_无形资产 14 2 2" xfId="32349"/>
    <cellStyle name="好_无形资产 14 2 3" xfId="32350"/>
    <cellStyle name="好_无形资产 14 2 4" xfId="32351"/>
    <cellStyle name="货币 2_Spreadsheet" xfId="32352"/>
    <cellStyle name="好_无形资产 14 2 5" xfId="32353"/>
    <cellStyle name="好_无形资产 14 3" xfId="32354"/>
    <cellStyle name="好_无形资产 14_附注表一（财务报表）" xfId="32355"/>
    <cellStyle name="好_无形资产 14_明细表" xfId="32356"/>
    <cellStyle name="好_无形资产 14_明细表 5" xfId="32357"/>
    <cellStyle name="好_无形资产 15 2 3" xfId="32358"/>
    <cellStyle name="好_无形资产 15 2 4" xfId="32359"/>
    <cellStyle name="好_无形资产 15 3" xfId="32360"/>
    <cellStyle name="好_资产负债标准底稿 12 3" xfId="32361"/>
    <cellStyle name="好_无形资产 15_附注表一（财务报表）" xfId="32362"/>
    <cellStyle name="好_无形资产 15_明细表 3" xfId="32363"/>
    <cellStyle name="好_无形资产 16 2" xfId="32364"/>
    <cellStyle name="好_无形资产 16 2 2" xfId="32365"/>
    <cellStyle name="好_无形资产 16 2 3" xfId="32366"/>
    <cellStyle name="好_无形资产 16 2 5" xfId="32367"/>
    <cellStyle name="好_无形资产 16 3" xfId="32368"/>
    <cellStyle name="好_无形资产 18" xfId="32369"/>
    <cellStyle name="好_无形资产 23" xfId="32370"/>
    <cellStyle name="好_无形资产 19" xfId="32371"/>
    <cellStyle name="好_无形资产 24" xfId="32372"/>
    <cellStyle name="好_无形资产 2" xfId="32373"/>
    <cellStyle name="好_无形资产 2 2" xfId="32374"/>
    <cellStyle name="好_无形资产 2_明细表" xfId="32375"/>
    <cellStyle name="好_无形资产 2_明细表 2" xfId="32376"/>
    <cellStyle name="好_无形资产 2_明细表 3" xfId="32377"/>
    <cellStyle name="好_无形资产 2_明细表 4" xfId="32378"/>
    <cellStyle name="好_无形资产 25" xfId="32379"/>
    <cellStyle name="好_无形资产 30" xfId="32380"/>
    <cellStyle name="好_无形资产 3 2" xfId="32381"/>
    <cellStyle name="好_无形资产 3 2 6" xfId="32382"/>
    <cellStyle name="好_营业收入_明细表_1 4" xfId="32383"/>
    <cellStyle name="好_无形资产 3 3 2" xfId="32384"/>
    <cellStyle name="好_无形资产 3 5" xfId="32385"/>
    <cellStyle name="好_无形资产 3_附注表一（财务报表）" xfId="32386"/>
    <cellStyle name="好_无形资产 3_明细表 2" xfId="32387"/>
    <cellStyle name="好_无形资产 3_明细表 3" xfId="32388"/>
    <cellStyle name="好_无形资产累计摊销计算表" xfId="32389"/>
    <cellStyle name="好_无形资产 4 2" xfId="32390"/>
    <cellStyle name="好_无形资产 4 3" xfId="32391"/>
    <cellStyle name="好_无形资产 4 4" xfId="32392"/>
    <cellStyle name="好_无形资产 4 5" xfId="32393"/>
    <cellStyle name="好_无形资产 4_附注表一（财务报表）" xfId="32394"/>
    <cellStyle name="好_无形资产 5" xfId="32395"/>
    <cellStyle name="好_营业收入 3_明细表 4" xfId="32396"/>
    <cellStyle name="好_无形资产 5 2" xfId="32397"/>
    <cellStyle name="好_无形资产 5 2 6" xfId="32398"/>
    <cellStyle name="好_营业收入 3_明细表 5" xfId="32399"/>
    <cellStyle name="好_无形资产 5 3" xfId="32400"/>
    <cellStyle name="好_无形资产 5 3 2" xfId="32401"/>
    <cellStyle name="好_无形资产 5 4" xfId="32402"/>
    <cellStyle name="好_无形资产 5 5" xfId="32403"/>
    <cellStyle name="好_无形资产 5_附注表一（财务报表）" xfId="32404"/>
    <cellStyle name="好_无形资产 5_明细表 2" xfId="32405"/>
    <cellStyle name="好_无形资产 5_明细表 3" xfId="32406"/>
    <cellStyle name="好_无形资产 5_明细表 4" xfId="32407"/>
    <cellStyle name="好_无形资产 5_明细表 5" xfId="32408"/>
    <cellStyle name="好_无形资产 6 2" xfId="32409"/>
    <cellStyle name="好_无形资产 6 3" xfId="32410"/>
    <cellStyle name="好_无形资产 6 5" xfId="32411"/>
    <cellStyle name="好_无形资产 6_附注表一（财务报表）" xfId="32412"/>
    <cellStyle name="好_无形资产 6_明细表 4" xfId="32413"/>
    <cellStyle name="好_无形资产 7" xfId="32414"/>
    <cellStyle name="好_无形资产 7 2" xfId="32415"/>
    <cellStyle name="好_无形资产 7 2 2" xfId="32416"/>
    <cellStyle name="好_无形资产 7 2 4" xfId="32417"/>
    <cellStyle name="好_无形资产 7 2 5" xfId="32418"/>
    <cellStyle name="好_无形资产 7 3" xfId="32419"/>
    <cellStyle name="好_无形资产 7 4" xfId="32420"/>
    <cellStyle name="好_无形资产 7_附注表一（财务报表）" xfId="32421"/>
    <cellStyle name="好_无形资产 7_明细表" xfId="32422"/>
    <cellStyle name="好_无形资产 7_明细表 4" xfId="32423"/>
    <cellStyle name="好_无形资产 8" xfId="32424"/>
    <cellStyle name="好_无形资产 8 2 5" xfId="32425"/>
    <cellStyle name="好_无形资产 8 3" xfId="32426"/>
    <cellStyle name="好_无形资产 8 4" xfId="32427"/>
    <cellStyle name="好_无形资产 8_明细表 2" xfId="32428"/>
    <cellStyle name="好_无形资产 8_明细表 4" xfId="32429"/>
    <cellStyle name="好_无形资产 8_明细表 5" xfId="32430"/>
    <cellStyle name="好_无形资产 9" xfId="32431"/>
    <cellStyle name="好_无形资产 9 2" xfId="32432"/>
    <cellStyle name="好_无形资产 9 2 3" xfId="32433"/>
    <cellStyle name="好_无形资产 9 3" xfId="32434"/>
    <cellStyle name="好_无形资产 9_明细表 2" xfId="32435"/>
    <cellStyle name="好_无形资产 9_明细表 3" xfId="32436"/>
    <cellStyle name="好_无形资产 9_明细表 4" xfId="32437"/>
    <cellStyle name="好_无形资产 9_明细表 5" xfId="32438"/>
    <cellStyle name="好_无形资产_Book2" xfId="32439"/>
    <cellStyle name="好_无形资产_Book2 2" xfId="32440"/>
    <cellStyle name="好_无形资产_财务费用" xfId="32441"/>
    <cellStyle name="好_无形资产_明细表" xfId="32442"/>
    <cellStyle name="好_无形资产_明细表 2 5" xfId="32443"/>
    <cellStyle name="好_无形资产_明细表_1" xfId="32444"/>
    <cellStyle name="好_无形资产_明细表_1 3" xfId="32445"/>
    <cellStyle name="好_无形资产_应收账款" xfId="32446"/>
    <cellStyle name="好_现金流量表关联方 3" xfId="32447"/>
    <cellStyle name="好_销售费用" xfId="32448"/>
    <cellStyle name="好_银行函证结果汇总表" xfId="32449"/>
    <cellStyle name="好_银行函证结果汇总表 10" xfId="32450"/>
    <cellStyle name="好_银行函证结果汇总表 10 2" xfId="32451"/>
    <cellStyle name="好_银行函证结果汇总表 10 2 2" xfId="32452"/>
    <cellStyle name="好_银行函证结果汇总表 10 2 3" xfId="32453"/>
    <cellStyle name="好_银行函证结果汇总表 10 2 4" xfId="32454"/>
    <cellStyle name="好_银行函证结果汇总表 10 2 5" xfId="32455"/>
    <cellStyle name="好_银行函证结果汇总表 10 3" xfId="32456"/>
    <cellStyle name="好_银行函证结果汇总表 10 4" xfId="32457"/>
    <cellStyle name="好_银行函证结果汇总表 10_附注表一（财务报表）" xfId="32458"/>
    <cellStyle name="好_银行函证结果汇总表 10_明细表 5" xfId="32459"/>
    <cellStyle name="好_银行函证结果汇总表 11" xfId="32460"/>
    <cellStyle name="好_银行函证结果汇总表 11 2" xfId="32461"/>
    <cellStyle name="好_银行函证结果汇总表 11 2 2" xfId="32462"/>
    <cellStyle name="好_银行函证结果汇总表 11 2 4" xfId="32463"/>
    <cellStyle name="好_银行函证结果汇总表 11 2 5" xfId="32464"/>
    <cellStyle name="好_银行函证结果汇总表 11 3" xfId="32465"/>
    <cellStyle name="好_银行函证结果汇总表 11_明细表" xfId="32466"/>
    <cellStyle name="好_银行函证结果汇总表 11_明细表 2" xfId="32467"/>
    <cellStyle name="好_银行函证结果汇总表 12 3" xfId="32468"/>
    <cellStyle name="好_银行函证结果汇总表 12_明细表 5" xfId="32469"/>
    <cellStyle name="好_银行函证结果汇总表 13" xfId="32470"/>
    <cellStyle name="好_银行函证结果汇总表 13 2 2" xfId="32471"/>
    <cellStyle name="好_银行函证结果汇总表 13_明细表" xfId="32472"/>
    <cellStyle name="好_银行函证结果汇总表 13_明细表 2" xfId="32473"/>
    <cellStyle name="好_银行函证结果汇总表 14 2" xfId="32474"/>
    <cellStyle name="好_银行函证结果汇总表 14_附注表一（财务报表）" xfId="32475"/>
    <cellStyle name="好_专项应付款 7 3 2" xfId="32476"/>
    <cellStyle name="好_银行函证结果汇总表 14_明细表 4" xfId="32477"/>
    <cellStyle name="好_银行函证结果汇总表 14_明细表 5" xfId="32478"/>
    <cellStyle name="好_银行函证结果汇总表 15 3" xfId="32479"/>
    <cellStyle name="好_银行函证结果汇总表 15 5" xfId="32480"/>
    <cellStyle name="好_银行函证结果汇总表 15 6" xfId="32481"/>
    <cellStyle name="好_银行函证结果汇总表 16 2 2" xfId="32482"/>
    <cellStyle name="好_银行函证结果汇总表 16 2 3" xfId="32483"/>
    <cellStyle name="好_银行函证结果汇总表 16 2 5" xfId="32484"/>
    <cellStyle name="好_银行函证结果汇总表 17 2" xfId="32485"/>
    <cellStyle name="好_银行函证结果汇总表 17 3" xfId="32486"/>
    <cellStyle name="好_银行函证结果汇总表 17 4" xfId="32487"/>
    <cellStyle name="好_银行函证结果汇总表 17 5" xfId="32488"/>
    <cellStyle name="好_银行函证结果汇总表 19" xfId="32489"/>
    <cellStyle name="好_银行函证结果汇总表 24" xfId="32490"/>
    <cellStyle name="好_银行函证结果汇总表 2 2" xfId="32491"/>
    <cellStyle name="好_银行函证结果汇总表 2 2 2" xfId="32492"/>
    <cellStyle name="好_银行函证结果汇总表 2 2 3" xfId="32493"/>
    <cellStyle name="好_银行函证结果汇总表 2 2 4" xfId="32494"/>
    <cellStyle name="好_银行函证结果汇总表 2 2 5" xfId="32495"/>
    <cellStyle name="好_银行函证结果汇总表 2 3" xfId="32496"/>
    <cellStyle name="好_银行函证结果汇总表 2 3 2" xfId="32497"/>
    <cellStyle name="好_银行函证结果汇总表 2_明细表" xfId="32498"/>
    <cellStyle name="好_银行函证结果汇总表 2_明细表 2" xfId="32499"/>
    <cellStyle name="好_银行函证结果汇总表 2_明细表 3" xfId="32500"/>
    <cellStyle name="好_银行函证结果汇总表 25" xfId="32501"/>
    <cellStyle name="好_银行函证结果汇总表 30" xfId="32502"/>
    <cellStyle name="好_银行函证结果汇总表 26" xfId="32503"/>
    <cellStyle name="好_银行函证结果汇总表 31" xfId="32504"/>
    <cellStyle name="好_银行函证结果汇总表 29" xfId="32505"/>
    <cellStyle name="好_银行函证结果汇总表 34" xfId="32506"/>
    <cellStyle name="好_银行函证结果汇总表 3" xfId="32507"/>
    <cellStyle name="好_银行函证结果汇总表 3 2 3" xfId="32508"/>
    <cellStyle name="好_银行函证结果汇总表 7 2" xfId="32509"/>
    <cellStyle name="好_银行函证结果汇总表 3 2 4" xfId="32510"/>
    <cellStyle name="好_银行函证结果汇总表 7 3" xfId="32511"/>
    <cellStyle name="好_银行函证结果汇总表 3 2 5" xfId="32512"/>
    <cellStyle name="好_银行函证结果汇总表 3 3" xfId="32513"/>
    <cellStyle name="好_银行函证结果汇总表 3 3 2" xfId="32514"/>
    <cellStyle name="好_银行函证结果汇总表 3_明细表" xfId="32515"/>
    <cellStyle name="好_资本到位及工商情况 2 2 3" xfId="32516"/>
    <cellStyle name="好_银行函证结果汇总表 3_明细表 4" xfId="32517"/>
    <cellStyle name="好_银行函证结果汇总表 3_明细表 5" xfId="32518"/>
    <cellStyle name="好_银行函证结果汇总表 4" xfId="32519"/>
    <cellStyle name="好_银行函证结果汇总表 4 2 3" xfId="32520"/>
    <cellStyle name="好_银行函证结果汇总表 4 2 4" xfId="32521"/>
    <cellStyle name="好_银行函证结果汇总表 4 2 5" xfId="32522"/>
    <cellStyle name="好_银行函证结果汇总表 4 3" xfId="32523"/>
    <cellStyle name="好_资产负债类底稿模版_大信底稿目录_明细表 2 3" xfId="32524"/>
    <cellStyle name="好_银行函证结果汇总表 4 3 2" xfId="32525"/>
    <cellStyle name="好_银行函证结果汇总表 4_附注表一（财务报表）" xfId="32526"/>
    <cellStyle name="好_银行函证结果汇总表 4_明细表 3" xfId="32527"/>
    <cellStyle name="好_银行函证结果汇总表 4_明细表 4" xfId="32528"/>
    <cellStyle name="好_银行函证结果汇总表 4_明细表 5" xfId="32529"/>
    <cellStyle name="好_银行函证结果汇总表 5 2 2" xfId="32530"/>
    <cellStyle name="好_银行函证结果汇总表 5 2 3" xfId="32531"/>
    <cellStyle name="好_银行函证结果汇总表 5 3 2" xfId="32532"/>
    <cellStyle name="好_应付职工薪酬 12" xfId="32533"/>
    <cellStyle name="好_银行函证结果汇总表 5_附注表一（财务报表）" xfId="32534"/>
    <cellStyle name="好_银行函证结果汇总表 5_明细表" xfId="32535"/>
    <cellStyle name="好_银行函证结果汇总表 5_明细表 2" xfId="32536"/>
    <cellStyle name="好_银行函证结果汇总表 5_明细表 3" xfId="32537"/>
    <cellStyle name="好_银行函证结果汇总表 5_明细表 4" xfId="32538"/>
    <cellStyle name="解释性文本 2 3 2" xfId="32539"/>
    <cellStyle name="好_银行函证结果汇总表 5_明细表 5" xfId="32540"/>
    <cellStyle name="千位分隔 2 2 2 11 3" xfId="32541"/>
    <cellStyle name="好_银行函证结果汇总表 6 2 4" xfId="32542"/>
    <cellStyle name="好_银行函证结果汇总表 6 2 5" xfId="32543"/>
    <cellStyle name="好_银行函证结果汇总表 6 2 6" xfId="32544"/>
    <cellStyle name="好_银行函证结果汇总表 6_明细表" xfId="32545"/>
    <cellStyle name="好_银行函证结果汇总表 6_明细表 4" xfId="32546"/>
    <cellStyle name="好_银行函证结果汇总表 6_明细表 5" xfId="32547"/>
    <cellStyle name="千位分隔 2 2 4 7" xfId="32548"/>
    <cellStyle name="好_银行函证结果汇总表 7 2 3" xfId="32549"/>
    <cellStyle name="千位分隔 2 2 4 8" xfId="32550"/>
    <cellStyle name="好_银行函证结果汇总表 7 2 4" xfId="32551"/>
    <cellStyle name="好_银行函证结果汇总表 7 2 5" xfId="32552"/>
    <cellStyle name="好_银行函证结果汇总表 7_明细表" xfId="32553"/>
    <cellStyle name="好_银行函证结果汇总表 7_明细表 5" xfId="32554"/>
    <cellStyle name="好_银行函证结果汇总表 8 2" xfId="32555"/>
    <cellStyle name="好_银行函证结果汇总表 8 3" xfId="32556"/>
    <cellStyle name="好_银行函证结果汇总表 8_附注表一（财务报表）" xfId="32557"/>
    <cellStyle name="好_银行函证结果汇总表 8_明细表" xfId="32558"/>
    <cellStyle name="好_银行函证结果汇总表 8_明细表 4" xfId="32559"/>
    <cellStyle name="好_银行函证结果汇总表 8_明细表 5" xfId="32560"/>
    <cellStyle name="千位分隔 2 4 4 6" xfId="32561"/>
    <cellStyle name="好_银行函证结果汇总表 9 2 2" xfId="32562"/>
    <cellStyle name="好_银行函证结果汇总表 9 2 4" xfId="32563"/>
    <cellStyle name="好_银行函证结果汇总表 9 2 5" xfId="32564"/>
    <cellStyle name="好_银行函证结果汇总表 9_附注表一（财务报表）" xfId="32565"/>
    <cellStyle name="好_银行函证结果汇总表 9_明细表" xfId="32566"/>
    <cellStyle name="好_银行函证结果汇总表 9_明细表 5" xfId="32567"/>
    <cellStyle name="好_银行函证结果汇总表_3固定资产" xfId="32568"/>
    <cellStyle name="好_银行函证结果汇总表_Book2" xfId="32569"/>
    <cellStyle name="好_银行函证结果汇总表_固定资产" xfId="32570"/>
    <cellStyle name="好_银行函证结果汇总表_货币资金 2" xfId="32571"/>
    <cellStyle name="好_银行函证结果汇总表_明细表_1 4" xfId="32572"/>
    <cellStyle name="好_银行函证结果汇总表_明细表" xfId="32573"/>
    <cellStyle name="好_银行函证结果汇总表_明细表 2" xfId="32574"/>
    <cellStyle name="好_银行函证结果汇总表_明细表 2 2" xfId="32575"/>
    <cellStyle name="好_银行函证结果汇总表_明细表 2 3" xfId="32576"/>
    <cellStyle name="好_银行函证结果汇总表_明细表 2 4" xfId="32577"/>
    <cellStyle name="好_银行函证结果汇总表_明细表 3" xfId="32578"/>
    <cellStyle name="好_银行函证结果汇总表_明细表 4" xfId="32579"/>
    <cellStyle name="好_银行函证结果汇总表_明细表_1 2" xfId="32580"/>
    <cellStyle name="好_银行函证结果汇总表_明细表_1 5" xfId="32581"/>
    <cellStyle name="好_银行函证结果汇总表_应收账款" xfId="32582"/>
    <cellStyle name="好_银行函证结果汇总表_应收账款 2" xfId="32583"/>
    <cellStyle name="好_盈余公积 2" xfId="32584"/>
    <cellStyle name="好_盈余公积 3" xfId="32585"/>
    <cellStyle name="好_盈余公积 3 2" xfId="32586"/>
    <cellStyle name="好_盈余公积 4" xfId="32587"/>
    <cellStyle name="好_盈余公积 4 3" xfId="32588"/>
    <cellStyle name="好_盈余公积 5" xfId="32589"/>
    <cellStyle name="好_盈余公积 5 2" xfId="32590"/>
    <cellStyle name="好_营业成本 2" xfId="32591"/>
    <cellStyle name="好_营业成本 3" xfId="32592"/>
    <cellStyle name="好_营业成本 3 2" xfId="32593"/>
    <cellStyle name="好_营业成本 3 3" xfId="32594"/>
    <cellStyle name="好_营业收入 10 2" xfId="32595"/>
    <cellStyle name="好_营业收入 10 2 2" xfId="32596"/>
    <cellStyle name="好_营业收入 10_明细表 4" xfId="32597"/>
    <cellStyle name="好_营业收入 10_明细表 5" xfId="32598"/>
    <cellStyle name="好_营业收入 11" xfId="32599"/>
    <cellStyle name="好_营业收入 11 2" xfId="32600"/>
    <cellStyle name="好_营业收入 11_附注表一（财务报表）" xfId="32601"/>
    <cellStyle name="好_营业收入 11_明细表 2" xfId="32602"/>
    <cellStyle name="好_营业收入 11_明细表 4" xfId="32603"/>
    <cellStyle name="好_营业收入 11_明细表 5" xfId="32604"/>
    <cellStyle name="好_营业收入 12" xfId="32605"/>
    <cellStyle name="好_营业收入 12 2" xfId="32606"/>
    <cellStyle name="好_营业收入 12_明细表" xfId="32607"/>
    <cellStyle name="好_营业收入 12_明细表 3" xfId="32608"/>
    <cellStyle name="好_营业收入 12_明细表 4" xfId="32609"/>
    <cellStyle name="好_营业收入 12_明细表 5" xfId="32610"/>
    <cellStyle name="好_营业收入 13" xfId="32611"/>
    <cellStyle name="好_营业收入 13 2" xfId="32612"/>
    <cellStyle name="好_营业收入 13 2 2" xfId="32613"/>
    <cellStyle name="好_营业收入 13 2 3" xfId="32614"/>
    <cellStyle name="好_营业收入 13 2 4" xfId="32615"/>
    <cellStyle name="好_营业收入 13 3" xfId="32616"/>
    <cellStyle name="好_营业收入 13_明细表" xfId="32617"/>
    <cellStyle name="好_营业收入 13_明细表 2" xfId="32618"/>
    <cellStyle name="好_营业收入 13_明细表 3" xfId="32619"/>
    <cellStyle name="好_营业收入 14" xfId="32620"/>
    <cellStyle name="好_营业收入 14 2" xfId="32621"/>
    <cellStyle name="好_营业收入 14 2 2" xfId="32622"/>
    <cellStyle name="好_营业收入 14 2 3" xfId="32623"/>
    <cellStyle name="好_营业收入 14 2 4" xfId="32624"/>
    <cellStyle name="好_营业收入 14 2 5" xfId="32625"/>
    <cellStyle name="好_营业收入 14 3" xfId="32626"/>
    <cellStyle name="好_营业收入 14_附注表一（财务报表）" xfId="32627"/>
    <cellStyle name="好_营业收入 14_明细表" xfId="32628"/>
    <cellStyle name="好_营业收入 14_明细表 2" xfId="32629"/>
    <cellStyle name="好_营业收入 14_明细表 4" xfId="32630"/>
    <cellStyle name="好_营业收入 14_明细表 5" xfId="32631"/>
    <cellStyle name="好_营业收入 15" xfId="32632"/>
    <cellStyle name="好_营业收入 20" xfId="32633"/>
    <cellStyle name="好_营业收入 15 2" xfId="32634"/>
    <cellStyle name="好_营业收入 15 2 2" xfId="32635"/>
    <cellStyle name="好_营业外收入 4" xfId="32636"/>
    <cellStyle name="好_营业收入 15 2 4" xfId="32637"/>
    <cellStyle name="好_营业收入 15 2 5" xfId="32638"/>
    <cellStyle name="好_营业收入 15 3" xfId="32639"/>
    <cellStyle name="好_营业收入 15_附注表一（财务报表）" xfId="32640"/>
    <cellStyle name="好_营业收入 15_明细表" xfId="32641"/>
    <cellStyle name="好_营业收入 15_明细表 2" xfId="32642"/>
    <cellStyle name="好_营业收入 16 2 2" xfId="32643"/>
    <cellStyle name="好_营业收入 16 2 3" xfId="32644"/>
    <cellStyle name="好_营业收入 16 2 4" xfId="32645"/>
    <cellStyle name="好_营业收入 16 2 5" xfId="32646"/>
    <cellStyle name="好_营业收入 16 6" xfId="32647"/>
    <cellStyle name="好_营业收入 17 3" xfId="32648"/>
    <cellStyle name="好_营业收入 17 4" xfId="32649"/>
    <cellStyle name="好_营业收入 17 5" xfId="32650"/>
    <cellStyle name="好_营业收入 17 6" xfId="32651"/>
    <cellStyle name="好_营业收入 18 5" xfId="32652"/>
    <cellStyle name="好_营业收入 2" xfId="32653"/>
    <cellStyle name="好_应收账款_明细表 2" xfId="32654"/>
    <cellStyle name="好_营业收入 2_明细表" xfId="32655"/>
    <cellStyle name="好_应收账款_明细表 2 2" xfId="32656"/>
    <cellStyle name="好_营业收入 2_明细表 2" xfId="32657"/>
    <cellStyle name="好_应收账款_明细表 2 3" xfId="32658"/>
    <cellStyle name="好_营业收入 2_明细表 3" xfId="32659"/>
    <cellStyle name="好_营业收入 28" xfId="32660"/>
    <cellStyle name="好_营业收入 33" xfId="32661"/>
    <cellStyle name="好_营业收入 29" xfId="32662"/>
    <cellStyle name="好_营业收入 34" xfId="32663"/>
    <cellStyle name="好_营业收入 3" xfId="32664"/>
    <cellStyle name="好_营业收入 3 2" xfId="32665"/>
    <cellStyle name="好_长期借款—TZ 4" xfId="32666"/>
    <cellStyle name="好_营业收入 3 2 2" xfId="32667"/>
    <cellStyle name="好_长期借款—TZ 5" xfId="32668"/>
    <cellStyle name="好_营业收入 3 2 3" xfId="32669"/>
    <cellStyle name="好_营业收入 3_明细表 3" xfId="32670"/>
    <cellStyle name="好_营业收入 4" xfId="32671"/>
    <cellStyle name="好_营业收入 4 2" xfId="32672"/>
    <cellStyle name="好_营业收入 4_明细表 4" xfId="32673"/>
    <cellStyle name="好_营业收入 4_明细表 5" xfId="32674"/>
    <cellStyle name="好_营业收入 5 2" xfId="32675"/>
    <cellStyle name="好_营业收入 5 2 5" xfId="32676"/>
    <cellStyle name="好_营业收入 5 2 6" xfId="32677"/>
    <cellStyle name="好_营业收入 5_明细表" xfId="32678"/>
    <cellStyle name="好_营业收入 6" xfId="32679"/>
    <cellStyle name="好_营业收入 6 2" xfId="32680"/>
    <cellStyle name="好_营业收入 6_附注表一（财务报表）" xfId="32681"/>
    <cellStyle name="好_营业收入 6_明细表" xfId="32682"/>
    <cellStyle name="好_营业收入 7" xfId="32683"/>
    <cellStyle name="好_营业收入 7 2" xfId="32684"/>
    <cellStyle name="好_营业收入 7 2 2" xfId="32685"/>
    <cellStyle name="好_营业收入 7_明细表" xfId="32686"/>
    <cellStyle name="好_营业收入 7_明细表 2" xfId="32687"/>
    <cellStyle name="好_营业收入 7_明细表 3" xfId="32688"/>
    <cellStyle name="好_营业收入 7_明细表 4" xfId="32689"/>
    <cellStyle name="好_营业收入 7_明细表 5" xfId="32690"/>
    <cellStyle name="好_营业收入 8" xfId="32691"/>
    <cellStyle name="好_营业收入 8 2" xfId="32692"/>
    <cellStyle name="好_营业收入 8 3" xfId="32693"/>
    <cellStyle name="好_营业收入 8 4" xfId="32694"/>
    <cellStyle name="好_营业收入 8_附注表一（财务报表）" xfId="32695"/>
    <cellStyle name="好_营业收入 9" xfId="32696"/>
    <cellStyle name="好_营业收入 9 2 2" xfId="32697"/>
    <cellStyle name="好_营业收入 9 4" xfId="32698"/>
    <cellStyle name="好_营业收入 9_明细表" xfId="32699"/>
    <cellStyle name="好_营业收入 9_明细表 2" xfId="32700"/>
    <cellStyle name="好_营业收入 9_明细表 3" xfId="32701"/>
    <cellStyle name="好_营业收入 9_明细表 4" xfId="32702"/>
    <cellStyle name="好_营业收入 9_明细表 5" xfId="32703"/>
    <cellStyle name="好_营业收入_财务费用" xfId="32704"/>
    <cellStyle name="好_营业收入_附注表一（财务报表）" xfId="32705"/>
    <cellStyle name="好_营业收入_固定资产" xfId="32706"/>
    <cellStyle name="好_营业收入_货币资金" xfId="32707"/>
    <cellStyle name="千位分隔 4 8 2 4" xfId="32708"/>
    <cellStyle name="好_营业收入_货币资金 2" xfId="32709"/>
    <cellStyle name="好_营业收入_明细表 2" xfId="32710"/>
    <cellStyle name="好_营业收入_明细表 2 3" xfId="32711"/>
    <cellStyle name="好_营业收入_明细表 2 4" xfId="32712"/>
    <cellStyle name="好_营业收入_明细表 2 5" xfId="32713"/>
    <cellStyle name="好_营业收入_明细表 4" xfId="32714"/>
    <cellStyle name="好_营业收入_明细表_1 3" xfId="32715"/>
    <cellStyle name="好_营业收入_明细表_1 5" xfId="32716"/>
    <cellStyle name="好_营业税金及附加 2" xfId="32717"/>
    <cellStyle name="好_营业外收入" xfId="32718"/>
    <cellStyle name="뷭?_BOOKSHIP" xfId="32719"/>
    <cellStyle name="好_营业外收入 2" xfId="32720"/>
    <cellStyle name="好_营业外收入 3" xfId="32721"/>
    <cellStyle name="好_营业外收入 3 2" xfId="32722"/>
    <cellStyle name="好_营业外收入_附注表一（财务报表）" xfId="32723"/>
    <cellStyle name="好_营业外支出" xfId="32724"/>
    <cellStyle name="好_营业外支出 2" xfId="32725"/>
    <cellStyle name="好_营业外支出 2 2 3" xfId="32726"/>
    <cellStyle name="好_营业外支出 3 2" xfId="32727"/>
    <cellStyle name="好_应付票据" xfId="32728"/>
    <cellStyle name="好_应付票据 2 4" xfId="32729"/>
    <cellStyle name="好_应付票据 4 2" xfId="32730"/>
    <cellStyle name="好_应付票据 4 3" xfId="32731"/>
    <cellStyle name="好_应付债券 2 2 3" xfId="32732"/>
    <cellStyle name="好_应付债券 5 2" xfId="32733"/>
    <cellStyle name="好_应付债券 7" xfId="32734"/>
    <cellStyle name="好_应付账款 - 复制 2 4" xfId="32735"/>
    <cellStyle name="好_应付账款 - 复制 3" xfId="32736"/>
    <cellStyle name="好_应付账款 - 复制 3 3" xfId="32737"/>
    <cellStyle name="好_应付账款 - 复制 5" xfId="32738"/>
    <cellStyle name="好_应付账款 - 复制 5 3" xfId="32739"/>
    <cellStyle name="好_应付账款 - 复制 6" xfId="32740"/>
    <cellStyle name="好_应付账款 - 复制 7" xfId="32741"/>
    <cellStyle name="好_应付账款 5 2" xfId="32742"/>
    <cellStyle name="好_应付职工薪酬 - 复制 2" xfId="32743"/>
    <cellStyle name="好_应付职工薪酬 - 复制 3" xfId="32744"/>
    <cellStyle name="好_应付职工薪酬 - 复制 5" xfId="32745"/>
    <cellStyle name="好_应付职工薪酬 13" xfId="32746"/>
    <cellStyle name="好_应付职工薪酬 14" xfId="32747"/>
    <cellStyle name="好_应付职工薪酬 15" xfId="32748"/>
    <cellStyle name="好_应付职工薪酬 20" xfId="32749"/>
    <cellStyle name="好_应付职工薪酬 16" xfId="32750"/>
    <cellStyle name="好_应付职工薪酬 21" xfId="32751"/>
    <cellStyle name="好_应付职工薪酬 17" xfId="32752"/>
    <cellStyle name="好_应付职工薪酬 22" xfId="32753"/>
    <cellStyle name="好_应付职工薪酬 2" xfId="32754"/>
    <cellStyle name="好_应付职工薪酬 2 2" xfId="32755"/>
    <cellStyle name="好_应付职工薪酬 2 2 3" xfId="32756"/>
    <cellStyle name="好_应付职工薪酬 2 3" xfId="32757"/>
    <cellStyle name="好_应付职工薪酬 2 4" xfId="32758"/>
    <cellStyle name="好_应付职工薪酬 26" xfId="32759"/>
    <cellStyle name="好_应付职工薪酬 31" xfId="32760"/>
    <cellStyle name="好_应付职工薪酬 27" xfId="32761"/>
    <cellStyle name="好_应付职工薪酬 32" xfId="32762"/>
    <cellStyle name="好_应付职工薪酬 28" xfId="32763"/>
    <cellStyle name="好_应付职工薪酬 33" xfId="32764"/>
    <cellStyle name="好_应付职工薪酬 3" xfId="32765"/>
    <cellStyle name="好_应付职工薪酬 3 2" xfId="32766"/>
    <cellStyle name="好_应付职工薪酬 3 2 2" xfId="32767"/>
    <cellStyle name="好_应付职工薪酬 3 3" xfId="32768"/>
    <cellStyle name="好_应付职工薪酬 3 4" xfId="32769"/>
    <cellStyle name="好_应付职工薪酬 4" xfId="32770"/>
    <cellStyle name="好_应付职工薪酬 4 2" xfId="32771"/>
    <cellStyle name="好_应付职工薪酬 5" xfId="32772"/>
    <cellStyle name="好_应付职工薪酬 6" xfId="32773"/>
    <cellStyle name="好_应付职工薪酬 7" xfId="32774"/>
    <cellStyle name="好_应交税费 - 复制 2 2" xfId="32775"/>
    <cellStyle name="好_应交税费 - 复制 2 3" xfId="32776"/>
    <cellStyle name="好_应交税费 - 复制 3 2" xfId="32777"/>
    <cellStyle name="好_应交税费 - 复制 3 3" xfId="32778"/>
    <cellStyle name="好_应交税费 2 2" xfId="32779"/>
    <cellStyle name="好_应交税费 2 3" xfId="32780"/>
    <cellStyle name="好_应交税费 3 2" xfId="32781"/>
    <cellStyle name="好_应交税费 3 3" xfId="32782"/>
    <cellStyle name="好_应交税金" xfId="32783"/>
    <cellStyle name="好_应收利息 10 2 3" xfId="32784"/>
    <cellStyle name="好_应收利息 10 2 4" xfId="32785"/>
    <cellStyle name="好_应收利息 10 2 5" xfId="32786"/>
    <cellStyle name="好_应收利息 10 3" xfId="32787"/>
    <cellStyle name="好_应收利息 10 4" xfId="32788"/>
    <cellStyle name="好_应收利息 10_附注表一（财务报表）" xfId="32789"/>
    <cellStyle name="好_应收利息 10_明细表" xfId="32790"/>
    <cellStyle name="好_应收利息 10_明细表 2" xfId="32791"/>
    <cellStyle name="好_应收利息 11 2 2" xfId="32792"/>
    <cellStyle name="好_应收利息 11 2 5" xfId="32793"/>
    <cellStyle name="好_应收利息 11_明细表 2" xfId="32794"/>
    <cellStyle name="好_应收利息 11_明细表 3" xfId="32795"/>
    <cellStyle name="好_应收利息 12 2 3" xfId="32796"/>
    <cellStyle name="好_应收利息 12_附注表一（财务报表）" xfId="32797"/>
    <cellStyle name="好_预收款项_明细表_1" xfId="32798"/>
    <cellStyle name="好_应收利息 12_明细表" xfId="32799"/>
    <cellStyle name="好_预收款项_明细表_1 2" xfId="32800"/>
    <cellStyle name="好_应收利息 12_明细表 2" xfId="32801"/>
    <cellStyle name="好_预收款项_明细表_1 3" xfId="32802"/>
    <cellStyle name="好_应收利息 12_明细表 3" xfId="32803"/>
    <cellStyle name="好_应收利息 13 2 2" xfId="32804"/>
    <cellStyle name="好_应收利息 13 2 3" xfId="32805"/>
    <cellStyle name="好_应收利息 13 2 4" xfId="32806"/>
    <cellStyle name="好_应收利息 13 2 5" xfId="32807"/>
    <cellStyle name="好_应收利息 13_附注表一（财务报表）" xfId="32808"/>
    <cellStyle name="好_应收利息 13_明细表 2" xfId="32809"/>
    <cellStyle name="好_应收利息 13_明细表 3" xfId="32810"/>
    <cellStyle name="好_应收利息 13_明细表 4" xfId="32811"/>
    <cellStyle name="好_应收利息 14 2" xfId="32812"/>
    <cellStyle name="好_应收利息 14 2 3" xfId="32813"/>
    <cellStyle name="好_应收利息 14 2 4" xfId="32814"/>
    <cellStyle name="好_应收利息 14 3" xfId="32815"/>
    <cellStyle name="好_应收利息 14_附注表一（财务报表）" xfId="32816"/>
    <cellStyle name="好_应收利息 14_明细表" xfId="32817"/>
    <cellStyle name="好_应收利息 14_明细表 3" xfId="32818"/>
    <cellStyle name="好_应收利息 15" xfId="32819"/>
    <cellStyle name="好_应收利息 20" xfId="32820"/>
    <cellStyle name="好_应收利息 15 2" xfId="32821"/>
    <cellStyle name="好_应收利息 15 2 2" xfId="32822"/>
    <cellStyle name="好_应收利息 15 2 5" xfId="32823"/>
    <cellStyle name="好_应收利息 15 3" xfId="32824"/>
    <cellStyle name="好_应收利息 15_附注表一（财务报表）" xfId="32825"/>
    <cellStyle name="好_应收利息 15_明细表" xfId="32826"/>
    <cellStyle name="好_资产负债标准底稿 10 2 5" xfId="32827"/>
    <cellStyle name="好_应收利息 15_明细表 2" xfId="32828"/>
    <cellStyle name="好_应收利息 15_明细表 3" xfId="32829"/>
    <cellStyle name="好_应收利息 15_明细表 5" xfId="32830"/>
    <cellStyle name="好_应收利息 16" xfId="32831"/>
    <cellStyle name="好_应收利息 21" xfId="32832"/>
    <cellStyle name="好_应收利息 16 2" xfId="32833"/>
    <cellStyle name="好_应收利息 16 2 2" xfId="32834"/>
    <cellStyle name="好_应收利息 16 2 3" xfId="32835"/>
    <cellStyle name="好_应收利息 16 3" xfId="32836"/>
    <cellStyle name="好_应收利息 16 4" xfId="32837"/>
    <cellStyle name="好_应收利息 16 5" xfId="32838"/>
    <cellStyle name="好_应收利息 16 6" xfId="32839"/>
    <cellStyle name="好_应收利息 17" xfId="32840"/>
    <cellStyle name="好_应收利息 22" xfId="32841"/>
    <cellStyle name="好_应收利息 17 2 3" xfId="32842"/>
    <cellStyle name="好_应收利息 17 2 4" xfId="32843"/>
    <cellStyle name="好_应收利息 17 2 5" xfId="32844"/>
    <cellStyle name="好_应收利息 17 3" xfId="32845"/>
    <cellStyle name="好_应收利息 17 4" xfId="32846"/>
    <cellStyle name="好_应收利息 17 5" xfId="32847"/>
    <cellStyle name="好_应收利息 17 6" xfId="32848"/>
    <cellStyle name="好_应收利息 18 4" xfId="32849"/>
    <cellStyle name="好_应收利息 2" xfId="32850"/>
    <cellStyle name="好_应收利息 2 2 6" xfId="32851"/>
    <cellStyle name="千位分隔 3 2 2 4 2" xfId="32852"/>
    <cellStyle name="好_应收利息 2 3" xfId="32853"/>
    <cellStyle name="千位分隔 3 2 2 4 3" xfId="32854"/>
    <cellStyle name="好_应收利息 2 4" xfId="32855"/>
    <cellStyle name="好_应收利息 2 5" xfId="32856"/>
    <cellStyle name="好_应收利息 2_明细表" xfId="32857"/>
    <cellStyle name="好_应收利息 2_明细表 2" xfId="32858"/>
    <cellStyle name="好_应收利息 2_明细表 3" xfId="32859"/>
    <cellStyle name="好_应收利息 25" xfId="32860"/>
    <cellStyle name="好_应收利息 30" xfId="32861"/>
    <cellStyle name="好_应收利息 26" xfId="32862"/>
    <cellStyle name="好_应收利息 31" xfId="32863"/>
    <cellStyle name="好_应收利息 27" xfId="32864"/>
    <cellStyle name="好_应收利息 32" xfId="32865"/>
    <cellStyle name="好_应收利息 3" xfId="32866"/>
    <cellStyle name="好_应收利息 3 2 3" xfId="32867"/>
    <cellStyle name="好_应收利息 3 2 4" xfId="32868"/>
    <cellStyle name="千位分隔 3 2 2 5 2" xfId="32869"/>
    <cellStyle name="好_应收利息 3 3" xfId="32870"/>
    <cellStyle name="好_应收利息 3 3 2" xfId="32871"/>
    <cellStyle name="好_应收利息 3 4" xfId="32872"/>
    <cellStyle name="好_应收利息 3_附注表一（财务报表）" xfId="32873"/>
    <cellStyle name="好_应收利息 3_明细表" xfId="32874"/>
    <cellStyle name="好_应收利息 3_明细表 2" xfId="32875"/>
    <cellStyle name="好_应收利息 3_明细表 3" xfId="32876"/>
    <cellStyle name="好_应收利息 4" xfId="32877"/>
    <cellStyle name="好_应收利息 4 2" xfId="32878"/>
    <cellStyle name="好_应收利息 4 2 4" xfId="32879"/>
    <cellStyle name="好_应收利息 4 2 5" xfId="32880"/>
    <cellStyle name="好_应收利息 4 2 6" xfId="32881"/>
    <cellStyle name="好_应收利息 4 3" xfId="32882"/>
    <cellStyle name="好_应收利息 4 3 2" xfId="32883"/>
    <cellStyle name="好_应收利息 4 4" xfId="32884"/>
    <cellStyle name="好_应收利息 4 5" xfId="32885"/>
    <cellStyle name="好_应收利息 4_明细表" xfId="32886"/>
    <cellStyle name="好_应收利息 4_明细表 2" xfId="32887"/>
    <cellStyle name="好_应收利息 4_明细表 3" xfId="32888"/>
    <cellStyle name="好_应收利息 4_明细表 4" xfId="32889"/>
    <cellStyle name="好_应收利息 4_明细表 5" xfId="32890"/>
    <cellStyle name="好_应收利息 5" xfId="32891"/>
    <cellStyle name="好_应收利息 5_明细表 5" xfId="32892"/>
    <cellStyle name="好_应收利息 6" xfId="32893"/>
    <cellStyle name="好_应收利息 6 2 3" xfId="32894"/>
    <cellStyle name="好_应收利息 6 3" xfId="32895"/>
    <cellStyle name="好_应收利息 6 3 2" xfId="32896"/>
    <cellStyle name="好_应收利息 6 4" xfId="32897"/>
    <cellStyle name="好_应收利息 6 5" xfId="32898"/>
    <cellStyle name="好_应收利息 6_明细表" xfId="32899"/>
    <cellStyle name="好_应收利息 6_明细表 2" xfId="32900"/>
    <cellStyle name="小计 2" xfId="32901"/>
    <cellStyle name="好_应收利息 6_明细表 3" xfId="32902"/>
    <cellStyle name="小计 4" xfId="32903"/>
    <cellStyle name="好_应收利息 6_明细表 5" xfId="32904"/>
    <cellStyle name="好_应收利息 7" xfId="32905"/>
    <cellStyle name="好_应收利息 7 2" xfId="32906"/>
    <cellStyle name="好_应收利息 7 2 2" xfId="32907"/>
    <cellStyle name="好_应收利息 7 3" xfId="32908"/>
    <cellStyle name="好_应收利息 8" xfId="32909"/>
    <cellStyle name="好_应收利息 8 2" xfId="32910"/>
    <cellStyle name="好_应收利息 8 2 2" xfId="32911"/>
    <cellStyle name="好_应收利息 8 3" xfId="32912"/>
    <cellStyle name="好_应收利息 8_附注表一（财务报表）" xfId="32913"/>
    <cellStyle name="好_应收利息 8_明细表" xfId="32914"/>
    <cellStyle name="好_应收利息 9" xfId="32915"/>
    <cellStyle name="好_应收利息 9 2" xfId="32916"/>
    <cellStyle name="好_应收利息 9 2 4" xfId="32917"/>
    <cellStyle name="好_应收利息 9 3" xfId="32918"/>
    <cellStyle name="好_应收利息 9_明细表" xfId="32919"/>
    <cellStyle name="好_应收利息 9_明细表 3" xfId="32920"/>
    <cellStyle name="好_应收利息 9_明细表 4" xfId="32921"/>
    <cellStyle name="好_应收利息 9_明细表 5" xfId="32922"/>
    <cellStyle name="好_应收利息_3固定资产" xfId="32923"/>
    <cellStyle name="好_应收利息_3固定资产 2" xfId="32924"/>
    <cellStyle name="好_应收利息_Book2 2" xfId="32925"/>
    <cellStyle name="好_应收利息_附注表一（财务报表）" xfId="32926"/>
    <cellStyle name="好_应收利息_固定资产 2" xfId="32927"/>
    <cellStyle name="好_应收利息_明细表" xfId="32928"/>
    <cellStyle name="好_应收利息_明细表 2" xfId="32929"/>
    <cellStyle name="好_应收利息_明细表 2 2" xfId="32930"/>
    <cellStyle name="好_应收利息_明细表 3" xfId="32931"/>
    <cellStyle name="千位分隔 2 3 8 2" xfId="32932"/>
    <cellStyle name="好_应收利息_应收账款 2" xfId="32933"/>
    <cellStyle name="好_应收票据 2" xfId="32934"/>
    <cellStyle name="好_应收票据 2 2" xfId="32935"/>
    <cellStyle name="好_应收账款 - 复制 2 2" xfId="32936"/>
    <cellStyle name="好_应收账款 - 复制 2 2 2" xfId="32937"/>
    <cellStyle name="好_应收账款 - 复制 2 3" xfId="32938"/>
    <cellStyle name="好_应收账款 - 复制 2 4" xfId="32939"/>
    <cellStyle name="好_应收账款 - 复制 3 2" xfId="32940"/>
    <cellStyle name="好_应收账款 - 复制 3 3" xfId="32941"/>
    <cellStyle name="好_应收账款 - 复制 4 2" xfId="32942"/>
    <cellStyle name="好_应收账款 - 复制 4 3" xfId="32943"/>
    <cellStyle name="好_应收账款 2" xfId="32944"/>
    <cellStyle name="好_应收账款 2 2" xfId="32945"/>
    <cellStyle name="好_应收账款 2 3" xfId="32946"/>
    <cellStyle name="好_应收账款 2 4" xfId="32947"/>
    <cellStyle name="好_应收账款 2 6" xfId="32948"/>
    <cellStyle name="好_应收账款 2 7" xfId="32949"/>
    <cellStyle name="好_应收账款 3" xfId="32950"/>
    <cellStyle name="好_应收账款 3 2 4" xfId="32951"/>
    <cellStyle name="好_应收账款 3 2 5" xfId="32952"/>
    <cellStyle name="好_应收账款 3 4" xfId="32953"/>
    <cellStyle name="好_应收账款 3 6" xfId="32954"/>
    <cellStyle name="好_应收账款 4 4" xfId="32955"/>
    <cellStyle name="好_应收账款 8" xfId="32956"/>
    <cellStyle name="好_应收账款 8 2" xfId="32957"/>
    <cellStyle name="好_应收账款 8 3" xfId="32958"/>
    <cellStyle name="好_应收账款 9" xfId="32959"/>
    <cellStyle name="好_应收账款 9 2" xfId="32960"/>
    <cellStyle name="好_应收账款 9 3" xfId="32961"/>
    <cellStyle name="好_应收账款_明细表 3" xfId="32962"/>
    <cellStyle name="好_应收账款_明细表 4" xfId="32963"/>
    <cellStyle name="好_应收账款_明细表 5" xfId="32964"/>
    <cellStyle name="好_应收账款_明细表 6" xfId="32965"/>
    <cellStyle name="好_应收账款期末审定表 2 3" xfId="32966"/>
    <cellStyle name="好_应收账款期末审定表 2 4" xfId="32967"/>
    <cellStyle name="好_应收账款期末审定表 2 5" xfId="32968"/>
    <cellStyle name="好_应收账款期末审定表 4" xfId="32969"/>
    <cellStyle name="好_预付款替代程序" xfId="32970"/>
    <cellStyle name="好_预付款项" xfId="32971"/>
    <cellStyle name="好_预付款项 2 4" xfId="32972"/>
    <cellStyle name="好_预付款项 2 5" xfId="32973"/>
    <cellStyle name="好_预付款项 3 2" xfId="32974"/>
    <cellStyle name="好_预付款项_附注表一（财务报表）" xfId="32975"/>
    <cellStyle name="好_预收款项" xfId="32976"/>
    <cellStyle name="好_预收款项 10" xfId="32977"/>
    <cellStyle name="好_预收款项 10 2 2" xfId="32978"/>
    <cellStyle name="好_预收款项 10 2 4" xfId="32979"/>
    <cellStyle name="好_预收款项 10_附注表一（财务报表）" xfId="32980"/>
    <cellStyle name="好_预收款项 10_明细表" xfId="32981"/>
    <cellStyle name="好_预收款项 11 2 2" xfId="32982"/>
    <cellStyle name="好_预收款项 11_明细表" xfId="32983"/>
    <cellStyle name="好_预收款项 11_明细表 2" xfId="32984"/>
    <cellStyle name="好_预收款项 12_明细表" xfId="32985"/>
    <cellStyle name="好_预收款项 12_明细表 2" xfId="32986"/>
    <cellStyle name="好_预收款项 12_明细表 3" xfId="32987"/>
    <cellStyle name="好_预收款项 13_明细表 2" xfId="32988"/>
    <cellStyle name="好_预收款项 13_明细表 3" xfId="32989"/>
    <cellStyle name="好_预收款项 14 2" xfId="32990"/>
    <cellStyle name="好_预收款项 14 2 5" xfId="32991"/>
    <cellStyle name="好_预收款项 14 3" xfId="32992"/>
    <cellStyle name="好_预收款项 14_明细表" xfId="32993"/>
    <cellStyle name="好_预收款项 14_明细表 2" xfId="32994"/>
    <cellStyle name="好_预收款项 14_明细表 3" xfId="32995"/>
    <cellStyle name="好_预收款项 14_明细表 4" xfId="32996"/>
    <cellStyle name="好_预收款项 14_明细表 5" xfId="32997"/>
    <cellStyle name="好_预收款项 15 2" xfId="32998"/>
    <cellStyle name="好_预收款项 15 2 3" xfId="32999"/>
    <cellStyle name="好_预收款项 15 2 4" xfId="33000"/>
    <cellStyle name="好_预收款项 15 2 5" xfId="33001"/>
    <cellStyle name="好_预收款项 15 3" xfId="33002"/>
    <cellStyle name="好_预收款项 15 4" xfId="33003"/>
    <cellStyle name="好_预收款项 15 5" xfId="33004"/>
    <cellStyle name="好_预收款项 15 6" xfId="33005"/>
    <cellStyle name="好_预收款项 16 2 3" xfId="33006"/>
    <cellStyle name="好_预收款项 16 2 4" xfId="33007"/>
    <cellStyle name="好_预收款项 16 2 5" xfId="33008"/>
    <cellStyle name="好_预收款项 16 5" xfId="33009"/>
    <cellStyle name="好_预收款项 16 6" xfId="33010"/>
    <cellStyle name="好_预收款项 17 4" xfId="33011"/>
    <cellStyle name="好_预收款项 2 2" xfId="33012"/>
    <cellStyle name="好_预收款项 2 2 2" xfId="33013"/>
    <cellStyle name="好_预收款项 2 2 2 2" xfId="33014"/>
    <cellStyle name="好_预收款项 2 3 2" xfId="33015"/>
    <cellStyle name="好_预收款项 2 3 3" xfId="33016"/>
    <cellStyle name="好_专项应付款 2 3 2" xfId="33017"/>
    <cellStyle name="好_预收款项 2_附注表一（财务报表）" xfId="33018"/>
    <cellStyle name="好_预收款项 2_明细表" xfId="33019"/>
    <cellStyle name="好_预收款项 2_明细表 3" xfId="33020"/>
    <cellStyle name="好_预收款项 2_明细表 4" xfId="33021"/>
    <cellStyle name="好_预收款项 26" xfId="33022"/>
    <cellStyle name="好_预收款项 31" xfId="33023"/>
    <cellStyle name="好_预收款项 27" xfId="33024"/>
    <cellStyle name="好_预收款项 32" xfId="33025"/>
    <cellStyle name="好_预收款项 28" xfId="33026"/>
    <cellStyle name="好_预收款项 33" xfId="33027"/>
    <cellStyle name="好_预收款项 29" xfId="33028"/>
    <cellStyle name="好_预收款项 34" xfId="33029"/>
    <cellStyle name="好_预收款项 3_明细表 2" xfId="33030"/>
    <cellStyle name="好_预收款项 3_明细表 3" xfId="33031"/>
    <cellStyle name="好_预收款项 3_明细表 4" xfId="33032"/>
    <cellStyle name="好_预收款项 3_明细表 5" xfId="33033"/>
    <cellStyle name="好_预收款项 4_明细表" xfId="33034"/>
    <cellStyle name="好_预收款项 5 2 5" xfId="33035"/>
    <cellStyle name="好_专项应付款 5 2 4" xfId="33036"/>
    <cellStyle name="好_预收款项 5_明细表" xfId="33037"/>
    <cellStyle name="好_预收款项 6_明细表" xfId="33038"/>
    <cellStyle name="好_预收款项 6_明细表 5" xfId="33039"/>
    <cellStyle name="好_资产负债类底稿模版_大信底稿目录 11 2 2" xfId="33040"/>
    <cellStyle name="好_预收款项 7_附注表一（财务报表）" xfId="33041"/>
    <cellStyle name="好_预收款项 7_明细表 4" xfId="33042"/>
    <cellStyle name="好_预收款项 7_明细表 5" xfId="33043"/>
    <cellStyle name="好_预收款项 9 2 2" xfId="33044"/>
    <cellStyle name="好_预收款项 9_明细表" xfId="33045"/>
    <cellStyle name="好_预收款项_明细表" xfId="33046"/>
    <cellStyle name="好_预收款项_明细表 2" xfId="33047"/>
    <cellStyle name="好_预收款项_明细表 2 2" xfId="33048"/>
    <cellStyle name="好_预收款项_明细表 2 3" xfId="33049"/>
    <cellStyle name="好_预收款项_明细表 2 5" xfId="33050"/>
    <cellStyle name="好_预收款项_明细表 3" xfId="33051"/>
    <cellStyle name="好_专项应付款_明细表 2" xfId="33052"/>
    <cellStyle name="好_预收款项_明细表 4" xfId="33053"/>
    <cellStyle name="好_专项应付款_明细表 3" xfId="33054"/>
    <cellStyle name="好_预收款项_明细表 5" xfId="33055"/>
    <cellStyle name="好_专项应付款_明细表 4" xfId="33056"/>
    <cellStyle name="好_预收款项_明细表 6" xfId="33057"/>
    <cellStyle name="好_专项应付款_明细表 5" xfId="33058"/>
    <cellStyle name="好_在建工程 - 复制 2 2" xfId="33059"/>
    <cellStyle name="好_在建工程 - 复制 2 3" xfId="33060"/>
    <cellStyle name="好_在建工程 - 复制 2 4" xfId="33061"/>
    <cellStyle name="好_在建工程 - 复制 3 2" xfId="33062"/>
    <cellStyle name="好_在建工程 - 复制 3 3" xfId="33063"/>
    <cellStyle name="好_在建工程 - 复制 4 2" xfId="33064"/>
    <cellStyle name="好_在建工程 - 复制 4 3" xfId="33065"/>
    <cellStyle name="好_在建工程 - 复制 5 2" xfId="33066"/>
    <cellStyle name="好_在建工程 2" xfId="33067"/>
    <cellStyle name="好_长期借款 4" xfId="33068"/>
    <cellStyle name="好_长期借款—TZ" xfId="33069"/>
    <cellStyle name="好_长期借款—TZ 2" xfId="33070"/>
    <cellStyle name="好_长期借款—TZ 2 2" xfId="33071"/>
    <cellStyle name="好_长期借款—TZ 2 2 2" xfId="33072"/>
    <cellStyle name="好_资产负债标准底稿_大信底稿目录 2 5 2" xfId="33073"/>
    <cellStyle name="好_长期借款—TZ 3" xfId="33074"/>
    <cellStyle name="好_长期借款—TZ 3 2" xfId="33075"/>
    <cellStyle name="好_长期应付款 3 2" xfId="33076"/>
    <cellStyle name="好_长期应付款 3 3" xfId="33077"/>
    <cellStyle name="好_长期应付款 5" xfId="33078"/>
    <cellStyle name="好_长期应收款" xfId="33079"/>
    <cellStyle name="好_长期应收款 4" xfId="33080"/>
    <cellStyle name="好_账项明细表 3 2" xfId="33081"/>
    <cellStyle name="好_账项明细表 3 3" xfId="33082"/>
    <cellStyle name="好_专项应付款" xfId="33083"/>
    <cellStyle name="好_专项应付款 10" xfId="33084"/>
    <cellStyle name="好_专项应付款 10 4" xfId="33085"/>
    <cellStyle name="好_专项应付款 10_附注表一（财务报表）" xfId="33086"/>
    <cellStyle name="好_专项应付款 10_明细表" xfId="33087"/>
    <cellStyle name="好_专项应付款 11" xfId="33088"/>
    <cellStyle name="好_专项应付款 12 2 3" xfId="33089"/>
    <cellStyle name="好_专项应付款 12 2 4" xfId="33090"/>
    <cellStyle name="好_专项应付款 12_附注表一（财务报表）" xfId="33091"/>
    <cellStyle name="好_专项应付款 12_明细表 2" xfId="33092"/>
    <cellStyle name="好_专项应付款 13_附注表一（财务报表）" xfId="33093"/>
    <cellStyle name="好_专项应付款 13_明细表" xfId="33094"/>
    <cellStyle name="好_专项应付款 13_明细表 2" xfId="33095"/>
    <cellStyle name="好_专项应付款 13_明细表 3" xfId="33096"/>
    <cellStyle name="好_专项应付款 13_明细表 5" xfId="33097"/>
    <cellStyle name="好_专项应付款 14 2 2" xfId="33098"/>
    <cellStyle name="好_专项应付款 14 2 5" xfId="33099"/>
    <cellStyle name="好_专项应付款 14_明细表 2" xfId="33100"/>
    <cellStyle name="好_专项应付款 14_明细表 3" xfId="33101"/>
    <cellStyle name="好_专项应付款 14_明细表 4" xfId="33102"/>
    <cellStyle name="好_专项应付款 15 2 2" xfId="33103"/>
    <cellStyle name="好_专项应付款 15 2 3" xfId="33104"/>
    <cellStyle name="好_专项应付款 15 2 4" xfId="33105"/>
    <cellStyle name="好_专项应付款 15 2 5" xfId="33106"/>
    <cellStyle name="好_专项应付款 15_附注表一（财务报表）" xfId="33107"/>
    <cellStyle name="好_专项应付款 16 2" xfId="33108"/>
    <cellStyle name="好_专项应付款 16 2 2" xfId="33109"/>
    <cellStyle name="好_专项应付款 16 2 3" xfId="33110"/>
    <cellStyle name="好_专项应付款 16 2 4" xfId="33111"/>
    <cellStyle name="好_专项应付款 16 2 5" xfId="33112"/>
    <cellStyle name="好_专项应付款 16 3" xfId="33113"/>
    <cellStyle name="好_专项应付款 16 4" xfId="33114"/>
    <cellStyle name="好_专项应付款 16 5" xfId="33115"/>
    <cellStyle name="好_专项应付款 16 6" xfId="33116"/>
    <cellStyle name="好_专项应付款 17 2" xfId="33117"/>
    <cellStyle name="好_专项应付款 17 2 5" xfId="33118"/>
    <cellStyle name="好_专项应付款 17 3" xfId="33119"/>
    <cellStyle name="好_专项应付款 17 4" xfId="33120"/>
    <cellStyle name="好_专项应付款 17 6" xfId="33121"/>
    <cellStyle name="好_专项应付款 2" xfId="33122"/>
    <cellStyle name="好_专项应付款 2 3 3" xfId="33123"/>
    <cellStyle name="好_专项应付款 2 5" xfId="33124"/>
    <cellStyle name="好_专项应付款 2 6" xfId="33125"/>
    <cellStyle name="好_专项应付款 2_明细表" xfId="33126"/>
    <cellStyle name="好_专项应付款 2_明细表 2" xfId="33127"/>
    <cellStyle name="好_专项应付款 2_明细表 3" xfId="33128"/>
    <cellStyle name="好_专项应付款 2_明细表 4" xfId="33129"/>
    <cellStyle name="好_专项应付款 2_明细表 5" xfId="33130"/>
    <cellStyle name="好_专项应付款 29" xfId="33131"/>
    <cellStyle name="好_专项应付款 34" xfId="33132"/>
    <cellStyle name="好_专项应付款 3" xfId="33133"/>
    <cellStyle name="好_专项应付款 3 5" xfId="33134"/>
    <cellStyle name="好_专项应付款 3_明细表 2" xfId="33135"/>
    <cellStyle name="好_专项应付款 3_明细表 3" xfId="33136"/>
    <cellStyle name="好_专项应付款 3_明细表 4" xfId="33137"/>
    <cellStyle name="好_专项应付款 3_明细表 5" xfId="33138"/>
    <cellStyle name="好_专项应付款 4" xfId="33139"/>
    <cellStyle name="好_专项应付款 4 4 2" xfId="33140"/>
    <cellStyle name="好_资产负债标准底稿 25" xfId="33141"/>
    <cellStyle name="好_资产负债标准底稿 30" xfId="33142"/>
    <cellStyle name="好_专项应付款 4 6" xfId="33143"/>
    <cellStyle name="好_专项应付款 5" xfId="33144"/>
    <cellStyle name="好_专项应付款 5 2 5" xfId="33145"/>
    <cellStyle name="好_专项应付款 5 3 3" xfId="33146"/>
    <cellStyle name="好_专项应付款 5 4 2" xfId="33147"/>
    <cellStyle name="好_专项应付款 5 5" xfId="33148"/>
    <cellStyle name="好_专项应付款 5_明细表" xfId="33149"/>
    <cellStyle name="好_专项应付款 5_明细表 2" xfId="33150"/>
    <cellStyle name="好_专项应付款 5_明细表 3" xfId="33151"/>
    <cellStyle name="好_专项应付款 6" xfId="33152"/>
    <cellStyle name="好_专项应付款 6 2 5" xfId="33153"/>
    <cellStyle name="好_专项应付款 6 4 2" xfId="33154"/>
    <cellStyle name="好_专项应付款 6 6" xfId="33155"/>
    <cellStyle name="好_专项应付款 6_附注表一（财务报表）" xfId="33156"/>
    <cellStyle name="好_专项应付款 6_明细表" xfId="33157"/>
    <cellStyle name="好_专项应付款 6_明细表 2" xfId="33158"/>
    <cellStyle name="好_专项应付款 6_明细表 4" xfId="33159"/>
    <cellStyle name="好_专项应付款 7" xfId="33160"/>
    <cellStyle name="好_专项应付款 7 2 5" xfId="33161"/>
    <cellStyle name="好_专项应付款 7_明细表" xfId="33162"/>
    <cellStyle name="好_专项应付款 7_明细表 2" xfId="33163"/>
    <cellStyle name="好_专项应付款 7_明细表 4" xfId="33164"/>
    <cellStyle name="好_专项应付款 7_明细表 5" xfId="33165"/>
    <cellStyle name="好_专项应付款 8" xfId="33166"/>
    <cellStyle name="好_专项应付款 8_附注表一（财务报表）" xfId="33167"/>
    <cellStyle name="好_专项应付款 9 3 2" xfId="33168"/>
    <cellStyle name="好_专项应付款 9 4" xfId="33169"/>
    <cellStyle name="好_专项应付款 9_附注表一（财务报表）" xfId="33170"/>
    <cellStyle name="好_专项应付款_附注表一（财务报表）" xfId="33171"/>
    <cellStyle name="好_专项应付款_明细表" xfId="33172"/>
    <cellStyle name="好_专项应付款_明细表 2 3" xfId="33173"/>
    <cellStyle name="好_专项应付款_明细表 2 4" xfId="33174"/>
    <cellStyle name="好_专项应付款_明细表 2 5" xfId="33175"/>
    <cellStyle name="好_专项应付款_明细表 6" xfId="33176"/>
    <cellStyle name="好_专项应付款_明细表_1" xfId="33177"/>
    <cellStyle name="好_资本到位及工商情况" xfId="33178"/>
    <cellStyle name="好_资本到位及工商情况 2" xfId="33179"/>
    <cellStyle name="好_资本到位及工商情况 3" xfId="33180"/>
    <cellStyle name="好_资本到位及工商情况 3 2" xfId="33181"/>
    <cellStyle name="好_资本到位及工商情况 4" xfId="33182"/>
    <cellStyle name="好_资本到位及工商情况 4 2" xfId="33183"/>
    <cellStyle name="好_资本到位及工商情况 5 2" xfId="33184"/>
    <cellStyle name="好_资本到位及工商情况 5 3" xfId="33185"/>
    <cellStyle name="好_资本公积" xfId="33186"/>
    <cellStyle name="好_资本公积 - 复制" xfId="33187"/>
    <cellStyle name="好_资本公积 - 复制 2" xfId="33188"/>
    <cellStyle name="好_资本公积 - 复制 3" xfId="33189"/>
    <cellStyle name="好_资本公积 2" xfId="33190"/>
    <cellStyle name="好_资本公积 5" xfId="33191"/>
    <cellStyle name="好_资产负债标准底稿" xfId="33192"/>
    <cellStyle name="好_资产负债标准底稿 10 3" xfId="33193"/>
    <cellStyle name="好_资产负债标准底稿 11 2 4" xfId="33194"/>
    <cellStyle name="好_资产负债标准底稿 11 4" xfId="33195"/>
    <cellStyle name="好_资产负债标准底稿 11_附注表一（财务报表）" xfId="33196"/>
    <cellStyle name="好_资产负债标准底稿 11_明细表 2" xfId="33197"/>
    <cellStyle name="好_资产负债标准底稿 11_明细表 3" xfId="33198"/>
    <cellStyle name="好_资产负债标准底稿 11_明细表 4" xfId="33199"/>
    <cellStyle name="好_资产负债标准底稿 11_明细表 5" xfId="33200"/>
    <cellStyle name="好_资产负债标准底稿 12 2" xfId="33201"/>
    <cellStyle name="好_资产负债标准底稿 12_明细表" xfId="33202"/>
    <cellStyle name="好_资产负债标准底稿 13 2 2" xfId="33203"/>
    <cellStyle name="好_资产负债标准底稿 13 2 5" xfId="33204"/>
    <cellStyle name="好_资产负债标准底稿 13_明细表" xfId="33205"/>
    <cellStyle name="好_资产负债标准底稿 13_明细表 3" xfId="33206"/>
    <cellStyle name="好_资产负债标准底稿 13_明细表 5" xfId="33207"/>
    <cellStyle name="好_资产负债标准底稿 14 2 2" xfId="33208"/>
    <cellStyle name="好_资产负债标准底稿 14 2 4" xfId="33209"/>
    <cellStyle name="好_资产负债标准底稿 14_附注表一（财务报表）" xfId="33210"/>
    <cellStyle name="好_资产负债标准底稿 14_明细表" xfId="33211"/>
    <cellStyle name="好_资产负债标准底稿 15 2 4" xfId="33212"/>
    <cellStyle name="好_资产负债标准底稿 15 2 5" xfId="33213"/>
    <cellStyle name="好_资产负债标准底稿 17" xfId="33214"/>
    <cellStyle name="好_资产负债标准底稿 22" xfId="33215"/>
    <cellStyle name="好_资产负债标准底稿 18" xfId="33216"/>
    <cellStyle name="好_资产负债标准底稿 23" xfId="33217"/>
    <cellStyle name="好_资产负债标准底稿 19" xfId="33218"/>
    <cellStyle name="好_资产负债标准底稿 24" xfId="33219"/>
    <cellStyle name="好_资产负债标准底稿 2" xfId="33220"/>
    <cellStyle name="好_资产负债标准底稿 2 2" xfId="33221"/>
    <cellStyle name="好_资产负债标准底稿 2 2 2" xfId="33222"/>
    <cellStyle name="好_资产负债标准底稿 2 2 2 2" xfId="33223"/>
    <cellStyle name="好_资产负债标准底稿 2 2 5" xfId="33224"/>
    <cellStyle name="好_资产负债标准底稿 2 2 6" xfId="33225"/>
    <cellStyle name="好_资产负债标准底稿 2 3" xfId="33226"/>
    <cellStyle name="好_资产负债标准底稿 2_明细表 4" xfId="33227"/>
    <cellStyle name="好_资产负债标准底稿 2_明细表 5" xfId="33228"/>
    <cellStyle name="好_资产负债标准底稿 26" xfId="33229"/>
    <cellStyle name="好_资产负债标准底稿 31" xfId="33230"/>
    <cellStyle name="好_资产负债标准底稿 27" xfId="33231"/>
    <cellStyle name="好_资产负债标准底稿 32" xfId="33232"/>
    <cellStyle name="好_资产负债标准底稿 28" xfId="33233"/>
    <cellStyle name="好_资产负债标准底稿 33" xfId="33234"/>
    <cellStyle name="好_资产负债标准底稿 29" xfId="33235"/>
    <cellStyle name="好_资产负债标准底稿 34" xfId="33236"/>
    <cellStyle name="好_资产负债标准底稿 3" xfId="33237"/>
    <cellStyle name="好_资产负债标准底稿 3 2" xfId="33238"/>
    <cellStyle name="好_资产负债标准底稿 3 3" xfId="33239"/>
    <cellStyle name="好_资产负债标准底稿 3 4" xfId="33240"/>
    <cellStyle name="好_资产负债标准底稿 3 4 2" xfId="33241"/>
    <cellStyle name="好_资产负债标准底稿 3_附注表一（财务报表）" xfId="33242"/>
    <cellStyle name="好_资产负债标准底稿 3_明细表 4" xfId="33243"/>
    <cellStyle name="好_资产负债标准底稿 3_明细表 5" xfId="33244"/>
    <cellStyle name="好_资产负债标准底稿 4" xfId="33245"/>
    <cellStyle name="好_资产负债标准底稿 4 2 4" xfId="33246"/>
    <cellStyle name="好_资产负债标准底稿 4 2 5" xfId="33247"/>
    <cellStyle name="好_资产负债标准底稿 4 2 6" xfId="33248"/>
    <cellStyle name="好_资产负债标准底稿 4_附注表一（财务报表）" xfId="33249"/>
    <cellStyle name="好_资产负债标准底稿 4_明细表 2" xfId="33250"/>
    <cellStyle name="好_资产负债标准底稿 5" xfId="33251"/>
    <cellStyle name="好_资产负债标准底稿 5 2" xfId="33252"/>
    <cellStyle name="好_资产负债标准底稿 5 2 2" xfId="33253"/>
    <cellStyle name="好_资产负债标准底稿 5 2 3" xfId="33254"/>
    <cellStyle name="好_资产负债标准底稿 5 2 4" xfId="33255"/>
    <cellStyle name="好_资产负债标准底稿 5 2 5" xfId="33256"/>
    <cellStyle name="好_资产负债标准底稿 5 2 6" xfId="33257"/>
    <cellStyle name="好_资产负债标准底稿 5 3" xfId="33258"/>
    <cellStyle name="好_资产负债标准底稿 5 5" xfId="33259"/>
    <cellStyle name="好_资产负债标准底稿 5_附注表一（财务报表）" xfId="33260"/>
    <cellStyle name="好_资产负债标准底稿 6 2" xfId="33261"/>
    <cellStyle name="好_资产负债标准底稿 6 2 2" xfId="33262"/>
    <cellStyle name="好_资产负债标准底稿 6 2 5" xfId="33263"/>
    <cellStyle name="好_资产负债标准底稿 6 2 6" xfId="33264"/>
    <cellStyle name="好_资产负债标准底稿 6 3" xfId="33265"/>
    <cellStyle name="好_资产负债标准底稿 6 4" xfId="33266"/>
    <cellStyle name="好_资产负债标准底稿 6 4 2" xfId="33267"/>
    <cellStyle name="好_资产负债标准底稿 6 5" xfId="33268"/>
    <cellStyle name="好_资产负债标准底稿 6 6" xfId="33269"/>
    <cellStyle name="好_资产负债标准底稿 6_附注表一（财务报表）" xfId="33270"/>
    <cellStyle name="好_资产负债标准底稿 6_明细表 2" xfId="33271"/>
    <cellStyle name="好_资产负债标准底稿 7" xfId="33272"/>
    <cellStyle name="好_资产负债标准底稿 7 2 4" xfId="33273"/>
    <cellStyle name="好_资产负债标准底稿 7_附注表一（财务报表）" xfId="33274"/>
    <cellStyle name="好_资产负债标准底稿 7_明细表 2" xfId="33275"/>
    <cellStyle name="好_资产负债标准底稿 8 2" xfId="33276"/>
    <cellStyle name="好_资产负债标准底稿 8_附注表一（财务报表）" xfId="33277"/>
    <cellStyle name="好_资产负债标准底稿 8_明细表" xfId="33278"/>
    <cellStyle name="好_资产负债标准底稿 8_明细表 2" xfId="33279"/>
    <cellStyle name="好_资产负债标准底稿 8_明细表 3" xfId="33280"/>
    <cellStyle name="好_资产负债标准底稿 8_明细表 4" xfId="33281"/>
    <cellStyle name="好_资产负债标准底稿 9 2" xfId="33282"/>
    <cellStyle name="好_资产负债标准底稿 9 2 4" xfId="33283"/>
    <cellStyle name="好_资产负债标准底稿 9 2 5" xfId="33284"/>
    <cellStyle name="好_资产负债标准底稿 9 3" xfId="33285"/>
    <cellStyle name="好_资产负债标准底稿 9 4" xfId="33286"/>
    <cellStyle name="好_资产负债标准底稿 9_明细表 4" xfId="33287"/>
    <cellStyle name="好_资产负债标准底稿_大信底稿目录 10 2 2" xfId="33288"/>
    <cellStyle name="好_资产负债标准底稿_大信底稿目录 10 2 3" xfId="33289"/>
    <cellStyle name="好_资产负债标准底稿_大信底稿目录 10 2 4" xfId="33290"/>
    <cellStyle name="好_资产负债标准底稿_大信底稿目录 10 4" xfId="33291"/>
    <cellStyle name="好_资产负债标准底稿_大信底稿目录 10_附注表一（财务报表）" xfId="33292"/>
    <cellStyle name="好_资产负债标准底稿_大信底稿目录 11" xfId="33293"/>
    <cellStyle name="好_资产负债标准底稿_大信底稿目录 11 2" xfId="33294"/>
    <cellStyle name="好_资产负债标准底稿_大信底稿目录 11 2 2" xfId="33295"/>
    <cellStyle name="好_资产负债标准底稿_大信底稿目录 11 4" xfId="33296"/>
    <cellStyle name="好_资产负债标准底稿_大信底稿目录 11_明细表 3" xfId="33297"/>
    <cellStyle name="好_资产负债标准底稿_大信底稿目录 11_明细表 5" xfId="33298"/>
    <cellStyle name="好_资产负债标准底稿_大信底稿目录 12" xfId="33299"/>
    <cellStyle name="好_资产负债标准底稿_大信底稿目录 12 2" xfId="33300"/>
    <cellStyle name="好_资产负债标准底稿_大信底稿目录 12 2 3" xfId="33301"/>
    <cellStyle name="好_资产负债标准底稿_大信底稿目录 12 2 4" xfId="33302"/>
    <cellStyle name="好_资产负债标准底稿_大信底稿目录 12_附注表一（财务报表）" xfId="33303"/>
    <cellStyle name="好_资产负债标准底稿_大信底稿目录 12_明细表 2" xfId="33304"/>
    <cellStyle name="好_资产负债标准底稿_大信底稿目录 12_明细表 4" xfId="33305"/>
    <cellStyle name="好_资产负债标准底稿_大信底稿目录 13" xfId="33306"/>
    <cellStyle name="好_资产负债标准底稿_大信底稿目录 13 2" xfId="33307"/>
    <cellStyle name="好_资产负债标准底稿_大信底稿目录 13 2 4" xfId="33308"/>
    <cellStyle name="好_资产负债标准底稿_大信底稿目录 13_明细表 2" xfId="33309"/>
    <cellStyle name="好_资产负债标准底稿_大信底稿目录 13_明细表 3" xfId="33310"/>
    <cellStyle name="好_资产负债标准底稿_大信底稿目录 13_明细表 4" xfId="33311"/>
    <cellStyle name="好_资产负债标准底稿_大信底稿目录 14" xfId="33312"/>
    <cellStyle name="好_资产负债标准底稿_大信底稿目录 14 2" xfId="33313"/>
    <cellStyle name="好_资产负债标准底稿_大信底稿目录 15 2" xfId="33314"/>
    <cellStyle name="好_资产负债标准底稿_大信底稿目录 15 2 2" xfId="33315"/>
    <cellStyle name="好_资产负债标准底稿_大信底稿目录 15 2 3" xfId="33316"/>
    <cellStyle name="好_资产负债标准底稿_大信底稿目录 15 2 4" xfId="33317"/>
    <cellStyle name="好_资产负债标准底稿_大信底稿目录 15 3" xfId="33318"/>
    <cellStyle name="好_资产负债标准底稿_大信底稿目录 16 2" xfId="33319"/>
    <cellStyle name="好_资产负债标准底稿_大信底稿目录 16 3" xfId="33320"/>
    <cellStyle name="好_资产负债标准底稿_大信底稿目录 16 4" xfId="33321"/>
    <cellStyle name="好_资产负债标准底稿_大信底稿目录 16 5" xfId="33322"/>
    <cellStyle name="好_资产负债标准底稿_大信底稿目录 2 2 2" xfId="33323"/>
    <cellStyle name="好_资产负债标准底稿_大信底稿目录 2 2 2 3" xfId="33324"/>
    <cellStyle name="好_资产负债标准底稿_大信底稿目录 2 2 3" xfId="33325"/>
    <cellStyle name="好_资产负债标准底稿_大信底稿目录 2 2 4" xfId="33326"/>
    <cellStyle name="好_资产负债标准底稿_大信底稿目录 2 2 5" xfId="33327"/>
    <cellStyle name="好_资产负债标准底稿_大信底稿目录 2 3" xfId="33328"/>
    <cellStyle name="好_资产负债标准底稿_大信底稿目录 2 4 2" xfId="33329"/>
    <cellStyle name="好_资产负债标准底稿_大信底稿目录 2 6" xfId="33330"/>
    <cellStyle name="好_资产负债标准底稿_大信底稿目录 2 7" xfId="33331"/>
    <cellStyle name="好_资产负债标准底稿_大信底稿目录 2_附注表一（财务报表）" xfId="33332"/>
    <cellStyle name="好_资产负债标准底稿_大信底稿目录 2_明细表" xfId="33333"/>
    <cellStyle name="好_资产负债标准底稿_大信底稿目录 2_明细表 4" xfId="33334"/>
    <cellStyle name="好_资产负债标准底稿_大信底稿目录 2_明细表 5" xfId="33335"/>
    <cellStyle name="好_资产负债标准底稿_大信底稿目录 30" xfId="33336"/>
    <cellStyle name="好_资产负债标准底稿_大信底稿目录 25" xfId="33337"/>
    <cellStyle name="好_资产负债标准底稿_大信底稿目录 31" xfId="33338"/>
    <cellStyle name="好_资产负债标准底稿_大信底稿目录 26" xfId="33339"/>
    <cellStyle name="好_资产负债标准底稿_大信底稿目录 32" xfId="33340"/>
    <cellStyle name="好_资产负债标准底稿_大信底稿目录 27" xfId="33341"/>
    <cellStyle name="好_资产负债标准底稿_大信底稿目录 33" xfId="33342"/>
    <cellStyle name="好_资产负债标准底稿_大信底稿目录 28" xfId="33343"/>
    <cellStyle name="好_资产负债标准底稿_大信底稿目录 34" xfId="33344"/>
    <cellStyle name="好_资产负债标准底稿_大信底稿目录 29" xfId="33345"/>
    <cellStyle name="好_资产负债标准底稿_大信底稿目录 3" xfId="33346"/>
    <cellStyle name="好_资产负债标准底稿_大信底稿目录 3 2" xfId="33347"/>
    <cellStyle name="好_资产负债标准底稿_大信底稿目录 3 2 2" xfId="33348"/>
    <cellStyle name="好_资产负债标准底稿_大信底稿目录 3 2 3" xfId="33349"/>
    <cellStyle name="好_资产负债标准底稿_大信底稿目录 3 2 4" xfId="33350"/>
    <cellStyle name="好_资产负债标准底稿_大信底稿目录 3 2 5" xfId="33351"/>
    <cellStyle name="好_资产负债标准底稿_大信底稿目录 3 2 6" xfId="33352"/>
    <cellStyle name="好_资产负债标准底稿_大信底稿目录 3 3" xfId="33353"/>
    <cellStyle name="好_资产负债标准底稿_大信底稿目录 3 3 2" xfId="33354"/>
    <cellStyle name="好_资产负债标准底稿_大信底稿目录 3 3 3" xfId="33355"/>
    <cellStyle name="好_资产负债标准底稿_大信底稿目录 3 4" xfId="33356"/>
    <cellStyle name="好_资产负债标准底稿_大信底稿目录 3 4 2" xfId="33357"/>
    <cellStyle name="好_资产负债标准底稿_大信底稿目录 3 5" xfId="33358"/>
    <cellStyle name="好_资产负债标准底稿_大信底稿目录 3 6" xfId="33359"/>
    <cellStyle name="好_资产负债标准底稿_大信底稿目录 3_附注表一（财务报表）" xfId="33360"/>
    <cellStyle name="好_资产负债标准底稿_大信底稿目录 3_明细表 2" xfId="33361"/>
    <cellStyle name="好_资产负债标准底稿_大信底稿目录 3_明细表 3" xfId="33362"/>
    <cellStyle name="好_资产负债标准底稿_大信底稿目录 3_明细表 4" xfId="33363"/>
    <cellStyle name="好_资产负债标准底稿_大信底稿目录 3_明细表 5" xfId="33364"/>
    <cellStyle name="好_资产负债标准底稿_大信底稿目录 4" xfId="33365"/>
    <cellStyle name="好_资产负债标准底稿_大信底稿目录 4 2 4" xfId="33366"/>
    <cellStyle name="好_资产负债标准底稿_大信底稿目录 4 2 5" xfId="33367"/>
    <cellStyle name="好_资产负债标准底稿_大信底稿目录 4 2 6" xfId="33368"/>
    <cellStyle name="好_资产负债标准底稿_大信底稿目录 4 5" xfId="33369"/>
    <cellStyle name="好_资产负债标准底稿_大信底稿目录 4 6" xfId="33370"/>
    <cellStyle name="好_资产负债标准底稿_大信底稿目录 4_明细表" xfId="33371"/>
    <cellStyle name="好_资产负债标准底稿_大信底稿目录 4_明细表 2" xfId="33372"/>
    <cellStyle name="好_资产负债标准底稿_大信底稿目录 4_明细表 3" xfId="33373"/>
    <cellStyle name="好_资产负债标准底稿_大信底稿目录 4_明细表 4" xfId="33374"/>
    <cellStyle name="好_资产负债标准底稿_大信底稿目录 4_明细表 5" xfId="33375"/>
    <cellStyle name="好_资产负债标准底稿_大信底稿目录 5" xfId="33376"/>
    <cellStyle name="好_资产负债标准底稿_大信底稿目录 5 2" xfId="33377"/>
    <cellStyle name="好_资产负债标准底稿_大信底稿目录 5 2 2" xfId="33378"/>
    <cellStyle name="好_资产负债标准底稿_大信底稿目录 5 2 3" xfId="33379"/>
    <cellStyle name="好_资产负债标准底稿_大信底稿目录 5 2 4" xfId="33380"/>
    <cellStyle name="好_资产负债标准底稿_大信底稿目录 5 2 5" xfId="33381"/>
    <cellStyle name="好_资产负债标准底稿_大信底稿目录 5 2 6" xfId="33382"/>
    <cellStyle name="好_资产负债标准底稿_大信底稿目录 5 3" xfId="33383"/>
    <cellStyle name="好_资产负债标准底稿_大信底稿目录 5 3 2" xfId="33384"/>
    <cellStyle name="好_资产负债标准底稿_大信底稿目录 5 3 3" xfId="33385"/>
    <cellStyle name="好_资产负债标准底稿_大信底稿目录 5 4" xfId="33386"/>
    <cellStyle name="好_资产负债标准底稿_大信底稿目录 5 4 2" xfId="33387"/>
    <cellStyle name="好_资产负债标准底稿_大信底稿目录 5 5" xfId="33388"/>
    <cellStyle name="好_资产负债标准底稿_大信底稿目录 5 6" xfId="33389"/>
    <cellStyle name="好_资产负债标准底稿_大信底稿目录 5_附注表一（财务报表）" xfId="33390"/>
    <cellStyle name="好_资产负债标准底稿_大信底稿目录 5_明细表" xfId="33391"/>
    <cellStyle name="好_资产负债标准底稿_大信底稿目录 5_明细表 2" xfId="33392"/>
    <cellStyle name="好_资产负债标准底稿_大信底稿目录 5_明细表 3" xfId="33393"/>
    <cellStyle name="好_资产负债标准底稿_大信底稿目录 5_明细表 4" xfId="33394"/>
    <cellStyle name="好_资产负债标准底稿_大信底稿目录 6" xfId="33395"/>
    <cellStyle name="好_资产负债标准底稿_大信底稿目录 6 2" xfId="33396"/>
    <cellStyle name="好_资产负债标准底稿_大信底稿目录 6 2 2" xfId="33397"/>
    <cellStyle name="好_资产负债标准底稿_大信底稿目录 6 2 3" xfId="33398"/>
    <cellStyle name="好_资产负债标准底稿_大信底稿目录 6 2 4" xfId="33399"/>
    <cellStyle name="好_资产负债标准底稿_大信底稿目录 6 2 5" xfId="33400"/>
    <cellStyle name="好_资产负债标准底稿_大信底稿目录 6 2 6" xfId="33401"/>
    <cellStyle name="好_资产负债标准底稿_大信底稿目录 6 3" xfId="33402"/>
    <cellStyle name="好_资产负债标准底稿_大信底稿目录 6 3 2" xfId="33403"/>
    <cellStyle name="好_资产负债标准底稿_大信底稿目录 6 3 3" xfId="33404"/>
    <cellStyle name="好_资产负债标准底稿_大信底稿目录 6 4" xfId="33405"/>
    <cellStyle name="好_资产负债标准底稿_大信底稿目录 6 4 2" xfId="33406"/>
    <cellStyle name="好_资产负债标准底稿_大信底稿目录 6 5" xfId="33407"/>
    <cellStyle name="好_资产负债标准底稿_大信底稿目录 6 6" xfId="33408"/>
    <cellStyle name="好_资产负债标准底稿_大信底稿目录 6_附注表一（财务报表）" xfId="33409"/>
    <cellStyle name="好_资产负债标准底稿_大信底稿目录 6_明细表" xfId="33410"/>
    <cellStyle name="好_资产负债标准底稿_大信底稿目录 6_明细表 2" xfId="33411"/>
    <cellStyle name="好_资产负债标准底稿_大信底稿目录 6_明细表 3" xfId="33412"/>
    <cellStyle name="好_资产负债标准底稿_大信底稿目录 6_明细表 4" xfId="33413"/>
    <cellStyle name="好_资产负债标准底稿_大信底稿目录 6_明细表 5" xfId="33414"/>
    <cellStyle name="好_资产负债标准底稿_大信底稿目录 7" xfId="33415"/>
    <cellStyle name="好_资产负债标准底稿_大信底稿目录 7 2" xfId="33416"/>
    <cellStyle name="好_资产负债标准底稿_大信底稿目录 7 2 2" xfId="33417"/>
    <cellStyle name="好_资产负债标准底稿_大信底稿目录 7 2 3" xfId="33418"/>
    <cellStyle name="好_资产负债标准底稿_大信底稿目录 7 2 4" xfId="33419"/>
    <cellStyle name="好_资产负债标准底稿_大信底稿目录 7 2 5" xfId="33420"/>
    <cellStyle name="好_资产负债标准底稿_大信底稿目录 7 3" xfId="33421"/>
    <cellStyle name="好_资产负债标准底稿_大信底稿目录 7 3 2" xfId="33422"/>
    <cellStyle name="好_资产负债标准底稿_大信底稿目录 7 4" xfId="33423"/>
    <cellStyle name="好_资产负债标准底稿_大信底稿目录 7_附注表一（财务报表）" xfId="33424"/>
    <cellStyle name="好_资产负债标准底稿_大信底稿目录 7_明细表" xfId="33425"/>
    <cellStyle name="好_资产负债标准底稿_大信底稿目录 7_明细表 3" xfId="33426"/>
    <cellStyle name="好_资产负债标准底稿_大信底稿目录 7_明细表 5" xfId="33427"/>
    <cellStyle name="好_资产负债标准底稿_大信底稿目录 8 2" xfId="33428"/>
    <cellStyle name="好_资产减值损失 10_明细表 5" xfId="33429"/>
    <cellStyle name="好_资产负债标准底稿_大信底稿目录 8 2 2" xfId="33430"/>
    <cellStyle name="好_资产负债标准底稿_大信底稿目录 8 2 3" xfId="33431"/>
    <cellStyle name="好_资产负债标准底稿_大信底稿目录 8 2 4" xfId="33432"/>
    <cellStyle name="好_资产负债标准底稿_大信底稿目录 8 2 5" xfId="33433"/>
    <cellStyle name="好_资产负债标准底稿_大信底稿目录 8 3" xfId="33434"/>
    <cellStyle name="好_资产负债标准底稿_大信底稿目录 8 3 2" xfId="33435"/>
    <cellStyle name="好_资产负债标准底稿_大信底稿目录 8 4" xfId="33436"/>
    <cellStyle name="好_资产负债标准底稿_大信底稿目录 8_附注表一（财务报表）" xfId="33437"/>
    <cellStyle name="好_资产负债标准底稿_大信底稿目录 8_明细表" xfId="33438"/>
    <cellStyle name="好_资产负债标准底稿_大信底稿目录 8_明细表 2" xfId="33439"/>
    <cellStyle name="好_资产负债标准底稿_大信底稿目录 8_明细表 3" xfId="33440"/>
    <cellStyle name="好_资产负债标准底稿_大信底稿目录 9" xfId="33441"/>
    <cellStyle name="好_资产负债标准底稿_大信底稿目录 9 2 3" xfId="33442"/>
    <cellStyle name="好_资产负债标准底稿_大信底稿目录 9 2 4" xfId="33443"/>
    <cellStyle name="好_资产负债标准底稿_大信底稿目录 9 2 5" xfId="33444"/>
    <cellStyle name="好_资产负债标准底稿_大信底稿目录 9 3 2" xfId="33445"/>
    <cellStyle name="好_资产负债标准底稿_大信底稿目录 9_附注表一（财务报表）" xfId="33446"/>
    <cellStyle name="好_资产负债标准底稿_大信底稿目录 9_明细表" xfId="33447"/>
    <cellStyle name="好_资产负债标准底稿_大信底稿目录 9_明细表 2" xfId="33448"/>
    <cellStyle name="好_资产负债标准底稿_大信底稿目录 9_明细表 3" xfId="33449"/>
    <cellStyle name="好_资产负债标准底稿_大信底稿目录 9_明细表 4" xfId="33450"/>
    <cellStyle name="好_资产负债标准底稿_大信底稿目录 9_明细表 5" xfId="33451"/>
    <cellStyle name="好_资产负债标准底稿_大信底稿目录_附注表一（财务报表）" xfId="33452"/>
    <cellStyle name="好_资产负债标准底稿_大信底稿目录_明细表" xfId="33453"/>
    <cellStyle name="好_资产负债标准底稿_大信底稿目录_明细表 2" xfId="33454"/>
    <cellStyle name="好_资产负债标准底稿_大信底稿目录_明细表 2 2" xfId="33455"/>
    <cellStyle name="好_资产负债标准底稿_大信底稿目录_明细表 2 3" xfId="33456"/>
    <cellStyle name="好_资产负债标准底稿_大信底稿目录_明细表 2 4" xfId="33457"/>
    <cellStyle name="好_资产负债标准底稿_大信底稿目录_明细表 2 5" xfId="33458"/>
    <cellStyle name="好_资产负债标准底稿_大信底稿目录_明细表 3" xfId="33459"/>
    <cellStyle name="好_资产负债标准底稿_大信底稿目录_明细表 4" xfId="33460"/>
    <cellStyle name="好_资产负债标准底稿_大信底稿目录_明细表 5" xfId="33461"/>
    <cellStyle name="好_资产负债标准底稿_大信底稿目录_明细表 6" xfId="33462"/>
    <cellStyle name="好_资产负债标准底稿_大信底稿目录_明细表_1" xfId="33463"/>
    <cellStyle name="好_资产负债标准底稿_大信底稿目录_明细表_1 2" xfId="33464"/>
    <cellStyle name="好_资产负债标准底稿_大信底稿目录_明细表_1 3" xfId="33465"/>
    <cellStyle name="好_资产负债标准底稿_大信底稿目录_明细表_1 4" xfId="33466"/>
    <cellStyle name="好_资产负债标准底稿_大信底稿目录_明细表_1 5" xfId="33467"/>
    <cellStyle name="好_资产负债标准底稿_附注表一（财务报表）" xfId="33468"/>
    <cellStyle name="好_资产负债标准底稿_明细表" xfId="33469"/>
    <cellStyle name="好_资产负债标准底稿_明细表 2" xfId="33470"/>
    <cellStyle name="好_资产负债标准底稿_明细表 2 2" xfId="33471"/>
    <cellStyle name="好_资产负债标准底稿_明细表 3" xfId="33472"/>
    <cellStyle name="好_资产负债标准底稿_明细表 4" xfId="33473"/>
    <cellStyle name="好_资产负债标准底稿_明细表 5" xfId="33474"/>
    <cellStyle name="好_资产负债标准底稿_明细表 6" xfId="33475"/>
    <cellStyle name="好_资产负债标准底稿_明细表_1 2" xfId="33476"/>
    <cellStyle name="好_资产负债标准底稿_明细表_1 3" xfId="33477"/>
    <cellStyle name="好_资产负债标准底稿_明细表_1 4" xfId="33478"/>
    <cellStyle name="好_资产负债标准底稿_明细表_1 5" xfId="33479"/>
    <cellStyle name="好_资产负债类底稿模版 10" xfId="33480"/>
    <cellStyle name="好_资产负债类底稿模版 10 2" xfId="33481"/>
    <cellStyle name="好_资产负债类底稿模版 10 2 2" xfId="33482"/>
    <cellStyle name="好_资产负债类底稿模版 10 2 3" xfId="33483"/>
    <cellStyle name="好_资产负债类底稿模版 10 2 4" xfId="33484"/>
    <cellStyle name="好_资产负债类底稿模版 10 2 5" xfId="33485"/>
    <cellStyle name="好_资产负债类底稿模版 10 3" xfId="33486"/>
    <cellStyle name="好_资产负债类底稿模版 10 4" xfId="33487"/>
    <cellStyle name="好_资产负债类底稿模版 10_附注表一（财务报表）" xfId="33488"/>
    <cellStyle name="好_资产负债类底稿模版 10_明细表" xfId="33489"/>
    <cellStyle name="好_资产负债类底稿模版 11" xfId="33490"/>
    <cellStyle name="好_资产负债类底稿模版 11 2 2" xfId="33491"/>
    <cellStyle name="好_资产负债类底稿模版 11 2 3" xfId="33492"/>
    <cellStyle name="好_资产负债类底稿模版 11 2 4" xfId="33493"/>
    <cellStyle name="好_资产负债类底稿模版 11 2 5" xfId="33494"/>
    <cellStyle name="好_资产负债类底稿模版 11 4" xfId="33495"/>
    <cellStyle name="好_资产负债类底稿模版 11_附注表一（财务报表）" xfId="33496"/>
    <cellStyle name="好_资产负债类底稿模版 11_明细表" xfId="33497"/>
    <cellStyle name="好_资产负债类底稿模版 11_明细表 2" xfId="33498"/>
    <cellStyle name="好_资产负债类底稿模版 11_明细表 3" xfId="33499"/>
    <cellStyle name="好_资产负债类底稿模版 11_明细表 4" xfId="33500"/>
    <cellStyle name="好_资产负债类底稿模版 11_明细表 5" xfId="33501"/>
    <cellStyle name="好_资产负债类底稿模版 12" xfId="33502"/>
    <cellStyle name="好_资产负债类底稿模版 12 2" xfId="33503"/>
    <cellStyle name="好_资产负债类底稿模版 12 2 2" xfId="33504"/>
    <cellStyle name="好_资产负债类底稿模版 12 2 3" xfId="33505"/>
    <cellStyle name="好_资产负债类底稿模版 12 2 4" xfId="33506"/>
    <cellStyle name="好_资产负债类底稿模版 12 2 5" xfId="33507"/>
    <cellStyle name="好_资产负债类底稿模版 12 3" xfId="33508"/>
    <cellStyle name="好_资产负债类底稿模版 12_附注表一（财务报表）" xfId="33509"/>
    <cellStyle name="好_资产负债类底稿模版 12_明细表" xfId="33510"/>
    <cellStyle name="好_资产负债类底稿模版 12_明细表 2" xfId="33511"/>
    <cellStyle name="好_资产负债类底稿模版 12_明细表 3" xfId="33512"/>
    <cellStyle name="好_资产负债类底稿模版 12_明细表 4" xfId="33513"/>
    <cellStyle name="好_资产负债类底稿模版 12_明细表 5" xfId="33514"/>
    <cellStyle name="好_资产负债类底稿模版 13" xfId="33515"/>
    <cellStyle name="好_资产负债类底稿模版 13 2" xfId="33516"/>
    <cellStyle name="好_资产负债类底稿模版 13 2 4" xfId="33517"/>
    <cellStyle name="好_资产负债类底稿模版 13 2 5" xfId="33518"/>
    <cellStyle name="好_资产负债类底稿模版 13_附注表一（财务报表）" xfId="33519"/>
    <cellStyle name="好_资产负债类底稿模版 13_明细表" xfId="33520"/>
    <cellStyle name="好_资产负债类底稿模版 13_明细表 2" xfId="33521"/>
    <cellStyle name="好_资产负债类底稿模版 13_明细表 3" xfId="33522"/>
    <cellStyle name="好_资产负债类底稿模版 13_明细表 4" xfId="33523"/>
    <cellStyle name="好_资产负债类底稿模版 13_明细表 5" xfId="33524"/>
    <cellStyle name="好_资产负债类底稿模版 14" xfId="33525"/>
    <cellStyle name="好_资产负债类底稿模版 14 2" xfId="33526"/>
    <cellStyle name="好_资产负债类底稿模版 14 2 2" xfId="33527"/>
    <cellStyle name="好_资产负债类底稿模版 14 2 3" xfId="33528"/>
    <cellStyle name="好_资产负债类底稿模版 14 2 4" xfId="33529"/>
    <cellStyle name="好_资产负债类底稿模版 14 2 5" xfId="33530"/>
    <cellStyle name="好_资产负债类底稿模版 14 3" xfId="33531"/>
    <cellStyle name="好_资产负债类底稿模版 14_附注表一（财务报表）" xfId="33532"/>
    <cellStyle name="好_资产负债类底稿模版 14_明细表" xfId="33533"/>
    <cellStyle name="好_资产负债类底稿模版 14_明细表 2" xfId="33534"/>
    <cellStyle name="好_资产负债类底稿模版 14_明细表 3" xfId="33535"/>
    <cellStyle name="好_资产负债类底稿模版 14_明细表 4" xfId="33536"/>
    <cellStyle name="好_资产负债类底稿模版 14_明细表 5" xfId="33537"/>
    <cellStyle name="好_资产负债类底稿模版 20" xfId="33538"/>
    <cellStyle name="好_资产负债类底稿模版 15" xfId="33539"/>
    <cellStyle name="好_资产负债类底稿模版 15 2" xfId="33540"/>
    <cellStyle name="好_资产负债类底稿模版 15 2 2" xfId="33541"/>
    <cellStyle name="好_资产负债类底稿模版 15 2 3" xfId="33542"/>
    <cellStyle name="好_资产负债类底稿模版 15 2 4" xfId="33543"/>
    <cellStyle name="好_资产负债类底稿模版 15 2 5" xfId="33544"/>
    <cellStyle name="好_资产负债类底稿模版 21" xfId="33545"/>
    <cellStyle name="好_资产负债类底稿模版 16" xfId="33546"/>
    <cellStyle name="好_资产负债类底稿模版 16 2" xfId="33547"/>
    <cellStyle name="好_资产负债类底稿模版 16 2 2" xfId="33548"/>
    <cellStyle name="好_资产负债类底稿模版 16 2 3" xfId="33549"/>
    <cellStyle name="好_资产负债类底稿模版 16 2 4" xfId="33550"/>
    <cellStyle name="好_资产负债类底稿模版 16 2 5" xfId="33551"/>
    <cellStyle name="好_资产负债类底稿模版 16 3" xfId="33552"/>
    <cellStyle name="好_资产负债类底稿模版 16 4" xfId="33553"/>
    <cellStyle name="好_资产负债类底稿模版 16 5" xfId="33554"/>
    <cellStyle name="好_资产负债类底稿模版 16 6" xfId="33555"/>
    <cellStyle name="好_资产负债类底稿模版 22" xfId="33556"/>
    <cellStyle name="好_资产负债类底稿模版 17" xfId="33557"/>
    <cellStyle name="好_资产负债类底稿模版 17 2" xfId="33558"/>
    <cellStyle name="好_资产负债类底稿模版 17 3" xfId="33559"/>
    <cellStyle name="好_资产负债类底稿模版 17 4" xfId="33560"/>
    <cellStyle name="好_资产负债类底稿模版 17 5" xfId="33561"/>
    <cellStyle name="好_资产负债类底稿模版 23" xfId="33562"/>
    <cellStyle name="好_资产负债类底稿模版 18" xfId="33563"/>
    <cellStyle name="好_资产负债类底稿模版 24" xfId="33564"/>
    <cellStyle name="好_资产负债类底稿模版 19" xfId="33565"/>
    <cellStyle name="好_资产负债类底稿模版 2" xfId="33566"/>
    <cellStyle name="好_资产负债类底稿模版 2 2" xfId="33567"/>
    <cellStyle name="好_资产负债类底稿模版 2 2 2" xfId="33568"/>
    <cellStyle name="好_资产负债类底稿模版 2 2 2 3" xfId="33569"/>
    <cellStyle name="好_资产负债类底稿模版 2 2 3" xfId="33570"/>
    <cellStyle name="好_资产负债类底稿模版 2 2 4" xfId="33571"/>
    <cellStyle name="好_资产负债类底稿模版 2 2 5" xfId="33572"/>
    <cellStyle name="好_资产负债类底稿模版 2 2 6" xfId="33573"/>
    <cellStyle name="好_资产负债类底稿模版 2 3" xfId="33574"/>
    <cellStyle name="好_资产负债类底稿模版 2 3 2" xfId="33575"/>
    <cellStyle name="好_资产负债类底稿模版 2 3 3" xfId="33576"/>
    <cellStyle name="好_资产负债类底稿模版 2 4" xfId="33577"/>
    <cellStyle name="好_资产负债类底稿模版 2 4 2" xfId="33578"/>
    <cellStyle name="好_资产负债类底稿模版 2 5" xfId="33579"/>
    <cellStyle name="好_资产负债类底稿模版 2 5 2" xfId="33580"/>
    <cellStyle name="好_资产负债类底稿模版 2 6" xfId="33581"/>
    <cellStyle name="好_资产负债类底稿模版 2 7" xfId="33582"/>
    <cellStyle name="好_资产负债类底稿模版 2_附注表一（财务报表）" xfId="33583"/>
    <cellStyle name="好_资产负债类底稿模版 2_明细表" xfId="33584"/>
    <cellStyle name="好_资产负债类底稿模版 2_明细表 2" xfId="33585"/>
    <cellStyle name="好_资产负债类底稿模版 2_明细表 4" xfId="33586"/>
    <cellStyle name="好_资产负债类底稿模版 2_明细表 5" xfId="33587"/>
    <cellStyle name="好_资产负债类底稿模版 30" xfId="33588"/>
    <cellStyle name="好_资产负债类底稿模版 25" xfId="33589"/>
    <cellStyle name="好_资产负债类底稿模版 31" xfId="33590"/>
    <cellStyle name="好_资产负债类底稿模版 26" xfId="33591"/>
    <cellStyle name="好_资产负债类底稿模版 32" xfId="33592"/>
    <cellStyle name="好_资产负债类底稿模版 27" xfId="33593"/>
    <cellStyle name="好_资产负债类底稿模版 33" xfId="33594"/>
    <cellStyle name="好_资产负债类底稿模版 28" xfId="33595"/>
    <cellStyle name="好_资产负债类底稿模版 34" xfId="33596"/>
    <cellStyle name="好_资产负债类底稿模版 29" xfId="33597"/>
    <cellStyle name="好_资产负债类底稿模版 3" xfId="33598"/>
    <cellStyle name="好_资产负债类底稿模版 3 2" xfId="33599"/>
    <cellStyle name="好_资产负债类底稿模版 3 2 2" xfId="33600"/>
    <cellStyle name="好_资产负债类底稿模版 3 2 3" xfId="33601"/>
    <cellStyle name="好_资产负债类底稿模版 3 2 4" xfId="33602"/>
    <cellStyle name="好_资产负债类底稿模版 3 2 5" xfId="33603"/>
    <cellStyle name="好_资产负债类底稿模版 3 2 6" xfId="33604"/>
    <cellStyle name="好_资产负债类底稿模版 3 3" xfId="33605"/>
    <cellStyle name="好_资产负债类底稿模版 3 3 2" xfId="33606"/>
    <cellStyle name="好_资产负债类底稿模版 3 3 3" xfId="33607"/>
    <cellStyle name="好_资产负债类底稿模版 3 4" xfId="33608"/>
    <cellStyle name="好_资产负债类底稿模版 3 4 2" xfId="33609"/>
    <cellStyle name="好_资产负债类底稿模版 3 5" xfId="33610"/>
    <cellStyle name="好_资产负债类底稿模版 3 6" xfId="33611"/>
    <cellStyle name="好_资产负债类底稿模版 3_明细表" xfId="33612"/>
    <cellStyle name="好_资产负债类底稿模版 3_明细表 2" xfId="33613"/>
    <cellStyle name="好_资产负债类底稿模版 3_明细表 3" xfId="33614"/>
    <cellStyle name="好_资产负债类底稿模版 3_明细表 4" xfId="33615"/>
    <cellStyle name="好_资产负债类底稿模版 3_明细表 5" xfId="33616"/>
    <cellStyle name="好_资产负债类底稿模版 4" xfId="33617"/>
    <cellStyle name="好_资产负债类底稿模版 4 2" xfId="33618"/>
    <cellStyle name="好_资产负债类底稿模版 4 2 2" xfId="33619"/>
    <cellStyle name="好_资产负债类底稿模版 4 2 3" xfId="33620"/>
    <cellStyle name="好_资产负债类底稿模版 4 2 5" xfId="33621"/>
    <cellStyle name="好_资产负债类底稿模版 4 2 6" xfId="33622"/>
    <cellStyle name="好_资产负债类底稿模版 4 3" xfId="33623"/>
    <cellStyle name="好_资产负债类底稿模版 4 3 2" xfId="33624"/>
    <cellStyle name="好_资产负债类底稿模版 4 3 3" xfId="33625"/>
    <cellStyle name="好_资产负债类底稿模版 4 4" xfId="33626"/>
    <cellStyle name="好_资产负债类底稿模版 4 4 2" xfId="33627"/>
    <cellStyle name="好_资产负债类底稿模版 4 5" xfId="33628"/>
    <cellStyle name="好_资产负债类底稿模版 4 6" xfId="33629"/>
    <cellStyle name="好_资产负债类底稿模版 4_明细表" xfId="33630"/>
    <cellStyle name="好_资产负债类底稿模版 4_明细表 2" xfId="33631"/>
    <cellStyle name="好_资产负债类底稿模版 5" xfId="33632"/>
    <cellStyle name="好_资产负债类底稿模版 5 2" xfId="33633"/>
    <cellStyle name="好_资产负债类底稿模版 5 2 2" xfId="33634"/>
    <cellStyle name="好_资产负债类底稿模版 5 2 5" xfId="33635"/>
    <cellStyle name="好_资产负债类底稿模版 5 2 6" xfId="33636"/>
    <cellStyle name="好_资产负债类底稿模版 5 3" xfId="33637"/>
    <cellStyle name="好_资产负债类底稿模版 5 3 2" xfId="33638"/>
    <cellStyle name="好_资产负债类底稿模版 5 4" xfId="33639"/>
    <cellStyle name="好_资产负债类底稿模版 5 4 2" xfId="33640"/>
    <cellStyle name="好_资产负债类底稿模版 5 5" xfId="33641"/>
    <cellStyle name="好_资产负债类底稿模版 5 6" xfId="33642"/>
    <cellStyle name="好_资产负债类底稿模版 5_附注表一（财务报表）" xfId="33643"/>
    <cellStyle name="好_资产负债类底稿模版 5_明细表" xfId="33644"/>
    <cellStyle name="好_资产负债类底稿模版 5_明细表 2" xfId="33645"/>
    <cellStyle name="好_资产负债类底稿模版 5_明细表 3" xfId="33646"/>
    <cellStyle name="好_资产负债类底稿模版 5_明细表 4" xfId="33647"/>
    <cellStyle name="好_资产负债类底稿模版 5_明细表 5" xfId="33648"/>
    <cellStyle name="好_资产负债类底稿模版 6" xfId="33649"/>
    <cellStyle name="好_资产负债类底稿模版 6 2" xfId="33650"/>
    <cellStyle name="好_资产负债类底稿模版 6 2 2" xfId="33651"/>
    <cellStyle name="好_资产负债类底稿模版 6 2 3" xfId="33652"/>
    <cellStyle name="好_资产负债类底稿模版 6 2 4" xfId="33653"/>
    <cellStyle name="好_资产负债类底稿模版 6 2 5" xfId="33654"/>
    <cellStyle name="好_资产负债类底稿模版 6 2 6" xfId="33655"/>
    <cellStyle name="好_资产负债类底稿模版 6 3" xfId="33656"/>
    <cellStyle name="好_资产负债类底稿模版 6 3 3" xfId="33657"/>
    <cellStyle name="好_资产负债类底稿模版 6 4" xfId="33658"/>
    <cellStyle name="好_资产负债类底稿模版 6 4 2" xfId="33659"/>
    <cellStyle name="好_资产负债类底稿模版 6 5" xfId="33660"/>
    <cellStyle name="好_资产负债类底稿模版 6_附注表一（财务报表）" xfId="33661"/>
    <cellStyle name="好_资产负债类底稿模版 6_明细表" xfId="33662"/>
    <cellStyle name="好_资产负债类底稿模版 6_明细表 2" xfId="33663"/>
    <cellStyle name="好_资产负债类底稿模版 6_明细表 3" xfId="33664"/>
    <cellStyle name="好_资产负债类底稿模版 6_明细表 4" xfId="33665"/>
    <cellStyle name="好_资产负债类底稿模版 6_明细表 5" xfId="33666"/>
    <cellStyle name="好_资产负债类底稿模版 7" xfId="33667"/>
    <cellStyle name="好_资产负债类底稿模版 7 3" xfId="33668"/>
    <cellStyle name="好_资产负债类底稿模版 7 3 2" xfId="33669"/>
    <cellStyle name="好_资产负债类底稿模版 7 4" xfId="33670"/>
    <cellStyle name="好_资产负债类底稿模版 7_附注表一（财务报表）" xfId="33671"/>
    <cellStyle name="好_资产负债类底稿模版 7_明细表" xfId="33672"/>
    <cellStyle name="好_资产负债类底稿模版 7_明细表 3" xfId="33673"/>
    <cellStyle name="好_资产负债类底稿模版 7_明细表 4" xfId="33674"/>
    <cellStyle name="好_资产负债类底稿模版 7_明细表 5" xfId="33675"/>
    <cellStyle name="好_资产负债类底稿模版 8" xfId="33676"/>
    <cellStyle name="好_资产负债类底稿模版 8 2" xfId="33677"/>
    <cellStyle name="好_资产负债类底稿模版 8 2 2" xfId="33678"/>
    <cellStyle name="好_资产负债类底稿模版 8 2 3" xfId="33679"/>
    <cellStyle name="好_资产负债类底稿模版 8 2 4" xfId="33680"/>
    <cellStyle name="好_资产负债类底稿模版 8 2 5" xfId="33681"/>
    <cellStyle name="好_资产负债类底稿模版 8 3" xfId="33682"/>
    <cellStyle name="好_资产负债类底稿模版 8 3 2" xfId="33683"/>
    <cellStyle name="好_资产负债类底稿模版 8 4" xfId="33684"/>
    <cellStyle name="好_资产负债类底稿模版 8_附注表一（财务报表）" xfId="33685"/>
    <cellStyle name="好_资产负债类底稿模版 8_明细表" xfId="33686"/>
    <cellStyle name="好_资产负债类底稿模版 8_明细表 2" xfId="33687"/>
    <cellStyle name="好_资产负债类底稿模版 8_明细表 3" xfId="33688"/>
    <cellStyle name="好_资产负债类底稿模版 8_明细表 4" xfId="33689"/>
    <cellStyle name="好_资产负债类底稿模版 8_明细表 5" xfId="33690"/>
    <cellStyle name="好_资产负债类底稿模版 9" xfId="33691"/>
    <cellStyle name="好_资产负债类底稿模版 9 2" xfId="33692"/>
    <cellStyle name="强调 3 5" xfId="33693"/>
    <cellStyle name="好_资产负债类底稿模版 9 2 2" xfId="33694"/>
    <cellStyle name="强调 3 6" xfId="33695"/>
    <cellStyle name="好_资产负债类底稿模版 9 2 3" xfId="33696"/>
    <cellStyle name="好_资产负债类底稿模版 9 2 4" xfId="33697"/>
    <cellStyle name="好_资产负债类底稿模版 9 2 5" xfId="33698"/>
    <cellStyle name="好_资产负债类底稿模版 9 3" xfId="33699"/>
    <cellStyle name="好_资产负债类底稿模版 9 3 2" xfId="33700"/>
    <cellStyle name="好_资产负债类底稿模版 9 4" xfId="33701"/>
    <cellStyle name="好_资产负债类底稿模版 9_附注表一（财务报表）" xfId="33702"/>
    <cellStyle name="好_资产负债类底稿模版 9_明细表" xfId="33703"/>
    <cellStyle name="好_资产负债类底稿模版 9_明细表 2" xfId="33704"/>
    <cellStyle name="好_资产负债类底稿模版 9_明细表 3" xfId="33705"/>
    <cellStyle name="好_资产负债类底稿模版 9_明细表 4" xfId="33706"/>
    <cellStyle name="好_资产负债类底稿模版 9_明细表 5" xfId="33707"/>
    <cellStyle name="好_资产负债类底稿模版_大信底稿目录" xfId="33708"/>
    <cellStyle name="好_资产负债类底稿模版_大信底稿目录 10" xfId="33709"/>
    <cellStyle name="好_资产负债类底稿模版_大信底稿目录 10 2" xfId="33710"/>
    <cellStyle name="好_资产负债类底稿模版_大信底稿目录 10 2 2" xfId="33711"/>
    <cellStyle name="好_资产负债类底稿模版_大信底稿目录 10 2 3" xfId="33712"/>
    <cellStyle name="好_资产负债类底稿模版_大信底稿目录 10 2 4" xfId="33713"/>
    <cellStyle name="好_资产负债类底稿模版_大信底稿目录 10 2 5" xfId="33714"/>
    <cellStyle name="好_资产负债类底稿模版_大信底稿目录 10 3" xfId="33715"/>
    <cellStyle name="好_资产负债类底稿模版_大信底稿目录 10 4" xfId="33716"/>
    <cellStyle name="好_资产负债类底稿模版_大信底稿目录 10_附注表一（财务报表）" xfId="33717"/>
    <cellStyle name="好_资产负债类底稿模版_大信底稿目录 10_明细表" xfId="33718"/>
    <cellStyle name="好_资产负债类底稿模版_大信底稿目录 10_明细表 2" xfId="33719"/>
    <cellStyle name="好_资产负债类底稿模版_大信底稿目录 10_明细表 3" xfId="33720"/>
    <cellStyle name="好_资产负债类底稿模版_大信底稿目录 10_明细表 4" xfId="33721"/>
    <cellStyle name="好_资产负债类底稿模版_大信底稿目录 10_明细表 5" xfId="33722"/>
    <cellStyle name="好_资产负债类底稿模版_大信底稿目录 11" xfId="33723"/>
    <cellStyle name="好_资产负债类底稿模版_大信底稿目录 11 2" xfId="33724"/>
    <cellStyle name="好_资产负债类底稿模版_大信底稿目录 11 2 3" xfId="33725"/>
    <cellStyle name="好_资产负债类底稿模版_大信底稿目录 11 2 4" xfId="33726"/>
    <cellStyle name="好_资产负债类底稿模版_大信底稿目录 11 2 5" xfId="33727"/>
    <cellStyle name="好_资产负债类底稿模版_大信底稿目录 11 3" xfId="33728"/>
    <cellStyle name="好_资产负债类底稿模版_大信底稿目录 11 4" xfId="33729"/>
    <cellStyle name="好_资产负债类底稿模版_大信底稿目录 11_附注表一（财务报表）" xfId="33730"/>
    <cellStyle name="好_资产负债类底稿模版_大信底稿目录 11_明细表" xfId="33731"/>
    <cellStyle name="好_资产负债类底稿模版_大信底稿目录 11_明细表 2" xfId="33732"/>
    <cellStyle name="好_资产负债类底稿模版_大信底稿目录 11_明细表 3" xfId="33733"/>
    <cellStyle name="好_资产负债类底稿模版_大信底稿目录 11_明细表 4" xfId="33734"/>
    <cellStyle name="好_资产负债类底稿模版_大信底稿目录 11_明细表 5" xfId="33735"/>
    <cellStyle name="好_资产负债类底稿模版_大信底稿目录 12" xfId="33736"/>
    <cellStyle name="好_资产负债类底稿模版_大信底稿目录 12 2" xfId="33737"/>
    <cellStyle name="好_资产负债类底稿模版_大信底稿目录 12 2 2" xfId="33738"/>
    <cellStyle name="好_资产负债类底稿模版_大信底稿目录 12 2 3" xfId="33739"/>
    <cellStyle name="好_资产负债类底稿模版_大信底稿目录 12 2 4" xfId="33740"/>
    <cellStyle name="好_资产负债类底稿模版_大信底稿目录 12 2 5" xfId="33741"/>
    <cellStyle name="好_资产负债类底稿模版_大信底稿目录 12 3" xfId="33742"/>
    <cellStyle name="好_资产负债类底稿模版_大信底稿目录 12_附注表一（财务报表）" xfId="33743"/>
    <cellStyle name="好_资产负债类底稿模版_大信底稿目录 12_明细表" xfId="33744"/>
    <cellStyle name="好_资产负债类底稿模版_大信底稿目录 12_明细表 2" xfId="33745"/>
    <cellStyle name="好_资产负债类底稿模版_大信底稿目录 12_明细表 3" xfId="33746"/>
    <cellStyle name="好_资产负债类底稿模版_大信底稿目录 12_明细表 4" xfId="33747"/>
    <cellStyle name="好_资产负债类底稿模版_大信底稿目录 12_明细表 5" xfId="33748"/>
    <cellStyle name="好_资产负债类底稿模版_大信底稿目录 13" xfId="33749"/>
    <cellStyle name="好_资产负债类底稿模版_大信底稿目录 13 2" xfId="33750"/>
    <cellStyle name="好_资产负债类底稿模版_大信底稿目录 13 2 2" xfId="33751"/>
    <cellStyle name="好_资产负债类底稿模版_大信底稿目录 13 2 3" xfId="33752"/>
    <cellStyle name="好_资产负债类底稿模版_大信底稿目录 13 2 4" xfId="33753"/>
    <cellStyle name="好_资产负债类底稿模版_大信底稿目录 13 2 5" xfId="33754"/>
    <cellStyle name="好_资产负债类底稿模版_大信底稿目录 13 3" xfId="33755"/>
    <cellStyle name="好_资产负债类底稿模版_大信底稿目录 13_附注表一（财务报表）" xfId="33756"/>
    <cellStyle name="好_资产负债类底稿模版_大信底稿目录 13_明细表" xfId="33757"/>
    <cellStyle name="好_资产负债类底稿模版_大信底稿目录 13_明细表 2" xfId="33758"/>
    <cellStyle name="好_资产负债类底稿模版_大信底稿目录 13_明细表 3" xfId="33759"/>
    <cellStyle name="好_资产负债类底稿模版_大信底稿目录 13_明细表 4" xfId="33760"/>
    <cellStyle name="好_资产负债类底稿模版_大信底稿目录 13_明细表 5" xfId="33761"/>
    <cellStyle name="好_资产负债类底稿模版_大信底稿目录 14" xfId="33762"/>
    <cellStyle name="好_资产负债类底稿模版_大信底稿目录 14 2" xfId="33763"/>
    <cellStyle name="好_资产负债类底稿模版_大信底稿目录 14 2 2" xfId="33764"/>
    <cellStyle name="好_资产负债类底稿模版_大信底稿目录 14 2 3" xfId="33765"/>
    <cellStyle name="好_资产负债类底稿模版_大信底稿目录 14 2 4" xfId="33766"/>
    <cellStyle name="好_资产负债类底稿模版_大信底稿目录 14 2 5" xfId="33767"/>
    <cellStyle name="好_资产负债类底稿模版_大信底稿目录 14 3" xfId="33768"/>
    <cellStyle name="好_资产负债类底稿模版_大信底稿目录 14 4" xfId="33769"/>
    <cellStyle name="好_资产负债类底稿模版_大信底稿目录 14 5" xfId="33770"/>
    <cellStyle name="好_资产负债类底稿模版_大信底稿目录 14 6" xfId="33771"/>
    <cellStyle name="好_资产负债类底稿模版_大信底稿目录 20" xfId="33772"/>
    <cellStyle name="好_资产负债类底稿模版_大信底稿目录 15" xfId="33773"/>
    <cellStyle name="好_资产负债类底稿模版_大信底稿目录 15 2" xfId="33774"/>
    <cellStyle name="好_资产负债类底稿模版_大信底稿目录 15 2 2" xfId="33775"/>
    <cellStyle name="好_资产负债类底稿模版_大信底稿目录 15 2 3" xfId="33776"/>
    <cellStyle name="好_资产负债类底稿模版_大信底稿目录 15 2 4" xfId="33777"/>
    <cellStyle name="好_资产负债类底稿模版_大信底稿目录 15 2 5" xfId="33778"/>
    <cellStyle name="好_资产负债类底稿模版_大信底稿目录 15 3" xfId="33779"/>
    <cellStyle name="好_资产负债类底稿模版_大信底稿目录 15 4" xfId="33780"/>
    <cellStyle name="好_资产负债类底稿模版_大信底稿目录 21" xfId="33781"/>
    <cellStyle name="好_资产负债类底稿模版_大信底稿目录 16" xfId="33782"/>
    <cellStyle name="好_资产负债类底稿模版_大信底稿目录 16 2" xfId="33783"/>
    <cellStyle name="好_资产负债类底稿模版_大信底稿目录 16 3" xfId="33784"/>
    <cellStyle name="好_资产负债类底稿模版_大信底稿目录 16 4" xfId="33785"/>
    <cellStyle name="好_资产负债类底稿模版_大信底稿目录 16 5" xfId="33786"/>
    <cellStyle name="好_资产负债类底稿模版_大信底稿目录 22" xfId="33787"/>
    <cellStyle name="好_资产负债类底稿模版_大信底稿目录 17" xfId="33788"/>
    <cellStyle name="好_资产负债类底稿模版_大信底稿目录 23" xfId="33789"/>
    <cellStyle name="好_资产负债类底稿模版_大信底稿目录 18" xfId="33790"/>
    <cellStyle name="好_资产负债类底稿模版_大信底稿目录 24" xfId="33791"/>
    <cellStyle name="好_资产负债类底稿模版_大信底稿目录 19" xfId="33792"/>
    <cellStyle name="好_资产负债类底稿模版_大信底稿目录 2" xfId="33793"/>
    <cellStyle name="好_资产负债类底稿模版_大信底稿目录 2 2" xfId="33794"/>
    <cellStyle name="好_资产负债类底稿模版_大信底稿目录 2 2 2" xfId="33795"/>
    <cellStyle name="好_资产负债类底稿模版_大信底稿目录 2 2 2 2" xfId="33796"/>
    <cellStyle name="好_资产负债类底稿模版_大信底稿目录 2 2 2 3" xfId="33797"/>
    <cellStyle name="好_资产负债类底稿模版_大信底稿目录 2 2 3" xfId="33798"/>
    <cellStyle name="好_资产负债类底稿模版_大信底稿目录 2 2 5" xfId="33799"/>
    <cellStyle name="好_资产负债类底稿模版_大信底稿目录 2 2 6" xfId="33800"/>
    <cellStyle name="好_资产负债类底稿模版_大信底稿目录 2 3" xfId="33801"/>
    <cellStyle name="好_资产负债类底稿模版_大信底稿目录 2 3 3" xfId="33802"/>
    <cellStyle name="好_资产负债类底稿模版_大信底稿目录 2 4" xfId="33803"/>
    <cellStyle name="好_资产负债类底稿模版_大信底稿目录 2 4 2" xfId="33804"/>
    <cellStyle name="好_资产负债类底稿模版_大信底稿目录 2 5" xfId="33805"/>
    <cellStyle name="好_资产负债类底稿模版_大信底稿目录 2 5 2" xfId="33806"/>
    <cellStyle name="好_资产负债类底稿模版_大信底稿目录 2 6" xfId="33807"/>
    <cellStyle name="好_资产负债类底稿模版_大信底稿目录 2 7" xfId="33808"/>
    <cellStyle name="好_资产负债类底稿模版_大信底稿目录 2_附注表一（财务报表）" xfId="33809"/>
    <cellStyle name="好_资产负债类底稿模版_大信底稿目录 2_明细表" xfId="33810"/>
    <cellStyle name="好_资产负债类底稿模版_大信底稿目录 2_明细表 2" xfId="33811"/>
    <cellStyle name="好_资产负债类底稿模版_大信底稿目录 2_明细表 3" xfId="33812"/>
    <cellStyle name="好_资产负债类底稿模版_大信底稿目录 2_明细表 4" xfId="33813"/>
    <cellStyle name="好_资产负债类底稿模版_大信底稿目录 2_明细表 5" xfId="33814"/>
    <cellStyle name="好_资产负债类底稿模版_大信底稿目录 30" xfId="33815"/>
    <cellStyle name="好_资产负债类底稿模版_大信底稿目录 25" xfId="33816"/>
    <cellStyle name="好_资产负债类底稿模版_大信底稿目录 31" xfId="33817"/>
    <cellStyle name="好_资产负债类底稿模版_大信底稿目录 26" xfId="33818"/>
    <cellStyle name="好_资产负债类底稿模版_大信底稿目录 32" xfId="33819"/>
    <cellStyle name="好_资产负债类底稿模版_大信底稿目录 27" xfId="33820"/>
    <cellStyle name="好_资产负债类底稿模版_大信底稿目录 33" xfId="33821"/>
    <cellStyle name="好_资产负债类底稿模版_大信底稿目录 28" xfId="33822"/>
    <cellStyle name="好_资产负债类底稿模版_大信底稿目录 34" xfId="33823"/>
    <cellStyle name="好_资产负债类底稿模版_大信底稿目录 29" xfId="33824"/>
    <cellStyle name="好_资产负债类底稿模版_大信底稿目录 3" xfId="33825"/>
    <cellStyle name="好_资产负债类底稿模版_大信底稿目录 3 2" xfId="33826"/>
    <cellStyle name="好_资产负债类底稿模版_大信底稿目录 3 2 2" xfId="33827"/>
    <cellStyle name="好_资产负债类底稿模版_大信底稿目录 3 2 3" xfId="33828"/>
    <cellStyle name="好_资产负债类底稿模版_大信底稿目录 3 2 4" xfId="33829"/>
    <cellStyle name="好_资产负债类底稿模版_大信底稿目录 3 2 5" xfId="33830"/>
    <cellStyle name="好_资产负债类底稿模版_大信底稿目录 3 2 6" xfId="33831"/>
    <cellStyle name="好_资产负债类底稿模版_大信底稿目录 3 3" xfId="33832"/>
    <cellStyle name="好_资产负债类底稿模版_大信底稿目录 3 3 2" xfId="33833"/>
    <cellStyle name="好_资产负债类底稿模版_大信底稿目录 3 3 3" xfId="33834"/>
    <cellStyle name="好_资产负债类底稿模版_大信底稿目录 3 4" xfId="33835"/>
    <cellStyle name="好_资产负债类底稿模版_大信底稿目录 3 4 2" xfId="33836"/>
    <cellStyle name="好_资产负债类底稿模版_大信底稿目录 3 5" xfId="33837"/>
    <cellStyle name="好_资产负债类底稿模版_大信底稿目录 3 6" xfId="33838"/>
    <cellStyle name="好_资产负债类底稿模版_大信底稿目录 3_附注表一（财务报表）" xfId="33839"/>
    <cellStyle name="好_资产负债类底稿模版_大信底稿目录 3_明细表" xfId="33840"/>
    <cellStyle name="好_资产负债类底稿模版_大信底稿目录 3_明细表 2" xfId="33841"/>
    <cellStyle name="好_资产负债类底稿模版_大信底稿目录 3_明细表 3" xfId="33842"/>
    <cellStyle name="好_资产负债类底稿模版_大信底稿目录 3_明细表 4" xfId="33843"/>
    <cellStyle name="好_资产负债类底稿模版_大信底稿目录 3_明细表 5" xfId="33844"/>
    <cellStyle name="好_资产负债类底稿模版_大信底稿目录 4" xfId="33845"/>
    <cellStyle name="好_资产负债类底稿模版_大信底稿目录 4 2" xfId="33846"/>
    <cellStyle name="好_资产负债类底稿模版_大信底稿目录 4 2 2" xfId="33847"/>
    <cellStyle name="好_资产负债类底稿模版_大信底稿目录 4 2 3" xfId="33848"/>
    <cellStyle name="好_资产负债类底稿模版_大信底稿目录 4 2 4" xfId="33849"/>
    <cellStyle name="好_资产负债类底稿模版_大信底稿目录 4 2 5" xfId="33850"/>
    <cellStyle name="好_资产负债类底稿模版_大信底稿目录 4 2 6" xfId="33851"/>
    <cellStyle name="好_资产负债类底稿模版_大信底稿目录 4 3" xfId="33852"/>
    <cellStyle name="好_资产负债类底稿模版_大信底稿目录 4 3 2" xfId="33853"/>
    <cellStyle name="好_资产负债类底稿模版_大信底稿目录 4 3 3" xfId="33854"/>
    <cellStyle name="好_资产负债类底稿模版_大信底稿目录 4 4" xfId="33855"/>
    <cellStyle name="好_资产负债类底稿模版_大信底稿目录 4 4 2" xfId="33856"/>
    <cellStyle name="好_资产负债类底稿模版_大信底稿目录 4 6" xfId="33857"/>
    <cellStyle name="好_资产负债类底稿模版_大信底稿目录 4_附注表一（财务报表）" xfId="33858"/>
    <cellStyle name="好_资产负债类底稿模版_大信底稿目录 4_明细表" xfId="33859"/>
    <cellStyle name="好_资产负债类底稿模版_大信底稿目录 4_明细表 2" xfId="33860"/>
    <cellStyle name="好_资产负债类底稿模版_大信底稿目录 4_明细表 3" xfId="33861"/>
    <cellStyle name="好_资产负债类底稿模版_大信底稿目录 4_明细表 4" xfId="33862"/>
    <cellStyle name="好_资产负债类底稿模版_大信底稿目录 4_明细表 5" xfId="33863"/>
    <cellStyle name="好_资产负债类底稿模版_大信底稿目录 5" xfId="33864"/>
    <cellStyle name="好_资产负债类底稿模版_大信底稿目录 5 2 2" xfId="33865"/>
    <cellStyle name="好_资产负债类底稿模版_大信底稿目录 5 2 3" xfId="33866"/>
    <cellStyle name="好_资产负债类底稿模版_大信底稿目录 5 2 5" xfId="33867"/>
    <cellStyle name="好_资产负债类底稿模版_大信底稿目录 5 2 6" xfId="33868"/>
    <cellStyle name="好_资产负债类底稿模版_大信底稿目录 5 3 2" xfId="33869"/>
    <cellStyle name="好_资产负债类底稿模版_大信底稿目录 5 3 3" xfId="33870"/>
    <cellStyle name="好_资产负债类底稿模版_大信底稿目录 5 5" xfId="33871"/>
    <cellStyle name="好_资产负债类底稿模版_大信底稿目录 5 6" xfId="33872"/>
    <cellStyle name="好_资产负债类底稿模版_大信底稿目录 5_附注表一（财务报表）" xfId="33873"/>
    <cellStyle name="好_资产负债类底稿模版_大信底稿目录 5_明细表" xfId="33874"/>
    <cellStyle name="好_资产负债类底稿模版_大信底稿目录 5_明细表 2" xfId="33875"/>
    <cellStyle name="好_资产负债类底稿模版_大信底稿目录 5_明细表 3" xfId="33876"/>
    <cellStyle name="好_资产负债类底稿模版_大信底稿目录 5_明细表 4" xfId="33877"/>
    <cellStyle name="好_资产负债类底稿模版_大信底稿目录 5_明细表 5" xfId="33878"/>
    <cellStyle name="好_资产负债类底稿模版_大信底稿目录 6" xfId="33879"/>
    <cellStyle name="好_资产负债类底稿模版_大信底稿目录 6 2" xfId="33880"/>
    <cellStyle name="好_资产负债类底稿模版_大信底稿目录 6 2 2" xfId="33881"/>
    <cellStyle name="好_资产负债类底稿模版_大信底稿目录 6 2 3" xfId="33882"/>
    <cellStyle name="好_资产负债类底稿模版_大信底稿目录 6 2 4" xfId="33883"/>
    <cellStyle name="好_资产负债类底稿模版_大信底稿目录 6 2 5" xfId="33884"/>
    <cellStyle name="好_资产负债类底稿模版_大信底稿目录 6 2 6" xfId="33885"/>
    <cellStyle name="好_资产负债类底稿模版_大信底稿目录 6 3" xfId="33886"/>
    <cellStyle name="好_资产负债类底稿模版_大信底稿目录 6 3 2" xfId="33887"/>
    <cellStyle name="好_资产负债类底稿模版_大信底稿目录 6 3 3" xfId="33888"/>
    <cellStyle name="好_资产负债类底稿模版_大信底稿目录 6 4" xfId="33889"/>
    <cellStyle name="好_资产负债类底稿模版_大信底稿目录 6 5" xfId="33890"/>
    <cellStyle name="好_资产负债类底稿模版_大信底稿目录 6 6" xfId="33891"/>
    <cellStyle name="好_资产负债类底稿模版_大信底稿目录 6_附注表一（财务报表）" xfId="33892"/>
    <cellStyle name="好_资产负债类底稿模版_大信底稿目录 6_明细表" xfId="33893"/>
    <cellStyle name="好_资产负债类底稿模版_大信底稿目录 6_明细表 2" xfId="33894"/>
    <cellStyle name="好_资产负债类底稿模版_大信底稿目录 6_明细表 3" xfId="33895"/>
    <cellStyle name="好_资产负债类底稿模版_大信底稿目录 6_明细表 4" xfId="33896"/>
    <cellStyle name="好_资产负债类底稿模版_大信底稿目录 6_明细表 5" xfId="33897"/>
    <cellStyle name="好_资产负债类底稿模版_大信底稿目录 7" xfId="33898"/>
    <cellStyle name="好_资产负债类底稿模版_大信底稿目录 7 2" xfId="33899"/>
    <cellStyle name="好_资产负债类底稿模版_大信底稿目录 7 2 2" xfId="33900"/>
    <cellStyle name="好_资产负债类底稿模版_大信底稿目录 7 2 3" xfId="33901"/>
    <cellStyle name="好_资产负债类底稿模版_大信底稿目录 7 2 4" xfId="33902"/>
    <cellStyle name="好_资产负债类底稿模版_大信底稿目录 7 2 5" xfId="33903"/>
    <cellStyle name="好_资产负债类底稿模版_大信底稿目录 7 3" xfId="33904"/>
    <cellStyle name="好_资产负债类底稿模版_大信底稿目录 7 3 2" xfId="33905"/>
    <cellStyle name="好_资产负债类底稿模版_大信底稿目录 7 4" xfId="33906"/>
    <cellStyle name="好_资产负债类底稿模版_大信底稿目录 7_明细表" xfId="33907"/>
    <cellStyle name="好_资产负债类底稿模版_大信底稿目录 7_明细表 2" xfId="33908"/>
    <cellStyle name="好_资产负债类底稿模版_大信底稿目录 7_明细表 3" xfId="33909"/>
    <cellStyle name="好_资产负债类底稿模版_大信底稿目录 7_明细表 4" xfId="33910"/>
    <cellStyle name="好_资产负债类底稿模版_大信底稿目录 7_明细表 5" xfId="33911"/>
    <cellStyle name="好_资产负债类底稿模版_大信底稿目录 8" xfId="33912"/>
    <cellStyle name="好_资产负债类底稿模版_大信底稿目录 8 2" xfId="33913"/>
    <cellStyle name="好_资产负债类底稿模版_大信底稿目录 8 2 2" xfId="33914"/>
    <cellStyle name="好_资产负债类底稿模版_大信底稿目录 8 2 3" xfId="33915"/>
    <cellStyle name="好_资产负债类底稿模版_大信底稿目录 8 2 4" xfId="33916"/>
    <cellStyle name="好_资产负债类底稿模版_大信底稿目录 8 2 5" xfId="33917"/>
    <cellStyle name="好_资产负债类底稿模版_大信底稿目录 8 3" xfId="33918"/>
    <cellStyle name="好_资产负债类底稿模版_大信底稿目录 8 3 2" xfId="33919"/>
    <cellStyle name="好_资产负债类底稿模版_大信底稿目录 8 4" xfId="33920"/>
    <cellStyle name="好_资产负债类底稿模版_大信底稿目录 8_附注表一（财务报表）" xfId="33921"/>
    <cellStyle name="好_资产负债类底稿模版_大信底稿目录 8_明细表" xfId="33922"/>
    <cellStyle name="好_资产负债类底稿模版_大信底稿目录 8_明细表 4" xfId="33923"/>
    <cellStyle name="好_资产负债类底稿模版_大信底稿目录 8_明细表 5" xfId="33924"/>
    <cellStyle name="好_资产负债类底稿模版_大信底稿目录 9" xfId="33925"/>
    <cellStyle name="好_资产负债类底稿模版_大信底稿目录 9 2" xfId="33926"/>
    <cellStyle name="好_资产负债类底稿模版_大信底稿目录 9 2 2" xfId="33927"/>
    <cellStyle name="好_资产负债类底稿模版_大信底稿目录 9 2 3" xfId="33928"/>
    <cellStyle name="好_资产负债类底稿模版_大信底稿目录 9 2 4" xfId="33929"/>
    <cellStyle name="好_资产负债类底稿模版_大信底稿目录 9 2 5" xfId="33930"/>
    <cellStyle name="好_资产负债类底稿模版_大信底稿目录 9 3" xfId="33931"/>
    <cellStyle name="好_资产负债类底稿模版_大信底稿目录 9 3 2" xfId="33932"/>
    <cellStyle name="好_资产负债类底稿模版_大信底稿目录 9 4" xfId="33933"/>
    <cellStyle name="好_资产负债类底稿模版_大信底稿目录 9_附注表一（财务报表）" xfId="33934"/>
    <cellStyle name="好_资产负债类底稿模版_大信底稿目录 9_明细表" xfId="33935"/>
    <cellStyle name="好_资产负债类底稿模版_大信底稿目录 9_明细表 2" xfId="33936"/>
    <cellStyle name="好_资产负债类底稿模版_大信底稿目录 9_明细表 3" xfId="33937"/>
    <cellStyle name="好_资产负债类底稿模版_大信底稿目录 9_明细表 4" xfId="33938"/>
    <cellStyle name="好_资产负债类底稿模版_大信底稿目录 9_明细表 5" xfId="33939"/>
    <cellStyle name="好_资产负债类底稿模版_大信底稿目录_附注表一（财务报表）" xfId="33940"/>
    <cellStyle name="好_资产负债类底稿模版_大信底稿目录_明细表" xfId="33941"/>
    <cellStyle name="好_资产负债类底稿模版_大信底稿目录_明细表 2" xfId="33942"/>
    <cellStyle name="好_资产负债类底稿模版_大信底稿目录_明细表 2 2" xfId="33943"/>
    <cellStyle name="好_资产负债类底稿模版_大信底稿目录_明细表 2 4" xfId="33944"/>
    <cellStyle name="好_资产负债类底稿模版_大信底稿目录_明细表 2 5" xfId="33945"/>
    <cellStyle name="好_资产负债类底稿模版_大信底稿目录_明细表 3" xfId="33946"/>
    <cellStyle name="好_资产负债类底稿模版_大信底稿目录_明细表 4" xfId="33947"/>
    <cellStyle name="好_资产负债类底稿模版_大信底稿目录_明细表 5" xfId="33948"/>
    <cellStyle name="好_资产负债类底稿模版_大信底稿目录_明细表 6" xfId="33949"/>
    <cellStyle name="好_资产负债类底稿模版_大信底稿目录_明细表_1 4" xfId="33950"/>
    <cellStyle name="好_资产负债类底稿模版_大信底稿目录_明细表_1 5" xfId="33951"/>
    <cellStyle name="好_资产负债类底稿模版_明细表" xfId="33952"/>
    <cellStyle name="好_资产负债类底稿模版_明细表 2" xfId="33953"/>
    <cellStyle name="好_资产负债类底稿模版_明细表 2 2" xfId="33954"/>
    <cellStyle name="好_资产负债类底稿模版_明细表 2 3" xfId="33955"/>
    <cellStyle name="好_资产负债类底稿模版_明细表 2 4" xfId="33956"/>
    <cellStyle name="好_资产负债类底稿模版_明细表 2 5" xfId="33957"/>
    <cellStyle name="好_资产负债类底稿模版_明细表 3" xfId="33958"/>
    <cellStyle name="好_资产负债类底稿模版_明细表 4" xfId="33959"/>
    <cellStyle name="好_资产负债类底稿模版_明细表 5" xfId="33960"/>
    <cellStyle name="好_资产负债类底稿模版_明细表 6" xfId="33961"/>
    <cellStyle name="好_资产负债类底稿模版_明细表_1" xfId="33962"/>
    <cellStyle name="好_资产负债类底稿模版_明细表_1 2" xfId="33963"/>
    <cellStyle name="好_资产负债类底稿模版_明细表_1 3" xfId="33964"/>
    <cellStyle name="好_资产负债类底稿模版_明细表_1 4" xfId="33965"/>
    <cellStyle name="好_资产负债类底稿模版_明细表_1 5" xfId="33966"/>
    <cellStyle name="好_资产减值损失 10" xfId="33967"/>
    <cellStyle name="好_资产减值损失 10 2" xfId="33968"/>
    <cellStyle name="好_资产减值损失 10 2 2" xfId="33969"/>
    <cellStyle name="好_资产减值损失 10 2 3" xfId="33970"/>
    <cellStyle name="好_资产减值损失 10 2 4" xfId="33971"/>
    <cellStyle name="好_资产减值损失 10 2 5" xfId="33972"/>
    <cellStyle name="好_资产减值损失 10 3" xfId="33973"/>
    <cellStyle name="好_资产减值损失 10 4" xfId="33974"/>
    <cellStyle name="好_资产减值损失 10_附注表一（财务报表）" xfId="33975"/>
    <cellStyle name="好_资产减值损失 10_明细表 2" xfId="33976"/>
    <cellStyle name="好_资产减值损失 10_明细表 3" xfId="33977"/>
    <cellStyle name="千位分隔 3 2 3_附注表一（财务报表）" xfId="33978"/>
    <cellStyle name="好_资产减值损失 10_明细表 4" xfId="33979"/>
    <cellStyle name="好_资产减值损失 11 2" xfId="33980"/>
    <cellStyle name="好_资产减值损失 11 2 2" xfId="33981"/>
    <cellStyle name="好_资产减值损失 11 2 3" xfId="33982"/>
    <cellStyle name="好_资产减值损失 11 2 4" xfId="33983"/>
    <cellStyle name="好_资产减值损失 11 3" xfId="33984"/>
    <cellStyle name="好_资产减值损失 11 4" xfId="33985"/>
    <cellStyle name="好_资产减值损失 11_附注表一（财务报表）" xfId="33986"/>
    <cellStyle name="好_资产减值损失 11_明细表 2" xfId="33987"/>
    <cellStyle name="好_资产减值损失 11_明细表 3" xfId="33988"/>
    <cellStyle name="好_资产减值损失 11_明细表 4" xfId="33989"/>
    <cellStyle name="好_资产减值损失 11_明细表 5" xfId="33990"/>
    <cellStyle name="好_资产减值损失 12" xfId="33991"/>
    <cellStyle name="好_资产减值损失 12 2" xfId="33992"/>
    <cellStyle name="好_资产减值损失 12 2 2" xfId="33993"/>
    <cellStyle name="好_资产减值损失 12 2 3" xfId="33994"/>
    <cellStyle name="好_资产减值损失 12 2 5" xfId="33995"/>
    <cellStyle name="好_资产减值损失 12 3" xfId="33996"/>
    <cellStyle name="好_资产减值损失 12_附注表一（财务报表）" xfId="33997"/>
    <cellStyle name="好_资产减值损失 12_明细表 2" xfId="33998"/>
    <cellStyle name="好_资产减值损失 12_明细表 3" xfId="33999"/>
    <cellStyle name="好_资产减值损失 12_明细表 4" xfId="34000"/>
    <cellStyle name="好_资产减值损失 12_明细表 5" xfId="34001"/>
    <cellStyle name="好_资产减值损失 13" xfId="34002"/>
    <cellStyle name="好_资产减值损失 13 2" xfId="34003"/>
    <cellStyle name="好_资产减值损失 13 2 2" xfId="34004"/>
    <cellStyle name="好_资产减值损失 13 2 3" xfId="34005"/>
    <cellStyle name="好_资产减值损失 13 2 4" xfId="34006"/>
    <cellStyle name="好_资产减值损失 13 2 5" xfId="34007"/>
    <cellStyle name="好_资产减值损失 13 3" xfId="34008"/>
    <cellStyle name="好_资产减值损失 13_附注表一（财务报表）" xfId="34009"/>
    <cellStyle name="好_资产减值损失 13_明细表 2" xfId="34010"/>
    <cellStyle name="好_资产减值损失 13_明细表 3" xfId="34011"/>
    <cellStyle name="好_资产减值损失 13_明细表 4" xfId="34012"/>
    <cellStyle name="千位分隔[0] 2 2 3 3 2" xfId="34013"/>
    <cellStyle name="好_资产减值损失 13_明细表 5" xfId="34014"/>
    <cellStyle name="好_资产减值损失 14" xfId="34015"/>
    <cellStyle name="好_资产减值损失 14 2 2" xfId="34016"/>
    <cellStyle name="好_资产减值损失 14 2 3" xfId="34017"/>
    <cellStyle name="好_资产减值损失 14 2 4" xfId="34018"/>
    <cellStyle name="好_资产减值损失 14 2 5" xfId="34019"/>
    <cellStyle name="好_资产减值损失 14_附注表一（财务报表）" xfId="34020"/>
    <cellStyle name="好_资产减值损失 14_明细表" xfId="34021"/>
    <cellStyle name="好_资产减值损失 14_明细表 2" xfId="34022"/>
    <cellStyle name="好_资产减值损失 20" xfId="34023"/>
    <cellStyle name="好_资产减值损失 15" xfId="34024"/>
    <cellStyle name="好_资产减值损失 15 2" xfId="34025"/>
    <cellStyle name="好_资产减值损失 15 2 2" xfId="34026"/>
    <cellStyle name="好_资产减值损失 15 2 3" xfId="34027"/>
    <cellStyle name="好_资产减值损失 15 2 4" xfId="34028"/>
    <cellStyle name="好_资产减值损失 15 2 5" xfId="34029"/>
    <cellStyle name="好_资产减值损失 15 3" xfId="34030"/>
    <cellStyle name="好_资产减值损失 15_附注表一（财务报表）" xfId="34031"/>
    <cellStyle name="好_资产减值损失 15_明细表" xfId="34032"/>
    <cellStyle name="好_资产减值损失 15_明细表 2" xfId="34033"/>
    <cellStyle name="好_资产减值损失 15_明细表 3" xfId="34034"/>
    <cellStyle name="好_资产减值损失 15_明细表 4" xfId="34035"/>
    <cellStyle name="好_资产减值损失 15_明细表 5" xfId="34036"/>
    <cellStyle name="好_资产减值损失 21" xfId="34037"/>
    <cellStyle name="好_资产减值损失 16" xfId="34038"/>
    <cellStyle name="好_资产减值损失 16 2" xfId="34039"/>
    <cellStyle name="好_资产减值损失 16 2 2" xfId="34040"/>
    <cellStyle name="好_资产减值损失 16 2 3" xfId="34041"/>
    <cellStyle name="好_资产减值损失 16 2 4" xfId="34042"/>
    <cellStyle name="好_资产减值损失 16 2 5" xfId="34043"/>
    <cellStyle name="好_资产减值损失 16 3" xfId="34044"/>
    <cellStyle name="好_资产减值损失 22" xfId="34045"/>
    <cellStyle name="好_资产减值损失 17" xfId="34046"/>
    <cellStyle name="好_资产减值损失 17 2 2" xfId="34047"/>
    <cellStyle name="好_资产减值损失 17 2 3" xfId="34048"/>
    <cellStyle name="好_资产减值损失 17 2 4" xfId="34049"/>
    <cellStyle name="好_资产减值损失 17 2 5" xfId="34050"/>
    <cellStyle name="好_资产减值损失 17 3" xfId="34051"/>
    <cellStyle name="好_资产减值损失 23" xfId="34052"/>
    <cellStyle name="好_资产减值损失 18" xfId="34053"/>
    <cellStyle name="好_资产减值损失 18 2" xfId="34054"/>
    <cellStyle name="好_资产减值损失 18 3" xfId="34055"/>
    <cellStyle name="好_资产减值损失 24" xfId="34056"/>
    <cellStyle name="好_资产减值损失 19" xfId="34057"/>
    <cellStyle name="好_资产减值损失 2" xfId="34058"/>
    <cellStyle name="好_资产减值损失 2 2" xfId="34059"/>
    <cellStyle name="好_资产减值损失 2 2 2" xfId="34060"/>
    <cellStyle name="好_资产减值损失 2 2 2 2" xfId="34061"/>
    <cellStyle name="好_资产减值损失 2 2 2 3" xfId="34062"/>
    <cellStyle name="好_资产减值损失 2 2 3" xfId="34063"/>
    <cellStyle name="好_资产减值损失 2 2 4" xfId="34064"/>
    <cellStyle name="好_资产减值损失 2 2 5" xfId="34065"/>
    <cellStyle name="好_资产减值损失 2 2 6" xfId="34066"/>
    <cellStyle name="好_资产减值损失 2 3" xfId="34067"/>
    <cellStyle name="好_资产减值损失 2 3 2" xfId="34068"/>
    <cellStyle name="好_资产减值损失 2 3 2 2" xfId="34069"/>
    <cellStyle name="好_资产减值损失 2 3 3" xfId="34070"/>
    <cellStyle name="好_资产减值损失 2 4" xfId="34071"/>
    <cellStyle name="好_资产减值损失 2 4 2" xfId="34072"/>
    <cellStyle name="好_资产减值损失 2 5" xfId="34073"/>
    <cellStyle name="好_资产减值损失 2 5 2" xfId="34074"/>
    <cellStyle name="好_资产减值损失 2 6" xfId="34075"/>
    <cellStyle name="好_资产减值损失 2 7" xfId="34076"/>
    <cellStyle name="好_资产减值损失 2_附注表一（财务报表）" xfId="34077"/>
    <cellStyle name="好_资产减值损失 2_明细表 2" xfId="34078"/>
    <cellStyle name="好_资产减值损失 2_明细表 3" xfId="34079"/>
    <cellStyle name="好_资产减值损失 2_明细表 4" xfId="34080"/>
    <cellStyle name="好_资产减值损失 2_明细表 5" xfId="34081"/>
    <cellStyle name="好_资产减值损失 30" xfId="34082"/>
    <cellStyle name="好_资产减值损失 25" xfId="34083"/>
    <cellStyle name="好_资产减值损失 31" xfId="34084"/>
    <cellStyle name="好_资产减值损失 26" xfId="34085"/>
    <cellStyle name="好_资产减值损失 32" xfId="34086"/>
    <cellStyle name="好_资产减值损失 27" xfId="34087"/>
    <cellStyle name="好_资产减值损失 3" xfId="34088"/>
    <cellStyle name="好_资产减值损失 3 2" xfId="34089"/>
    <cellStyle name="好_资产减值损失 3 2 2" xfId="34090"/>
    <cellStyle name="好_资产减值损失 3 2 3" xfId="34091"/>
    <cellStyle name="好_资产减值损失 3 2 4" xfId="34092"/>
    <cellStyle name="好_资产减值损失 3 2 5" xfId="34093"/>
    <cellStyle name="好_资产减值损失 3 2 6" xfId="34094"/>
    <cellStyle name="好_资产减值损失 3 3" xfId="34095"/>
    <cellStyle name="好_资产减值损失 3 3 2" xfId="34096"/>
    <cellStyle name="好_资产减值损失 3 3 3" xfId="34097"/>
    <cellStyle name="好_资产减值损失 3 4" xfId="34098"/>
    <cellStyle name="好_资产减值损失 3 4 2" xfId="34099"/>
    <cellStyle name="好_资产减值损失 3 5" xfId="34100"/>
    <cellStyle name="好_资产减值损失 3 6" xfId="34101"/>
    <cellStyle name="好_资产减值损失 3_附注表一（财务报表）" xfId="34102"/>
    <cellStyle name="好_资产减值损失 3_明细表 2" xfId="34103"/>
    <cellStyle name="好_资产减值损失 3_明细表 3" xfId="34104"/>
    <cellStyle name="好_资产减值损失 3_明细表 4" xfId="34105"/>
    <cellStyle name="好_资产减值损失 3_明细表 5" xfId="34106"/>
    <cellStyle name="好_资产减值损失 4" xfId="34107"/>
    <cellStyle name="好_资产减值损失 4 2" xfId="34108"/>
    <cellStyle name="好_资产减值损失 4 2 2" xfId="34109"/>
    <cellStyle name="好_资产减值损失 4 2 3" xfId="34110"/>
    <cellStyle name="好_资产减值损失 4 2 4" xfId="34111"/>
    <cellStyle name="好_资产减值损失 4 2 5" xfId="34112"/>
    <cellStyle name="好_资产减值损失 4 2 6" xfId="34113"/>
    <cellStyle name="好_资产减值损失 4 3" xfId="34114"/>
    <cellStyle name="好_资产减值损失 4 3 2" xfId="34115"/>
    <cellStyle name="好_资产减值损失 4 3 3" xfId="34116"/>
    <cellStyle name="好_资产减值损失 4 5" xfId="34117"/>
    <cellStyle name="好_资产减值损失 4 6" xfId="34118"/>
    <cellStyle name="好_资产减值损失 4_明细表 4" xfId="34119"/>
    <cellStyle name="好_资产减值损失 4_明细表 5" xfId="34120"/>
    <cellStyle name="好_资产减值损失 5" xfId="34121"/>
    <cellStyle name="好_资产减值损失 5 2" xfId="34122"/>
    <cellStyle name="好_资产减值损失 5 2 2" xfId="34123"/>
    <cellStyle name="好_资产减值损失 5 2 3" xfId="34124"/>
    <cellStyle name="好_资产减值损失 5 2 4" xfId="34125"/>
    <cellStyle name="好_资产减值损失 5 2 5" xfId="34126"/>
    <cellStyle name="好_资产减值损失 5 2 6" xfId="34127"/>
    <cellStyle name="好_资产减值损失 5 3" xfId="34128"/>
    <cellStyle name="好_资产减值损失 5 3 2" xfId="34129"/>
    <cellStyle name="好_资产减值损失 5 3 3" xfId="34130"/>
    <cellStyle name="好_资产减值损失 5 4" xfId="34131"/>
    <cellStyle name="好_资产减值损失 5 4 2" xfId="34132"/>
    <cellStyle name="好_资产减值损失 5 5" xfId="34133"/>
    <cellStyle name="好_资产减值损失 5 6" xfId="34134"/>
    <cellStyle name="好_资产减值损失 5_附注表一（财务报表）" xfId="34135"/>
    <cellStyle name="好_资产减值损失 5_明细表 2" xfId="34136"/>
    <cellStyle name="好_资产减值损失 5_明细表 3" xfId="34137"/>
    <cellStyle name="好_资产减值损失 5_明细表 4" xfId="34138"/>
    <cellStyle name="好_资产减值损失 5_明细表 5" xfId="34139"/>
    <cellStyle name="好_资产减值损失 6" xfId="34140"/>
    <cellStyle name="好_资产减值损失 6 2" xfId="34141"/>
    <cellStyle name="好_资产减值损失 6 2 2" xfId="34142"/>
    <cellStyle name="好_资产减值损失 6 2 3" xfId="34143"/>
    <cellStyle name="好_资产减值损失 6 2 4" xfId="34144"/>
    <cellStyle name="好_资产减值损失 6 2 5" xfId="34145"/>
    <cellStyle name="好_资产减值损失 6 2 6" xfId="34146"/>
    <cellStyle name="好_资产减值损失 6 3" xfId="34147"/>
    <cellStyle name="好_资产减值损失 6 3 2" xfId="34148"/>
    <cellStyle name="好_资产减值损失 6 3 3" xfId="34149"/>
    <cellStyle name="好_资产减值损失 6 4" xfId="34150"/>
    <cellStyle name="好_资产减值损失 6 4 2" xfId="34151"/>
    <cellStyle name="好_资产减值损失 6 5" xfId="34152"/>
    <cellStyle name="好_资产减值损失 6 6" xfId="34153"/>
    <cellStyle name="好_资产减值损失 6_附注表一（财务报表）" xfId="34154"/>
    <cellStyle name="好_资产减值损失 6_明细表 2" xfId="34155"/>
    <cellStyle name="好_资产减值损失 6_明细表 3" xfId="34156"/>
    <cellStyle name="好_资产减值损失 6_明细表 4" xfId="34157"/>
    <cellStyle name="好_资产减值损失 6_明细表 5" xfId="34158"/>
    <cellStyle name="好_资产减值损失 7" xfId="34159"/>
    <cellStyle name="好_资产减值损失 7 2" xfId="34160"/>
    <cellStyle name="好_资产减值损失 7 2 2" xfId="34161"/>
    <cellStyle name="好_资产减值损失 7 2 3" xfId="34162"/>
    <cellStyle name="好_资产减值损失 7 2 4" xfId="34163"/>
    <cellStyle name="好_资产减值损失 7 2 5" xfId="34164"/>
    <cellStyle name="好_资产减值损失 7 3" xfId="34165"/>
    <cellStyle name="好_资产减值损失 7 3 2" xfId="34166"/>
    <cellStyle name="好_资产减值损失 7 4" xfId="34167"/>
    <cellStyle name="好_资产减值损失 7_明细表 2" xfId="34168"/>
    <cellStyle name="好_资产减值损失 7_明细表 3" xfId="34169"/>
    <cellStyle name="好_资产减值损失 7_明细表 4" xfId="34170"/>
    <cellStyle name="好_资产减值损失 7_明细表 5" xfId="34171"/>
    <cellStyle name="好_资产减值损失 8" xfId="34172"/>
    <cellStyle name="好_资产减值损失 8 2" xfId="34173"/>
    <cellStyle name="好_资产减值损失 8 2 2" xfId="34174"/>
    <cellStyle name="好_资产减值损失 8 2 3" xfId="34175"/>
    <cellStyle name="好_资产减值损失 8 2 4" xfId="34176"/>
    <cellStyle name="好_资产减值损失 8 3" xfId="34177"/>
    <cellStyle name="好_资产减值损失 8 3 2" xfId="34178"/>
    <cellStyle name="好_资产减值损失 8 4" xfId="34179"/>
    <cellStyle name="好_资产减值损失 8_附注表一（财务报表）" xfId="34180"/>
    <cellStyle name="强调文字颜色 5 2 2 7" xfId="34181"/>
    <cellStyle name="好_资产减值损失 8_明细表" xfId="34182"/>
    <cellStyle name="好_资产减值损失 8_明细表 2" xfId="34183"/>
    <cellStyle name="好_资产减值损失 8_明细表 3" xfId="34184"/>
    <cellStyle name="好_资产减值损失 8_明细表 4" xfId="34185"/>
    <cellStyle name="好_资产减值损失 8_明细表 5" xfId="34186"/>
    <cellStyle name="好_资产减值损失 9" xfId="34187"/>
    <cellStyle name="好_资产减值损失 9 2" xfId="34188"/>
    <cellStyle name="好_资产减值损失 9 2 2" xfId="34189"/>
    <cellStyle name="好_资产减值损失 9 2 3" xfId="34190"/>
    <cellStyle name="好_资产减值损失 9 2 4" xfId="34191"/>
    <cellStyle name="好_资产减值损失 9 2 5" xfId="34192"/>
    <cellStyle name="好_资产减值损失 9 3" xfId="34193"/>
    <cellStyle name="好_资产减值损失 9 3 2" xfId="34194"/>
    <cellStyle name="好_资产减值损失 9 4" xfId="34195"/>
    <cellStyle name="好_资产减值损失 9_附注表一（财务报表）" xfId="34196"/>
    <cellStyle name="好_资产减值损失 9_明细表" xfId="34197"/>
    <cellStyle name="好_资产减值损失 9_明细表 2" xfId="34198"/>
    <cellStyle name="好_资产减值损失 9_明细表 4" xfId="34199"/>
    <cellStyle name="好_资产减值损失 9_明细表 5" xfId="34200"/>
    <cellStyle name="好_资产减值损失_3固定资产" xfId="34201"/>
    <cellStyle name="好_资产减值损失_3固定资产 2" xfId="34202"/>
    <cellStyle name="好_资产减值损失_3固定资产 2 2" xfId="34203"/>
    <cellStyle name="好_资产减值损失_3固定资产 3" xfId="34204"/>
    <cellStyle name="好_资产减值损失_Book2" xfId="34205"/>
    <cellStyle name="好_资产减值损失_Book2 2" xfId="34206"/>
    <cellStyle name="好_资产减值损失_Book2 3" xfId="34207"/>
    <cellStyle name="好_资产减值损失_财务费用" xfId="34208"/>
    <cellStyle name="好_资产减值损失_附注表一（财务报表）" xfId="34209"/>
    <cellStyle name="好_资产减值损失_固定资产" xfId="34210"/>
    <cellStyle name="好_资产减值损失_固定资产 2" xfId="34211"/>
    <cellStyle name="好_资产减值损失_固定资产 2 2" xfId="34212"/>
    <cellStyle name="好_资产减值损失_固定资产 3" xfId="34213"/>
    <cellStyle name="好_资产减值损失_货币资金" xfId="34214"/>
    <cellStyle name="好_资产减值损失_货币资金 2" xfId="34215"/>
    <cellStyle name="好_资产减值损失_货币资金 2 2" xfId="34216"/>
    <cellStyle name="好_资产减值损失_货币资金 3" xfId="34217"/>
    <cellStyle name="好_资产减值损失_明细表" xfId="34218"/>
    <cellStyle name="好_资产减值损失_明细表 2" xfId="34219"/>
    <cellStyle name="好_资产减值损失_明细表 2 2" xfId="34220"/>
    <cellStyle name="好_资产减值损失_明细表 2 3" xfId="34221"/>
    <cellStyle name="好_资产减值损失_明细表 2 4" xfId="34222"/>
    <cellStyle name="好_资产减值损失_明细表 2 5" xfId="34223"/>
    <cellStyle name="好_资产减值损失_明细表 3" xfId="34224"/>
    <cellStyle name="好_资产减值损失_明细表 4" xfId="34225"/>
    <cellStyle name="好_资产减值损失_明细表 5" xfId="34226"/>
    <cellStyle name="好_资产减值损失_明细表_1" xfId="34227"/>
    <cellStyle name="好_资产减值损失_明细表_1 2" xfId="34228"/>
    <cellStyle name="好_资产减值损失_明细表_1 3" xfId="34229"/>
    <cellStyle name="好_资产减值损失_明细表_1 4" xfId="34230"/>
    <cellStyle name="好_资产减值损失_明细表_1 5" xfId="34231"/>
    <cellStyle name="好_资产减值损失_应收账款" xfId="34232"/>
    <cellStyle name="好_资产减值损失_应收账款 2" xfId="34233"/>
    <cellStyle name="好_资产减值损失_应收账款 2 2" xfId="34234"/>
    <cellStyle name="好_资产减值损失_应收账款 3" xfId="34235"/>
    <cellStyle name="合計" xfId="34236"/>
    <cellStyle name="合計 2" xfId="34237"/>
    <cellStyle name="合計 3" xfId="34238"/>
    <cellStyle name="合計 4" xfId="34239"/>
    <cellStyle name="合計 5" xfId="34240"/>
    <cellStyle name="合計 6" xfId="34241"/>
    <cellStyle name="桁区切り_１１月価格表" xfId="34242"/>
    <cellStyle name="后继超级链接" xfId="34243"/>
    <cellStyle name="后继超级链接 2" xfId="34244"/>
    <cellStyle name="后继超级链接 3" xfId="34245"/>
    <cellStyle name="后继超级链接 4" xfId="34246"/>
    <cellStyle name="后继超级链接 5" xfId="34247"/>
    <cellStyle name="后继超级链接 6" xfId="34248"/>
    <cellStyle name="后继超级链接_0106固定资产减值明细(提减值准备)" xfId="34249"/>
    <cellStyle name="壞" xfId="34250"/>
    <cellStyle name="壞 2" xfId="34251"/>
    <cellStyle name="壞 3" xfId="34252"/>
    <cellStyle name="壞 4" xfId="34253"/>
    <cellStyle name="壞 5" xfId="34254"/>
    <cellStyle name="壞 6" xfId="34255"/>
    <cellStyle name="壞_G2 Turnover Kaizhou" xfId="34256"/>
    <cellStyle name="壞_G2 Turnover Kaizhou 4" xfId="34257"/>
    <cellStyle name="壞_G2 Turnover Kaizhou 5" xfId="34258"/>
    <cellStyle name="壞_G2 Turnover Kaizhou 6" xfId="34259"/>
    <cellStyle name="壞_Sales breakdown by customer - 新滔 (to KPMG)" xfId="34260"/>
    <cellStyle name="壞_Sales breakdown by customer - 新滔 (to KPMG) 2" xfId="34261"/>
    <cellStyle name="壞_Sales breakdown by customer - 新滔 (to KPMG) 3" xfId="34262"/>
    <cellStyle name="壞_Sales breakdown by customer - 新滔 (to KPMG) 4" xfId="34263"/>
    <cellStyle name="壞_Sales breakdown by customer - 新滔 (to KPMG) 5" xfId="34264"/>
    <cellStyle name="壞_Sales breakdown by customer - 新滔 (to KPMG) 6" xfId="34265"/>
    <cellStyle name="壞_水量统计 2" xfId="34266"/>
    <cellStyle name="壞_水量统计 3" xfId="34267"/>
    <cellStyle name="壞_水量统计 4" xfId="34268"/>
    <cellStyle name="壞_水量统计 5" xfId="34269"/>
    <cellStyle name="壞_水量统计 6" xfId="34270"/>
    <cellStyle name="汇总 10" xfId="34271"/>
    <cellStyle name="汇总 2" xfId="34272"/>
    <cellStyle name="汇总 2 10" xfId="34273"/>
    <cellStyle name="汇总 2 11" xfId="34274"/>
    <cellStyle name="汇总 2 12" xfId="34275"/>
    <cellStyle name="汇总 2 2" xfId="34276"/>
    <cellStyle name="汇总 2 2 10" xfId="34277"/>
    <cellStyle name="汇总 2 2 11" xfId="34278"/>
    <cellStyle name="汇总 2 2 2" xfId="34279"/>
    <cellStyle name="汇总 2 2 2 2" xfId="34280"/>
    <cellStyle name="汇总 2 2 3" xfId="34281"/>
    <cellStyle name="汇总 2 2 3 2" xfId="34282"/>
    <cellStyle name="汇总 2 2 3 3" xfId="34283"/>
    <cellStyle name="汇总 2 2 3 4" xfId="34284"/>
    <cellStyle name="千位分隔 2 5 2 7 2 2" xfId="34285"/>
    <cellStyle name="汇总 2 2 3 5" xfId="34286"/>
    <cellStyle name="汇总 2 2 4" xfId="34287"/>
    <cellStyle name="汇总 2 2 5" xfId="34288"/>
    <cellStyle name="汇总 2 2 6" xfId="34289"/>
    <cellStyle name="汇总 2 2 7" xfId="34290"/>
    <cellStyle name="汇总 2 2 8" xfId="34291"/>
    <cellStyle name="汇总 2 2 9" xfId="34292"/>
    <cellStyle name="汇总 2 3" xfId="34293"/>
    <cellStyle name="汇总 2 3 2" xfId="34294"/>
    <cellStyle name="汇总 2 3 3" xfId="34295"/>
    <cellStyle name="汇总 2 3 3 2" xfId="34296"/>
    <cellStyle name="汇总 2 3 3 3" xfId="34297"/>
    <cellStyle name="汇总 2 3 3 4" xfId="34298"/>
    <cellStyle name="汇总 2 3 3 5" xfId="34299"/>
    <cellStyle name="汇总 2 3 4" xfId="34300"/>
    <cellStyle name="汇总 2 3 5" xfId="34301"/>
    <cellStyle name="汇总 2 3 6" xfId="34302"/>
    <cellStyle name="汇总 2 3 7" xfId="34303"/>
    <cellStyle name="汇总 2 3 8" xfId="34304"/>
    <cellStyle name="汇总 2 3_附注表一（财务报表）" xfId="34305"/>
    <cellStyle name="汇总 2 5" xfId="34306"/>
    <cellStyle name="汇总 2 5 2" xfId="34307"/>
    <cellStyle name="汇总 2 6" xfId="34308"/>
    <cellStyle name="汇总 2 6 2" xfId="34309"/>
    <cellStyle name="汇总 2 7" xfId="34310"/>
    <cellStyle name="汇总 2 7 2" xfId="34311"/>
    <cellStyle name="汇总 2 8" xfId="34312"/>
    <cellStyle name="汇总 2 9" xfId="34313"/>
    <cellStyle name="汇总 2_Spreadsheet" xfId="34314"/>
    <cellStyle name="汇总 3" xfId="34315"/>
    <cellStyle name="汇总 3 2" xfId="34316"/>
    <cellStyle name="汇总 3 2 2" xfId="34317"/>
    <cellStyle name="汇总 3 3" xfId="34318"/>
    <cellStyle name="汇总 4" xfId="34319"/>
    <cellStyle name="汇总 4 2" xfId="34320"/>
    <cellStyle name="汇总 5" xfId="34321"/>
    <cellStyle name="汇总 5 2" xfId="34322"/>
    <cellStyle name="汇总 6" xfId="34323"/>
    <cellStyle name="汇总 6 2" xfId="34324"/>
    <cellStyle name="汇总 7" xfId="34325"/>
    <cellStyle name="汇总 8" xfId="34326"/>
    <cellStyle name="汇总 9" xfId="34327"/>
    <cellStyle name="会计科目参数" xfId="34328"/>
    <cellStyle name="会计科目参数 2" xfId="34329"/>
    <cellStyle name="会计科目参数 2 2" xfId="34330"/>
    <cellStyle name="会计科目参数 2 3" xfId="34331"/>
    <cellStyle name="会计科目参数 2 4" xfId="34332"/>
    <cellStyle name="会计科目参数 2 5" xfId="34333"/>
    <cellStyle name="会计科目参数 2 6" xfId="34334"/>
    <cellStyle name="会计科目参数 3" xfId="34335"/>
    <cellStyle name="会计科目参数 4" xfId="34336"/>
    <cellStyle name="会计科目参数 5" xfId="34337"/>
    <cellStyle name="会计科目参数 6" xfId="34338"/>
    <cellStyle name="会计科目参数 7" xfId="34339"/>
    <cellStyle name="会计科目类别" xfId="34340"/>
    <cellStyle name="会计科目类别 2" xfId="34341"/>
    <cellStyle name="会计科目类别 2 2" xfId="34342"/>
    <cellStyle name="会计科目类别 2 3" xfId="34343"/>
    <cellStyle name="会计科目类别 2 4" xfId="34344"/>
    <cellStyle name="会计科目类别 2 5" xfId="34345"/>
    <cellStyle name="会计科目类别 2 6" xfId="34346"/>
    <cellStyle name="会计科目类别 3" xfId="34347"/>
    <cellStyle name="会计科目类别 4" xfId="34348"/>
    <cellStyle name="会计科目类别 5" xfId="34349"/>
    <cellStyle name="会计科目类别 6" xfId="34350"/>
    <cellStyle name="会计科目类别 7" xfId="34351"/>
    <cellStyle name="货币 10" xfId="34352"/>
    <cellStyle name="货币 11" xfId="34353"/>
    <cellStyle name="货币 18" xfId="34354"/>
    <cellStyle name="货币 2" xfId="34355"/>
    <cellStyle name="货币 2 10" xfId="34356"/>
    <cellStyle name="货币 2 10 2" xfId="34357"/>
    <cellStyle name="货币 2 10 2 2" xfId="34358"/>
    <cellStyle name="货币 2 10 2 3" xfId="34359"/>
    <cellStyle name="货币 2 10 2 4" xfId="34360"/>
    <cellStyle name="货币 2 10 2 5" xfId="34361"/>
    <cellStyle name="货币 2 10 3" xfId="34362"/>
    <cellStyle name="货币 2 10_附注表一（财务报表）" xfId="34363"/>
    <cellStyle name="货币 2 11 2" xfId="34364"/>
    <cellStyle name="货币 2 11 2 2" xfId="34365"/>
    <cellStyle name="货币 2 11 2 3" xfId="34366"/>
    <cellStyle name="货币 2 11 2 4" xfId="34367"/>
    <cellStyle name="货币 2 11 2 5" xfId="34368"/>
    <cellStyle name="货币 2 11 3" xfId="34369"/>
    <cellStyle name="货币 2 11_附注表一（财务报表）" xfId="34370"/>
    <cellStyle name="货币 2 12" xfId="34371"/>
    <cellStyle name="货币 2 12 2" xfId="34372"/>
    <cellStyle name="货币 2 12 3" xfId="34373"/>
    <cellStyle name="货币 2 12_附注表一（财务报表）" xfId="34374"/>
    <cellStyle name="货币 2 13" xfId="34375"/>
    <cellStyle name="货币 2 13 2" xfId="34376"/>
    <cellStyle name="货币 2 13 2 2" xfId="34377"/>
    <cellStyle name="货币 2 13 2 3" xfId="34378"/>
    <cellStyle name="货币 2 13 2 4" xfId="34379"/>
    <cellStyle name="货币 2 13 2 5" xfId="34380"/>
    <cellStyle name="货币 2 13 3" xfId="34381"/>
    <cellStyle name="货币 2 13_附注表一（财务报表）" xfId="34382"/>
    <cellStyle name="货币 2 14" xfId="34383"/>
    <cellStyle name="货币 2 14 2" xfId="34384"/>
    <cellStyle name="货币 2 14 3" xfId="34385"/>
    <cellStyle name="货币 2 14 4" xfId="34386"/>
    <cellStyle name="货币 2 14 5" xfId="34387"/>
    <cellStyle name="货币 2 15" xfId="34388"/>
    <cellStyle name="货币 2 16" xfId="34389"/>
    <cellStyle name="货币 2 2" xfId="34390"/>
    <cellStyle name="货币 2 2 2" xfId="34391"/>
    <cellStyle name="货币 2 2 2 2" xfId="34392"/>
    <cellStyle name="货币 2 2 2 3" xfId="34393"/>
    <cellStyle name="货币 2 2 2 4" xfId="34394"/>
    <cellStyle name="货币 2 2 2 5" xfId="34395"/>
    <cellStyle name="货币 2 2 3" xfId="34396"/>
    <cellStyle name="货币 2 2_附注表一（财务报表）" xfId="34397"/>
    <cellStyle name="货币 2 3" xfId="34398"/>
    <cellStyle name="货币 2 3 2" xfId="34399"/>
    <cellStyle name="货币 2 3 2 2" xfId="34400"/>
    <cellStyle name="货币 2 3 2 3" xfId="34401"/>
    <cellStyle name="货币 2 3 2 4" xfId="34402"/>
    <cellStyle name="货币 2 3 2 5" xfId="34403"/>
    <cellStyle name="货币 2 3 3" xfId="34404"/>
    <cellStyle name="货币 2 3_附注表一（财务报表）" xfId="34405"/>
    <cellStyle name="货币 2 4 2" xfId="34406"/>
    <cellStyle name="货币 2 4 3" xfId="34407"/>
    <cellStyle name="货币 2 5" xfId="34408"/>
    <cellStyle name="货币 2 5 2" xfId="34409"/>
    <cellStyle name="货币 2 5 2 2" xfId="34410"/>
    <cellStyle name="货币 2 5 2 3" xfId="34411"/>
    <cellStyle name="货币 2 5 2 4" xfId="34412"/>
    <cellStyle name="货币 2 5 2 5" xfId="34413"/>
    <cellStyle name="货币 2 5 3" xfId="34414"/>
    <cellStyle name="货币 2 5_附注表一（财务报表）" xfId="34415"/>
    <cellStyle name="货币 2 6" xfId="34416"/>
    <cellStyle name="货币 2 6 2" xfId="34417"/>
    <cellStyle name="货币 2 6 2 2" xfId="34418"/>
    <cellStyle name="货币 2 6 2 3" xfId="34419"/>
    <cellStyle name="货币 2 6 2 4" xfId="34420"/>
    <cellStyle name="货币 2 6 2 5" xfId="34421"/>
    <cellStyle name="货币 2 6 3" xfId="34422"/>
    <cellStyle name="货币 2 6_附注表一（财务报表）" xfId="34423"/>
    <cellStyle name="货币 2 7" xfId="34424"/>
    <cellStyle name="货币 2 7 2" xfId="34425"/>
    <cellStyle name="货币 2 7 2 2" xfId="34426"/>
    <cellStyle name="货币 2 7 2 3" xfId="34427"/>
    <cellStyle name="货币 2 7 2 4" xfId="34428"/>
    <cellStyle name="货币 2 7 2 5" xfId="34429"/>
    <cellStyle name="货币 2 7 3" xfId="34430"/>
    <cellStyle name="货币 2 7_附注表一（财务报表）" xfId="34431"/>
    <cellStyle name="货币 2 8" xfId="34432"/>
    <cellStyle name="货币 2 8 2" xfId="34433"/>
    <cellStyle name="货币 2 8 2 2" xfId="34434"/>
    <cellStyle name="货币 2 8 2 3" xfId="34435"/>
    <cellStyle name="货币 2 8 2 4" xfId="34436"/>
    <cellStyle name="货币 2 8 2 5" xfId="34437"/>
    <cellStyle name="货币 2 8 3" xfId="34438"/>
    <cellStyle name="货币 2 8_附注表一（财务报表）" xfId="34439"/>
    <cellStyle name="货币 2 9" xfId="34440"/>
    <cellStyle name="货币 2 9 2" xfId="34441"/>
    <cellStyle name="货币 2 9 2 2" xfId="34442"/>
    <cellStyle name="货币 2 9 2 3" xfId="34443"/>
    <cellStyle name="货币 2 9 2 4" xfId="34444"/>
    <cellStyle name="货币 2 9 2 5" xfId="34445"/>
    <cellStyle name="货币 2 9 3" xfId="34446"/>
    <cellStyle name="货币 2 9_附注表一（财务报表）" xfId="34447"/>
    <cellStyle name="货币 29" xfId="34448"/>
    <cellStyle name="货币 3 2" xfId="34449"/>
    <cellStyle name="货币 3 2 5" xfId="34450"/>
    <cellStyle name="货币 3 3" xfId="34451"/>
    <cellStyle name="货币 3_附注表一（财务报表）" xfId="34452"/>
    <cellStyle name="货币 4" xfId="34453"/>
    <cellStyle name="货币 4 2" xfId="34454"/>
    <cellStyle name="货币 4 3" xfId="34455"/>
    <cellStyle name="货币 7" xfId="34456"/>
    <cellStyle name="货币[0] 2" xfId="34457"/>
    <cellStyle name="货币[0] 2 2" xfId="34458"/>
    <cellStyle name="货币[0] 2 3" xfId="34459"/>
    <cellStyle name="貨幣 [0]_2000" xfId="34460"/>
    <cellStyle name="貨幣[0]_VIRUS-EDY" xfId="34461"/>
    <cellStyle name="貨幣_2000" xfId="34462"/>
    <cellStyle name="适中 2 3 5" xfId="34463"/>
    <cellStyle name="计算 10" xfId="34464"/>
    <cellStyle name="计算 2" xfId="34465"/>
    <cellStyle name="计算 2 2" xfId="34466"/>
    <cellStyle name="计算 2 2 10" xfId="34467"/>
    <cellStyle name="计算 2 2 11" xfId="34468"/>
    <cellStyle name="计算 2 2 2" xfId="34469"/>
    <cellStyle name="计算 2 2 2 2" xfId="34470"/>
    <cellStyle name="计算 2 2 3" xfId="34471"/>
    <cellStyle name="计算 2 2 3 2" xfId="34472"/>
    <cellStyle name="计算 2 2 3 3" xfId="34473"/>
    <cellStyle name="计算 2 2 3 4" xfId="34474"/>
    <cellStyle name="计算 2 2 3 5" xfId="34475"/>
    <cellStyle name="计算 2 2 4" xfId="34476"/>
    <cellStyle name="计算 2 2 5" xfId="34477"/>
    <cellStyle name="计算 2 2 6" xfId="34478"/>
    <cellStyle name="计算 2 2 7" xfId="34479"/>
    <cellStyle name="计算 2 2 8" xfId="34480"/>
    <cellStyle name="计算 2 2 9" xfId="34481"/>
    <cellStyle name="计算 2 2_附注表一（财务报表）" xfId="34482"/>
    <cellStyle name="计算 2 3" xfId="34483"/>
    <cellStyle name="计算 2 3 2" xfId="34484"/>
    <cellStyle name="计算 2 3 3" xfId="34485"/>
    <cellStyle name="计算 2 3 3 2" xfId="34486"/>
    <cellStyle name="计算 2 3 3 3" xfId="34487"/>
    <cellStyle name="计算 2 3 3 4" xfId="34488"/>
    <cellStyle name="计算 2 3 3 5" xfId="34489"/>
    <cellStyle name="计算 2 3 4" xfId="34490"/>
    <cellStyle name="计算 2 3 5" xfId="34491"/>
    <cellStyle name="计算 2 3 6" xfId="34492"/>
    <cellStyle name="计算 2 3 7" xfId="34493"/>
    <cellStyle name="计算 2 3 8" xfId="34494"/>
    <cellStyle name="计算 2 3_附注表一（财务报表）" xfId="34495"/>
    <cellStyle name="计算 2 4" xfId="34496"/>
    <cellStyle name="计算 2 4 2" xfId="34497"/>
    <cellStyle name="计算 2 4 3" xfId="34498"/>
    <cellStyle name="计算 2 4 5" xfId="34499"/>
    <cellStyle name="计算 2 4 6" xfId="34500"/>
    <cellStyle name="计算 2 5" xfId="34501"/>
    <cellStyle name="计算 2 5 2" xfId="34502"/>
    <cellStyle name="计算 2 6" xfId="34503"/>
    <cellStyle name="计算 2 6 2" xfId="34504"/>
    <cellStyle name="计算 2 7" xfId="34505"/>
    <cellStyle name="计算 2 8" xfId="34506"/>
    <cellStyle name="计算 2 9" xfId="34507"/>
    <cellStyle name="计算 2_Spreadsheet" xfId="34508"/>
    <cellStyle name="计算 3" xfId="34509"/>
    <cellStyle name="计算 3 2" xfId="34510"/>
    <cellStyle name="计算 3 3" xfId="34511"/>
    <cellStyle name="计算 4" xfId="34512"/>
    <cellStyle name="计算 4 2" xfId="34513"/>
    <cellStyle name="计算 5" xfId="34514"/>
    <cellStyle name="适中 2 10" xfId="34515"/>
    <cellStyle name="计算 6" xfId="34516"/>
    <cellStyle name="计算 6 2" xfId="34517"/>
    <cellStyle name="适中 2 11" xfId="34518"/>
    <cellStyle name="计算 7" xfId="34519"/>
    <cellStyle name="适中 2 12" xfId="34520"/>
    <cellStyle name="计算 8" xfId="34521"/>
    <cellStyle name="计算 9" xfId="34522"/>
    <cellStyle name="計算方式" xfId="34523"/>
    <cellStyle name="計算方式 2" xfId="34524"/>
    <cellStyle name="計算方式 3" xfId="34525"/>
    <cellStyle name="計算方式 4" xfId="34526"/>
    <cellStyle name="計算方式 5" xfId="34527"/>
    <cellStyle name="計算方式 6" xfId="34528"/>
    <cellStyle name="检查单元格 10" xfId="34529"/>
    <cellStyle name="检查单元格 2" xfId="34530"/>
    <cellStyle name="检查单元格 2 10" xfId="34531"/>
    <cellStyle name="检查单元格 2 11" xfId="34532"/>
    <cellStyle name="检查单元格 2 12" xfId="34533"/>
    <cellStyle name="检查单元格 2 2" xfId="34534"/>
    <cellStyle name="检查单元格 2 2 10" xfId="34535"/>
    <cellStyle name="检查单元格 2 2 11" xfId="34536"/>
    <cellStyle name="检查单元格 2 2 2" xfId="34537"/>
    <cellStyle name="检查单元格 2 2 2 2" xfId="34538"/>
    <cellStyle name="检查单元格 2 2 3" xfId="34539"/>
    <cellStyle name="检查单元格 2 2 3 2" xfId="34540"/>
    <cellStyle name="检查单元格 2 2 3 3" xfId="34541"/>
    <cellStyle name="检查单元格 2 2 3 4" xfId="34542"/>
    <cellStyle name="检查单元格 2 2 3 5" xfId="34543"/>
    <cellStyle name="检查单元格 2 2 4" xfId="34544"/>
    <cellStyle name="检查单元格 2 2 5" xfId="34545"/>
    <cellStyle name="检查单元格 2 2 6" xfId="34546"/>
    <cellStyle name="检查单元格 2 2 8" xfId="34547"/>
    <cellStyle name="检查单元格 2 2 9" xfId="34548"/>
    <cellStyle name="检查单元格 2 2_附注表一（财务报表）" xfId="34549"/>
    <cellStyle name="检查单元格 2 3" xfId="34550"/>
    <cellStyle name="检查单元格 2 3 2" xfId="34551"/>
    <cellStyle name="检查单元格 2 3 3" xfId="34552"/>
    <cellStyle name="检查单元格 2 3 3 2" xfId="34553"/>
    <cellStyle name="检查单元格 2 3 3 3" xfId="34554"/>
    <cellStyle name="检查单元格 2 3 3 4" xfId="34555"/>
    <cellStyle name="检查单元格 2 3 3 5" xfId="34556"/>
    <cellStyle name="检查单元格 2 3 4" xfId="34557"/>
    <cellStyle name="检查单元格 2 3 5" xfId="34558"/>
    <cellStyle name="检查单元格 2 3 6" xfId="34559"/>
    <cellStyle name="检查单元格 2 3 7" xfId="34560"/>
    <cellStyle name="检查单元格 2 3 8" xfId="34561"/>
    <cellStyle name="检查单元格 2 4" xfId="34562"/>
    <cellStyle name="检查单元格 2 4 2" xfId="34563"/>
    <cellStyle name="检查单元格 2 4 3" xfId="34564"/>
    <cellStyle name="检查单元格 2 4 4" xfId="34565"/>
    <cellStyle name="检查单元格 2 4 5" xfId="34566"/>
    <cellStyle name="检查单元格 2 4 6" xfId="34567"/>
    <cellStyle name="检查单元格 2 5" xfId="34568"/>
    <cellStyle name="检查单元格 2 5 2" xfId="34569"/>
    <cellStyle name="检查单元格 2 6" xfId="34570"/>
    <cellStyle name="检查单元格 2 6 2" xfId="34571"/>
    <cellStyle name="检查单元格 2 7" xfId="34572"/>
    <cellStyle name="检查单元格 2 8" xfId="34573"/>
    <cellStyle name="检查单元格 2 9" xfId="34574"/>
    <cellStyle name="检查单元格 2_Spreadsheet" xfId="34575"/>
    <cellStyle name="检查单元格 3" xfId="34576"/>
    <cellStyle name="检查单元格 3 2" xfId="34577"/>
    <cellStyle name="检查单元格 3 2 2" xfId="34578"/>
    <cellStyle name="检查单元格 3 3" xfId="34579"/>
    <cellStyle name="检查单元格 5 2" xfId="34580"/>
    <cellStyle name="检查单元格 6 2" xfId="34581"/>
    <cellStyle name="检查单元格 7" xfId="34582"/>
    <cellStyle name="检查单元格 8" xfId="34583"/>
    <cellStyle name="检查单元格 9" xfId="34584"/>
    <cellStyle name="檢查儲存格" xfId="34585"/>
    <cellStyle name="檢查儲存格 2" xfId="34586"/>
    <cellStyle name="檢查儲存格 3" xfId="34587"/>
    <cellStyle name="檢查儲存格 4" xfId="34588"/>
    <cellStyle name="檢查儲存格 5" xfId="34589"/>
    <cellStyle name="檢查儲存格 6" xfId="34590"/>
    <cellStyle name="解释性文本 10" xfId="34591"/>
    <cellStyle name="解释性文本 2" xfId="34592"/>
    <cellStyle name="解释性文本 2 10" xfId="34593"/>
    <cellStyle name="解释性文本 2 11" xfId="34594"/>
    <cellStyle name="解释性文本 2 12" xfId="34595"/>
    <cellStyle name="解释性文本 2 2" xfId="34596"/>
    <cellStyle name="解释性文本 2 2 10" xfId="34597"/>
    <cellStyle name="解释性文本 2 2 2" xfId="34598"/>
    <cellStyle name="解释性文本 2 2 2 2" xfId="34599"/>
    <cellStyle name="解释性文本 2 2 3" xfId="34600"/>
    <cellStyle name="解释性文本 2 2 3 2" xfId="34601"/>
    <cellStyle name="解释性文本 2 2 3 3" xfId="34602"/>
    <cellStyle name="解释性文本 2 2 3 4" xfId="34603"/>
    <cellStyle name="解释性文本 2 2 3 5" xfId="34604"/>
    <cellStyle name="解释性文本 2 2 4" xfId="34605"/>
    <cellStyle name="解释性文本 2 2 5" xfId="34606"/>
    <cellStyle name="解释性文本 2 2 6" xfId="34607"/>
    <cellStyle name="解释性文本 2 2 7" xfId="34608"/>
    <cellStyle name="解释性文本 2 2 8" xfId="34609"/>
    <cellStyle name="解释性文本 2 2 9" xfId="34610"/>
    <cellStyle name="解释性文本 2 2_附注表一（财务报表）" xfId="34611"/>
    <cellStyle name="解释性文本 2 3" xfId="34612"/>
    <cellStyle name="解释性文本 2 3 3" xfId="34613"/>
    <cellStyle name="解释性文本 2 3 3 2" xfId="34614"/>
    <cellStyle name="解释性文本 2 3 3 3" xfId="34615"/>
    <cellStyle name="解释性文本 2 3 3 4" xfId="34616"/>
    <cellStyle name="解释性文本 2 3 3 5" xfId="34617"/>
    <cellStyle name="解释性文本 2 3 4" xfId="34618"/>
    <cellStyle name="解释性文本 2 3 5" xfId="34619"/>
    <cellStyle name="解释性文本 2 3 6" xfId="34620"/>
    <cellStyle name="解释性文本 2 3 7" xfId="34621"/>
    <cellStyle name="解释性文本 2 3 8" xfId="34622"/>
    <cellStyle name="解释性文本 2 3_附注表一（财务报表）" xfId="34623"/>
    <cellStyle name="解释性文本 2 4" xfId="34624"/>
    <cellStyle name="解释性文本 2 4 2" xfId="34625"/>
    <cellStyle name="解释性文本 2 4 3" xfId="34626"/>
    <cellStyle name="解释性文本 2 4 4" xfId="34627"/>
    <cellStyle name="解释性文本 2 4 5" xfId="34628"/>
    <cellStyle name="解释性文本 2 5" xfId="34629"/>
    <cellStyle name="解释性文本 2 5 2" xfId="34630"/>
    <cellStyle name="解释性文本 2 6" xfId="34631"/>
    <cellStyle name="解释性文本 2 6 2" xfId="34632"/>
    <cellStyle name="解释性文本 2 7" xfId="34633"/>
    <cellStyle name="解释性文本 2 8" xfId="34634"/>
    <cellStyle name="解释性文本 2 9" xfId="34635"/>
    <cellStyle name="解释性文本 2_Spreadsheet" xfId="34636"/>
    <cellStyle name="解释性文本 3" xfId="34637"/>
    <cellStyle name="解释性文本 3 2" xfId="34638"/>
    <cellStyle name="解释性文本 3 2 2" xfId="34639"/>
    <cellStyle name="解释性文本 3 3" xfId="34640"/>
    <cellStyle name="解释性文本 4" xfId="34641"/>
    <cellStyle name="解释性文本 4 2" xfId="34642"/>
    <cellStyle name="解释性文本 5" xfId="34643"/>
    <cellStyle name="解释性文本 5 2" xfId="34644"/>
    <cellStyle name="解释性文本 6" xfId="34645"/>
    <cellStyle name="解释性文本 6 2" xfId="34646"/>
    <cellStyle name="解释性文本 7" xfId="34647"/>
    <cellStyle name="解释性文本 8" xfId="34648"/>
    <cellStyle name="解释性文本 9" xfId="34649"/>
    <cellStyle name="借出原因" xfId="34650"/>
    <cellStyle name="借出原因 2" xfId="34651"/>
    <cellStyle name="警告文本 2" xfId="34652"/>
    <cellStyle name="警告文本 2 10" xfId="34653"/>
    <cellStyle name="警告文本 2 11" xfId="34654"/>
    <cellStyle name="警告文本 2 12" xfId="34655"/>
    <cellStyle name="警告文本 2 2" xfId="34656"/>
    <cellStyle name="警告文本 2 2 2" xfId="34657"/>
    <cellStyle name="警告文本 2 2 2 2" xfId="34658"/>
    <cellStyle name="警告文本 2 2 3" xfId="34659"/>
    <cellStyle name="警告文本 2 2 3 2" xfId="34660"/>
    <cellStyle name="警告文本 2 2 3 3" xfId="34661"/>
    <cellStyle name="警告文本 2 2 3 4" xfId="34662"/>
    <cellStyle name="警告文本 2 2 3 5" xfId="34663"/>
    <cellStyle name="警告文本 2 2 4" xfId="34664"/>
    <cellStyle name="警告文本 2 2 5" xfId="34665"/>
    <cellStyle name="警告文本 2 2 6" xfId="34666"/>
    <cellStyle name="警告文本 2 2 7" xfId="34667"/>
    <cellStyle name="警告文本 2 2 8" xfId="34668"/>
    <cellStyle name="警告文本 2 2_附注表一（财务报表）" xfId="34669"/>
    <cellStyle name="警告文本 2 3" xfId="34670"/>
    <cellStyle name="警告文本 2 3 2" xfId="34671"/>
    <cellStyle name="警告文本 2 3 3" xfId="34672"/>
    <cellStyle name="警告文本 2 3 3 2" xfId="34673"/>
    <cellStyle name="警告文本 2 3 3 3" xfId="34674"/>
    <cellStyle name="警告文本 2 3 3 4" xfId="34675"/>
    <cellStyle name="警告文本 2 3 3 5" xfId="34676"/>
    <cellStyle name="警告文本 2 3 4" xfId="34677"/>
    <cellStyle name="警告文本 2 3 5" xfId="34678"/>
    <cellStyle name="警告文本 2 3 6" xfId="34679"/>
    <cellStyle name="警告文本 2 3 7" xfId="34680"/>
    <cellStyle name="警告文本 2 3 8" xfId="34681"/>
    <cellStyle name="警告文本 2 3_附注表一（财务报表）" xfId="34682"/>
    <cellStyle name="警告文本 2 4" xfId="34683"/>
    <cellStyle name="警告文本 2 4 2" xfId="34684"/>
    <cellStyle name="警告文本 2 4 3" xfId="34685"/>
    <cellStyle name="警告文本 2 4 4" xfId="34686"/>
    <cellStyle name="警告文本 2 4 5" xfId="34687"/>
    <cellStyle name="警告文本 2 5" xfId="34688"/>
    <cellStyle name="警告文本 2 5 2" xfId="34689"/>
    <cellStyle name="警告文本 2 6" xfId="34690"/>
    <cellStyle name="警告文本 2 6 2" xfId="34691"/>
    <cellStyle name="警告文本 2 7" xfId="34692"/>
    <cellStyle name="警告文本 2 8" xfId="34693"/>
    <cellStyle name="警告文本 2 9" xfId="34694"/>
    <cellStyle name="警告文本 2_Spreadsheet" xfId="34695"/>
    <cellStyle name="警告文本 3" xfId="34696"/>
    <cellStyle name="警告文本 3 2" xfId="34697"/>
    <cellStyle name="警告文本 3 3" xfId="34698"/>
    <cellStyle name="警告文本 4" xfId="34699"/>
    <cellStyle name="警告文本 4 2" xfId="34700"/>
    <cellStyle name="警告文本 5" xfId="34701"/>
    <cellStyle name="警告文本 5 2" xfId="34702"/>
    <cellStyle name="千位分隔 4 4 5 2" xfId="34703"/>
    <cellStyle name="警告文本 6" xfId="34704"/>
    <cellStyle name="警告文本 6 2" xfId="34705"/>
    <cellStyle name="警告文本 7" xfId="34706"/>
    <cellStyle name="警告文本 8" xfId="34707"/>
    <cellStyle name="警告文本 9" xfId="34708"/>
    <cellStyle name="警告文字" xfId="34709"/>
    <cellStyle name="警告文字 2" xfId="34710"/>
    <cellStyle name="警告文字 3" xfId="34711"/>
    <cellStyle name="警告文字 4" xfId="34712"/>
    <cellStyle name="連結的儲存格" xfId="34713"/>
    <cellStyle name="連結的儲存格 2" xfId="34714"/>
    <cellStyle name="連結的儲存格 3" xfId="34715"/>
    <cellStyle name="連結的儲存格 4" xfId="34716"/>
    <cellStyle name="連結的儲存格 5" xfId="34717"/>
    <cellStyle name="連結的儲存格 6" xfId="34718"/>
    <cellStyle name="链接单元格 10" xfId="34719"/>
    <cellStyle name="链接单元格 2 10" xfId="34720"/>
    <cellStyle name="链接单元格 2 11" xfId="34721"/>
    <cellStyle name="链接单元格 2 12" xfId="34722"/>
    <cellStyle name="链接单元格 2 2" xfId="34723"/>
    <cellStyle name="链接单元格 2 2 10" xfId="34724"/>
    <cellStyle name="链接单元格 2 2 11" xfId="34725"/>
    <cellStyle name="链接单元格 2 2 2" xfId="34726"/>
    <cellStyle name="链接单元格 2 2 2 2" xfId="34727"/>
    <cellStyle name="链接单元格 2 2 3" xfId="34728"/>
    <cellStyle name="链接单元格 2 2 3 2" xfId="34729"/>
    <cellStyle name="链接单元格 2 2 3 3" xfId="34730"/>
    <cellStyle name="链接单元格 2 2 3 4" xfId="34731"/>
    <cellStyle name="链接单元格 2 2 3 5" xfId="34732"/>
    <cellStyle name="链接单元格 2 2 4" xfId="34733"/>
    <cellStyle name="链接单元格 2 2 8" xfId="34734"/>
    <cellStyle name="链接单元格 2 2 9" xfId="34735"/>
    <cellStyle name="链接单元格 2 2_附注表一（财务报表）" xfId="34736"/>
    <cellStyle name="链接单元格 2 3" xfId="34737"/>
    <cellStyle name="链接单元格 2 3 2" xfId="34738"/>
    <cellStyle name="链接单元格 2 3 3" xfId="34739"/>
    <cellStyle name="链接单元格 2 3 3 2" xfId="34740"/>
    <cellStyle name="链接单元格 2 3 3 3" xfId="34741"/>
    <cellStyle name="链接单元格 2 3 3 4" xfId="34742"/>
    <cellStyle name="链接单元格 2 3 3 5" xfId="34743"/>
    <cellStyle name="链接单元格 2 3 4" xfId="34744"/>
    <cellStyle name="链接单元格 2 3_附注表一（财务报表）" xfId="34745"/>
    <cellStyle name="链接单元格 2 4" xfId="34746"/>
    <cellStyle name="链接单元格 2 4 2" xfId="34747"/>
    <cellStyle name="链接单元格 2 4 3" xfId="34748"/>
    <cellStyle name="链接单元格 2 4 4" xfId="34749"/>
    <cellStyle name="链接单元格 2 5" xfId="34750"/>
    <cellStyle name="链接单元格 2 5 2" xfId="34751"/>
    <cellStyle name="链接单元格 2 6" xfId="34752"/>
    <cellStyle name="链接单元格 2 6 2" xfId="34753"/>
    <cellStyle name="链接单元格 2 7" xfId="34754"/>
    <cellStyle name="链接单元格 2 8" xfId="34755"/>
    <cellStyle name="链接单元格 2 9" xfId="34756"/>
    <cellStyle name="链接单元格 2_Spreadsheet" xfId="34757"/>
    <cellStyle name="链接单元格 3 2" xfId="34758"/>
    <cellStyle name="链接单元格 3 2 2" xfId="34759"/>
    <cellStyle name="链接单元格 4" xfId="34760"/>
    <cellStyle name="链接单元格 4 2" xfId="34761"/>
    <cellStyle name="链接单元格 5" xfId="34762"/>
    <cellStyle name="链接单元格 5 2" xfId="34763"/>
    <cellStyle name="链接单元格 6" xfId="34764"/>
    <cellStyle name="链接单元格 6 2" xfId="34765"/>
    <cellStyle name="链接单元格 7" xfId="34766"/>
    <cellStyle name="链接单元格 8" xfId="34767"/>
    <cellStyle name="链接单元格 9" xfId="34768"/>
    <cellStyle name="千位分隔 6 2 2 12" xfId="34769"/>
    <cellStyle name="艨暐糔_APAR" xfId="34770"/>
    <cellStyle name="捪_PERSONAL" xfId="34771"/>
    <cellStyle name="霓付 [0]_1202" xfId="34772"/>
    <cellStyle name="霓付_1202" xfId="34773"/>
    <cellStyle name="妞" xfId="34774"/>
    <cellStyle name="妞 2" xfId="34775"/>
    <cellStyle name="妞 3" xfId="34776"/>
    <cellStyle name="妞 4" xfId="34777"/>
    <cellStyle name="烹拳 [0]_1202" xfId="34778"/>
    <cellStyle name="烹拳_1202" xfId="34779"/>
    <cellStyle name="砯刽[0]_pldt" xfId="34780"/>
    <cellStyle name="砯刽_laroux" xfId="34781"/>
    <cellStyle name="普通_ 白土" xfId="34782"/>
    <cellStyle name="普通1" xfId="34783"/>
    <cellStyle name="千位分隔 3 2 11 2 4" xfId="34784"/>
    <cellStyle name="普通1 2" xfId="34785"/>
    <cellStyle name="普通1 2 2" xfId="34786"/>
    <cellStyle name="普通1 2 3" xfId="34787"/>
    <cellStyle name="普通1 2 4" xfId="34788"/>
    <cellStyle name="普通1 2 5" xfId="34789"/>
    <cellStyle name="普通1 2 6" xfId="34790"/>
    <cellStyle name="千位分隔 3 2 11 2 5" xfId="34791"/>
    <cellStyle name="普通1 3" xfId="34792"/>
    <cellStyle name="普通1 4" xfId="34793"/>
    <cellStyle name="普通1 5" xfId="34794"/>
    <cellStyle name="普通1 6" xfId="34795"/>
    <cellStyle name="普通1 7" xfId="34796"/>
    <cellStyle name="千分位 2" xfId="34797"/>
    <cellStyle name="千分位 2 2 2" xfId="34798"/>
    <cellStyle name="千分位 2 2 3" xfId="34799"/>
    <cellStyle name="千分位 2 2 4" xfId="34800"/>
    <cellStyle name="千分位 2 2 5" xfId="34801"/>
    <cellStyle name="千分位 2 3" xfId="34802"/>
    <cellStyle name="千分位 2 4" xfId="34803"/>
    <cellStyle name="千分位 2_附注表一（财务报表）" xfId="34804"/>
    <cellStyle name="千分位 3" xfId="34805"/>
    <cellStyle name="千分位 6" xfId="34806"/>
    <cellStyle name="千分位 6 2" xfId="34807"/>
    <cellStyle name="千分位 6 2 2" xfId="34808"/>
    <cellStyle name="千分位 6 2 3" xfId="34809"/>
    <cellStyle name="千分位 6 2 4" xfId="34810"/>
    <cellStyle name="千分位 6 2 5" xfId="34811"/>
    <cellStyle name="千分位 6 3" xfId="34812"/>
    <cellStyle name="千分位 6_附注表一（财务报表）" xfId="34813"/>
    <cellStyle name="千分位[0]_ 白土" xfId="34814"/>
    <cellStyle name="千分位_ 白土" xfId="34815"/>
    <cellStyle name="千位[0]_ Other Deferred Exp." xfId="34816"/>
    <cellStyle name="千位_ Other Deferred Exp." xfId="34817"/>
    <cellStyle name="千位分隔 10" xfId="34818"/>
    <cellStyle name="千位分隔 10 10 2" xfId="34819"/>
    <cellStyle name="千位分隔 10 11" xfId="34820"/>
    <cellStyle name="千位分隔 10 12" xfId="34821"/>
    <cellStyle name="千位分隔 10 13" xfId="34822"/>
    <cellStyle name="千位分隔 10 14" xfId="34823"/>
    <cellStyle name="千位分隔 10 15" xfId="34824"/>
    <cellStyle name="千位分隔 10 2" xfId="34825"/>
    <cellStyle name="千位分隔 10 2 2" xfId="34826"/>
    <cellStyle name="千位分隔 10 2 2 2" xfId="34827"/>
    <cellStyle name="千位分隔 10 2 2 3" xfId="34828"/>
    <cellStyle name="千位分隔 10 2 3" xfId="34829"/>
    <cellStyle name="千位分隔 10 2 3 2" xfId="34830"/>
    <cellStyle name="千位分隔 10 2 4" xfId="34831"/>
    <cellStyle name="千位分隔 10 2 5" xfId="34832"/>
    <cellStyle name="千位分隔 10 3 2 2" xfId="34833"/>
    <cellStyle name="千位分隔 10 3 3" xfId="34834"/>
    <cellStyle name="千位分隔 10 4 2 2" xfId="34835"/>
    <cellStyle name="千位分隔 10 4 3" xfId="34836"/>
    <cellStyle name="千位分隔 10 7" xfId="34837"/>
    <cellStyle name="千位分隔 10 8" xfId="34838"/>
    <cellStyle name="千位分隔 10 9" xfId="34839"/>
    <cellStyle name="千位分隔 10_附注表一（财务报表）" xfId="34840"/>
    <cellStyle name="千位分隔 11" xfId="34841"/>
    <cellStyle name="千位分隔 11 10" xfId="34842"/>
    <cellStyle name="千位分隔 11 11" xfId="34843"/>
    <cellStyle name="千位分隔 11 12" xfId="34844"/>
    <cellStyle name="千位分隔 11 13" xfId="34845"/>
    <cellStyle name="千位分隔 11 14" xfId="34846"/>
    <cellStyle name="千位分隔 11 15" xfId="34847"/>
    <cellStyle name="千位分隔 11 16" xfId="34848"/>
    <cellStyle name="千位分隔 11 17" xfId="34849"/>
    <cellStyle name="千位分隔 11 18" xfId="34850"/>
    <cellStyle name="千位分隔 11 19" xfId="34851"/>
    <cellStyle name="千位分隔 11 2" xfId="34852"/>
    <cellStyle name="千位分隔 11 2 2" xfId="34853"/>
    <cellStyle name="千位分隔 11 2 3" xfId="34854"/>
    <cellStyle name="千位分隔 11 2 4" xfId="34855"/>
    <cellStyle name="千位分隔 11 2 5" xfId="34856"/>
    <cellStyle name="千位分隔 11 2 6" xfId="34857"/>
    <cellStyle name="千位分隔 11 3" xfId="34858"/>
    <cellStyle name="千位分隔 11 3 2" xfId="34859"/>
    <cellStyle name="千位分隔 11 3 3" xfId="34860"/>
    <cellStyle name="千位分隔 11 3 4" xfId="34861"/>
    <cellStyle name="千位分隔 11 4" xfId="34862"/>
    <cellStyle name="千位分隔 11 4 2" xfId="34863"/>
    <cellStyle name="千位分隔 11 5" xfId="34864"/>
    <cellStyle name="千位分隔 11 6" xfId="34865"/>
    <cellStyle name="千位分隔 11 7" xfId="34866"/>
    <cellStyle name="千位分隔 11 8" xfId="34867"/>
    <cellStyle name="千位分隔 11 9" xfId="34868"/>
    <cellStyle name="千位分隔 12" xfId="34869"/>
    <cellStyle name="千位分隔 12 10" xfId="34870"/>
    <cellStyle name="千位分隔 12 11" xfId="34871"/>
    <cellStyle name="千位分隔 12 12" xfId="34872"/>
    <cellStyle name="千位分隔 12 13" xfId="34873"/>
    <cellStyle name="千位分隔 12 14" xfId="34874"/>
    <cellStyle name="千位分隔 12 2" xfId="34875"/>
    <cellStyle name="千位分隔 12 2 2" xfId="34876"/>
    <cellStyle name="千位分隔 12 2 2 2" xfId="34877"/>
    <cellStyle name="千位分隔 12 2 2 3" xfId="34878"/>
    <cellStyle name="千位分隔 12 2 2 4" xfId="34879"/>
    <cellStyle name="千位分隔 12 2 2 5" xfId="34880"/>
    <cellStyle name="千位分隔 12 2 3" xfId="34881"/>
    <cellStyle name="千位分隔 12 2 4" xfId="34882"/>
    <cellStyle name="千位分隔 12 3" xfId="34883"/>
    <cellStyle name="千位分隔 12 3 2" xfId="34884"/>
    <cellStyle name="千位分隔 12 3 3" xfId="34885"/>
    <cellStyle name="千位分隔 12 3 4" xfId="34886"/>
    <cellStyle name="千位分隔 12 4" xfId="34887"/>
    <cellStyle name="千位分隔 12 4 2" xfId="34888"/>
    <cellStyle name="千位分隔 12 5" xfId="34889"/>
    <cellStyle name="千位分隔 12 7" xfId="34890"/>
    <cellStyle name="千位分隔 12 8" xfId="34891"/>
    <cellStyle name="千位分隔 12 9" xfId="34892"/>
    <cellStyle name="千位分隔 13" xfId="34893"/>
    <cellStyle name="千位分隔 13 10" xfId="34894"/>
    <cellStyle name="千位分隔 13 11" xfId="34895"/>
    <cellStyle name="千位分隔 13 12" xfId="34896"/>
    <cellStyle name="千位分隔 13 13" xfId="34897"/>
    <cellStyle name="千位分隔 4 37" xfId="34898"/>
    <cellStyle name="千位分隔 13 2" xfId="34899"/>
    <cellStyle name="千位分隔 13 2 2" xfId="34900"/>
    <cellStyle name="千位分隔 13 2 3" xfId="34901"/>
    <cellStyle name="千位分隔 13 2 4" xfId="34902"/>
    <cellStyle name="千位分隔 13 2 5" xfId="34903"/>
    <cellStyle name="千位分隔 4 38" xfId="34904"/>
    <cellStyle name="千位分隔 13 3" xfId="34905"/>
    <cellStyle name="千位分隔 4 39" xfId="34906"/>
    <cellStyle name="千位分隔 13 4" xfId="34907"/>
    <cellStyle name="千位分隔 13 5" xfId="34908"/>
    <cellStyle name="千位分隔 13 6" xfId="34909"/>
    <cellStyle name="千位分隔 13 7" xfId="34910"/>
    <cellStyle name="千位分隔 13 8" xfId="34911"/>
    <cellStyle name="千位分隔 13 9" xfId="34912"/>
    <cellStyle name="千位分隔 13_附注表一（财务报表）" xfId="34913"/>
    <cellStyle name="千位分隔 14" xfId="34914"/>
    <cellStyle name="千位分隔 14 10" xfId="34915"/>
    <cellStyle name="千位分隔 14 11" xfId="34916"/>
    <cellStyle name="千位分隔 14 12" xfId="34917"/>
    <cellStyle name="千位分隔 14 13" xfId="34918"/>
    <cellStyle name="千位分隔 14 2" xfId="34919"/>
    <cellStyle name="千位分隔 14 2 2" xfId="34920"/>
    <cellStyle name="千位分隔 14 2 3" xfId="34921"/>
    <cellStyle name="千位分隔 14 2 5" xfId="34922"/>
    <cellStyle name="千位分隔 14 3" xfId="34923"/>
    <cellStyle name="千位分隔 14 4" xfId="34924"/>
    <cellStyle name="千位分隔 14 5" xfId="34925"/>
    <cellStyle name="千位分隔 14 6" xfId="34926"/>
    <cellStyle name="千位分隔 14 7" xfId="34927"/>
    <cellStyle name="千位分隔 14 9" xfId="34928"/>
    <cellStyle name="千位分隔 14_附注表一（财务报表）" xfId="34929"/>
    <cellStyle name="千位分隔 20" xfId="34930"/>
    <cellStyle name="千位分隔 15" xfId="34931"/>
    <cellStyle name="千位分隔 15 10" xfId="34932"/>
    <cellStyle name="千位分隔 15 11" xfId="34933"/>
    <cellStyle name="千位分隔 15 12" xfId="34934"/>
    <cellStyle name="千位分隔 20 2" xfId="34935"/>
    <cellStyle name="千位分隔 15 2" xfId="34936"/>
    <cellStyle name="千位分隔 15 2 3" xfId="34937"/>
    <cellStyle name="千位分隔 15 2 4" xfId="34938"/>
    <cellStyle name="千位分隔 15 2 5" xfId="34939"/>
    <cellStyle name="千位分隔 15 3" xfId="34940"/>
    <cellStyle name="千位分隔 15 4" xfId="34941"/>
    <cellStyle name="千位分隔 15 5" xfId="34942"/>
    <cellStyle name="千位分隔 15 6" xfId="34943"/>
    <cellStyle name="千位分隔 15 7" xfId="34944"/>
    <cellStyle name="千位分隔 15 8" xfId="34945"/>
    <cellStyle name="千位分隔 15 9" xfId="34946"/>
    <cellStyle name="千位分隔 15_附注表一（财务报表）" xfId="34947"/>
    <cellStyle name="千位分隔 21" xfId="34948"/>
    <cellStyle name="千位分隔 16" xfId="34949"/>
    <cellStyle name="千位分隔 21 2" xfId="34950"/>
    <cellStyle name="千位分隔 16 2" xfId="34951"/>
    <cellStyle name="千位分隔 21 2 2" xfId="34952"/>
    <cellStyle name="千位分隔 16 2 2" xfId="34953"/>
    <cellStyle name="千位分隔 21 2 3" xfId="34954"/>
    <cellStyle name="千位分隔 16 2 3" xfId="34955"/>
    <cellStyle name="千位分隔 21 2 4" xfId="34956"/>
    <cellStyle name="千位分隔 16 2 4" xfId="34957"/>
    <cellStyle name="千位分隔 21 2 5" xfId="34958"/>
    <cellStyle name="千位分隔 16 2 5" xfId="34959"/>
    <cellStyle name="千位分隔 21 3" xfId="34960"/>
    <cellStyle name="千位分隔 16 3" xfId="34961"/>
    <cellStyle name="千位分隔 21_附注表一（财务报表）" xfId="34962"/>
    <cellStyle name="千位分隔 16_附注表一（财务报表）" xfId="34963"/>
    <cellStyle name="千位分隔 22" xfId="34964"/>
    <cellStyle name="千位分隔 17" xfId="34965"/>
    <cellStyle name="千位分隔 22 2" xfId="34966"/>
    <cellStyle name="千位分隔 17 2" xfId="34967"/>
    <cellStyle name="千位分隔 22 2 2" xfId="34968"/>
    <cellStyle name="千位分隔 17 2 2" xfId="34969"/>
    <cellStyle name="千位分隔 22 2 3" xfId="34970"/>
    <cellStyle name="千位分隔 17 2 3" xfId="34971"/>
    <cellStyle name="千位分隔 22 2 4" xfId="34972"/>
    <cellStyle name="千位分隔 17 2 4" xfId="34973"/>
    <cellStyle name="千位分隔 22 2 5" xfId="34974"/>
    <cellStyle name="千位分隔 17 2 5" xfId="34975"/>
    <cellStyle name="千位分隔 22 3" xfId="34976"/>
    <cellStyle name="千位分隔 17 3" xfId="34977"/>
    <cellStyle name="千位分隔 17 4" xfId="34978"/>
    <cellStyle name="千位分隔 17 5" xfId="34979"/>
    <cellStyle name="千位分隔 17 6" xfId="34980"/>
    <cellStyle name="千位分隔 23" xfId="34981"/>
    <cellStyle name="千位分隔 18" xfId="34982"/>
    <cellStyle name="千位分隔 18 10" xfId="34983"/>
    <cellStyle name="千位分隔 18 11" xfId="34984"/>
    <cellStyle name="千位分隔 18 12" xfId="34985"/>
    <cellStyle name="千位分隔 18 13" xfId="34986"/>
    <cellStyle name="千位分隔 18 14" xfId="34987"/>
    <cellStyle name="千位分隔 18 15" xfId="34988"/>
    <cellStyle name="千位分隔 18 2" xfId="34989"/>
    <cellStyle name="千位分隔 18 2 10" xfId="34990"/>
    <cellStyle name="千位分隔 18 2 11" xfId="34991"/>
    <cellStyle name="千位分隔 18 2 12" xfId="34992"/>
    <cellStyle name="千位分隔 18 2 2" xfId="34993"/>
    <cellStyle name="千位分隔 18 2 3" xfId="34994"/>
    <cellStyle name="千位分隔 18 2 4" xfId="34995"/>
    <cellStyle name="千位分隔 18 2 5" xfId="34996"/>
    <cellStyle name="千位分隔 18 2 6" xfId="34997"/>
    <cellStyle name="千位分隔 18 2 7" xfId="34998"/>
    <cellStyle name="千位分隔 18 2 8" xfId="34999"/>
    <cellStyle name="千位分隔 18 2 9" xfId="35000"/>
    <cellStyle name="千位分隔 18 6" xfId="35001"/>
    <cellStyle name="千位分隔 18 7" xfId="35002"/>
    <cellStyle name="千位分隔 18 8" xfId="35003"/>
    <cellStyle name="千位分隔 18 9" xfId="35004"/>
    <cellStyle name="千位分隔 24" xfId="35005"/>
    <cellStyle name="千位分隔 19" xfId="35006"/>
    <cellStyle name="千位分隔 19 2" xfId="35007"/>
    <cellStyle name="千位分隔 2" xfId="35008"/>
    <cellStyle name="千位分隔 2 10" xfId="35009"/>
    <cellStyle name="千位分隔 2 10 2" xfId="35010"/>
    <cellStyle name="千位分隔 2 10 2 2" xfId="35011"/>
    <cellStyle name="千位分隔 2 10 2 2 2" xfId="35012"/>
    <cellStyle name="千位分隔 2 10 2 3" xfId="35013"/>
    <cellStyle name="千位分隔 2 10 2 4" xfId="35014"/>
    <cellStyle name="千位分隔 2 10 3" xfId="35015"/>
    <cellStyle name="千位分隔 2 10 3 2" xfId="35016"/>
    <cellStyle name="千位分隔 2 10 3 3" xfId="35017"/>
    <cellStyle name="千位分隔 2 10 4" xfId="35018"/>
    <cellStyle name="千位分隔 2 10 5" xfId="35019"/>
    <cellStyle name="千位分隔 2 11" xfId="35020"/>
    <cellStyle name="千位分隔 2 11 2" xfId="35021"/>
    <cellStyle name="千位分隔 2 11 2 2" xfId="35022"/>
    <cellStyle name="千位分隔 2 11 2 3" xfId="35023"/>
    <cellStyle name="千位分隔 2 11 2 4" xfId="35024"/>
    <cellStyle name="千位分隔 2 11 2 5" xfId="35025"/>
    <cellStyle name="千位分隔 2 11 3" xfId="35026"/>
    <cellStyle name="千位分隔 2 11 3 2" xfId="35027"/>
    <cellStyle name="千位分隔 2 11 3 3" xfId="35028"/>
    <cellStyle name="千位分隔 2 11 4" xfId="35029"/>
    <cellStyle name="千位分隔 2 11 5" xfId="35030"/>
    <cellStyle name="千位分隔 2 11_附注表一（财务报表）" xfId="35031"/>
    <cellStyle name="千位分隔 2 12" xfId="35032"/>
    <cellStyle name="千位分隔 2 12 2" xfId="35033"/>
    <cellStyle name="千位分隔 2 12 2 2" xfId="35034"/>
    <cellStyle name="千位分隔 2 12 2 3" xfId="35035"/>
    <cellStyle name="千位分隔 2 12 2 4" xfId="35036"/>
    <cellStyle name="千位分隔 2 12 2 5" xfId="35037"/>
    <cellStyle name="千位分隔 2 12 3" xfId="35038"/>
    <cellStyle name="千位分隔 2 12 3 2" xfId="35039"/>
    <cellStyle name="千位分隔 2 12 3 3" xfId="35040"/>
    <cellStyle name="千位分隔 2 12 4" xfId="35041"/>
    <cellStyle name="千位分隔 2 12 5" xfId="35042"/>
    <cellStyle name="千位分隔 2 12_附注表一（财务报表）" xfId="35043"/>
    <cellStyle name="千位分隔 2 13" xfId="35044"/>
    <cellStyle name="千位分隔 2 13 2" xfId="35045"/>
    <cellStyle name="千位分隔 2 13 2 2" xfId="35046"/>
    <cellStyle name="千位分隔 2 13 2 3" xfId="35047"/>
    <cellStyle name="千位分隔 2 13 2 4" xfId="35048"/>
    <cellStyle name="千位分隔 2 13 2 5" xfId="35049"/>
    <cellStyle name="千位分隔 2 13 3" xfId="35050"/>
    <cellStyle name="千位分隔 2 13 3 2" xfId="35051"/>
    <cellStyle name="千位分隔 2 13 3 3" xfId="35052"/>
    <cellStyle name="千位分隔 2 13 4" xfId="35053"/>
    <cellStyle name="千位分隔 2 13 5" xfId="35054"/>
    <cellStyle name="千位分隔 2 13_附注表一（财务报表）" xfId="35055"/>
    <cellStyle name="千位分隔 2 14" xfId="35056"/>
    <cellStyle name="千位分隔 2 14 2 2" xfId="35057"/>
    <cellStyle name="千位分隔 2 14 2 3" xfId="35058"/>
    <cellStyle name="千位分隔 2 14 2 4" xfId="35059"/>
    <cellStyle name="千位分隔 2 14 2 5" xfId="35060"/>
    <cellStyle name="千位分隔 2 14 3" xfId="35061"/>
    <cellStyle name="千位分隔 2 14 4" xfId="35062"/>
    <cellStyle name="千位分隔 2 14_附注表一（财务报表）" xfId="35063"/>
    <cellStyle name="千位分隔 2 20" xfId="35064"/>
    <cellStyle name="千位分隔 2 15" xfId="35065"/>
    <cellStyle name="千位分隔 2 20 2" xfId="35066"/>
    <cellStyle name="千位分隔 2 15 2" xfId="35067"/>
    <cellStyle name="千位分隔 2 20 2 2" xfId="35068"/>
    <cellStyle name="千位分隔 2 15 2 2" xfId="35069"/>
    <cellStyle name="千位分隔 2 20 2 3" xfId="35070"/>
    <cellStyle name="千位分隔 2 15 2 3" xfId="35071"/>
    <cellStyle name="千位分隔 2 20 2 4" xfId="35072"/>
    <cellStyle name="千位分隔 2 15 2 4" xfId="35073"/>
    <cellStyle name="千位分隔 2 20 2 5" xfId="35074"/>
    <cellStyle name="千位分隔 2 15 2 5" xfId="35075"/>
    <cellStyle name="千位分隔 2 20 3" xfId="35076"/>
    <cellStyle name="千位分隔 2 15 3" xfId="35077"/>
    <cellStyle name="千位分隔 2 20_附注表一（财务报表）" xfId="35078"/>
    <cellStyle name="千位分隔 2 15_附注表一（财务报表）" xfId="35079"/>
    <cellStyle name="千位分隔 2 21" xfId="35080"/>
    <cellStyle name="千位分隔 2 16" xfId="35081"/>
    <cellStyle name="千位分隔 2 21 2" xfId="35082"/>
    <cellStyle name="千位分隔 2 16 2" xfId="35083"/>
    <cellStyle name="千位分隔 2 21 2 2" xfId="35084"/>
    <cellStyle name="千位分隔 2 16 2 2" xfId="35085"/>
    <cellStyle name="千位分隔 2 21 2 3" xfId="35086"/>
    <cellStyle name="千位分隔 2 16 2 3" xfId="35087"/>
    <cellStyle name="千位分隔 2 21 2 4" xfId="35088"/>
    <cellStyle name="千位分隔 2 16 2 4" xfId="35089"/>
    <cellStyle name="千位分隔 2 21 2 5" xfId="35090"/>
    <cellStyle name="千位分隔 2 16 2 5" xfId="35091"/>
    <cellStyle name="千位分隔 2 21 3" xfId="35092"/>
    <cellStyle name="千位分隔 2 16 3" xfId="35093"/>
    <cellStyle name="千位分隔 2 21_附注表一（财务报表）" xfId="35094"/>
    <cellStyle name="千位分隔 2 16_附注表一（财务报表）" xfId="35095"/>
    <cellStyle name="千位分隔 2 22" xfId="35096"/>
    <cellStyle name="千位分隔 2 17" xfId="35097"/>
    <cellStyle name="千位分隔 2 22 2" xfId="35098"/>
    <cellStyle name="千位分隔 2 17 2" xfId="35099"/>
    <cellStyle name="千位分隔 2 22 2 2" xfId="35100"/>
    <cellStyle name="千位分隔 2 17 2 2" xfId="35101"/>
    <cellStyle name="千位分隔 2 22 2 3" xfId="35102"/>
    <cellStyle name="千位分隔 2 17 2 3" xfId="35103"/>
    <cellStyle name="千位分隔 2 22 2 4" xfId="35104"/>
    <cellStyle name="千位分隔 2 17 2 4" xfId="35105"/>
    <cellStyle name="千位分隔 2 22 2 5" xfId="35106"/>
    <cellStyle name="千位分隔 2 17 2 5" xfId="35107"/>
    <cellStyle name="千位分隔 2 22 3" xfId="35108"/>
    <cellStyle name="千位分隔 2 17 3" xfId="35109"/>
    <cellStyle name="千位分隔 2 22_附注表一（财务报表）" xfId="35110"/>
    <cellStyle name="千位分隔 2 17_附注表一（财务报表）" xfId="35111"/>
    <cellStyle name="千位分隔 2 23" xfId="35112"/>
    <cellStyle name="千位分隔 2 18" xfId="35113"/>
    <cellStyle name="千位分隔 2 23 2" xfId="35114"/>
    <cellStyle name="千位分隔 2 18 2" xfId="35115"/>
    <cellStyle name="千位分隔 2 23 2 2" xfId="35116"/>
    <cellStyle name="千位分隔 2 18 2 2" xfId="35117"/>
    <cellStyle name="千位分隔 2 23 2 3" xfId="35118"/>
    <cellStyle name="千位分隔 2 18 2 3" xfId="35119"/>
    <cellStyle name="千位分隔 2 23 2 4" xfId="35120"/>
    <cellStyle name="千位分隔 2 18 2 4" xfId="35121"/>
    <cellStyle name="千位分隔 2 23 2 5" xfId="35122"/>
    <cellStyle name="千位分隔 2 18 2 5" xfId="35123"/>
    <cellStyle name="千位分隔 2 23 3" xfId="35124"/>
    <cellStyle name="千位分隔 2 18 3" xfId="35125"/>
    <cellStyle name="千位分隔 2 23_附注表一（财务报表）" xfId="35126"/>
    <cellStyle name="千位分隔 2 18_附注表一（财务报表）" xfId="35127"/>
    <cellStyle name="千位分隔 2 24" xfId="35128"/>
    <cellStyle name="千位分隔 2 19" xfId="35129"/>
    <cellStyle name="千位分隔 2 24 2" xfId="35130"/>
    <cellStyle name="千位分隔 2 19 2" xfId="35131"/>
    <cellStyle name="千位分隔 2 24 2 2" xfId="35132"/>
    <cellStyle name="千位分隔 2 19 2 2" xfId="35133"/>
    <cellStyle name="千位分隔 2 24 2 3" xfId="35134"/>
    <cellStyle name="千位分隔 2 19 2 3" xfId="35135"/>
    <cellStyle name="千位分隔 2 24 2 5" xfId="35136"/>
    <cellStyle name="千位分隔 2 19 2 5" xfId="35137"/>
    <cellStyle name="千位分隔 2 24 3" xfId="35138"/>
    <cellStyle name="千位分隔 2 19 3" xfId="35139"/>
    <cellStyle name="千位分隔 2 24_附注表一（财务报表）" xfId="35140"/>
    <cellStyle name="千位分隔 2 19_附注表一（财务报表）" xfId="35141"/>
    <cellStyle name="千位分隔 2 2" xfId="35142"/>
    <cellStyle name="千位分隔 2 2 10" xfId="35143"/>
    <cellStyle name="千位分隔 2 2 10 2" xfId="35144"/>
    <cellStyle name="千位分隔 2 2 10 2 2" xfId="35145"/>
    <cellStyle name="千位分隔 2 2 10 2 3" xfId="35146"/>
    <cellStyle name="千位分隔 2 2 10 2 4" xfId="35147"/>
    <cellStyle name="千位分隔 2 2 10 2 5" xfId="35148"/>
    <cellStyle name="千位分隔 2 2 10 3" xfId="35149"/>
    <cellStyle name="千位分隔 2 2 10 3 2" xfId="35150"/>
    <cellStyle name="千位分隔 2 2 10 3 3" xfId="35151"/>
    <cellStyle name="千位分隔 2 2 10 4" xfId="35152"/>
    <cellStyle name="千位分隔 2 2 10_附注表一（财务报表）" xfId="35153"/>
    <cellStyle name="千位分隔 2 2 11" xfId="35154"/>
    <cellStyle name="千位分隔 2 2 11 2 2" xfId="35155"/>
    <cellStyle name="千位分隔 2 2 11 2 3" xfId="35156"/>
    <cellStyle name="千位分隔 2 2 11 2 4" xfId="35157"/>
    <cellStyle name="千位分隔 2 2 11 2 5" xfId="35158"/>
    <cellStyle name="千位分隔 2 2 11_附注表一（财务报表）" xfId="35159"/>
    <cellStyle name="千位分隔 2 2 12" xfId="35160"/>
    <cellStyle name="千位分隔 2 2 12 2" xfId="35161"/>
    <cellStyle name="千位分隔 2 2 12 2 2" xfId="35162"/>
    <cellStyle name="千位分隔 2 2 12 2 3" xfId="35163"/>
    <cellStyle name="千位分隔 2 2 12 2 4" xfId="35164"/>
    <cellStyle name="千位分隔 2 2 12 2 5" xfId="35165"/>
    <cellStyle name="千位分隔 2 2 12 3" xfId="35166"/>
    <cellStyle name="千位分隔 2 2 12 4" xfId="35167"/>
    <cellStyle name="千位分隔 2 2 12_附注表一（财务报表）" xfId="35168"/>
    <cellStyle name="千位分隔 2 2 13" xfId="35169"/>
    <cellStyle name="千位分隔 2 2 13 2" xfId="35170"/>
    <cellStyle name="千位分隔 2 2 13 2 2" xfId="35171"/>
    <cellStyle name="千位分隔 2 2 13 2 3" xfId="35172"/>
    <cellStyle name="千位分隔 2 2 13 2 4" xfId="35173"/>
    <cellStyle name="千位分隔 2 2 13 2 5" xfId="35174"/>
    <cellStyle name="千位分隔 2 2 13 3" xfId="35175"/>
    <cellStyle name="千位分隔 2 2 13 4" xfId="35176"/>
    <cellStyle name="千位分隔 2 2 13_附注表一（财务报表）" xfId="35177"/>
    <cellStyle name="千位分隔 2 2 14" xfId="35178"/>
    <cellStyle name="千位分隔 2 2 14 2" xfId="35179"/>
    <cellStyle name="千位分隔 2 2 14 2 3" xfId="35180"/>
    <cellStyle name="千位分隔 2 2 14 2 4" xfId="35181"/>
    <cellStyle name="千位分隔 2 2 14 2 5" xfId="35182"/>
    <cellStyle name="千位分隔 2 2 14 3" xfId="35183"/>
    <cellStyle name="千位分隔 2 2 14 4" xfId="35184"/>
    <cellStyle name="千位分隔 2 2 20" xfId="35185"/>
    <cellStyle name="千位分隔 2 2 15" xfId="35186"/>
    <cellStyle name="千位分隔 2 2 15 2" xfId="35187"/>
    <cellStyle name="千位分隔 2 2 15 2 2" xfId="35188"/>
    <cellStyle name="千位分隔 2 2 15 2 3" xfId="35189"/>
    <cellStyle name="千位分隔 2 2 15 2 4" xfId="35190"/>
    <cellStyle name="千位分隔 2 2 15 2 5" xfId="35191"/>
    <cellStyle name="千位分隔 2 2 15 3" xfId="35192"/>
    <cellStyle name="千位分隔 2 2 15 4" xfId="35193"/>
    <cellStyle name="千位分隔 2 2 15_附注表一（财务报表）" xfId="35194"/>
    <cellStyle name="千位分隔 2 2 21" xfId="35195"/>
    <cellStyle name="千位分隔 2 2 16" xfId="35196"/>
    <cellStyle name="千位分隔 2 2 21 2" xfId="35197"/>
    <cellStyle name="千位分隔 2 2 16 2" xfId="35198"/>
    <cellStyle name="千位分隔 2 2 16 2 2" xfId="35199"/>
    <cellStyle name="千位分隔 2 2 16 2 3" xfId="35200"/>
    <cellStyle name="千位分隔 2 2 16 2 4" xfId="35201"/>
    <cellStyle name="千位分隔 2 2 16 2 5" xfId="35202"/>
    <cellStyle name="千位分隔 2 2 21 3" xfId="35203"/>
    <cellStyle name="千位分隔 2 2 16 3" xfId="35204"/>
    <cellStyle name="千位分隔 2 2 16_附注表一（财务报表）" xfId="35205"/>
    <cellStyle name="千位分隔 2 2 22" xfId="35206"/>
    <cellStyle name="千位分隔 2 2 17" xfId="35207"/>
    <cellStyle name="千位分隔 2 2 17 2" xfId="35208"/>
    <cellStyle name="强调文字颜色 4 2 2 5" xfId="35209"/>
    <cellStyle name="千位分隔 2 2 17 2 2" xfId="35210"/>
    <cellStyle name="强调文字颜色 4 2 2 6" xfId="35211"/>
    <cellStyle name="千位分隔 2 2 17 2 3" xfId="35212"/>
    <cellStyle name="强调文字颜色 4 2 2 7" xfId="35213"/>
    <cellStyle name="千位分隔 2 2 17 2 4" xfId="35214"/>
    <cellStyle name="强调文字颜色 4 2 2 8" xfId="35215"/>
    <cellStyle name="千位分隔 2 2 17 2 5" xfId="35216"/>
    <cellStyle name="千位分隔 2 2 17_附注表一（财务报表）" xfId="35217"/>
    <cellStyle name="千位分隔 2 2 23" xfId="35218"/>
    <cellStyle name="千位分隔 2 2 2 9 2" xfId="35219"/>
    <cellStyle name="千位分隔 2 2 18" xfId="35220"/>
    <cellStyle name="千位分隔 2 2 24" xfId="35221"/>
    <cellStyle name="千位分隔 2 2 2 9 3" xfId="35222"/>
    <cellStyle name="千位分隔 2 2 19" xfId="35223"/>
    <cellStyle name="千位分隔 2 2 2" xfId="35224"/>
    <cellStyle name="千位分隔 2 2 2 10" xfId="35225"/>
    <cellStyle name="千位分隔 2 2 2 10 2" xfId="35226"/>
    <cellStyle name="千位分隔 2 2 2 10 2 2" xfId="35227"/>
    <cellStyle name="千位分隔 2 2 2 10 2 3" xfId="35228"/>
    <cellStyle name="千位分隔 2 2 2 10 2 4" xfId="35229"/>
    <cellStyle name="千位分隔 2 2 2 10 2 5" xfId="35230"/>
    <cellStyle name="千位分隔 2 2 2 10 3" xfId="35231"/>
    <cellStyle name="千位分隔 2 2 2 10_附注表一（财务报表）" xfId="35232"/>
    <cellStyle name="千位分隔 2 2 2 11" xfId="35233"/>
    <cellStyle name="千位分隔 2 2 2 11 2 2" xfId="35234"/>
    <cellStyle name="千位分隔 2 2 2 11 2 3" xfId="35235"/>
    <cellStyle name="千位分隔 2 2 2 11 2 4" xfId="35236"/>
    <cellStyle name="千位分隔 2 2 2 11 2 5" xfId="35237"/>
    <cellStyle name="千位分隔 2 2 2 11_附注表一（财务报表）" xfId="35238"/>
    <cellStyle name="千位分隔 2 2 2 12" xfId="35239"/>
    <cellStyle name="千位分隔 2 2 2 12 2" xfId="35240"/>
    <cellStyle name="千位分隔 2 2 2 12 2 2" xfId="35241"/>
    <cellStyle name="千位分隔 2 2 2 12 2 3" xfId="35242"/>
    <cellStyle name="千位分隔 2 2 2 12 2 4" xfId="35243"/>
    <cellStyle name="千位分隔 2 2 2 12 2 5" xfId="35244"/>
    <cellStyle name="千位分隔 2 2 2 12 3" xfId="35245"/>
    <cellStyle name="千位分隔 2 2 2 12_附注表一（财务报表）" xfId="35246"/>
    <cellStyle name="千位分隔 2 2 2 13" xfId="35247"/>
    <cellStyle name="千位分隔 2 2 2 13 2" xfId="35248"/>
    <cellStyle name="千位分隔 2 2 2 13 2 2" xfId="35249"/>
    <cellStyle name="千位分隔 2 2 2 13 2 3" xfId="35250"/>
    <cellStyle name="千位分隔 2 2 2 13 2 4" xfId="35251"/>
    <cellStyle name="千位分隔 2 2 2 13 2 5" xfId="35252"/>
    <cellStyle name="千位分隔 2 2 2 13 3" xfId="35253"/>
    <cellStyle name="千位分隔 2 2 2 13_附注表一（财务报表）" xfId="35254"/>
    <cellStyle name="千位分隔 2 2 2 14" xfId="35255"/>
    <cellStyle name="千位分隔 2 2 2 14 2" xfId="35256"/>
    <cellStyle name="千位分隔 2 2 2 14 2 2" xfId="35257"/>
    <cellStyle name="千位分隔 2 2 2 14 2 3" xfId="35258"/>
    <cellStyle name="千位分隔 2 2 2 14 2 4" xfId="35259"/>
    <cellStyle name="千位分隔 2 2 2 14 2 5" xfId="35260"/>
    <cellStyle name="千位分隔 2 2 2 14 3" xfId="35261"/>
    <cellStyle name="千位分隔 2 2 2 14_附注表一（财务报表）" xfId="35262"/>
    <cellStyle name="千位分隔 2 2 2 20" xfId="35263"/>
    <cellStyle name="千位分隔 2 2 2 15" xfId="35264"/>
    <cellStyle name="千位分隔 2 2 2 15 2" xfId="35265"/>
    <cellStyle name="千位分隔 2 2 2 15 2 2" xfId="35266"/>
    <cellStyle name="千位分隔 2 2 2 15 2 3" xfId="35267"/>
    <cellStyle name="千位分隔 2 2 2 15 2 4" xfId="35268"/>
    <cellStyle name="千位分隔 2 2 2 15 2 5" xfId="35269"/>
    <cellStyle name="千位分隔 2 2 2 15 3" xfId="35270"/>
    <cellStyle name="千位分隔 2 2 2 15 4" xfId="35271"/>
    <cellStyle name="千位分隔 2 2 2 15 5" xfId="35272"/>
    <cellStyle name="千位分隔 2 2 2 15 6" xfId="35273"/>
    <cellStyle name="千位分隔 2 2 2 15 7" xfId="35274"/>
    <cellStyle name="千位分隔 2 2 2 21" xfId="35275"/>
    <cellStyle name="千位分隔 2 2 2 16" xfId="35276"/>
    <cellStyle name="千位分隔 2 2 2 16 2" xfId="35277"/>
    <cellStyle name="千位分隔 2 2 2 16 2 2" xfId="35278"/>
    <cellStyle name="千位分隔 2 2 2 16 2 3" xfId="35279"/>
    <cellStyle name="千位分隔 2 2 2 16 2 4" xfId="35280"/>
    <cellStyle name="千位分隔 2 2 2 16 2 5" xfId="35281"/>
    <cellStyle name="千位分隔 2 2 2 16 3" xfId="35282"/>
    <cellStyle name="千位分隔 2 2 2 16 4" xfId="35283"/>
    <cellStyle name="千位分隔 2 2 2 16 5" xfId="35284"/>
    <cellStyle name="千位分隔 2 2 2 16 6" xfId="35285"/>
    <cellStyle name="千位分隔 2 2 2 16 7" xfId="35286"/>
    <cellStyle name="千位分隔 2 2 2 22" xfId="35287"/>
    <cellStyle name="千位分隔 2 2 2 17" xfId="35288"/>
    <cellStyle name="千位分隔 2 2 2 17 2" xfId="35289"/>
    <cellStyle name="千位分隔 2 2 2 17 3" xfId="35290"/>
    <cellStyle name="千位分隔 2 2 2 17 4" xfId="35291"/>
    <cellStyle name="千位分隔 2 2 2 17 5" xfId="35292"/>
    <cellStyle name="千位分隔 2 2 2 23" xfId="35293"/>
    <cellStyle name="千位分隔 2 2 2 18" xfId="35294"/>
    <cellStyle name="千位分隔 2 2 2 24" xfId="35295"/>
    <cellStyle name="千位分隔 2 2 2 19" xfId="35296"/>
    <cellStyle name="千位分隔 2 2 2 2" xfId="35297"/>
    <cellStyle name="千位分隔 2 2 2 2 2" xfId="35298"/>
    <cellStyle name="千位分隔 2 2 2 2 2 2" xfId="35299"/>
    <cellStyle name="千位分隔 2 2 2 2 2 2 2" xfId="35300"/>
    <cellStyle name="千位分隔 2 2 2 2 2 2 3" xfId="35301"/>
    <cellStyle name="千位分隔 2 2 2 2 2 3" xfId="35302"/>
    <cellStyle name="千位分隔 2 2 2 2 2 4" xfId="35303"/>
    <cellStyle name="千位分隔 2 2 2 2 2 5" xfId="35304"/>
    <cellStyle name="千位分隔 2 2 2 2 2 6" xfId="35305"/>
    <cellStyle name="千位分隔 2 2 2 2 3" xfId="35306"/>
    <cellStyle name="千位分隔 2 2 2 2 3 2" xfId="35307"/>
    <cellStyle name="千位分隔 2 2 2 2 3 3" xfId="35308"/>
    <cellStyle name="千位分隔 2 2 2 2 4" xfId="35309"/>
    <cellStyle name="千位分隔 2 2 2 2 4 2" xfId="35310"/>
    <cellStyle name="千位分隔 2 2 2 2 5" xfId="35311"/>
    <cellStyle name="千位分隔 2 2 2 2 6" xfId="35312"/>
    <cellStyle name="千位分隔 2 2 2 2 7" xfId="35313"/>
    <cellStyle name="千位分隔 2 2 2 2 8" xfId="35314"/>
    <cellStyle name="千位分隔 2 2 2 2_附注表一（财务报表）" xfId="35315"/>
    <cellStyle name="千位分隔 2 2 2 3" xfId="35316"/>
    <cellStyle name="千位分隔 2 2 2 3 2" xfId="35317"/>
    <cellStyle name="千位分隔 2 2 2 3 2 2" xfId="35318"/>
    <cellStyle name="千位分隔 2 2 2 3 2 2 2" xfId="35319"/>
    <cellStyle name="千位分隔 2 2 2 3 2 3" xfId="35320"/>
    <cellStyle name="千位分隔 2 2 2 3 2 4" xfId="35321"/>
    <cellStyle name="千位分隔 2 2 2 3 2 5" xfId="35322"/>
    <cellStyle name="千位分隔 2 2 2 3 3" xfId="35323"/>
    <cellStyle name="千位分隔 2 2 2 3 3 2" xfId="35324"/>
    <cellStyle name="千位分隔 2 2 2 3 3 3" xfId="35325"/>
    <cellStyle name="千位分隔 2 2 2 3 4" xfId="35326"/>
    <cellStyle name="千位分隔 2 2 2 3 5" xfId="35327"/>
    <cellStyle name="千位分隔 2 2 2 3_附注表一（财务报表）" xfId="35328"/>
    <cellStyle name="千位分隔 2 2 2 4" xfId="35329"/>
    <cellStyle name="千位分隔 2 2 2 4 2" xfId="35330"/>
    <cellStyle name="千位分隔 2 2 2 4 2 2" xfId="35331"/>
    <cellStyle name="千位分隔 2 2 2 4 2 3" xfId="35332"/>
    <cellStyle name="千位分隔 2 2 2 4 2 4" xfId="35333"/>
    <cellStyle name="千位分隔 2 2 2 4 2 5" xfId="35334"/>
    <cellStyle name="千位分隔 2 2 2 4 3" xfId="35335"/>
    <cellStyle name="千位分隔 2 2 2 4 3 2" xfId="35336"/>
    <cellStyle name="千位分隔 2 2 2 4 4" xfId="35337"/>
    <cellStyle name="千位分隔 2 2 2 4_附注表一（财务报表）" xfId="35338"/>
    <cellStyle name="千位分隔 2 2 2 5" xfId="35339"/>
    <cellStyle name="千位分隔 2 2 2 5 2 2" xfId="35340"/>
    <cellStyle name="千位分隔 2 2 2 5 2 3" xfId="35341"/>
    <cellStyle name="千位分隔 2 2 2 5 2 4" xfId="35342"/>
    <cellStyle name="千位分隔 2 2 2 5 2 5" xfId="35343"/>
    <cellStyle name="千位分隔 2 2 2 5 4" xfId="35344"/>
    <cellStyle name="千位分隔 2 2 2 5_附注表一（财务报表）" xfId="35345"/>
    <cellStyle name="千位分隔 2 2 2 6" xfId="35346"/>
    <cellStyle name="千位分隔 2 2 2 6 2" xfId="35347"/>
    <cellStyle name="千位分隔 2 2 2 6 2 2" xfId="35348"/>
    <cellStyle name="千位分隔 2 2 2 6 2 3" xfId="35349"/>
    <cellStyle name="千位分隔 2 2 2 6 2 4" xfId="35350"/>
    <cellStyle name="千位分隔 2 2 2 6 3" xfId="35351"/>
    <cellStyle name="千位分隔 2 2 2 6 3 2" xfId="35352"/>
    <cellStyle name="千位分隔 2 2 2 6 4" xfId="35353"/>
    <cellStyle name="千位分隔 2 2 2 6_附注表一（财务报表）" xfId="35354"/>
    <cellStyle name="千位分隔 2 2 2 7" xfId="35355"/>
    <cellStyle name="千位分隔 2 2 2 7 2" xfId="35356"/>
    <cellStyle name="千位分隔 2 2 2 7 2 2" xfId="35357"/>
    <cellStyle name="千位分隔 2 2 2 7 2 3" xfId="35358"/>
    <cellStyle name="千位分隔 2 2 2 7 2 4" xfId="35359"/>
    <cellStyle name="千位分隔 2 2 2 7 2 5" xfId="35360"/>
    <cellStyle name="千位分隔 2 2 2 7 3" xfId="35361"/>
    <cellStyle name="千位分隔 2 2 2 7 4" xfId="35362"/>
    <cellStyle name="千位分隔 2 2 2 7_附注表一（财务报表）" xfId="35363"/>
    <cellStyle name="千位分隔 2 2 2 8" xfId="35364"/>
    <cellStyle name="千位分隔 2 2 2 8 2" xfId="35365"/>
    <cellStyle name="千位分隔 2 2 2 8 2 2" xfId="35366"/>
    <cellStyle name="千位分隔 2 2 2 8 2 3" xfId="35367"/>
    <cellStyle name="千位分隔 2 2 2 8 3" xfId="35368"/>
    <cellStyle name="千位分隔 2 2 2 8 4" xfId="35369"/>
    <cellStyle name="千位分隔 2 2 2 8_附注表一（财务报表）" xfId="35370"/>
    <cellStyle name="千位分隔 2 2 2 9" xfId="35371"/>
    <cellStyle name="千位分隔 2 2 2 9 2 2" xfId="35372"/>
    <cellStyle name="千位分隔 2 2 2 9 2 3" xfId="35373"/>
    <cellStyle name="千位分隔 2 2 2 9 2 4" xfId="35374"/>
    <cellStyle name="千位分隔 2 2 2 9 2 5" xfId="35375"/>
    <cellStyle name="千位分隔 2 2 2_附注表一（财务报表）" xfId="35376"/>
    <cellStyle name="千位分隔 2 2 21 4" xfId="35377"/>
    <cellStyle name="千位分隔 2 2 21 5" xfId="35378"/>
    <cellStyle name="千位分隔 2 2 30" xfId="35379"/>
    <cellStyle name="千位分隔 2 2 25" xfId="35380"/>
    <cellStyle name="千位分隔 2 2 31" xfId="35381"/>
    <cellStyle name="千位分隔 2 2 26" xfId="35382"/>
    <cellStyle name="千位分隔 2 2 32" xfId="35383"/>
    <cellStyle name="千位分隔 2 2 27" xfId="35384"/>
    <cellStyle name="千位分隔 2 2 33" xfId="35385"/>
    <cellStyle name="千位分隔 2 2 28" xfId="35386"/>
    <cellStyle name="千位分隔 2 2 34" xfId="35387"/>
    <cellStyle name="千位分隔 2 2 29" xfId="35388"/>
    <cellStyle name="千位分隔 2 2 3" xfId="35389"/>
    <cellStyle name="千位分隔 2 2 3 10" xfId="35390"/>
    <cellStyle name="千位分隔 2 2 3 11" xfId="35391"/>
    <cellStyle name="千位分隔 2 2 3 2" xfId="35392"/>
    <cellStyle name="千位分隔 2 2 3 2 2" xfId="35393"/>
    <cellStyle name="千位分隔 2 2 3 2 2 2" xfId="35394"/>
    <cellStyle name="千位分隔 2 2 3 2 2 3" xfId="35395"/>
    <cellStyle name="千位分隔 2 2 3 2 3" xfId="35396"/>
    <cellStyle name="千位分隔 2 2 3 2 4" xfId="35397"/>
    <cellStyle name="千位分隔 2 2 3 2 5" xfId="35398"/>
    <cellStyle name="千位分隔 2 2 3 2 6" xfId="35399"/>
    <cellStyle name="千位分隔 2 2 3 3" xfId="35400"/>
    <cellStyle name="千位分隔 2 2 3 3 2" xfId="35401"/>
    <cellStyle name="千位分隔 2 2 3 3 2 2" xfId="35402"/>
    <cellStyle name="千位分隔 2 2 3 3 3" xfId="35403"/>
    <cellStyle name="千位分隔 2 2 3 4" xfId="35404"/>
    <cellStyle name="千位分隔 2 2 3 4 2" xfId="35405"/>
    <cellStyle name="千位分隔 2 2 3 5" xfId="35406"/>
    <cellStyle name="千位分隔 2 2 3 6" xfId="35407"/>
    <cellStyle name="千位分隔 2 2 3 7" xfId="35408"/>
    <cellStyle name="千位分隔 2 2 3 8" xfId="35409"/>
    <cellStyle name="千位分隔 2 2 3 9" xfId="35410"/>
    <cellStyle name="千位分隔 2 2 3_附注表一（财务报表）" xfId="35411"/>
    <cellStyle name="千位分隔 2 2 4 2" xfId="35412"/>
    <cellStyle name="千位分隔 2 2 4 2 2" xfId="35413"/>
    <cellStyle name="千位分隔 2 2 4 2 2 2" xfId="35414"/>
    <cellStyle name="千位分隔 2 2 4 2 3" xfId="35415"/>
    <cellStyle name="千位分隔 2 2 4 2 4" xfId="35416"/>
    <cellStyle name="千位分隔 2 2 4 2 5" xfId="35417"/>
    <cellStyle name="千位分隔 2 2 4 2 6" xfId="35418"/>
    <cellStyle name="千位分隔 2 2 4 3" xfId="35419"/>
    <cellStyle name="千位分隔 2 2 4 3 2" xfId="35420"/>
    <cellStyle name="千位分隔 2 2 4 3 2 2" xfId="35421"/>
    <cellStyle name="千位分隔 2 2 4 3 3" xfId="35422"/>
    <cellStyle name="千位分隔 2 2 4 4" xfId="35423"/>
    <cellStyle name="千位分隔 2 2 4 4 2" xfId="35424"/>
    <cellStyle name="千位分隔 2 2 4 5" xfId="35425"/>
    <cellStyle name="千位分隔 2 2 4 5 2" xfId="35426"/>
    <cellStyle name="千位分隔 2 2 4_附注表一（财务报表）" xfId="35427"/>
    <cellStyle name="千位分隔 2 2 5" xfId="35428"/>
    <cellStyle name="千位分隔 2 2 5 2" xfId="35429"/>
    <cellStyle name="千位分隔 2 2 5 2 2" xfId="35430"/>
    <cellStyle name="千位分隔 2 2 5 2 2 2" xfId="35431"/>
    <cellStyle name="千位分隔 2 2 5 2 3" xfId="35432"/>
    <cellStyle name="千位分隔 2 2 5 2 4" xfId="35433"/>
    <cellStyle name="千位分隔 2 2 5 2 5" xfId="35434"/>
    <cellStyle name="千位分隔 2 2 5 2 6" xfId="35435"/>
    <cellStyle name="千位分隔 2 2 5 3" xfId="35436"/>
    <cellStyle name="千位分隔 2 2 5 3 2" xfId="35437"/>
    <cellStyle name="千位分隔 2 2 5 3 2 2" xfId="35438"/>
    <cellStyle name="千位分隔 2 2 5 3 3" xfId="35439"/>
    <cellStyle name="千位分隔 2 2 5 4" xfId="35440"/>
    <cellStyle name="千位分隔 2 2 5 4 2" xfId="35441"/>
    <cellStyle name="千位分隔 2 2 5 5" xfId="35442"/>
    <cellStyle name="千位分隔 2 2 5 5 2" xfId="35443"/>
    <cellStyle name="千位分隔 2 2 5 6" xfId="35444"/>
    <cellStyle name="千位分隔 2 2 5 7" xfId="35445"/>
    <cellStyle name="千位分隔 2 2 5_附注表一（财务报表）" xfId="35446"/>
    <cellStyle name="千位分隔 2 2 6" xfId="35447"/>
    <cellStyle name="千位分隔 2 2 6 2" xfId="35448"/>
    <cellStyle name="千位分隔 2 2 6 2 2" xfId="35449"/>
    <cellStyle name="千位分隔 2 2 6 2 2 2" xfId="35450"/>
    <cellStyle name="千位分隔 2 2 6 2 2 3" xfId="35451"/>
    <cellStyle name="千位分隔 2 2 6 2 3" xfId="35452"/>
    <cellStyle name="千位分隔 2 2 6 2 4" xfId="35453"/>
    <cellStyle name="千位分隔 2 2 6 2 5" xfId="35454"/>
    <cellStyle name="千位分隔 2 2 6 3" xfId="35455"/>
    <cellStyle name="千位分隔 2 2 6 3 2" xfId="35456"/>
    <cellStyle name="千位分隔 2 2 6 3 2 2" xfId="35457"/>
    <cellStyle name="千位分隔 2 2 6 3 3" xfId="35458"/>
    <cellStyle name="千位分隔 2 2 6 4" xfId="35459"/>
    <cellStyle name="千位分隔 2 2 6 4 2" xfId="35460"/>
    <cellStyle name="千位分隔 2 2 6 5" xfId="35461"/>
    <cellStyle name="千位分隔 2 2 6 5 2" xfId="35462"/>
    <cellStyle name="千位分隔 2 2 6 6" xfId="35463"/>
    <cellStyle name="千位分隔 2 2 6 7" xfId="35464"/>
    <cellStyle name="千位分隔 2 2 7" xfId="35465"/>
    <cellStyle name="千位分隔 2 2 7 2" xfId="35466"/>
    <cellStyle name="千位分隔 2 2 7 2 2" xfId="35467"/>
    <cellStyle name="千位分隔 2 2 7 2 2 2" xfId="35468"/>
    <cellStyle name="千位分隔 2 2 7 2 3" xfId="35469"/>
    <cellStyle name="千位分隔 2 2 7 2 4" xfId="35470"/>
    <cellStyle name="千位分隔 2 2 7 2 5" xfId="35471"/>
    <cellStyle name="千位分隔 2 2 7 3" xfId="35472"/>
    <cellStyle name="千位分隔 2 2 7 3 2" xfId="35473"/>
    <cellStyle name="千位分隔 2 2 7 3 2 2" xfId="35474"/>
    <cellStyle name="千位分隔 2 2 7 3 3" xfId="35475"/>
    <cellStyle name="千位分隔 2 2 7 4" xfId="35476"/>
    <cellStyle name="千位分隔 2 2 7 5" xfId="35477"/>
    <cellStyle name="千位分隔 2 2 7 6" xfId="35478"/>
    <cellStyle name="千位分隔 2 2 7_附注表一（财务报表）" xfId="35479"/>
    <cellStyle name="千位分隔 2 2 8" xfId="35480"/>
    <cellStyle name="千位分隔 2 2 8 2" xfId="35481"/>
    <cellStyle name="千位分隔 2 2 8 2 2 2" xfId="35482"/>
    <cellStyle name="千位分隔 2 2 8 3" xfId="35483"/>
    <cellStyle name="千位分隔 2 2 8 3 2" xfId="35484"/>
    <cellStyle name="千位分隔 2 2 8 3 2 2" xfId="35485"/>
    <cellStyle name="千位分隔 2 2 8 3 3" xfId="35486"/>
    <cellStyle name="千位分隔 2 2 8 4" xfId="35487"/>
    <cellStyle name="千位分隔 2 2 8 5" xfId="35488"/>
    <cellStyle name="千位分隔 2 2 8 6" xfId="35489"/>
    <cellStyle name="千位分隔 2 2 8_附注表一（财务报表）" xfId="35490"/>
    <cellStyle name="千位分隔 2 2 9 2 2" xfId="35491"/>
    <cellStyle name="千位分隔 2 2 9 2 3" xfId="35492"/>
    <cellStyle name="千位分隔 2 2 9 2 4" xfId="35493"/>
    <cellStyle name="千位分隔 2 2 9 2 5" xfId="35494"/>
    <cellStyle name="千位分隔 2 2 9 3" xfId="35495"/>
    <cellStyle name="千位分隔 2 2 9 3 2" xfId="35496"/>
    <cellStyle name="千位分隔 2 2 9 3 3" xfId="35497"/>
    <cellStyle name="千位分隔 2 2 9 4" xfId="35498"/>
    <cellStyle name="千位分隔 2 2 9_附注表一（财务报表）" xfId="35499"/>
    <cellStyle name="千位分隔 2 2_附注表一（财务报表）" xfId="35500"/>
    <cellStyle name="千位分隔 2 30" xfId="35501"/>
    <cellStyle name="千位分隔 2 25" xfId="35502"/>
    <cellStyle name="千位分隔 2 30 2" xfId="35503"/>
    <cellStyle name="千位分隔 2 25 2" xfId="35504"/>
    <cellStyle name="千位分隔 2 30 2 2" xfId="35505"/>
    <cellStyle name="千位分隔 2 25 2 2" xfId="35506"/>
    <cellStyle name="千位分隔 2 30 2 3" xfId="35507"/>
    <cellStyle name="千位分隔 2 25 2 3" xfId="35508"/>
    <cellStyle name="千位分隔 2 30 2 4" xfId="35509"/>
    <cellStyle name="千位分隔 2 25 2 4" xfId="35510"/>
    <cellStyle name="千位分隔 2 30 2 5" xfId="35511"/>
    <cellStyle name="千位分隔 2 25 2 5" xfId="35512"/>
    <cellStyle name="千位分隔 2 25 3" xfId="35513"/>
    <cellStyle name="千位分隔 2 30_附注表一（财务报表）" xfId="35514"/>
    <cellStyle name="千位分隔 2 25_附注表一（财务报表）" xfId="35515"/>
    <cellStyle name="千位分隔 2 31" xfId="35516"/>
    <cellStyle name="千位分隔 2 26" xfId="35517"/>
    <cellStyle name="千位分隔 2 31 2" xfId="35518"/>
    <cellStyle name="千位分隔 2 26 2" xfId="35519"/>
    <cellStyle name="千位分隔 2 31 2 2" xfId="35520"/>
    <cellStyle name="千位分隔 2 26 2 2" xfId="35521"/>
    <cellStyle name="千位分隔 2 31 2 3" xfId="35522"/>
    <cellStyle name="千位分隔 2 26 2 3" xfId="35523"/>
    <cellStyle name="千位分隔 2 31 2 4" xfId="35524"/>
    <cellStyle name="千位分隔 2 26 2 4" xfId="35525"/>
    <cellStyle name="千位分隔 2 26 3" xfId="35526"/>
    <cellStyle name="千位分隔 2 31_附注表一（财务报表）" xfId="35527"/>
    <cellStyle name="千位分隔 2 26_附注表一（财务报表）" xfId="35528"/>
    <cellStyle name="千位分隔 2 32" xfId="35529"/>
    <cellStyle name="千位分隔 2 27" xfId="35530"/>
    <cellStyle name="千位分隔 2 32 2" xfId="35531"/>
    <cellStyle name="千位分隔 2 27 2" xfId="35532"/>
    <cellStyle name="千位分隔 2 32 2 2" xfId="35533"/>
    <cellStyle name="千位分隔 2 27 2 2" xfId="35534"/>
    <cellStyle name="千位分隔 2 32 2 3" xfId="35535"/>
    <cellStyle name="千位分隔 2 27 2 3" xfId="35536"/>
    <cellStyle name="千位分隔 2 32 2 4" xfId="35537"/>
    <cellStyle name="千位分隔 2 27 2 4" xfId="35538"/>
    <cellStyle name="千位分隔 2 32 2 5" xfId="35539"/>
    <cellStyle name="千位分隔 2 27 2 5" xfId="35540"/>
    <cellStyle name="千位分隔 2 27 3" xfId="35541"/>
    <cellStyle name="千位分隔 2 32_附注表一（财务报表）" xfId="35542"/>
    <cellStyle name="千位分隔 2 27_附注表一（财务报表）" xfId="35543"/>
    <cellStyle name="千位分隔 2 33" xfId="35544"/>
    <cellStyle name="千位分隔 2 28" xfId="35545"/>
    <cellStyle name="千位分隔 2 33 2" xfId="35546"/>
    <cellStyle name="千位分隔 2 28 2" xfId="35547"/>
    <cellStyle name="千位分隔 2 33 2 2" xfId="35548"/>
    <cellStyle name="千位分隔 2 28 2 2" xfId="35549"/>
    <cellStyle name="千位分隔 2 33 2 3" xfId="35550"/>
    <cellStyle name="千位分隔 2 28 2 3" xfId="35551"/>
    <cellStyle name="千位分隔 2 33 2 4" xfId="35552"/>
    <cellStyle name="千位分隔 2 28 2 4" xfId="35553"/>
    <cellStyle name="千位分隔 2 33 2 5" xfId="35554"/>
    <cellStyle name="千位分隔 2 28 2 5" xfId="35555"/>
    <cellStyle name="千位分隔 2 33_附注表一（财务报表）" xfId="35556"/>
    <cellStyle name="千位分隔 2 28_附注表一（财务报表）" xfId="35557"/>
    <cellStyle name="千位分隔 2 34" xfId="35558"/>
    <cellStyle name="千位分隔 2 29" xfId="35559"/>
    <cellStyle name="千位分隔 2 29 2" xfId="35560"/>
    <cellStyle name="千位分隔 2 29 2 2" xfId="35561"/>
    <cellStyle name="千位分隔 2 29 2 3" xfId="35562"/>
    <cellStyle name="千位分隔 2 29 2 4" xfId="35563"/>
    <cellStyle name="千位分隔 2 29 2 5" xfId="35564"/>
    <cellStyle name="千位分隔 2 29_附注表一（财务报表）" xfId="35565"/>
    <cellStyle name="千位分隔 2 3" xfId="35566"/>
    <cellStyle name="千位分隔 2 3 10" xfId="35567"/>
    <cellStyle name="千位分隔 2 3 10 2" xfId="35568"/>
    <cellStyle name="千位分隔 2 3 10 2 2" xfId="35569"/>
    <cellStyle name="千位分隔 2 3 10 2 3" xfId="35570"/>
    <cellStyle name="千位分隔 2 3 10 2 4" xfId="35571"/>
    <cellStyle name="千位分隔 2 3 10 2 5" xfId="35572"/>
    <cellStyle name="千位分隔 2 3 10 3" xfId="35573"/>
    <cellStyle name="千位分隔 2 3 10 4" xfId="35574"/>
    <cellStyle name="千位分隔 2 3 10 5" xfId="35575"/>
    <cellStyle name="千位分隔 2 3 10_附注表一（财务报表）" xfId="35576"/>
    <cellStyle name="千位分隔 2 3 11" xfId="35577"/>
    <cellStyle name="千位分隔 2 3 11 2" xfId="35578"/>
    <cellStyle name="千位分隔 2 3 11 2 2" xfId="35579"/>
    <cellStyle name="千位分隔 2 3 11 2 3" xfId="35580"/>
    <cellStyle name="千位分隔 2 3 11 2 4" xfId="35581"/>
    <cellStyle name="千位分隔 2 3 11 2 5" xfId="35582"/>
    <cellStyle name="千位分隔 2 3 11 3" xfId="35583"/>
    <cellStyle name="千位分隔 2 3 11 4" xfId="35584"/>
    <cellStyle name="千位分隔 2 3 11 5" xfId="35585"/>
    <cellStyle name="千位分隔 2 3 11_附注表一（财务报表）" xfId="35586"/>
    <cellStyle name="千位分隔 2 3 12" xfId="35587"/>
    <cellStyle name="千位分隔 2 3 12 2" xfId="35588"/>
    <cellStyle name="千位分隔 2 3 12 2 2" xfId="35589"/>
    <cellStyle name="千位分隔 2 3 12 2 3" xfId="35590"/>
    <cellStyle name="千位分隔 2 3 12 2 4" xfId="35591"/>
    <cellStyle name="千位分隔 2 3 12 2 5" xfId="35592"/>
    <cellStyle name="千位分隔 2 3 12 3" xfId="35593"/>
    <cellStyle name="千位分隔 2 3 12 4" xfId="35594"/>
    <cellStyle name="千位分隔 2 3 12_附注表一（财务报表）" xfId="35595"/>
    <cellStyle name="千位分隔 2 3 13" xfId="35596"/>
    <cellStyle name="千位分隔 2 3 13 2" xfId="35597"/>
    <cellStyle name="千位分隔 2 3 13 2 2" xfId="35598"/>
    <cellStyle name="千位分隔 2 3 13 2 3" xfId="35599"/>
    <cellStyle name="千位分隔 2 3 13 2 4" xfId="35600"/>
    <cellStyle name="千位分隔 2 3 13 2 5" xfId="35601"/>
    <cellStyle name="千位分隔 2 3 13 3" xfId="35602"/>
    <cellStyle name="千位分隔 2 3 13_附注表一（财务报表）" xfId="35603"/>
    <cellStyle name="千位分隔 2 3 14" xfId="35604"/>
    <cellStyle name="千位分隔 2 3 14 2" xfId="35605"/>
    <cellStyle name="千位分隔 2 3 14 2 2" xfId="35606"/>
    <cellStyle name="千位分隔 2 3 14 2 3" xfId="35607"/>
    <cellStyle name="千位分隔 2 3 14 2 4" xfId="35608"/>
    <cellStyle name="千位分隔 2 3 14 2 5" xfId="35609"/>
    <cellStyle name="千位分隔 2 3 14 3" xfId="35610"/>
    <cellStyle name="千位分隔 2 3 14_附注表一（财务报表）" xfId="35611"/>
    <cellStyle name="千位分隔 2 3 20" xfId="35612"/>
    <cellStyle name="千位分隔 2 3 15" xfId="35613"/>
    <cellStyle name="千位分隔 2 3 15 2" xfId="35614"/>
    <cellStyle name="千位分隔 2 3 15 2 2" xfId="35615"/>
    <cellStyle name="千位分隔 2 3 15 2 3" xfId="35616"/>
    <cellStyle name="千位分隔 2 3 15 2 4" xfId="35617"/>
    <cellStyle name="千位分隔 2 3 15 2 5" xfId="35618"/>
    <cellStyle name="千位分隔 2 3 15 3" xfId="35619"/>
    <cellStyle name="千位分隔 2 3 15 4" xfId="35620"/>
    <cellStyle name="千位分隔 2 3 15 5" xfId="35621"/>
    <cellStyle name="千位分隔 2 3 15 6" xfId="35622"/>
    <cellStyle name="千位分隔 2 3 15 7" xfId="35623"/>
    <cellStyle name="千位分隔 2 3 21" xfId="35624"/>
    <cellStyle name="千位分隔 2 3 16" xfId="35625"/>
    <cellStyle name="千位分隔 2 3 16 2" xfId="35626"/>
    <cellStyle name="千位分隔 2 3 16 2 2" xfId="35627"/>
    <cellStyle name="千位分隔 2 3 16 2 3" xfId="35628"/>
    <cellStyle name="千位分隔 2 3 16 2 4" xfId="35629"/>
    <cellStyle name="千位分隔 2 3 16 2 5" xfId="35630"/>
    <cellStyle name="千位分隔 2 3 16 3" xfId="35631"/>
    <cellStyle name="千位分隔 2 3 16 4" xfId="35632"/>
    <cellStyle name="千位分隔 2 3 16 5" xfId="35633"/>
    <cellStyle name="千位分隔 2 3 16 6" xfId="35634"/>
    <cellStyle name="千位分隔 2 3 22" xfId="35635"/>
    <cellStyle name="千位分隔 2 3 17" xfId="35636"/>
    <cellStyle name="千位分隔 2 3 17 2" xfId="35637"/>
    <cellStyle name="千位分隔 2 3 17 3" xfId="35638"/>
    <cellStyle name="千位分隔 2 3 17 4" xfId="35639"/>
    <cellStyle name="千位分隔 2 3 17 5" xfId="35640"/>
    <cellStyle name="千位分隔 2 3 23" xfId="35641"/>
    <cellStyle name="千位分隔 2 3 18" xfId="35642"/>
    <cellStyle name="千位分隔 2 3 18 2" xfId="35643"/>
    <cellStyle name="千位分隔 2 3 24" xfId="35644"/>
    <cellStyle name="千位分隔 2 3 19" xfId="35645"/>
    <cellStyle name="千位分隔 2 3 19 2" xfId="35646"/>
    <cellStyle name="千位分隔 2 3 2" xfId="35647"/>
    <cellStyle name="千位分隔 2 3 2 10" xfId="35648"/>
    <cellStyle name="千位分隔 2 3 2 10 3" xfId="35649"/>
    <cellStyle name="千位分隔 2 3 2 11" xfId="35650"/>
    <cellStyle name="千位分隔 2 3 2 11 3" xfId="35651"/>
    <cellStyle name="千位分隔 2 3 2 12" xfId="35652"/>
    <cellStyle name="千位分隔 2 3 2 12 2" xfId="35653"/>
    <cellStyle name="千位分隔 2 3 2 13" xfId="35654"/>
    <cellStyle name="千位分隔 2 3 2 14" xfId="35655"/>
    <cellStyle name="千位分隔 2 3 2 15" xfId="35656"/>
    <cellStyle name="千位分隔 2 3 2 16" xfId="35657"/>
    <cellStyle name="千位分隔 2 3 2 2" xfId="35658"/>
    <cellStyle name="千位分隔 2 3 2 2 10" xfId="35659"/>
    <cellStyle name="千位分隔 2 3 2 2 10 2" xfId="35660"/>
    <cellStyle name="千位分隔 2 3 2 2 10 3" xfId="35661"/>
    <cellStyle name="千位分隔 2 3 2 2 11" xfId="35662"/>
    <cellStyle name="千位分隔 2 3 2 2 11 2" xfId="35663"/>
    <cellStyle name="千位分隔 2 3 2 2 12" xfId="35664"/>
    <cellStyle name="千位分隔 2 3 2 2 13" xfId="35665"/>
    <cellStyle name="千位分隔 2 3 2 2 2" xfId="35666"/>
    <cellStyle name="千位分隔 2 3 2 2 2 2" xfId="35667"/>
    <cellStyle name="千位分隔 2 3 2 2 2 2 2" xfId="35668"/>
    <cellStyle name="千位分隔 2 3 2 2 2 2 3" xfId="35669"/>
    <cellStyle name="千位分隔 2 3 2 2 2 2 4" xfId="35670"/>
    <cellStyle name="千位分隔 2 3 2 2 2 2 5" xfId="35671"/>
    <cellStyle name="千位分隔 2 3 2 2 2 3" xfId="35672"/>
    <cellStyle name="千位分隔 2 3 2 2 2 4" xfId="35673"/>
    <cellStyle name="千位分隔 2 3 2 2 2 5" xfId="35674"/>
    <cellStyle name="千位分隔 2 3 2 2 2_附注表一（财务报表）" xfId="35675"/>
    <cellStyle name="千位分隔 2 3 2 2 3" xfId="35676"/>
    <cellStyle name="千位分隔 2 3 2 2 3 2" xfId="35677"/>
    <cellStyle name="千位分隔 2 3 2 2 3 2 2" xfId="35678"/>
    <cellStyle name="千位分隔 2 3 2 2 3 2 3" xfId="35679"/>
    <cellStyle name="千位分隔 2 3 2 2 3 2 4" xfId="35680"/>
    <cellStyle name="千位分隔 2 3 2 2 3 2 5" xfId="35681"/>
    <cellStyle name="千位分隔 2 3 2 2 3 3" xfId="35682"/>
    <cellStyle name="千位分隔 2 3 2 2 3_附注表一（财务报表）" xfId="35683"/>
    <cellStyle name="千位分隔 2 3 2 2 4" xfId="35684"/>
    <cellStyle name="千位分隔 2 3 2 2 4 2" xfId="35685"/>
    <cellStyle name="千位分隔 2 3 2 2 4 2 2" xfId="35686"/>
    <cellStyle name="千位分隔 2 3 2 2 4 2 3" xfId="35687"/>
    <cellStyle name="千位分隔 2 3 2 2 4 2 4" xfId="35688"/>
    <cellStyle name="千位分隔 2 3 2 2 4 2 5" xfId="35689"/>
    <cellStyle name="千位分隔 2 3 2 2 4 3" xfId="35690"/>
    <cellStyle name="千位分隔 2 3 2 2 4_附注表一（财务报表）" xfId="35691"/>
    <cellStyle name="千位分隔 2 3 2 2 5" xfId="35692"/>
    <cellStyle name="千位分隔 2 3 2 2 5 2" xfId="35693"/>
    <cellStyle name="千位分隔 2 3 2 2 5 2 2" xfId="35694"/>
    <cellStyle name="千位分隔 2 3 2 2 5 2 3" xfId="35695"/>
    <cellStyle name="千位分隔 2 3 2 2 5 2 4" xfId="35696"/>
    <cellStyle name="千位分隔 2 3 2 2 5 2 5" xfId="35697"/>
    <cellStyle name="千位分隔 2 3 2 2 5 3" xfId="35698"/>
    <cellStyle name="千位分隔 2 3 2 2 5_附注表一（财务报表）" xfId="35699"/>
    <cellStyle name="千位分隔 2 3 2 2 6" xfId="35700"/>
    <cellStyle name="千位分隔 2 3 2 2 6 2" xfId="35701"/>
    <cellStyle name="千位分隔 2 3 2 2 6 2 2" xfId="35702"/>
    <cellStyle name="千位分隔 2 3 2 2 6 2 3" xfId="35703"/>
    <cellStyle name="千位分隔 2 3 2 2 6 2 4" xfId="35704"/>
    <cellStyle name="千位分隔 2 3 2 2 6 2 5" xfId="35705"/>
    <cellStyle name="千位分隔 2 3 2 2 6 3" xfId="35706"/>
    <cellStyle name="千位分隔 2 3 2 2 6_附注表一（财务报表）" xfId="35707"/>
    <cellStyle name="千位分隔 2 3 2 2 7" xfId="35708"/>
    <cellStyle name="千位分隔 2 3 2 2 7 2 4" xfId="35709"/>
    <cellStyle name="千位分隔 2 3 2 2 7 2 5" xfId="35710"/>
    <cellStyle name="千位分隔 2 3 2 2 7 3" xfId="35711"/>
    <cellStyle name="千位分隔 2 3 2 2 7_附注表一（财务报表）" xfId="35712"/>
    <cellStyle name="千位分隔 2 3 2 2 8" xfId="35713"/>
    <cellStyle name="千位分隔 2 3 2 2 8 2" xfId="35714"/>
    <cellStyle name="千位分隔 2 3 2 2 8 3" xfId="35715"/>
    <cellStyle name="千位分隔 2 3 2 2 8 4" xfId="35716"/>
    <cellStyle name="千位分隔 2 3 2 2 8 5" xfId="35717"/>
    <cellStyle name="千位分隔 2 3 2 2 9" xfId="35718"/>
    <cellStyle name="千位分隔 2 3 2 2 9 2" xfId="35719"/>
    <cellStyle name="千位分隔 2 3 2 2 9 3" xfId="35720"/>
    <cellStyle name="千位分隔 2 3 2 2_附注表一（财务报表）" xfId="35721"/>
    <cellStyle name="千位分隔 2 3 2 3" xfId="35722"/>
    <cellStyle name="千位分隔 2 3 2 3 2" xfId="35723"/>
    <cellStyle name="千位分隔 2 3 2 3 2 2" xfId="35724"/>
    <cellStyle name="千位分隔 2 3 2 3 2 4" xfId="35725"/>
    <cellStyle name="千位分隔 2 3 2 3 2 5" xfId="35726"/>
    <cellStyle name="千位分隔 2 3 2 3 3" xfId="35727"/>
    <cellStyle name="千位分隔 2 3 2 3 4" xfId="35728"/>
    <cellStyle name="千位分隔 2 3 2 3 5" xfId="35729"/>
    <cellStyle name="千位分隔 2 3 2 3_附注表一（财务报表）" xfId="35730"/>
    <cellStyle name="千位分隔 2 3 2 4" xfId="35731"/>
    <cellStyle name="千位分隔 2 3 2 4 2" xfId="35732"/>
    <cellStyle name="千位分隔 2 3 2 4 2 2" xfId="35733"/>
    <cellStyle name="千位分隔 3 2 9 2" xfId="35734"/>
    <cellStyle name="千位分隔 2 3 2 4 2 3" xfId="35735"/>
    <cellStyle name="千位分隔 3 2 9 3" xfId="35736"/>
    <cellStyle name="千位分隔 2 3 2 4 2 4" xfId="35737"/>
    <cellStyle name="千位分隔 3 2 9 4" xfId="35738"/>
    <cellStyle name="千位分隔 2 3 2 4 2 5" xfId="35739"/>
    <cellStyle name="千位分隔 2 3 2 4 3" xfId="35740"/>
    <cellStyle name="千位分隔 2 3 2 4 4" xfId="35741"/>
    <cellStyle name="千位分隔 2 3 2 4_附注表一（财务报表）" xfId="35742"/>
    <cellStyle name="千位分隔 2 3 2 5" xfId="35743"/>
    <cellStyle name="千位分隔 2 3 2 5 2" xfId="35744"/>
    <cellStyle name="千位分隔 2 3 2 5 2 2" xfId="35745"/>
    <cellStyle name="千位分隔 2 3 2 5 3" xfId="35746"/>
    <cellStyle name="千位分隔 2 3 2 5_附注表一（财务报表）" xfId="35747"/>
    <cellStyle name="千位分隔 2 3 2 6" xfId="35748"/>
    <cellStyle name="千位分隔 2 3 2 6 2" xfId="35749"/>
    <cellStyle name="千位分隔 2 3 2 6 2 2" xfId="35750"/>
    <cellStyle name="千位分隔 2 3 2 6 2 3" xfId="35751"/>
    <cellStyle name="千位分隔 2 3 2 6 2 4" xfId="35752"/>
    <cellStyle name="千位分隔 2 3 2 6 2 5" xfId="35753"/>
    <cellStyle name="千位分隔 2 3 2 6 3" xfId="35754"/>
    <cellStyle name="千位分隔 2 3 2 6_附注表一（财务报表）" xfId="35755"/>
    <cellStyle name="千位分隔 2 3 2 7" xfId="35756"/>
    <cellStyle name="千位分隔 2 3 2 7 2" xfId="35757"/>
    <cellStyle name="千位分隔 2 3 2 7 2 2" xfId="35758"/>
    <cellStyle name="千位分隔 2 3 2 7 2 3" xfId="35759"/>
    <cellStyle name="千位分隔 2 3 2 7 2 4" xfId="35760"/>
    <cellStyle name="千位分隔 2 3 2 7 2 5" xfId="35761"/>
    <cellStyle name="千位分隔 2 3 2 7 3" xfId="35762"/>
    <cellStyle name="千位分隔 2 3 2 7_附注表一（财务报表）" xfId="35763"/>
    <cellStyle name="千位分隔 2 3 2 8" xfId="35764"/>
    <cellStyle name="千位分隔 2 3 2 8 2" xfId="35765"/>
    <cellStyle name="千位分隔 2 3 2 8 3" xfId="35766"/>
    <cellStyle name="千位分隔 2 3 2 8 4" xfId="35767"/>
    <cellStyle name="千位分隔 2 3 2 8 5" xfId="35768"/>
    <cellStyle name="千位分隔 2 3 2 8 6" xfId="35769"/>
    <cellStyle name="千位分隔 2 3 2 9" xfId="35770"/>
    <cellStyle name="千位分隔 2 3 2_附注表一（财务报表）" xfId="35771"/>
    <cellStyle name="千位分隔 2 3 30" xfId="35772"/>
    <cellStyle name="千位分隔 2 3 25" xfId="35773"/>
    <cellStyle name="千位分隔 2 3 31" xfId="35774"/>
    <cellStyle name="千位分隔 2 3 26" xfId="35775"/>
    <cellStyle name="千位分隔 2 3 32" xfId="35776"/>
    <cellStyle name="千位分隔 2 3 27" xfId="35777"/>
    <cellStyle name="千位分隔 2 3 33" xfId="35778"/>
    <cellStyle name="千位分隔 2 3 28" xfId="35779"/>
    <cellStyle name="千位分隔 2 3 29" xfId="35780"/>
    <cellStyle name="千位分隔 2 3 3" xfId="35781"/>
    <cellStyle name="千位分隔 2 3 3 10" xfId="35782"/>
    <cellStyle name="千位分隔 2 3 3 12" xfId="35783"/>
    <cellStyle name="千位分隔[0] 3 3" xfId="35784"/>
    <cellStyle name="千位分隔 2 3 3 2 2 2" xfId="35785"/>
    <cellStyle name="千位分隔 2 3 3 2 4" xfId="35786"/>
    <cellStyle name="千位分隔 2 3 3 2 5" xfId="35787"/>
    <cellStyle name="千位分隔 2 3 3 3 2 2" xfId="35788"/>
    <cellStyle name="千位分隔 2 3 3 5" xfId="35789"/>
    <cellStyle name="千位分隔 2 3 3 6" xfId="35790"/>
    <cellStyle name="千位分隔 2 3 3 7" xfId="35791"/>
    <cellStyle name="千位分隔 2 3 3 8" xfId="35792"/>
    <cellStyle name="千位分隔 2 3 3 9" xfId="35793"/>
    <cellStyle name="千位分隔 2 3 3_附注表一（财务报表）" xfId="35794"/>
    <cellStyle name="千位分隔 2 3 4" xfId="35795"/>
    <cellStyle name="千位分隔 2 3 4 2" xfId="35796"/>
    <cellStyle name="千位分隔 2 3 4 2 2" xfId="35797"/>
    <cellStyle name="千位分隔 2 3 4 2 2 2" xfId="35798"/>
    <cellStyle name="千位分隔 2 3 4 2 3" xfId="35799"/>
    <cellStyle name="千位分隔 2 3 4 2 4" xfId="35800"/>
    <cellStyle name="千位分隔 2 3 4 2 5" xfId="35801"/>
    <cellStyle name="千位分隔 2 3 4 3" xfId="35802"/>
    <cellStyle name="千位分隔 2 3 4 3 2" xfId="35803"/>
    <cellStyle name="千位分隔 2 3 4 3 3" xfId="35804"/>
    <cellStyle name="千位分隔 2 3 4 4" xfId="35805"/>
    <cellStyle name="千位分隔 2 3 4_附注表一（财务报表）" xfId="35806"/>
    <cellStyle name="千位分隔 2 3 5" xfId="35807"/>
    <cellStyle name="千位分隔 2 3 5 2" xfId="35808"/>
    <cellStyle name="千位分隔 2 3 5 2 2" xfId="35809"/>
    <cellStyle name="千位分隔 2 3 5 2 2 2" xfId="35810"/>
    <cellStyle name="千位分隔 2 3 5 2 3" xfId="35811"/>
    <cellStyle name="千位分隔 2 3 5 2 4" xfId="35812"/>
    <cellStyle name="千位分隔 2 3 5 2 5" xfId="35813"/>
    <cellStyle name="千位分隔 2 3 5 3" xfId="35814"/>
    <cellStyle name="千位分隔 2 3 5 3 2" xfId="35815"/>
    <cellStyle name="千位分隔 2 3 5 3 2 2" xfId="35816"/>
    <cellStyle name="千位分隔 2 3 5 3 3" xfId="35817"/>
    <cellStyle name="千位分隔 2 3 5 4" xfId="35818"/>
    <cellStyle name="千位分隔 2 3 5 5" xfId="35819"/>
    <cellStyle name="千位分隔 2 3 5 6" xfId="35820"/>
    <cellStyle name="千位分隔 2 3 5 7" xfId="35821"/>
    <cellStyle name="千位分隔 2 3 6" xfId="35822"/>
    <cellStyle name="千位分隔 2 3 6 2" xfId="35823"/>
    <cellStyle name="千位分隔 2 3 6 2 2 2" xfId="35824"/>
    <cellStyle name="千位分隔 2 3 6 2 3" xfId="35825"/>
    <cellStyle name="千位分隔 2 3 6 3" xfId="35826"/>
    <cellStyle name="千位分隔 2 3 6 3 2" xfId="35827"/>
    <cellStyle name="千位分隔 2 3 6 3 2 2" xfId="35828"/>
    <cellStyle name="千位分隔 2 3 6 3 3" xfId="35829"/>
    <cellStyle name="千位分隔 2 3 6 4" xfId="35830"/>
    <cellStyle name="千位分隔 2 3 6 5" xfId="35831"/>
    <cellStyle name="千位分隔 2 3 6 6" xfId="35832"/>
    <cellStyle name="千位分隔 2 3 6 7" xfId="35833"/>
    <cellStyle name="千位分隔 2 3 6_附注表一（财务报表）" xfId="35834"/>
    <cellStyle name="千位分隔 2 3 7" xfId="35835"/>
    <cellStyle name="千位分隔 2 3 7 2" xfId="35836"/>
    <cellStyle name="千位分隔 2 3 7 2 2" xfId="35837"/>
    <cellStyle name="千位分隔 2 3 7 2 3" xfId="35838"/>
    <cellStyle name="千位分隔 2 3 7 2 4" xfId="35839"/>
    <cellStyle name="千位分隔 2 3 7 2 5" xfId="35840"/>
    <cellStyle name="千位分隔 2 3 7 3" xfId="35841"/>
    <cellStyle name="千位分隔 2 3 7 3 2" xfId="35842"/>
    <cellStyle name="千位分隔 2 3 7 4" xfId="35843"/>
    <cellStyle name="千位分隔 2 3 7 5" xfId="35844"/>
    <cellStyle name="千位分隔 2 3 7 6" xfId="35845"/>
    <cellStyle name="千位分隔 2 3 7 7" xfId="35846"/>
    <cellStyle name="千位分隔 2 3 7_附注表一（财务报表）" xfId="35847"/>
    <cellStyle name="千位分隔 2 3 8 2 2" xfId="35848"/>
    <cellStyle name="千位分隔 2 3 8 2 3" xfId="35849"/>
    <cellStyle name="千位分隔 2 3 8 2 4" xfId="35850"/>
    <cellStyle name="千位分隔 2 3 8 2 5" xfId="35851"/>
    <cellStyle name="千位分隔 2 3 8 3" xfId="35852"/>
    <cellStyle name="千位分隔 2 3 8 3 2" xfId="35853"/>
    <cellStyle name="千位分隔 2 3 8 4" xfId="35854"/>
    <cellStyle name="千位分隔 2 3 8 5" xfId="35855"/>
    <cellStyle name="千位分隔 2 3 8 6" xfId="35856"/>
    <cellStyle name="千位分隔 2 3 8 7" xfId="35857"/>
    <cellStyle name="千位分隔 2 3 8_附注表一（财务报表）" xfId="35858"/>
    <cellStyle name="千位分隔 2 3 9" xfId="35859"/>
    <cellStyle name="千位分隔 2 3 9 2" xfId="35860"/>
    <cellStyle name="千位分隔 2 3 9 2 2" xfId="35861"/>
    <cellStyle name="千位分隔 2 3 9 2 3" xfId="35862"/>
    <cellStyle name="千位分隔 2 3 9 2 4" xfId="35863"/>
    <cellStyle name="千位分隔 2 3 9 2 5" xfId="35864"/>
    <cellStyle name="千位分隔 2 3 9 3" xfId="35865"/>
    <cellStyle name="千位分隔 2 3 9 4" xfId="35866"/>
    <cellStyle name="千位分隔 2 3 9 5" xfId="35867"/>
    <cellStyle name="千位分隔 2 40" xfId="35868"/>
    <cellStyle name="千位分隔 2 35" xfId="35869"/>
    <cellStyle name="千位分隔 2 41" xfId="35870"/>
    <cellStyle name="千位分隔 2 36" xfId="35871"/>
    <cellStyle name="千位分隔 2 36 2" xfId="35872"/>
    <cellStyle name="千位分隔 2 36 3" xfId="35873"/>
    <cellStyle name="千位分隔 2 4" xfId="35874"/>
    <cellStyle name="千位分隔 2 4 10" xfId="35875"/>
    <cellStyle name="千位分隔 2 4 11" xfId="35876"/>
    <cellStyle name="千位分隔 2 4 12" xfId="35877"/>
    <cellStyle name="千位分隔 2 4 14" xfId="35878"/>
    <cellStyle name="千位分隔 2 4 15" xfId="35879"/>
    <cellStyle name="千位分隔 2 4 16" xfId="35880"/>
    <cellStyle name="千位分隔 2 4 2" xfId="35881"/>
    <cellStyle name="千位分隔 2 4 2 10" xfId="35882"/>
    <cellStyle name="千位分隔 2 4 2 11" xfId="35883"/>
    <cellStyle name="千位分隔 2 4 2 2" xfId="35884"/>
    <cellStyle name="千位分隔 2 4 2 2 2" xfId="35885"/>
    <cellStyle name="千位分隔 2 4 2 2 2 2" xfId="35886"/>
    <cellStyle name="千位分隔 2 4 2 2 3" xfId="35887"/>
    <cellStyle name="千位分隔 2 4 2 2 4" xfId="35888"/>
    <cellStyle name="千位分隔 2 4 2 2 5" xfId="35889"/>
    <cellStyle name="千位分隔 2 4 2 3" xfId="35890"/>
    <cellStyle name="千位分隔 2 4 2 3 2" xfId="35891"/>
    <cellStyle name="千位分隔 2 4 2 3 3" xfId="35892"/>
    <cellStyle name="千位分隔 2 4 2 4" xfId="35893"/>
    <cellStyle name="千位分隔 2 4 2 5" xfId="35894"/>
    <cellStyle name="千位分隔 2 4 2 6" xfId="35895"/>
    <cellStyle name="千位分隔 2 4 2 7" xfId="35896"/>
    <cellStyle name="千位分隔 2 4 2 9" xfId="35897"/>
    <cellStyle name="千位分隔 2 4 3" xfId="35898"/>
    <cellStyle name="千位分隔 2 4 3 2" xfId="35899"/>
    <cellStyle name="千位分隔 2 4 3 2 2" xfId="35900"/>
    <cellStyle name="千位分隔 2 4 3 2 3" xfId="35901"/>
    <cellStyle name="千位分隔 2 4 3 2 4" xfId="35902"/>
    <cellStyle name="千位分隔 2 4 3 2 5" xfId="35903"/>
    <cellStyle name="千位分隔 2 4 3 3" xfId="35904"/>
    <cellStyle name="千位分隔 2 4 3 3 2" xfId="35905"/>
    <cellStyle name="千位分隔 2 4 3 3 3" xfId="35906"/>
    <cellStyle name="千位分隔 2 4 3 4" xfId="35907"/>
    <cellStyle name="千位分隔 2 4 3 5" xfId="35908"/>
    <cellStyle name="千位分隔 2 4 3 6" xfId="35909"/>
    <cellStyle name="千位分隔 2 4 3 7" xfId="35910"/>
    <cellStyle name="千位分隔 2 4 4" xfId="35911"/>
    <cellStyle name="千位分隔 2 4 4 2" xfId="35912"/>
    <cellStyle name="千位分隔 2 4 4 2 2" xfId="35913"/>
    <cellStyle name="千位分隔 2 4 4 2 3" xfId="35914"/>
    <cellStyle name="千位分隔 2 4 4 3" xfId="35915"/>
    <cellStyle name="千位分隔 2 4 4 3 2" xfId="35916"/>
    <cellStyle name="千位分隔 2 4 4 4" xfId="35917"/>
    <cellStyle name="千位分隔 2 4 4 5" xfId="35918"/>
    <cellStyle name="千位分隔 2 4 5" xfId="35919"/>
    <cellStyle name="千位分隔 2 4 5 3" xfId="35920"/>
    <cellStyle name="千位分隔 2 4 5 4" xfId="35921"/>
    <cellStyle name="千位分隔 2 4 6" xfId="35922"/>
    <cellStyle name="千位分隔 2 4 6 2" xfId="35923"/>
    <cellStyle name="千位分隔 2 4 6 3" xfId="35924"/>
    <cellStyle name="千位分隔 2 4 6 4" xfId="35925"/>
    <cellStyle name="千位分隔 2 4 7" xfId="35926"/>
    <cellStyle name="千位分隔 2 4 7 2" xfId="35927"/>
    <cellStyle name="千位分隔 2 4 7 2 2" xfId="35928"/>
    <cellStyle name="千位分隔 2 4 7 3" xfId="35929"/>
    <cellStyle name="千位分隔 2 4 8" xfId="35930"/>
    <cellStyle name="千位分隔 2 4 8 2" xfId="35931"/>
    <cellStyle name="千位分隔 2 4 8 2 2" xfId="35932"/>
    <cellStyle name="千位分隔 2 4 9" xfId="35933"/>
    <cellStyle name="千位分隔 2 4 9 2" xfId="35934"/>
    <cellStyle name="千位分隔 2 4_附注表一（财务报表）" xfId="35935"/>
    <cellStyle name="千位分隔 2 51" xfId="35936"/>
    <cellStyle name="千位分隔 2 46" xfId="35937"/>
    <cellStyle name="千位分隔 2 52" xfId="35938"/>
    <cellStyle name="千位分隔 2 47" xfId="35939"/>
    <cellStyle name="千位分隔 2 53" xfId="35940"/>
    <cellStyle name="千位分隔 2 48" xfId="35941"/>
    <cellStyle name="千位分隔 2 54" xfId="35942"/>
    <cellStyle name="千位分隔 2 49" xfId="35943"/>
    <cellStyle name="千位分隔 2 5" xfId="35944"/>
    <cellStyle name="千位分隔 2 5 10" xfId="35945"/>
    <cellStyle name="千位分隔 2 5 2" xfId="35946"/>
    <cellStyle name="千位分隔 2 5 2 2" xfId="35947"/>
    <cellStyle name="千位分隔 2 5 2 2 2" xfId="35948"/>
    <cellStyle name="千位分隔 2 5 2 2 2 2" xfId="35949"/>
    <cellStyle name="千位分隔 2 5 2 2 2 3" xfId="35950"/>
    <cellStyle name="千位分隔 2 5 2 2 2 4" xfId="35951"/>
    <cellStyle name="千位分隔 2 5 2 2 2 5" xfId="35952"/>
    <cellStyle name="千位分隔 2 5 2 2 3" xfId="35953"/>
    <cellStyle name="千位分隔 2 5 2 2_附注表一（财务报表）" xfId="35954"/>
    <cellStyle name="千位分隔 2 5 2 3" xfId="35955"/>
    <cellStyle name="千位分隔 2 5 2 3 2" xfId="35956"/>
    <cellStyle name="千位分隔 2 5 2 3 2 2" xfId="35957"/>
    <cellStyle name="千位分隔 2 5 2 3 2 3" xfId="35958"/>
    <cellStyle name="千位分隔 2 5 2 3 2 4" xfId="35959"/>
    <cellStyle name="千位分隔 2 5 2 3 2 5" xfId="35960"/>
    <cellStyle name="千位分隔 2 5 2 3 3" xfId="35961"/>
    <cellStyle name="千位分隔 2 5 2 3_附注表一（财务报表）" xfId="35962"/>
    <cellStyle name="千位分隔 2 5 2 4" xfId="35963"/>
    <cellStyle name="千位分隔 2 5 2 4 2" xfId="35964"/>
    <cellStyle name="千位分隔 2 5 2 4 2 2" xfId="35965"/>
    <cellStyle name="千位分隔 2 5 2 4 2 3" xfId="35966"/>
    <cellStyle name="千位分隔 2 5 2 4 2 4" xfId="35967"/>
    <cellStyle name="千位分隔 2 5 2 4 3" xfId="35968"/>
    <cellStyle name="千位分隔 2 5 2 5" xfId="35969"/>
    <cellStyle name="千位分隔 2 5 2 5 2" xfId="35970"/>
    <cellStyle name="千位分隔 2 5 2 5 2 2" xfId="35971"/>
    <cellStyle name="千位分隔 2 5 2 5 2 3" xfId="35972"/>
    <cellStyle name="千位分隔 2 5 2 5 2 4" xfId="35973"/>
    <cellStyle name="千位分隔 2 5 2 5 2 5" xfId="35974"/>
    <cellStyle name="千位分隔 2 5 2 5 3" xfId="35975"/>
    <cellStyle name="千位分隔 2 5 2 5_附注表一（财务报表）" xfId="35976"/>
    <cellStyle name="千位分隔 2 5 2 6" xfId="35977"/>
    <cellStyle name="千位分隔 2 5 2 6 2" xfId="35978"/>
    <cellStyle name="千位分隔 2 5 2 6 2 2" xfId="35979"/>
    <cellStyle name="千位分隔 2 5 2 6 2 3" xfId="35980"/>
    <cellStyle name="千位分隔 2 5 2 6 2 4" xfId="35981"/>
    <cellStyle name="千位分隔 2 5 2 6 2 5" xfId="35982"/>
    <cellStyle name="千位分隔 2 5 2 6 3" xfId="35983"/>
    <cellStyle name="千位分隔 2 5 2 6_附注表一（财务报表）" xfId="35984"/>
    <cellStyle name="千位分隔 2 5 2 7" xfId="35985"/>
    <cellStyle name="千位分隔 2 5 2 7 2" xfId="35986"/>
    <cellStyle name="千位分隔 2 5 2 7 2 3" xfId="35987"/>
    <cellStyle name="千位分隔 2 5 2 7 2 4" xfId="35988"/>
    <cellStyle name="千位分隔 2 5 2 7 2 5" xfId="35989"/>
    <cellStyle name="千位分隔 2 5 2 7 3" xfId="35990"/>
    <cellStyle name="千位分隔 2 5 2 7_附注表一（财务报表）" xfId="35991"/>
    <cellStyle name="千位分隔 2 5 2 8" xfId="35992"/>
    <cellStyle name="千位分隔 2 5 2 8 2" xfId="35993"/>
    <cellStyle name="千位分隔 2 5 2 8 3" xfId="35994"/>
    <cellStyle name="千位分隔 2 5 2 8 4" xfId="35995"/>
    <cellStyle name="千位分隔 2 5 2 8 5" xfId="35996"/>
    <cellStyle name="千位分隔 2 5 2 9" xfId="35997"/>
    <cellStyle name="千位分隔 2 5 2_附注表一（财务报表）" xfId="35998"/>
    <cellStyle name="千位分隔 2 5 3" xfId="35999"/>
    <cellStyle name="千位分隔 2 5 3 2" xfId="36000"/>
    <cellStyle name="千位分隔 2 5 3 2 2" xfId="36001"/>
    <cellStyle name="千位分隔 2 5 3 2 3" xfId="36002"/>
    <cellStyle name="千位分隔 2 5 3 2 4" xfId="36003"/>
    <cellStyle name="千位分隔 2 5 3 2 5" xfId="36004"/>
    <cellStyle name="千位分隔 2 5 3 3" xfId="36005"/>
    <cellStyle name="千位分隔 2 5 3 3 2" xfId="36006"/>
    <cellStyle name="千位分隔 2 5 3 4" xfId="36007"/>
    <cellStyle name="千位分隔 2 5 3_附注表一（财务报表）" xfId="36008"/>
    <cellStyle name="千位分隔 2 5 4" xfId="36009"/>
    <cellStyle name="千位分隔 2 5 4 2" xfId="36010"/>
    <cellStyle name="千位分隔 2 5 4 2 2" xfId="36011"/>
    <cellStyle name="千位分隔 2 5 4 2 3" xfId="36012"/>
    <cellStyle name="千位分隔 2 5 4 2 4" xfId="36013"/>
    <cellStyle name="千位分隔 2 5 4 2 5" xfId="36014"/>
    <cellStyle name="千位分隔 2 5 4 3" xfId="36015"/>
    <cellStyle name="千位分隔 2 5 4 3 2" xfId="36016"/>
    <cellStyle name="千位分隔 2 5 4 4" xfId="36017"/>
    <cellStyle name="千位分隔 5 4 3 3" xfId="36018"/>
    <cellStyle name="千位分隔 2 5 4_附注表一（财务报表）" xfId="36019"/>
    <cellStyle name="千位分隔 2 5 5" xfId="36020"/>
    <cellStyle name="千位分隔 2 5 5 2" xfId="36021"/>
    <cellStyle name="千位分隔 2 5 5 2 2" xfId="36022"/>
    <cellStyle name="千位分隔 2 5 5 2 3" xfId="36023"/>
    <cellStyle name="千位分隔 2 5 5 2 4" xfId="36024"/>
    <cellStyle name="千位分隔 2 5 5 2 5" xfId="36025"/>
    <cellStyle name="千位分隔 2 5 5 3" xfId="36026"/>
    <cellStyle name="千位分隔 2 5 5 3 2" xfId="36027"/>
    <cellStyle name="千位分隔 2 5 5 4" xfId="36028"/>
    <cellStyle name="千位分隔 2 5 5_附注表一（财务报表）" xfId="36029"/>
    <cellStyle name="千位分隔 2 5 6" xfId="36030"/>
    <cellStyle name="千位分隔 2 5 6 2" xfId="36031"/>
    <cellStyle name="千位分隔 2 5 6 2 2" xfId="36032"/>
    <cellStyle name="千位分隔 2 5 6 2 3" xfId="36033"/>
    <cellStyle name="千位分隔 2 5 6 2 4" xfId="36034"/>
    <cellStyle name="千位分隔 2 5 6 2 5" xfId="36035"/>
    <cellStyle name="千位分隔 2 5 6 3" xfId="36036"/>
    <cellStyle name="千位分隔 2 5 6 3 2" xfId="36037"/>
    <cellStyle name="千位分隔 2 5 6 4" xfId="36038"/>
    <cellStyle name="千位分隔 2 5 6_附注表一（财务报表）" xfId="36039"/>
    <cellStyle name="千位分隔 2 5 7" xfId="36040"/>
    <cellStyle name="千位分隔 2 5 7 2" xfId="36041"/>
    <cellStyle name="千位分隔 2 5 7 2 3" xfId="36042"/>
    <cellStyle name="千位分隔 2 5 7 2 4" xfId="36043"/>
    <cellStyle name="千位分隔 2 5 7 2 5" xfId="36044"/>
    <cellStyle name="千位分隔 2 5 7 3" xfId="36045"/>
    <cellStyle name="千位分隔 2 5 7_附注表一（财务报表）" xfId="36046"/>
    <cellStyle name="千位分隔 2 5 8" xfId="36047"/>
    <cellStyle name="千位分隔 2 5 8 2" xfId="36048"/>
    <cellStyle name="千位分隔 2 5 8 3" xfId="36049"/>
    <cellStyle name="千位分隔 2 5 8 4" xfId="36050"/>
    <cellStyle name="千位分隔 2 5 8 5" xfId="36051"/>
    <cellStyle name="千位分隔 2 5 9" xfId="36052"/>
    <cellStyle name="千位分隔 2 5_附注表一（财务报表）" xfId="36053"/>
    <cellStyle name="千位分隔 2 60" xfId="36054"/>
    <cellStyle name="千位分隔 2 55" xfId="36055"/>
    <cellStyle name="千位分隔 2 61" xfId="36056"/>
    <cellStyle name="千位分隔 2 56" xfId="36057"/>
    <cellStyle name="千位分隔 2 62" xfId="36058"/>
    <cellStyle name="千位分隔 2 57" xfId="36059"/>
    <cellStyle name="千位分隔 2 63" xfId="36060"/>
    <cellStyle name="千位分隔 2 58" xfId="36061"/>
    <cellStyle name="千位分隔 2 64" xfId="36062"/>
    <cellStyle name="千位分隔 2 59" xfId="36063"/>
    <cellStyle name="千位分隔 2 6" xfId="36064"/>
    <cellStyle name="千位分隔 2 6 2" xfId="36065"/>
    <cellStyle name="千位分隔 2 6 2 2" xfId="36066"/>
    <cellStyle name="千位分隔 2 6 2 2 2" xfId="36067"/>
    <cellStyle name="千位分隔 2 6 2 3" xfId="36068"/>
    <cellStyle name="千位分隔 2 6 2 4" xfId="36069"/>
    <cellStyle name="千位分隔 2 6 2 5" xfId="36070"/>
    <cellStyle name="千位分隔 2 6 2 6" xfId="36071"/>
    <cellStyle name="千位分隔 2 6 3" xfId="36072"/>
    <cellStyle name="千位分隔 2 6 3 2" xfId="36073"/>
    <cellStyle name="千位分隔 2 6 3 2 2" xfId="36074"/>
    <cellStyle name="千位分隔 2 6 3 3" xfId="36075"/>
    <cellStyle name="千位分隔 2 6 4" xfId="36076"/>
    <cellStyle name="千位分隔 2 6 4 2" xfId="36077"/>
    <cellStyle name="千位分隔 2 6 5" xfId="36078"/>
    <cellStyle name="千位分隔 2 6 5 2" xfId="36079"/>
    <cellStyle name="千位分隔 2 6 6" xfId="36080"/>
    <cellStyle name="千位分隔 2 6 7" xfId="36081"/>
    <cellStyle name="千位分隔 2 6 8" xfId="36082"/>
    <cellStyle name="千位分隔 2 6_附注表一（财务报表）" xfId="36083"/>
    <cellStyle name="千位分隔 2 66" xfId="36084"/>
    <cellStyle name="千位分隔 2 67" xfId="36085"/>
    <cellStyle name="千位分隔 2 68" xfId="36086"/>
    <cellStyle name="千位分隔 2 7" xfId="36087"/>
    <cellStyle name="千位分隔 2 7 2" xfId="36088"/>
    <cellStyle name="千位分隔 2 7 2 2" xfId="36089"/>
    <cellStyle name="千位分隔 2 7 2 2 2" xfId="36090"/>
    <cellStyle name="千位分隔 2 7 2 3" xfId="36091"/>
    <cellStyle name="千位分隔 2 7 2 4" xfId="36092"/>
    <cellStyle name="千位分隔 2 7 2 5" xfId="36093"/>
    <cellStyle name="千位分隔 2 7 2 6" xfId="36094"/>
    <cellStyle name="千位分隔 2 7 3" xfId="36095"/>
    <cellStyle name="千位分隔 2 7 3 2" xfId="36096"/>
    <cellStyle name="千位分隔 2 7 3 2 2" xfId="36097"/>
    <cellStyle name="千位分隔 2 7 3 3" xfId="36098"/>
    <cellStyle name="千位分隔 2 7 4" xfId="36099"/>
    <cellStyle name="千位分隔 2 7 5" xfId="36100"/>
    <cellStyle name="千位分隔 2 7 6" xfId="36101"/>
    <cellStyle name="千位分隔 2 7_附注表一（财务报表）" xfId="36102"/>
    <cellStyle name="千位分隔 2 8" xfId="36103"/>
    <cellStyle name="千位分隔 2 8 2" xfId="36104"/>
    <cellStyle name="千位分隔 2 8 2 2" xfId="36105"/>
    <cellStyle name="千位分隔 2 8 2 2 2" xfId="36106"/>
    <cellStyle name="千位分隔 2 8 2 3" xfId="36107"/>
    <cellStyle name="千位分隔 2 8 2 4" xfId="36108"/>
    <cellStyle name="千位分隔 2 8 2 5" xfId="36109"/>
    <cellStyle name="千位分隔 2 8 2 6" xfId="36110"/>
    <cellStyle name="千位分隔 2 8 3" xfId="36111"/>
    <cellStyle name="千位分隔 2 8 3 2" xfId="36112"/>
    <cellStyle name="千位分隔 2 8 3 3" xfId="36113"/>
    <cellStyle name="千位分隔 2 8 5" xfId="36114"/>
    <cellStyle name="千位分隔 2 8_附注表一（财务报表）" xfId="36115"/>
    <cellStyle name="千位分隔 2 9" xfId="36116"/>
    <cellStyle name="千位分隔 2 9 2" xfId="36117"/>
    <cellStyle name="千位分隔 2 9 2 2" xfId="36118"/>
    <cellStyle name="千位分隔 2 9 2 2 2" xfId="36119"/>
    <cellStyle name="千位分隔 2 9 2 3" xfId="36120"/>
    <cellStyle name="千位分隔 2 9 2 4" xfId="36121"/>
    <cellStyle name="千位分隔 2 9 2 5" xfId="36122"/>
    <cellStyle name="千位分隔 2 9 2 6" xfId="36123"/>
    <cellStyle name="千位分隔 2 9 3" xfId="36124"/>
    <cellStyle name="千位分隔 2 9 3 2" xfId="36125"/>
    <cellStyle name="千位分隔 2 9 3 3" xfId="36126"/>
    <cellStyle name="千位分隔 2 9 5" xfId="36127"/>
    <cellStyle name="千位分隔 2_Spreadsheet" xfId="36128"/>
    <cellStyle name="千位分隔 21 10" xfId="36129"/>
    <cellStyle name="千位分隔 21 11" xfId="36130"/>
    <cellStyle name="千位分隔 21 12" xfId="36131"/>
    <cellStyle name="千位分隔 21 4" xfId="36132"/>
    <cellStyle name="千位分隔 21 5" xfId="36133"/>
    <cellStyle name="千位分隔 21 6" xfId="36134"/>
    <cellStyle name="千位分隔 21 7" xfId="36135"/>
    <cellStyle name="千位分隔 21 8" xfId="36136"/>
    <cellStyle name="千位分隔 21 9" xfId="36137"/>
    <cellStyle name="千位分隔 22_附注表一（财务报表）" xfId="36138"/>
    <cellStyle name="千位分隔 30" xfId="36139"/>
    <cellStyle name="千位分隔 25" xfId="36140"/>
    <cellStyle name="千位分隔 26 2 2" xfId="36141"/>
    <cellStyle name="千位分隔 26 2 2 2" xfId="36142"/>
    <cellStyle name="千位分隔 26 2 2 3" xfId="36143"/>
    <cellStyle name="千位分隔 26 2 3" xfId="36144"/>
    <cellStyle name="千位分隔 26 2 4" xfId="36145"/>
    <cellStyle name="千位分隔 26 3 2" xfId="36146"/>
    <cellStyle name="千位分隔 26 3 3" xfId="36147"/>
    <cellStyle name="千位分隔 26 4 2" xfId="36148"/>
    <cellStyle name="千位分隔 26 4 3" xfId="36149"/>
    <cellStyle name="千位分隔 26 6" xfId="36150"/>
    <cellStyle name="千位分隔 32 2" xfId="36151"/>
    <cellStyle name="千位分隔 27 2" xfId="36152"/>
    <cellStyle name="千位分隔 27 2 2" xfId="36153"/>
    <cellStyle name="千位分隔 27 2 3" xfId="36154"/>
    <cellStyle name="千位分隔 27 2 4" xfId="36155"/>
    <cellStyle name="千位分隔 27 2 5" xfId="36156"/>
    <cellStyle name="千位分隔 27 3" xfId="36157"/>
    <cellStyle name="千位分隔 27 3 2" xfId="36158"/>
    <cellStyle name="千位分隔 27 4" xfId="36159"/>
    <cellStyle name="千位分隔 27 4 2" xfId="36160"/>
    <cellStyle name="千位分隔 27 4 3" xfId="36161"/>
    <cellStyle name="千位分隔 27 5" xfId="36162"/>
    <cellStyle name="千位分隔 27 6" xfId="36163"/>
    <cellStyle name="千位分隔 27 7" xfId="36164"/>
    <cellStyle name="千位分隔 27 8" xfId="36165"/>
    <cellStyle name="千位分隔 33" xfId="36166"/>
    <cellStyle name="千位分隔 28" xfId="36167"/>
    <cellStyle name="千位分隔 28 2" xfId="36168"/>
    <cellStyle name="千位分隔 28 2 2" xfId="36169"/>
    <cellStyle name="千位分隔 28 2 2 2" xfId="36170"/>
    <cellStyle name="千位分隔 28 2 2 3" xfId="36171"/>
    <cellStyle name="千位分隔 28 2 3" xfId="36172"/>
    <cellStyle name="千位分隔 28 2 4" xfId="36173"/>
    <cellStyle name="千位分隔 28 3" xfId="36174"/>
    <cellStyle name="千位分隔 28 3 2" xfId="36175"/>
    <cellStyle name="千位分隔 28 3 3" xfId="36176"/>
    <cellStyle name="千位分隔 28 4" xfId="36177"/>
    <cellStyle name="千位分隔 34" xfId="36178"/>
    <cellStyle name="千位分隔 29" xfId="36179"/>
    <cellStyle name="千位分隔 29 2" xfId="36180"/>
    <cellStyle name="千位分隔 29 2 2" xfId="36181"/>
    <cellStyle name="千位分隔 29 2 2 2" xfId="36182"/>
    <cellStyle name="千位分隔 29 2 2 3" xfId="36183"/>
    <cellStyle name="千位分隔 29 2 3" xfId="36184"/>
    <cellStyle name="千位分隔 29 2 4" xfId="36185"/>
    <cellStyle name="千位分隔 29 3" xfId="36186"/>
    <cellStyle name="千位分隔 29 3 2" xfId="36187"/>
    <cellStyle name="千位分隔 29 3 3" xfId="36188"/>
    <cellStyle name="千位分隔 29 4" xfId="36189"/>
    <cellStyle name="千位分隔 29 5" xfId="36190"/>
    <cellStyle name="千位分隔 29 6" xfId="36191"/>
    <cellStyle name="千位分隔 29 7" xfId="36192"/>
    <cellStyle name="千位分隔 3" xfId="36193"/>
    <cellStyle name="千位分隔 3 10" xfId="36194"/>
    <cellStyle name="千位分隔 3 10 2" xfId="36195"/>
    <cellStyle name="千位分隔 3 10 2 2" xfId="36196"/>
    <cellStyle name="千位分隔 3 10 2 3" xfId="36197"/>
    <cellStyle name="千位分隔 3 10 2 4" xfId="36198"/>
    <cellStyle name="千位分隔 3 10 2 5" xfId="36199"/>
    <cellStyle name="千位分隔 3 10 3" xfId="36200"/>
    <cellStyle name="千位分隔 3 10 3 2" xfId="36201"/>
    <cellStyle name="千位分隔 3 10 3 3" xfId="36202"/>
    <cellStyle name="千位分隔 3 10 4" xfId="36203"/>
    <cellStyle name="千位分隔 3 10 4 2" xfId="36204"/>
    <cellStyle name="千位分隔 3 10 5" xfId="36205"/>
    <cellStyle name="千位分隔 3 10_附注表一（财务报表）" xfId="36206"/>
    <cellStyle name="千位分隔 3 11" xfId="36207"/>
    <cellStyle name="千位分隔 3 11 2" xfId="36208"/>
    <cellStyle name="千位分隔 3 11 2 2" xfId="36209"/>
    <cellStyle name="千位分隔 3 11 2 3" xfId="36210"/>
    <cellStyle name="千位分隔 3 11 2 4" xfId="36211"/>
    <cellStyle name="千位分隔 3 11 2 5" xfId="36212"/>
    <cellStyle name="千位分隔 3 11 3" xfId="36213"/>
    <cellStyle name="千位分隔 3 11 4" xfId="36214"/>
    <cellStyle name="千位分隔 3 11 5" xfId="36215"/>
    <cellStyle name="千位分隔 3 11_附注表一（财务报表）" xfId="36216"/>
    <cellStyle name="千位分隔 3 12" xfId="36217"/>
    <cellStyle name="千位分隔 3 12 2" xfId="36218"/>
    <cellStyle name="千位分隔 3 12 2 2" xfId="36219"/>
    <cellStyle name="千位分隔 3 12 2 3" xfId="36220"/>
    <cellStyle name="千位分隔 3 12 2 4" xfId="36221"/>
    <cellStyle name="千位分隔 3 12 2 5" xfId="36222"/>
    <cellStyle name="千位分隔 3 12 3" xfId="36223"/>
    <cellStyle name="千位分隔 3 12 4" xfId="36224"/>
    <cellStyle name="千位分隔 3 12 5" xfId="36225"/>
    <cellStyle name="千位分隔 3 12_附注表一（财务报表）" xfId="36226"/>
    <cellStyle name="千位分隔 3 13" xfId="36227"/>
    <cellStyle name="千位分隔 3 13 2" xfId="36228"/>
    <cellStyle name="千位分隔 3 13 2 2" xfId="36229"/>
    <cellStyle name="千位分隔 3 13 2 3" xfId="36230"/>
    <cellStyle name="千位分隔 3 13 2 4" xfId="36231"/>
    <cellStyle name="千位分隔 3 13 2 5" xfId="36232"/>
    <cellStyle name="千位分隔 3 13 3" xfId="36233"/>
    <cellStyle name="千位分隔 3 13 4" xfId="36234"/>
    <cellStyle name="千位分隔 3 13 5" xfId="36235"/>
    <cellStyle name="千位分隔 3 13_附注表一（财务报表）" xfId="36236"/>
    <cellStyle name="千位分隔 3 14" xfId="36237"/>
    <cellStyle name="千位分隔 3 14 2" xfId="36238"/>
    <cellStyle name="千位分隔 3 14 2 2" xfId="36239"/>
    <cellStyle name="千位分隔 3 14 2 3" xfId="36240"/>
    <cellStyle name="千位分隔 3 14 2 4" xfId="36241"/>
    <cellStyle name="千位分隔 3 14 2 5" xfId="36242"/>
    <cellStyle name="千位分隔 3 14 3" xfId="36243"/>
    <cellStyle name="千位分隔 3 14_附注表一（财务报表）" xfId="36244"/>
    <cellStyle name="千位分隔 3 20" xfId="36245"/>
    <cellStyle name="千位分隔 3 15" xfId="36246"/>
    <cellStyle name="千位分隔 3 20 2" xfId="36247"/>
    <cellStyle name="千位分隔 3 15 2" xfId="36248"/>
    <cellStyle name="千位分隔 3 15 2 2" xfId="36249"/>
    <cellStyle name="千位分隔 3 15 2 3" xfId="36250"/>
    <cellStyle name="千位分隔 3 15 2 4" xfId="36251"/>
    <cellStyle name="千位分隔 3 15 2 5" xfId="36252"/>
    <cellStyle name="千位分隔 3 20 3" xfId="36253"/>
    <cellStyle name="千位分隔 3 15 3" xfId="36254"/>
    <cellStyle name="千位分隔 3 15_附注表一（财务报表）" xfId="36255"/>
    <cellStyle name="千位分隔 3 21" xfId="36256"/>
    <cellStyle name="千位分隔 3 16" xfId="36257"/>
    <cellStyle name="千位分隔 3 16 2" xfId="36258"/>
    <cellStyle name="千位分隔 3 16 2 2" xfId="36259"/>
    <cellStyle name="千位分隔 3 16 2 3" xfId="36260"/>
    <cellStyle name="千位分隔 3 16 2 4" xfId="36261"/>
    <cellStyle name="千位分隔 3 16 2 5" xfId="36262"/>
    <cellStyle name="千位分隔 3 16 3" xfId="36263"/>
    <cellStyle name="千位分隔 3 16 4" xfId="36264"/>
    <cellStyle name="千位分隔 3 16 5" xfId="36265"/>
    <cellStyle name="千位分隔 3 16 6" xfId="36266"/>
    <cellStyle name="千位分隔 3 16_附注表一（财务报表）" xfId="36267"/>
    <cellStyle name="千位分隔 3 22" xfId="36268"/>
    <cellStyle name="千位分隔 3 17" xfId="36269"/>
    <cellStyle name="千位分隔 3 23" xfId="36270"/>
    <cellStyle name="千位分隔 3 18" xfId="36271"/>
    <cellStyle name="千位分隔 3 24" xfId="36272"/>
    <cellStyle name="千位分隔 3 19" xfId="36273"/>
    <cellStyle name="强调 2 2 3" xfId="36274"/>
    <cellStyle name="千位分隔 3 2 10" xfId="36275"/>
    <cellStyle name="千位分隔 3 2 10 2" xfId="36276"/>
    <cellStyle name="千位分隔 3 2 10 2 3" xfId="36277"/>
    <cellStyle name="千位分隔 3 2 10 2 4" xfId="36278"/>
    <cellStyle name="千位分隔 3 2 10 2 5" xfId="36279"/>
    <cellStyle name="千位分隔 3 2 10 3" xfId="36280"/>
    <cellStyle name="千位分隔 3 2 10 4" xfId="36281"/>
    <cellStyle name="千位分隔 3 2 10_附注表一（财务报表）" xfId="36282"/>
    <cellStyle name="千位分隔 3 2 11 2" xfId="36283"/>
    <cellStyle name="千位分隔 3 2 11 2 2" xfId="36284"/>
    <cellStyle name="千位分隔 3 2 11 2 3" xfId="36285"/>
    <cellStyle name="千位分隔 3 2 11_附注表一（财务报表）" xfId="36286"/>
    <cellStyle name="千位分隔 3 2 12" xfId="36287"/>
    <cellStyle name="千位分隔 3 2 12 2" xfId="36288"/>
    <cellStyle name="千位分隔 3 2 12 2 2" xfId="36289"/>
    <cellStyle name="千位分隔 3 2 12 2 3" xfId="36290"/>
    <cellStyle name="千位分隔 3 2 12 2 4" xfId="36291"/>
    <cellStyle name="千位分隔 3 2 12 2 5" xfId="36292"/>
    <cellStyle name="千位分隔 3 2 13" xfId="36293"/>
    <cellStyle name="千位分隔 3 2 13 2" xfId="36294"/>
    <cellStyle name="千位分隔 3 2 13 2 2" xfId="36295"/>
    <cellStyle name="千位分隔 3 2 13 2 3" xfId="36296"/>
    <cellStyle name="千位分隔 3 2 13 2 4" xfId="36297"/>
    <cellStyle name="千位分隔 3 2 13 2 5" xfId="36298"/>
    <cellStyle name="千位分隔 3 2 13_附注表一（财务报表）" xfId="36299"/>
    <cellStyle name="千位分隔 3 2 14" xfId="36300"/>
    <cellStyle name="千位分隔 3 2 14 2" xfId="36301"/>
    <cellStyle name="千位分隔 3 2 14 2 2" xfId="36302"/>
    <cellStyle name="千位分隔 3 2 14 2 3" xfId="36303"/>
    <cellStyle name="千位分隔 3 2 14 2 4" xfId="36304"/>
    <cellStyle name="千位分隔 3 2 14 2 5" xfId="36305"/>
    <cellStyle name="千位分隔 3 2 14_附注表一（财务报表）" xfId="36306"/>
    <cellStyle name="千位分隔 3 2 20" xfId="36307"/>
    <cellStyle name="千位分隔 3 2 15" xfId="36308"/>
    <cellStyle name="千位分隔 3 2 15 2" xfId="36309"/>
    <cellStyle name="千位分隔 3 2 15 2 2" xfId="36310"/>
    <cellStyle name="千位分隔 3 2 15 2 3" xfId="36311"/>
    <cellStyle name="千位分隔 3 2 15 2 4" xfId="36312"/>
    <cellStyle name="千位分隔 3 2 15 2 5" xfId="36313"/>
    <cellStyle name="千位分隔 3 2 15_附注表一（财务报表）" xfId="36314"/>
    <cellStyle name="千位分隔 3 2 21" xfId="36315"/>
    <cellStyle name="千位分隔 3 2 16" xfId="36316"/>
    <cellStyle name="千位分隔 3 2 21 2" xfId="36317"/>
    <cellStyle name="千位分隔 3 2 16 2" xfId="36318"/>
    <cellStyle name="千位分隔 3 2 16 2 2" xfId="36319"/>
    <cellStyle name="千位分隔 3 2 16 2 3" xfId="36320"/>
    <cellStyle name="千位分隔 3 2 16 2 4" xfId="36321"/>
    <cellStyle name="千位分隔 3 2 16 2 5" xfId="36322"/>
    <cellStyle name="千位分隔 3 2 16_附注表一（财务报表）" xfId="36323"/>
    <cellStyle name="千位分隔 3 2 22" xfId="36324"/>
    <cellStyle name="千位分隔 3 2 17" xfId="36325"/>
    <cellStyle name="千位分隔 3 2 17 2" xfId="36326"/>
    <cellStyle name="千位分隔 3 2 17 2 2" xfId="36327"/>
    <cellStyle name="千位分隔 3 2 17 2 3" xfId="36328"/>
    <cellStyle name="千位分隔 3 2 17 2 4" xfId="36329"/>
    <cellStyle name="千位分隔 3 2 17 2 5" xfId="36330"/>
    <cellStyle name="千位分隔 3 2 17_附注表一（财务报表）" xfId="36331"/>
    <cellStyle name="千位分隔 3 2 23" xfId="36332"/>
    <cellStyle name="千位分隔 3 2 18" xfId="36333"/>
    <cellStyle name="千位分隔 3 2 2" xfId="36334"/>
    <cellStyle name="千位分隔 3 2 2 10" xfId="36335"/>
    <cellStyle name="千位分隔 3 2 2 11" xfId="36336"/>
    <cellStyle name="强调文字颜色 3 2 5" xfId="36337"/>
    <cellStyle name="千位分隔 3 2 2 2" xfId="36338"/>
    <cellStyle name="强调文字颜色 3 2 5 2" xfId="36339"/>
    <cellStyle name="千位分隔 3 2 2 2 2" xfId="36340"/>
    <cellStyle name="千位分隔 3 2 2 2 2 2" xfId="36341"/>
    <cellStyle name="千位分隔 3 2 2 2 2 3" xfId="36342"/>
    <cellStyle name="千位分隔 3 2 2 2 3" xfId="36343"/>
    <cellStyle name="千位分隔 3 2 2 2 3 2" xfId="36344"/>
    <cellStyle name="千位分隔 3 2 2 2 4" xfId="36345"/>
    <cellStyle name="千位分隔 3 2 2 2 5" xfId="36346"/>
    <cellStyle name="千位分隔 3 2 2 2 6" xfId="36347"/>
    <cellStyle name="千位分隔 3 2 2 2 7" xfId="36348"/>
    <cellStyle name="强调文字颜色 3 2 6" xfId="36349"/>
    <cellStyle name="千位分隔 3 2 2 3" xfId="36350"/>
    <cellStyle name="强调文字颜色 3 2 6 2" xfId="36351"/>
    <cellStyle name="千位分隔 3 2 2 3 2" xfId="36352"/>
    <cellStyle name="千位分隔 3 2 2 3 2 3" xfId="36353"/>
    <cellStyle name="千位分隔 3 2 2 3 3" xfId="36354"/>
    <cellStyle name="千位分隔 3 2 2 3 4" xfId="36355"/>
    <cellStyle name="强调文字颜色 3 2 7" xfId="36356"/>
    <cellStyle name="千位分隔 3 2 2 4" xfId="36357"/>
    <cellStyle name="强调文字颜色 3 2 8" xfId="36358"/>
    <cellStyle name="千位分隔 3 2 2 5" xfId="36359"/>
    <cellStyle name="强调文字颜色 3 2 9" xfId="36360"/>
    <cellStyle name="千位分隔 3 2 2 6" xfId="36361"/>
    <cellStyle name="千位分隔 3 2 2 7" xfId="36362"/>
    <cellStyle name="千位分隔 3 2 2 8" xfId="36363"/>
    <cellStyle name="千位分隔 3 2 2 9" xfId="36364"/>
    <cellStyle name="千位分隔 3 2 2_附注表一（财务报表）" xfId="36365"/>
    <cellStyle name="千位分隔 3 2 30" xfId="36366"/>
    <cellStyle name="千位分隔 3 2 25" xfId="36367"/>
    <cellStyle name="千位分隔 3 2 31" xfId="36368"/>
    <cellStyle name="千位分隔 3 2 26" xfId="36369"/>
    <cellStyle name="千位分隔 3 2 32" xfId="36370"/>
    <cellStyle name="千位分隔 3 2 27" xfId="36371"/>
    <cellStyle name="千位分隔 3 2 33" xfId="36372"/>
    <cellStyle name="千位分隔 3 2 28" xfId="36373"/>
    <cellStyle name="千位分隔 3 2 29" xfId="36374"/>
    <cellStyle name="千位分隔 3 2 3" xfId="36375"/>
    <cellStyle name="千位分隔 3 2 3 2" xfId="36376"/>
    <cellStyle name="千位分隔 3 2 3 2 2" xfId="36377"/>
    <cellStyle name="千位分隔 3 2 3 2 2 2" xfId="36378"/>
    <cellStyle name="千位分隔 3 2 3 2 2 3" xfId="36379"/>
    <cellStyle name="千位分隔 3 2 3 2 3" xfId="36380"/>
    <cellStyle name="千位分隔 3 2 3 2 4" xfId="36381"/>
    <cellStyle name="千位分隔 3 2 3 2 5" xfId="36382"/>
    <cellStyle name="千位分隔 3 2 3 3" xfId="36383"/>
    <cellStyle name="千位分隔 3 2 3 3 2" xfId="36384"/>
    <cellStyle name="千位分隔 3 2 3 3 2 2" xfId="36385"/>
    <cellStyle name="千位分隔 3 2 3 3 3" xfId="36386"/>
    <cellStyle name="千位分隔 3 2 3 4" xfId="36387"/>
    <cellStyle name="千位分隔 3 2 3 4 2" xfId="36388"/>
    <cellStyle name="千位分隔 3 2 3 4 3" xfId="36389"/>
    <cellStyle name="千位分隔 3 2 3 5" xfId="36390"/>
    <cellStyle name="千位分隔 3 2 3 6" xfId="36391"/>
    <cellStyle name="千位分隔 3 2 3 7" xfId="36392"/>
    <cellStyle name="千位分隔 3 2 3 8" xfId="36393"/>
    <cellStyle name="千位分隔 3 2 3 9" xfId="36394"/>
    <cellStyle name="千位分隔 3 2 4" xfId="36395"/>
    <cellStyle name="千位分隔 3 2 4 2" xfId="36396"/>
    <cellStyle name="千位分隔 3 2 4 3" xfId="36397"/>
    <cellStyle name="千位分隔 3 2 4 4" xfId="36398"/>
    <cellStyle name="千位分隔 3 2 4 5" xfId="36399"/>
    <cellStyle name="千位分隔 3 2 4 6" xfId="36400"/>
    <cellStyle name="千位分隔 3 2 4 7" xfId="36401"/>
    <cellStyle name="千位分隔 3 2 4_附注表一（财务报表）" xfId="36402"/>
    <cellStyle name="千位分隔 3 2 5" xfId="36403"/>
    <cellStyle name="千位分隔 3 2 5 2" xfId="36404"/>
    <cellStyle name="千位分隔 3 2 5 2 2" xfId="36405"/>
    <cellStyle name="千位分隔 3 2 5 2 3" xfId="36406"/>
    <cellStyle name="千位分隔 3 2 5 2 4" xfId="36407"/>
    <cellStyle name="千位分隔 3 2 5 2 5" xfId="36408"/>
    <cellStyle name="千位分隔 3 2 5 3" xfId="36409"/>
    <cellStyle name="千位分隔 3 2 5 3 2" xfId="36410"/>
    <cellStyle name="千位分隔 3 2 5 3 3" xfId="36411"/>
    <cellStyle name="千位分隔 3 2 5 4" xfId="36412"/>
    <cellStyle name="千位分隔 3 2 5 4 2" xfId="36413"/>
    <cellStyle name="千位分隔 3 2 5 5" xfId="36414"/>
    <cellStyle name="千位分隔 3 2 5 6" xfId="36415"/>
    <cellStyle name="千位分隔 3 2 5_附注表一（财务报表）" xfId="36416"/>
    <cellStyle name="千位分隔 3 2 6" xfId="36417"/>
    <cellStyle name="千位分隔 3 2 6 2" xfId="36418"/>
    <cellStyle name="千位分隔 3 2 6 2 2" xfId="36419"/>
    <cellStyle name="千位分隔 3 2 6 2 2 2" xfId="36420"/>
    <cellStyle name="千位分隔 3 2 6 2 3" xfId="36421"/>
    <cellStyle name="千位分隔 3 2 6 2 4" xfId="36422"/>
    <cellStyle name="千位分隔 3 2 6 2 5" xfId="36423"/>
    <cellStyle name="千位分隔 3 2 6 3" xfId="36424"/>
    <cellStyle name="千位分隔 3 2 6 3 2" xfId="36425"/>
    <cellStyle name="千位分隔 3 2 6 3 2 2" xfId="36426"/>
    <cellStyle name="千位分隔 3 2 6 3 3" xfId="36427"/>
    <cellStyle name="千位分隔 3 2 6 4" xfId="36428"/>
    <cellStyle name="千位分隔 3 2 6 4 2" xfId="36429"/>
    <cellStyle name="千位分隔 3 2 6 5" xfId="36430"/>
    <cellStyle name="千位分隔 3 2 6 6" xfId="36431"/>
    <cellStyle name="千位分隔 3 2 6_附注表一（财务报表）" xfId="36432"/>
    <cellStyle name="千位分隔 3 2 7" xfId="36433"/>
    <cellStyle name="千位分隔 3 2 7 2" xfId="36434"/>
    <cellStyle name="千位分隔 3 2 7 2 2" xfId="36435"/>
    <cellStyle name="千位分隔 3 2 7 2 3" xfId="36436"/>
    <cellStyle name="千位分隔 3 2 7 2 5" xfId="36437"/>
    <cellStyle name="千位分隔 3 2 7 3" xfId="36438"/>
    <cellStyle name="千位分隔 3 2 7 3 2" xfId="36439"/>
    <cellStyle name="千位分隔 3 2 7 4" xfId="36440"/>
    <cellStyle name="千位分隔 3 2 7 5" xfId="36441"/>
    <cellStyle name="千位分隔 3 2 7_附注表一（财务报表）" xfId="36442"/>
    <cellStyle name="千位分隔 3 2 8" xfId="36443"/>
    <cellStyle name="千位分隔 3 2 8 2" xfId="36444"/>
    <cellStyle name="千位分隔 3 2 8 2 2" xfId="36445"/>
    <cellStyle name="千位分隔 3 2 8 2 3" xfId="36446"/>
    <cellStyle name="千位分隔 3 2 8 2 4" xfId="36447"/>
    <cellStyle name="千位分隔 3 2 8 2 5" xfId="36448"/>
    <cellStyle name="千位分隔 3 2 8 3" xfId="36449"/>
    <cellStyle name="千位分隔 3 2 8 3 2" xfId="36450"/>
    <cellStyle name="千位分隔 3 2 8 3 3" xfId="36451"/>
    <cellStyle name="千位分隔 3 2 8 4" xfId="36452"/>
    <cellStyle name="千位分隔 3 2 8 5" xfId="36453"/>
    <cellStyle name="千位分隔 3 2 8_附注表一（财务报表）" xfId="36454"/>
    <cellStyle name="千位分隔 3 2 9" xfId="36455"/>
    <cellStyle name="千位分隔 3 2 9 2 2" xfId="36456"/>
    <cellStyle name="千位分隔 3 2 9 2 3" xfId="36457"/>
    <cellStyle name="千位分隔 3 2 9 2 4" xfId="36458"/>
    <cellStyle name="千位分隔 3 2 9 2 5" xfId="36459"/>
    <cellStyle name="千位分隔 3 2 9 3 2" xfId="36460"/>
    <cellStyle name="千位分隔 3 2 9 3 3" xfId="36461"/>
    <cellStyle name="千位分隔 3 2 9 5" xfId="36462"/>
    <cellStyle name="千位分隔 3 2 9_附注表一（财务报表）" xfId="36463"/>
    <cellStyle name="千位分隔 3 2_附注表一（财务报表）" xfId="36464"/>
    <cellStyle name="千位分隔 3 20 4" xfId="36465"/>
    <cellStyle name="千位分隔 3 20 5" xfId="36466"/>
    <cellStyle name="千位分隔 3 30" xfId="36467"/>
    <cellStyle name="千位分隔 3 25" xfId="36468"/>
    <cellStyle name="千位分隔 3 31" xfId="36469"/>
    <cellStyle name="千位分隔 3 26" xfId="36470"/>
    <cellStyle name="千位分隔 3 32" xfId="36471"/>
    <cellStyle name="千位分隔 3 27" xfId="36472"/>
    <cellStyle name="千位分隔 3 33" xfId="36473"/>
    <cellStyle name="千位分隔 3 28" xfId="36474"/>
    <cellStyle name="千位分隔 3 34" xfId="36475"/>
    <cellStyle name="千位分隔 3 29" xfId="36476"/>
    <cellStyle name="千位分隔 3 3" xfId="36477"/>
    <cellStyle name="千位分隔 3 3 10" xfId="36478"/>
    <cellStyle name="千位分隔 3 3 11" xfId="36479"/>
    <cellStyle name="千位分隔 3 3 2" xfId="36480"/>
    <cellStyle name="强调文字颜色 4 2 5" xfId="36481"/>
    <cellStyle name="千位分隔 3 3 2 2" xfId="36482"/>
    <cellStyle name="强调文字颜色 4 2 5 2" xfId="36483"/>
    <cellStyle name="千位分隔 3 3 2 2 2" xfId="36484"/>
    <cellStyle name="千位分隔 3 3 2 2 3" xfId="36485"/>
    <cellStyle name="强调文字颜色 4 2 6" xfId="36486"/>
    <cellStyle name="千位分隔 3 3 2 3" xfId="36487"/>
    <cellStyle name="强调文字颜色 4 2 7" xfId="36488"/>
    <cellStyle name="千位分隔 3 3 2 4" xfId="36489"/>
    <cellStyle name="强调文字颜色 4 2 8" xfId="36490"/>
    <cellStyle name="千位分隔 3 3 2 5" xfId="36491"/>
    <cellStyle name="强调文字颜色 4 2 9" xfId="36492"/>
    <cellStyle name="千位分隔 3 3 2 6" xfId="36493"/>
    <cellStyle name="千位分隔 3 3 3" xfId="36494"/>
    <cellStyle name="千位分隔 3 3 3 2" xfId="36495"/>
    <cellStyle name="千位分隔 3 3 3 2 2" xfId="36496"/>
    <cellStyle name="千位分隔 3 3 3 2 3" xfId="36497"/>
    <cellStyle name="千位分隔 3 3 3 3" xfId="36498"/>
    <cellStyle name="千位分隔 3 3 3 4" xfId="36499"/>
    <cellStyle name="千位分隔 3 3 4" xfId="36500"/>
    <cellStyle name="千位分隔 3 3 4 2" xfId="36501"/>
    <cellStyle name="千位分隔 3 3 4 3" xfId="36502"/>
    <cellStyle name="千位分隔 3 3 5" xfId="36503"/>
    <cellStyle name="千位分隔 3 3 5 2" xfId="36504"/>
    <cellStyle name="千位分隔 3 3 5 3" xfId="36505"/>
    <cellStyle name="千位分隔 3 4" xfId="36506"/>
    <cellStyle name="千位分隔 3 4 10" xfId="36507"/>
    <cellStyle name="千位分隔 3 4 11" xfId="36508"/>
    <cellStyle name="千位分隔 3 4 12" xfId="36509"/>
    <cellStyle name="千位分隔 3 4 2" xfId="36510"/>
    <cellStyle name="强调文字颜色 5 2 5" xfId="36511"/>
    <cellStyle name="千位分隔 3 4 2 2" xfId="36512"/>
    <cellStyle name="强调文字颜色 5 2 5 2" xfId="36513"/>
    <cellStyle name="千位分隔 3 4 2 2 2" xfId="36514"/>
    <cellStyle name="千位分隔 3 4 2 2 3" xfId="36515"/>
    <cellStyle name="强调文字颜色 5 2 6" xfId="36516"/>
    <cellStyle name="千位分隔 3 4 2 3" xfId="36517"/>
    <cellStyle name="强调文字颜色 5 2 7" xfId="36518"/>
    <cellStyle name="千位分隔 3 4 2 4" xfId="36519"/>
    <cellStyle name="强调文字颜色 5 2 8" xfId="36520"/>
    <cellStyle name="千位分隔 3 4 2 5" xfId="36521"/>
    <cellStyle name="强调文字颜色 5 2 9" xfId="36522"/>
    <cellStyle name="千位分隔 3 4 2 6" xfId="36523"/>
    <cellStyle name="千位分隔 3 4 3" xfId="36524"/>
    <cellStyle name="千位分隔 3 4 3 2" xfId="36525"/>
    <cellStyle name="千位分隔 3 4 3 2 2" xfId="36526"/>
    <cellStyle name="千位分隔 3 4 3 2 3" xfId="36527"/>
    <cellStyle name="千位分隔 3 4 3 3" xfId="36528"/>
    <cellStyle name="千位分隔 3 4 3 4" xfId="36529"/>
    <cellStyle name="千位分隔 3 4 4" xfId="36530"/>
    <cellStyle name="千位分隔 3 4 4 2" xfId="36531"/>
    <cellStyle name="千位分隔 3 4 4 3" xfId="36532"/>
    <cellStyle name="千位分隔 3 4 5" xfId="36533"/>
    <cellStyle name="千位分隔 3 4 5 2" xfId="36534"/>
    <cellStyle name="千位分隔 3 4 6" xfId="36535"/>
    <cellStyle name="千位分隔 3 4 6 2" xfId="36536"/>
    <cellStyle name="千位分隔 3 4 7" xfId="36537"/>
    <cellStyle name="千位分隔 3 4 7 2" xfId="36538"/>
    <cellStyle name="千位分隔 3 4 8" xfId="36539"/>
    <cellStyle name="千位分隔 3 4 9" xfId="36540"/>
    <cellStyle name="千位分隔 3 4_附注表一（财务报表）" xfId="36541"/>
    <cellStyle name="千位分隔 3 5" xfId="36542"/>
    <cellStyle name="千位分隔 3 5 2" xfId="36543"/>
    <cellStyle name="强调文字颜色 6 2 5" xfId="36544"/>
    <cellStyle name="千位分隔 3 5 2 2" xfId="36545"/>
    <cellStyle name="强调文字颜色 6 2 5 2" xfId="36546"/>
    <cellStyle name="千位分隔 3 5 2 2 2" xfId="36547"/>
    <cellStyle name="千位分隔 3 5 2 2 3" xfId="36548"/>
    <cellStyle name="强调文字颜色 6 2 6" xfId="36549"/>
    <cellStyle name="千位分隔 3 5 2 3" xfId="36550"/>
    <cellStyle name="强调文字颜色 6 2 7" xfId="36551"/>
    <cellStyle name="千位分隔 3 5 2 4" xfId="36552"/>
    <cellStyle name="强调文字颜色 6 2 8" xfId="36553"/>
    <cellStyle name="千位分隔 3 5 2 5" xfId="36554"/>
    <cellStyle name="强调文字颜色 6 2 9" xfId="36555"/>
    <cellStyle name="千位分隔 3 5 2 6" xfId="36556"/>
    <cellStyle name="千位分隔 3 5 3" xfId="36557"/>
    <cellStyle name="千位分隔 3 5 3 2" xfId="36558"/>
    <cellStyle name="千位分隔 3 5 3 2 2" xfId="36559"/>
    <cellStyle name="千位分隔 3 5 3 3" xfId="36560"/>
    <cellStyle name="千位分隔 3 5 4" xfId="36561"/>
    <cellStyle name="千位分隔 3 5 4 2" xfId="36562"/>
    <cellStyle name="千位分隔 3 5 4 3" xfId="36563"/>
    <cellStyle name="千位分隔 3 5 5" xfId="36564"/>
    <cellStyle name="千位分隔 3 5 6" xfId="36565"/>
    <cellStyle name="千位分隔 3 5 7" xfId="36566"/>
    <cellStyle name="千位分隔 3 5 8" xfId="36567"/>
    <cellStyle name="千位分隔 3 5_附注表一（财务报表）" xfId="36568"/>
    <cellStyle name="千位分隔 3 6" xfId="36569"/>
    <cellStyle name="千位分隔 3 6 2" xfId="36570"/>
    <cellStyle name="千位分隔 3 6 2 2" xfId="36571"/>
    <cellStyle name="千位分隔 3 6 2 3" xfId="36572"/>
    <cellStyle name="千位分隔 3 6 2 4" xfId="36573"/>
    <cellStyle name="千位分隔 3 6 2 5" xfId="36574"/>
    <cellStyle name="千位分隔 3 6 2 6" xfId="36575"/>
    <cellStyle name="千位分隔 3 6 3" xfId="36576"/>
    <cellStyle name="千位分隔 3 6 3 2" xfId="36577"/>
    <cellStyle name="千位分隔 3 6 3 2 2" xfId="36578"/>
    <cellStyle name="千位分隔 3 6 3 3" xfId="36579"/>
    <cellStyle name="千位分隔 3 6 4" xfId="36580"/>
    <cellStyle name="千位分隔 3 6 4 2" xfId="36581"/>
    <cellStyle name="千位分隔 3 6 5" xfId="36582"/>
    <cellStyle name="千位分隔 3 6 6" xfId="36583"/>
    <cellStyle name="千位分隔 3 6 7" xfId="36584"/>
    <cellStyle name="千位分隔 3 6_附注表一（财务报表）" xfId="36585"/>
    <cellStyle name="千位分隔 3 7" xfId="36586"/>
    <cellStyle name="千位分隔 3 7 2" xfId="36587"/>
    <cellStyle name="千位分隔 3 7 2 2" xfId="36588"/>
    <cellStyle name="千位分隔 3 7 2 3" xfId="36589"/>
    <cellStyle name="千位分隔 3 7 2 4" xfId="36590"/>
    <cellStyle name="千位分隔 3 7 2 5" xfId="36591"/>
    <cellStyle name="千位分隔 3 7 2 6" xfId="36592"/>
    <cellStyle name="千位分隔 3 7 3" xfId="36593"/>
    <cellStyle name="千位分隔 3 7 3 2" xfId="36594"/>
    <cellStyle name="千位分隔 3 7 3 2 2" xfId="36595"/>
    <cellStyle name="千位分隔 3 7 3 3" xfId="36596"/>
    <cellStyle name="千位分隔 3 7 4" xfId="36597"/>
    <cellStyle name="千位分隔 3 7 4 2" xfId="36598"/>
    <cellStyle name="千位分隔 3 7 5" xfId="36599"/>
    <cellStyle name="千位分隔 3 7 6" xfId="36600"/>
    <cellStyle name="千位分隔 3 7 7" xfId="36601"/>
    <cellStyle name="千位分隔 3 7_附注表一（财务报表）" xfId="36602"/>
    <cellStyle name="千位分隔 3 8" xfId="36603"/>
    <cellStyle name="千位分隔 3 8 2" xfId="36604"/>
    <cellStyle name="千位分隔 3 8 2 2" xfId="36605"/>
    <cellStyle name="千位分隔 3 8 2 3" xfId="36606"/>
    <cellStyle name="千位分隔 3 8 3" xfId="36607"/>
    <cellStyle name="千位分隔 3 8 3 2" xfId="36608"/>
    <cellStyle name="千位分隔 3 8 3 3" xfId="36609"/>
    <cellStyle name="千位分隔 3 8 4" xfId="36610"/>
    <cellStyle name="千位分隔 3 8 4 2" xfId="36611"/>
    <cellStyle name="千位分隔 3 8 5" xfId="36612"/>
    <cellStyle name="千位分隔 3 8_附注表一（财务报表）" xfId="36613"/>
    <cellStyle name="千位分隔 3 9" xfId="36614"/>
    <cellStyle name="千位分隔 3 9 2" xfId="36615"/>
    <cellStyle name="千位分隔 3 9 2 2" xfId="36616"/>
    <cellStyle name="千位分隔 3 9 2 3" xfId="36617"/>
    <cellStyle name="千位分隔 3 9 2 4" xfId="36618"/>
    <cellStyle name="千位分隔 3 9 2 5" xfId="36619"/>
    <cellStyle name="千位分隔 3 9 3" xfId="36620"/>
    <cellStyle name="千位分隔 3 9 3 2" xfId="36621"/>
    <cellStyle name="千位分隔 3 9 3 3" xfId="36622"/>
    <cellStyle name="千位分隔 3 9 4" xfId="36623"/>
    <cellStyle name="千位分隔 3 9 4 2" xfId="36624"/>
    <cellStyle name="千位分隔 3 9 5" xfId="36625"/>
    <cellStyle name="千位分隔 3 9_附注表一（财务报表）" xfId="36626"/>
    <cellStyle name="千位分隔 3_附注表一（财务报表）" xfId="36627"/>
    <cellStyle name="千位分隔 30 2" xfId="36628"/>
    <cellStyle name="千位分隔 30 2 2" xfId="36629"/>
    <cellStyle name="千位分隔 30 2 2 2" xfId="36630"/>
    <cellStyle name="千位分隔 30 2 3" xfId="36631"/>
    <cellStyle name="千位分隔 30 2 4" xfId="36632"/>
    <cellStyle name="千位分隔 30 3" xfId="36633"/>
    <cellStyle name="千位分隔 30 3 2" xfId="36634"/>
    <cellStyle name="千位分隔 30 3 3" xfId="36635"/>
    <cellStyle name="千位分隔 30 4" xfId="36636"/>
    <cellStyle name="千位分隔 30 5" xfId="36637"/>
    <cellStyle name="千位分隔 35" xfId="36638"/>
    <cellStyle name="千位分隔 36" xfId="36639"/>
    <cellStyle name="千位分隔 37" xfId="36640"/>
    <cellStyle name="千位分隔 4" xfId="36641"/>
    <cellStyle name="千位分隔 4 10" xfId="36642"/>
    <cellStyle name="千位分隔 4 10 2" xfId="36643"/>
    <cellStyle name="千位分隔 4 10 2 2" xfId="36644"/>
    <cellStyle name="千位分隔 4 10 2 3" xfId="36645"/>
    <cellStyle name="千位分隔 4 10 2 4" xfId="36646"/>
    <cellStyle name="千位分隔 4 10 2 5" xfId="36647"/>
    <cellStyle name="千位分隔 4 10 4" xfId="36648"/>
    <cellStyle name="千位分隔 4 10 5" xfId="36649"/>
    <cellStyle name="千位分隔 4 10_附注表一（财务报表）" xfId="36650"/>
    <cellStyle name="千位分隔 4 11" xfId="36651"/>
    <cellStyle name="千位分隔 4 11 2" xfId="36652"/>
    <cellStyle name="千位分隔 4 11 2 2" xfId="36653"/>
    <cellStyle name="千位分隔 4 11 2 3" xfId="36654"/>
    <cellStyle name="千位分隔 4 11 2 4" xfId="36655"/>
    <cellStyle name="千位分隔 4 11 2 5" xfId="36656"/>
    <cellStyle name="千位分隔 4 11 3" xfId="36657"/>
    <cellStyle name="千位分隔 4 11 4" xfId="36658"/>
    <cellStyle name="千位分隔 4 11 5" xfId="36659"/>
    <cellStyle name="千位分隔 4 11_附注表一（财务报表）" xfId="36660"/>
    <cellStyle name="千位分隔 4 12" xfId="36661"/>
    <cellStyle name="千位分隔 4 12 2" xfId="36662"/>
    <cellStyle name="千位分隔 4 12 2 2" xfId="36663"/>
    <cellStyle name="千位分隔 4 12 2 3" xfId="36664"/>
    <cellStyle name="千位分隔 4 12 2 4" xfId="36665"/>
    <cellStyle name="千位分隔 4 12 2 5" xfId="36666"/>
    <cellStyle name="千位分隔 4 12 3" xfId="36667"/>
    <cellStyle name="千位分隔 4 12 4" xfId="36668"/>
    <cellStyle name="千位分隔 4 12 5" xfId="36669"/>
    <cellStyle name="千位分隔 4 12_附注表一（财务报表）" xfId="36670"/>
    <cellStyle name="千位分隔 4 13" xfId="36671"/>
    <cellStyle name="千位分隔 4 13 2" xfId="36672"/>
    <cellStyle name="千位分隔 4 13 2 2" xfId="36673"/>
    <cellStyle name="千位分隔 4 13 2 3" xfId="36674"/>
    <cellStyle name="千位分隔 4 13 2 4" xfId="36675"/>
    <cellStyle name="千位分隔 4 13 2 5" xfId="36676"/>
    <cellStyle name="千位分隔 4 13 3" xfId="36677"/>
    <cellStyle name="千位分隔 4 13_附注表一（财务报表）" xfId="36678"/>
    <cellStyle name="千位分隔 4 14" xfId="36679"/>
    <cellStyle name="千位分隔 4 14 2" xfId="36680"/>
    <cellStyle name="千位分隔 4 14 2 2" xfId="36681"/>
    <cellStyle name="千位分隔 4 14 2 3" xfId="36682"/>
    <cellStyle name="千位分隔 4 14 2 4" xfId="36683"/>
    <cellStyle name="千位分隔 4 14 2 5" xfId="36684"/>
    <cellStyle name="千位分隔 4 14 3" xfId="36685"/>
    <cellStyle name="千位分隔 4 14_附注表一（财务报表）" xfId="36686"/>
    <cellStyle name="千位分隔 4 20" xfId="36687"/>
    <cellStyle name="千位分隔 4 15" xfId="36688"/>
    <cellStyle name="千位分隔 4 20 2" xfId="36689"/>
    <cellStyle name="千位分隔 4 15 2" xfId="36690"/>
    <cellStyle name="千位分隔 4 20 2 2" xfId="36691"/>
    <cellStyle name="千位分隔 4 15 2 2" xfId="36692"/>
    <cellStyle name="千位分隔 4 20 2 3" xfId="36693"/>
    <cellStyle name="千位分隔 4 15 2 3" xfId="36694"/>
    <cellStyle name="千位分隔 4 20 2 4" xfId="36695"/>
    <cellStyle name="千位分隔 4 15 2 4" xfId="36696"/>
    <cellStyle name="千位分隔 4 20 2 5" xfId="36697"/>
    <cellStyle name="千位分隔 4 15 2 5" xfId="36698"/>
    <cellStyle name="千位分隔 4 20 3" xfId="36699"/>
    <cellStyle name="千位分隔 4 15 3" xfId="36700"/>
    <cellStyle name="千位分隔 4 20_附注表一（财务报表）" xfId="36701"/>
    <cellStyle name="千位分隔 4 15_附注表一（财务报表）" xfId="36702"/>
    <cellStyle name="千位分隔 4 21" xfId="36703"/>
    <cellStyle name="千位分隔 4 16" xfId="36704"/>
    <cellStyle name="千位分隔 4 21 2" xfId="36705"/>
    <cellStyle name="千位分隔 4 16 2" xfId="36706"/>
    <cellStyle name="千位分隔 4 21 2 2" xfId="36707"/>
    <cellStyle name="千位分隔 4 16 2 2" xfId="36708"/>
    <cellStyle name="千位分隔 4 21 2 3" xfId="36709"/>
    <cellStyle name="千位分隔 4 16 2 3" xfId="36710"/>
    <cellStyle name="千位分隔 4 21 2 4" xfId="36711"/>
    <cellStyle name="千位分隔 4 16 2 4" xfId="36712"/>
    <cellStyle name="千位分隔 4 21 2 5" xfId="36713"/>
    <cellStyle name="千位分隔 4 16 2 5" xfId="36714"/>
    <cellStyle name="千位分隔 4 21 3" xfId="36715"/>
    <cellStyle name="千位分隔 4 16 3" xfId="36716"/>
    <cellStyle name="千位分隔 4 21_附注表一（财务报表）" xfId="36717"/>
    <cellStyle name="千位分隔 4 16_附注表一（财务报表）" xfId="36718"/>
    <cellStyle name="千位分隔 4 22" xfId="36719"/>
    <cellStyle name="千位分隔 4 17" xfId="36720"/>
    <cellStyle name="千位分隔 4 22 2" xfId="36721"/>
    <cellStyle name="千位分隔 4 17 2" xfId="36722"/>
    <cellStyle name="千位分隔 4 22 2 2" xfId="36723"/>
    <cellStyle name="千位分隔 4 17 2 2" xfId="36724"/>
    <cellStyle name="千位分隔 4 22 2 3" xfId="36725"/>
    <cellStyle name="千位分隔 4 17 2 3" xfId="36726"/>
    <cellStyle name="千位分隔 4 22 2 4" xfId="36727"/>
    <cellStyle name="千位分隔 4 17 2 4" xfId="36728"/>
    <cellStyle name="千位分隔 4 22 2 5" xfId="36729"/>
    <cellStyle name="千位分隔 4 17 2 5" xfId="36730"/>
    <cellStyle name="千位分隔 4 22 3" xfId="36731"/>
    <cellStyle name="千位分隔 4 17 3" xfId="36732"/>
    <cellStyle name="千位分隔 4 22_附注表一（财务报表）" xfId="36733"/>
    <cellStyle name="千位分隔 4 17_附注表一（财务报表）" xfId="36734"/>
    <cellStyle name="千位分隔 4 23" xfId="36735"/>
    <cellStyle name="千位分隔 4 18" xfId="36736"/>
    <cellStyle name="千位分隔 4 23 2" xfId="36737"/>
    <cellStyle name="千位分隔 4 18 2" xfId="36738"/>
    <cellStyle name="千位分隔 4 23 2 2" xfId="36739"/>
    <cellStyle name="千位分隔 4 18 2 2" xfId="36740"/>
    <cellStyle name="千位分隔 4 23 2 3" xfId="36741"/>
    <cellStyle name="千位分隔 4 18 2 3" xfId="36742"/>
    <cellStyle name="千位分隔 4 23 2 4" xfId="36743"/>
    <cellStyle name="千位分隔 4 18 2 4" xfId="36744"/>
    <cellStyle name="千位分隔 4 23 2 5" xfId="36745"/>
    <cellStyle name="千位分隔 4 18 2 5" xfId="36746"/>
    <cellStyle name="千位分隔 4 18 3" xfId="36747"/>
    <cellStyle name="千位分隔 4 24" xfId="36748"/>
    <cellStyle name="千位分隔 4 19" xfId="36749"/>
    <cellStyle name="千位分隔 4 24 2" xfId="36750"/>
    <cellStyle name="千位分隔 4 19 2" xfId="36751"/>
    <cellStyle name="千位分隔 4 24 2 2" xfId="36752"/>
    <cellStyle name="千位分隔 4 19 2 2" xfId="36753"/>
    <cellStyle name="千位分隔 4 24 2 3" xfId="36754"/>
    <cellStyle name="千位分隔 4 19 2 3" xfId="36755"/>
    <cellStyle name="千位分隔 4 24 2 4" xfId="36756"/>
    <cellStyle name="千位分隔 4 19 2 4" xfId="36757"/>
    <cellStyle name="千位分隔 4 24 2 5" xfId="36758"/>
    <cellStyle name="千位分隔 4 19 2 5" xfId="36759"/>
    <cellStyle name="千位分隔 4 19 3" xfId="36760"/>
    <cellStyle name="千位分隔 4 24_附注表一（财务报表）" xfId="36761"/>
    <cellStyle name="千位分隔 4 19_附注表一（财务报表）" xfId="36762"/>
    <cellStyle name="千位分隔 4 2" xfId="36763"/>
    <cellStyle name="千位分隔 4 2 10 2" xfId="36764"/>
    <cellStyle name="千位分隔 4 2 10 2 2" xfId="36765"/>
    <cellStyle name="千位分隔 4 2 10 2 3" xfId="36766"/>
    <cellStyle name="千位分隔 4 2 10 2 4" xfId="36767"/>
    <cellStyle name="千位分隔 4 2 10 2 5" xfId="36768"/>
    <cellStyle name="千位分隔 4 2 10 3" xfId="36769"/>
    <cellStyle name="千位分隔 4 2 10_附注表一（财务报表）" xfId="36770"/>
    <cellStyle name="千位分隔 4 2 11 2" xfId="36771"/>
    <cellStyle name="千位分隔 4 2 11 2 2" xfId="36772"/>
    <cellStyle name="千位分隔 4 2 11 2 4" xfId="36773"/>
    <cellStyle name="千位分隔 4 2 11 2 5" xfId="36774"/>
    <cellStyle name="千位分隔 4 2 11_附注表一（财务报表）" xfId="36775"/>
    <cellStyle name="千位分隔 4 2 12" xfId="36776"/>
    <cellStyle name="千位分隔 4 2 12 2" xfId="36777"/>
    <cellStyle name="千位分隔 4 2 12 2 2" xfId="36778"/>
    <cellStyle name="千位分隔 4 2 12 2 3" xfId="36779"/>
    <cellStyle name="千位分隔 4 2 12 2 4" xfId="36780"/>
    <cellStyle name="千位分隔 4 2 12 2 5" xfId="36781"/>
    <cellStyle name="千位分隔 4 2 12 3" xfId="36782"/>
    <cellStyle name="千位分隔 4 2 12_附注表一（财务报表）" xfId="36783"/>
    <cellStyle name="千位分隔 4 2 13" xfId="36784"/>
    <cellStyle name="千位分隔 4 2 13 2" xfId="36785"/>
    <cellStyle name="千位分隔 4 2 13 2 2" xfId="36786"/>
    <cellStyle name="千位分隔 4 2 13 2 3" xfId="36787"/>
    <cellStyle name="千位分隔 4 2 13 2 4" xfId="36788"/>
    <cellStyle name="千位分隔 4 2 13 2 5" xfId="36789"/>
    <cellStyle name="千位分隔 4 2 13 3" xfId="36790"/>
    <cellStyle name="千位分隔 4 2 13_附注表一（财务报表）" xfId="36791"/>
    <cellStyle name="千位分隔 4 2 14" xfId="36792"/>
    <cellStyle name="千位分隔 4 2 14 2" xfId="36793"/>
    <cellStyle name="千位分隔 4 2 14 2 2" xfId="36794"/>
    <cellStyle name="千位分隔 4 2 14 2 3" xfId="36795"/>
    <cellStyle name="千位分隔 4 2 14 2 4" xfId="36796"/>
    <cellStyle name="千位分隔 4 2 14 2 5" xfId="36797"/>
    <cellStyle name="千位分隔 4 2 14 3" xfId="36798"/>
    <cellStyle name="千位分隔 4 2 14_附注表一（财务报表）" xfId="36799"/>
    <cellStyle name="千位分隔 4 2 15" xfId="36800"/>
    <cellStyle name="千位分隔 4 2 15 2" xfId="36801"/>
    <cellStyle name="千位分隔 4 2 15 3" xfId="36802"/>
    <cellStyle name="千位分隔 4 2 15 4" xfId="36803"/>
    <cellStyle name="千位分隔 4 2 15 5" xfId="36804"/>
    <cellStyle name="千位分隔 4 2 15 6" xfId="36805"/>
    <cellStyle name="千位分隔 4 2 16" xfId="36806"/>
    <cellStyle name="千位分隔 4 2 17" xfId="36807"/>
    <cellStyle name="千位分隔 4 2 2" xfId="36808"/>
    <cellStyle name="千位分隔 4 2 2 2" xfId="36809"/>
    <cellStyle name="千位分隔 4 2 2 2 2" xfId="36810"/>
    <cellStyle name="千位分隔 4 2 2 2 4" xfId="36811"/>
    <cellStyle name="千位分隔 4 2 2 2 5" xfId="36812"/>
    <cellStyle name="千位分隔 4 2 2 3" xfId="36813"/>
    <cellStyle name="千位分隔 4 2 2 4" xfId="36814"/>
    <cellStyle name="千位分隔 4 2 2_附注表一（财务报表）" xfId="36815"/>
    <cellStyle name="千位分隔 4 2 3 2 2" xfId="36816"/>
    <cellStyle name="千位分隔 4 2 3 2 4" xfId="36817"/>
    <cellStyle name="千位分隔 4 2 3 2 5" xfId="36818"/>
    <cellStyle name="千位分隔 4 2 3_附注表一（财务报表）" xfId="36819"/>
    <cellStyle name="千位分隔 4 2 4 2 2" xfId="36820"/>
    <cellStyle name="千位分隔 4 2 4 2 4" xfId="36821"/>
    <cellStyle name="千位分隔 4 2 4 2 5" xfId="36822"/>
    <cellStyle name="千位分隔 4 2 4 3" xfId="36823"/>
    <cellStyle name="千位分隔 4 2 4_附注表一（财务报表）" xfId="36824"/>
    <cellStyle name="千位分隔 4 2 5 2" xfId="36825"/>
    <cellStyle name="千位分隔 4 2 5 2 2" xfId="36826"/>
    <cellStyle name="千位分隔 4 2 5 2 4" xfId="36827"/>
    <cellStyle name="千位分隔 4 2 5 2 5" xfId="36828"/>
    <cellStyle name="千位分隔 4 2 5 3" xfId="36829"/>
    <cellStyle name="千位分隔 4 2 5_附注表一（财务报表）" xfId="36830"/>
    <cellStyle name="千位分隔 4 2 6 2" xfId="36831"/>
    <cellStyle name="千位分隔 4 2 6 2 2" xfId="36832"/>
    <cellStyle name="千位分隔 4 2 6 2 4" xfId="36833"/>
    <cellStyle name="千位分隔 4 2 6 2 5" xfId="36834"/>
    <cellStyle name="千位分隔 4 2 6 3" xfId="36835"/>
    <cellStyle name="千位分隔 4 2 6_附注表一（财务报表）" xfId="36836"/>
    <cellStyle name="千位分隔 4 2 7" xfId="36837"/>
    <cellStyle name="千位分隔 4 2 7 2" xfId="36838"/>
    <cellStyle name="千位分隔 4 2 7 2 2" xfId="36839"/>
    <cellStyle name="千位分隔 4 2 7 2 3" xfId="36840"/>
    <cellStyle name="千位分隔 4 2 7 2 4" xfId="36841"/>
    <cellStyle name="千位分隔 4 2 7 2 5" xfId="36842"/>
    <cellStyle name="千位分隔 4 2 7 3" xfId="36843"/>
    <cellStyle name="千位分隔 4 2 7_附注表一（财务报表）" xfId="36844"/>
    <cellStyle name="千位分隔 4 2 8" xfId="36845"/>
    <cellStyle name="千位分隔 4 2 8 2" xfId="36846"/>
    <cellStyle name="千位分隔 4 2 8 2 2" xfId="36847"/>
    <cellStyle name="千位分隔 4 2 8 2 3" xfId="36848"/>
    <cellStyle name="千位分隔 4 2 8 2 4" xfId="36849"/>
    <cellStyle name="千位分隔 4 2 8 2 5" xfId="36850"/>
    <cellStyle name="千位分隔 4 2 8 3" xfId="36851"/>
    <cellStyle name="千位分隔 4 2 8_附注表一（财务报表）" xfId="36852"/>
    <cellStyle name="千位分隔 4 2 9" xfId="36853"/>
    <cellStyle name="千位分隔 4 2 9 2" xfId="36854"/>
    <cellStyle name="千位分隔 4 2 9 2 2" xfId="36855"/>
    <cellStyle name="千位分隔 4 2 9 2 3" xfId="36856"/>
    <cellStyle name="千位分隔 4 2 9 2 4" xfId="36857"/>
    <cellStyle name="千位分隔 4 2 9 2 5" xfId="36858"/>
    <cellStyle name="千位分隔 4 2 9 3" xfId="36859"/>
    <cellStyle name="千位分隔 4 2 9_附注表一（财务报表）" xfId="36860"/>
    <cellStyle name="千位分隔 4 2_附注表一（财务报表）" xfId="36861"/>
    <cellStyle name="千位分隔 4 30" xfId="36862"/>
    <cellStyle name="千位分隔 4 25" xfId="36863"/>
    <cellStyle name="千位分隔 4 31" xfId="36864"/>
    <cellStyle name="千位分隔 4 26" xfId="36865"/>
    <cellStyle name="千位分隔 4 32" xfId="36866"/>
    <cellStyle name="千位分隔 4 27" xfId="36867"/>
    <cellStyle name="千位分隔 4 33" xfId="36868"/>
    <cellStyle name="千位分隔 4 28" xfId="36869"/>
    <cellStyle name="千位分隔 4 28 2" xfId="36870"/>
    <cellStyle name="千位分隔 4 28 3" xfId="36871"/>
    <cellStyle name="千位分隔 4 28 4" xfId="36872"/>
    <cellStyle name="千位分隔 4 28 5" xfId="36873"/>
    <cellStyle name="千位分隔 4 34" xfId="36874"/>
    <cellStyle name="千位分隔 4 29" xfId="36875"/>
    <cellStyle name="千位分隔 4 3" xfId="36876"/>
    <cellStyle name="千位分隔 4 3 10" xfId="36877"/>
    <cellStyle name="千位分隔 4 3 2" xfId="36878"/>
    <cellStyle name="千位分隔 4 3 2 2" xfId="36879"/>
    <cellStyle name="千位分隔 4 3 2 2 2" xfId="36880"/>
    <cellStyle name="千位分隔 4 3 2 2 3" xfId="36881"/>
    <cellStyle name="千位分隔 4 3 2 3" xfId="36882"/>
    <cellStyle name="千位分隔 4 3 2 4" xfId="36883"/>
    <cellStyle name="千位分隔 4 3 2 5" xfId="36884"/>
    <cellStyle name="千位分隔 4 3 2 6" xfId="36885"/>
    <cellStyle name="千位分隔 4 3 3 2 2" xfId="36886"/>
    <cellStyle name="千位分隔 4 3 5 2" xfId="36887"/>
    <cellStyle name="千位分隔 4 3_附注表一（财务报表）" xfId="36888"/>
    <cellStyle name="千位分隔 4 35" xfId="36889"/>
    <cellStyle name="千位分隔 4 36" xfId="36890"/>
    <cellStyle name="千位分隔 4 4" xfId="36891"/>
    <cellStyle name="千位分隔 4 4 2" xfId="36892"/>
    <cellStyle name="千位分隔 4 4 2 2" xfId="36893"/>
    <cellStyle name="千位分隔 4 4 2 2 2" xfId="36894"/>
    <cellStyle name="千位分隔 4 4 2 3" xfId="36895"/>
    <cellStyle name="强调文字颜色 3 2 2_附注表一（财务报表）" xfId="36896"/>
    <cellStyle name="千位分隔 4 4 2 4" xfId="36897"/>
    <cellStyle name="千位分隔 4 4 2 5" xfId="36898"/>
    <cellStyle name="千位分隔 4 4 2 6" xfId="36899"/>
    <cellStyle name="千位分隔 4 4 3 2 2" xfId="36900"/>
    <cellStyle name="千位分隔 4 4 4 2" xfId="36901"/>
    <cellStyle name="千位分隔 4 4 6" xfId="36902"/>
    <cellStyle name="千位分隔 4 4 7" xfId="36903"/>
    <cellStyle name="千位分隔 4 4 8" xfId="36904"/>
    <cellStyle name="千位分隔 4 4_附注表一（财务报表）" xfId="36905"/>
    <cellStyle name="千位分隔 4 5" xfId="36906"/>
    <cellStyle name="千位分隔 4 5 2" xfId="36907"/>
    <cellStyle name="千位分隔 4 5 2 2" xfId="36908"/>
    <cellStyle name="千位分隔 4 5 2 2 2" xfId="36909"/>
    <cellStyle name="千位分隔 4 5 2 3" xfId="36910"/>
    <cellStyle name="千位分隔 4 5 2 4" xfId="36911"/>
    <cellStyle name="千位分隔 4 5 2 5" xfId="36912"/>
    <cellStyle name="千位分隔 4 5 2 6" xfId="36913"/>
    <cellStyle name="千位分隔 4 5 3 2 2" xfId="36914"/>
    <cellStyle name="千位分隔 4 5 4 2" xfId="36915"/>
    <cellStyle name="千位分隔 4 5 5 2" xfId="36916"/>
    <cellStyle name="千位分隔 4 5 6" xfId="36917"/>
    <cellStyle name="千位分隔 4 5 7" xfId="36918"/>
    <cellStyle name="千位分隔 4 5_附注表一（财务报表）" xfId="36919"/>
    <cellStyle name="千位分隔 4 6" xfId="36920"/>
    <cellStyle name="千位分隔 4 6 2" xfId="36921"/>
    <cellStyle name="千位分隔 4 6 2 2" xfId="36922"/>
    <cellStyle name="千位分隔 4 6 2 2 2" xfId="36923"/>
    <cellStyle name="千位分隔 4 6 2 3" xfId="36924"/>
    <cellStyle name="千位分隔 4 6 2 4" xfId="36925"/>
    <cellStyle name="千位分隔 4 6 2 5" xfId="36926"/>
    <cellStyle name="千位分隔 4 6 2 6" xfId="36927"/>
    <cellStyle name="千位分隔 4 6 3 2 2" xfId="36928"/>
    <cellStyle name="千位分隔 4 6 4 2" xfId="36929"/>
    <cellStyle name="千位分隔 4 6 5 2" xfId="36930"/>
    <cellStyle name="千位分隔 4 6 6" xfId="36931"/>
    <cellStyle name="千位分隔 4 6 7" xfId="36932"/>
    <cellStyle name="千位分隔 4 6_附注表一（财务报表）" xfId="36933"/>
    <cellStyle name="千位分隔 4 7" xfId="36934"/>
    <cellStyle name="千位分隔 4 7 2" xfId="36935"/>
    <cellStyle name="千位分隔 4 7 2 2" xfId="36936"/>
    <cellStyle name="千位分隔 4 7 2 2 2" xfId="36937"/>
    <cellStyle name="千位分隔 4 7 2 3" xfId="36938"/>
    <cellStyle name="千位分隔 4 7 2 4" xfId="36939"/>
    <cellStyle name="千位分隔 4 7 2 5" xfId="36940"/>
    <cellStyle name="千位分隔 4 7 3" xfId="36941"/>
    <cellStyle name="千位分隔 4 7 3 2" xfId="36942"/>
    <cellStyle name="千位分隔 4 7 3 2 2" xfId="36943"/>
    <cellStyle name="千位分隔 4 7 3 3" xfId="36944"/>
    <cellStyle name="千位分隔 4 7 4" xfId="36945"/>
    <cellStyle name="千位分隔 4 7 4 2" xfId="36946"/>
    <cellStyle name="千位分隔 4 7 5" xfId="36947"/>
    <cellStyle name="千位分隔 4 7_附注表一（财务报表）" xfId="36948"/>
    <cellStyle name="千位分隔 4 8" xfId="36949"/>
    <cellStyle name="千位分隔 4 8 2" xfId="36950"/>
    <cellStyle name="千位分隔 4 8 2 2" xfId="36951"/>
    <cellStyle name="千位分隔 4 8 2 2 2" xfId="36952"/>
    <cellStyle name="千位分隔 4 8 2 3" xfId="36953"/>
    <cellStyle name="千位分隔 4 8 2 5" xfId="36954"/>
    <cellStyle name="千位分隔 4 8 3" xfId="36955"/>
    <cellStyle name="千位分隔 4 8 3 2" xfId="36956"/>
    <cellStyle name="千位分隔 4 8 3 2 2" xfId="36957"/>
    <cellStyle name="千位分隔 4 8 3 3" xfId="36958"/>
    <cellStyle name="千位分隔 4 8 4" xfId="36959"/>
    <cellStyle name="千位分隔 4 8 4 2" xfId="36960"/>
    <cellStyle name="千位分隔 4 8 5" xfId="36961"/>
    <cellStyle name="千位分隔 4 8 6" xfId="36962"/>
    <cellStyle name="千位分隔 4 8_附注表一（财务报表）" xfId="36963"/>
    <cellStyle name="千位分隔 4 9" xfId="36964"/>
    <cellStyle name="千位分隔 4 9 2" xfId="36965"/>
    <cellStyle name="千位分隔 4 9 2 2" xfId="36966"/>
    <cellStyle name="千位分隔 4 9 2 3" xfId="36967"/>
    <cellStyle name="千位分隔 4 9 2 4" xfId="36968"/>
    <cellStyle name="千位分隔 4 9 2 5" xfId="36969"/>
    <cellStyle name="千位分隔 4 9 3" xfId="36970"/>
    <cellStyle name="千位分隔 4 9 3 2" xfId="36971"/>
    <cellStyle name="千位分隔 4 9 4" xfId="36972"/>
    <cellStyle name="千位分隔 4 9 5" xfId="36973"/>
    <cellStyle name="千位分隔 4 9_附注表一（财务报表）" xfId="36974"/>
    <cellStyle name="千位分隔 4_Spreadsheet" xfId="36975"/>
    <cellStyle name="千位分隔 5" xfId="36976"/>
    <cellStyle name="千位分隔 5 10" xfId="36977"/>
    <cellStyle name="千位分隔 5 10 2" xfId="36978"/>
    <cellStyle name="千位分隔 5 10 2 2" xfId="36979"/>
    <cellStyle name="千位分隔 5 10 2 3" xfId="36980"/>
    <cellStyle name="千位分隔 5 10 2 4" xfId="36981"/>
    <cellStyle name="千位分隔 5 10 2 5" xfId="36982"/>
    <cellStyle name="千位分隔 5 10 3" xfId="36983"/>
    <cellStyle name="千位分隔 5 10 4" xfId="36984"/>
    <cellStyle name="千位分隔 5 10_附注表一（财务报表）" xfId="36985"/>
    <cellStyle name="千位分隔 5 11" xfId="36986"/>
    <cellStyle name="千位分隔 5 11 2" xfId="36987"/>
    <cellStyle name="千位分隔 5 11 2 2" xfId="36988"/>
    <cellStyle name="千位分隔 5 11 2 3" xfId="36989"/>
    <cellStyle name="千位分隔 5 11 2 4" xfId="36990"/>
    <cellStyle name="千位分隔 5 11_附注表一（财务报表）" xfId="36991"/>
    <cellStyle name="千位分隔 5 12" xfId="36992"/>
    <cellStyle name="千位分隔 5 12 2" xfId="36993"/>
    <cellStyle name="千位分隔 5 12 2 2" xfId="36994"/>
    <cellStyle name="千位分隔 5 12 2 3" xfId="36995"/>
    <cellStyle name="千位分隔 5 12 2 4" xfId="36996"/>
    <cellStyle name="千位分隔 5 12 2 5" xfId="36997"/>
    <cellStyle name="千位分隔 5 12_附注表一（财务报表）" xfId="36998"/>
    <cellStyle name="千位分隔 5 13" xfId="36999"/>
    <cellStyle name="千位分隔 5 13 2" xfId="37000"/>
    <cellStyle name="千位分隔 5 14 2" xfId="37001"/>
    <cellStyle name="千位分隔 5 14 3" xfId="37002"/>
    <cellStyle name="千位分隔 5 14 4" xfId="37003"/>
    <cellStyle name="千位分隔 5 14 5" xfId="37004"/>
    <cellStyle name="千位分隔 5 14 6" xfId="37005"/>
    <cellStyle name="千位分隔 5 20" xfId="37006"/>
    <cellStyle name="千位分隔 5 15" xfId="37007"/>
    <cellStyle name="千位分隔 5 20 2" xfId="37008"/>
    <cellStyle name="千位分隔 5 15 2" xfId="37009"/>
    <cellStyle name="千位分隔 5 21" xfId="37010"/>
    <cellStyle name="千位分隔 5 16" xfId="37011"/>
    <cellStyle name="千位分隔 5 22" xfId="37012"/>
    <cellStyle name="千位分隔 5 17" xfId="37013"/>
    <cellStyle name="千位分隔 5 23" xfId="37014"/>
    <cellStyle name="千位分隔 5 18" xfId="37015"/>
    <cellStyle name="千位分隔 5 24" xfId="37016"/>
    <cellStyle name="千位分隔 5 19" xfId="37017"/>
    <cellStyle name="千位分隔 5 2" xfId="37018"/>
    <cellStyle name="千位分隔 5 2 10" xfId="37019"/>
    <cellStyle name="千位分隔 5 2 10 2" xfId="37020"/>
    <cellStyle name="千位分隔 5 2 10 3" xfId="37021"/>
    <cellStyle name="千位分隔 5 2 11" xfId="37022"/>
    <cellStyle name="千位分隔 5 2 11 2" xfId="37023"/>
    <cellStyle name="千位分隔 5 2 11 3" xfId="37024"/>
    <cellStyle name="千位分隔 5 2 12" xfId="37025"/>
    <cellStyle name="千位分隔 5 2 12 2" xfId="37026"/>
    <cellStyle name="千位分隔 5 2 13" xfId="37027"/>
    <cellStyle name="千位分隔 5 2 13 2" xfId="37028"/>
    <cellStyle name="千位分隔 5 2 14" xfId="37029"/>
    <cellStyle name="千位分隔 5 2 15" xfId="37030"/>
    <cellStyle name="千位分隔 5 2 16" xfId="37031"/>
    <cellStyle name="千位分隔 5 2 17" xfId="37032"/>
    <cellStyle name="千位分隔 5 2 18" xfId="37033"/>
    <cellStyle name="千位分隔 5 2 19" xfId="37034"/>
    <cellStyle name="千位分隔 5 2 19 2" xfId="37035"/>
    <cellStyle name="千位分隔 5 2 2" xfId="37036"/>
    <cellStyle name="千位分隔 5 2 2 10 2" xfId="37037"/>
    <cellStyle name="千位分隔 5 2 2 11 2" xfId="37038"/>
    <cellStyle name="千位分隔 5 2 2 12" xfId="37039"/>
    <cellStyle name="千位分隔 5 2 2 13" xfId="37040"/>
    <cellStyle name="千位分隔 5 2 2 14" xfId="37041"/>
    <cellStyle name="千位分隔 5 2 2 15" xfId="37042"/>
    <cellStyle name="千位分隔 5 2 2 2" xfId="37043"/>
    <cellStyle name="千位分隔 5 2 2 2 2" xfId="37044"/>
    <cellStyle name="千位分隔 5 2 2 2 3" xfId="37045"/>
    <cellStyle name="千位分隔 5 2 2 3" xfId="37046"/>
    <cellStyle name="千位分隔 5 2 2 3 2" xfId="37047"/>
    <cellStyle name="千位分隔 5 2 2 4" xfId="37048"/>
    <cellStyle name="千位分隔 5 2 2 4 2" xfId="37049"/>
    <cellStyle name="千位分隔 5 2 2 5" xfId="37050"/>
    <cellStyle name="千位分隔 5 2 2 6" xfId="37051"/>
    <cellStyle name="千位分隔 5 2 2 6 2" xfId="37052"/>
    <cellStyle name="千位分隔 5 2 2 7" xfId="37053"/>
    <cellStyle name="千位分隔 5 2 2 7 2" xfId="37054"/>
    <cellStyle name="千位分隔 5 2 2 8" xfId="37055"/>
    <cellStyle name="千位分隔 5 2 2 8 2" xfId="37056"/>
    <cellStyle name="千位分隔 5 2 2 9" xfId="37057"/>
    <cellStyle name="千位分隔 5 2 2 9 2" xfId="37058"/>
    <cellStyle name="千位分隔 5 2 3" xfId="37059"/>
    <cellStyle name="千位分隔 5 2 3 2" xfId="37060"/>
    <cellStyle name="千位分隔 5 2 3 2 2" xfId="37061"/>
    <cellStyle name="千位分隔 5 2 3 2 3" xfId="37062"/>
    <cellStyle name="千位分隔 5 2 3 3" xfId="37063"/>
    <cellStyle name="千位分隔 5 2 3 4" xfId="37064"/>
    <cellStyle name="千位分隔 5 2 3 5" xfId="37065"/>
    <cellStyle name="千位分隔 5 2 4" xfId="37066"/>
    <cellStyle name="千位分隔 5 2 4 2" xfId="37067"/>
    <cellStyle name="千位分隔 5 2 4 3" xfId="37068"/>
    <cellStyle name="千位分隔 5 2 4 4" xfId="37069"/>
    <cellStyle name="千位分隔 5 2 5" xfId="37070"/>
    <cellStyle name="千位分隔 5 2 5 2" xfId="37071"/>
    <cellStyle name="千位分隔 5 2 5 3" xfId="37072"/>
    <cellStyle name="千位分隔 5 2 5 4" xfId="37073"/>
    <cellStyle name="千位分隔 5 2 6" xfId="37074"/>
    <cellStyle name="千位分隔 5 2 6 2" xfId="37075"/>
    <cellStyle name="千位分隔 5 2 6 3" xfId="37076"/>
    <cellStyle name="千位分隔 5 2 7" xfId="37077"/>
    <cellStyle name="千位分隔 5 2 7 2" xfId="37078"/>
    <cellStyle name="千位分隔 5 2 7 3" xfId="37079"/>
    <cellStyle name="千位分隔 5 2 8" xfId="37080"/>
    <cellStyle name="千位分隔 5 2 8 2" xfId="37081"/>
    <cellStyle name="千位分隔 5 2 8 3" xfId="37082"/>
    <cellStyle name="千位分隔 5 2 9" xfId="37083"/>
    <cellStyle name="千位分隔 5 2 9 2" xfId="37084"/>
    <cellStyle name="千位分隔 5 2 9 3" xfId="37085"/>
    <cellStyle name="强调文字颜色 5 2 3 2" xfId="37086"/>
    <cellStyle name="千位分隔 5 2_附注表一（财务报表）" xfId="37087"/>
    <cellStyle name="千位分隔 5 20 2 10" xfId="37088"/>
    <cellStyle name="千位分隔 5 20 2 11" xfId="37089"/>
    <cellStyle name="千位分隔 5 20 2 12" xfId="37090"/>
    <cellStyle name="千位分隔 5 20 2 2" xfId="37091"/>
    <cellStyle name="千位分隔 5 20 2 3" xfId="37092"/>
    <cellStyle name="千位分隔 5 20 2 4" xfId="37093"/>
    <cellStyle name="千位分隔 5 20 2 5" xfId="37094"/>
    <cellStyle name="千位分隔 5 20 2 6" xfId="37095"/>
    <cellStyle name="千位分隔 5 20 2 7" xfId="37096"/>
    <cellStyle name="千位分隔 5 20 2 8" xfId="37097"/>
    <cellStyle name="千位分隔 5 20 2 9" xfId="37098"/>
    <cellStyle name="千位分隔 5 30" xfId="37099"/>
    <cellStyle name="千位分隔 5 25" xfId="37100"/>
    <cellStyle name="千位分隔 5 31" xfId="37101"/>
    <cellStyle name="千位分隔 5 26" xfId="37102"/>
    <cellStyle name="千位分隔 5 27" xfId="37103"/>
    <cellStyle name="千位分隔 5 28" xfId="37104"/>
    <cellStyle name="千位分隔 5 29" xfId="37105"/>
    <cellStyle name="千位分隔 5 3" xfId="37106"/>
    <cellStyle name="千位分隔 5 3 2" xfId="37107"/>
    <cellStyle name="千位分隔 5 3 2 2" xfId="37108"/>
    <cellStyle name="千位分隔 5 3 2 2 2" xfId="37109"/>
    <cellStyle name="千位分隔 5 3 2 3" xfId="37110"/>
    <cellStyle name="千位分隔 5 3 2 4" xfId="37111"/>
    <cellStyle name="千位分隔 5 3 2 5" xfId="37112"/>
    <cellStyle name="千位分隔 5 3 3" xfId="37113"/>
    <cellStyle name="千位分隔 5 3 3 2" xfId="37114"/>
    <cellStyle name="千位分隔 5 3 3 2 2" xfId="37115"/>
    <cellStyle name="千位分隔 5 3 3 3" xfId="37116"/>
    <cellStyle name="千位分隔 5 3 3 4" xfId="37117"/>
    <cellStyle name="千位分隔 5 3 4" xfId="37118"/>
    <cellStyle name="千位分隔 5 3 4 2" xfId="37119"/>
    <cellStyle name="千位分隔 5 3 5" xfId="37120"/>
    <cellStyle name="千位分隔 5 3 5 2" xfId="37121"/>
    <cellStyle name="千位分隔 5 3 6" xfId="37122"/>
    <cellStyle name="千位分隔 5 3 7" xfId="37123"/>
    <cellStyle name="千位分隔 5 3 8" xfId="37124"/>
    <cellStyle name="千位分隔 5 3_附注表一（财务报表）" xfId="37125"/>
    <cellStyle name="千位分隔 5 4" xfId="37126"/>
    <cellStyle name="千位分隔 5 4 10" xfId="37127"/>
    <cellStyle name="千位分隔 5 4 11" xfId="37128"/>
    <cellStyle name="千位分隔 5 4 2" xfId="37129"/>
    <cellStyle name="千位分隔 5 4 2 2" xfId="37130"/>
    <cellStyle name="千位分隔 5 4 2 2 2" xfId="37131"/>
    <cellStyle name="千位分隔 5 4 2 3" xfId="37132"/>
    <cellStyle name="千位分隔 5 4 2 4" xfId="37133"/>
    <cellStyle name="千位分隔 5 4 2 5" xfId="37134"/>
    <cellStyle name="千位分隔 5 4 3" xfId="37135"/>
    <cellStyle name="千位分隔 5 4 3 2" xfId="37136"/>
    <cellStyle name="千位分隔 5 4 3 2 2" xfId="37137"/>
    <cellStyle name="千位分隔 5 4 4" xfId="37138"/>
    <cellStyle name="千位分隔 5 4 5" xfId="37139"/>
    <cellStyle name="千位分隔 5 4 6" xfId="37140"/>
    <cellStyle name="千位分隔 5 4 7" xfId="37141"/>
    <cellStyle name="千位分隔 5 4 8" xfId="37142"/>
    <cellStyle name="千位分隔 5 4 9" xfId="37143"/>
    <cellStyle name="千位分隔 5 4_附注表一（财务报表）" xfId="37144"/>
    <cellStyle name="千位分隔 5 5" xfId="37145"/>
    <cellStyle name="千位分隔 5 5 2" xfId="37146"/>
    <cellStyle name="千位分隔 5 5 2 2" xfId="37147"/>
    <cellStyle name="千位分隔 5 5 2 3" xfId="37148"/>
    <cellStyle name="千位分隔 5 5 2 4" xfId="37149"/>
    <cellStyle name="千位分隔 5 5 2 5" xfId="37150"/>
    <cellStyle name="千位分隔 5 5 3" xfId="37151"/>
    <cellStyle name="千位分隔 5 5 3 2" xfId="37152"/>
    <cellStyle name="千位分隔 5 5 4" xfId="37153"/>
    <cellStyle name="千位分隔 5 5 5" xfId="37154"/>
    <cellStyle name="千位分隔 5 5 6" xfId="37155"/>
    <cellStyle name="千位分隔 5 5 7" xfId="37156"/>
    <cellStyle name="千位分隔 5 5_附注表一（财务报表）" xfId="37157"/>
    <cellStyle name="千位分隔 5 6" xfId="37158"/>
    <cellStyle name="千位分隔 5 6 2" xfId="37159"/>
    <cellStyle name="千位分隔 5 6 2 2" xfId="37160"/>
    <cellStyle name="千位分隔 5 6 2 3" xfId="37161"/>
    <cellStyle name="千位分隔 5 6 2 4" xfId="37162"/>
    <cellStyle name="千位分隔 5 6 2 5" xfId="37163"/>
    <cellStyle name="千位分隔 5 6 3" xfId="37164"/>
    <cellStyle name="千位分隔 5 6 3 2" xfId="37165"/>
    <cellStyle name="千位分隔 5 6 4" xfId="37166"/>
    <cellStyle name="千位分隔 5 6 5" xfId="37167"/>
    <cellStyle name="千位分隔 5 6 6" xfId="37168"/>
    <cellStyle name="千位分隔 5 6 7" xfId="37169"/>
    <cellStyle name="千位分隔 5 6_附注表一（财务报表）" xfId="37170"/>
    <cellStyle name="千位分隔 5 7 2" xfId="37171"/>
    <cellStyle name="千位分隔 5 7 2 2" xfId="37172"/>
    <cellStyle name="千位分隔 5 7 2 3" xfId="37173"/>
    <cellStyle name="千位分隔 5 7 2 4" xfId="37174"/>
    <cellStyle name="千位分隔 5 7 2 5" xfId="37175"/>
    <cellStyle name="千位分隔 5 7 3" xfId="37176"/>
    <cellStyle name="千位分隔 5 7 4" xfId="37177"/>
    <cellStyle name="千位分隔 5 7 5" xfId="37178"/>
    <cellStyle name="千位分隔 5 7 6" xfId="37179"/>
    <cellStyle name="千位分隔 5 7_附注表一（财务报表）" xfId="37180"/>
    <cellStyle name="千位分隔 5 8" xfId="37181"/>
    <cellStyle name="千位分隔 5 8 2" xfId="37182"/>
    <cellStyle name="千位分隔 5 8 2 2" xfId="37183"/>
    <cellStyle name="千位分隔 5 8 2 3" xfId="37184"/>
    <cellStyle name="千位分隔 5 8 2 4" xfId="37185"/>
    <cellStyle name="千位分隔 5 8 2 5" xfId="37186"/>
    <cellStyle name="千位分隔 5 8 3" xfId="37187"/>
    <cellStyle name="千位分隔 5 8 3 2" xfId="37188"/>
    <cellStyle name="千位分隔 5 8 4" xfId="37189"/>
    <cellStyle name="千位分隔 5 8 5" xfId="37190"/>
    <cellStyle name="千位分隔 5 8_附注表一（财务报表）" xfId="37191"/>
    <cellStyle name="千位分隔 5 9" xfId="37192"/>
    <cellStyle name="千位分隔 5 9 2" xfId="37193"/>
    <cellStyle name="千位分隔 5 9 2 2" xfId="37194"/>
    <cellStyle name="千位分隔 5 9 2 3" xfId="37195"/>
    <cellStyle name="千位分隔 5 9 2 4" xfId="37196"/>
    <cellStyle name="千位分隔 5 9 2 5" xfId="37197"/>
    <cellStyle name="千位分隔 5 9 3" xfId="37198"/>
    <cellStyle name="千位分隔 5 9 4" xfId="37199"/>
    <cellStyle name="千位分隔 5 9_附注表一（财务报表）" xfId="37200"/>
    <cellStyle name="千位分隔 5_Spreadsheet" xfId="37201"/>
    <cellStyle name="千位分隔 6" xfId="37202"/>
    <cellStyle name="千位分隔 6 10" xfId="37203"/>
    <cellStyle name="千位分隔 6 10 2" xfId="37204"/>
    <cellStyle name="千位分隔 6 10 3" xfId="37205"/>
    <cellStyle name="千位分隔 6 11" xfId="37206"/>
    <cellStyle name="千位分隔 6 11 2" xfId="37207"/>
    <cellStyle name="千位分隔 6 11 3" xfId="37208"/>
    <cellStyle name="千位分隔 6 12" xfId="37209"/>
    <cellStyle name="千位分隔 6 12 3" xfId="37210"/>
    <cellStyle name="千位分隔 6 13" xfId="37211"/>
    <cellStyle name="千位分隔 6 13 2" xfId="37212"/>
    <cellStyle name="千位分隔 6 13 3" xfId="37213"/>
    <cellStyle name="千位分隔 6 14" xfId="37214"/>
    <cellStyle name="千位分隔 6 14 2" xfId="37215"/>
    <cellStyle name="千位分隔 6 20" xfId="37216"/>
    <cellStyle name="千位分隔 6 15" xfId="37217"/>
    <cellStyle name="千位分隔 6 15 2" xfId="37218"/>
    <cellStyle name="千位分隔 6 21" xfId="37219"/>
    <cellStyle name="千位分隔 6 16" xfId="37220"/>
    <cellStyle name="千位分隔 6 16 2" xfId="37221"/>
    <cellStyle name="千位分隔 6 17" xfId="37222"/>
    <cellStyle name="千位分隔 6 18" xfId="37223"/>
    <cellStyle name="千位分隔 6 19" xfId="37224"/>
    <cellStyle name="千位分隔 6 2" xfId="37225"/>
    <cellStyle name="千位分隔 6 2 10" xfId="37226"/>
    <cellStyle name="千位分隔 6 2 10 2" xfId="37227"/>
    <cellStyle name="千位分隔 6 2 10 3" xfId="37228"/>
    <cellStyle name="千位分隔 6 2 11" xfId="37229"/>
    <cellStyle name="千位分隔 6 2 11 2" xfId="37230"/>
    <cellStyle name="千位分隔 6 2 11 3" xfId="37231"/>
    <cellStyle name="千位分隔 6 2 12" xfId="37232"/>
    <cellStyle name="千位分隔 6 2 12 2" xfId="37233"/>
    <cellStyle name="千位分隔 6 2 13" xfId="37234"/>
    <cellStyle name="千位分隔 6 2 14" xfId="37235"/>
    <cellStyle name="千位分隔 6 2 15" xfId="37236"/>
    <cellStyle name="千位分隔 6 2 16" xfId="37237"/>
    <cellStyle name="千位分隔 6 2 17" xfId="37238"/>
    <cellStyle name="千位分隔 6 2 2" xfId="37239"/>
    <cellStyle name="千位分隔 6 2 2 10" xfId="37240"/>
    <cellStyle name="千位分隔 6 2 2 10 2" xfId="37241"/>
    <cellStyle name="千位分隔 6 2 2 11" xfId="37242"/>
    <cellStyle name="千位分隔 6 2 2 11 2" xfId="37243"/>
    <cellStyle name="千位分隔 6 2 2 11 3" xfId="37244"/>
    <cellStyle name="千位分隔 6 2 2 13" xfId="37245"/>
    <cellStyle name="千位分隔 6 2 2 14" xfId="37246"/>
    <cellStyle name="千位分隔 6 2 2 2" xfId="37247"/>
    <cellStyle name="千位分隔 6 2 2 2 2" xfId="37248"/>
    <cellStyle name="千位分隔 6 2 2 3" xfId="37249"/>
    <cellStyle name="千位分隔 6 2 2 3 2" xfId="37250"/>
    <cellStyle name="千位分隔 6 2 2 4" xfId="37251"/>
    <cellStyle name="千位分隔 6 2 2 4 2" xfId="37252"/>
    <cellStyle name="千位分隔 6 2 2 5" xfId="37253"/>
    <cellStyle name="千位分隔 6 2 2 5 2" xfId="37254"/>
    <cellStyle name="千位分隔 6 2 2 6" xfId="37255"/>
    <cellStyle name="千位分隔 6 2 2 6 2" xfId="37256"/>
    <cellStyle name="千位分隔 6 2 2 7" xfId="37257"/>
    <cellStyle name="千位分隔 6 2 2 7 2" xfId="37258"/>
    <cellStyle name="千位分隔 6 2 2 8" xfId="37259"/>
    <cellStyle name="千位分隔 6 2 2 8 2" xfId="37260"/>
    <cellStyle name="千位分隔 6 2 2 9" xfId="37261"/>
    <cellStyle name="千位分隔 6 2 2 9 2" xfId="37262"/>
    <cellStyle name="千位分隔 6 2 3" xfId="37263"/>
    <cellStyle name="千位分隔 6 2 3 2" xfId="37264"/>
    <cellStyle name="千位分隔 6 2 3 2 2" xfId="37265"/>
    <cellStyle name="千位分隔 6 2 3 3" xfId="37266"/>
    <cellStyle name="千位分隔 6 2 3 4" xfId="37267"/>
    <cellStyle name="千位分隔 6 2 4" xfId="37268"/>
    <cellStyle name="千位分隔 6 2 4 2" xfId="37269"/>
    <cellStyle name="千位分隔 6 2 4 3" xfId="37270"/>
    <cellStyle name="千位分隔 6 2 5" xfId="37271"/>
    <cellStyle name="千位分隔 6 2 5 2" xfId="37272"/>
    <cellStyle name="千位分隔 6 2 5 3" xfId="37273"/>
    <cellStyle name="千位分隔 6 2 6" xfId="37274"/>
    <cellStyle name="千位分隔 6 2 6 2" xfId="37275"/>
    <cellStyle name="千位分隔 6 2 7" xfId="37276"/>
    <cellStyle name="千位分隔 6 2 7 2" xfId="37277"/>
    <cellStyle name="千位分隔 6 2 7 3" xfId="37278"/>
    <cellStyle name="千位分隔 6 2 8" xfId="37279"/>
    <cellStyle name="千位分隔 6 2 8 2" xfId="37280"/>
    <cellStyle name="千位分隔 6 2 8 3" xfId="37281"/>
    <cellStyle name="千位分隔 6 2 9" xfId="37282"/>
    <cellStyle name="千位分隔 6 2 9 2" xfId="37283"/>
    <cellStyle name="千位分隔 6 2 9 3" xfId="37284"/>
    <cellStyle name="千位分隔[0] 8" xfId="37285"/>
    <cellStyle name="千位分隔 6 2_附注表一（财务报表）" xfId="37286"/>
    <cellStyle name="千位分隔 6 3" xfId="37287"/>
    <cellStyle name="千位分隔 6 3 2" xfId="37288"/>
    <cellStyle name="千位分隔 6 3 2 2" xfId="37289"/>
    <cellStyle name="千位分隔 6 3 2 3" xfId="37290"/>
    <cellStyle name="千位分隔 6 3 2 4" xfId="37291"/>
    <cellStyle name="千位分隔 6 3 2 5" xfId="37292"/>
    <cellStyle name="千位分隔 6 3 3" xfId="37293"/>
    <cellStyle name="千位分隔 6 3 4" xfId="37294"/>
    <cellStyle name="千位分隔 6 3 5" xfId="37295"/>
    <cellStyle name="千位分隔 6 3 6" xfId="37296"/>
    <cellStyle name="千位分隔 6 3_附注表一（财务报表）" xfId="37297"/>
    <cellStyle name="千位分隔 6 4" xfId="37298"/>
    <cellStyle name="千位分隔 6 4 2" xfId="37299"/>
    <cellStyle name="千位分隔 6 4 2 2" xfId="37300"/>
    <cellStyle name="千位分隔 6 4 2 3" xfId="37301"/>
    <cellStyle name="千位分隔 6 4 2 4" xfId="37302"/>
    <cellStyle name="千位分隔 6 4 2 5" xfId="37303"/>
    <cellStyle name="千位分隔 6 4 3" xfId="37304"/>
    <cellStyle name="千位分隔 6 4 4" xfId="37305"/>
    <cellStyle name="千位分隔 6 4 5" xfId="37306"/>
    <cellStyle name="千位分隔 6 4_附注表一（财务报表）" xfId="37307"/>
    <cellStyle name="千位分隔 6 5" xfId="37308"/>
    <cellStyle name="千位分隔 6 5 2" xfId="37309"/>
    <cellStyle name="千位分隔 6 5 3" xfId="37310"/>
    <cellStyle name="千位分隔 6 5 4" xfId="37311"/>
    <cellStyle name="千位分隔 6 5 5" xfId="37312"/>
    <cellStyle name="千位分隔 6 6" xfId="37313"/>
    <cellStyle name="千位分隔 6 6 2" xfId="37314"/>
    <cellStyle name="千位分隔 6 6 3" xfId="37315"/>
    <cellStyle name="千位分隔 6 6 4" xfId="37316"/>
    <cellStyle name="千位分隔 6 7" xfId="37317"/>
    <cellStyle name="千位分隔 6 7 2" xfId="37318"/>
    <cellStyle name="千位分隔 6 7 3" xfId="37319"/>
    <cellStyle name="千位分隔 6 8" xfId="37320"/>
    <cellStyle name="千位分隔 6 8 2" xfId="37321"/>
    <cellStyle name="千位分隔 6 8 3" xfId="37322"/>
    <cellStyle name="千位分隔 6 9" xfId="37323"/>
    <cellStyle name="千位分隔 6 9 2" xfId="37324"/>
    <cellStyle name="千位分隔 6 9 3" xfId="37325"/>
    <cellStyle name="千位分隔 6_Spreadsheet" xfId="37326"/>
    <cellStyle name="千位分隔 7" xfId="37327"/>
    <cellStyle name="千位分隔 7 2" xfId="37328"/>
    <cellStyle name="千位分隔 7 2 2" xfId="37329"/>
    <cellStyle name="千位分隔 7 2 2 2" xfId="37330"/>
    <cellStyle name="千位分隔 7 2 2 5" xfId="37331"/>
    <cellStyle name="千位分隔 7 2 3" xfId="37332"/>
    <cellStyle name="千位分隔 7 2 4" xfId="37333"/>
    <cellStyle name="千位分隔 7 2 5" xfId="37334"/>
    <cellStyle name="千位分隔 7 2 6" xfId="37335"/>
    <cellStyle name="千位分隔 7 2 7" xfId="37336"/>
    <cellStyle name="千位分隔 7 2 8" xfId="37337"/>
    <cellStyle name="千位分隔 7 2_附注表一（财务报表）" xfId="37338"/>
    <cellStyle name="千位分隔 7 3" xfId="37339"/>
    <cellStyle name="千位分隔 7 3 2" xfId="37340"/>
    <cellStyle name="千位分隔 7 3 2 2" xfId="37341"/>
    <cellStyle name="千位分隔 7 3 3" xfId="37342"/>
    <cellStyle name="千位分隔 7 3 4" xfId="37343"/>
    <cellStyle name="千位分隔 7 3 5" xfId="37344"/>
    <cellStyle name="千位分隔 7 4" xfId="37345"/>
    <cellStyle name="千位分隔 7 4 2" xfId="37346"/>
    <cellStyle name="千位分隔 7 4 3" xfId="37347"/>
    <cellStyle name="千位分隔 7 4 4" xfId="37348"/>
    <cellStyle name="千位分隔 7 5" xfId="37349"/>
    <cellStyle name="千位分隔 7 5 2" xfId="37350"/>
    <cellStyle name="千位分隔 7 5 3" xfId="37351"/>
    <cellStyle name="千位分隔 7 6" xfId="37352"/>
    <cellStyle name="千位分隔 7 6 2" xfId="37353"/>
    <cellStyle name="千位分隔 7 6 3" xfId="37354"/>
    <cellStyle name="千位分隔 7 7" xfId="37355"/>
    <cellStyle name="千位分隔 7 7 2" xfId="37356"/>
    <cellStyle name="千位分隔 7 8" xfId="37357"/>
    <cellStyle name="千位分隔 7 8 2" xfId="37358"/>
    <cellStyle name="千位分隔 7 9" xfId="37359"/>
    <cellStyle name="千位分隔 7_Spreadsheet" xfId="37360"/>
    <cellStyle name="千位分隔 8" xfId="37361"/>
    <cellStyle name="千位分隔 8 10" xfId="37362"/>
    <cellStyle name="千位分隔 8 11" xfId="37363"/>
    <cellStyle name="千位分隔 8 12" xfId="37364"/>
    <cellStyle name="千位分隔 8 13" xfId="37365"/>
    <cellStyle name="千位分隔 8 14" xfId="37366"/>
    <cellStyle name="千位分隔 8 15" xfId="37367"/>
    <cellStyle name="千位分隔 8 2" xfId="37368"/>
    <cellStyle name="千位分隔 8 2 2" xfId="37369"/>
    <cellStyle name="千位分隔 8 2 3" xfId="37370"/>
    <cellStyle name="千位分隔 8 2 4" xfId="37371"/>
    <cellStyle name="千位分隔 8 2 5" xfId="37372"/>
    <cellStyle name="千位分隔 8 3" xfId="37373"/>
    <cellStyle name="千位分隔 8 3 2" xfId="37374"/>
    <cellStyle name="千位分隔 8 3 3" xfId="37375"/>
    <cellStyle name="千位分隔 8 4" xfId="37376"/>
    <cellStyle name="千位分隔 8 4 2" xfId="37377"/>
    <cellStyle name="千位分隔 8 4 3" xfId="37378"/>
    <cellStyle name="千位分隔 8 5" xfId="37379"/>
    <cellStyle name="千位分隔 8 5 2" xfId="37380"/>
    <cellStyle name="千位分隔 8 6" xfId="37381"/>
    <cellStyle name="千位分隔 8 7" xfId="37382"/>
    <cellStyle name="千位分隔 8 8" xfId="37383"/>
    <cellStyle name="千位分隔 8 9" xfId="37384"/>
    <cellStyle name="千位分隔 8_附注表一（财务报表）" xfId="37385"/>
    <cellStyle name="千位分隔 9" xfId="37386"/>
    <cellStyle name="千位分隔 9 10" xfId="37387"/>
    <cellStyle name="千位分隔 9 11" xfId="37388"/>
    <cellStyle name="千位分隔 9 12" xfId="37389"/>
    <cellStyle name="千位分隔 9 13" xfId="37390"/>
    <cellStyle name="千位分隔 9 14" xfId="37391"/>
    <cellStyle name="千位分隔 9 2" xfId="37392"/>
    <cellStyle name="千位分隔 9 2 2" xfId="37393"/>
    <cellStyle name="千位分隔 9 2 2 2" xfId="37394"/>
    <cellStyle name="千位分隔 9 2 2 3" xfId="37395"/>
    <cellStyle name="千位分隔 9 2 2 4" xfId="37396"/>
    <cellStyle name="千位分隔 9 2 2 5" xfId="37397"/>
    <cellStyle name="千位分隔 9 2 3" xfId="37398"/>
    <cellStyle name="千位分隔 9 2 4" xfId="37399"/>
    <cellStyle name="千位分隔 9 2_附注表一（财务报表）" xfId="37400"/>
    <cellStyle name="千位分隔 9 3" xfId="37401"/>
    <cellStyle name="千位分隔 9 3 2" xfId="37402"/>
    <cellStyle name="千位分隔 9 3 2 2" xfId="37403"/>
    <cellStyle name="千位分隔 9 3 3" xfId="37404"/>
    <cellStyle name="千位分隔 9 3_附注表一（财务报表）" xfId="37405"/>
    <cellStyle name="千位分隔 9 4" xfId="37406"/>
    <cellStyle name="千位分隔 9 4 2" xfId="37407"/>
    <cellStyle name="千位分隔 9 4 2 2" xfId="37408"/>
    <cellStyle name="千位分隔 9 4 2 3" xfId="37409"/>
    <cellStyle name="千位分隔 9 4 2 4" xfId="37410"/>
    <cellStyle name="千位分隔 9 4 2 5" xfId="37411"/>
    <cellStyle name="千位分隔 9 4 3" xfId="37412"/>
    <cellStyle name="千位分隔 9 4_附注表一（财务报表）" xfId="37413"/>
    <cellStyle name="千位分隔 9 5" xfId="37414"/>
    <cellStyle name="千位分隔 9 5 2" xfId="37415"/>
    <cellStyle name="千位分隔 9 5 2 2" xfId="37416"/>
    <cellStyle name="千位分隔 9 5 2 3" xfId="37417"/>
    <cellStyle name="千位分隔 9 5 2 4" xfId="37418"/>
    <cellStyle name="千位分隔 9 5 2 5" xfId="37419"/>
    <cellStyle name="千位分隔 9 5 3" xfId="37420"/>
    <cellStyle name="千位分隔 9 5_附注表一（财务报表）" xfId="37421"/>
    <cellStyle name="千位分隔 9 6" xfId="37422"/>
    <cellStyle name="千位分隔 9 6 2" xfId="37423"/>
    <cellStyle name="千位分隔 9 6 2 2" xfId="37424"/>
    <cellStyle name="千位分隔 9 6 2 3" xfId="37425"/>
    <cellStyle name="千位分隔 9 6 2 5" xfId="37426"/>
    <cellStyle name="千位分隔 9 6 3" xfId="37427"/>
    <cellStyle name="千位分隔 9 6_附注表一（财务报表）" xfId="37428"/>
    <cellStyle name="千位分隔 9 7" xfId="37429"/>
    <cellStyle name="千位分隔 9 7 2" xfId="37430"/>
    <cellStyle name="千位分隔 9 7 2 2" xfId="37431"/>
    <cellStyle name="千位分隔 9 7 2 3" xfId="37432"/>
    <cellStyle name="千位分隔 9 7 2 4" xfId="37433"/>
    <cellStyle name="千位分隔 9 7 2 5" xfId="37434"/>
    <cellStyle name="千位分隔 9 7 3" xfId="37435"/>
    <cellStyle name="千位分隔 9 7_附注表一（财务报表）" xfId="37436"/>
    <cellStyle name="千位分隔 9 8" xfId="37437"/>
    <cellStyle name="千位分隔 9 8 2" xfId="37438"/>
    <cellStyle name="千位分隔 9 8 3" xfId="37439"/>
    <cellStyle name="千位分隔 9 8 4" xfId="37440"/>
    <cellStyle name="千位分隔 9 8 5" xfId="37441"/>
    <cellStyle name="千位分隔 9_Spreadsheet" xfId="37442"/>
    <cellStyle name="千位分隔[0] 2" xfId="37443"/>
    <cellStyle name="千位分隔[0] 2 10" xfId="37444"/>
    <cellStyle name="千位分隔[0] 2 10 2" xfId="37445"/>
    <cellStyle name="千位分隔[0] 2 11" xfId="37446"/>
    <cellStyle name="千位分隔[0] 2 11 2" xfId="37447"/>
    <cellStyle name="千位分隔[0] 2 12" xfId="37448"/>
    <cellStyle name="千位分隔[0] 2 13" xfId="37449"/>
    <cellStyle name="千位分隔[0] 2 13 2" xfId="37450"/>
    <cellStyle name="千位分隔[0] 2 13 3" xfId="37451"/>
    <cellStyle name="千位分隔[0] 2 14" xfId="37452"/>
    <cellStyle name="千位分隔[0] 2 15" xfId="37453"/>
    <cellStyle name="千位分隔[0] 2 2" xfId="37454"/>
    <cellStyle name="千位分隔[0] 2 2 10" xfId="37455"/>
    <cellStyle name="千位分隔[0] 2 2 11" xfId="37456"/>
    <cellStyle name="千位分隔[0] 2 2 12" xfId="37457"/>
    <cellStyle name="千位分隔[0] 2 2 13" xfId="37458"/>
    <cellStyle name="千位分隔[0] 2 2 14" xfId="37459"/>
    <cellStyle name="千位分隔[0] 2 2 15" xfId="37460"/>
    <cellStyle name="千位分隔[0] 2 2 16" xfId="37461"/>
    <cellStyle name="千位分隔[0] 2 2 17" xfId="37462"/>
    <cellStyle name="千位分隔[0] 2 2 2" xfId="37463"/>
    <cellStyle name="千位分隔[0] 2 2 2 2" xfId="37464"/>
    <cellStyle name="千位分隔[0] 2 2 2 2 2" xfId="37465"/>
    <cellStyle name="千位分隔[0] 2 2 2 2 2 2" xfId="37466"/>
    <cellStyle name="千位分隔[0] 2 2 2 2 2 3" xfId="37467"/>
    <cellStyle name="千位分隔[0] 2 2 2 2 3" xfId="37468"/>
    <cellStyle name="千位分隔[0] 2 2 2 2 4" xfId="37469"/>
    <cellStyle name="千位分隔[0] 2 2 2 3" xfId="37470"/>
    <cellStyle name="千位分隔[0] 2 2 2 3 2" xfId="37471"/>
    <cellStyle name="千位分隔[0] 2 2 2 3 3" xfId="37472"/>
    <cellStyle name="千位分隔[0] 2 2 2 4" xfId="37473"/>
    <cellStyle name="千位分隔[0] 2 2 2 4 2" xfId="37474"/>
    <cellStyle name="千位分隔[0] 2 2 2 5" xfId="37475"/>
    <cellStyle name="千位分隔[0] 2 2 2 6" xfId="37476"/>
    <cellStyle name="千位分隔[0] 2 2 3" xfId="37477"/>
    <cellStyle name="千位分隔[0] 2 2 3 2" xfId="37478"/>
    <cellStyle name="千位分隔[0] 2 2 3 2 2" xfId="37479"/>
    <cellStyle name="千位分隔[0] 2 2 3 2 3" xfId="37480"/>
    <cellStyle name="千位分隔[0] 2 2 3 3" xfId="37481"/>
    <cellStyle name="千位分隔[0] 2 2 3 4" xfId="37482"/>
    <cellStyle name="千位分隔[0] 2 2 4 2" xfId="37483"/>
    <cellStyle name="千位分隔[0] 2 2 4 2 2" xfId="37484"/>
    <cellStyle name="千位分隔[0] 2 2 4 3" xfId="37485"/>
    <cellStyle name="千位分隔[0] 2 2 4 4" xfId="37486"/>
    <cellStyle name="千位分隔[0] 2 2 5" xfId="37487"/>
    <cellStyle name="千位分隔[0] 2 2 5 2" xfId="37488"/>
    <cellStyle name="千位分隔[0] 2 2 5 2 2" xfId="37489"/>
    <cellStyle name="千位分隔[0] 2 2 5 2 3" xfId="37490"/>
    <cellStyle name="千位分隔[0] 2 2 5 3" xfId="37491"/>
    <cellStyle name="千位分隔[0] 2 2 5 4" xfId="37492"/>
    <cellStyle name="千位分隔[0] 2 2 6" xfId="37493"/>
    <cellStyle name="千位分隔[0] 2 2 6 2" xfId="37494"/>
    <cellStyle name="千位分隔[0] 2 2 6 3" xfId="37495"/>
    <cellStyle name="千位分隔[0] 2 2 7" xfId="37496"/>
    <cellStyle name="千位分隔[0] 2 2 7 2" xfId="37497"/>
    <cellStyle name="千位分隔[0] 2 2 8" xfId="37498"/>
    <cellStyle name="千位分隔[0] 2 2 9" xfId="37499"/>
    <cellStyle name="千位分隔[0] 2 2_附注表一（财务报表）" xfId="37500"/>
    <cellStyle name="千位分隔[0] 2 3 2" xfId="37501"/>
    <cellStyle name="千位分隔[0] 2 3 2 2" xfId="37502"/>
    <cellStyle name="千位分隔[0] 2 3 2 2 2" xfId="37503"/>
    <cellStyle name="千位分隔[0] 2 3 2 2 3" xfId="37504"/>
    <cellStyle name="千位分隔[0] 2 3 2 3" xfId="37505"/>
    <cellStyle name="千位分隔[0] 2 3 2 5" xfId="37506"/>
    <cellStyle name="千位分隔[0] 2 3 3" xfId="37507"/>
    <cellStyle name="千位分隔[0] 2 3 3 2" xfId="37508"/>
    <cellStyle name="千位分隔[0] 2 3 3 3" xfId="37509"/>
    <cellStyle name="千位分隔[0] 2 3 4" xfId="37510"/>
    <cellStyle name="千位分隔[0] 2 3 4 2" xfId="37511"/>
    <cellStyle name="千位分隔[0] 2 3 5" xfId="37512"/>
    <cellStyle name="千位分隔[0] 2 3 6" xfId="37513"/>
    <cellStyle name="千位分隔[0] 2 3 7" xfId="37514"/>
    <cellStyle name="千位分隔[0] 2 3 8" xfId="37515"/>
    <cellStyle name="千位分隔[0] 2 3 9" xfId="37516"/>
    <cellStyle name="千位分隔[0] 2 3_附注表一（财务报表）" xfId="37517"/>
    <cellStyle name="千位分隔[0] 2 4" xfId="37518"/>
    <cellStyle name="千位分隔[0] 2 4 2" xfId="37519"/>
    <cellStyle name="千位分隔[0] 2 4 2 2" xfId="37520"/>
    <cellStyle name="千位分隔[0] 2 4 2 3" xfId="37521"/>
    <cellStyle name="千位分隔[0] 2 4 2 5" xfId="37522"/>
    <cellStyle name="千位分隔[0] 2 4 3" xfId="37523"/>
    <cellStyle name="千位分隔[0] 2 4 4" xfId="37524"/>
    <cellStyle name="千位分隔[0] 2 4 5" xfId="37525"/>
    <cellStyle name="千位分隔[0] 2 4_附注表一（财务报表）" xfId="37526"/>
    <cellStyle name="千位分隔[0] 2 5" xfId="37527"/>
    <cellStyle name="千位分隔[0] 2 5 2" xfId="37528"/>
    <cellStyle name="千位分隔[0] 2 5 2 2" xfId="37529"/>
    <cellStyle name="千位分隔[0] 2 6" xfId="37530"/>
    <cellStyle name="千位分隔[0] 2 6 2" xfId="37531"/>
    <cellStyle name="千位分隔[0] 2 6 3" xfId="37532"/>
    <cellStyle name="千位分隔[0] 2 7" xfId="37533"/>
    <cellStyle name="千位分隔[0] 2 7 2" xfId="37534"/>
    <cellStyle name="千位分隔[0] 2 7 3" xfId="37535"/>
    <cellStyle name="千位分隔[0] 2 8" xfId="37536"/>
    <cellStyle name="千位分隔[0] 2 8 2" xfId="37537"/>
    <cellStyle name="千位分隔[0] 2 8 3" xfId="37538"/>
    <cellStyle name="千位分隔[0] 2 9" xfId="37539"/>
    <cellStyle name="千位分隔[0] 2 9 2" xfId="37540"/>
    <cellStyle name="千位分隔[0] 2_Spreadsheet" xfId="37541"/>
    <cellStyle name="千位分隔[0] 3" xfId="37542"/>
    <cellStyle name="千位分隔[0] 3 10" xfId="37543"/>
    <cellStyle name="千位分隔[0] 3 11" xfId="37544"/>
    <cellStyle name="千位分隔[0] 3 12" xfId="37545"/>
    <cellStyle name="千位分隔[0] 3 13" xfId="37546"/>
    <cellStyle name="千位分隔[0] 3 14" xfId="37547"/>
    <cellStyle name="千位分隔[0] 3 2" xfId="37548"/>
    <cellStyle name="千位分隔[0] 3 2 2" xfId="37549"/>
    <cellStyle name="千位分隔[0] 3 2 2 2" xfId="37550"/>
    <cellStyle name="千位分隔[0] 3 2 2 3" xfId="37551"/>
    <cellStyle name="千位分隔[0] 3 2 3" xfId="37552"/>
    <cellStyle name="千位分隔[0] 3 2 3 2" xfId="37553"/>
    <cellStyle name="千位分隔[0] 3 2 4" xfId="37554"/>
    <cellStyle name="千位分隔[0] 3 2 5" xfId="37555"/>
    <cellStyle name="千位分隔[0] 3 3 2" xfId="37556"/>
    <cellStyle name="千位分隔[0] 3 3 2 2" xfId="37557"/>
    <cellStyle name="千位分隔[0] 3 3 2 3" xfId="37558"/>
    <cellStyle name="千位分隔[0] 3 3 3" xfId="37559"/>
    <cellStyle name="千位分隔[0] 3 3 4" xfId="37560"/>
    <cellStyle name="千位分隔[0] 3 4" xfId="37561"/>
    <cellStyle name="千位分隔[0] 3 4 2" xfId="37562"/>
    <cellStyle name="千位分隔[0] 3 4 3" xfId="37563"/>
    <cellStyle name="千位分隔[0] 3 5" xfId="37564"/>
    <cellStyle name="千位分隔[0] 3 6" xfId="37565"/>
    <cellStyle name="千位分隔[0] 3 7" xfId="37566"/>
    <cellStyle name="千位分隔[0] 3 8" xfId="37567"/>
    <cellStyle name="千位分隔[0] 3 9" xfId="37568"/>
    <cellStyle name="千位分隔[0] 3_附注表一（财务报表）" xfId="37569"/>
    <cellStyle name="千位分隔[0] 4" xfId="37570"/>
    <cellStyle name="千位分隔[0] 4 2" xfId="37571"/>
    <cellStyle name="千位分隔[0] 4 2 2" xfId="37572"/>
    <cellStyle name="千位分隔[0] 4 2 3" xfId="37573"/>
    <cellStyle name="千位分隔[0] 4 2 4" xfId="37574"/>
    <cellStyle name="千位分隔[0] 4 2 5" xfId="37575"/>
    <cellStyle name="千位分隔[0] 4 3" xfId="37576"/>
    <cellStyle name="千位分隔[0] 4 3 2" xfId="37577"/>
    <cellStyle name="千位分隔[0] 4 3 2 2" xfId="37578"/>
    <cellStyle name="千位分隔[0] 4 3 3" xfId="37579"/>
    <cellStyle name="千位分隔[0] 4 4" xfId="37580"/>
    <cellStyle name="千位分隔[0] 4 4 2" xfId="37581"/>
    <cellStyle name="千位分隔[0] 4 5" xfId="37582"/>
    <cellStyle name="千位分隔[0] 4 6" xfId="37583"/>
    <cellStyle name="千位分隔[0] 4 7" xfId="37584"/>
    <cellStyle name="千位分隔[0] 4_附注表一（财务报表）" xfId="37585"/>
    <cellStyle name="千位分隔[0] 5" xfId="37586"/>
    <cellStyle name="千位分隔[0] 5 2" xfId="37587"/>
    <cellStyle name="千位分隔[0] 5 2 2" xfId="37588"/>
    <cellStyle name="千位分隔[0] 5 2 3" xfId="37589"/>
    <cellStyle name="千位分隔[0] 5 2 4" xfId="37590"/>
    <cellStyle name="千位分隔[0] 5 2 5" xfId="37591"/>
    <cellStyle name="千位分隔[0] 5 3" xfId="37592"/>
    <cellStyle name="千位分隔[0] 5 3 2" xfId="37593"/>
    <cellStyle name="千位分隔[0] 5 4" xfId="37594"/>
    <cellStyle name="千位分隔[0] 5 5" xfId="37595"/>
    <cellStyle name="千位分隔[0] 5 6" xfId="37596"/>
    <cellStyle name="千位分隔[0] 5_附注表一（财务报表）" xfId="37597"/>
    <cellStyle name="千位分隔[0] 6" xfId="37598"/>
    <cellStyle name="千位分隔[0] 6 4" xfId="37599"/>
    <cellStyle name="千位分隔[0] 6 5" xfId="37600"/>
    <cellStyle name="千位分隔[0] 6 6" xfId="37601"/>
    <cellStyle name="千位分隔[0] 7" xfId="37602"/>
    <cellStyle name="千位分隔[0] 7 5" xfId="37603"/>
    <cellStyle name="千位分隔[0] 7 6" xfId="37604"/>
    <cellStyle name="千位分隔[0] 8 2" xfId="37605"/>
    <cellStyle name="千位分隔[0] 8 3" xfId="37606"/>
    <cellStyle name="千位分隔[0] 8 4" xfId="37607"/>
    <cellStyle name="千位分隔[0] 8 5" xfId="37608"/>
    <cellStyle name="千位分隔[0] 8 6" xfId="37609"/>
    <cellStyle name="千位分隔[0] 8 7" xfId="37610"/>
    <cellStyle name="千位分隔[0] 8 8" xfId="37611"/>
    <cellStyle name="千位分隔[0] 8 9" xfId="37612"/>
    <cellStyle name="千位分隔[0] 9" xfId="37613"/>
    <cellStyle name="千位分隔_19-无形资产（空白模板）" xfId="37614"/>
    <cellStyle name="钎霖_(沥焊何巩)岿喊牢盔拌裙" xfId="37615"/>
    <cellStyle name="掔?晉[0]_PLDT" xfId="37616"/>
    <cellStyle name="掔?晉_PLDT" xfId="37617"/>
    <cellStyle name="强调 1" xfId="37618"/>
    <cellStyle name="强调 1 2" xfId="37619"/>
    <cellStyle name="强调 1 2 2" xfId="37620"/>
    <cellStyle name="强调 1 2 2 2" xfId="37621"/>
    <cellStyle name="强调 1 2 3" xfId="37622"/>
    <cellStyle name="强调 1 2 4" xfId="37623"/>
    <cellStyle name="强调 1 3" xfId="37624"/>
    <cellStyle name="强调 1 3 2" xfId="37625"/>
    <cellStyle name="强调 1 3 3" xfId="37626"/>
    <cellStyle name="强调 1 4" xfId="37627"/>
    <cellStyle name="强调 1 5" xfId="37628"/>
    <cellStyle name="强调 1 6" xfId="37629"/>
    <cellStyle name="强调 2" xfId="37630"/>
    <cellStyle name="强调 2 2" xfId="37631"/>
    <cellStyle name="强调 2 2 2" xfId="37632"/>
    <cellStyle name="强调 2 2 2 2" xfId="37633"/>
    <cellStyle name="强调 2 3" xfId="37634"/>
    <cellStyle name="强调 2 3 2" xfId="37635"/>
    <cellStyle name="强调 2 3 3" xfId="37636"/>
    <cellStyle name="强调 2 4" xfId="37637"/>
    <cellStyle name="强调 2 5" xfId="37638"/>
    <cellStyle name="强调 2 6" xfId="37639"/>
    <cellStyle name="强调 3" xfId="37640"/>
    <cellStyle name="强调 3 2" xfId="37641"/>
    <cellStyle name="强调 3 2 2" xfId="37642"/>
    <cellStyle name="强调 3 2 2 2" xfId="37643"/>
    <cellStyle name="强调 3 2 3" xfId="37644"/>
    <cellStyle name="强调 3 2 4" xfId="37645"/>
    <cellStyle name="强调 3 3" xfId="37646"/>
    <cellStyle name="强调 3 3 2" xfId="37647"/>
    <cellStyle name="强调 3 3 3" xfId="37648"/>
    <cellStyle name="强调 3 4" xfId="37649"/>
    <cellStyle name="强调文字颜色 1 10" xfId="37650"/>
    <cellStyle name="强调文字颜色 1 2" xfId="37651"/>
    <cellStyle name="强调文字颜色 1 2 10" xfId="37652"/>
    <cellStyle name="强调文字颜色 1 2 11" xfId="37653"/>
    <cellStyle name="强调文字颜色 1 2 12" xfId="37654"/>
    <cellStyle name="强调文字颜色 1 2 2" xfId="37655"/>
    <cellStyle name="强调文字颜色 1 2 2 10" xfId="37656"/>
    <cellStyle name="强调文字颜色 1 2 2 11" xfId="37657"/>
    <cellStyle name="强调文字颜色 1 2 2 2" xfId="37658"/>
    <cellStyle name="强调文字颜色 1 2 2 2 2" xfId="37659"/>
    <cellStyle name="强调文字颜色 1 2 2 2 3" xfId="37660"/>
    <cellStyle name="强调文字颜色 1 2 2 3" xfId="37661"/>
    <cellStyle name="强调文字颜色 1 2 2 3 2" xfId="37662"/>
    <cellStyle name="强调文字颜色 1 2 2 3 3" xfId="37663"/>
    <cellStyle name="强调文字颜色 1 2 2 3 4" xfId="37664"/>
    <cellStyle name="强调文字颜色 1 2 2 3 5" xfId="37665"/>
    <cellStyle name="强调文字颜色 1 2 2 4" xfId="37666"/>
    <cellStyle name="强调文字颜色 1 2 2 5" xfId="37667"/>
    <cellStyle name="强调文字颜色 1 2 2 6" xfId="37668"/>
    <cellStyle name="强调文字颜色 1 2 2 7" xfId="37669"/>
    <cellStyle name="强调文字颜色 1 2 2 8" xfId="37670"/>
    <cellStyle name="强调文字颜色 1 2 2 9" xfId="37671"/>
    <cellStyle name="强调文字颜色 1 2 2_附注表一（财务报表）" xfId="37672"/>
    <cellStyle name="强调文字颜色 1 2 3" xfId="37673"/>
    <cellStyle name="强调文字颜色 1 2 3 2" xfId="37674"/>
    <cellStyle name="强调文字颜色 1 2 3 3" xfId="37675"/>
    <cellStyle name="强调文字颜色 1 2 3 3 2" xfId="37676"/>
    <cellStyle name="强调文字颜色 1 2 3 3 3" xfId="37677"/>
    <cellStyle name="强调文字颜色 1 2 3 3 4" xfId="37678"/>
    <cellStyle name="强调文字颜色 1 2 3 3 5" xfId="37679"/>
    <cellStyle name="强调文字颜色 1 2 3 4" xfId="37680"/>
    <cellStyle name="强调文字颜色 1 2 3 5" xfId="37681"/>
    <cellStyle name="强调文字颜色 1 2 3 6" xfId="37682"/>
    <cellStyle name="强调文字颜色 1 2 3 7" xfId="37683"/>
    <cellStyle name="强调文字颜色 1 2 3 8" xfId="37684"/>
    <cellStyle name="强调文字颜色 1 2 3_附注表一（财务报表）" xfId="37685"/>
    <cellStyle name="强调文字颜色 1 2 4" xfId="37686"/>
    <cellStyle name="强调文字颜色 1 2 4 2" xfId="37687"/>
    <cellStyle name="强调文字颜色 1 2 4 3" xfId="37688"/>
    <cellStyle name="强调文字颜色 1 2 4 4" xfId="37689"/>
    <cellStyle name="强调文字颜色 1 2 4 5" xfId="37690"/>
    <cellStyle name="强调文字颜色 1 2 4 6" xfId="37691"/>
    <cellStyle name="强调文字颜色 1 2 5 2" xfId="37692"/>
    <cellStyle name="强调文字颜色 1 2 6 2" xfId="37693"/>
    <cellStyle name="强调文字颜色 1 2 9" xfId="37694"/>
    <cellStyle name="强调文字颜色 1 2_Spreadsheet" xfId="37695"/>
    <cellStyle name="强调文字颜色 1 3" xfId="37696"/>
    <cellStyle name="强调文字颜色 1 3 2" xfId="37697"/>
    <cellStyle name="强调文字颜色 1 3 2 2" xfId="37698"/>
    <cellStyle name="强调文字颜色 1 3 2 3" xfId="37699"/>
    <cellStyle name="强调文字颜色 1 3 3" xfId="37700"/>
    <cellStyle name="强调文字颜色 1 3 4" xfId="37701"/>
    <cellStyle name="强调文字颜色 1 4" xfId="37702"/>
    <cellStyle name="强调文字颜色 1 4 2" xfId="37703"/>
    <cellStyle name="强调文字颜色 1 4 2 2" xfId="37704"/>
    <cellStyle name="强调文字颜色 1 4 2 3" xfId="37705"/>
    <cellStyle name="强调文字颜色 1 4 3" xfId="37706"/>
    <cellStyle name="强调文字颜色 1 4 4" xfId="37707"/>
    <cellStyle name="强调文字颜色 1 5" xfId="37708"/>
    <cellStyle name="强调文字颜色 1 5 2" xfId="37709"/>
    <cellStyle name="强调文字颜色 1 5 2 2" xfId="37710"/>
    <cellStyle name="强调文字颜色 1 5 2 3" xfId="37711"/>
    <cellStyle name="强调文字颜色 1 5 3" xfId="37712"/>
    <cellStyle name="强调文字颜色 1 5 4" xfId="37713"/>
    <cellStyle name="强调文字颜色 1 6" xfId="37714"/>
    <cellStyle name="一般 2" xfId="37715"/>
    <cellStyle name="强调文字颜色 1 6 2" xfId="37716"/>
    <cellStyle name="一般 2 2" xfId="37717"/>
    <cellStyle name="强调文字颜色 1 6 2 2" xfId="37718"/>
    <cellStyle name="一般 2 3" xfId="37719"/>
    <cellStyle name="强调文字颜色 1 6 2 3" xfId="37720"/>
    <cellStyle name="一般 3" xfId="37721"/>
    <cellStyle name="强调文字颜色 1 6 3" xfId="37722"/>
    <cellStyle name="强调文字颜色 1 6 4" xfId="37723"/>
    <cellStyle name="强调文字颜色 1 7" xfId="37724"/>
    <cellStyle name="强调文字颜色 1 7 2" xfId="37725"/>
    <cellStyle name="强调文字颜色 1 7 3" xfId="37726"/>
    <cellStyle name="强调文字颜色 1 8" xfId="37727"/>
    <cellStyle name="强调文字颜色 1 8 2" xfId="37728"/>
    <cellStyle name="强调文字颜色 1 8 3" xfId="37729"/>
    <cellStyle name="强调文字颜色 1 9" xfId="37730"/>
    <cellStyle name="强调文字颜色 1 9 2" xfId="37731"/>
    <cellStyle name="强调文字颜色 1 9 3" xfId="37732"/>
    <cellStyle name="强调文字颜色 2 10" xfId="37733"/>
    <cellStyle name="强调文字颜色 2 2" xfId="37734"/>
    <cellStyle name="强调文字颜色 2 2 10" xfId="37735"/>
    <cellStyle name="强调文字颜色 2 2 11" xfId="37736"/>
    <cellStyle name="强调文字颜色 2 2 12" xfId="37737"/>
    <cellStyle name="强调文字颜色 2 2 2" xfId="37738"/>
    <cellStyle name="强调文字颜色 2 2 2 10" xfId="37739"/>
    <cellStyle name="强调文字颜色 2 2 2 11" xfId="37740"/>
    <cellStyle name="强调文字颜色 2 2 2 2" xfId="37741"/>
    <cellStyle name="强调文字颜色 2 2 2 2 2" xfId="37742"/>
    <cellStyle name="强调文字颜色 2 2 2 2 3" xfId="37743"/>
    <cellStyle name="强调文字颜色 2 2 2 3" xfId="37744"/>
    <cellStyle name="强调文字颜色 2 2 2 3 2" xfId="37745"/>
    <cellStyle name="强调文字颜色 2 2 2 3 3" xfId="37746"/>
    <cellStyle name="强调文字颜色 2 2 2 3 4" xfId="37747"/>
    <cellStyle name="强调文字颜色 2 2 2 3 5" xfId="37748"/>
    <cellStyle name="强调文字颜色 2 2 2 4" xfId="37749"/>
    <cellStyle name="强调文字颜色 2 2 2 5" xfId="37750"/>
    <cellStyle name="强调文字颜色 2 2 2 6" xfId="37751"/>
    <cellStyle name="强调文字颜色 2 2 2 7" xfId="37752"/>
    <cellStyle name="强调文字颜色 2 2 2 8" xfId="37753"/>
    <cellStyle name="强调文字颜色 2 2 2 9" xfId="37754"/>
    <cellStyle name="强调文字颜色 2 2 2_附注表一（财务报表）" xfId="37755"/>
    <cellStyle name="强调文字颜色 2 2 3" xfId="37756"/>
    <cellStyle name="强调文字颜色 2 2 3 3 2" xfId="37757"/>
    <cellStyle name="强调文字颜色 2 2 3 3 3" xfId="37758"/>
    <cellStyle name="强调文字颜色 2 2 3 3 4" xfId="37759"/>
    <cellStyle name="强调文字颜色 2 2 3 3 5" xfId="37760"/>
    <cellStyle name="强调文字颜色 2 2 3 4" xfId="37761"/>
    <cellStyle name="强调文字颜色 2 2 3 5" xfId="37762"/>
    <cellStyle name="强调文字颜色 2 2 3 6" xfId="37763"/>
    <cellStyle name="强调文字颜色 2 2 3 7" xfId="37764"/>
    <cellStyle name="强调文字颜色 2 2 3 8" xfId="37765"/>
    <cellStyle name="强调文字颜色 2 2 3_附注表一（财务报表）" xfId="37766"/>
    <cellStyle name="强调文字颜色 2 2 4" xfId="37767"/>
    <cellStyle name="强调文字颜色 2 2 4 3" xfId="37768"/>
    <cellStyle name="强调文字颜色 2 2 4 4" xfId="37769"/>
    <cellStyle name="强调文字颜色 2 2 4 5" xfId="37770"/>
    <cellStyle name="强调文字颜色 2 2 4 6" xfId="37771"/>
    <cellStyle name="强调文字颜色 2 2 5" xfId="37772"/>
    <cellStyle name="强调文字颜色 2 2 6" xfId="37773"/>
    <cellStyle name="强调文字颜色 2 2 7" xfId="37774"/>
    <cellStyle name="强调文字颜色 2 2 8" xfId="37775"/>
    <cellStyle name="强调文字颜色 2 2 9" xfId="37776"/>
    <cellStyle name="强调文字颜色 2 2_Spreadsheet" xfId="37777"/>
    <cellStyle name="强调文字颜色 2 3" xfId="37778"/>
    <cellStyle name="强调文字颜色 2 3 2" xfId="37779"/>
    <cellStyle name="强调文字颜色 2 3 2 2" xfId="37780"/>
    <cellStyle name="强调文字颜色 2 3 2 3" xfId="37781"/>
    <cellStyle name="强调文字颜色 2 3 3" xfId="37782"/>
    <cellStyle name="强调文字颜色 2 3 4" xfId="37783"/>
    <cellStyle name="强调文字颜色 2 4" xfId="37784"/>
    <cellStyle name="强调文字颜色 2 4 2" xfId="37785"/>
    <cellStyle name="强调文字颜色 2 4 2 2" xfId="37786"/>
    <cellStyle name="强调文字颜色 2 4 2 3" xfId="37787"/>
    <cellStyle name="强调文字颜色 2 4 3" xfId="37788"/>
    <cellStyle name="强调文字颜色 2 4 4" xfId="37789"/>
    <cellStyle name="强调文字颜色 2 5" xfId="37790"/>
    <cellStyle name="强调文字颜色 2 5 2" xfId="37791"/>
    <cellStyle name="强调文字颜色 2 5 2 2" xfId="37792"/>
    <cellStyle name="强调文字颜色 2 5 2 3" xfId="37793"/>
    <cellStyle name="强调文字颜色 2 5 3" xfId="37794"/>
    <cellStyle name="强调文字颜色 2 5 4" xfId="37795"/>
    <cellStyle name="强调文字颜色 2 6" xfId="37796"/>
    <cellStyle name="强调文字颜色 2 6 2" xfId="37797"/>
    <cellStyle name="强调文字颜色 2 6 2 2" xfId="37798"/>
    <cellStyle name="强调文字颜色 2 6 2 3" xfId="37799"/>
    <cellStyle name="强调文字颜色 2 6 3" xfId="37800"/>
    <cellStyle name="强调文字颜色 2 6 4" xfId="37801"/>
    <cellStyle name="强调文字颜色 2 7" xfId="37802"/>
    <cellStyle name="强调文字颜色 2 7 2" xfId="37803"/>
    <cellStyle name="强调文字颜色 2 7 3" xfId="37804"/>
    <cellStyle name="强调文字颜色 2 8" xfId="37805"/>
    <cellStyle name="强调文字颜色 2 8 2" xfId="37806"/>
    <cellStyle name="强调文字颜色 2 8 3" xfId="37807"/>
    <cellStyle name="强调文字颜色 2 9" xfId="37808"/>
    <cellStyle name="强调文字颜色 2 9 2" xfId="37809"/>
    <cellStyle name="强调文字颜色 2 9 3" xfId="37810"/>
    <cellStyle name="强调文字颜色 3 10" xfId="37811"/>
    <cellStyle name="强调文字颜色 3 2" xfId="37812"/>
    <cellStyle name="强调文字颜色 3 2 12" xfId="37813"/>
    <cellStyle name="强调文字颜色 3 2 2" xfId="37814"/>
    <cellStyle name="强调文字颜色 3 2 2 2" xfId="37815"/>
    <cellStyle name="强调文字颜色 3 2 2 2 2" xfId="37816"/>
    <cellStyle name="强调文字颜色 3 2 2 2 3" xfId="37817"/>
    <cellStyle name="强调文字颜色 3 2 2 3" xfId="37818"/>
    <cellStyle name="强调文字颜色 3 2 2 3 2" xfId="37819"/>
    <cellStyle name="强调文字颜色 3 2 2 3 3" xfId="37820"/>
    <cellStyle name="强调文字颜色 3 2 2 3 4" xfId="37821"/>
    <cellStyle name="强调文字颜色 3 2 2 3 5" xfId="37822"/>
    <cellStyle name="强调文字颜色 3 2 2 4" xfId="37823"/>
    <cellStyle name="强调文字颜色 3 2 2 5" xfId="37824"/>
    <cellStyle name="强调文字颜色 3 2 2 6" xfId="37825"/>
    <cellStyle name="强调文字颜色 3 2 2 7" xfId="37826"/>
    <cellStyle name="强调文字颜色 3 2 2 8" xfId="37827"/>
    <cellStyle name="强调文字颜色 3 2 2 9" xfId="37828"/>
    <cellStyle name="强调文字颜色 3 2 3" xfId="37829"/>
    <cellStyle name="强调文字颜色 3 2 3 2" xfId="37830"/>
    <cellStyle name="强调文字颜色 3 2 3 3" xfId="37831"/>
    <cellStyle name="强调文字颜色 3 2 3 3 2" xfId="37832"/>
    <cellStyle name="强调文字颜色 3 2 3 3 3" xfId="37833"/>
    <cellStyle name="强调文字颜色 3 2 3 3 4" xfId="37834"/>
    <cellStyle name="强调文字颜色 3 2 3 3 5" xfId="37835"/>
    <cellStyle name="强调文字颜色 3 2 3 4" xfId="37836"/>
    <cellStyle name="强调文字颜色 3 2 3 5" xfId="37837"/>
    <cellStyle name="强调文字颜色 3 2 3 6" xfId="37838"/>
    <cellStyle name="强调文字颜色 3 2 3 7" xfId="37839"/>
    <cellStyle name="强调文字颜色 3 2 3 8" xfId="37840"/>
    <cellStyle name="强调文字颜色 3 2 3_附注表一（财务报表）" xfId="37841"/>
    <cellStyle name="强调文字颜色 3 2 4" xfId="37842"/>
    <cellStyle name="强调文字颜色 3 2 4 2" xfId="37843"/>
    <cellStyle name="强调文字颜色 3 2 4 3" xfId="37844"/>
    <cellStyle name="强调文字颜色 3 2 4 4" xfId="37845"/>
    <cellStyle name="强调文字颜色 3 2_Spreadsheet" xfId="37846"/>
    <cellStyle name="强调文字颜色 3 3" xfId="37847"/>
    <cellStyle name="强调文字颜色 3 3 2" xfId="37848"/>
    <cellStyle name="强调文字颜色 3 3 2 2" xfId="37849"/>
    <cellStyle name="强调文字颜色 3 3 2 3" xfId="37850"/>
    <cellStyle name="强调文字颜色 3 3 3" xfId="37851"/>
    <cellStyle name="强调文字颜色 3 3 4" xfId="37852"/>
    <cellStyle name="强调文字颜色 3 4" xfId="37853"/>
    <cellStyle name="强调文字颜色 3 4 2" xfId="37854"/>
    <cellStyle name="强调文字颜色 3 4 2 2" xfId="37855"/>
    <cellStyle name="强调文字颜色 3 4 2 3" xfId="37856"/>
    <cellStyle name="强调文字颜色 3 4 3" xfId="37857"/>
    <cellStyle name="强调文字颜色 3 4 4" xfId="37858"/>
    <cellStyle name="强调文字颜色 3 5" xfId="37859"/>
    <cellStyle name="强调文字颜色 3 5 2" xfId="37860"/>
    <cellStyle name="强调文字颜色 3 5 2 2" xfId="37861"/>
    <cellStyle name="强调文字颜色 3 5 2 3" xfId="37862"/>
    <cellStyle name="强调文字颜色 3 5 3" xfId="37863"/>
    <cellStyle name="强调文字颜色 3 5 4" xfId="37864"/>
    <cellStyle name="强调文字颜色 3 6" xfId="37865"/>
    <cellStyle name="强调文字颜色 3 6 2" xfId="37866"/>
    <cellStyle name="强调文字颜色 3 6 2 2" xfId="37867"/>
    <cellStyle name="强调文字颜色 3 6 2 3" xfId="37868"/>
    <cellStyle name="强调文字颜色 3 6 3" xfId="37869"/>
    <cellStyle name="强调文字颜色 3 6 4" xfId="37870"/>
    <cellStyle name="强调文字颜色 3 7" xfId="37871"/>
    <cellStyle name="强调文字颜色 3 7 2" xfId="37872"/>
    <cellStyle name="强调文字颜色 3 7 3" xfId="37873"/>
    <cellStyle name="强调文字颜色 3 8" xfId="37874"/>
    <cellStyle name="强调文字颜色 3 8 2" xfId="37875"/>
    <cellStyle name="强调文字颜色 3 8 3" xfId="37876"/>
    <cellStyle name="强调文字颜色 3 9" xfId="37877"/>
    <cellStyle name="强调文字颜色 3 9 2" xfId="37878"/>
    <cellStyle name="强调文字颜色 3 9 3" xfId="37879"/>
    <cellStyle name="强调文字颜色 4 10" xfId="37880"/>
    <cellStyle name="强调文字颜色 4 2" xfId="37881"/>
    <cellStyle name="强调文字颜色 4 2 10" xfId="37882"/>
    <cellStyle name="强调文字颜色 4 2 11" xfId="37883"/>
    <cellStyle name="强调文字颜色 4 2 12" xfId="37884"/>
    <cellStyle name="强调文字颜色 4 2 2" xfId="37885"/>
    <cellStyle name="强调文字颜色 4 2 2 10" xfId="37886"/>
    <cellStyle name="强调文字颜色 4 2 2 11" xfId="37887"/>
    <cellStyle name="强调文字颜色 4 2 2 2" xfId="37888"/>
    <cellStyle name="强调文字颜色 4 2 2 2 2" xfId="37889"/>
    <cellStyle name="强调文字颜色 4 2 2 2 3" xfId="37890"/>
    <cellStyle name="强调文字颜色 4 2 2 3" xfId="37891"/>
    <cellStyle name="强调文字颜色 4 2 2 3 2" xfId="37892"/>
    <cellStyle name="强调文字颜色 4 2 2 3 3" xfId="37893"/>
    <cellStyle name="强调文字颜色 4 2 2 3 4" xfId="37894"/>
    <cellStyle name="强调文字颜色 4 2 2 4" xfId="37895"/>
    <cellStyle name="强调文字颜色 4 2 2_附注表一（财务报表）" xfId="37896"/>
    <cellStyle name="强调文字颜色 4 2 3" xfId="37897"/>
    <cellStyle name="强调文字颜色 4 2 3 2" xfId="37898"/>
    <cellStyle name="强调文字颜色 4 2 3 3" xfId="37899"/>
    <cellStyle name="强调文字颜色 4 2 3 3 2" xfId="37900"/>
    <cellStyle name="强调文字颜色 4 2 3 3 3" xfId="37901"/>
    <cellStyle name="强调文字颜色 4 2 3 3 4" xfId="37902"/>
    <cellStyle name="强调文字颜色 4 2 3 4" xfId="37903"/>
    <cellStyle name="强调文字颜色 4 2 3 5" xfId="37904"/>
    <cellStyle name="强调文字颜色 4 2 3 6" xfId="37905"/>
    <cellStyle name="强调文字颜色 4 2 3 8" xfId="37906"/>
    <cellStyle name="强调文字颜色 4 2 3_附注表一（财务报表）" xfId="37907"/>
    <cellStyle name="强调文字颜色 4 2 4" xfId="37908"/>
    <cellStyle name="强调文字颜色 4 2 4 2" xfId="37909"/>
    <cellStyle name="强调文字颜色 4 2 4 3" xfId="37910"/>
    <cellStyle name="强调文字颜色 4 2 4 4" xfId="37911"/>
    <cellStyle name="强调文字颜色 4 2 4 5" xfId="37912"/>
    <cellStyle name="强调文字颜色 4 2 4 6" xfId="37913"/>
    <cellStyle name="强调文字颜色 4 2 6 2" xfId="37914"/>
    <cellStyle name="强调文字颜色 4 2_Spreadsheet" xfId="37915"/>
    <cellStyle name="强调文字颜色 4 3" xfId="37916"/>
    <cellStyle name="强调文字颜色 4 3 2" xfId="37917"/>
    <cellStyle name="强调文字颜色 4 3 2 2" xfId="37918"/>
    <cellStyle name="强调文字颜色 4 3 2 3" xfId="37919"/>
    <cellStyle name="强调文字颜色 4 3 3" xfId="37920"/>
    <cellStyle name="强调文字颜色 4 3 4" xfId="37921"/>
    <cellStyle name="强调文字颜色 4 4" xfId="37922"/>
    <cellStyle name="强调文字颜色 4 4 2" xfId="37923"/>
    <cellStyle name="强调文字颜色 4 4 2 2" xfId="37924"/>
    <cellStyle name="强调文字颜色 4 4 2 3" xfId="37925"/>
    <cellStyle name="强调文字颜色 4 4 3" xfId="37926"/>
    <cellStyle name="强调文字颜色 4 4 4" xfId="37927"/>
    <cellStyle name="强调文字颜色 4 5" xfId="37928"/>
    <cellStyle name="强调文字颜色 4 5 2" xfId="37929"/>
    <cellStyle name="强调文字颜色 4 5 2 2" xfId="37930"/>
    <cellStyle name="强调文字颜色 4 5 2 3" xfId="37931"/>
    <cellStyle name="强调文字颜色 4 5 3" xfId="37932"/>
    <cellStyle name="强调文字颜色 4 5 4" xfId="37933"/>
    <cellStyle name="强调文字颜色 4 6" xfId="37934"/>
    <cellStyle name="强调文字颜色 4 6 2" xfId="37935"/>
    <cellStyle name="强调文字颜色 4 6 2 2" xfId="37936"/>
    <cellStyle name="强调文字颜色 4 6 2 3" xfId="37937"/>
    <cellStyle name="强调文字颜色 4 6 3" xfId="37938"/>
    <cellStyle name="强调文字颜色 4 6 4" xfId="37939"/>
    <cellStyle name="强调文字颜色 4 7" xfId="37940"/>
    <cellStyle name="强调文字颜色 4 7 2" xfId="37941"/>
    <cellStyle name="强调文字颜色 4 7 3" xfId="37942"/>
    <cellStyle name="强调文字颜色 4 8" xfId="37943"/>
    <cellStyle name="强调文字颜色 4 8 2" xfId="37944"/>
    <cellStyle name="强调文字颜色 4 8 3" xfId="37945"/>
    <cellStyle name="强调文字颜色 4 9" xfId="37946"/>
    <cellStyle name="强调文字颜色 4 9 2" xfId="37947"/>
    <cellStyle name="强调文字颜色 4 9 3" xfId="37948"/>
    <cellStyle name="强调文字颜色 5 10" xfId="37949"/>
    <cellStyle name="强调文字颜色 5 2" xfId="37950"/>
    <cellStyle name="强调文字颜色 5 2 10" xfId="37951"/>
    <cellStyle name="强调文字颜色 5 2 11" xfId="37952"/>
    <cellStyle name="强调文字颜色 5 2 12" xfId="37953"/>
    <cellStyle name="强调文字颜色 5 2 2" xfId="37954"/>
    <cellStyle name="强调文字颜色 5 2 2 10" xfId="37955"/>
    <cellStyle name="强调文字颜色 5 2 2 11" xfId="37956"/>
    <cellStyle name="强调文字颜色 5 2 2 2" xfId="37957"/>
    <cellStyle name="强调文字颜色 5 2 2 3" xfId="37958"/>
    <cellStyle name="强调文字颜色 5 2 2 3 2" xfId="37959"/>
    <cellStyle name="强调文字颜色 5 2 2 3 3" xfId="37960"/>
    <cellStyle name="强调文字颜色 5 2 2 3 4" xfId="37961"/>
    <cellStyle name="强调文字颜色 5 2 2 3 5" xfId="37962"/>
    <cellStyle name="强调文字颜色 5 2 2 4" xfId="37963"/>
    <cellStyle name="强调文字颜色 5 2 2 5" xfId="37964"/>
    <cellStyle name="强调文字颜色 5 2 2 6" xfId="37965"/>
    <cellStyle name="强调文字颜色 5 2 2 8" xfId="37966"/>
    <cellStyle name="强调文字颜色 5 2 2 9" xfId="37967"/>
    <cellStyle name="强调文字颜色 5 2 2_附注表一（财务报表）" xfId="37968"/>
    <cellStyle name="强调文字颜色 5 2 3" xfId="37969"/>
    <cellStyle name="强调文字颜色 5 2 3 3" xfId="37970"/>
    <cellStyle name="强调文字颜色 5 2 3 3 2" xfId="37971"/>
    <cellStyle name="强调文字颜色 5 2 3 3 3" xfId="37972"/>
    <cellStyle name="强调文字颜色 5 2 3 4" xfId="37973"/>
    <cellStyle name="强调文字颜色 5 2 3 5" xfId="37974"/>
    <cellStyle name="强调文字颜色 5 2 3 6" xfId="37975"/>
    <cellStyle name="强调文字颜色 5 2 3 7" xfId="37976"/>
    <cellStyle name="强调文字颜色 5 2 3 8" xfId="37977"/>
    <cellStyle name="强调文字颜色 5 2 3_附注表一（财务报表）" xfId="37978"/>
    <cellStyle name="强调文字颜色 5 2 4" xfId="37979"/>
    <cellStyle name="强调文字颜色 5 2 4 2" xfId="37980"/>
    <cellStyle name="强调文字颜色 5 2 4 3" xfId="37981"/>
    <cellStyle name="强调文字颜色 5 2 4 4" xfId="37982"/>
    <cellStyle name="强调文字颜色 5 2 4 5" xfId="37983"/>
    <cellStyle name="强调文字颜色 5 2 4 6" xfId="37984"/>
    <cellStyle name="强调文字颜色 5 2 6 2" xfId="37985"/>
    <cellStyle name="强调文字颜色 5 2_Spreadsheet" xfId="37986"/>
    <cellStyle name="强调文字颜色 5 4 2 2" xfId="37987"/>
    <cellStyle name="强调文字颜色 5 4 2 3" xfId="37988"/>
    <cellStyle name="强调文字颜色 5 4 4" xfId="37989"/>
    <cellStyle name="强调文字颜色 5 5 2 2" xfId="37990"/>
    <cellStyle name="强调文字颜色 5 5 2 3" xfId="37991"/>
    <cellStyle name="强调文字颜色 5 5 3" xfId="37992"/>
    <cellStyle name="强调文字颜色 5 6 2" xfId="37993"/>
    <cellStyle name="强调文字颜色 5 6 2 2" xfId="37994"/>
    <cellStyle name="强调文字颜色 5 6 3" xfId="37995"/>
    <cellStyle name="强调文字颜色 5 6 4" xfId="37996"/>
    <cellStyle name="强调文字颜色 5 7 3" xfId="37997"/>
    <cellStyle name="强调文字颜色 5 8 2" xfId="37998"/>
    <cellStyle name="强调文字颜色 5 8 3" xfId="37999"/>
    <cellStyle name="强调文字颜色 5 9 2" xfId="38000"/>
    <cellStyle name="强调文字颜色 5 9 3" xfId="38001"/>
    <cellStyle name="强调文字颜色 6 10" xfId="38002"/>
    <cellStyle name="强调文字颜色 6 2" xfId="38003"/>
    <cellStyle name="强调文字颜色 6 2 10" xfId="38004"/>
    <cellStyle name="强调文字颜色 6 2 11" xfId="38005"/>
    <cellStyle name="强调文字颜色 6 2 12" xfId="38006"/>
    <cellStyle name="强调文字颜色 6 2 2" xfId="38007"/>
    <cellStyle name="强调文字颜色 6 2 2 10" xfId="38008"/>
    <cellStyle name="强调文字颜色 6 2 2 11" xfId="38009"/>
    <cellStyle name="强调文字颜色 6 2 2 2" xfId="38010"/>
    <cellStyle name="强调文字颜色 6 2 2 2 3" xfId="38011"/>
    <cellStyle name="强调文字颜色 6 2 2 3" xfId="38012"/>
    <cellStyle name="强调文字颜色 6 2 2 3 2" xfId="38013"/>
    <cellStyle name="强调文字颜色 6 2 2 3 3" xfId="38014"/>
    <cellStyle name="强调文字颜色 6 2 2 3 4" xfId="38015"/>
    <cellStyle name="强调文字颜色 6 2 2 3 5" xfId="38016"/>
    <cellStyle name="强调文字颜色 6 2 2 4" xfId="38017"/>
    <cellStyle name="强调文字颜色 6 2 2 5" xfId="38018"/>
    <cellStyle name="强调文字颜色 6 2 2 6" xfId="38019"/>
    <cellStyle name="强调文字颜色 6 2 2 7" xfId="38020"/>
    <cellStyle name="强调文字颜色 6 2 2 8" xfId="38021"/>
    <cellStyle name="强调文字颜色 6 2 2 9" xfId="38022"/>
    <cellStyle name="强调文字颜色 6 2 2_附注表一（财务报表）" xfId="38023"/>
    <cellStyle name="强调文字颜色 6 2 3" xfId="38024"/>
    <cellStyle name="强调文字颜色 6 2 3 2" xfId="38025"/>
    <cellStyle name="强调文字颜色 6 2 3 3" xfId="38026"/>
    <cellStyle name="强调文字颜色 6 2 3 3 2" xfId="38027"/>
    <cellStyle name="强调文字颜色 6 2 3 3 4" xfId="38028"/>
    <cellStyle name="强调文字颜色 6 2 3 3 5" xfId="38029"/>
    <cellStyle name="强调文字颜色 6 2 3 4" xfId="38030"/>
    <cellStyle name="强调文字颜色 6 2 3 5" xfId="38031"/>
    <cellStyle name="强调文字颜色 6 2 3 6" xfId="38032"/>
    <cellStyle name="强调文字颜色 6 2 3 7" xfId="38033"/>
    <cellStyle name="强调文字颜色 6 2 3 8" xfId="38034"/>
    <cellStyle name="强调文字颜色 6 2 3_附注表一（财务报表）" xfId="38035"/>
    <cellStyle name="强调文字颜色 6 2 4" xfId="38036"/>
    <cellStyle name="强调文字颜色 6 2 4 2" xfId="38037"/>
    <cellStyle name="强调文字颜色 6 2 4 3" xfId="38038"/>
    <cellStyle name="强调文字颜色 6 2 4 4" xfId="38039"/>
    <cellStyle name="强调文字颜色 6 2 4 5" xfId="38040"/>
    <cellStyle name="强调文字颜色 6 2 4 6" xfId="38041"/>
    <cellStyle name="强调文字颜色 6 2 6 2" xfId="38042"/>
    <cellStyle name="强调文字颜色 6 2_Spreadsheet" xfId="38043"/>
    <cellStyle name="强调文字颜色 6 3" xfId="38044"/>
    <cellStyle name="强调文字颜色 6 3 2" xfId="38045"/>
    <cellStyle name="强调文字颜色 6 3 2 2" xfId="38046"/>
    <cellStyle name="强调文字颜色 6 3 2 3" xfId="38047"/>
    <cellStyle name="强调文字颜色 6 3 3" xfId="38048"/>
    <cellStyle name="强调文字颜色 6 3 4" xfId="38049"/>
    <cellStyle name="强调文字颜色 6 4" xfId="38050"/>
    <cellStyle name="强调文字颜色 6 4 2" xfId="38051"/>
    <cellStyle name="强调文字颜色 6 4 2 2" xfId="38052"/>
    <cellStyle name="强调文字颜色 6 4 2 3" xfId="38053"/>
    <cellStyle name="强调文字颜色 6 4 3" xfId="38054"/>
    <cellStyle name="强调文字颜色 6 4 4" xfId="38055"/>
    <cellStyle name="强调文字颜色 6 5" xfId="38056"/>
    <cellStyle name="强调文字颜色 6 5 2" xfId="38057"/>
    <cellStyle name="强调文字颜色 6 5 2 2" xfId="38058"/>
    <cellStyle name="强调文字颜色 6 5 2 3" xfId="38059"/>
    <cellStyle name="强调文字颜色 6 5 3" xfId="38060"/>
    <cellStyle name="强调文字颜色 6 5 4" xfId="38061"/>
    <cellStyle name="强调文字颜色 6 6" xfId="38062"/>
    <cellStyle name="强调文字颜色 6 6 2" xfId="38063"/>
    <cellStyle name="强调文字颜色 6 6 2 2" xfId="38064"/>
    <cellStyle name="强调文字颜色 6 6 2 3" xfId="38065"/>
    <cellStyle name="强调文字颜色 6 6 3" xfId="38066"/>
    <cellStyle name="强调文字颜色 6 6 4" xfId="38067"/>
    <cellStyle name="强调文字颜色 6 7" xfId="38068"/>
    <cellStyle name="强调文字颜色 6 7 2" xfId="38069"/>
    <cellStyle name="强调文字颜色 6 7 3" xfId="38070"/>
    <cellStyle name="强调文字颜色 6 8" xfId="38071"/>
    <cellStyle name="强调文字颜色 6 8 2" xfId="38072"/>
    <cellStyle name="强调文字颜色 6 8 3" xfId="38073"/>
    <cellStyle name="强调文字颜色 6 9" xfId="38074"/>
    <cellStyle name="强调文字颜色 6 9 2" xfId="38075"/>
    <cellStyle name="强调文字颜色 6 9 3" xfId="38076"/>
    <cellStyle name="日期" xfId="38077"/>
    <cellStyle name="日期 2" xfId="38078"/>
    <cellStyle name="擩絫_APAR" xfId="38079"/>
    <cellStyle name="商品名称" xfId="38080"/>
    <cellStyle name="商品名称 2" xfId="38081"/>
    <cellStyle name="审计调整分录 2" xfId="38082"/>
    <cellStyle name="审计调整分录 3" xfId="38083"/>
    <cellStyle name="审计调整分录 4" xfId="38084"/>
    <cellStyle name="审计调整分录 5" xfId="38085"/>
    <cellStyle name="审计调整分录 6" xfId="38086"/>
    <cellStyle name="适中 10" xfId="38087"/>
    <cellStyle name="适中 2" xfId="38088"/>
    <cellStyle name="适中 2 2" xfId="38089"/>
    <cellStyle name="适中 2 2 10" xfId="38090"/>
    <cellStyle name="适中 2 2 11" xfId="38091"/>
    <cellStyle name="适中 2 2 2" xfId="38092"/>
    <cellStyle name="适中 2 2 2 2" xfId="38093"/>
    <cellStyle name="适中 2 2 3" xfId="38094"/>
    <cellStyle name="适中 2 2 3 2" xfId="38095"/>
    <cellStyle name="适中 2 2 3 3" xfId="38096"/>
    <cellStyle name="适中 2 2 3 4" xfId="38097"/>
    <cellStyle name="适中 2 2 3 5" xfId="38098"/>
    <cellStyle name="适中 2 2 4" xfId="38099"/>
    <cellStyle name="适中 2 2 5" xfId="38100"/>
    <cellStyle name="适中 2 2 6" xfId="38101"/>
    <cellStyle name="适中 2 2 7" xfId="38102"/>
    <cellStyle name="适中 2 2 8" xfId="38103"/>
    <cellStyle name="适中 2 2 9" xfId="38104"/>
    <cellStyle name="适中 2 3" xfId="38105"/>
    <cellStyle name="适中 2 3 2" xfId="38106"/>
    <cellStyle name="适中 2 3 3" xfId="38107"/>
    <cellStyle name="适中 2 3 3 2" xfId="38108"/>
    <cellStyle name="适中 2 3 3 3" xfId="38109"/>
    <cellStyle name="适中 2 3 3 4" xfId="38110"/>
    <cellStyle name="适中 2 3 3 5" xfId="38111"/>
    <cellStyle name="适中 2 3 4" xfId="38112"/>
    <cellStyle name="适中 2 3 6" xfId="38113"/>
    <cellStyle name="适中 2 3 7" xfId="38114"/>
    <cellStyle name="适中 2 3_附注表一（财务报表）" xfId="38115"/>
    <cellStyle name="适中 2 4" xfId="38116"/>
    <cellStyle name="适中 2 4 2" xfId="38117"/>
    <cellStyle name="适中 2 4 3" xfId="38118"/>
    <cellStyle name="适中 2 5" xfId="38119"/>
    <cellStyle name="适中 2 5 2" xfId="38120"/>
    <cellStyle name="适中 2 6" xfId="38121"/>
    <cellStyle name="适中 2 6 2" xfId="38122"/>
    <cellStyle name="适中 2 7" xfId="38123"/>
    <cellStyle name="适中 2 8" xfId="38124"/>
    <cellStyle name="适中 2 9" xfId="38125"/>
    <cellStyle name="适中 2_Spreadsheet" xfId="38126"/>
    <cellStyle name="适中 3" xfId="38127"/>
    <cellStyle name="适中 3 2" xfId="38128"/>
    <cellStyle name="适中 3 3" xfId="38129"/>
    <cellStyle name="适中 4" xfId="38130"/>
    <cellStyle name="适中 4 2" xfId="38131"/>
    <cellStyle name="适中 5" xfId="38132"/>
    <cellStyle name="适中 5 2" xfId="38133"/>
    <cellStyle name="适中 6" xfId="38134"/>
    <cellStyle name="适中 6 2" xfId="38135"/>
    <cellStyle name="适中 7" xfId="38136"/>
    <cellStyle name="适中 8" xfId="38137"/>
    <cellStyle name="适中 9" xfId="38138"/>
    <cellStyle name="输出 10" xfId="38139"/>
    <cellStyle name="输出 2 10" xfId="38140"/>
    <cellStyle name="输出 2 11" xfId="38141"/>
    <cellStyle name="输出 2 12" xfId="38142"/>
    <cellStyle name="输出 2 2 10" xfId="38143"/>
    <cellStyle name="输出 2 2 11" xfId="38144"/>
    <cellStyle name="输出 2 2 2" xfId="38145"/>
    <cellStyle name="输出 2 2 2 2" xfId="38146"/>
    <cellStyle name="输出 2 2 3" xfId="38147"/>
    <cellStyle name="输出 2 2 3 2" xfId="38148"/>
    <cellStyle name="输出 2 2 3 3" xfId="38149"/>
    <cellStyle name="输出 2 2 3 4" xfId="38150"/>
    <cellStyle name="输出 2 2 3 5" xfId="38151"/>
    <cellStyle name="输出 2 2 6" xfId="38152"/>
    <cellStyle name="输出 2 2 7" xfId="38153"/>
    <cellStyle name="输出 2 2 8" xfId="38154"/>
    <cellStyle name="输出 2 2 9" xfId="38155"/>
    <cellStyle name="输出 2 2_附注表一（财务报表）" xfId="38156"/>
    <cellStyle name="输出 2 3" xfId="38157"/>
    <cellStyle name="输出 2 3 2" xfId="38158"/>
    <cellStyle name="输出 2 3 3" xfId="38159"/>
    <cellStyle name="输出 2 3 3 2" xfId="38160"/>
    <cellStyle name="输出 2 3 3 3" xfId="38161"/>
    <cellStyle name="输出 2 3 3 4" xfId="38162"/>
    <cellStyle name="输出 2 3 3 5" xfId="38163"/>
    <cellStyle name="输出 2 3 6" xfId="38164"/>
    <cellStyle name="输出 2 3 7" xfId="38165"/>
    <cellStyle name="输出 2 3 8" xfId="38166"/>
    <cellStyle name="输出 2 3_附注表一（财务报表）" xfId="38167"/>
    <cellStyle name="输出 2 4" xfId="38168"/>
    <cellStyle name="输出 2 4 2" xfId="38169"/>
    <cellStyle name="输出 2 4 6" xfId="38170"/>
    <cellStyle name="输出 2 5" xfId="38171"/>
    <cellStyle name="输出 2 5 2" xfId="38172"/>
    <cellStyle name="输出 2 6" xfId="38173"/>
    <cellStyle name="输出 2 6 2" xfId="38174"/>
    <cellStyle name="输出 2 7" xfId="38175"/>
    <cellStyle name="输出 2 8" xfId="38176"/>
    <cellStyle name="输出 2_Spreadsheet" xfId="38177"/>
    <cellStyle name="输出 3" xfId="38178"/>
    <cellStyle name="输出 3 2" xfId="38179"/>
    <cellStyle name="输出 3 2 2" xfId="38180"/>
    <cellStyle name="输出 3 3" xfId="38181"/>
    <cellStyle name="输出 4" xfId="38182"/>
    <cellStyle name="输出 4 2" xfId="38183"/>
    <cellStyle name="输出 5" xfId="38184"/>
    <cellStyle name="输出 5 2" xfId="38185"/>
    <cellStyle name="输出 6" xfId="38186"/>
    <cellStyle name="输出 7" xfId="38187"/>
    <cellStyle name="输出 8" xfId="38188"/>
    <cellStyle name="输出 9" xfId="38189"/>
    <cellStyle name="输入 10" xfId="38190"/>
    <cellStyle name="输入 2" xfId="38191"/>
    <cellStyle name="输入 2 2" xfId="38192"/>
    <cellStyle name="输入 2 2 10" xfId="38193"/>
    <cellStyle name="输入 2 2 11" xfId="38194"/>
    <cellStyle name="输入 2 2 2" xfId="38195"/>
    <cellStyle name="输入 2 2 2 2" xfId="38196"/>
    <cellStyle name="输入 2 2 3" xfId="38197"/>
    <cellStyle name="输入 2 2 3 2" xfId="38198"/>
    <cellStyle name="输入 2 2 3 3" xfId="38199"/>
    <cellStyle name="输入 2 2 3 4" xfId="38200"/>
    <cellStyle name="输入 2 2 3 5" xfId="38201"/>
    <cellStyle name="输入 2 2 4" xfId="38202"/>
    <cellStyle name="输入 2 2 5" xfId="38203"/>
    <cellStyle name="输入 2 2 6" xfId="38204"/>
    <cellStyle name="输入 2 2 7" xfId="38205"/>
    <cellStyle name="输入 2 2 9" xfId="38206"/>
    <cellStyle name="输入 2 3" xfId="38207"/>
    <cellStyle name="输入 2 3 2" xfId="38208"/>
    <cellStyle name="输入 2 3 3" xfId="38209"/>
    <cellStyle name="输入 2 3 3 2" xfId="38210"/>
    <cellStyle name="输入 2 3 3 3" xfId="38211"/>
    <cellStyle name="输入 2 3 3 4" xfId="38212"/>
    <cellStyle name="输入 2 3 3 5" xfId="38213"/>
    <cellStyle name="输入 2 3 4" xfId="38214"/>
    <cellStyle name="输入 2 3 5" xfId="38215"/>
    <cellStyle name="输入 2 3 6" xfId="38216"/>
    <cellStyle name="输入 2 3 7" xfId="38217"/>
    <cellStyle name="输入 2 3 8" xfId="38218"/>
    <cellStyle name="输入 2 3_附注表一（财务报表）" xfId="38219"/>
    <cellStyle name="输入 2 4" xfId="38220"/>
    <cellStyle name="输入 2 4 2" xfId="38221"/>
    <cellStyle name="输入 2 4 3" xfId="38222"/>
    <cellStyle name="输入 2 4 4" xfId="38223"/>
    <cellStyle name="输入 2 4 5" xfId="38224"/>
    <cellStyle name="输入 2 4 6" xfId="38225"/>
    <cellStyle name="输入 2 5" xfId="38226"/>
    <cellStyle name="输入 2 5 2" xfId="38227"/>
    <cellStyle name="输入 2 6" xfId="38228"/>
    <cellStyle name="输入 2 7" xfId="38229"/>
    <cellStyle name="输入 2 8" xfId="38230"/>
    <cellStyle name="输入 2 9" xfId="38231"/>
    <cellStyle name="输入 2_Spreadsheet" xfId="38232"/>
    <cellStyle name="输入 3" xfId="38233"/>
    <cellStyle name="输入 3 2" xfId="38234"/>
    <cellStyle name="输入 3 2 2" xfId="38235"/>
    <cellStyle name="输入 3 3" xfId="38236"/>
    <cellStyle name="输入 4 2" xfId="38237"/>
    <cellStyle name="输入 5" xfId="38238"/>
    <cellStyle name="输入 5 2" xfId="38239"/>
    <cellStyle name="输入 6" xfId="38240"/>
    <cellStyle name="输入 6 2" xfId="38241"/>
    <cellStyle name="输入 7" xfId="38242"/>
    <cellStyle name="输入 8" xfId="38243"/>
    <cellStyle name="输入 9" xfId="38244"/>
    <cellStyle name="輸出" xfId="38245"/>
    <cellStyle name="輸出 2" xfId="38246"/>
    <cellStyle name="輸出 3" xfId="38247"/>
    <cellStyle name="輸出 4" xfId="38248"/>
    <cellStyle name="輸出 5" xfId="38249"/>
    <cellStyle name="輸出 6" xfId="38250"/>
    <cellStyle name="輸入" xfId="38251"/>
    <cellStyle name="輸入 2" xfId="38252"/>
    <cellStyle name="輸入 3" xfId="38253"/>
    <cellStyle name="輸入 4" xfId="38254"/>
    <cellStyle name="輸入 5" xfId="38255"/>
    <cellStyle name="輸入 6" xfId="38256"/>
    <cellStyle name="数量" xfId="38257"/>
    <cellStyle name="数量 2" xfId="38258"/>
    <cellStyle name="说明文本" xfId="38259"/>
    <cellStyle name="說明文字" xfId="38260"/>
    <cellStyle name="說明文字 2" xfId="38261"/>
    <cellStyle name="說明文字 3" xfId="38262"/>
    <cellStyle name="說明文字 4" xfId="38263"/>
    <cellStyle name="說明文字 5" xfId="38264"/>
    <cellStyle name="說明文字 6" xfId="38265"/>
    <cellStyle name="宋体繁体潒慭n_x0002_" xfId="38266"/>
    <cellStyle name="宋体繁体潒慭n_x0002_ 2" xfId="38267"/>
    <cellStyle name="索引" xfId="38268"/>
    <cellStyle name="掦斪?進[0]_PERSONAL" xfId="38269"/>
    <cellStyle name="掦斪?進_PERSONAL" xfId="38270"/>
    <cellStyle name="掦斪[0]_laroux" xfId="38271"/>
    <cellStyle name="掦斪_laroux" xfId="38272"/>
    <cellStyle name="填充" xfId="38273"/>
    <cellStyle name="通貨 [0.00]_１１月価格表" xfId="38274"/>
    <cellStyle name="通貨_１１月価格表" xfId="38275"/>
    <cellStyle name="未定义" xfId="38276"/>
    <cellStyle name="未定義" xfId="38277"/>
    <cellStyle name="未定義 2" xfId="38278"/>
    <cellStyle name="未定義 4" xfId="38279"/>
    <cellStyle name="未定義 5" xfId="38280"/>
    <cellStyle name="未定義 6" xfId="38281"/>
    <cellStyle name="无色" xfId="38282"/>
    <cellStyle name="小计" xfId="38283"/>
    <cellStyle name="样式 1" xfId="38284"/>
    <cellStyle name="样式 1 12" xfId="38285"/>
    <cellStyle name="样式 1 13" xfId="38286"/>
    <cellStyle name="样式 1 14" xfId="38287"/>
    <cellStyle name="样式 1 2" xfId="38288"/>
    <cellStyle name="样式 1 2 10" xfId="38289"/>
    <cellStyle name="样式 1 2 11" xfId="38290"/>
    <cellStyle name="样式 1 2 2 4" xfId="38291"/>
    <cellStyle name="样式 1 2 2 5" xfId="38292"/>
    <cellStyle name="样式 1 2 2 6" xfId="38293"/>
    <cellStyle name="样式 1 2 3 2" xfId="38294"/>
    <cellStyle name="样式 1 2 5" xfId="38295"/>
    <cellStyle name="样式 1 2 6" xfId="38296"/>
    <cellStyle name="样式 1 2 7" xfId="38297"/>
    <cellStyle name="样式 1 2 8" xfId="38298"/>
    <cellStyle name="样式 1 2 9" xfId="38299"/>
    <cellStyle name="样式 1 2_附注表一（财务报表）" xfId="38300"/>
    <cellStyle name="样式 1 3" xfId="38301"/>
    <cellStyle name="样式 1 3 2" xfId="38302"/>
    <cellStyle name="样式 1 3 2 2" xfId="38303"/>
    <cellStyle name="样式 1 3 3" xfId="38304"/>
    <cellStyle name="样式 1 3 4" xfId="38305"/>
    <cellStyle name="样式 1 4" xfId="38306"/>
    <cellStyle name="样式 1 4 2" xfId="38307"/>
    <cellStyle name="样式 1 4 3" xfId="38308"/>
    <cellStyle name="样式 1 5" xfId="38309"/>
    <cellStyle name="样式 1 5 2" xfId="38310"/>
    <cellStyle name="样式 1 5 3" xfId="38311"/>
    <cellStyle name="样式 1 6" xfId="38312"/>
    <cellStyle name="样式 1 6 2" xfId="38313"/>
    <cellStyle name="样式 1 7" xfId="38314"/>
    <cellStyle name="样式 1 7 2" xfId="38315"/>
    <cellStyle name="样式 1 8" xfId="38316"/>
    <cellStyle name="样式 2" xfId="38317"/>
    <cellStyle name="一般 2 2 2" xfId="38318"/>
    <cellStyle name="一般 2 4" xfId="38319"/>
    <cellStyle name="一般 2 5" xfId="38320"/>
    <cellStyle name="一般 2 6" xfId="38321"/>
    <cellStyle name="一般 2_walkthrough" xfId="38322"/>
    <cellStyle name="一般_04.12月資金報表-小馬" xfId="38323"/>
    <cellStyle name="秇? [0]_PLDT" xfId="38324"/>
    <cellStyle name="秇?[0]_pldt" xfId="38325"/>
    <cellStyle name="秇?_PLDT" xfId="38326"/>
    <cellStyle name="逸?[0]_pldt" xfId="38327"/>
    <cellStyle name="億啟[0]_ INVOICE" xfId="38328"/>
    <cellStyle name="믅됞 [0.00]_PRODUCT DETAIL Q1" xfId="38329"/>
    <cellStyle name="백분율_95" xfId="38330"/>
    <cellStyle name="寘嬫愗傝 [0.00]_PRODUCT DETAIL Q1" xfId="38331"/>
    <cellStyle name="寘嬫愗傝_PRODUCT DETAIL Q1" xfId="38332"/>
    <cellStyle name="中等" xfId="38333"/>
    <cellStyle name="中等 2" xfId="38334"/>
    <cellStyle name="注释 10" xfId="38335"/>
    <cellStyle name="注释 11" xfId="38336"/>
    <cellStyle name="注释 2" xfId="38337"/>
    <cellStyle name="注释 2 10" xfId="38338"/>
    <cellStyle name="注释 2 11" xfId="38339"/>
    <cellStyle name="注释 2 12" xfId="38340"/>
    <cellStyle name="注释 2 2" xfId="38341"/>
    <cellStyle name="注释 2 2 10" xfId="38342"/>
    <cellStyle name="注释 2 2 11" xfId="38343"/>
    <cellStyle name="注释 2 2 2" xfId="38344"/>
    <cellStyle name="注释 2 2 2 2" xfId="38345"/>
    <cellStyle name="注释 2 2 2 2 2" xfId="38346"/>
    <cellStyle name="注释 2 2 2 3" xfId="38347"/>
    <cellStyle name="注释 2 2 3" xfId="38348"/>
    <cellStyle name="注释 2 2 3 2" xfId="38349"/>
    <cellStyle name="注释 2 2 3 3" xfId="38350"/>
    <cellStyle name="注释 2 2 3 4" xfId="38351"/>
    <cellStyle name="注释 2 2 3 5" xfId="38352"/>
    <cellStyle name="注释 2 2 4" xfId="38353"/>
    <cellStyle name="注释 2 2 5" xfId="38354"/>
    <cellStyle name="注释 2 2 6" xfId="38355"/>
    <cellStyle name="注释 2 2 7" xfId="38356"/>
    <cellStyle name="注释 2 2 8" xfId="38357"/>
    <cellStyle name="注释 2 2 9" xfId="38358"/>
    <cellStyle name="注释 2 2_附注表一（财务报表）" xfId="38359"/>
    <cellStyle name="注释 2 3" xfId="38360"/>
    <cellStyle name="注释 2 3 2" xfId="38361"/>
    <cellStyle name="注释 2 3 2 2" xfId="38362"/>
    <cellStyle name="注释 2 3 3" xfId="38363"/>
    <cellStyle name="注释 2 3 3 2" xfId="38364"/>
    <cellStyle name="注释 2 3 3 3" xfId="38365"/>
    <cellStyle name="注释 2 3 3 4" xfId="38366"/>
    <cellStyle name="注释 2 3 3 5" xfId="38367"/>
    <cellStyle name="注释 2 3 4" xfId="38368"/>
    <cellStyle name="注释 2 3 5" xfId="38369"/>
    <cellStyle name="注释 2 3 6" xfId="38370"/>
    <cellStyle name="注释 2 3 7" xfId="38371"/>
    <cellStyle name="注释 2 3 8" xfId="38372"/>
    <cellStyle name="注释 2 3_附注表一（财务报表）" xfId="38373"/>
    <cellStyle name="注释 2 4" xfId="38374"/>
    <cellStyle name="注释 2 4 2" xfId="38375"/>
    <cellStyle name="注释 2 4 3" xfId="38376"/>
    <cellStyle name="注释 2 4 4" xfId="38377"/>
    <cellStyle name="注释 2 4 5" xfId="38378"/>
    <cellStyle name="注释 2 4 6" xfId="38379"/>
    <cellStyle name="注释 2 5" xfId="38380"/>
    <cellStyle name="注释 2 5 2" xfId="38381"/>
    <cellStyle name="注释 2 6" xfId="38382"/>
    <cellStyle name="注释 2 6 2" xfId="38383"/>
    <cellStyle name="注释 2 7" xfId="38384"/>
    <cellStyle name="注释 2 7 2" xfId="38385"/>
    <cellStyle name="注释 2 9" xfId="38386"/>
    <cellStyle name="注释 2_附注表一（财务报表）" xfId="38387"/>
    <cellStyle name="注释 3" xfId="38388"/>
    <cellStyle name="注释 3 2" xfId="38389"/>
    <cellStyle name="注释 3 2 2" xfId="38390"/>
    <cellStyle name="注释 3 2 3" xfId="38391"/>
    <cellStyle name="注释 3 3" xfId="38392"/>
    <cellStyle name="注释 3 4" xfId="38393"/>
    <cellStyle name="注释 4" xfId="38394"/>
    <cellStyle name="注释 4 2" xfId="38395"/>
    <cellStyle name="注释 4 2 2" xfId="38396"/>
    <cellStyle name="注释 4 2 3" xfId="38397"/>
    <cellStyle name="注释 4 3" xfId="38398"/>
    <cellStyle name="注释 4 4" xfId="38399"/>
    <cellStyle name="注释 5 2" xfId="38400"/>
    <cellStyle name="注释 5 2 2" xfId="38401"/>
    <cellStyle name="注释 5 2 3" xfId="38402"/>
    <cellStyle name="注释 5 3" xfId="38403"/>
    <cellStyle name="注释 5 4" xfId="38404"/>
    <cellStyle name="注释 6 2" xfId="38405"/>
    <cellStyle name="注释 6 3" xfId="38406"/>
    <cellStyle name="注释 6 4" xfId="38407"/>
    <cellStyle name="注释 7" xfId="38408"/>
    <cellStyle name="注释 7 2" xfId="38409"/>
    <cellStyle name="注释 7 3" xfId="38410"/>
    <cellStyle name="注释 8" xfId="38411"/>
    <cellStyle name="注释 8 2" xfId="38412"/>
    <cellStyle name="注释 8 3" xfId="38413"/>
    <cellStyle name="注释 9" xfId="38414"/>
    <cellStyle name="綴樟閉撰蟈諉" xfId="38415"/>
    <cellStyle name="綴樟閉撰蟈諉 2" xfId="38416"/>
    <cellStyle name="綴樟閉撰蟈諉 3" xfId="38417"/>
    <cellStyle name="綴樟閉撰蟈諉 4" xfId="38418"/>
    <cellStyle name="綴樟閉撰蟈諉 5" xfId="38419"/>
    <cellStyle name="綴樟閉撰蟈諉 6" xfId="38420"/>
    <cellStyle name="资产" xfId="38421"/>
    <cellStyle name="资产 2" xfId="38422"/>
    <cellStyle name="资产 2 2" xfId="38423"/>
    <cellStyle name="资产 2 3" xfId="38424"/>
    <cellStyle name="资产 2 3 2" xfId="38425"/>
    <cellStyle name="资产 2 3 3" xfId="38426"/>
    <cellStyle name="资产 2 4" xfId="38427"/>
    <cellStyle name="资产 2 5" xfId="38428"/>
    <cellStyle name="资产 3" xfId="38429"/>
    <cellStyle name="资产 3 2" xfId="38430"/>
    <cellStyle name="资产 3 3" xfId="38431"/>
    <cellStyle name="资产 4" xfId="38432"/>
    <cellStyle name="资产 5" xfId="38433"/>
    <cellStyle name="资产 6" xfId="38434"/>
    <cellStyle name="资产 7" xfId="38435"/>
    <cellStyle name="资产 8" xfId="38436"/>
    <cellStyle name="쉼표 [0]_10K of ATK for December 2001" xfId="38437"/>
    <cellStyle name="지정되지 않음" xfId="38438"/>
    <cellStyle name="지정되지 않음 2" xfId="38439"/>
    <cellStyle name="지정되지 않음 2 2" xfId="38440"/>
    <cellStyle name="지정되지 않음 2 3" xfId="38441"/>
    <cellStyle name="지정되지 않음 2 4" xfId="38442"/>
    <cellStyle name="지정되지 않음 2 5" xfId="38443"/>
    <cellStyle name="지정되지 않음 2 6" xfId="38444"/>
    <cellStyle name="지정되지 않음 3" xfId="38445"/>
    <cellStyle name="지정되지 않음 4" xfId="38446"/>
    <cellStyle name="지정되지 않음 5" xfId="38447"/>
    <cellStyle name="지정되지 않음 6" xfId="38448"/>
    <cellStyle name="지정되지 않음 7" xfId="38449"/>
    <cellStyle name="콤마 [0]_~0009887" xfId="38450"/>
    <cellStyle name="콤마_~0009887" xfId="38451"/>
    <cellStyle name="통화 [0]_1.24분기 평가표 " xfId="38452"/>
    <cellStyle name="통화_1.24분기 평가표 " xfId="38453"/>
    <cellStyle name="표준_(업무)평가단" xfId="38454"/>
  </cellStyles>
  <dxfs count="15">
    <dxf>
      <font>
        <sz val="9"/>
      </font>
    </dxf>
    <dxf>
      <fill>
        <patternFill patternType="solid">
          <bgColor indexed="10"/>
        </patternFill>
      </fill>
      <border>
        <left style="thin">
          <color auto="1"/>
        </left>
        <right style="thin">
          <color auto="1"/>
        </right>
        <top style="thin">
          <color auto="1"/>
        </top>
        <bottom style="thin">
          <color auto="1"/>
        </bottom>
      </border>
    </dxf>
    <dxf>
      <font>
        <b val="1"/>
        <i val="0"/>
      </font>
      <fill>
        <patternFill patternType="solid">
          <bgColor indexed="10"/>
        </patternFill>
      </fill>
      <border>
        <left style="thin">
          <color auto="1"/>
        </left>
        <right style="thin">
          <color auto="1"/>
        </right>
        <top style="thin">
          <color auto="1"/>
        </top>
        <bottom style="thin">
          <color auto="1"/>
        </bottom>
      </border>
    </dxf>
    <dxf>
      <fill>
        <patternFill patternType="solid">
          <bgColor indexed="13"/>
        </patternFill>
      </fill>
    </dxf>
    <dxf>
      <font>
        <color auto="1"/>
      </font>
      <fill>
        <patternFill patternType="solid">
          <bgColor indexed="10"/>
        </patternFill>
      </fill>
    </dxf>
    <dxf>
      <font>
        <color indexed="12"/>
      </font>
    </dxf>
    <dxf>
      <font>
        <color rgb="FF9C0006"/>
      </font>
    </dxf>
    <dxf>
      <fill>
        <patternFill patternType="solid">
          <bgColor rgb="FFFF0000"/>
        </patternFill>
      </fill>
    </dxf>
    <dxf>
      <fill>
        <patternFill patternType="solid">
          <bgColor rgb="FFFF0000"/>
        </patternFill>
      </fill>
    </dxf>
    <dxf>
      <fill>
        <gradientFill type="path" left="0.5" right="0.5" top="0.5" bottom="0.5">
          <stop position="0">
            <color theme="0"/>
          </stop>
          <stop position="1">
            <color theme="5"/>
          </stop>
        </gradientFill>
      </fill>
    </dxf>
    <dxf>
      <fill>
        <gradientFill type="path" left="0.5" right="0.5" top="0.5" bottom="0.5">
          <stop position="0">
            <color theme="0"/>
          </stop>
          <stop position="1">
            <color rgb="FF92D050"/>
          </stop>
        </gradientFill>
      </fill>
    </dxf>
    <dxf>
      <fill>
        <patternFill patternType="solid">
          <bgColor rgb="FFFF0000"/>
        </patternFill>
      </fill>
      <border>
        <left style="thin">
          <color auto="1"/>
        </left>
        <right style="thin">
          <color auto="1"/>
        </right>
        <top style="thin">
          <color auto="1"/>
        </top>
        <bottom style="thin">
          <color auto="1"/>
        </bottom>
      </border>
    </dxf>
    <dxf>
      <fill>
        <patternFill patternType="solid">
          <bgColor rgb="FFFF0000"/>
        </patternFill>
      </fill>
      <border>
        <left style="thin">
          <color rgb="FFFF0000"/>
        </left>
        <right style="thin">
          <color rgb="FFFF0000"/>
        </right>
        <top style="thin">
          <color rgb="FFFF0000"/>
        </top>
        <bottom style="thin">
          <color rgb="FFFF0000"/>
        </bottom>
      </border>
    </dxf>
    <dxf>
      <fill>
        <patternFill patternType="solid">
          <bgColor theme="0"/>
        </patternFill>
      </fill>
      <border>
        <left style="thin">
          <color rgb="FFFF0000"/>
        </left>
        <right style="thin">
          <color rgb="FFFF0000"/>
        </right>
        <top style="thin">
          <color rgb="FFFF0000"/>
        </top>
        <bottom style="thin">
          <color rgb="FFFF0000"/>
        </bottom>
      </border>
    </dxf>
    <dxf>
      <fill>
        <patternFill patternType="solid">
          <bgColor rgb="FFFF0000"/>
        </patternFill>
      </fill>
    </dxf>
  </dxfs>
  <tableStyles count="0" defaultTableStyle="TableStyleMedium9" defaultPivotStyle="PivotStyleLight16"/>
  <colors>
    <mruColors>
      <color rgb="0099FFCC"/>
      <color rgb="00CCFFFF"/>
      <color rgb="008FD7DF"/>
      <color rgb="00CCC0DA"/>
      <color rgb="0099CCFF"/>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externalLink" Target="externalLinks/externalLink37.xml"/><Relationship Id="rId98" Type="http://schemas.openxmlformats.org/officeDocument/2006/relationships/externalLink" Target="externalLinks/externalLink36.xml"/><Relationship Id="rId97" Type="http://schemas.openxmlformats.org/officeDocument/2006/relationships/externalLink" Target="externalLinks/externalLink35.xml"/><Relationship Id="rId96" Type="http://schemas.openxmlformats.org/officeDocument/2006/relationships/externalLink" Target="externalLinks/externalLink34.xml"/><Relationship Id="rId95" Type="http://schemas.openxmlformats.org/officeDocument/2006/relationships/externalLink" Target="externalLinks/externalLink33.xml"/><Relationship Id="rId94" Type="http://schemas.openxmlformats.org/officeDocument/2006/relationships/externalLink" Target="externalLinks/externalLink32.xml"/><Relationship Id="rId93" Type="http://schemas.openxmlformats.org/officeDocument/2006/relationships/externalLink" Target="externalLinks/externalLink31.xml"/><Relationship Id="rId92" Type="http://schemas.openxmlformats.org/officeDocument/2006/relationships/externalLink" Target="externalLinks/externalLink30.xml"/><Relationship Id="rId91" Type="http://schemas.openxmlformats.org/officeDocument/2006/relationships/externalLink" Target="externalLinks/externalLink29.xml"/><Relationship Id="rId90" Type="http://schemas.openxmlformats.org/officeDocument/2006/relationships/externalLink" Target="externalLinks/externalLink28.xml"/><Relationship Id="rId9" Type="http://schemas.openxmlformats.org/officeDocument/2006/relationships/worksheet" Target="worksheets/sheet9.xml"/><Relationship Id="rId89" Type="http://schemas.openxmlformats.org/officeDocument/2006/relationships/externalLink" Target="externalLinks/externalLink27.xml"/><Relationship Id="rId88" Type="http://schemas.openxmlformats.org/officeDocument/2006/relationships/externalLink" Target="externalLinks/externalLink26.xml"/><Relationship Id="rId87" Type="http://schemas.openxmlformats.org/officeDocument/2006/relationships/externalLink" Target="externalLinks/externalLink25.xml"/><Relationship Id="rId86" Type="http://schemas.openxmlformats.org/officeDocument/2006/relationships/externalLink" Target="externalLinks/externalLink24.xml"/><Relationship Id="rId85" Type="http://schemas.openxmlformats.org/officeDocument/2006/relationships/externalLink" Target="externalLinks/externalLink23.xml"/><Relationship Id="rId84" Type="http://schemas.openxmlformats.org/officeDocument/2006/relationships/externalLink" Target="externalLinks/externalLink22.xml"/><Relationship Id="rId83" Type="http://schemas.openxmlformats.org/officeDocument/2006/relationships/externalLink" Target="externalLinks/externalLink21.xml"/><Relationship Id="rId82" Type="http://schemas.openxmlformats.org/officeDocument/2006/relationships/externalLink" Target="externalLinks/externalLink20.xml"/><Relationship Id="rId81" Type="http://schemas.openxmlformats.org/officeDocument/2006/relationships/externalLink" Target="externalLinks/externalLink19.xml"/><Relationship Id="rId80" Type="http://schemas.openxmlformats.org/officeDocument/2006/relationships/externalLink" Target="externalLinks/externalLink18.xml"/><Relationship Id="rId8" Type="http://schemas.openxmlformats.org/officeDocument/2006/relationships/worksheet" Target="worksheets/sheet8.xml"/><Relationship Id="rId79" Type="http://schemas.openxmlformats.org/officeDocument/2006/relationships/externalLink" Target="externalLinks/externalLink17.xml"/><Relationship Id="rId78" Type="http://schemas.openxmlformats.org/officeDocument/2006/relationships/externalLink" Target="externalLinks/externalLink16.xml"/><Relationship Id="rId77" Type="http://schemas.openxmlformats.org/officeDocument/2006/relationships/externalLink" Target="externalLinks/externalLink15.xml"/><Relationship Id="rId76" Type="http://schemas.openxmlformats.org/officeDocument/2006/relationships/externalLink" Target="externalLinks/externalLink14.xml"/><Relationship Id="rId75" Type="http://schemas.openxmlformats.org/officeDocument/2006/relationships/externalLink" Target="externalLinks/externalLink13.xml"/><Relationship Id="rId74" Type="http://schemas.openxmlformats.org/officeDocument/2006/relationships/externalLink" Target="externalLinks/externalLink12.xml"/><Relationship Id="rId73" Type="http://schemas.openxmlformats.org/officeDocument/2006/relationships/externalLink" Target="externalLinks/externalLink11.xml"/><Relationship Id="rId72" Type="http://schemas.openxmlformats.org/officeDocument/2006/relationships/externalLink" Target="externalLinks/externalLink10.xml"/><Relationship Id="rId71" Type="http://schemas.openxmlformats.org/officeDocument/2006/relationships/externalLink" Target="externalLinks/externalLink9.xml"/><Relationship Id="rId70" Type="http://schemas.openxmlformats.org/officeDocument/2006/relationships/externalLink" Target="externalLinks/externalLink8.xml"/><Relationship Id="rId7" Type="http://schemas.openxmlformats.org/officeDocument/2006/relationships/worksheet" Target="worksheets/sheet7.xml"/><Relationship Id="rId69" Type="http://schemas.openxmlformats.org/officeDocument/2006/relationships/externalLink" Target="externalLinks/externalLink7.xml"/><Relationship Id="rId68" Type="http://schemas.openxmlformats.org/officeDocument/2006/relationships/externalLink" Target="externalLinks/externalLink6.xml"/><Relationship Id="rId67" Type="http://schemas.openxmlformats.org/officeDocument/2006/relationships/externalLink" Target="externalLinks/externalLink5.xml"/><Relationship Id="rId66" Type="http://schemas.openxmlformats.org/officeDocument/2006/relationships/externalLink" Target="externalLinks/externalLink4.xml"/><Relationship Id="rId65" Type="http://schemas.openxmlformats.org/officeDocument/2006/relationships/externalLink" Target="externalLinks/externalLink3.xml"/><Relationship Id="rId64" Type="http://schemas.openxmlformats.org/officeDocument/2006/relationships/externalLink" Target="externalLinks/externalLink2.xml"/><Relationship Id="rId63" Type="http://schemas.openxmlformats.org/officeDocument/2006/relationships/externalLink" Target="externalLinks/externalLink1.xml"/><Relationship Id="rId62" Type="http://schemas.openxmlformats.org/officeDocument/2006/relationships/pivotCacheDefinition" Target="pivotCache/pivotCacheDefinition1.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4" Type="http://schemas.openxmlformats.org/officeDocument/2006/relationships/sharedStrings" Target="sharedStrings.xml"/><Relationship Id="rId113" Type="http://schemas.openxmlformats.org/officeDocument/2006/relationships/styles" Target="styles.xml"/><Relationship Id="rId112" Type="http://schemas.openxmlformats.org/officeDocument/2006/relationships/theme" Target="theme/theme1.xml"/><Relationship Id="rId111" Type="http://schemas.openxmlformats.org/officeDocument/2006/relationships/externalLink" Target="externalLinks/externalLink49.xml"/><Relationship Id="rId110" Type="http://schemas.openxmlformats.org/officeDocument/2006/relationships/externalLink" Target="externalLinks/externalLink48.xml"/><Relationship Id="rId11" Type="http://schemas.openxmlformats.org/officeDocument/2006/relationships/worksheet" Target="worksheets/sheet11.xml"/><Relationship Id="rId109" Type="http://schemas.openxmlformats.org/officeDocument/2006/relationships/externalLink" Target="externalLinks/externalLink47.xml"/><Relationship Id="rId108" Type="http://schemas.openxmlformats.org/officeDocument/2006/relationships/externalLink" Target="externalLinks/externalLink46.xml"/><Relationship Id="rId107" Type="http://schemas.openxmlformats.org/officeDocument/2006/relationships/externalLink" Target="externalLinks/externalLink45.xml"/><Relationship Id="rId106" Type="http://schemas.openxmlformats.org/officeDocument/2006/relationships/externalLink" Target="externalLinks/externalLink44.xml"/><Relationship Id="rId105" Type="http://schemas.openxmlformats.org/officeDocument/2006/relationships/externalLink" Target="externalLinks/externalLink43.xml"/><Relationship Id="rId104" Type="http://schemas.openxmlformats.org/officeDocument/2006/relationships/externalLink" Target="externalLinks/externalLink42.xml"/><Relationship Id="rId103" Type="http://schemas.openxmlformats.org/officeDocument/2006/relationships/externalLink" Target="externalLinks/externalLink41.xml"/><Relationship Id="rId102" Type="http://schemas.openxmlformats.org/officeDocument/2006/relationships/externalLink" Target="externalLinks/externalLink40.xml"/><Relationship Id="rId101" Type="http://schemas.openxmlformats.org/officeDocument/2006/relationships/externalLink" Target="externalLinks/externalLink39.xml"/><Relationship Id="rId100" Type="http://schemas.openxmlformats.org/officeDocument/2006/relationships/externalLink" Target="externalLinks/externalLink38.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21442;&#25968;&#34920;!A1"/></Relationships>
</file>

<file path=xl/drawings/_rels/drawing1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3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76200</xdr:colOff>
      <xdr:row>11</xdr:row>
      <xdr:rowOff>114300</xdr:rowOff>
    </xdr:from>
    <xdr:to>
      <xdr:col>0</xdr:col>
      <xdr:colOff>171450</xdr:colOff>
      <xdr:row>11</xdr:row>
      <xdr:rowOff>114300</xdr:rowOff>
    </xdr:to>
    <xdr:sp>
      <xdr:nvSpPr>
        <xdr:cNvPr id="3092" name="Line 20"/>
        <xdr:cNvSpPr>
          <a:spLocks noChangeShapeType="1"/>
        </xdr:cNvSpPr>
      </xdr:nvSpPr>
      <xdr:spPr>
        <a:xfrm flipH="1">
          <a:off x="76200" y="2533650"/>
          <a:ext cx="95250" cy="0"/>
        </a:xfrm>
        <a:prstGeom prst="line">
          <a:avLst/>
        </a:prstGeom>
        <a:noFill/>
        <a:ln w="19050">
          <a:solidFill>
            <a:srgbClr val="FF00FF"/>
          </a:solidFill>
          <a:round/>
        </a:ln>
      </xdr:spPr>
    </xdr:sp>
    <xdr:clientData/>
  </xdr:twoCellAnchor>
  <xdr:twoCellAnchor>
    <xdr:from>
      <xdr:col>0</xdr:col>
      <xdr:colOff>76200</xdr:colOff>
      <xdr:row>11</xdr:row>
      <xdr:rowOff>114300</xdr:rowOff>
    </xdr:from>
    <xdr:to>
      <xdr:col>0</xdr:col>
      <xdr:colOff>76200</xdr:colOff>
      <xdr:row>19</xdr:row>
      <xdr:rowOff>123825</xdr:rowOff>
    </xdr:to>
    <xdr:sp>
      <xdr:nvSpPr>
        <xdr:cNvPr id="3093" name="Line 21"/>
        <xdr:cNvSpPr>
          <a:spLocks noChangeShapeType="1"/>
        </xdr:cNvSpPr>
      </xdr:nvSpPr>
      <xdr:spPr>
        <a:xfrm>
          <a:off x="76200" y="2533650"/>
          <a:ext cx="0" cy="1609725"/>
        </a:xfrm>
        <a:prstGeom prst="line">
          <a:avLst/>
        </a:prstGeom>
        <a:noFill/>
        <a:ln w="19050">
          <a:solidFill>
            <a:srgbClr val="FF00FF"/>
          </a:solidFill>
          <a:round/>
        </a:ln>
      </xdr:spPr>
    </xdr:sp>
    <xdr:clientData/>
  </xdr:twoCellAnchor>
  <xdr:twoCellAnchor>
    <xdr:from>
      <xdr:col>0</xdr:col>
      <xdr:colOff>76200</xdr:colOff>
      <xdr:row>19</xdr:row>
      <xdr:rowOff>123825</xdr:rowOff>
    </xdr:from>
    <xdr:to>
      <xdr:col>0</xdr:col>
      <xdr:colOff>171450</xdr:colOff>
      <xdr:row>19</xdr:row>
      <xdr:rowOff>123825</xdr:rowOff>
    </xdr:to>
    <xdr:sp>
      <xdr:nvSpPr>
        <xdr:cNvPr id="3094" name="Line 22"/>
        <xdr:cNvSpPr>
          <a:spLocks noChangeShapeType="1"/>
        </xdr:cNvSpPr>
      </xdr:nvSpPr>
      <xdr:spPr>
        <a:xfrm>
          <a:off x="76200" y="4143375"/>
          <a:ext cx="95250" cy="0"/>
        </a:xfrm>
        <a:prstGeom prst="line">
          <a:avLst/>
        </a:prstGeom>
        <a:noFill/>
        <a:ln w="19050">
          <a:solidFill>
            <a:srgbClr val="FF00FF"/>
          </a:solidFill>
          <a:round/>
          <a:tailEnd type="triangle" w="med" len="med"/>
        </a:ln>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512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058" name="AutoShape 10">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6147"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716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170"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331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433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536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638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740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169</xdr:row>
      <xdr:rowOff>0</xdr:rowOff>
    </xdr:from>
    <xdr:to>
      <xdr:col>7</xdr:col>
      <xdr:colOff>0</xdr:colOff>
      <xdr:row>169</xdr:row>
      <xdr:rowOff>0</xdr:rowOff>
    </xdr:to>
    <xdr:sp>
      <xdr:nvSpPr>
        <xdr:cNvPr id="1025" name="Line 1"/>
        <xdr:cNvSpPr>
          <a:spLocks noChangeShapeType="1"/>
        </xdr:cNvSpPr>
      </xdr:nvSpPr>
      <xdr:spPr>
        <a:xfrm flipV="1">
          <a:off x="4981575" y="361950"/>
          <a:ext cx="800100" cy="0"/>
        </a:xfrm>
        <a:prstGeom prst="line">
          <a:avLst/>
        </a:prstGeom>
        <a:noFill/>
        <a:ln w="9525">
          <a:solidFill>
            <a:srgbClr val="000000"/>
          </a:solidFill>
          <a:round/>
        </a:ln>
      </xdr:spPr>
    </xdr:sp>
    <xdr:clientData/>
  </xdr:twoCellAnchor>
  <xdr:twoCellAnchor>
    <xdr:from>
      <xdr:col>7</xdr:col>
      <xdr:colOff>47625</xdr:colOff>
      <xdr:row>170</xdr:row>
      <xdr:rowOff>0</xdr:rowOff>
    </xdr:from>
    <xdr:to>
      <xdr:col>7</xdr:col>
      <xdr:colOff>685800</xdr:colOff>
      <xdr:row>170</xdr:row>
      <xdr:rowOff>0</xdr:rowOff>
    </xdr:to>
    <xdr:sp>
      <xdr:nvSpPr>
        <xdr:cNvPr id="1026" name="Line 2"/>
        <xdr:cNvSpPr>
          <a:spLocks noChangeShapeType="1"/>
        </xdr:cNvSpPr>
      </xdr:nvSpPr>
      <xdr:spPr>
        <a:xfrm flipV="1">
          <a:off x="5829300" y="542925"/>
          <a:ext cx="638175" cy="0"/>
        </a:xfrm>
        <a:prstGeom prst="line">
          <a:avLst/>
        </a:prstGeom>
        <a:noFill/>
        <a:ln w="9525">
          <a:solidFill>
            <a:srgbClr val="000000"/>
          </a:solidFill>
          <a:round/>
        </a:ln>
      </xdr:spPr>
    </xdr:sp>
    <xdr:clientData/>
  </xdr:twoCellAnchor>
  <xdr:twoCellAnchor>
    <xdr:from>
      <xdr:col>7</xdr:col>
      <xdr:colOff>57150</xdr:colOff>
      <xdr:row>168</xdr:row>
      <xdr:rowOff>219075</xdr:rowOff>
    </xdr:from>
    <xdr:to>
      <xdr:col>8</xdr:col>
      <xdr:colOff>0</xdr:colOff>
      <xdr:row>168</xdr:row>
      <xdr:rowOff>219075</xdr:rowOff>
    </xdr:to>
    <xdr:sp>
      <xdr:nvSpPr>
        <xdr:cNvPr id="1027" name="Line 3"/>
        <xdr:cNvSpPr>
          <a:spLocks noChangeShapeType="1"/>
        </xdr:cNvSpPr>
      </xdr:nvSpPr>
      <xdr:spPr>
        <a:xfrm flipV="1">
          <a:off x="5838825" y="361950"/>
          <a:ext cx="790575" cy="0"/>
        </a:xfrm>
        <a:prstGeom prst="line">
          <a:avLst/>
        </a:prstGeom>
        <a:noFill/>
        <a:ln w="9525">
          <a:solidFill>
            <a:srgbClr val="000000"/>
          </a:solidFill>
          <a:round/>
        </a:ln>
      </xdr:spPr>
    </xdr:sp>
    <xdr:clientData/>
  </xdr:twoCellAnchor>
  <xdr:twoCellAnchor>
    <xdr:from>
      <xdr:col>6</xdr:col>
      <xdr:colOff>57150</xdr:colOff>
      <xdr:row>169</xdr:row>
      <xdr:rowOff>219075</xdr:rowOff>
    </xdr:from>
    <xdr:to>
      <xdr:col>7</xdr:col>
      <xdr:colOff>0</xdr:colOff>
      <xdr:row>169</xdr:row>
      <xdr:rowOff>219075</xdr:rowOff>
    </xdr:to>
    <xdr:sp>
      <xdr:nvSpPr>
        <xdr:cNvPr id="1028" name="Line 4"/>
        <xdr:cNvSpPr>
          <a:spLocks noChangeShapeType="1"/>
        </xdr:cNvSpPr>
      </xdr:nvSpPr>
      <xdr:spPr>
        <a:xfrm flipV="1">
          <a:off x="4981575" y="542925"/>
          <a:ext cx="800100" cy="0"/>
        </a:xfrm>
        <a:prstGeom prst="line">
          <a:avLst/>
        </a:prstGeom>
        <a:noFill/>
        <a:ln w="9525">
          <a:solidFill>
            <a:srgbClr val="000000"/>
          </a:solidFill>
          <a:round/>
        </a:ln>
      </xdr:spPr>
    </xdr:sp>
    <xdr:clientData/>
  </xdr:twoCellAnchor>
  <xdr:twoCellAnchor>
    <xdr:from>
      <xdr:col>7</xdr:col>
      <xdr:colOff>57150</xdr:colOff>
      <xdr:row>169</xdr:row>
      <xdr:rowOff>219075</xdr:rowOff>
    </xdr:from>
    <xdr:to>
      <xdr:col>8</xdr:col>
      <xdr:colOff>0</xdr:colOff>
      <xdr:row>169</xdr:row>
      <xdr:rowOff>219075</xdr:rowOff>
    </xdr:to>
    <xdr:sp>
      <xdr:nvSpPr>
        <xdr:cNvPr id="1029" name="Line 5"/>
        <xdr:cNvSpPr>
          <a:spLocks noChangeShapeType="1"/>
        </xdr:cNvSpPr>
      </xdr:nvSpPr>
      <xdr:spPr>
        <a:xfrm flipV="1">
          <a:off x="5838825" y="542925"/>
          <a:ext cx="790575" cy="0"/>
        </a:xfrm>
        <a:prstGeom prst="line">
          <a:avLst/>
        </a:prstGeom>
        <a:noFill/>
        <a:ln w="9525">
          <a:solidFill>
            <a:srgbClr val="000000"/>
          </a:solidFill>
          <a:round/>
        </a:ln>
      </xdr:spPr>
    </xdr:sp>
    <xdr:clientData/>
  </xdr:twoCellAnchor>
  <xdr:twoCellAnchor>
    <xdr:from>
      <xdr:col>1</xdr:col>
      <xdr:colOff>447675</xdr:colOff>
      <xdr:row>167</xdr:row>
      <xdr:rowOff>38100</xdr:rowOff>
    </xdr:from>
    <xdr:to>
      <xdr:col>2</xdr:col>
      <xdr:colOff>219075</xdr:colOff>
      <xdr:row>167</xdr:row>
      <xdr:rowOff>228600</xdr:rowOff>
    </xdr:to>
    <xdr:sp>
      <xdr:nvSpPr>
        <xdr:cNvPr id="1043" name="AutoShape 19">
          <a:hlinkClick xmlns:r="http://schemas.openxmlformats.org/officeDocument/2006/relationships" r:id="rId1"/>
        </xdr:cNvPr>
        <xdr:cNvSpPr>
          <a:spLocks noChangeArrowheads="1"/>
        </xdr:cNvSpPr>
      </xdr:nvSpPr>
      <xdr:spPr>
        <a:xfrm>
          <a:off x="809625" y="38100"/>
          <a:ext cx="266700" cy="142875"/>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104</xdr:row>
      <xdr:rowOff>0</xdr:rowOff>
    </xdr:from>
    <xdr:to>
      <xdr:col>7</xdr:col>
      <xdr:colOff>0</xdr:colOff>
      <xdr:row>104</xdr:row>
      <xdr:rowOff>0</xdr:rowOff>
    </xdr:to>
    <xdr:sp>
      <xdr:nvSpPr>
        <xdr:cNvPr id="11265" name="Line 1"/>
        <xdr:cNvSpPr>
          <a:spLocks noChangeShapeType="1"/>
        </xdr:cNvSpPr>
      </xdr:nvSpPr>
      <xdr:spPr>
        <a:xfrm flipV="1">
          <a:off x="4733925" y="419100"/>
          <a:ext cx="904875" cy="0"/>
        </a:xfrm>
        <a:prstGeom prst="line">
          <a:avLst/>
        </a:prstGeom>
        <a:noFill/>
        <a:ln w="9525">
          <a:solidFill>
            <a:srgbClr val="000000"/>
          </a:solidFill>
          <a:round/>
        </a:ln>
      </xdr:spPr>
    </xdr:sp>
    <xdr:clientData/>
  </xdr:twoCellAnchor>
  <xdr:twoCellAnchor>
    <xdr:from>
      <xdr:col>7</xdr:col>
      <xdr:colOff>47625</xdr:colOff>
      <xdr:row>105</xdr:row>
      <xdr:rowOff>0</xdr:rowOff>
    </xdr:from>
    <xdr:to>
      <xdr:col>7</xdr:col>
      <xdr:colOff>685800</xdr:colOff>
      <xdr:row>105</xdr:row>
      <xdr:rowOff>0</xdr:rowOff>
    </xdr:to>
    <xdr:sp>
      <xdr:nvSpPr>
        <xdr:cNvPr id="11266" name="Line 2"/>
        <xdr:cNvSpPr>
          <a:spLocks noChangeShapeType="1"/>
        </xdr:cNvSpPr>
      </xdr:nvSpPr>
      <xdr:spPr>
        <a:xfrm flipV="1">
          <a:off x="5686425" y="600075"/>
          <a:ext cx="638175" cy="0"/>
        </a:xfrm>
        <a:prstGeom prst="line">
          <a:avLst/>
        </a:prstGeom>
        <a:noFill/>
        <a:ln w="9525">
          <a:solidFill>
            <a:srgbClr val="000000"/>
          </a:solidFill>
          <a:round/>
        </a:ln>
      </xdr:spPr>
    </xdr:sp>
    <xdr:clientData/>
  </xdr:twoCellAnchor>
  <xdr:twoCellAnchor>
    <xdr:from>
      <xdr:col>7</xdr:col>
      <xdr:colOff>57150</xdr:colOff>
      <xdr:row>103</xdr:row>
      <xdr:rowOff>219075</xdr:rowOff>
    </xdr:from>
    <xdr:to>
      <xdr:col>8</xdr:col>
      <xdr:colOff>0</xdr:colOff>
      <xdr:row>103</xdr:row>
      <xdr:rowOff>219075</xdr:rowOff>
    </xdr:to>
    <xdr:sp>
      <xdr:nvSpPr>
        <xdr:cNvPr id="11267" name="Line 3"/>
        <xdr:cNvSpPr>
          <a:spLocks noChangeShapeType="1"/>
        </xdr:cNvSpPr>
      </xdr:nvSpPr>
      <xdr:spPr>
        <a:xfrm flipV="1">
          <a:off x="5695950" y="419100"/>
          <a:ext cx="800100" cy="0"/>
        </a:xfrm>
        <a:prstGeom prst="line">
          <a:avLst/>
        </a:prstGeom>
        <a:noFill/>
        <a:ln w="9525">
          <a:solidFill>
            <a:srgbClr val="000000"/>
          </a:solidFill>
          <a:round/>
        </a:ln>
      </xdr:spPr>
    </xdr:sp>
    <xdr:clientData/>
  </xdr:twoCellAnchor>
  <xdr:twoCellAnchor>
    <xdr:from>
      <xdr:col>6</xdr:col>
      <xdr:colOff>57150</xdr:colOff>
      <xdr:row>104</xdr:row>
      <xdr:rowOff>219075</xdr:rowOff>
    </xdr:from>
    <xdr:to>
      <xdr:col>7</xdr:col>
      <xdr:colOff>0</xdr:colOff>
      <xdr:row>104</xdr:row>
      <xdr:rowOff>219075</xdr:rowOff>
    </xdr:to>
    <xdr:sp>
      <xdr:nvSpPr>
        <xdr:cNvPr id="11268" name="Line 4"/>
        <xdr:cNvSpPr>
          <a:spLocks noChangeShapeType="1"/>
        </xdr:cNvSpPr>
      </xdr:nvSpPr>
      <xdr:spPr>
        <a:xfrm flipV="1">
          <a:off x="4733925" y="600075"/>
          <a:ext cx="904875" cy="0"/>
        </a:xfrm>
        <a:prstGeom prst="line">
          <a:avLst/>
        </a:prstGeom>
        <a:noFill/>
        <a:ln w="9525">
          <a:solidFill>
            <a:srgbClr val="000000"/>
          </a:solidFill>
          <a:round/>
        </a:ln>
      </xdr:spPr>
    </xdr:sp>
    <xdr:clientData/>
  </xdr:twoCellAnchor>
  <xdr:twoCellAnchor>
    <xdr:from>
      <xdr:col>7</xdr:col>
      <xdr:colOff>57150</xdr:colOff>
      <xdr:row>104</xdr:row>
      <xdr:rowOff>219075</xdr:rowOff>
    </xdr:from>
    <xdr:to>
      <xdr:col>8</xdr:col>
      <xdr:colOff>0</xdr:colOff>
      <xdr:row>104</xdr:row>
      <xdr:rowOff>219075</xdr:rowOff>
    </xdr:to>
    <xdr:sp>
      <xdr:nvSpPr>
        <xdr:cNvPr id="11269" name="Line 5"/>
        <xdr:cNvSpPr>
          <a:spLocks noChangeShapeType="1"/>
        </xdr:cNvSpPr>
      </xdr:nvSpPr>
      <xdr:spPr>
        <a:xfrm flipV="1">
          <a:off x="5695950" y="600075"/>
          <a:ext cx="800100" cy="0"/>
        </a:xfrm>
        <a:prstGeom prst="line">
          <a:avLst/>
        </a:prstGeom>
        <a:noFill/>
        <a:ln w="9525">
          <a:solidFill>
            <a:srgbClr val="000000"/>
          </a:solidFill>
          <a:round/>
        </a:ln>
      </xdr:spPr>
    </xdr:sp>
    <xdr:clientData/>
  </xdr:twoCellAnchor>
  <xdr:twoCellAnchor>
    <xdr:from>
      <xdr:col>1</xdr:col>
      <xdr:colOff>485775</xdr:colOff>
      <xdr:row>102</xdr:row>
      <xdr:rowOff>38100</xdr:rowOff>
    </xdr:from>
    <xdr:to>
      <xdr:col>2</xdr:col>
      <xdr:colOff>257175</xdr:colOff>
      <xdr:row>102</xdr:row>
      <xdr:rowOff>228600</xdr:rowOff>
    </xdr:to>
    <xdr:sp>
      <xdr:nvSpPr>
        <xdr:cNvPr id="11273" name="AutoShape 9">
          <a:hlinkClick xmlns:r="http://schemas.openxmlformats.org/officeDocument/2006/relationships" r:id="rId1"/>
        </xdr:cNvPr>
        <xdr:cNvSpPr>
          <a:spLocks noChangeArrowheads="1"/>
        </xdr:cNvSpPr>
      </xdr:nvSpPr>
      <xdr:spPr>
        <a:xfrm>
          <a:off x="733425" y="38100"/>
          <a:ext cx="266700" cy="190500"/>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4"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5"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6"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8"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4"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5"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6"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8"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0"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2"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4"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5"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6"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28"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editAs="oneCell">
    <xdr:from>
      <xdr:col>7</xdr:col>
      <xdr:colOff>76200</xdr:colOff>
      <xdr:row>6</xdr:row>
      <xdr:rowOff>0</xdr:rowOff>
    </xdr:from>
    <xdr:to>
      <xdr:col>17</xdr:col>
      <xdr:colOff>656296</xdr:colOff>
      <xdr:row>10</xdr:row>
      <xdr:rowOff>142724</xdr:rowOff>
    </xdr:to>
    <xdr:pic>
      <xdr:nvPicPr>
        <xdr:cNvPr id="29" name="图片 28"/>
        <xdr:cNvPicPr>
          <a:picLocks noChangeAspect="1"/>
        </xdr:cNvPicPr>
      </xdr:nvPicPr>
      <xdr:blipFill>
        <a:blip r:embed="rId2"/>
        <a:stretch>
          <a:fillRect/>
        </a:stretch>
      </xdr:blipFill>
      <xdr:spPr>
        <a:xfrm>
          <a:off x="7743825" y="1495425"/>
          <a:ext cx="7437755" cy="1209040"/>
        </a:xfrm>
        <a:prstGeom prst="rect">
          <a:avLst/>
        </a:prstGeom>
      </xdr:spPr>
    </xdr:pic>
    <xdr:clientData/>
  </xdr:twoCellAnchor>
  <xdr:twoCellAnchor editAs="oneCell">
    <xdr:from>
      <xdr:col>7</xdr:col>
      <xdr:colOff>76200</xdr:colOff>
      <xdr:row>1</xdr:row>
      <xdr:rowOff>85725</xdr:rowOff>
    </xdr:from>
    <xdr:to>
      <xdr:col>17</xdr:col>
      <xdr:colOff>151534</xdr:colOff>
      <xdr:row>5</xdr:row>
      <xdr:rowOff>247512</xdr:rowOff>
    </xdr:to>
    <xdr:pic>
      <xdr:nvPicPr>
        <xdr:cNvPr id="30" name="图片 29"/>
        <xdr:cNvPicPr>
          <a:picLocks noChangeAspect="1"/>
        </xdr:cNvPicPr>
      </xdr:nvPicPr>
      <xdr:blipFill>
        <a:blip r:embed="rId3"/>
        <a:stretch>
          <a:fillRect/>
        </a:stretch>
      </xdr:blipFill>
      <xdr:spPr>
        <a:xfrm>
          <a:off x="7743825" y="409575"/>
          <a:ext cx="6932930" cy="1066165"/>
        </a:xfrm>
        <a:prstGeom prst="rect">
          <a:avLst/>
        </a:prstGeom>
      </xdr:spPr>
    </xdr:pic>
    <xdr:clientData/>
  </xdr:twoCellAnchor>
  <xdr:twoCellAnchor>
    <xdr:from>
      <xdr:col>0</xdr:col>
      <xdr:colOff>209550</xdr:colOff>
      <xdr:row>0</xdr:row>
      <xdr:rowOff>104775</xdr:rowOff>
    </xdr:from>
    <xdr:to>
      <xdr:col>0</xdr:col>
      <xdr:colOff>628650</xdr:colOff>
      <xdr:row>0</xdr:row>
      <xdr:rowOff>295275</xdr:rowOff>
    </xdr:to>
    <xdr:sp>
      <xdr:nvSpPr>
        <xdr:cNvPr id="3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2"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4"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5"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6"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40"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3"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5"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6"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8"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9"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4100"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819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921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024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2"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3"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5" name="AutoShape 5">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6" name="AutoShape 6">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7" name="AutoShape 7">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843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945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048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150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252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228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1"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2"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oneCellAnchor>
    <xdr:from>
      <xdr:col>7</xdr:col>
      <xdr:colOff>1310324</xdr:colOff>
      <xdr:row>0</xdr:row>
      <xdr:rowOff>-305789</xdr:rowOff>
    </xdr:from>
    <xdr:ext cx="1227452" cy="242374"/>
    <xdr:sp>
      <xdr:nvSpPr>
        <xdr:cNvPr id="2" name="矩形 1"/>
        <xdr:cNvSpPr/>
      </xdr:nvSpPr>
      <xdr:spPr>
        <a:xfrm>
          <a:off x="7205980" y="-305435"/>
          <a:ext cx="1227455" cy="242570"/>
        </a:xfrm>
        <a:prstGeom prst="rect">
          <a:avLst/>
        </a:prstGeom>
        <a:noFill/>
      </xdr:spPr>
      <xdr:txBody>
        <a:bodyPr wrap="none" lIns="91440" tIns="45720" rIns="91440" bIns="45720">
          <a:spAutoFit/>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ctr"/>
          <a:r>
            <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请在此放置您的文字</a:t>
          </a:r>
          <a:endPar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oneCellAnchor>
  <xdr:twoCellAnchor editAs="oneCell">
    <xdr:from>
      <xdr:col>7</xdr:col>
      <xdr:colOff>76200</xdr:colOff>
      <xdr:row>2999</xdr:row>
      <xdr:rowOff>114300</xdr:rowOff>
    </xdr:from>
    <xdr:to>
      <xdr:col>7</xdr:col>
      <xdr:colOff>1609533</xdr:colOff>
      <xdr:row>3001</xdr:row>
      <xdr:rowOff>95210</xdr:rowOff>
    </xdr:to>
    <xdr:pic>
      <xdr:nvPicPr>
        <xdr:cNvPr id="3" name="图片 2"/>
        <xdr:cNvPicPr>
          <a:picLocks noChangeAspect="1"/>
        </xdr:cNvPicPr>
      </xdr:nvPicPr>
      <xdr:blipFill>
        <a:blip r:embed="rId1"/>
        <a:stretch>
          <a:fillRect/>
        </a:stretch>
      </xdr:blipFill>
      <xdr:spPr>
        <a:xfrm>
          <a:off x="5972175" y="416023425"/>
          <a:ext cx="1532890" cy="342265"/>
        </a:xfrm>
        <a:prstGeom prst="rect">
          <a:avLst/>
        </a:prstGeom>
      </xdr:spPr>
    </xdr:pic>
    <xdr:clientData/>
  </xdr:twoCellAnchor>
  <xdr:twoCellAnchor editAs="oneCell">
    <xdr:from>
      <xdr:col>7</xdr:col>
      <xdr:colOff>19050</xdr:colOff>
      <xdr:row>3030</xdr:row>
      <xdr:rowOff>9525</xdr:rowOff>
    </xdr:from>
    <xdr:to>
      <xdr:col>8</xdr:col>
      <xdr:colOff>114081</xdr:colOff>
      <xdr:row>3031</xdr:row>
      <xdr:rowOff>66646</xdr:rowOff>
    </xdr:to>
    <xdr:pic>
      <xdr:nvPicPr>
        <xdr:cNvPr id="5" name="图片 4"/>
        <xdr:cNvPicPr>
          <a:picLocks noChangeAspect="1"/>
        </xdr:cNvPicPr>
      </xdr:nvPicPr>
      <xdr:blipFill>
        <a:blip r:embed="rId2"/>
        <a:stretch>
          <a:fillRect/>
        </a:stretch>
      </xdr:blipFill>
      <xdr:spPr>
        <a:xfrm>
          <a:off x="5915025" y="421528875"/>
          <a:ext cx="1751965" cy="237490"/>
        </a:xfrm>
        <a:prstGeom prst="rect">
          <a:avLst/>
        </a:prstGeom>
      </xdr:spPr>
    </xdr:pic>
    <xdr:clientData/>
  </xdr:twoCellAnchor>
  <xdr:twoCellAnchor editAs="oneCell">
    <xdr:from>
      <xdr:col>7</xdr:col>
      <xdr:colOff>9525</xdr:colOff>
      <xdr:row>3037</xdr:row>
      <xdr:rowOff>28575</xdr:rowOff>
    </xdr:from>
    <xdr:to>
      <xdr:col>7</xdr:col>
      <xdr:colOff>1247620</xdr:colOff>
      <xdr:row>3038</xdr:row>
      <xdr:rowOff>161887</xdr:rowOff>
    </xdr:to>
    <xdr:pic>
      <xdr:nvPicPr>
        <xdr:cNvPr id="6" name="图片 5"/>
        <xdr:cNvPicPr>
          <a:picLocks noChangeAspect="1"/>
        </xdr:cNvPicPr>
      </xdr:nvPicPr>
      <xdr:blipFill>
        <a:blip r:embed="rId3"/>
        <a:stretch>
          <a:fillRect/>
        </a:stretch>
      </xdr:blipFill>
      <xdr:spPr>
        <a:xfrm>
          <a:off x="5905500" y="422814750"/>
          <a:ext cx="1237615" cy="3136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Users\jackyma\Documents\Shining\Ramadour\Ramadour%20200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WINDOWS\Desktop\My%20Documents\My%20Documents\Marco\Tradingguru.com.sec%20Ltd\Marco\Accounting%20fil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Jacky%20Ma\Pilot%204.0\Pilot%20199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Desktop\My%20Documents\Documents%20and%20Settings\User\My%20Documents\Newtimes%20Group\NT%20audit%202001\My%20Documents\Marco\Tradingguru.com.sec%20Ltd\Marco\Accounting%20fil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y%20Documents\My%20Documents\Marco\Tradingguru.com.sec%20Ltd\Marco\Accounting%20fil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DOCUME~1\ClobesG\LOCALS~1\Temp\rdcalc6mos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Users\jackyma\Documents\Shining\Ramadour\Ramadour%202001"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Shared\Acct_Res\Budget99\acquisition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SHARED\Acct_Res\BUDGET970\CAPEX-9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t4\jdpac\FINST_00\CFS080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p\AppData\Local\Microsoft\Windows\Temporary%20Internet%20Files\Content.IE5\JBE3GD7B\Documents%20and%20Settings\Tess%20Chan\My%20Documents\Fan%20Mitchell\2003\Wong%20Sun%20Hing\Expert%20Group%20Ltd\Expert%20Group%2020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Documents%20and%20Settings\Ronald%20Yip\Desktop\CAF%20C8550\FRR%20Compliance\FRR%20-%20Margin%20Receivabl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wgl\E$\&#35777;&#21048;&#20844;&#21496;&#24180;&#23457;&#25253;&#34920;&#26684;&#24335;\windows\TEMP\&#20013;&#40065;&#26126;&#32454;&#24080;j.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Jacky%20Ma\Pilot%204.0\Pilot%20199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My%20Documents\Sun%20Sun%20Group\Sun%20Sun%20Group%202002\Sun%20Su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haihong\Desktop\&#22825;&#32844;&#38656;&#20462;&#25913;&#30340;\&#22825;&#32844;&#24213;&#31295;&#27169;&#26495;&#20462;&#25913;5.26-ZLP\&#24212;&#25910;&#36134;&#2745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MY%20%20WORK%20%20%20&#25105;&#30340;%20%20%20&#24037;&#20316;\2013&#24180;&#24180;&#23457;\&#32988;&#23439;&#24180;&#23457;\&#28145;&#22323;&#32988;&#21326;\&#28145;&#22323;&#32988;&#21326;&#21021;&#31295;%200119\6%20&#23454;&#36136;&#24615;&#24037;&#20316;&#24213;&#31295;\GA1%20&#36135;&#24065;&#36164;&#3732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Desktop\&#26032;&#38451;-7.25\2016&#24180;\&#29992;&#21451;\1130%20&#19994;&#35268;&#20462;&#35746;\&#36890;&#29992;&#36130;&#21153;&#25253;&#34920;&#23457;&#35745;&#24213;&#31295;&#27169;&#26495;-20161130\6000\6100&#36164;&#20135;&#31867;\(6110)&#36135;&#24065;&#36164;&#37329;.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ocuments%20and%20Settings\&#23435;&#20122;&#33465;\&#26700;&#38754;\&#22825;&#32844;\4.&#23454;&#36136;&#24615;&#24037;&#20316;&#24213;&#31295;\01.&#36135;&#24065;&#36164;&#3732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y%20Documents\Documents%20and%20Settings\User\My%20Documents\Newtimes%20Group\NT%20audit%202001\My%20Documents\Marco\Tradingguru.com.sec%20Ltd\Marco\Accounting%20fil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hp\AppData\Local\Microsoft\Windows\Temporary%20Internet%20Files\Content.IE5\JBE3GD7B\WINDOWS\Desktop\BMP%20original%20from%20Hayley%2029.01.2004\HK%20GAAP%20Adjustmen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40718;&#20449;&#35834;\&#32988;&#23439;&#31185;&#25216;&#65288;&#24800;&#24030;&#65289;&#26377;&#38480;&#20844;&#21496;2010%20V\10004000\FF%20&#24212;&#20184;&#32844;&#24037;&#34218;&#3722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hp\AppData\Local\Microsoft\Windows\Temporary%20Internet%20Files\Content.IE5\JBE3GD7B\Acct%20-%20CRM\Accounts%20&amp;%20Audit\Regular%20Schedule\Std%20Char%20Interest%202004_0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WINDOWS\Desktop\L247%20Account-030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windows\TEMP\rdcalc6mos0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Users\jackyma\Documents\Shining\Ramadour\Ramadour%20200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Users\jackyma\Documents\Shining\Prime%20Spot\Prime%20Spo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bm\3tb\NATD%202003\BONC%202004\TAIF-TB.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Documents%20and%20Settings\latrelllai\My%20Documents\RSM\Working\China%20Seven%20Star%20(C8576)\Top%20Pro%20Group%20Special\Working\&#19978;&#28023;&#20329;&#34030;\Documents%20and%20Settings\User\My%20Documents\Newtimes%20Group\NT%20audit%202001\My%20Documents\Marco\Tradi"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Financial%20Report.Dec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20107;&#21153;&#25152;&#30456;&#20851;\&#36890;&#29992;\&#24213;&#31295;&#27169;&#26495;\&#23454;&#36136;&#24615;&#24213;&#31295;&#65288;&#31995;&#32479;&#65289;\6200&#36127;&#20538;&#31867;\(6220)&#38271;&#26399;&#20511;&#27454;.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RSMNW-AUD\Aud03\Documents%20and%20Settings\admin\&#26700;&#38754;\Qingdao\930\PBC\2005.9&#23384;&#36135;&#36300;&#20215;&#20934;&#2279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My%20Documents\Marco\Tradingguru.com.sec%20Ltd\Marco\Accounting%20fil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32988;&#21326;&#30005;&#23376;&#26377;&#38480;&#20844;&#21496;\&#32988;&#21326;&#30005;&#23376;201012&#8212;&#8212;&#24213;&#31295;\10001000\ZO%20&#22266;&#23450;&#36164;&#20135;.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hp\AppData\Local\Microsoft\Windows\Temporary%20Internet%20Files\Content.IE5\JBE3GD7B\FD\Projection\Version%202\Consolidate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RSMNW-AUD\Aud03\Documents%20and%20Settings\admin\&#26700;&#38754;\Qingdao\930\PBC\2004.9&#23384;&#36135;&#36300;&#20215;&#20934;&#2279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zygc\&#25191;&#19994;&#35268;&#31243;1\&#31532;3&#20876;\4&#23548;&#24341;&#34920;\&#20998;&#26512;&#3492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Documents%20and%20Settings\Administrator\&#26700;&#38754;\to&#65293;&#20869;&#37096;&#25511;&#21046;&#32452;\&#20854;&#20182;&#25152;\&#22825;&#24314;\&#22269;&#36152;_2005_&#38543;&#2041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itty\my%20documents\WINDOWS\Desktop\&#37329;&#33391;&#20975;&#20844;&#25991;&#21253;\&#31243;&#24207;&#20462;&#25913;\&#20998;&#26512;&#349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25105;&#30340;&#24037;&#20316;\&#25105;&#30340;&#24037;&#20316;2009\&#23665;&#19996;&#34013;&#28023;\&#21069;&#26399;&#36164;&#26009;\2008&#24180;&#24180;&#23457;&#32508;&#21512;&#31867;&#24213;&#31295;\&#32508;&#21512;&#31867;&#24213;&#31295;\&#20869;&#37096;&#24448;&#26469;&#21450;&#20132;&#26131;&#32479;&#35745;&#34920;.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32988;&#23439;&#31185;&#25216;&#65288;&#24800;&#24030;&#65289;&#26377;&#38480;&#20844;&#21496;\17.&#23565;&#36076;&#21934;,&#30332;&#31080;\&#23545;&#36134;&#21333;\2010\11&#26376;\&#34945;&#20029;&#65288;H013,S014,S023,S052,S099,S104&#65289;\&#35760;&#24518;&#21313;&#26376;&#23545;&#36134;.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25105;&#30340;&#24037;&#20316;\&#25105;&#30340;&#24037;&#20316;2009\&#25253;&#34920;&#21450;&#35843;&#25972;&#31995;&#32479;\211&#20309;&#20029;&#23068;&#32473;-&#32473;&#20309;\&#21046;&#21697;&#21378;&#35843;&#25972;&#31995;&#32479;&#21450;&#21270;&#24037;&#31995;&#32479;-2.11&#23450;\&#21046;&#21697;&#21378;&#35843;&#25972;&#31995;&#32479;&#21450;&#21270;&#24037;&#31995;&#32479;-&#24050;&#20462;&#25913;\&#21046;&#21697;&#21378;&#21333;&#20307;&#35843;&#25972;&#31995;&#32479;-&#20462;&#25913;\&#21333;&#20307;&#35843;&#25972;&#31995;&#32479;.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file:///D:\&#26472;&#26144;&#20029;\&#39033;&#30446;\&#26032;&#38451;&#34013;&#20809;\&#24213;&#31295;\&#35843;&#25972;&#31995;&#32479;\1&#21333;&#20307;&#35843;&#25972;&#31995;&#32479;-&#26032;&#38451;2015&#24180;.xlsx"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file:///D:\&#26472;&#26144;&#20029;\&#39033;&#30446;\&#26032;&#38451;&#34013;&#20809;\&#24213;&#31295;\&#35843;&#25972;&#31995;&#32479;\1&#21333;&#20307;&#35843;&#25972;&#31995;&#32479;-&#26032;&#38451;2016&#24180;111.xlsx"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file:///D:\1.&#22825;&#32844;&#22269;&#38469;&#20250;&#35745;&#24072;&#20107;&#21153;&#25152;&#65288;&#29305;&#27530;&#26222;&#36890;&#21512;&#20249;&#65289;&#24191;&#24030;&#20998;&#25152;\5.&#39033;&#30446;\1.&#26032;&#38451;&#34013;&#20809;\&#24213;&#31295;\&#26032;&#38451;&#24213;&#31295;-&#24429;&#22777;&#36798;\&#24213;&#31295;-&#24429;&#22777;&#36798;2018-3-1\&#24213;&#31295; &#24429; 2018-3-20\6414 &#31649;&#29702;&#36153;&#29992;.xlsx"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file:///D:\1.&#22825;&#32844;&#22269;&#38469;&#20250;&#35745;&#24072;&#20107;&#21153;&#25152;&#65288;&#29305;&#27530;&#26222;&#36890;&#21512;&#20249;&#65289;&#24191;&#24030;&#20998;&#25152;\5.&#39033;&#30446;\1.&#26032;&#38451;&#34013;&#20809;\&#24213;&#31295;\&#26032;&#38451;&#24213;&#31295;-&#24429;&#22777;&#36798;\&#24213;&#31295;-&#24429;&#22777;&#36798;2018-3-1\&#24213;&#31295; &#24429; 2018-3-20\6413 &#38144;&#21806;&#36153;&#29992;.xlsx"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file:///D:\1.&#22825;&#32844;&#22269;&#38469;&#20250;&#35745;&#24072;&#20107;&#21153;&#25152;&#65288;&#29305;&#27530;&#26222;&#36890;&#21512;&#20249;&#65289;&#24191;&#24030;&#20998;&#25152;\5.&#39033;&#30446;\1.&#26032;&#38451;&#34013;&#20809;\&#24213;&#31295;\&#26032;&#38451;&#24213;&#31295;-&#24429;&#22777;&#36798;\&#24213;&#31295;-&#24429;&#22777;&#36798;2018-3-1\&#24213;&#31295; &#24429; 2018-3-20\6415 &#36130;&#21153;&#36153;&#29992;.xlsx"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file:///D:\&#39033;&#30446;\&#24191;&#24030;&#36194;&#30707;&#32593;&#32476;\&#32929;&#25913;\&#23548;&#20986;&#24213;&#31295;_&#24191;&#24030;&#36194;&#30707;&#32593;&#32476;&#31185;&#25216;&#26377;&#38480;&#20844;&#21496;_20170519_092017\05 I-&#29616;&#37329;&#27969;&#37327;&#34920;&#23457;&#35745;&#24213;&#31295;-&#36194;&#30707;&#32593;&#32476;.xlsx"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file:///D:\&#39033;&#30446;\&#24191;&#24030;&#36194;&#30707;&#32593;&#32476;\&#32929;&#25913;\&#24213;&#31295;\&#23548;&#20986;&#24213;&#31295;_2017-00835-01-&#24191;&#24030;&#36194;&#30707;&#32593;&#32476;&#31185;&#25216;&#26377;&#38480;&#20844;&#21496;-&#26032;&#19977;&#26495;\8000&#19994;&#21153;&#23436;&#25104;&#38454;&#27573;\8100&#35780;&#20215;&#12289;&#32467;&#35770;\&#36194;&#30707;&#32593;&#32476;&#32929;&#20221;&#35843;&#25972;&#31995;&#32479;161231\01&#24191;&#24030;&#36194;&#30707;&#32593;&#32476;&#31185;&#25216;&#26377;&#38480;&#20844;&#21496;201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mecost"/>
      <sheetName val="OSM"/>
      <sheetName val="blank (2)"/>
      <sheetName val="BS"/>
      <sheetName val="P&amp;L"/>
      <sheetName val="Manu"/>
      <sheetName val="Distrib cost"/>
      <sheetName val="Admin cost"/>
      <sheetName val="AJE"/>
      <sheetName val="RJE"/>
      <sheetName val="B1"/>
      <sheetName val="B2"/>
      <sheetName val="FA lead"/>
      <sheetName val="L&amp;B"/>
      <sheetName val="FA add"/>
      <sheetName val="Depn"/>
      <sheetName val="J2"/>
      <sheetName val="J3"/>
      <sheetName val="J4"/>
      <sheetName val="J5"/>
      <sheetName val="J6"/>
      <sheetName val="J6A"/>
      <sheetName val="Bank"/>
      <sheetName val="K"/>
      <sheetName val="K4"/>
      <sheetName val="K5"/>
      <sheetName val="K10"/>
      <sheetName val="Purchase"/>
      <sheetName val="blank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BS"/>
      <sheetName val="IS"/>
      <sheetName val="Distrib"/>
      <sheetName val="Adm."/>
      <sheetName val="adj."/>
      <sheetName val="O adj"/>
      <sheetName val="SC"/>
      <sheetName val="stat rev"/>
      <sheetName val="FA"/>
      <sheetName val="Bank"/>
      <sheetName val="AR"/>
      <sheetName val="due fr R. co"/>
      <sheetName val="due fr dir."/>
      <sheetName val="AP"/>
      <sheetName val="due to R. co"/>
      <sheetName val="Accruals"/>
      <sheetName val="Ex Diff"/>
      <sheetName val="Income &amp; Cost"/>
      <sheetName val="Income Test"/>
      <sheetName val="Cost Test"/>
      <sheetName val="Purchase Test"/>
      <sheetName val="Purchase Test II"/>
      <sheetName val="income cutoff"/>
      <sheetName val="cost cutoff"/>
      <sheetName val="purchase cutoff"/>
      <sheetName val="Legal fe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DMIN"/>
      <sheetName val="COSTALOC"/>
      <sheetName val="ENGR"/>
      <sheetName val="FINANCE"/>
      <sheetName val="INFOSYS"/>
      <sheetName val="INTEREST"/>
      <sheetName val="INVALOC"/>
      <sheetName val="PERSONNE"/>
      <sheetName val="QUALITY"/>
      <sheetName val="SDPROCES"/>
      <sheetName val="INPUT"/>
      <sheetName val="RND1299v1"/>
      <sheetName val="RND1299 v2"/>
      <sheetName val="RND0600"/>
      <sheetName val="BS"/>
      <sheetName val="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BS"/>
      <sheetName val="timecost"/>
      <sheetName val="OSM"/>
      <sheetName val="blank (2)"/>
      <sheetName val="P&amp;L"/>
      <sheetName val="Manu"/>
      <sheetName val="Distrib cost"/>
      <sheetName val="Admin cost"/>
      <sheetName val="AJE"/>
      <sheetName val="RJE"/>
      <sheetName val="B1"/>
      <sheetName val="B2"/>
      <sheetName val="FA lead"/>
      <sheetName val="L&amp;B"/>
      <sheetName val="FA add"/>
      <sheetName val="Depn"/>
      <sheetName val="J2"/>
      <sheetName val="J3"/>
      <sheetName val="J4"/>
      <sheetName val="J5"/>
      <sheetName val="J6"/>
      <sheetName val="J6A"/>
      <sheetName val="Bank"/>
      <sheetName val="K"/>
      <sheetName val="K4"/>
      <sheetName val="K5"/>
      <sheetName val="K10"/>
      <sheetName val="Purchase"/>
      <sheetName val="blank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BUDGET"/>
      <sheetName val="COGS"/>
      <sheetName val="DEPREC"/>
      <sheetName val="G&amp;A"/>
      <sheetName val="SALES"/>
      <sheetName val="BALSHTS"/>
      <sheetName val="BANKCOVE"/>
      <sheetName val="EXPENSES"/>
      <sheetName val="CASHFLOW"/>
      <sheetName val="CONS-BEG"/>
      <sheetName val="CONSOLID"/>
      <sheetName val="CONSOL-Q1"/>
      <sheetName val="CONSOL-Q2"/>
      <sheetName val="CONSOL-Q3"/>
      <sheetName val="CONSOL-Q4"/>
      <sheetName val="CONSOL-9YTD"/>
      <sheetName val="CONSOL-10-12YTD"/>
      <sheetName val="DEPTOH"/>
      <sheetName val="NEW HIRES 99"/>
      <sheetName val="PROPOSED NEW  HIRES - NB'S"/>
      <sheetName val="PPE"/>
      <sheetName val="PROFEES"/>
      <sheetName val="RENT-ETC"/>
      <sheetName val="BS"/>
      <sheetName val="Cash Flow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CAPEX-96"/>
      <sheetName val="20 CAP EX NOK"/>
      <sheetName val="20 CAP EX USD"/>
      <sheetName val="20 CAP EX USD (2)"/>
      <sheetName val="RE Roll"/>
      <sheetName val="BS"/>
      <sheetName val="O adj"/>
    </sheetNames>
    <sheetDataSet>
      <sheetData sheetId="0"/>
      <sheetData sheetId="1"/>
      <sheetData sheetId="2"/>
      <sheetData sheetId="3"/>
      <sheetData sheetId="4"/>
      <sheetData sheetId="5" refreshError="1"/>
      <sheetData sheetId="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heetName val="BS"/>
      <sheetName val="BS1"/>
      <sheetName val="PL"/>
      <sheetName val="ADM"/>
      <sheetName val="PL-FOD"/>
      <sheetName val="PL-DEVE"/>
      <sheetName val="企业表一"/>
      <sheetName val="M-5C"/>
      <sheetName val="M-5A"/>
      <sheetName val="填表说明"/>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djusted BS"/>
      <sheetName val="Adjusted P&amp;L"/>
      <sheetName val="Audit adj"/>
      <sheetName val="GC Going concern"/>
      <sheetName val="A1 Plant and Equipment"/>
      <sheetName val="D1 Quota"/>
      <sheetName val="D2 Quota summary"/>
      <sheetName val="G1 Amount due from directors"/>
      <sheetName val="G2 Trade receivables"/>
      <sheetName val="G2-1 Conf summary (AR)"/>
      <sheetName val="G2-3 AR aging"/>
      <sheetName val="G3 Amt due from RP"/>
      <sheetName val="G3-1 WSH"/>
      <sheetName val="Detail WSH"/>
      <sheetName val="G3-2 WSH Textile"/>
      <sheetName val="Detail WSH Textile"/>
      <sheetName val="G3-3 Hong Kong Hightec"/>
      <sheetName val="Detail HK Hightec"/>
      <sheetName val="G3-4 Mark Good"/>
      <sheetName val="Detail Mark Good"/>
      <sheetName val="G3-5 Sun Hing Fashion"/>
      <sheetName val="Detail Sun Hing Fashion"/>
      <sheetName val="Max os   SHF"/>
      <sheetName val="G3-6 Wang Jiang"/>
      <sheetName val="Detail Wang Jiang"/>
      <sheetName val="G3-7 Nation United"/>
      <sheetName val="Details National United"/>
      <sheetName val="G3-8 Power Good"/>
      <sheetName val="Details Power Good"/>
      <sheetName val="G3-9  Wisdom Rise"/>
      <sheetName val="Details Wisdom Rise"/>
      <sheetName val="G3-10 Will Success"/>
      <sheetName val="Details Will Success"/>
      <sheetName val="G3-11  Great Season "/>
      <sheetName val="G3-11  Great Season"/>
      <sheetName val="G3-12 Rich City"/>
      <sheetName val="Details  Rich City "/>
      <sheetName val="G3-13 Leader One"/>
      <sheetName val="G3-14 Lucky Smart"/>
      <sheetName val="Details Lucky Smart"/>
      <sheetName val="H1 Cash at Bank"/>
      <sheetName val="H2 Banking Facilities"/>
      <sheetName val="I1 Trade payable"/>
      <sheetName val="I1-1 CirSummary for TP"/>
      <sheetName val="I1-2"/>
      <sheetName val="J Taxation"/>
      <sheetName val="J1 Taxation disclosure"/>
      <sheetName val="J2 Tax provision"/>
      <sheetName val="J3 Deferred taxation"/>
      <sheetName val="K1 Share Capital"/>
      <sheetName val="N  Income"/>
      <sheetName val="N1 Turnover "/>
      <sheetName val="N2 Quota income"/>
      <sheetName val="N3 Bank interest income"/>
      <sheetName val="O1 Director's remuneration"/>
      <sheetName val="P Lead"/>
      <sheetName val="P1 Bank Charges"/>
      <sheetName val="P2 Claims paid"/>
      <sheetName val="P3 Declaration"/>
      <sheetName val="P4 Inspection audit fee"/>
      <sheetName val="P5 Legal and Professional fee"/>
      <sheetName val="P6 Quality test charges"/>
      <sheetName val="P7 Quota expenses (temporary)"/>
      <sheetName val="P8 Bank Interest Paid"/>
      <sheetName val="P9 Courier expenses"/>
      <sheetName val="P10 Sample Room expense"/>
      <sheetName val="P11 Cost of Sales"/>
      <sheetName val="P11-1 Semi FG"/>
      <sheetName val="P11-2 Sub- contracting fee"/>
      <sheetName val="P11-3 Accessory chg"/>
      <sheetName val="P11-4 Packing "/>
      <sheetName val="P11-5 Transportation"/>
      <sheetName val="P11-6  Storage "/>
      <sheetName val="P12 Exchange difference"/>
      <sheetName val="P12-1 Sales amt understaed"/>
      <sheetName val="R R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Data"/>
      <sheetName val="Top 20"/>
    </sheetNames>
    <sheetDataSet>
      <sheetData sheetId="0"/>
      <sheetData sheetId="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Sheet1"/>
      <sheetName val="Sheet2"/>
      <sheetName val="Sheet3"/>
      <sheetName val="analyse"/>
      <sheetName val="资产负债表"/>
      <sheetName val="现金流量其他项目明细表"/>
      <sheetName val="其他应付款"/>
      <sheetName val="其他应收款"/>
      <sheetName val="#REF!"/>
      <sheetName val="企业表一"/>
      <sheetName val="M-5C"/>
      <sheetName val="B"/>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BS"/>
      <sheetName val="IS"/>
      <sheetName val="Distrib"/>
      <sheetName val="Adm."/>
      <sheetName val="adj."/>
      <sheetName val="O adj"/>
      <sheetName val="SC"/>
      <sheetName val="stat rev"/>
      <sheetName val="FA"/>
      <sheetName val="Depn"/>
      <sheetName val="Additions to FA"/>
      <sheetName val="Bank"/>
      <sheetName val="AR"/>
      <sheetName val="due fr R. co"/>
      <sheetName val="current ac w dir."/>
      <sheetName val="AP"/>
      <sheetName val="due to R. co"/>
      <sheetName val="Accruals"/>
      <sheetName val="income and cost"/>
      <sheetName val="Income Test"/>
      <sheetName val="Purchase Test"/>
      <sheetName val="Purchase Test II"/>
      <sheetName val="Cost Test"/>
      <sheetName val="income cutoff"/>
      <sheetName val="cost cutoff"/>
      <sheetName val="purchase cutoff"/>
      <sheetName val="Legal fee"/>
      <sheetName val="Salaries"/>
      <sheetName val="Ex Loss"/>
      <sheetName val="deposit"/>
      <sheetName val="due to R. co 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overage"/>
      <sheetName val="Outstanding"/>
      <sheetName val="A2"/>
      <sheetName val="A4d"/>
      <sheetName val="A4-f(i)"/>
      <sheetName val="A4-f(ii)"/>
      <sheetName val="A11a"/>
      <sheetName val="A11-1"/>
      <sheetName val="A11-2"/>
      <sheetName val="A11-3"/>
      <sheetName val="A12b"/>
      <sheetName val="B1"/>
      <sheetName val="B2"/>
      <sheetName val="D3"/>
      <sheetName val="D4"/>
      <sheetName val="D5"/>
      <sheetName val="D5a"/>
      <sheetName val="E1"/>
      <sheetName val="E2"/>
      <sheetName val="E2-1"/>
      <sheetName val="E2-2"/>
      <sheetName val="E4"/>
      <sheetName val="E4-1"/>
      <sheetName val="E5"/>
      <sheetName val="E5-1"/>
      <sheetName val="E8"/>
      <sheetName val="E8-1"/>
      <sheetName val="J2"/>
      <sheetName val="J3"/>
      <sheetName val="J4"/>
      <sheetName val="J6"/>
      <sheetName val="J6-1"/>
      <sheetName val="J6-2"/>
      <sheetName val="J6-3"/>
      <sheetName val="J9"/>
      <sheetName val="J10"/>
      <sheetName val="J11"/>
      <sheetName val="K2"/>
      <sheetName val="K2-1"/>
      <sheetName val="K2-2"/>
      <sheetName val="K2-3"/>
      <sheetName val="K3"/>
      <sheetName val="K4"/>
      <sheetName val="K4-2"/>
      <sheetName val="K5"/>
      <sheetName val="K8"/>
      <sheetName val="K11"/>
      <sheetName val="K12"/>
      <sheetName val="K12-1"/>
      <sheetName val="K12-2"/>
      <sheetName val="L1"/>
      <sheetName val="L1-1"/>
      <sheetName val="L1-2"/>
      <sheetName val="M1"/>
      <sheetName val="M2"/>
      <sheetName val="M3"/>
      <sheetName val="N1"/>
      <sheetName val="N1-1"/>
      <sheetName val="N2"/>
      <sheetName val="N4"/>
      <sheetName val="N5"/>
      <sheetName val="N5-1"/>
      <sheetName val="N5-2"/>
      <sheetName val="N5-3"/>
      <sheetName val="N5-3a"/>
      <sheetName val="N5-3b"/>
      <sheetName val="N6"/>
      <sheetName val="N9"/>
      <sheetName val="N9a"/>
      <sheetName val="N9-1"/>
      <sheetName val="N9-1a"/>
      <sheetName val="N9-2"/>
      <sheetName val="N10"/>
      <sheetName val="N11"/>
      <sheetName val="O1"/>
      <sheetName val="O1-1"/>
      <sheetName val="O3"/>
      <sheetName val="O3-1"/>
      <sheetName val="O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底稿目录"/>
      <sheetName val="dxnsjtempsheet"/>
      <sheetName val="审定表"/>
      <sheetName val="明细表"/>
      <sheetName val="披露表(上市)"/>
      <sheetName val="披露表(国资)"/>
      <sheetName val="中介机构对发行人客户现场核查工作底稿（IPO适用）"/>
      <sheetName val="附件 客户调查表（IPO适用）"/>
      <sheetName val="函证结果汇总表"/>
      <sheetName val="往来账款询证函"/>
      <sheetName val="余额调节及检查表"/>
      <sheetName val="替代测试表(一)"/>
      <sheetName val="替代测试表(二)"/>
      <sheetName val="替代测试表(模板)"/>
      <sheetName val="审计程序"/>
      <sheetName val="披露表(标准)"/>
      <sheetName val="账龄分析检查表"/>
      <sheetName val="函证差异调节表检查"/>
      <sheetName val="函证结果调节表"/>
      <sheetName val="替代结果汇总表"/>
      <sheetName val="替代测试表"/>
      <sheetName val="坏账准备计算表"/>
      <sheetName val="往来科目长期挂账款项检查表"/>
      <sheetName val="列示关联方"/>
      <sheetName val="汇率折算检查表"/>
      <sheetName val="截止测试"/>
      <sheetName val="检查情况表"/>
      <sheetName val="应收账款"/>
      <sheetName val="报表层次重要性水平"/>
      <sheetName val="所有者权益(股东权益)变动表(未审)"/>
      <sheetName val="资产负债表"/>
      <sheetName val="试算平衡表"/>
      <sheetName val="细节测试审计抽样"/>
      <sheetName val="披露表(上市)(2016)"/>
      <sheetName val="披露表(上市)（2017）"/>
      <sheetName val="Basic Assumptions"/>
      <sheetName val="HTM销售"/>
      <sheetName val="LTM销售"/>
      <sheetName val="生鲜销售"/>
      <sheetName val="W"/>
      <sheetName val="Tickmarks"/>
      <sheetName val="披露表（上市）"/>
      <sheetName val="应收账款坏帐准备计算表"/>
      <sheetName val="附注(上市)"/>
      <sheetName val="附注(标准)"/>
      <sheetName val="附注(国资)"/>
      <sheetName val="科目代码"/>
      <sheetName val="目录"/>
      <sheetName val="工时统计"/>
      <sheetName val="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底稿目录"/>
      <sheetName val="dxnsjtempsheet"/>
      <sheetName val="审定表"/>
      <sheetName val="明细表"/>
      <sheetName val="披露表(上市)"/>
      <sheetName val="披露表(国资)"/>
      <sheetName val="保险柜检查记录表"/>
      <sheetName val="函证结果汇总表"/>
      <sheetName val="发函单位联系方式一览表"/>
      <sheetName val="银行存款、银行借款询证函"/>
      <sheetName val="对银行存款余额调节表的检查"/>
      <sheetName val="检查情况表"/>
      <sheetName val="银行存款函证样本计算及选取"/>
    </sheetNames>
    <sheetDataSet>
      <sheetData sheetId="0" refreshError="1"/>
      <sheetData sheetId="1" refreshError="1"/>
      <sheetData sheetId="2" refreshError="1"/>
      <sheetData sheetId="3"/>
      <sheetData sheetId="4" refreshError="1"/>
      <sheetData sheetId="5"/>
      <sheetData sheetId="6" refreshError="1"/>
      <sheetData sheetId="7"/>
      <sheetData sheetId="8" refreshError="1"/>
      <sheetData sheetId="9" refreshError="1"/>
      <sheetData sheetId="10" refreshError="1"/>
      <sheetData sheetId="11" refreshError="1"/>
      <sheetData sheetId="12"/>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底稿目录"/>
      <sheetName val="审计程序"/>
      <sheetName val="审定表"/>
      <sheetName val="明细表"/>
      <sheetName val="披露表(标准)"/>
      <sheetName val="披露表（上市）"/>
      <sheetName val="{隐藏公式页}"/>
      <sheetName val="披露表(国资)"/>
      <sheetName val="函证结果汇总表"/>
      <sheetName val="发函单位联系方式一览表"/>
      <sheetName val="银行存款、银行借款询证函"/>
      <sheetName val="对银行存款余额调节表的检查"/>
      <sheetName val="保险柜检查记录表"/>
      <sheetName val="截止测试"/>
      <sheetName val="银行存单检查表"/>
      <sheetName val="细节测试审计抽样"/>
      <sheetName val="细节测试(续)-检查表"/>
      <sheetName val="十分法细节测试抽样表"/>
      <sheetName val="披露表(国资)(2016)"/>
      <sheetName val="披露表(上市)（2017）"/>
      <sheetName val="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dxnsjtempsheet"/>
      <sheetName val="审定表"/>
      <sheetName val="明细表"/>
      <sheetName val="披露表(上市)"/>
      <sheetName val="披露表(国资)"/>
      <sheetName val="函证结果汇总表"/>
      <sheetName val="发函单位联系方式一览表"/>
      <sheetName val="银行存款、银行借款询证函"/>
      <sheetName val="余额调节表及未达账项的检查"/>
    </sheetNames>
    <sheetDataSet>
      <sheetData sheetId="0"/>
      <sheetData sheetId="1"/>
      <sheetData sheetId="2"/>
      <sheetData sheetId="3"/>
      <sheetData sheetId="4"/>
      <sheetData sheetId="5"/>
      <sheetData sheetId="6"/>
      <sheetData sheetId="7"/>
      <sheetData sheetId="8"/>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Dec 2001"/>
      <sheetName val="HKGAAP Adjustment 0112"/>
      <sheetName val="Mar 2002"/>
      <sheetName val="P&amp;L 0102-0203"/>
      <sheetName val="HK GAAP Adjustment 0203"/>
      <sheetName val="Dec 2002"/>
      <sheetName val="HKGAAP Adjustment 0303"/>
      <sheetName val="Mar 2003"/>
      <sheetName val="P&amp;L 0204-0303"/>
      <sheetName val="Dec 2003"/>
      <sheetName val="P&amp;L 0304-0403"/>
      <sheetName val="损益表 &lt; P1 &gt; "/>
      <sheetName val="HKGAAP Adjustment 0212"/>
      <sheetName val="#REF"/>
      <sheetName val="List sheet &lt;4-1&gt; "/>
      <sheetName val="Mar 2002 &lt;4-5&gt;"/>
      <sheetName val="P&amp;L 0102 &lt;4-6 &amp; 4-7&gt;"/>
      <sheetName val="HK GAAP Adjustment 0203 "/>
      <sheetName val="Adj &lt; 4-10 &gt;"/>
      <sheetName val="流程"/>
      <sheetName val="现金银存 &lt;A1&gt; "/>
      <sheetName val="應收賬款 &lt;B1&gt;"/>
      <sheetName val="低值易耗品 &lt;C1&gt;"/>
      <sheetName val="按押金及預付費用 &lt;D1&gt;"/>
      <sheetName val="其他應收款 &lt;D2&gt;"/>
      <sheetName val="無形資產 &lt;G1&gt; "/>
      <sheetName val="科研成果 &lt;G2&gt;"/>
      <sheetName val="固定资产 &lt; H1 &gt;"/>
      <sheetName val="遞延資產 &lt;H4&gt;"/>
      <sheetName val="集團往來 &lt;I1&gt;"/>
      <sheetName val="其他應付 &lt;L1&gt;"/>
      <sheetName val="預收貨款 &lt;L2&gt;"/>
      <sheetName val="应交税金&lt;M1&gt;"/>
      <sheetName val="稅金支出&lt;M2&gt; "/>
      <sheetName val="实收资本 &lt;N1&gt;"/>
      <sheetName val="董事会成员名单 &lt;N2&gt;"/>
      <sheetName val="资本公积 &lt;N3&gt;"/>
      <sheetName val="工資及福利費 &lt; PC1 &gt;"/>
      <sheetName val="工資及福利費 &lt; PC2 &gt;"/>
      <sheetName val="工資及福利費 &lt; PC3 &gt;"/>
      <sheetName val="租金 &lt;PD1&gt;"/>
      <sheetName val="R&amp;D &lt;PD2&gt;"/>
      <sheetName val="Lease Commitment &lt;Q1&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底稿目录"/>
      <sheetName val="dxnsjtempsheet"/>
      <sheetName val="审计程序"/>
      <sheetName val="审定表"/>
      <sheetName val="明细表"/>
      <sheetName val="披露表(上市)"/>
      <sheetName val="披露表(国资)"/>
      <sheetName val="职工薪酬政策统计表"/>
      <sheetName val="月度分析表"/>
      <sheetName val="应付职工薪酬计提情况检查表"/>
      <sheetName val="应付职工薪酬分配情况检查表"/>
      <sheetName val="应付职工薪酬（支付）检查情况表"/>
      <sheetName val="预计辞退福利"/>
      <sheetName val="关联方交易往来统计"/>
      <sheetName val="RND1299v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TR Loan"/>
      <sheetName val="Interest Schedule"/>
    </sheetNames>
    <sheetDataSet>
      <sheetData sheetId="0" refreshError="1"/>
      <sheetData sheetId="1"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inf"/>
      <sheetName val="cover"/>
      <sheetName val="Balance sheet"/>
      <sheetName val="Income statement"/>
      <sheetName val="Trial balance"/>
      <sheetName val="HKD CA"/>
      <sheetName val="HKD SA"/>
      <sheetName val="Petty cash exp-RMB"/>
      <sheetName val="Petty cash exp-HKD"/>
      <sheetName val="CA Director"/>
      <sheetName val="AR"/>
      <sheetName val="Fixed Assets - cost &amp; depn"/>
      <sheetName val="Accrual expenses"/>
      <sheetName val="Prepayment &amp; other debtor"/>
      <sheetName val="Jou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ADMIN"/>
      <sheetName val="COSTALOC"/>
      <sheetName val="ENGR"/>
      <sheetName val="FINANCE"/>
      <sheetName val="INFOSYS"/>
      <sheetName val="INTEREST"/>
      <sheetName val="INVALOC"/>
      <sheetName val="PERSONNE"/>
      <sheetName val="QUALITY"/>
      <sheetName val="SDPROCES"/>
      <sheetName val="INPUT"/>
      <sheetName val="RND1299v1"/>
      <sheetName val="RND1299 v2"/>
      <sheetName val="RND0600"/>
      <sheetName val="Unredeemed"/>
      <sheetName val="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timecost"/>
      <sheetName val="OSM"/>
      <sheetName val="blank (2)"/>
      <sheetName val="RPT"/>
      <sheetName val="BS"/>
      <sheetName val="P&amp;L"/>
      <sheetName val="Manu"/>
      <sheetName val="Admin cost"/>
      <sheetName val="Distrib cost"/>
      <sheetName val="CF statement"/>
      <sheetName val="CF Working"/>
      <sheetName val="AJE"/>
      <sheetName val="RJE"/>
      <sheetName val="B1"/>
      <sheetName val="B2"/>
      <sheetName val="FA lead"/>
      <sheetName val="L&amp;B"/>
      <sheetName val="FA add"/>
      <sheetName val="Depn"/>
      <sheetName val="J1"/>
      <sheetName val="J3"/>
      <sheetName val="J4"/>
      <sheetName val="J5"/>
      <sheetName val="J5A-1"/>
      <sheetName val="J6"/>
      <sheetName val="J6A"/>
      <sheetName val="Bank"/>
      <sheetName val="K"/>
      <sheetName val="K4"/>
      <sheetName val="K5"/>
      <sheetName val="K10"/>
      <sheetName val="K11"/>
      <sheetName val="M1"/>
      <sheetName val="M1a"/>
      <sheetName val="Purchase"/>
      <sheetName val="N2"/>
      <sheetName val="N3"/>
      <sheetName val="N4"/>
      <sheetName val="N6"/>
      <sheetName val="N9a"/>
      <sheetName val="N9b"/>
      <sheetName val="O1a"/>
      <sheetName val="O2a"/>
      <sheetName val="O3"/>
      <sheetName val="O4"/>
      <sheetName val="blank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OSM"/>
      <sheetName val="RPT"/>
      <sheetName val="blank (2)"/>
      <sheetName val="BS"/>
      <sheetName val="P&amp;L"/>
      <sheetName val="other revenue"/>
      <sheetName val="Admin cost"/>
      <sheetName val="N1b"/>
      <sheetName val="CF working"/>
      <sheetName val="AJE"/>
      <sheetName val="RJE"/>
      <sheetName val="B1"/>
      <sheetName val="FA lead"/>
      <sheetName val="Add FA"/>
      <sheetName val="E3"/>
      <sheetName val="Depn"/>
      <sheetName val="J1"/>
      <sheetName val="J2"/>
      <sheetName val="J4"/>
      <sheetName val="J6"/>
      <sheetName val="J6B"/>
      <sheetName val="J10"/>
      <sheetName val="K3"/>
      <sheetName val="K4"/>
      <sheetName val="K5"/>
      <sheetName val="K5-1"/>
      <sheetName val="K5-4"/>
      <sheetName val="K8"/>
      <sheetName val="K10"/>
      <sheetName val="M1"/>
      <sheetName val="M2a"/>
      <sheetName val="M2b"/>
      <sheetName val="N2"/>
      <sheetName val="N4"/>
      <sheetName val="N5"/>
      <sheetName val="N6"/>
      <sheetName val="N9"/>
      <sheetName val="N10"/>
      <sheetName val="N10-1"/>
      <sheetName val="N11"/>
      <sheetName val="N12"/>
      <sheetName val="O1a"/>
      <sheetName val="O2a"/>
      <sheetName val="Sch 2"/>
      <sheetName val="Sch 3"/>
      <sheetName val="deferred tax"/>
      <sheetName val="blank"/>
      <sheetName val="B2"/>
      <sheetName val="O4a"/>
      <sheetName val="O4b"/>
      <sheetName val="O5a"/>
      <sheetName val="Sch 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APM"/>
      <sheetName val="TB"/>
      <sheetName val="TB NOV03"/>
      <sheetName val="C2"/>
      <sheetName val="C2A"/>
      <sheetName val="C2B"/>
      <sheetName val="C2C"/>
      <sheetName val="C2D"/>
      <sheetName val="C2E"/>
      <sheetName val="D2"/>
      <sheetName val="E2"/>
      <sheetName val="E3"/>
      <sheetName val="F2"/>
      <sheetName val="F6"/>
      <sheetName val="F8"/>
      <sheetName val="G2"/>
      <sheetName val="G5"/>
      <sheetName val="H1"/>
      <sheetName val="H3"/>
      <sheetName val="I2"/>
      <sheetName val="I6"/>
      <sheetName val="J2A"/>
      <sheetName val="J2A1"/>
      <sheetName val="J2B"/>
      <sheetName val="J2B1"/>
      <sheetName val="J3B"/>
      <sheetName val="J3B1"/>
      <sheetName val="K2"/>
      <sheetName val="K3"/>
      <sheetName val="K3A"/>
      <sheetName val="M1"/>
      <sheetName val="M2"/>
      <sheetName val="M4"/>
      <sheetName val="M6"/>
      <sheetName val="M7"/>
      <sheetName val="M11"/>
      <sheetName val="F3"/>
      <sheetName val="I3"/>
      <sheetName val="J2"/>
      <sheetName val="M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Voucher"/>
      <sheetName val="General Ledger"/>
      <sheetName val="Trial Balance"/>
      <sheetName val="PL"/>
      <sheetName val="BS"/>
      <sheetName val="Notes"/>
    </sheetNames>
    <sheetDataSet>
      <sheetData sheetId="0"/>
      <sheetData sheetId="1"/>
      <sheetData sheetId="2"/>
      <sheetData sheetId="3"/>
      <sheetData sheetId="4"/>
      <sheetData sheetId="5"/>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底稿目录"/>
      <sheetName val="{隐藏公式页}"/>
      <sheetName val="审计程序"/>
      <sheetName val="审定表 "/>
      <sheetName val="账项明细表"/>
      <sheetName val="明细表"/>
      <sheetName val="披露表(上市)"/>
      <sheetName val="披露表(标准)"/>
      <sheetName val="披露表(国资)"/>
      <sheetName val="长期借款应计利息审核表"/>
      <sheetName val="利息分配检查表"/>
      <sheetName val="函证结果汇总表"/>
      <sheetName val="函证结果调节表"/>
      <sheetName val="列示关联方"/>
      <sheetName val="汇率折算检查表"/>
      <sheetName val="细节测试审计抽样"/>
      <sheetName val="细节测试(续)-检查表"/>
      <sheetName val="抽凭-检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C7-4"/>
      <sheetName val="纸张"/>
      <sheetName val="油墨,其他"/>
      <sheetName val="备件"/>
      <sheetName val="汇总"/>
    </sheetNames>
    <sheetDataSet>
      <sheetData sheetId="0"/>
      <sheetData sheetId="1"/>
      <sheetData sheetId="2"/>
      <sheetData sheetId="3"/>
      <sheetData sheetId="4"/>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cover"/>
      <sheetName val="Balance sheet"/>
      <sheetName val="Income statement"/>
      <sheetName val="Statement of expenses"/>
      <sheetName val="Trial balance"/>
      <sheetName val="HKD CA"/>
      <sheetName val="USD SA"/>
      <sheetName val="CA - director"/>
      <sheetName val="FA - additions (property)"/>
      <sheetName val="FA - addition (others)"/>
      <sheetName val="Fixed Assets - cost &amp; depn"/>
      <sheetName val="Fixed Assets - lead sch."/>
      <sheetName val="Journal"/>
      <sheetName val="Due from Hldgs Co"/>
      <sheetName val="Due from Sub Co"/>
      <sheetName val="Due from Dir"/>
      <sheetName val="Accounts receivable"/>
      <sheetName val="Cash at bank"/>
      <sheetName val="Accrued charges"/>
      <sheetName val="Provision for taxation"/>
      <sheetName val="Share capital"/>
      <sheetName val="blank sheet - BS"/>
      <sheetName val="blank sheet - 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底稿目录"/>
      <sheetName val="dxnsjtempsheet"/>
      <sheetName val="审计程序"/>
      <sheetName val="审定表"/>
      <sheetName val="明细表"/>
      <sheetName val="披露表(上市)"/>
      <sheetName val="披露表(国资)"/>
      <sheetName val="固定资产盘点检查表"/>
      <sheetName val="固定资产盘点实地监盘备忘录"/>
      <sheetName val="权证查验记录"/>
      <sheetName val="固定资产增加检查表"/>
      <sheetName val="固定资产减少检查表"/>
      <sheetName val="闲置固定资产情况"/>
      <sheetName val="已提足折旧尚在使用的固定资产"/>
      <sheetName val="固定资产的抵押、担保情况"/>
      <sheetName val="折旧检查表"/>
      <sheetName val="DDB双倍余额递减法"/>
      <sheetName val="SLN直线法"/>
      <sheetName val="SYD年数总和法"/>
      <sheetName val="工作量法"/>
      <sheetName val="折旧计提与进入相关费用折旧比较"/>
      <sheetName val="关联方交易往来统计"/>
      <sheetName val="固定资产累计折旧测算1"/>
      <sheetName val="本期减少"/>
      <sheetName val="本期增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bs"/>
      <sheetName val="p&amp;l"/>
      <sheetName val="p&amp;l-erik"/>
      <sheetName val="cf"/>
      <sheetName val="valn"/>
      <sheetName val="sensitivity"/>
      <sheetName val="valn notes"/>
      <sheetName val="c-pjt cf"/>
      <sheetName val="Tfc&amp;toll asmptns"/>
      <sheetName val="Global asmptns"/>
      <sheetName val="notes"/>
      <sheetName val="cf(full equity version)"/>
      <sheetName val="MIU&amp;CD"/>
      <sheetName val="NPV (old)"/>
      <sheetName val="ratios"/>
      <sheetName val="cf(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C7-4"/>
      <sheetName val="纸张,油墨,包裝"/>
      <sheetName val="备件"/>
      <sheetName val="计提依据"/>
    </sheetNames>
    <sheetDataSet>
      <sheetData sheetId="0"/>
      <sheetData sheetId="1"/>
      <sheetData sheetId="2"/>
      <sheetData sheetId="3"/>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G9-1"/>
      <sheetName val="G9-2"/>
      <sheetName val="G9-3"/>
      <sheetName val="资产调整分录"/>
      <sheetName val="负债调整分录"/>
      <sheetName val="利润调整分录"/>
      <sheetName val="资产重分类分录"/>
      <sheetName val="负债重分类分录"/>
      <sheetName val="利润重分类分录"/>
      <sheetName val="企业表一"/>
      <sheetName val="企业表二"/>
      <sheetName val="M-5A"/>
      <sheetName val="M-5B"/>
      <sheetName val="M-5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索引"/>
      <sheetName val="货币资金Cx"/>
      <sheetName val="货币资金Mx"/>
      <sheetName val="分录"/>
      <sheetName val="标本-资产"/>
      <sheetName val="W"/>
      <sheetName val="披露表(上市)"/>
      <sheetName val="商品档案"/>
      <sheetName val="往来单位档案"/>
      <sheetName val="披露表(国资)"/>
      <sheetName val="目录"/>
      <sheetName val="９.15-１０.15对帐明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G9-1"/>
      <sheetName val="G9-2"/>
      <sheetName val="G9-3"/>
      <sheetName val="资产调整分录"/>
      <sheetName val="负债调整分录"/>
      <sheetName val="利润调整分录"/>
      <sheetName val="资产重分类分录"/>
      <sheetName val="负债重分类分录"/>
      <sheetName val="利润重分类分录"/>
      <sheetName val="企业表一"/>
      <sheetName val="企业表二"/>
      <sheetName val="M-5A"/>
      <sheetName val="M-5B"/>
      <sheetName val="M-5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填表说明"/>
      <sheetName val="集团挂账"/>
      <sheetName val="与集团往来"/>
      <sheetName val="Sheet4"/>
      <sheetName val="资金往来"/>
      <sheetName val="内部交易"/>
    </sheetNames>
    <sheetDataSet>
      <sheetData sheetId="0"/>
      <sheetData sheetId="1"/>
      <sheetData sheetId="2"/>
      <sheetData sheetId="3"/>
      <sheetData sheetId="4"/>
      <sheetData sheetId="5"/>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９.15-１０.15对帐明细"/>
      <sheetName val="披露表(国资)"/>
    </sheetNames>
    <sheetDataSet>
      <sheetData sheetId="0"/>
      <sheetData sheetId="1"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基本情况表"/>
      <sheetName val="流程说明"/>
      <sheetName val="未审报表"/>
      <sheetName val="调整分录（本期）"/>
      <sheetName val="调整分录（期初）"/>
      <sheetName val="重分类分录（本期）"/>
      <sheetName val="重分类分录（期初）"/>
      <sheetName val="审计差异（现金表.本期）"/>
      <sheetName val="审计差异（现金表.上期）"/>
      <sheetName val="关联往来表"/>
      <sheetName val="关联交易表"/>
      <sheetName val="关联方现金流量表"/>
      <sheetName val="试算平衡表"/>
      <sheetName val="附注表(一)"/>
      <sheetName val="附注表(二)"/>
      <sheetName val="已审报表"/>
      <sheetName val="已审所有者权益变动表"/>
      <sheetName val="已审资产减值准备情况表"/>
      <sheetName val="未调不符事项"/>
      <sheetName val="未调不符事项(现金表)"/>
      <sheetName val="已审表分析"/>
      <sheetName val="未审表分析"/>
      <sheetName val="报表审核"/>
      <sheetName val="单位名称"/>
      <sheetName val="新旧准则科目转换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参数表"/>
      <sheetName val="月度审定利润表"/>
      <sheetName val="月度审定现流表"/>
      <sheetName val="未审资负表"/>
      <sheetName val="未审利润表"/>
      <sheetName val="未审现流表"/>
      <sheetName val="未审权益表"/>
      <sheetName val="本月审定利润表"/>
      <sheetName val="本月审定现流表"/>
      <sheetName val="未审附注之流动资产"/>
      <sheetName val="未审附注之非流动资产"/>
      <sheetName val="未审附注之负债及权益"/>
      <sheetName val="未审附注之利润及利润分配"/>
      <sheetName val="未审附注及报表核对"/>
      <sheetName val="资负表及利润表调整分录"/>
      <sheetName val="现流表调整分录"/>
      <sheetName val="审定资负表"/>
      <sheetName val="审定利润表"/>
      <sheetName val="审定现流表"/>
      <sheetName val="审定权益表"/>
      <sheetName val="审定附注之流动资产"/>
      <sheetName val="审定附注之非流动资产"/>
      <sheetName val="审定附注之负债及权益"/>
      <sheetName val="审定附注之利润及利润分配"/>
      <sheetName val="审定报表及附注核对"/>
      <sheetName val="试算平衡表"/>
      <sheetName val="报表附注合并用"/>
      <sheetName val="审定打印版1"/>
      <sheetName val="审定打印版2"/>
      <sheetName val="审定打印版3"/>
      <sheetName val="审定打印版4"/>
      <sheetName val="附注、报表核对"/>
      <sheetName val="现流表勾稽"/>
      <sheetName val="附注其他核对"/>
      <sheetName val="报表分析（合理性复核）"/>
      <sheetName val="报表附注"/>
      <sheetName val="管理费用构成"/>
      <sheetName val="销售费用构成"/>
      <sheetName val="报表附注合并期初用"/>
      <sheetName val="1.管理费用"/>
      <sheetName val="2.销售费用"/>
      <sheetName val="3.借款"/>
      <sheetName val="4、非经常性损益"/>
      <sheetName val="5、所得税调整"/>
      <sheetName val="5在建工程"/>
      <sheetName val="6长摊"/>
      <sheetName val="7固定资产"/>
      <sheetName val="8无形资产"/>
      <sheetName val="固定资产清理"/>
      <sheetName val="内部往来账龄"/>
      <sheetName val="透视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C7">
            <v>76914775.62</v>
          </cell>
        </row>
        <row r="7">
          <cell r="G7">
            <v>0</v>
          </cell>
        </row>
        <row r="8">
          <cell r="C8">
            <v>0</v>
          </cell>
        </row>
        <row r="8">
          <cell r="G8">
            <v>0</v>
          </cell>
        </row>
        <row r="9">
          <cell r="C9">
            <v>0</v>
          </cell>
        </row>
        <row r="9">
          <cell r="G9">
            <v>7000000</v>
          </cell>
          <cell r="H9">
            <v>5198526.5</v>
          </cell>
        </row>
        <row r="10">
          <cell r="C10">
            <v>24108843.18</v>
          </cell>
          <cell r="D10">
            <v>35441008.63</v>
          </cell>
        </row>
        <row r="10">
          <cell r="G10">
            <v>16388470.98</v>
          </cell>
          <cell r="H10">
            <v>32617643.27</v>
          </cell>
        </row>
        <row r="11">
          <cell r="C11">
            <v>2081781.42</v>
          </cell>
          <cell r="D11">
            <v>125093.54</v>
          </cell>
        </row>
        <row r="11">
          <cell r="G11">
            <v>6415887</v>
          </cell>
          <cell r="H11">
            <v>0</v>
          </cell>
        </row>
        <row r="12">
          <cell r="C12">
            <v>5230925.94</v>
          </cell>
        </row>
        <row r="12">
          <cell r="G12">
            <v>1116508.51</v>
          </cell>
          <cell r="H12">
            <v>579557.2</v>
          </cell>
        </row>
        <row r="13">
          <cell r="C13">
            <v>0</v>
          </cell>
        </row>
        <row r="13">
          <cell r="G13">
            <v>2325114.26</v>
          </cell>
          <cell r="H13">
            <v>2733303.36</v>
          </cell>
        </row>
        <row r="14">
          <cell r="C14">
            <v>16603783.74</v>
          </cell>
          <cell r="D14">
            <v>208709675.31</v>
          </cell>
        </row>
        <row r="14">
          <cell r="G14">
            <v>151896.35</v>
          </cell>
        </row>
        <row r="15">
          <cell r="C15">
            <v>15424828.82</v>
          </cell>
          <cell r="D15">
            <v>17072729.59</v>
          </cell>
        </row>
        <row r="15">
          <cell r="G15">
            <v>0</v>
          </cell>
        </row>
        <row r="16">
          <cell r="C16">
            <v>2192971</v>
          </cell>
        </row>
        <row r="16">
          <cell r="G16">
            <v>7123460.48</v>
          </cell>
          <cell r="H16">
            <v>861104.55</v>
          </cell>
        </row>
        <row r="17">
          <cell r="C17">
            <v>1162569.03</v>
          </cell>
        </row>
        <row r="17">
          <cell r="G17">
            <v>24230483.68</v>
          </cell>
        </row>
        <row r="18">
          <cell r="C18">
            <v>0</v>
          </cell>
        </row>
        <row r="18">
          <cell r="G18">
            <v>0</v>
          </cell>
        </row>
        <row r="19">
          <cell r="C19">
            <v>143720478.75</v>
          </cell>
        </row>
        <row r="19">
          <cell r="G19">
            <v>0</v>
          </cell>
        </row>
        <row r="20">
          <cell r="G20">
            <v>64751821.26</v>
          </cell>
        </row>
        <row r="22">
          <cell r="C22">
            <v>0</v>
          </cell>
        </row>
        <row r="23">
          <cell r="C23">
            <v>0</v>
          </cell>
        </row>
        <row r="23">
          <cell r="G23">
            <v>48202962.97</v>
          </cell>
        </row>
        <row r="24">
          <cell r="C24">
            <v>9658781.06</v>
          </cell>
        </row>
        <row r="24">
          <cell r="G24">
            <v>0</v>
          </cell>
        </row>
        <row r="25">
          <cell r="C25">
            <v>4000000</v>
          </cell>
        </row>
        <row r="25">
          <cell r="G25">
            <v>18932594.8</v>
          </cell>
        </row>
        <row r="26">
          <cell r="C26">
            <v>0</v>
          </cell>
        </row>
        <row r="26">
          <cell r="G26">
            <v>0</v>
          </cell>
        </row>
        <row r="27">
          <cell r="C27">
            <v>67777398.03</v>
          </cell>
        </row>
        <row r="27">
          <cell r="G27">
            <v>450190.65</v>
          </cell>
        </row>
        <row r="28">
          <cell r="C28">
            <v>3527419.91</v>
          </cell>
        </row>
        <row r="28">
          <cell r="G28">
            <v>0</v>
          </cell>
        </row>
        <row r="29">
          <cell r="C29">
            <v>0</v>
          </cell>
        </row>
        <row r="29">
          <cell r="G29">
            <v>0</v>
          </cell>
        </row>
        <row r="30">
          <cell r="C30">
            <v>0</v>
          </cell>
        </row>
        <row r="30">
          <cell r="G30">
            <v>2082524</v>
          </cell>
        </row>
        <row r="31">
          <cell r="C31">
            <v>0</v>
          </cell>
        </row>
        <row r="31">
          <cell r="G31">
            <v>69668272.42</v>
          </cell>
        </row>
        <row r="32">
          <cell r="C32">
            <v>0</v>
          </cell>
        </row>
        <row r="33">
          <cell r="C33">
            <v>16000</v>
          </cell>
        </row>
        <row r="33">
          <cell r="G33">
            <v>134420093.68</v>
          </cell>
        </row>
        <row r="34">
          <cell r="C34">
            <v>0</v>
          </cell>
        </row>
        <row r="35">
          <cell r="C35">
            <v>0</v>
          </cell>
        </row>
        <row r="36">
          <cell r="C36">
            <v>378415.02</v>
          </cell>
        </row>
        <row r="36">
          <cell r="G36">
            <v>120000000</v>
          </cell>
        </row>
        <row r="37">
          <cell r="C37">
            <v>810692.23</v>
          </cell>
        </row>
        <row r="37">
          <cell r="G37">
            <v>5756259.26</v>
          </cell>
        </row>
        <row r="38">
          <cell r="C38">
            <v>0</v>
          </cell>
        </row>
        <row r="38">
          <cell r="G38">
            <v>0</v>
          </cell>
        </row>
        <row r="39">
          <cell r="C39">
            <v>0</v>
          </cell>
        </row>
        <row r="39">
          <cell r="G39">
            <v>0</v>
          </cell>
        </row>
        <row r="40">
          <cell r="C40">
            <v>86168706.25</v>
          </cell>
        </row>
        <row r="40">
          <cell r="G40">
            <v>-30287167.94</v>
          </cell>
        </row>
        <row r="41">
          <cell r="G41">
            <v>0</v>
          </cell>
        </row>
        <row r="42">
          <cell r="G42">
            <v>0</v>
          </cell>
        </row>
      </sheetData>
      <sheetData sheetId="17">
        <row r="6">
          <cell r="C6">
            <v>51048705.7</v>
          </cell>
        </row>
        <row r="7">
          <cell r="C7">
            <v>26423840.97</v>
          </cell>
        </row>
        <row r="8">
          <cell r="C8">
            <v>242593.74</v>
          </cell>
        </row>
        <row r="9">
          <cell r="C9">
            <v>11932492.27</v>
          </cell>
        </row>
        <row r="10">
          <cell r="C10">
            <v>12833946.08</v>
          </cell>
        </row>
        <row r="11">
          <cell r="C11">
            <v>-174505.14</v>
          </cell>
        </row>
        <row r="12">
          <cell r="C12">
            <v>3717493</v>
          </cell>
        </row>
        <row r="13">
          <cell r="C13">
            <v>0</v>
          </cell>
        </row>
        <row r="14">
          <cell r="C14">
            <v>0</v>
          </cell>
        </row>
        <row r="15">
          <cell r="C15">
            <v>0</v>
          </cell>
        </row>
        <row r="16">
          <cell r="C16">
            <v>0</v>
          </cell>
        </row>
        <row r="17">
          <cell r="C17">
            <v>0</v>
          </cell>
        </row>
        <row r="18">
          <cell r="C18">
            <v>0</v>
          </cell>
        </row>
        <row r="19">
          <cell r="C19">
            <v>-3927155.22</v>
          </cell>
        </row>
        <row r="20">
          <cell r="C20">
            <v>362052.92</v>
          </cell>
        </row>
        <row r="21">
          <cell r="C21">
            <v>1624281.65</v>
          </cell>
        </row>
        <row r="22">
          <cell r="C22">
            <v>-5189383.95</v>
          </cell>
        </row>
        <row r="23">
          <cell r="C23">
            <v>-2454358.72</v>
          </cell>
        </row>
        <row r="24">
          <cell r="C24">
            <v>-2735025.23</v>
          </cell>
        </row>
        <row r="25">
          <cell r="C25">
            <v>-2735025.23</v>
          </cell>
        </row>
        <row r="27">
          <cell r="C27">
            <v>-2735025.23</v>
          </cell>
        </row>
        <row r="29">
          <cell r="C29">
            <v>0</v>
          </cell>
        </row>
        <row r="30">
          <cell r="C30">
            <v>-2735025.23</v>
          </cell>
        </row>
        <row r="36">
          <cell r="C36">
            <v>-2735025.23</v>
          </cell>
        </row>
        <row r="37">
          <cell r="C37">
            <v>-8752142.71</v>
          </cell>
        </row>
        <row r="38">
          <cell r="C38">
            <v>18800000</v>
          </cell>
        </row>
        <row r="39">
          <cell r="C39">
            <v>-30287167.94</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205">
          <cell r="H205">
            <v>1859197.01</v>
          </cell>
        </row>
        <row r="205">
          <cell r="L205">
            <v>1441374.98</v>
          </cell>
        </row>
        <row r="1148">
          <cell r="H1148">
            <v>46430</v>
          </cell>
        </row>
        <row r="1151">
          <cell r="H1151">
            <v>10441696.28</v>
          </cell>
        </row>
        <row r="1309">
          <cell r="H1309">
            <v>5410719.3</v>
          </cell>
        </row>
        <row r="1423">
          <cell r="G1423">
            <v>18000</v>
          </cell>
        </row>
        <row r="1552">
          <cell r="H1552">
            <v>337000</v>
          </cell>
        </row>
        <row r="1731">
          <cell r="G1731">
            <v>432021.28</v>
          </cell>
        </row>
        <row r="1980">
          <cell r="G1980">
            <v>6831725.71</v>
          </cell>
        </row>
        <row r="2005">
          <cell r="F2005">
            <v>21363.81</v>
          </cell>
        </row>
        <row r="2005">
          <cell r="H2005">
            <v>86967.87</v>
          </cell>
          <cell r="I2005">
            <v>526851.3</v>
          </cell>
        </row>
        <row r="2017">
          <cell r="H2017">
            <v>2421461.45</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参数表"/>
      <sheetName val="月度审定利润表"/>
      <sheetName val="月度审定现流表"/>
      <sheetName val="未审资负表"/>
      <sheetName val="未审利润表"/>
      <sheetName val="未审现流表"/>
      <sheetName val="未审权益表"/>
      <sheetName val="本月审定利润表"/>
      <sheetName val="本月审定现流表"/>
      <sheetName val="未审附注之流动资产"/>
      <sheetName val="未审附注之非流动资产"/>
      <sheetName val="未审附注之负债及权益"/>
      <sheetName val="未审附注之利润及利润分配"/>
      <sheetName val="未审附注及报表核对"/>
      <sheetName val="资负表及利润表调整分录"/>
      <sheetName val="现流表调整分录"/>
      <sheetName val="Sheet4"/>
      <sheetName val="Sheet2"/>
      <sheetName val="Sheet1"/>
      <sheetName val="审定资负表"/>
      <sheetName val="审定利润表"/>
      <sheetName val="审定现流表"/>
      <sheetName val="审定权益表"/>
      <sheetName val="审定附注之流动资产"/>
      <sheetName val="审定附注之非流动资产"/>
      <sheetName val="审定附注之负债及权益"/>
      <sheetName val="审定附注之利润及利润分配"/>
      <sheetName val="审定报表及附注核对"/>
      <sheetName val="试算平衡表"/>
      <sheetName val="报表附注合并用"/>
      <sheetName val="审定打印版1"/>
      <sheetName val="审定打印版2"/>
      <sheetName val="审定打印版3"/>
      <sheetName val="审定打印版4"/>
      <sheetName val="附注、报表核对"/>
      <sheetName val="现流表勾稽"/>
      <sheetName val="附注其他核对"/>
      <sheetName val="报表分析（合理性复核）"/>
      <sheetName val="报表附注"/>
      <sheetName val="管理费用披露"/>
      <sheetName val="销售费用披露"/>
      <sheetName val="财务费用披露"/>
      <sheetName val="现金流量表项目测试"/>
      <sheetName val="管理费用构成"/>
      <sheetName val="销售费用构成"/>
      <sheetName val="报表附注合并期初用"/>
      <sheetName val="1.管理费用"/>
      <sheetName val="2.销售费用"/>
      <sheetName val="3.借款"/>
      <sheetName val="4、非经常性损益"/>
      <sheetName val="5、所得税调整"/>
      <sheetName val="5在建工程"/>
      <sheetName val="6长摊"/>
      <sheetName val="7固定资产"/>
      <sheetName val="8无形资产"/>
      <sheetName val="固定资产清理"/>
      <sheetName val="内部往来账龄"/>
      <sheetName val="透视表"/>
      <sheetName val="9.实收资本"/>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C7">
            <v>203715132.36</v>
          </cell>
          <cell r="D7">
            <v>76914775.62</v>
          </cell>
        </row>
        <row r="7">
          <cell r="G7">
            <v>4850000</v>
          </cell>
          <cell r="H7">
            <v>0</v>
          </cell>
        </row>
        <row r="8">
          <cell r="C8">
            <v>0</v>
          </cell>
          <cell r="D8">
            <v>0</v>
          </cell>
        </row>
        <row r="8">
          <cell r="G8">
            <v>0</v>
          </cell>
          <cell r="H8">
            <v>0</v>
          </cell>
        </row>
        <row r="9">
          <cell r="C9">
            <v>0</v>
          </cell>
          <cell r="D9">
            <v>0</v>
          </cell>
        </row>
        <row r="9">
          <cell r="G9">
            <v>4117111</v>
          </cell>
          <cell r="H9">
            <v>7000000</v>
          </cell>
        </row>
        <row r="10">
          <cell r="C10">
            <v>22006278.82</v>
          </cell>
          <cell r="D10">
            <v>24108843.18</v>
          </cell>
        </row>
        <row r="10">
          <cell r="G10">
            <v>46887927.4</v>
          </cell>
          <cell r="H10">
            <v>16353470.98</v>
          </cell>
        </row>
        <row r="11">
          <cell r="C11">
            <v>1475171.12</v>
          </cell>
          <cell r="D11">
            <v>2081781.42</v>
          </cell>
        </row>
        <row r="11">
          <cell r="G11">
            <v>0</v>
          </cell>
          <cell r="H11">
            <v>6115989.56</v>
          </cell>
        </row>
        <row r="12">
          <cell r="C12">
            <v>5230925.94</v>
          </cell>
          <cell r="D12">
            <v>5230925.94</v>
          </cell>
        </row>
        <row r="12">
          <cell r="G12">
            <v>1416018.5</v>
          </cell>
          <cell r="H12">
            <v>1116508.51</v>
          </cell>
        </row>
        <row r="13">
          <cell r="C13">
            <v>0</v>
          </cell>
          <cell r="D13">
            <v>0</v>
          </cell>
        </row>
        <row r="13">
          <cell r="G13">
            <v>542910.06</v>
          </cell>
          <cell r="H13">
            <v>5652768.88</v>
          </cell>
        </row>
        <row r="14">
          <cell r="C14">
            <v>16804211.34</v>
          </cell>
          <cell r="D14">
            <v>16603783.74</v>
          </cell>
        </row>
        <row r="14">
          <cell r="G14">
            <v>120815.96</v>
          </cell>
          <cell r="H14">
            <v>151896.35</v>
          </cell>
        </row>
        <row r="15">
          <cell r="C15">
            <v>29733511.93</v>
          </cell>
          <cell r="D15">
            <v>15424828.82</v>
          </cell>
        </row>
        <row r="15">
          <cell r="G15">
            <v>0</v>
          </cell>
          <cell r="H15">
            <v>0</v>
          </cell>
        </row>
        <row r="16">
          <cell r="C16">
            <v>10231163.7</v>
          </cell>
          <cell r="D16">
            <v>2192971</v>
          </cell>
        </row>
        <row r="16">
          <cell r="G16">
            <v>19667739.82</v>
          </cell>
          <cell r="H16">
            <v>7123460.48</v>
          </cell>
        </row>
        <row r="17">
          <cell r="C17">
            <v>2855840.51</v>
          </cell>
          <cell r="D17">
            <v>893168.56</v>
          </cell>
        </row>
        <row r="17">
          <cell r="G17">
            <v>23891640.51</v>
          </cell>
          <cell r="H17">
            <v>24230483.68</v>
          </cell>
        </row>
        <row r="18">
          <cell r="C18">
            <v>0</v>
          </cell>
          <cell r="D18">
            <v>0</v>
          </cell>
        </row>
        <row r="18">
          <cell r="G18">
            <v>8506295.09</v>
          </cell>
          <cell r="H18">
            <v>0</v>
          </cell>
        </row>
        <row r="19">
          <cell r="C19">
            <v>292052235.72</v>
          </cell>
          <cell r="D19">
            <v>143451078.28</v>
          </cell>
        </row>
        <row r="19">
          <cell r="G19">
            <v>0</v>
          </cell>
          <cell r="H19">
            <v>0</v>
          </cell>
        </row>
        <row r="20">
          <cell r="G20">
            <v>110000458.34</v>
          </cell>
          <cell r="H20">
            <v>67744578.44</v>
          </cell>
        </row>
        <row r="22">
          <cell r="C22">
            <v>0</v>
          </cell>
          <cell r="D22">
            <v>0</v>
          </cell>
        </row>
        <row r="23">
          <cell r="C23">
            <v>0</v>
          </cell>
          <cell r="D23">
            <v>0</v>
          </cell>
        </row>
        <row r="23">
          <cell r="G23">
            <v>30498148.16</v>
          </cell>
          <cell r="H23">
            <v>48202962.97</v>
          </cell>
        </row>
        <row r="24">
          <cell r="C24">
            <v>76247801.99</v>
          </cell>
          <cell r="D24">
            <v>9658781.06</v>
          </cell>
        </row>
        <row r="24">
          <cell r="G24">
            <v>0</v>
          </cell>
          <cell r="H24">
            <v>0</v>
          </cell>
        </row>
        <row r="25">
          <cell r="C25">
            <v>4000000</v>
          </cell>
          <cell r="D25">
            <v>4000000</v>
          </cell>
        </row>
        <row r="25">
          <cell r="G25">
            <v>12375398.73</v>
          </cell>
          <cell r="H25">
            <v>18932594.8</v>
          </cell>
        </row>
        <row r="26">
          <cell r="C26">
            <v>0</v>
          </cell>
          <cell r="D26">
            <v>0</v>
          </cell>
        </row>
        <row r="26">
          <cell r="G26">
            <v>0</v>
          </cell>
          <cell r="H26">
            <v>0</v>
          </cell>
        </row>
        <row r="27">
          <cell r="C27">
            <v>72198531.34</v>
          </cell>
          <cell r="D27">
            <v>67777398.03</v>
          </cell>
        </row>
        <row r="27">
          <cell r="G27">
            <v>0</v>
          </cell>
          <cell r="H27">
            <v>450190.65</v>
          </cell>
        </row>
        <row r="28">
          <cell r="C28">
            <v>52735328.71</v>
          </cell>
          <cell r="D28">
            <v>3527419.91</v>
          </cell>
        </row>
        <row r="28">
          <cell r="G28">
            <v>0</v>
          </cell>
          <cell r="H28">
            <v>0</v>
          </cell>
        </row>
        <row r="29">
          <cell r="C29">
            <v>0</v>
          </cell>
          <cell r="D29">
            <v>0</v>
          </cell>
        </row>
        <row r="29">
          <cell r="G29">
            <v>0</v>
          </cell>
          <cell r="H29">
            <v>0</v>
          </cell>
        </row>
        <row r="30">
          <cell r="C30">
            <v>0</v>
          </cell>
          <cell r="D30">
            <v>0</v>
          </cell>
        </row>
        <row r="30">
          <cell r="G30">
            <v>3973515.53</v>
          </cell>
          <cell r="H30">
            <v>2082524</v>
          </cell>
        </row>
        <row r="31">
          <cell r="C31">
            <v>0</v>
          </cell>
          <cell r="D31">
            <v>0</v>
          </cell>
        </row>
        <row r="31">
          <cell r="G31">
            <v>46847062.42</v>
          </cell>
          <cell r="H31">
            <v>69668272.42</v>
          </cell>
        </row>
        <row r="32">
          <cell r="C32">
            <v>0</v>
          </cell>
          <cell r="D32">
            <v>0</v>
          </cell>
        </row>
        <row r="33">
          <cell r="C33">
            <v>10000</v>
          </cell>
          <cell r="D33">
            <v>16000</v>
          </cell>
        </row>
        <row r="33">
          <cell r="G33">
            <v>156847520.76</v>
          </cell>
          <cell r="H33">
            <v>137412850.86</v>
          </cell>
        </row>
        <row r="34">
          <cell r="C34">
            <v>0</v>
          </cell>
          <cell r="D34">
            <v>0</v>
          </cell>
        </row>
        <row r="35">
          <cell r="C35">
            <v>0</v>
          </cell>
          <cell r="D35">
            <v>0</v>
          </cell>
        </row>
        <row r="36">
          <cell r="C36">
            <v>170458.45</v>
          </cell>
          <cell r="D36">
            <v>378415.02</v>
          </cell>
        </row>
        <row r="36">
          <cell r="G36">
            <v>137800000</v>
          </cell>
          <cell r="H36">
            <v>120000000</v>
          </cell>
        </row>
        <row r="37">
          <cell r="C37">
            <v>778571.44</v>
          </cell>
          <cell r="D37">
            <v>810692.23</v>
          </cell>
        </row>
        <row r="37">
          <cell r="G37">
            <v>218598931.26</v>
          </cell>
          <cell r="H37">
            <v>5756259.26</v>
          </cell>
        </row>
        <row r="38">
          <cell r="C38">
            <v>0</v>
          </cell>
          <cell r="D38">
            <v>0</v>
          </cell>
        </row>
        <row r="38">
          <cell r="G38">
            <v>0</v>
          </cell>
          <cell r="H38">
            <v>0</v>
          </cell>
        </row>
        <row r="39">
          <cell r="C39">
            <v>0</v>
          </cell>
          <cell r="D39">
            <v>0</v>
          </cell>
        </row>
        <row r="39">
          <cell r="G39">
            <v>374647.56</v>
          </cell>
          <cell r="H39">
            <v>0</v>
          </cell>
        </row>
        <row r="40">
          <cell r="C40">
            <v>206140691.93</v>
          </cell>
          <cell r="D40">
            <v>86168706.25</v>
          </cell>
        </row>
        <row r="40">
          <cell r="G40">
            <v>-15428171.93</v>
          </cell>
          <cell r="H40">
            <v>-33549325.59</v>
          </cell>
        </row>
        <row r="41">
          <cell r="G41">
            <v>0</v>
          </cell>
          <cell r="H41">
            <v>0</v>
          </cell>
        </row>
        <row r="42">
          <cell r="G42">
            <v>0</v>
          </cell>
          <cell r="H42">
            <v>0</v>
          </cell>
        </row>
      </sheetData>
      <sheetData sheetId="20">
        <row r="6">
          <cell r="C6">
            <v>128393618.96</v>
          </cell>
          <cell r="D6">
            <v>51048705.7</v>
          </cell>
        </row>
        <row r="7">
          <cell r="C7">
            <v>63925607.44</v>
          </cell>
          <cell r="D7">
            <v>26423840.97</v>
          </cell>
        </row>
        <row r="8">
          <cell r="C8">
            <v>373643.83</v>
          </cell>
          <cell r="D8">
            <v>242593.74</v>
          </cell>
        </row>
        <row r="9">
          <cell r="C9">
            <v>12062504.92</v>
          </cell>
          <cell r="D9">
            <v>11911652.27</v>
          </cell>
        </row>
        <row r="10">
          <cell r="C10">
            <v>12152899.88</v>
          </cell>
          <cell r="D10">
            <v>12819786.08</v>
          </cell>
        </row>
        <row r="11">
          <cell r="C11">
            <v>17583927.66</v>
          </cell>
          <cell r="D11">
            <v>-174505.14</v>
          </cell>
        </row>
        <row r="12">
          <cell r="C12">
            <v>2020102.49</v>
          </cell>
          <cell r="D12">
            <v>3717493</v>
          </cell>
        </row>
        <row r="13">
          <cell r="C13">
            <v>0</v>
          </cell>
          <cell r="D13">
            <v>0</v>
          </cell>
        </row>
        <row r="14">
          <cell r="C14">
            <v>0</v>
          </cell>
          <cell r="D14">
            <v>0</v>
          </cell>
        </row>
        <row r="15">
          <cell r="C15">
            <v>0</v>
          </cell>
          <cell r="D15">
            <v>0</v>
          </cell>
        </row>
        <row r="16">
          <cell r="C16">
            <v>0</v>
          </cell>
          <cell r="D16">
            <v>0</v>
          </cell>
        </row>
        <row r="17">
          <cell r="C17">
            <v>0</v>
          </cell>
          <cell r="D17">
            <v>0</v>
          </cell>
        </row>
        <row r="18">
          <cell r="C18">
            <v>0</v>
          </cell>
          <cell r="D18">
            <v>0</v>
          </cell>
        </row>
        <row r="19">
          <cell r="C19">
            <v>20274932.74</v>
          </cell>
          <cell r="D19">
            <v>-3892155.22</v>
          </cell>
        </row>
        <row r="20">
          <cell r="C20">
            <v>853546.58</v>
          </cell>
          <cell r="D20">
            <v>362052.92</v>
          </cell>
        </row>
        <row r="21">
          <cell r="C21">
            <v>2139962.48</v>
          </cell>
          <cell r="D21">
            <v>1624281.65</v>
          </cell>
        </row>
        <row r="22">
          <cell r="C22">
            <v>18988516.84</v>
          </cell>
          <cell r="D22">
            <v>-5154383.95</v>
          </cell>
        </row>
        <row r="23">
          <cell r="C23">
            <v>492715.62</v>
          </cell>
          <cell r="D23">
            <v>842798.93</v>
          </cell>
        </row>
        <row r="24">
          <cell r="C24">
            <v>18495801.22</v>
          </cell>
          <cell r="D24">
            <v>-5997182.88</v>
          </cell>
        </row>
        <row r="25">
          <cell r="C25">
            <v>18495801.22</v>
          </cell>
          <cell r="D25">
            <v>-5997182.88</v>
          </cell>
        </row>
        <row r="27">
          <cell r="C27">
            <v>18495801.22</v>
          </cell>
          <cell r="D27">
            <v>-5997182.88</v>
          </cell>
        </row>
        <row r="28">
          <cell r="D28">
            <v>0</v>
          </cell>
        </row>
        <row r="29">
          <cell r="C29">
            <v>0</v>
          </cell>
          <cell r="D29">
            <v>0</v>
          </cell>
        </row>
        <row r="30">
          <cell r="C30">
            <v>18495801.22</v>
          </cell>
          <cell r="D30">
            <v>-5997182.88</v>
          </cell>
        </row>
        <row r="36">
          <cell r="C36">
            <v>18495801.22</v>
          </cell>
          <cell r="D36">
            <v>-5997182.88</v>
          </cell>
        </row>
        <row r="37">
          <cell r="C37">
            <v>-33549325.59</v>
          </cell>
          <cell r="D37">
            <v>-8752142.71</v>
          </cell>
        </row>
        <row r="38">
          <cell r="C38">
            <v>374647.56</v>
          </cell>
          <cell r="D38">
            <v>18800000</v>
          </cell>
        </row>
        <row r="39">
          <cell r="C39">
            <v>-15428171.93</v>
          </cell>
          <cell r="D39">
            <v>-33549325.59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底稿目录"/>
      <sheetName val="2015审定表"/>
      <sheetName val="2016审定表"/>
      <sheetName val="2017审定表"/>
      <sheetName val="2015明细表 "/>
      <sheetName val="2016明细表"/>
      <sheetName val="2017明细表"/>
      <sheetName val="披露表(上市)"/>
      <sheetName val="15年度分析表"/>
      <sheetName val="2015年度分析表（明细）"/>
      <sheetName val="16年度分析表"/>
      <sheetName val="2016年度分析表（明细）"/>
      <sheetName val="17年度分析表"/>
      <sheetName val="2017年度分析表（明细）"/>
      <sheetName val="2015月度分析情况表"/>
      <sheetName val="2016月度分析情况表"/>
      <sheetName val="2017月度分析情况表"/>
      <sheetName val="2015检查表"/>
      <sheetName val="2016检查表"/>
      <sheetName val="2017检查表"/>
      <sheetName val="2015截止表"/>
      <sheetName val="2016截止表"/>
      <sheetName val="2017截止表"/>
      <sheetName val="股份支付计算表"/>
      <sheetName val="研发费用项目检查表"/>
      <sheetName val="研发费用2015明细表"/>
      <sheetName val="研发费用2016明细表"/>
      <sheetName val="研发费用2017明细表"/>
      <sheetName val="RD05领料单检查"/>
      <sheetName val="2015研发费用分析表"/>
      <sheetName val="2016研发费用分析表"/>
      <sheetName val="2017研发费用分析表"/>
      <sheetName val="同行业费用对比"/>
      <sheetName val="同行业人员对比"/>
      <sheetName val="租金测算"/>
      <sheetName val="Sheet1"/>
      <sheetName val="同行业费用对比原始版本"/>
    </sheetNames>
    <sheetDataSet>
      <sheetData sheetId="0"/>
      <sheetData sheetId="1"/>
      <sheetData sheetId="2"/>
      <sheetData sheetId="3"/>
      <sheetData sheetId="4">
        <row r="9">
          <cell r="A9" t="str">
            <v>开办费摊销</v>
          </cell>
        </row>
        <row r="9">
          <cell r="V9">
            <v>0</v>
          </cell>
        </row>
        <row r="9">
          <cell r="X9">
            <v>0</v>
          </cell>
        </row>
        <row r="10">
          <cell r="A10" t="str">
            <v>公司经费-行管人员工资</v>
          </cell>
        </row>
        <row r="10">
          <cell r="V10">
            <v>1321726.85</v>
          </cell>
        </row>
        <row r="10">
          <cell r="X10">
            <v>1024384.96</v>
          </cell>
        </row>
        <row r="11">
          <cell r="A11" t="str">
            <v>公司经费-物料消耗</v>
          </cell>
        </row>
        <row r="11">
          <cell r="V11">
            <v>27122.36</v>
          </cell>
        </row>
        <row r="11">
          <cell r="X11">
            <v>10717</v>
          </cell>
        </row>
        <row r="12">
          <cell r="A12" t="str">
            <v>公司经费-低值易耗品摊销</v>
          </cell>
        </row>
        <row r="12">
          <cell r="V12">
            <v>12469.8</v>
          </cell>
        </row>
        <row r="12">
          <cell r="X12">
            <v>3790</v>
          </cell>
        </row>
        <row r="13">
          <cell r="A13" t="str">
            <v>公司经费-办公费</v>
          </cell>
        </row>
        <row r="13">
          <cell r="V13">
            <v>124959.33</v>
          </cell>
        </row>
        <row r="13">
          <cell r="X13">
            <v>118952.8</v>
          </cell>
        </row>
        <row r="14">
          <cell r="A14" t="str">
            <v>公司经费-交通差旅费</v>
          </cell>
        </row>
        <row r="14">
          <cell r="V14">
            <v>146520.96</v>
          </cell>
        </row>
        <row r="14">
          <cell r="X14">
            <v>87818.5</v>
          </cell>
        </row>
        <row r="15">
          <cell r="A15" t="str">
            <v>公司经费-汽车费用</v>
          </cell>
        </row>
        <row r="15">
          <cell r="V15">
            <v>66450.38</v>
          </cell>
        </row>
        <row r="15">
          <cell r="X15">
            <v>47125.03</v>
          </cell>
        </row>
        <row r="16">
          <cell r="A16" t="str">
            <v>公司经费-水电物管费等</v>
          </cell>
        </row>
        <row r="16">
          <cell r="V16">
            <v>33001.57</v>
          </cell>
        </row>
        <row r="16">
          <cell r="X16">
            <v>58332.45</v>
          </cell>
        </row>
        <row r="17">
          <cell r="A17" t="str">
            <v>公司经费-通讯网络费</v>
          </cell>
        </row>
        <row r="17">
          <cell r="V17">
            <v>28807.71</v>
          </cell>
        </row>
        <row r="17">
          <cell r="X17">
            <v>20745.68</v>
          </cell>
        </row>
        <row r="18">
          <cell r="A18" t="str">
            <v>公司经费-折旧费用</v>
          </cell>
        </row>
        <row r="18">
          <cell r="V18">
            <v>84111.59</v>
          </cell>
        </row>
        <row r="18">
          <cell r="X18">
            <v>119256.78</v>
          </cell>
        </row>
        <row r="19">
          <cell r="A19" t="str">
            <v>公司经费-房屋租赁费</v>
          </cell>
        </row>
        <row r="19">
          <cell r="V19">
            <v>377568.97</v>
          </cell>
        </row>
        <row r="19">
          <cell r="X19">
            <v>228537.33</v>
          </cell>
        </row>
        <row r="20">
          <cell r="A20" t="str">
            <v>公司经费-长期费用摊销</v>
          </cell>
        </row>
        <row r="20">
          <cell r="V20">
            <v>284704.82</v>
          </cell>
        </row>
        <row r="20">
          <cell r="X20">
            <v>274988.16</v>
          </cell>
        </row>
        <row r="21">
          <cell r="A21" t="str">
            <v>公司经费-行管人员福利费</v>
          </cell>
        </row>
        <row r="21">
          <cell r="V21">
            <v>0</v>
          </cell>
        </row>
        <row r="21">
          <cell r="X21">
            <v>3501</v>
          </cell>
        </row>
        <row r="22">
          <cell r="A22" t="str">
            <v>公司经费-邮运费</v>
          </cell>
        </row>
        <row r="22">
          <cell r="V22">
            <v>9340</v>
          </cell>
        </row>
        <row r="22">
          <cell r="X22">
            <v>6463</v>
          </cell>
        </row>
        <row r="23">
          <cell r="A23" t="str">
            <v>公司经费-餐费补贴</v>
          </cell>
        </row>
        <row r="23">
          <cell r="V23">
            <v>0</v>
          </cell>
        </row>
        <row r="23">
          <cell r="X23">
            <v>0</v>
          </cell>
        </row>
        <row r="24">
          <cell r="A24" t="str">
            <v>公司经费-培训费</v>
          </cell>
        </row>
        <row r="24">
          <cell r="V24">
            <v>29218</v>
          </cell>
        </row>
        <row r="24">
          <cell r="X24">
            <v>2500</v>
          </cell>
        </row>
        <row r="25">
          <cell r="A25" t="str">
            <v>公司经费-社会团体行业协会会员费</v>
          </cell>
        </row>
        <row r="25">
          <cell r="V25">
            <v>0</v>
          </cell>
        </row>
        <row r="25">
          <cell r="X25">
            <v>0</v>
          </cell>
        </row>
        <row r="26">
          <cell r="A26" t="str">
            <v>工会经费</v>
          </cell>
        </row>
        <row r="26">
          <cell r="V26">
            <v>192</v>
          </cell>
        </row>
        <row r="26">
          <cell r="X26">
            <v>480</v>
          </cell>
        </row>
        <row r="27">
          <cell r="A27" t="str">
            <v>社保公积金（五险一金）</v>
          </cell>
        </row>
        <row r="27">
          <cell r="V27">
            <v>0</v>
          </cell>
        </row>
        <row r="27">
          <cell r="X27">
            <v>260226.29</v>
          </cell>
        </row>
        <row r="28">
          <cell r="A28" t="str">
            <v>董事会费-成员津贴</v>
          </cell>
        </row>
        <row r="28">
          <cell r="V28">
            <v>0</v>
          </cell>
        </row>
        <row r="28">
          <cell r="X28">
            <v>0</v>
          </cell>
        </row>
        <row r="29">
          <cell r="A29" t="str">
            <v>董事会费-会议费</v>
          </cell>
        </row>
        <row r="29">
          <cell r="V29">
            <v>0</v>
          </cell>
        </row>
        <row r="29">
          <cell r="X29">
            <v>0</v>
          </cell>
        </row>
        <row r="30">
          <cell r="A30" t="str">
            <v>董事会费-培训费</v>
          </cell>
        </row>
        <row r="30">
          <cell r="V30">
            <v>0</v>
          </cell>
        </row>
        <row r="30">
          <cell r="X30">
            <v>0</v>
          </cell>
        </row>
        <row r="31">
          <cell r="A31" t="str">
            <v>中介机构费</v>
          </cell>
        </row>
        <row r="31">
          <cell r="V31">
            <v>309634</v>
          </cell>
        </row>
        <row r="31">
          <cell r="X31">
            <v>223815</v>
          </cell>
        </row>
        <row r="32">
          <cell r="A32" t="str">
            <v>咨询及顾问费</v>
          </cell>
        </row>
        <row r="32">
          <cell r="V32">
            <v>5162.9</v>
          </cell>
        </row>
        <row r="32">
          <cell r="X32">
            <v>47618</v>
          </cell>
        </row>
        <row r="33">
          <cell r="A33" t="str">
            <v>诉讼费</v>
          </cell>
        </row>
        <row r="33">
          <cell r="V33">
            <v>0</v>
          </cell>
        </row>
        <row r="33">
          <cell r="X33">
            <v>0</v>
          </cell>
        </row>
        <row r="34">
          <cell r="A34" t="str">
            <v>业务招待费</v>
          </cell>
        </row>
        <row r="34">
          <cell r="V34">
            <v>139832.6</v>
          </cell>
        </row>
        <row r="34">
          <cell r="X34">
            <v>116087.6</v>
          </cell>
        </row>
        <row r="35">
          <cell r="A35" t="str">
            <v>税费（其它税费）</v>
          </cell>
        </row>
        <row r="35">
          <cell r="V35">
            <v>4331.43</v>
          </cell>
        </row>
        <row r="35">
          <cell r="X35">
            <v>6847.85</v>
          </cell>
        </row>
        <row r="36">
          <cell r="A36" t="str">
            <v>技术转让费</v>
          </cell>
        </row>
        <row r="36">
          <cell r="V36">
            <v>0</v>
          </cell>
        </row>
        <row r="36">
          <cell r="X36">
            <v>0</v>
          </cell>
        </row>
        <row r="37">
          <cell r="A37" t="str">
            <v>资源补偿费</v>
          </cell>
        </row>
        <row r="37">
          <cell r="V37">
            <v>0</v>
          </cell>
        </row>
        <row r="37">
          <cell r="X37">
            <v>0</v>
          </cell>
        </row>
        <row r="38">
          <cell r="A38" t="str">
            <v>研发费用-原研发费用201511前</v>
          </cell>
        </row>
        <row r="38">
          <cell r="V38">
            <v>0</v>
          </cell>
        </row>
        <row r="38">
          <cell r="X38">
            <v>0</v>
          </cell>
        </row>
        <row r="39">
          <cell r="A39" t="str">
            <v>研发费用-工资</v>
          </cell>
        </row>
        <row r="39">
          <cell r="V39">
            <v>1000621.9</v>
          </cell>
        </row>
        <row r="39">
          <cell r="X39">
            <v>829791.33</v>
          </cell>
        </row>
        <row r="40">
          <cell r="A40" t="str">
            <v>研发费用-认证检测费</v>
          </cell>
        </row>
        <row r="40">
          <cell r="V40">
            <v>300239</v>
          </cell>
        </row>
        <row r="40">
          <cell r="X40">
            <v>114000</v>
          </cell>
        </row>
        <row r="41">
          <cell r="A41" t="str">
            <v>研发费用-材料费</v>
          </cell>
        </row>
        <row r="41">
          <cell r="V41">
            <v>1852034.19</v>
          </cell>
        </row>
        <row r="41">
          <cell r="X41">
            <v>940943.06</v>
          </cell>
        </row>
        <row r="42">
          <cell r="A42" t="str">
            <v>研发费用-折旧费</v>
          </cell>
        </row>
        <row r="42">
          <cell r="V42">
            <v>39403.3</v>
          </cell>
        </row>
        <row r="42">
          <cell r="X42">
            <v>35913.63</v>
          </cell>
        </row>
        <row r="43">
          <cell r="A43" t="str">
            <v>研发费用-相关机构服务费</v>
          </cell>
        </row>
        <row r="43">
          <cell r="V43">
            <v>14700</v>
          </cell>
        </row>
        <row r="43">
          <cell r="X43">
            <v>5700</v>
          </cell>
        </row>
        <row r="44">
          <cell r="A44" t="str">
            <v>研发费用-交通差旅费</v>
          </cell>
        </row>
        <row r="44">
          <cell r="V44">
            <v>36881.9</v>
          </cell>
        </row>
        <row r="44">
          <cell r="X44">
            <v>0</v>
          </cell>
        </row>
        <row r="45">
          <cell r="A45" t="str">
            <v>研发费用-工具、器具、易耗品</v>
          </cell>
        </row>
        <row r="45">
          <cell r="V45">
            <v>4889.45</v>
          </cell>
        </row>
        <row r="45">
          <cell r="X45">
            <v>0</v>
          </cell>
        </row>
        <row r="46">
          <cell r="A46" t="str">
            <v>研发费用-其它研发相关费用</v>
          </cell>
        </row>
        <row r="46">
          <cell r="V46">
            <v>22200</v>
          </cell>
        </row>
        <row r="46">
          <cell r="X46">
            <v>0</v>
          </cell>
        </row>
        <row r="47">
          <cell r="A47" t="str">
            <v>研发费用-培训费</v>
          </cell>
        </row>
        <row r="47">
          <cell r="V47">
            <v>36000</v>
          </cell>
        </row>
        <row r="47">
          <cell r="X47">
            <v>0</v>
          </cell>
        </row>
        <row r="48">
          <cell r="A48" t="str">
            <v>研发费用-办公费</v>
          </cell>
        </row>
        <row r="48">
          <cell r="V48">
            <v>2625.9</v>
          </cell>
        </row>
        <row r="48">
          <cell r="X48">
            <v>683</v>
          </cell>
        </row>
        <row r="49">
          <cell r="A49" t="str">
            <v>研发费用-业务招待费</v>
          </cell>
        </row>
        <row r="49">
          <cell r="V49">
            <v>5906</v>
          </cell>
        </row>
        <row r="49">
          <cell r="X49">
            <v>0</v>
          </cell>
        </row>
        <row r="50">
          <cell r="A50" t="str">
            <v>研发费用-汽车费用</v>
          </cell>
        </row>
        <row r="50">
          <cell r="V50">
            <v>0</v>
          </cell>
        </row>
        <row r="50">
          <cell r="X50">
            <v>0</v>
          </cell>
        </row>
        <row r="51">
          <cell r="A51" t="str">
            <v>研发费用-福利费</v>
          </cell>
        </row>
        <row r="51">
          <cell r="V51">
            <v>0</v>
          </cell>
        </row>
        <row r="51">
          <cell r="X51">
            <v>0</v>
          </cell>
        </row>
        <row r="52">
          <cell r="A52" t="str">
            <v>研发费用-房租费</v>
          </cell>
        </row>
        <row r="52">
          <cell r="V52">
            <v>232389.02</v>
          </cell>
        </row>
        <row r="52">
          <cell r="X52">
            <v>204537.34</v>
          </cell>
        </row>
        <row r="53">
          <cell r="A53" t="str">
            <v>研发费用-样品（样灯等）</v>
          </cell>
        </row>
        <row r="53">
          <cell r="V53">
            <v>0</v>
          </cell>
        </row>
        <row r="53">
          <cell r="X53">
            <v>0</v>
          </cell>
        </row>
        <row r="54">
          <cell r="A54" t="str">
            <v>研发费用-水电费</v>
          </cell>
        </row>
        <row r="54">
          <cell r="V54">
            <v>22033.5</v>
          </cell>
        </row>
        <row r="54">
          <cell r="X54">
            <v>58332.48</v>
          </cell>
        </row>
        <row r="55">
          <cell r="A55" t="str">
            <v>研发费用-社会保险金</v>
          </cell>
        </row>
        <row r="55">
          <cell r="V55">
            <v>101019.66</v>
          </cell>
        </row>
        <row r="55">
          <cell r="X55">
            <v>73392.24</v>
          </cell>
        </row>
        <row r="56">
          <cell r="A56" t="str">
            <v>研发费用-住房公积金</v>
          </cell>
        </row>
        <row r="56">
          <cell r="V56">
            <v>9810</v>
          </cell>
        </row>
        <row r="56">
          <cell r="X56">
            <v>6585</v>
          </cell>
        </row>
        <row r="57">
          <cell r="A57" t="str">
            <v>研发费用-委托开发费</v>
          </cell>
        </row>
        <row r="57">
          <cell r="V57">
            <v>0</v>
          </cell>
        </row>
        <row r="57">
          <cell r="X57">
            <v>0</v>
          </cell>
        </row>
        <row r="58">
          <cell r="A58" t="str">
            <v>排污费</v>
          </cell>
        </row>
        <row r="58">
          <cell r="V58">
            <v>0</v>
          </cell>
        </row>
        <row r="58">
          <cell r="X58">
            <v>0</v>
          </cell>
        </row>
        <row r="59">
          <cell r="V59">
            <v>21491</v>
          </cell>
        </row>
        <row r="59">
          <cell r="X59">
            <v>219676</v>
          </cell>
        </row>
        <row r="60">
          <cell r="A60" t="str">
            <v>行管资产修理费</v>
          </cell>
        </row>
        <row r="60">
          <cell r="V60">
            <v>10691</v>
          </cell>
        </row>
        <row r="60">
          <cell r="X60">
            <v>1954</v>
          </cell>
        </row>
        <row r="61">
          <cell r="A61" t="str">
            <v>会议费</v>
          </cell>
        </row>
        <row r="61">
          <cell r="V61">
            <v>20049</v>
          </cell>
        </row>
        <row r="61">
          <cell r="X61">
            <v>4452.1</v>
          </cell>
        </row>
        <row r="62">
          <cell r="A62" t="str">
            <v>员工福利费</v>
          </cell>
        </row>
        <row r="62">
          <cell r="V62">
            <v>0</v>
          </cell>
        </row>
        <row r="62">
          <cell r="X62">
            <v>45718</v>
          </cell>
        </row>
        <row r="63">
          <cell r="A63" t="str">
            <v>保险费</v>
          </cell>
        </row>
        <row r="63">
          <cell r="V63">
            <v>7627.13</v>
          </cell>
        </row>
        <row r="63">
          <cell r="X63">
            <v>9091.17</v>
          </cell>
        </row>
        <row r="64">
          <cell r="A64" t="str">
            <v>股份支付</v>
          </cell>
        </row>
        <row r="64">
          <cell r="V64">
            <v>5756259.26</v>
          </cell>
        </row>
        <row r="64">
          <cell r="X64">
            <v>0</v>
          </cell>
        </row>
        <row r="65">
          <cell r="A65" t="str">
            <v>辞退补偿</v>
          </cell>
        </row>
        <row r="65">
          <cell r="V65">
            <v>0</v>
          </cell>
        </row>
        <row r="65">
          <cell r="X65">
            <v>0</v>
          </cell>
        </row>
        <row r="66">
          <cell r="A66" t="str">
            <v>车辆保险</v>
          </cell>
        </row>
        <row r="66">
          <cell r="V66">
            <v>0</v>
          </cell>
        </row>
        <row r="66">
          <cell r="X66">
            <v>0</v>
          </cell>
        </row>
        <row r="67">
          <cell r="A67" t="str">
            <v>残疾人保障金</v>
          </cell>
        </row>
        <row r="67">
          <cell r="V67">
            <v>9608.07</v>
          </cell>
        </row>
        <row r="67">
          <cell r="X67">
            <v>0</v>
          </cell>
        </row>
        <row r="68">
          <cell r="A68" t="str">
            <v>欠薪保证金</v>
          </cell>
        </row>
        <row r="68">
          <cell r="V68">
            <v>400</v>
          </cell>
        </row>
        <row r="68">
          <cell r="X68">
            <v>400</v>
          </cell>
        </row>
        <row r="69">
          <cell r="A69" t="str">
            <v>其他</v>
          </cell>
        </row>
        <row r="69">
          <cell r="V69">
            <v>94595.47</v>
          </cell>
        </row>
        <row r="69">
          <cell r="X69">
            <v>7398.23</v>
          </cell>
        </row>
        <row r="70">
          <cell r="A70" t="str">
            <v>印花税金</v>
          </cell>
        </row>
        <row r="70">
          <cell r="V70">
            <v>27779.09</v>
          </cell>
        </row>
        <row r="70">
          <cell r="X70">
            <v>343.65</v>
          </cell>
        </row>
        <row r="71">
          <cell r="A71" t="str">
            <v>社会保险金-养老</v>
          </cell>
        </row>
        <row r="71">
          <cell r="V71">
            <v>106464.59</v>
          </cell>
        </row>
        <row r="71">
          <cell r="X71">
            <v>0</v>
          </cell>
        </row>
        <row r="72">
          <cell r="A72" t="str">
            <v>社会保险金-医疗</v>
          </cell>
        </row>
        <row r="72">
          <cell r="V72">
            <v>29615.14</v>
          </cell>
        </row>
        <row r="72">
          <cell r="X72">
            <v>0</v>
          </cell>
        </row>
        <row r="73">
          <cell r="A73" t="str">
            <v>社会保险金-工伤</v>
          </cell>
        </row>
        <row r="73">
          <cell r="V73">
            <v>1397.98</v>
          </cell>
        </row>
        <row r="73">
          <cell r="X73">
            <v>0</v>
          </cell>
        </row>
        <row r="74">
          <cell r="A74" t="str">
            <v>社会保险金-失业</v>
          </cell>
        </row>
        <row r="74">
          <cell r="V74">
            <v>6833.07</v>
          </cell>
        </row>
        <row r="74">
          <cell r="X74">
            <v>0</v>
          </cell>
        </row>
        <row r="75">
          <cell r="A75" t="str">
            <v>社会保险金-生育</v>
          </cell>
        </row>
        <row r="75">
          <cell r="V75">
            <v>5741.94</v>
          </cell>
        </row>
        <row r="75">
          <cell r="X75">
            <v>0</v>
          </cell>
        </row>
        <row r="76">
          <cell r="A76" t="str">
            <v>住房公积金</v>
          </cell>
        </row>
        <row r="76">
          <cell r="V76">
            <v>29125</v>
          </cell>
        </row>
        <row r="76">
          <cell r="X76">
            <v>0</v>
          </cell>
        </row>
        <row r="77">
          <cell r="A77" t="str">
            <v>花木租赁费</v>
          </cell>
        </row>
        <row r="77">
          <cell r="V77">
            <v>11359.25</v>
          </cell>
        </row>
        <row r="77">
          <cell r="X77">
            <v>9000</v>
          </cell>
        </row>
        <row r="78">
          <cell r="V78">
            <v>9000</v>
          </cell>
        </row>
        <row r="78">
          <cell r="X78">
            <v>9000</v>
          </cell>
        </row>
      </sheetData>
      <sheetData sheetId="5">
        <row r="9">
          <cell r="A9" t="str">
            <v>开办费摊销</v>
          </cell>
        </row>
        <row r="9">
          <cell r="V9">
            <v>0</v>
          </cell>
        </row>
        <row r="10">
          <cell r="A10" t="str">
            <v>公司经费-行管人员工资</v>
          </cell>
        </row>
        <row r="10">
          <cell r="V10">
            <v>1945403.86</v>
          </cell>
        </row>
        <row r="11">
          <cell r="A11" t="str">
            <v>公司经费-物料消耗</v>
          </cell>
        </row>
        <row r="11">
          <cell r="V11">
            <v>17499.19</v>
          </cell>
        </row>
        <row r="12">
          <cell r="A12" t="str">
            <v>公司经费-低值易耗品摊销</v>
          </cell>
        </row>
        <row r="12">
          <cell r="V12">
            <v>53286.41</v>
          </cell>
        </row>
        <row r="13">
          <cell r="A13" t="str">
            <v>公司经费-办公费</v>
          </cell>
        </row>
        <row r="13">
          <cell r="V13">
            <v>248448.27</v>
          </cell>
        </row>
        <row r="14">
          <cell r="A14" t="str">
            <v>公司经费-交通差旅费</v>
          </cell>
        </row>
        <row r="14">
          <cell r="V14">
            <v>156299.73</v>
          </cell>
        </row>
        <row r="15">
          <cell r="A15" t="str">
            <v>公司经费-汽车费用</v>
          </cell>
        </row>
        <row r="15">
          <cell r="V15">
            <v>167496.3</v>
          </cell>
        </row>
        <row r="16">
          <cell r="A16" t="str">
            <v>公司经费-水电物管费等</v>
          </cell>
        </row>
        <row r="16">
          <cell r="V16">
            <v>23755.85</v>
          </cell>
        </row>
        <row r="17">
          <cell r="A17" t="str">
            <v>公司经费-通讯网络费</v>
          </cell>
        </row>
        <row r="17">
          <cell r="V17">
            <v>15377.15</v>
          </cell>
        </row>
        <row r="18">
          <cell r="A18" t="str">
            <v>公司经费-折旧费用</v>
          </cell>
        </row>
        <row r="18">
          <cell r="V18">
            <v>77241.21</v>
          </cell>
        </row>
        <row r="19">
          <cell r="A19" t="str">
            <v>公司经费-房屋租赁费</v>
          </cell>
        </row>
        <row r="19">
          <cell r="V19">
            <v>466704.81</v>
          </cell>
        </row>
        <row r="20">
          <cell r="A20" t="str">
            <v>公司经费-长期费用摊销</v>
          </cell>
        </row>
        <row r="20">
          <cell r="V20">
            <v>156815.86</v>
          </cell>
        </row>
        <row r="21">
          <cell r="A21" t="str">
            <v>公司经费-行管人员福利费</v>
          </cell>
        </row>
        <row r="21">
          <cell r="V21">
            <v>0</v>
          </cell>
        </row>
        <row r="22">
          <cell r="A22" t="str">
            <v>公司经费-邮运费</v>
          </cell>
        </row>
        <row r="22">
          <cell r="V22">
            <v>31841.95</v>
          </cell>
        </row>
        <row r="23">
          <cell r="A23" t="str">
            <v>公司经费-餐费补贴</v>
          </cell>
        </row>
        <row r="23">
          <cell r="V23">
            <v>0</v>
          </cell>
        </row>
        <row r="24">
          <cell r="A24" t="str">
            <v>公司经费-培训费</v>
          </cell>
        </row>
        <row r="24">
          <cell r="V24">
            <v>0</v>
          </cell>
        </row>
        <row r="25">
          <cell r="A25" t="str">
            <v>公司经费-社会团体行业协会会员费</v>
          </cell>
        </row>
        <row r="25">
          <cell r="V25">
            <v>0</v>
          </cell>
        </row>
        <row r="26">
          <cell r="A26" t="str">
            <v>工会经费</v>
          </cell>
        </row>
        <row r="26">
          <cell r="V26">
            <v>6363.82</v>
          </cell>
        </row>
        <row r="27">
          <cell r="A27" t="str">
            <v>社保公积金（五险一金）</v>
          </cell>
        </row>
        <row r="27">
          <cell r="V27">
            <v>0</v>
          </cell>
        </row>
        <row r="28">
          <cell r="A28" t="str">
            <v>董事会费-成员津贴</v>
          </cell>
        </row>
        <row r="28">
          <cell r="V28">
            <v>50000</v>
          </cell>
        </row>
        <row r="29">
          <cell r="A29" t="str">
            <v>董事会费-会议费</v>
          </cell>
        </row>
        <row r="29">
          <cell r="V29">
            <v>7980</v>
          </cell>
        </row>
        <row r="30">
          <cell r="A30" t="str">
            <v>董事会费-培训费</v>
          </cell>
        </row>
        <row r="30">
          <cell r="V30">
            <v>0</v>
          </cell>
        </row>
        <row r="31">
          <cell r="A31" t="str">
            <v>中介机构费</v>
          </cell>
        </row>
        <row r="31">
          <cell r="V31">
            <v>1135891.59</v>
          </cell>
        </row>
        <row r="32">
          <cell r="A32" t="str">
            <v>咨询及顾问费</v>
          </cell>
        </row>
        <row r="32">
          <cell r="V32">
            <v>53626.67</v>
          </cell>
        </row>
        <row r="33">
          <cell r="A33" t="str">
            <v>诉讼费</v>
          </cell>
        </row>
        <row r="33">
          <cell r="V33">
            <v>0</v>
          </cell>
        </row>
        <row r="34">
          <cell r="A34" t="str">
            <v>业务招待费</v>
          </cell>
        </row>
        <row r="34">
          <cell r="V34">
            <v>237552.15</v>
          </cell>
        </row>
        <row r="35">
          <cell r="A35" t="str">
            <v>税费（其它税费）</v>
          </cell>
        </row>
        <row r="35">
          <cell r="V35">
            <v>65131.39</v>
          </cell>
        </row>
        <row r="36">
          <cell r="A36" t="str">
            <v>技术转让费</v>
          </cell>
        </row>
        <row r="36">
          <cell r="V36">
            <v>0</v>
          </cell>
        </row>
        <row r="37">
          <cell r="A37" t="str">
            <v>资源补偿费</v>
          </cell>
        </row>
        <row r="37">
          <cell r="V37">
            <v>0</v>
          </cell>
        </row>
        <row r="38">
          <cell r="A38" t="str">
            <v>研发费用-原研发费用201511前</v>
          </cell>
        </row>
        <row r="38">
          <cell r="V38">
            <v>0</v>
          </cell>
        </row>
        <row r="39">
          <cell r="A39" t="str">
            <v>研发费用-工资</v>
          </cell>
        </row>
        <row r="39">
          <cell r="V39">
            <v>1307893.22</v>
          </cell>
        </row>
        <row r="40">
          <cell r="A40" t="str">
            <v>研发费用-认证检测费</v>
          </cell>
        </row>
        <row r="40">
          <cell r="V40">
            <v>144648.87</v>
          </cell>
        </row>
        <row r="41">
          <cell r="A41" t="str">
            <v>研发费用-材料费</v>
          </cell>
        </row>
        <row r="41">
          <cell r="V41">
            <v>2613652.69</v>
          </cell>
        </row>
        <row r="42">
          <cell r="A42" t="str">
            <v>研发费用-折旧费</v>
          </cell>
        </row>
        <row r="42">
          <cell r="V42">
            <v>40782.99</v>
          </cell>
        </row>
        <row r="43">
          <cell r="A43" t="str">
            <v>研发费用-相关机构服务费</v>
          </cell>
        </row>
        <row r="43">
          <cell r="V43">
            <v>56571.33</v>
          </cell>
        </row>
        <row r="44">
          <cell r="A44" t="str">
            <v>研发费用-交通差旅费</v>
          </cell>
        </row>
        <row r="44">
          <cell r="V44">
            <v>35390</v>
          </cell>
        </row>
        <row r="45">
          <cell r="A45" t="str">
            <v>研发费用-工具、器具、易耗品</v>
          </cell>
        </row>
        <row r="45">
          <cell r="V45">
            <v>3814.41</v>
          </cell>
        </row>
        <row r="46">
          <cell r="A46" t="str">
            <v>研发费用-其它研发相关费用</v>
          </cell>
        </row>
        <row r="46">
          <cell r="V46">
            <v>271598.73</v>
          </cell>
        </row>
        <row r="47">
          <cell r="A47" t="str">
            <v>研发费用-培训费</v>
          </cell>
        </row>
        <row r="47">
          <cell r="V47">
            <v>0</v>
          </cell>
        </row>
        <row r="48">
          <cell r="A48" t="str">
            <v>研发费用-办公费</v>
          </cell>
        </row>
        <row r="48">
          <cell r="V48">
            <v>23881</v>
          </cell>
        </row>
        <row r="49">
          <cell r="A49" t="str">
            <v>研发费用-业务招待费</v>
          </cell>
        </row>
        <row r="49">
          <cell r="V49">
            <v>20417.8</v>
          </cell>
        </row>
        <row r="50">
          <cell r="A50" t="str">
            <v>研发费用-汽车费用</v>
          </cell>
        </row>
        <row r="50">
          <cell r="V50">
            <v>7472</v>
          </cell>
        </row>
        <row r="51">
          <cell r="A51" t="str">
            <v>研发费用-福利费</v>
          </cell>
        </row>
        <row r="51">
          <cell r="V51">
            <v>2850</v>
          </cell>
        </row>
        <row r="52">
          <cell r="A52" t="str">
            <v>研发费用-房租费</v>
          </cell>
        </row>
        <row r="52">
          <cell r="V52">
            <v>974163.3</v>
          </cell>
        </row>
        <row r="53">
          <cell r="A53" t="str">
            <v>研发费用-样品（样灯等）</v>
          </cell>
        </row>
        <row r="53">
          <cell r="V53">
            <v>0</v>
          </cell>
        </row>
        <row r="54">
          <cell r="A54" t="str">
            <v>研发费用-水电费</v>
          </cell>
        </row>
        <row r="54">
          <cell r="V54">
            <v>18886.33</v>
          </cell>
        </row>
        <row r="55">
          <cell r="A55" t="str">
            <v>研发费用-社会保险金</v>
          </cell>
        </row>
        <row r="55">
          <cell r="V55">
            <v>110915.4</v>
          </cell>
        </row>
        <row r="56">
          <cell r="A56" t="str">
            <v>研发费用-住房公积金</v>
          </cell>
        </row>
        <row r="56">
          <cell r="V56">
            <v>9492</v>
          </cell>
        </row>
        <row r="57">
          <cell r="A57" t="str">
            <v>研发费用-委托开发费</v>
          </cell>
        </row>
        <row r="57">
          <cell r="V57">
            <v>0</v>
          </cell>
        </row>
        <row r="58">
          <cell r="A58" t="str">
            <v>排污费</v>
          </cell>
        </row>
        <row r="58">
          <cell r="V58">
            <v>0</v>
          </cell>
        </row>
        <row r="59">
          <cell r="A59" t="str">
            <v>研发费用-试验段</v>
          </cell>
        </row>
        <row r="59">
          <cell r="U59">
            <v>1101705.74</v>
          </cell>
          <cell r="V59">
            <v>825887.38</v>
          </cell>
        </row>
        <row r="60">
          <cell r="A60" t="str">
            <v>行管资产修理费</v>
          </cell>
        </row>
        <row r="60">
          <cell r="V60">
            <v>2570</v>
          </cell>
        </row>
        <row r="61">
          <cell r="A61" t="str">
            <v>会议费</v>
          </cell>
        </row>
        <row r="61">
          <cell r="V61">
            <v>87676.36</v>
          </cell>
        </row>
        <row r="62">
          <cell r="A62" t="str">
            <v>员工福利费</v>
          </cell>
        </row>
        <row r="62">
          <cell r="V62">
            <v>86133.2</v>
          </cell>
        </row>
        <row r="63">
          <cell r="A63" t="str">
            <v>保险费</v>
          </cell>
        </row>
        <row r="63">
          <cell r="V63">
            <v>4339.31</v>
          </cell>
        </row>
        <row r="64">
          <cell r="A64" t="str">
            <v>股份支付</v>
          </cell>
        </row>
        <row r="64">
          <cell r="V64">
            <v>0</v>
          </cell>
        </row>
        <row r="65">
          <cell r="A65" t="str">
            <v>辞退补偿</v>
          </cell>
        </row>
        <row r="65">
          <cell r="V65">
            <v>6000</v>
          </cell>
        </row>
        <row r="66">
          <cell r="A66" t="str">
            <v>车辆保险</v>
          </cell>
        </row>
        <row r="66">
          <cell r="V66">
            <v>47438.58</v>
          </cell>
        </row>
        <row r="67">
          <cell r="A67" t="str">
            <v>残疾人保障金</v>
          </cell>
        </row>
        <row r="67">
          <cell r="V67">
            <v>12296.88</v>
          </cell>
        </row>
        <row r="68">
          <cell r="A68" t="str">
            <v>欠薪保证金</v>
          </cell>
        </row>
        <row r="68">
          <cell r="V68">
            <v>400</v>
          </cell>
        </row>
        <row r="69">
          <cell r="A69" t="str">
            <v>其他</v>
          </cell>
        </row>
        <row r="69">
          <cell r="V69">
            <v>618</v>
          </cell>
        </row>
        <row r="70">
          <cell r="A70" t="str">
            <v>印花税金</v>
          </cell>
        </row>
        <row r="70">
          <cell r="V70">
            <v>6719.42000000001</v>
          </cell>
        </row>
        <row r="71">
          <cell r="A71" t="str">
            <v>社会保险金-养老</v>
          </cell>
        </row>
        <row r="71">
          <cell r="V71">
            <v>182305.63</v>
          </cell>
        </row>
        <row r="72">
          <cell r="A72" t="str">
            <v>社会保险金-医疗</v>
          </cell>
        </row>
        <row r="72">
          <cell r="V72">
            <v>40399.12</v>
          </cell>
        </row>
        <row r="73">
          <cell r="A73" t="str">
            <v>社会保险金-工伤</v>
          </cell>
        </row>
        <row r="73">
          <cell r="V73">
            <v>5177.76</v>
          </cell>
        </row>
        <row r="74">
          <cell r="A74" t="str">
            <v>社会保险金-失业</v>
          </cell>
        </row>
        <row r="74">
          <cell r="V74">
            <v>4106.85</v>
          </cell>
        </row>
        <row r="75">
          <cell r="A75" t="str">
            <v>社会保险金-生育</v>
          </cell>
        </row>
        <row r="75">
          <cell r="V75">
            <v>5539.6</v>
          </cell>
        </row>
        <row r="76">
          <cell r="A76" t="str">
            <v>住房公积金</v>
          </cell>
        </row>
        <row r="76">
          <cell r="V76">
            <v>34921</v>
          </cell>
        </row>
        <row r="77">
          <cell r="A77" t="str">
            <v>无形资产摊销</v>
          </cell>
        </row>
        <row r="77">
          <cell r="V77">
            <v>-11359.25</v>
          </cell>
        </row>
        <row r="78">
          <cell r="A78" t="str">
            <v>花木租赁费</v>
          </cell>
        </row>
        <row r="78">
          <cell r="V78">
            <v>10020</v>
          </cell>
        </row>
      </sheetData>
      <sheetData sheetId="6">
        <row r="9">
          <cell r="V9">
            <v>0</v>
          </cell>
        </row>
        <row r="10">
          <cell r="V10">
            <v>2915753.24</v>
          </cell>
        </row>
        <row r="11">
          <cell r="V11">
            <v>2815</v>
          </cell>
        </row>
        <row r="12">
          <cell r="V12">
            <v>14015.76</v>
          </cell>
        </row>
        <row r="13">
          <cell r="V13">
            <v>424760.55</v>
          </cell>
        </row>
        <row r="14">
          <cell r="V14">
            <v>327272.85</v>
          </cell>
        </row>
        <row r="15">
          <cell r="V15">
            <v>207611.35</v>
          </cell>
        </row>
        <row r="16">
          <cell r="V16">
            <v>22299.7</v>
          </cell>
        </row>
        <row r="17">
          <cell r="V17">
            <v>26765.5</v>
          </cell>
        </row>
        <row r="18">
          <cell r="V18">
            <v>53535.79</v>
          </cell>
        </row>
        <row r="19">
          <cell r="V19">
            <v>404176.81</v>
          </cell>
        </row>
        <row r="20">
          <cell r="V20">
            <v>45999.96</v>
          </cell>
        </row>
        <row r="21">
          <cell r="V21">
            <v>0</v>
          </cell>
        </row>
        <row r="22">
          <cell r="V22">
            <v>35026.34</v>
          </cell>
        </row>
        <row r="23">
          <cell r="V23">
            <v>0</v>
          </cell>
        </row>
        <row r="24">
          <cell r="V24">
            <v>41788.35</v>
          </cell>
        </row>
        <row r="25">
          <cell r="V25">
            <v>30000</v>
          </cell>
        </row>
        <row r="26">
          <cell r="V26">
            <v>0</v>
          </cell>
        </row>
        <row r="27">
          <cell r="V27">
            <v>0</v>
          </cell>
        </row>
        <row r="28">
          <cell r="V28">
            <v>205000</v>
          </cell>
        </row>
        <row r="29">
          <cell r="V29">
            <v>0</v>
          </cell>
        </row>
        <row r="30">
          <cell r="V30">
            <v>5094.34</v>
          </cell>
        </row>
        <row r="31">
          <cell r="V31">
            <v>1656223.88</v>
          </cell>
        </row>
        <row r="32">
          <cell r="V32">
            <v>427184.47</v>
          </cell>
        </row>
        <row r="33">
          <cell r="V33">
            <v>0</v>
          </cell>
        </row>
        <row r="34">
          <cell r="V34">
            <v>550867.98</v>
          </cell>
        </row>
        <row r="35">
          <cell r="V35">
            <v>0</v>
          </cell>
        </row>
        <row r="36">
          <cell r="V36">
            <v>0</v>
          </cell>
        </row>
        <row r="37">
          <cell r="V37">
            <v>0</v>
          </cell>
        </row>
        <row r="38">
          <cell r="V38">
            <v>0</v>
          </cell>
        </row>
        <row r="39">
          <cell r="V39">
            <v>2028140.52</v>
          </cell>
        </row>
        <row r="40">
          <cell r="V40">
            <v>224517.14</v>
          </cell>
        </row>
        <row r="41">
          <cell r="V41">
            <v>2701523.75</v>
          </cell>
        </row>
        <row r="42">
          <cell r="V42">
            <v>37007.49</v>
          </cell>
        </row>
        <row r="43">
          <cell r="V43">
            <v>867924.58</v>
          </cell>
        </row>
        <row r="44">
          <cell r="V44">
            <v>35373.63</v>
          </cell>
        </row>
        <row r="45">
          <cell r="V45">
            <v>0</v>
          </cell>
        </row>
        <row r="46">
          <cell r="V46">
            <v>1009936.12</v>
          </cell>
        </row>
        <row r="47">
          <cell r="V47">
            <v>194174.76</v>
          </cell>
        </row>
        <row r="48">
          <cell r="V48">
            <v>62026.75</v>
          </cell>
        </row>
        <row r="49">
          <cell r="V49">
            <v>14866.4</v>
          </cell>
        </row>
        <row r="50">
          <cell r="V50">
            <v>744</v>
          </cell>
        </row>
        <row r="51">
          <cell r="V51">
            <v>17010</v>
          </cell>
        </row>
        <row r="52">
          <cell r="V52">
            <v>528395.47</v>
          </cell>
        </row>
        <row r="53">
          <cell r="V53">
            <v>0</v>
          </cell>
        </row>
        <row r="54">
          <cell r="V54">
            <v>18607.71</v>
          </cell>
        </row>
        <row r="55">
          <cell r="V55">
            <v>205155.59</v>
          </cell>
        </row>
        <row r="56">
          <cell r="V56">
            <v>23928</v>
          </cell>
        </row>
        <row r="57">
          <cell r="V57">
            <v>933962.12</v>
          </cell>
        </row>
        <row r="58">
          <cell r="V58">
            <v>0</v>
          </cell>
        </row>
        <row r="59">
          <cell r="V59">
            <v>0</v>
          </cell>
        </row>
        <row r="60">
          <cell r="V60">
            <v>0</v>
          </cell>
        </row>
        <row r="61">
          <cell r="V61">
            <v>162362.18</v>
          </cell>
        </row>
        <row r="62">
          <cell r="V62">
            <v>99824.81</v>
          </cell>
        </row>
        <row r="63">
          <cell r="V63">
            <v>0</v>
          </cell>
        </row>
        <row r="64">
          <cell r="V64">
            <v>0</v>
          </cell>
        </row>
        <row r="65">
          <cell r="V65">
            <v>13500</v>
          </cell>
        </row>
        <row r="66">
          <cell r="V66">
            <v>62059.63</v>
          </cell>
        </row>
        <row r="67">
          <cell r="V67">
            <v>19050.92</v>
          </cell>
        </row>
        <row r="68">
          <cell r="V68">
            <v>400</v>
          </cell>
        </row>
        <row r="69">
          <cell r="V69">
            <v>650</v>
          </cell>
        </row>
        <row r="70">
          <cell r="V70">
            <v>0</v>
          </cell>
        </row>
        <row r="71">
          <cell r="V71">
            <v>237558.35</v>
          </cell>
        </row>
        <row r="72">
          <cell r="V72">
            <v>49855.67</v>
          </cell>
        </row>
        <row r="73">
          <cell r="V73">
            <v>10029.54</v>
          </cell>
        </row>
        <row r="74">
          <cell r="V74">
            <v>5620.67</v>
          </cell>
        </row>
        <row r="75">
          <cell r="V75">
            <v>7959.95</v>
          </cell>
        </row>
        <row r="76">
          <cell r="V76">
            <v>41624</v>
          </cell>
        </row>
        <row r="77">
          <cell r="V77">
            <v>8010</v>
          </cell>
        </row>
        <row r="78">
          <cell r="V78">
            <v>8010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底稿目录"/>
      <sheetName val="15审定表"/>
      <sheetName val="16审定表"/>
      <sheetName val="17审定表"/>
      <sheetName val="15明细表 "/>
      <sheetName val="16明细表"/>
      <sheetName val="17明细表"/>
      <sheetName val="Sheet6"/>
      <sheetName val="15年度分析表"/>
      <sheetName val="15年度分析表（明细）"/>
      <sheetName val="披露表"/>
      <sheetName val="16年度分析表"/>
      <sheetName val="16年度分析表（明细）"/>
      <sheetName val="17年度分析表"/>
      <sheetName val="17年度分析表（明细）"/>
      <sheetName val="15月度分析表"/>
      <sheetName val="16月度分析表"/>
      <sheetName val="17月度分析表"/>
      <sheetName val="15检查表"/>
      <sheetName val="16检查表"/>
      <sheetName val="17检查表"/>
      <sheetName val="15截止表"/>
      <sheetName val="运输费函证控制表"/>
      <sheetName val="16截止表"/>
      <sheetName val="17截止表"/>
      <sheetName val="同行业费用对比"/>
      <sheetName val="奖金计算表"/>
      <sheetName val="17年奖金"/>
      <sheetName val="Sheet1"/>
      <sheetName val="披露表(上市)"/>
    </sheetNames>
    <sheetDataSet>
      <sheetData sheetId="0"/>
      <sheetData sheetId="1"/>
      <sheetData sheetId="2"/>
      <sheetData sheetId="3"/>
      <sheetData sheetId="4">
        <row r="9">
          <cell r="B9" t="str">
            <v>保险费</v>
          </cell>
        </row>
        <row r="9">
          <cell r="X9">
            <v>55939.06</v>
          </cell>
        </row>
        <row r="9">
          <cell r="Z9">
            <v>64052.31</v>
          </cell>
        </row>
        <row r="10">
          <cell r="B10" t="str">
            <v>交通差旅费</v>
          </cell>
        </row>
        <row r="10">
          <cell r="X10">
            <v>102135.9</v>
          </cell>
        </row>
        <row r="10">
          <cell r="Z10">
            <v>53843.2</v>
          </cell>
        </row>
        <row r="11">
          <cell r="B11" t="str">
            <v>展览和广告费</v>
          </cell>
        </row>
        <row r="11">
          <cell r="X11">
            <v>390040</v>
          </cell>
        </row>
        <row r="11">
          <cell r="Z11">
            <v>1270105</v>
          </cell>
        </row>
        <row r="12">
          <cell r="B12" t="str">
            <v>商品维修费</v>
          </cell>
        </row>
        <row r="12">
          <cell r="X12">
            <v>69592.25</v>
          </cell>
        </row>
        <row r="12">
          <cell r="Z12">
            <v>0</v>
          </cell>
        </row>
        <row r="13">
          <cell r="B13" t="str">
            <v>预计质保损失</v>
          </cell>
        </row>
        <row r="13">
          <cell r="X13">
            <v>0</v>
          </cell>
        </row>
        <row r="13">
          <cell r="Z13">
            <v>0</v>
          </cell>
        </row>
        <row r="14">
          <cell r="B14" t="str">
            <v>运杂装卸费等</v>
          </cell>
        </row>
        <row r="14">
          <cell r="X14">
            <v>405</v>
          </cell>
        </row>
        <row r="14">
          <cell r="Z14">
            <v>437</v>
          </cell>
        </row>
        <row r="15">
          <cell r="B15" t="str">
            <v>营销机构职工薪酬</v>
          </cell>
        </row>
        <row r="15">
          <cell r="X15">
            <v>349775.68</v>
          </cell>
        </row>
        <row r="15">
          <cell r="Z15">
            <v>2285032.56</v>
          </cell>
        </row>
        <row r="16">
          <cell r="B16" t="str">
            <v>业务招待费</v>
          </cell>
        </row>
        <row r="16">
          <cell r="X16">
            <v>104511</v>
          </cell>
        </row>
        <row r="16">
          <cell r="Z16">
            <v>347460.5</v>
          </cell>
        </row>
        <row r="17">
          <cell r="B17" t="str">
            <v>折旧费</v>
          </cell>
        </row>
        <row r="17">
          <cell r="X17">
            <v>358220.93</v>
          </cell>
        </row>
        <row r="17">
          <cell r="Z17">
            <v>334211.42</v>
          </cell>
        </row>
        <row r="18">
          <cell r="B18" t="str">
            <v>营销机构资产修理费</v>
          </cell>
        </row>
        <row r="18">
          <cell r="X18">
            <v>3885</v>
          </cell>
        </row>
        <row r="18">
          <cell r="Z18">
            <v>4355</v>
          </cell>
        </row>
        <row r="19">
          <cell r="B19" t="str">
            <v>项目设计费</v>
          </cell>
        </row>
        <row r="19">
          <cell r="X19">
            <v>0</v>
          </cell>
        </row>
        <row r="19">
          <cell r="Z19">
            <v>0</v>
          </cell>
        </row>
        <row r="20">
          <cell r="B20" t="str">
            <v>中介机构费</v>
          </cell>
        </row>
        <row r="20">
          <cell r="X20">
            <v>17921</v>
          </cell>
        </row>
        <row r="20">
          <cell r="Z20">
            <v>52044</v>
          </cell>
        </row>
        <row r="21">
          <cell r="B21" t="str">
            <v>低耗品摊销</v>
          </cell>
        </row>
        <row r="21">
          <cell r="X21">
            <v>10075.95</v>
          </cell>
        </row>
        <row r="21">
          <cell r="Z21">
            <v>17128</v>
          </cell>
        </row>
        <row r="22">
          <cell r="B22" t="str">
            <v>房租水电费</v>
          </cell>
        </row>
        <row r="22">
          <cell r="X22">
            <v>253304.54</v>
          </cell>
        </row>
        <row r="22">
          <cell r="Z22">
            <v>262869.8</v>
          </cell>
        </row>
        <row r="23">
          <cell r="B23" t="str">
            <v>办公费</v>
          </cell>
        </row>
        <row r="23">
          <cell r="X23">
            <v>23051</v>
          </cell>
        </row>
        <row r="23">
          <cell r="Z23">
            <v>10356.8</v>
          </cell>
        </row>
        <row r="24">
          <cell r="B24" t="str">
            <v>邮运费</v>
          </cell>
        </row>
        <row r="24">
          <cell r="X24">
            <v>0</v>
          </cell>
        </row>
        <row r="24">
          <cell r="Z24">
            <v>0</v>
          </cell>
        </row>
        <row r="25">
          <cell r="B25" t="str">
            <v>员工福利费</v>
          </cell>
        </row>
        <row r="25">
          <cell r="X25">
            <v>23000</v>
          </cell>
        </row>
        <row r="25">
          <cell r="Z25">
            <v>0</v>
          </cell>
        </row>
        <row r="26">
          <cell r="B26" t="str">
            <v>通讯费</v>
          </cell>
        </row>
        <row r="26">
          <cell r="X26">
            <v>200</v>
          </cell>
        </row>
        <row r="26">
          <cell r="Z26">
            <v>0</v>
          </cell>
        </row>
        <row r="27">
          <cell r="B27" t="str">
            <v>社保公积金（五险一金）</v>
          </cell>
        </row>
        <row r="27">
          <cell r="X27">
            <v>45250.89</v>
          </cell>
        </row>
        <row r="27">
          <cell r="Z27">
            <v>0</v>
          </cell>
        </row>
        <row r="28">
          <cell r="B28" t="str">
            <v>汽车费用</v>
          </cell>
        </row>
        <row r="28">
          <cell r="X28">
            <v>0</v>
          </cell>
        </row>
        <row r="28">
          <cell r="Z28">
            <v>2061</v>
          </cell>
        </row>
        <row r="29">
          <cell r="B29" t="str">
            <v>宣传制作费</v>
          </cell>
        </row>
        <row r="29">
          <cell r="X29">
            <v>0</v>
          </cell>
        </row>
        <row r="29">
          <cell r="Z29">
            <v>0</v>
          </cell>
        </row>
        <row r="30">
          <cell r="B30" t="str">
            <v>其他</v>
          </cell>
        </row>
        <row r="30">
          <cell r="X30">
            <v>4753</v>
          </cell>
        </row>
        <row r="30">
          <cell r="Z30">
            <v>141500</v>
          </cell>
        </row>
        <row r="31">
          <cell r="B31" t="str">
            <v>投标费用</v>
          </cell>
        </row>
        <row r="31">
          <cell r="X31">
            <v>0</v>
          </cell>
        </row>
        <row r="31">
          <cell r="Z31">
            <v>0</v>
          </cell>
        </row>
        <row r="32">
          <cell r="B32" t="str">
            <v>培训费</v>
          </cell>
        </row>
        <row r="32">
          <cell r="X32">
            <v>0</v>
          </cell>
        </row>
        <row r="32">
          <cell r="Z32">
            <v>0</v>
          </cell>
        </row>
        <row r="33">
          <cell r="B33" t="str">
            <v>项目维护费</v>
          </cell>
        </row>
        <row r="33">
          <cell r="X33">
            <v>77350</v>
          </cell>
        </row>
        <row r="33">
          <cell r="Z33">
            <v>0</v>
          </cell>
        </row>
        <row r="34">
          <cell r="B34" t="str">
            <v>湖南办-交通差旅费</v>
          </cell>
        </row>
        <row r="34">
          <cell r="X34">
            <v>56892.4</v>
          </cell>
        </row>
        <row r="34">
          <cell r="Z34">
            <v>74565</v>
          </cell>
        </row>
        <row r="35">
          <cell r="B35" t="str">
            <v>湖南办-办公及物料</v>
          </cell>
        </row>
        <row r="35">
          <cell r="X35">
            <v>6153</v>
          </cell>
        </row>
        <row r="35">
          <cell r="Z35">
            <v>21195</v>
          </cell>
        </row>
        <row r="36">
          <cell r="B36" t="str">
            <v>湖南办-工程项目费</v>
          </cell>
        </row>
        <row r="36">
          <cell r="X36">
            <v>0</v>
          </cell>
        </row>
        <row r="36">
          <cell r="Z36">
            <v>0</v>
          </cell>
        </row>
        <row r="37">
          <cell r="B37" t="str">
            <v>湖南办-房租物管费</v>
          </cell>
        </row>
        <row r="37">
          <cell r="X37">
            <v>0</v>
          </cell>
        </row>
        <row r="37">
          <cell r="Z37">
            <v>7200</v>
          </cell>
        </row>
        <row r="38">
          <cell r="B38" t="str">
            <v>湖南办-工资及福利</v>
          </cell>
        </row>
        <row r="38">
          <cell r="X38">
            <v>272035.08</v>
          </cell>
        </row>
        <row r="38">
          <cell r="Z38">
            <v>360031</v>
          </cell>
        </row>
        <row r="39">
          <cell r="B39" t="str">
            <v>湖南办-招标费用</v>
          </cell>
        </row>
        <row r="39">
          <cell r="X39">
            <v>0</v>
          </cell>
        </row>
        <row r="39">
          <cell r="Z39">
            <v>0</v>
          </cell>
        </row>
        <row r="40">
          <cell r="B40" t="str">
            <v>湖南办-保险费</v>
          </cell>
        </row>
        <row r="40">
          <cell r="X40">
            <v>0</v>
          </cell>
        </row>
        <row r="40">
          <cell r="Z40">
            <v>4030.38</v>
          </cell>
        </row>
        <row r="41">
          <cell r="B41" t="str">
            <v>湖南办-业务招待费</v>
          </cell>
        </row>
        <row r="41">
          <cell r="X41">
            <v>115625</v>
          </cell>
        </row>
        <row r="41">
          <cell r="Z41">
            <v>43753</v>
          </cell>
        </row>
        <row r="42">
          <cell r="B42" t="str">
            <v>湖北区域-交通差旅费</v>
          </cell>
        </row>
        <row r="42">
          <cell r="X42">
            <v>0</v>
          </cell>
        </row>
        <row r="42">
          <cell r="Z42">
            <v>0</v>
          </cell>
        </row>
        <row r="43">
          <cell r="B43" t="str">
            <v>湖北区域-办公及物料</v>
          </cell>
        </row>
        <row r="43">
          <cell r="X43">
            <v>0</v>
          </cell>
        </row>
        <row r="43">
          <cell r="Z43">
            <v>0</v>
          </cell>
        </row>
        <row r="44">
          <cell r="B44" t="str">
            <v>湖北区域-工程项目费</v>
          </cell>
        </row>
        <row r="44">
          <cell r="X44">
            <v>0</v>
          </cell>
        </row>
        <row r="44">
          <cell r="Z44">
            <v>0</v>
          </cell>
        </row>
        <row r="45">
          <cell r="B45" t="str">
            <v>湖北区域-房租物管费</v>
          </cell>
        </row>
        <row r="45">
          <cell r="X45">
            <v>0</v>
          </cell>
        </row>
        <row r="45">
          <cell r="Z45">
            <v>0</v>
          </cell>
        </row>
        <row r="46">
          <cell r="B46" t="str">
            <v>湖北区域-工资及福利</v>
          </cell>
        </row>
        <row r="46">
          <cell r="X46">
            <v>0</v>
          </cell>
        </row>
        <row r="46">
          <cell r="Z46">
            <v>0</v>
          </cell>
        </row>
        <row r="47">
          <cell r="B47" t="str">
            <v>湖北区域-业务招待费</v>
          </cell>
        </row>
        <row r="47">
          <cell r="X47">
            <v>0</v>
          </cell>
        </row>
        <row r="47">
          <cell r="Z47">
            <v>0</v>
          </cell>
        </row>
        <row r="48">
          <cell r="B48" t="str">
            <v>山东区域-交通差旅费</v>
          </cell>
        </row>
        <row r="48">
          <cell r="X48">
            <v>0</v>
          </cell>
        </row>
        <row r="48">
          <cell r="Z48">
            <v>0</v>
          </cell>
        </row>
        <row r="49">
          <cell r="B49" t="str">
            <v>山东区域-办公及物料</v>
          </cell>
        </row>
        <row r="49">
          <cell r="X49">
            <v>0</v>
          </cell>
        </row>
        <row r="49">
          <cell r="Z49">
            <v>0</v>
          </cell>
        </row>
        <row r="50">
          <cell r="B50" t="str">
            <v>山东区域-工程项目费</v>
          </cell>
        </row>
        <row r="50">
          <cell r="X50">
            <v>0</v>
          </cell>
        </row>
        <row r="50">
          <cell r="Z50">
            <v>0</v>
          </cell>
        </row>
        <row r="51">
          <cell r="B51" t="str">
            <v>山东区域-房租物管费</v>
          </cell>
        </row>
        <row r="51">
          <cell r="X51">
            <v>0</v>
          </cell>
        </row>
        <row r="51">
          <cell r="Z51">
            <v>0</v>
          </cell>
        </row>
        <row r="52">
          <cell r="B52" t="str">
            <v>山东区域-工资及福利</v>
          </cell>
        </row>
        <row r="52">
          <cell r="X52">
            <v>0</v>
          </cell>
        </row>
        <row r="52">
          <cell r="Z52">
            <v>0</v>
          </cell>
        </row>
        <row r="53">
          <cell r="B53" t="str">
            <v>山东区域-业务招待费</v>
          </cell>
        </row>
        <row r="53">
          <cell r="X53">
            <v>0</v>
          </cell>
        </row>
        <row r="53">
          <cell r="Z53">
            <v>0</v>
          </cell>
        </row>
        <row r="54">
          <cell r="B54" t="str">
            <v>东北区域-交通差旅费</v>
          </cell>
        </row>
        <row r="54">
          <cell r="X54">
            <v>0</v>
          </cell>
        </row>
        <row r="54">
          <cell r="Z54">
            <v>0</v>
          </cell>
        </row>
        <row r="55">
          <cell r="B55" t="str">
            <v>东北区域-办公及物料</v>
          </cell>
        </row>
        <row r="55">
          <cell r="X55">
            <v>0</v>
          </cell>
        </row>
        <row r="55">
          <cell r="Z55">
            <v>0</v>
          </cell>
        </row>
        <row r="56">
          <cell r="B56" t="str">
            <v>东北区域-工程项目费</v>
          </cell>
        </row>
        <row r="56">
          <cell r="X56">
            <v>0</v>
          </cell>
        </row>
        <row r="56">
          <cell r="Z56">
            <v>0</v>
          </cell>
        </row>
        <row r="57">
          <cell r="B57" t="str">
            <v>东北区域-房租物管费</v>
          </cell>
        </row>
        <row r="57">
          <cell r="X57">
            <v>0</v>
          </cell>
        </row>
        <row r="57">
          <cell r="Z57">
            <v>0</v>
          </cell>
        </row>
        <row r="58">
          <cell r="B58" t="str">
            <v>东北区域-工资及福利</v>
          </cell>
        </row>
        <row r="58">
          <cell r="X58">
            <v>0</v>
          </cell>
        </row>
        <row r="58">
          <cell r="Z58">
            <v>0</v>
          </cell>
        </row>
        <row r="59">
          <cell r="B59" t="str">
            <v>东北区域-业务招待费</v>
          </cell>
        </row>
        <row r="59">
          <cell r="X59">
            <v>0</v>
          </cell>
        </row>
        <row r="59">
          <cell r="Z59">
            <v>0</v>
          </cell>
        </row>
        <row r="60">
          <cell r="B60" t="str">
            <v>照明事业三部（吕诚团队）-交通差旅费</v>
          </cell>
        </row>
        <row r="60">
          <cell r="X60">
            <v>234530.59</v>
          </cell>
        </row>
        <row r="60">
          <cell r="Z60">
            <v>139789.5</v>
          </cell>
        </row>
        <row r="61">
          <cell r="B61" t="str">
            <v>照明事业三部（吕诚团队）-办公及物料</v>
          </cell>
        </row>
        <row r="61">
          <cell r="X61">
            <v>12433</v>
          </cell>
        </row>
        <row r="61">
          <cell r="Z61">
            <v>13135</v>
          </cell>
        </row>
        <row r="62">
          <cell r="B62" t="str">
            <v>照明事业三部（吕诚团队）-工程项目费</v>
          </cell>
        </row>
        <row r="62">
          <cell r="X62">
            <v>0</v>
          </cell>
        </row>
        <row r="62">
          <cell r="Z62">
            <v>0</v>
          </cell>
        </row>
        <row r="63">
          <cell r="B63" t="str">
            <v>照明事业三部（吕诚团队）-房租物管水电费</v>
          </cell>
        </row>
        <row r="63">
          <cell r="X63">
            <v>60239.94</v>
          </cell>
        </row>
        <row r="63">
          <cell r="Z63">
            <v>33904</v>
          </cell>
        </row>
        <row r="64">
          <cell r="B64" t="str">
            <v>照明事业三部（吕诚团队）-工资及福利</v>
          </cell>
        </row>
        <row r="64">
          <cell r="X64">
            <v>1668987.31</v>
          </cell>
        </row>
        <row r="64">
          <cell r="Z64">
            <v>462809</v>
          </cell>
        </row>
        <row r="65">
          <cell r="B65" t="str">
            <v>照明事业三部（吕诚团队）-投标费用</v>
          </cell>
        </row>
        <row r="65">
          <cell r="X65">
            <v>2335</v>
          </cell>
        </row>
        <row r="65">
          <cell r="Z65">
            <v>3141</v>
          </cell>
        </row>
        <row r="66">
          <cell r="B66" t="str">
            <v>照明事业三部（吕诚团队）-咨询服务费</v>
          </cell>
        </row>
        <row r="66">
          <cell r="X66">
            <v>0</v>
          </cell>
        </row>
        <row r="66">
          <cell r="Z66">
            <v>99992</v>
          </cell>
        </row>
        <row r="67">
          <cell r="B67" t="str">
            <v>照明事业三部（吕诚团队）-业务招待费</v>
          </cell>
        </row>
        <row r="67">
          <cell r="X67">
            <v>460937.35</v>
          </cell>
        </row>
        <row r="67">
          <cell r="Z67">
            <v>188039.36</v>
          </cell>
        </row>
        <row r="68">
          <cell r="B68" t="str">
            <v>照明事业三部（吕诚团队）-汽车费用</v>
          </cell>
        </row>
        <row r="68">
          <cell r="X68">
            <v>8625.65</v>
          </cell>
        </row>
        <row r="68">
          <cell r="Z68">
            <v>0</v>
          </cell>
        </row>
        <row r="69">
          <cell r="B69" t="str">
            <v>照明事业三部（吕诚团队）-社会保险金</v>
          </cell>
        </row>
        <row r="69">
          <cell r="X69">
            <v>31659.1</v>
          </cell>
        </row>
        <row r="69">
          <cell r="Z69">
            <v>0</v>
          </cell>
        </row>
        <row r="70">
          <cell r="B70" t="str">
            <v>照明事业三部（吕诚团队）-住房公积金</v>
          </cell>
        </row>
        <row r="70">
          <cell r="X70">
            <v>9350</v>
          </cell>
        </row>
        <row r="70">
          <cell r="Z70">
            <v>0</v>
          </cell>
        </row>
        <row r="71">
          <cell r="B71" t="str">
            <v>照明事业二部（刘泽飚团队）-差旅交通费</v>
          </cell>
        </row>
        <row r="71">
          <cell r="X71">
            <v>53465</v>
          </cell>
        </row>
        <row r="71">
          <cell r="Z71">
            <v>68338.6</v>
          </cell>
        </row>
        <row r="72">
          <cell r="B72" t="str">
            <v>照明事业二部（刘泽飚团队）-办公物料用品</v>
          </cell>
        </row>
        <row r="72">
          <cell r="X72">
            <v>26940</v>
          </cell>
        </row>
        <row r="72">
          <cell r="Z72">
            <v>74375</v>
          </cell>
        </row>
        <row r="73">
          <cell r="B73" t="str">
            <v>照明事业二部（刘泽飚团队）-工程项目费</v>
          </cell>
        </row>
        <row r="73">
          <cell r="X73">
            <v>0</v>
          </cell>
        </row>
        <row r="73">
          <cell r="Z73">
            <v>0</v>
          </cell>
        </row>
        <row r="74">
          <cell r="B74" t="str">
            <v>照明事业二部（刘泽飚团队）-房租物管水电</v>
          </cell>
        </row>
        <row r="74">
          <cell r="X74">
            <v>0</v>
          </cell>
        </row>
        <row r="74">
          <cell r="Z74">
            <v>0</v>
          </cell>
        </row>
        <row r="75">
          <cell r="B75" t="str">
            <v>照明事业二部（刘泽飚团队）-工资及福利</v>
          </cell>
        </row>
        <row r="75">
          <cell r="X75">
            <v>584833.78</v>
          </cell>
        </row>
        <row r="75">
          <cell r="Z75">
            <v>392160</v>
          </cell>
        </row>
        <row r="76">
          <cell r="B76" t="str">
            <v>照明事业二部（刘泽飚团队）-投标费用</v>
          </cell>
        </row>
        <row r="76">
          <cell r="X76">
            <v>0</v>
          </cell>
        </row>
        <row r="76">
          <cell r="Z76">
            <v>1036</v>
          </cell>
        </row>
        <row r="77">
          <cell r="B77" t="str">
            <v>照明事业二部（刘泽飚团队）-咨询服务费</v>
          </cell>
        </row>
        <row r="77">
          <cell r="X77">
            <v>0</v>
          </cell>
        </row>
        <row r="77">
          <cell r="Z77">
            <v>0</v>
          </cell>
        </row>
        <row r="78">
          <cell r="B78" t="str">
            <v>照明事业二部（刘泽飚团队）-业务招待费</v>
          </cell>
        </row>
        <row r="78">
          <cell r="X78">
            <v>68375.8</v>
          </cell>
        </row>
        <row r="78">
          <cell r="Z78">
            <v>30501.4</v>
          </cell>
        </row>
        <row r="79">
          <cell r="B79" t="str">
            <v>照明事业二部（刘泽飚团队）-汽车费用</v>
          </cell>
        </row>
        <row r="79">
          <cell r="X79">
            <v>8958.95</v>
          </cell>
        </row>
        <row r="79">
          <cell r="Z79">
            <v>8805</v>
          </cell>
        </row>
        <row r="80">
          <cell r="B80" t="str">
            <v>照明事业二部（刘泽飚团队）-社会保险金</v>
          </cell>
        </row>
        <row r="80">
          <cell r="X80">
            <v>17375.74</v>
          </cell>
        </row>
        <row r="80">
          <cell r="Z80">
            <v>0</v>
          </cell>
        </row>
        <row r="81">
          <cell r="B81" t="str">
            <v>照明事业二部（刘泽飚团队）-住房公积金</v>
          </cell>
        </row>
        <row r="81">
          <cell r="X81">
            <v>6130</v>
          </cell>
        </row>
        <row r="81">
          <cell r="Z81">
            <v>0</v>
          </cell>
        </row>
        <row r="82">
          <cell r="B82" t="str">
            <v>照明事业二部（刘泽飚团队）-厚街仓库摊销费用</v>
          </cell>
        </row>
        <row r="82">
          <cell r="X82">
            <v>51374.97</v>
          </cell>
        </row>
        <row r="82">
          <cell r="Z82">
            <v>0</v>
          </cell>
        </row>
        <row r="83">
          <cell r="B83" t="str">
            <v>华东办-交通差旅费</v>
          </cell>
        </row>
        <row r="83">
          <cell r="X83">
            <v>45843.5</v>
          </cell>
        </row>
        <row r="83">
          <cell r="Z83">
            <v>0</v>
          </cell>
        </row>
        <row r="84">
          <cell r="B84" t="str">
            <v>华东办-办公及物料</v>
          </cell>
        </row>
        <row r="84">
          <cell r="X84">
            <v>292</v>
          </cell>
        </row>
        <row r="84">
          <cell r="Z84">
            <v>0</v>
          </cell>
        </row>
        <row r="85">
          <cell r="B85" t="str">
            <v>华东办-工程项目费</v>
          </cell>
        </row>
        <row r="85">
          <cell r="X85">
            <v>0</v>
          </cell>
        </row>
        <row r="85">
          <cell r="Z85">
            <v>0</v>
          </cell>
        </row>
        <row r="86">
          <cell r="B86" t="str">
            <v>华东办-房租物管费</v>
          </cell>
        </row>
        <row r="86">
          <cell r="X86">
            <v>0</v>
          </cell>
        </row>
        <row r="86">
          <cell r="Z86">
            <v>0</v>
          </cell>
        </row>
        <row r="87">
          <cell r="B87" t="str">
            <v>华东办-工资及福利</v>
          </cell>
        </row>
        <row r="87">
          <cell r="X87">
            <v>110500</v>
          </cell>
        </row>
        <row r="87">
          <cell r="Z87">
            <v>0</v>
          </cell>
        </row>
        <row r="88">
          <cell r="B88" t="str">
            <v>华东办-投标费用</v>
          </cell>
        </row>
        <row r="88">
          <cell r="X88">
            <v>0</v>
          </cell>
        </row>
        <row r="88">
          <cell r="Z88">
            <v>0</v>
          </cell>
        </row>
        <row r="89">
          <cell r="B89" t="str">
            <v>华东办-业务招待费</v>
          </cell>
        </row>
        <row r="89">
          <cell r="X89">
            <v>24581</v>
          </cell>
        </row>
        <row r="89">
          <cell r="Z89">
            <v>0</v>
          </cell>
        </row>
        <row r="90">
          <cell r="B90" t="str">
            <v>华东办-汽车费用</v>
          </cell>
        </row>
        <row r="90">
          <cell r="X90">
            <v>0</v>
          </cell>
        </row>
        <row r="90">
          <cell r="Z90">
            <v>0</v>
          </cell>
        </row>
        <row r="91">
          <cell r="B91" t="str">
            <v>变压器/三联供事业部-差旅交通费</v>
          </cell>
        </row>
        <row r="91">
          <cell r="X91">
            <v>0</v>
          </cell>
        </row>
        <row r="91">
          <cell r="Z91">
            <v>0</v>
          </cell>
        </row>
        <row r="92">
          <cell r="B92" t="str">
            <v>变压器/三联供事业部-办公物料用品</v>
          </cell>
        </row>
        <row r="92">
          <cell r="X92">
            <v>0</v>
          </cell>
        </row>
        <row r="92">
          <cell r="Z92">
            <v>0</v>
          </cell>
        </row>
        <row r="93">
          <cell r="B93" t="str">
            <v>变压器/三联供事业部-工程项目费</v>
          </cell>
        </row>
        <row r="93">
          <cell r="X93">
            <v>0</v>
          </cell>
        </row>
        <row r="93">
          <cell r="Z93">
            <v>0</v>
          </cell>
        </row>
        <row r="94">
          <cell r="B94" t="str">
            <v>变压器/三联供事业部-房租物管水电</v>
          </cell>
        </row>
        <row r="94">
          <cell r="X94">
            <v>0</v>
          </cell>
        </row>
        <row r="94">
          <cell r="Z94">
            <v>0</v>
          </cell>
        </row>
        <row r="95">
          <cell r="B95" t="str">
            <v>变压器/三联供事业部-工资及福利</v>
          </cell>
        </row>
        <row r="95">
          <cell r="X95">
            <v>0</v>
          </cell>
        </row>
        <row r="95">
          <cell r="Z95">
            <v>0</v>
          </cell>
        </row>
        <row r="96">
          <cell r="B96" t="str">
            <v>变压器/三联供事业部-投标费用</v>
          </cell>
        </row>
        <row r="96">
          <cell r="X96">
            <v>0</v>
          </cell>
        </row>
        <row r="96">
          <cell r="Z96">
            <v>0</v>
          </cell>
        </row>
        <row r="97">
          <cell r="B97" t="str">
            <v>变压器/三联供事业部-业务招待费</v>
          </cell>
        </row>
        <row r="97">
          <cell r="X97">
            <v>0</v>
          </cell>
        </row>
        <row r="97">
          <cell r="Z97">
            <v>0</v>
          </cell>
        </row>
        <row r="98">
          <cell r="B98" t="str">
            <v>变压器/三联供事业部-汽车费用</v>
          </cell>
        </row>
        <row r="98">
          <cell r="X98">
            <v>0</v>
          </cell>
        </row>
        <row r="98">
          <cell r="Z98">
            <v>0</v>
          </cell>
        </row>
        <row r="99">
          <cell r="B99" t="str">
            <v>太阳能光伏事业部-差旅交通费</v>
          </cell>
        </row>
        <row r="99">
          <cell r="X99">
            <v>0</v>
          </cell>
        </row>
        <row r="99">
          <cell r="Z99">
            <v>0</v>
          </cell>
        </row>
        <row r="100">
          <cell r="B100" t="str">
            <v>太阳能光伏事业部-办公物料费</v>
          </cell>
        </row>
        <row r="100">
          <cell r="X100">
            <v>0</v>
          </cell>
        </row>
        <row r="100">
          <cell r="Z100">
            <v>0</v>
          </cell>
        </row>
        <row r="101">
          <cell r="B101" t="str">
            <v>太阳能光伏事业部-工程项目费</v>
          </cell>
        </row>
        <row r="101">
          <cell r="X101">
            <v>0</v>
          </cell>
        </row>
        <row r="101">
          <cell r="Z101">
            <v>0</v>
          </cell>
        </row>
        <row r="102">
          <cell r="B102" t="str">
            <v>太阳能光伏事业部-房租物管费</v>
          </cell>
        </row>
        <row r="102">
          <cell r="X102">
            <v>0</v>
          </cell>
        </row>
        <row r="102">
          <cell r="Z102">
            <v>0</v>
          </cell>
        </row>
        <row r="103">
          <cell r="B103" t="str">
            <v>太阳能光伏事业部-工资及福利</v>
          </cell>
        </row>
        <row r="103">
          <cell r="X103">
            <v>0</v>
          </cell>
        </row>
        <row r="103">
          <cell r="Z103">
            <v>0</v>
          </cell>
        </row>
        <row r="104">
          <cell r="B104" t="str">
            <v>太阳能光伏事业部-业务招待费</v>
          </cell>
        </row>
        <row r="104">
          <cell r="X104">
            <v>0</v>
          </cell>
        </row>
        <row r="104">
          <cell r="Z104">
            <v>0</v>
          </cell>
        </row>
        <row r="105">
          <cell r="B105" t="str">
            <v>太阳能光伏事业部-汽车费用</v>
          </cell>
        </row>
        <row r="105">
          <cell r="X105">
            <v>0</v>
          </cell>
        </row>
        <row r="105">
          <cell r="Z105">
            <v>0</v>
          </cell>
        </row>
        <row r="106">
          <cell r="B106" t="str">
            <v>照明事业一部（史元新团队）-交通差旅费</v>
          </cell>
        </row>
        <row r="106">
          <cell r="X106">
            <v>3168.5</v>
          </cell>
        </row>
        <row r="106">
          <cell r="Z106">
            <v>0</v>
          </cell>
        </row>
        <row r="107">
          <cell r="B107" t="str">
            <v>照明事业一部（史元新团队）-办公及物料</v>
          </cell>
        </row>
        <row r="107">
          <cell r="X107">
            <v>0</v>
          </cell>
        </row>
        <row r="107">
          <cell r="Z107">
            <v>0</v>
          </cell>
        </row>
        <row r="108">
          <cell r="B108" t="str">
            <v>照明事业一部（史元新团队）-工程项目费</v>
          </cell>
        </row>
        <row r="108">
          <cell r="X108">
            <v>0</v>
          </cell>
        </row>
        <row r="108">
          <cell r="Z108">
            <v>0</v>
          </cell>
        </row>
        <row r="109">
          <cell r="B109" t="str">
            <v>照明事业一部（史元新团队）-房租物管费</v>
          </cell>
        </row>
        <row r="109">
          <cell r="X109">
            <v>0</v>
          </cell>
        </row>
        <row r="109">
          <cell r="Z109">
            <v>0</v>
          </cell>
        </row>
        <row r="110">
          <cell r="B110" t="str">
            <v>照明事业一部（史元新团队）-工资及福利</v>
          </cell>
        </row>
        <row r="110">
          <cell r="X110">
            <v>2000</v>
          </cell>
        </row>
        <row r="110">
          <cell r="Z110">
            <v>0</v>
          </cell>
        </row>
        <row r="111">
          <cell r="B111" t="str">
            <v>照明事业一部（史元新团队）-投标费用</v>
          </cell>
        </row>
        <row r="111">
          <cell r="X111">
            <v>0</v>
          </cell>
        </row>
        <row r="111">
          <cell r="Z111">
            <v>0</v>
          </cell>
        </row>
        <row r="112">
          <cell r="B112" t="str">
            <v>照明事业一部（史元新团队）-咨询服务费</v>
          </cell>
        </row>
        <row r="112">
          <cell r="X112">
            <v>0</v>
          </cell>
        </row>
        <row r="112">
          <cell r="Z112">
            <v>0</v>
          </cell>
        </row>
        <row r="113">
          <cell r="B113" t="str">
            <v>照明事业一部（史元新团队）-业务招待费</v>
          </cell>
        </row>
        <row r="113">
          <cell r="X113">
            <v>11308</v>
          </cell>
        </row>
        <row r="113">
          <cell r="Z113">
            <v>0</v>
          </cell>
        </row>
        <row r="114">
          <cell r="B114" t="str">
            <v>照明事业一部（史元新团队）-汽车费用</v>
          </cell>
        </row>
        <row r="114">
          <cell r="X114">
            <v>0</v>
          </cell>
        </row>
        <row r="114">
          <cell r="Z114">
            <v>0</v>
          </cell>
        </row>
        <row r="115">
          <cell r="B115" t="str">
            <v>照明事业一部（史元新团队）-社会保险金</v>
          </cell>
        </row>
        <row r="115">
          <cell r="X115">
            <v>0</v>
          </cell>
        </row>
        <row r="115">
          <cell r="Z115">
            <v>0</v>
          </cell>
        </row>
        <row r="116">
          <cell r="B116" t="str">
            <v>照明事业一部（史元新团队）-住房公积金</v>
          </cell>
        </row>
        <row r="116">
          <cell r="X116">
            <v>0</v>
          </cell>
        </row>
        <row r="116">
          <cell r="Z116">
            <v>0</v>
          </cell>
        </row>
        <row r="117">
          <cell r="B117" t="str">
            <v>照明事业一部（史元新团队）-广告宣传费</v>
          </cell>
        </row>
        <row r="117">
          <cell r="X117">
            <v>0</v>
          </cell>
        </row>
        <row r="117">
          <cell r="Z117">
            <v>0</v>
          </cell>
        </row>
        <row r="118">
          <cell r="B118" t="str">
            <v>综合节能事业部-交通差旅费</v>
          </cell>
        </row>
        <row r="118">
          <cell r="X118">
            <v>0</v>
          </cell>
        </row>
        <row r="118">
          <cell r="Z118">
            <v>0</v>
          </cell>
        </row>
        <row r="119">
          <cell r="B119" t="str">
            <v>综合节能事业部-办公及物料</v>
          </cell>
        </row>
        <row r="119">
          <cell r="X119">
            <v>0</v>
          </cell>
        </row>
        <row r="119">
          <cell r="Z119">
            <v>0</v>
          </cell>
        </row>
        <row r="120">
          <cell r="B120" t="str">
            <v>综合节能事业部-工程项目费</v>
          </cell>
        </row>
        <row r="120">
          <cell r="X120">
            <v>0</v>
          </cell>
        </row>
        <row r="120">
          <cell r="Z120">
            <v>0</v>
          </cell>
        </row>
        <row r="121">
          <cell r="B121" t="str">
            <v>综合节能事业部-房租及物管费</v>
          </cell>
        </row>
        <row r="121">
          <cell r="X121">
            <v>0</v>
          </cell>
        </row>
        <row r="121">
          <cell r="Z121">
            <v>0</v>
          </cell>
        </row>
        <row r="122">
          <cell r="X122">
            <v>1869430.41</v>
          </cell>
        </row>
        <row r="123">
          <cell r="X123">
            <v>3705600</v>
          </cell>
        </row>
        <row r="123">
          <cell r="Z123">
            <v>400000</v>
          </cell>
        </row>
        <row r="124">
          <cell r="B124" t="str">
            <v>综合节能事业部-工资及福利</v>
          </cell>
        </row>
        <row r="124">
          <cell r="X124">
            <v>13100</v>
          </cell>
        </row>
        <row r="124">
          <cell r="Z124">
            <v>0</v>
          </cell>
        </row>
        <row r="125">
          <cell r="B125" t="str">
            <v>综合节能事业部-业务招待费</v>
          </cell>
        </row>
        <row r="125">
          <cell r="X125">
            <v>0</v>
          </cell>
        </row>
        <row r="125">
          <cell r="Z125">
            <v>0</v>
          </cell>
        </row>
        <row r="126">
          <cell r="B126" t="str">
            <v>综合节能事业部-汽车费用</v>
          </cell>
        </row>
        <row r="126">
          <cell r="X126">
            <v>0</v>
          </cell>
        </row>
        <row r="126">
          <cell r="Z126">
            <v>0</v>
          </cell>
        </row>
        <row r="127">
          <cell r="B127" t="str">
            <v>综合节能事业部-社会保险金</v>
          </cell>
        </row>
        <row r="127">
          <cell r="X127">
            <v>0</v>
          </cell>
        </row>
        <row r="127">
          <cell r="Z127">
            <v>0</v>
          </cell>
        </row>
        <row r="128">
          <cell r="B128" t="str">
            <v>综合节能事业部-住房公积金</v>
          </cell>
        </row>
        <row r="128">
          <cell r="X128">
            <v>0</v>
          </cell>
        </row>
        <row r="128">
          <cell r="Z128">
            <v>0</v>
          </cell>
        </row>
        <row r="129">
          <cell r="B129" t="str">
            <v>国际业务部-交通差旅费</v>
          </cell>
        </row>
        <row r="129">
          <cell r="X129">
            <v>0</v>
          </cell>
        </row>
        <row r="129">
          <cell r="Z129">
            <v>0</v>
          </cell>
        </row>
        <row r="130">
          <cell r="B130" t="str">
            <v>国际业务部-办公及物料</v>
          </cell>
        </row>
        <row r="130">
          <cell r="X130">
            <v>0</v>
          </cell>
        </row>
        <row r="130">
          <cell r="Z130">
            <v>0</v>
          </cell>
        </row>
        <row r="131">
          <cell r="B131" t="str">
            <v>国际业务部-工程项目费</v>
          </cell>
        </row>
        <row r="131">
          <cell r="X131">
            <v>0</v>
          </cell>
        </row>
        <row r="131">
          <cell r="Z131">
            <v>0</v>
          </cell>
        </row>
        <row r="132">
          <cell r="B132" t="str">
            <v>国际业务部-房租物管费</v>
          </cell>
        </row>
        <row r="132">
          <cell r="X132">
            <v>0</v>
          </cell>
        </row>
        <row r="132">
          <cell r="Z132">
            <v>0</v>
          </cell>
        </row>
        <row r="133">
          <cell r="B133" t="str">
            <v>国际业务部-工资及福利</v>
          </cell>
        </row>
        <row r="133">
          <cell r="X133">
            <v>0</v>
          </cell>
        </row>
        <row r="133">
          <cell r="Z133">
            <v>0</v>
          </cell>
        </row>
        <row r="134">
          <cell r="B134" t="str">
            <v>国际业务部-业务招待费</v>
          </cell>
        </row>
        <row r="134">
          <cell r="X134">
            <v>0</v>
          </cell>
        </row>
        <row r="134">
          <cell r="Z134">
            <v>0</v>
          </cell>
        </row>
        <row r="135">
          <cell r="B135" t="str">
            <v>国际业务部-汽车费用</v>
          </cell>
        </row>
        <row r="135">
          <cell r="X135">
            <v>0</v>
          </cell>
        </row>
        <row r="135">
          <cell r="Z135">
            <v>0</v>
          </cell>
        </row>
        <row r="136">
          <cell r="B136" t="str">
            <v>国际业务部-邮运费</v>
          </cell>
        </row>
        <row r="136">
          <cell r="X136">
            <v>0</v>
          </cell>
        </row>
        <row r="136">
          <cell r="Z136">
            <v>0</v>
          </cell>
        </row>
        <row r="137">
          <cell r="B137" t="str">
            <v>国际业务部-展览和广告费</v>
          </cell>
        </row>
        <row r="137">
          <cell r="X137">
            <v>0</v>
          </cell>
        </row>
        <row r="137">
          <cell r="Z137">
            <v>0</v>
          </cell>
        </row>
        <row r="138">
          <cell r="B138" t="str">
            <v>国际业务部-社会保险金</v>
          </cell>
        </row>
        <row r="138">
          <cell r="X138">
            <v>0</v>
          </cell>
        </row>
        <row r="138">
          <cell r="Z138">
            <v>0</v>
          </cell>
        </row>
        <row r="139">
          <cell r="B139" t="str">
            <v>国际业务部-住房公积金</v>
          </cell>
        </row>
        <row r="139">
          <cell r="X139">
            <v>0</v>
          </cell>
        </row>
        <row r="139">
          <cell r="Z139">
            <v>0</v>
          </cell>
        </row>
        <row r="140">
          <cell r="B140" t="str">
            <v>国际业务部-中介机构费</v>
          </cell>
        </row>
        <row r="140">
          <cell r="X140">
            <v>0</v>
          </cell>
        </row>
        <row r="140">
          <cell r="Z140">
            <v>0</v>
          </cell>
        </row>
        <row r="141">
          <cell r="B141" t="str">
            <v>国际业务部-员工福利费</v>
          </cell>
        </row>
        <row r="141">
          <cell r="X141">
            <v>0</v>
          </cell>
        </row>
        <row r="141">
          <cell r="Z141">
            <v>0</v>
          </cell>
        </row>
        <row r="142">
          <cell r="B142" t="str">
            <v>照明四部（李远飞团队）-交通差旅费</v>
          </cell>
        </row>
        <row r="142">
          <cell r="X142">
            <v>0</v>
          </cell>
        </row>
        <row r="142">
          <cell r="Z142">
            <v>0</v>
          </cell>
        </row>
        <row r="143">
          <cell r="B143" t="str">
            <v>照明四部（李远飞团队）-办公及物料</v>
          </cell>
        </row>
        <row r="143">
          <cell r="X143">
            <v>0</v>
          </cell>
        </row>
        <row r="143">
          <cell r="Z143">
            <v>0</v>
          </cell>
        </row>
        <row r="144">
          <cell r="B144" t="str">
            <v>照明四部（李远飞团队）-工程项目费</v>
          </cell>
        </row>
        <row r="144">
          <cell r="X144">
            <v>0</v>
          </cell>
        </row>
        <row r="144">
          <cell r="Z144">
            <v>0</v>
          </cell>
        </row>
        <row r="145">
          <cell r="B145" t="str">
            <v>照明四部（李远飞团队）-房租及物管费</v>
          </cell>
        </row>
        <row r="145">
          <cell r="X145">
            <v>0</v>
          </cell>
        </row>
        <row r="145">
          <cell r="Z145">
            <v>0</v>
          </cell>
        </row>
        <row r="146">
          <cell r="B146" t="str">
            <v>照明四部（李远飞团队）-工资及福利</v>
          </cell>
        </row>
        <row r="146">
          <cell r="X146">
            <v>0</v>
          </cell>
        </row>
        <row r="146">
          <cell r="Z146">
            <v>0</v>
          </cell>
        </row>
        <row r="147">
          <cell r="B147" t="str">
            <v>照明四部（李远飞团队）-咨询服务费</v>
          </cell>
        </row>
        <row r="147">
          <cell r="X147">
            <v>0</v>
          </cell>
        </row>
        <row r="147">
          <cell r="Z147">
            <v>0</v>
          </cell>
        </row>
        <row r="148">
          <cell r="B148" t="str">
            <v>照明四部（李远飞团队）-业务招待费</v>
          </cell>
        </row>
        <row r="148">
          <cell r="X148">
            <v>0</v>
          </cell>
        </row>
        <row r="148">
          <cell r="Z148">
            <v>0</v>
          </cell>
        </row>
        <row r="149">
          <cell r="B149" t="str">
            <v>照明四部（李远飞团队）-汽车费用</v>
          </cell>
        </row>
        <row r="149">
          <cell r="X149">
            <v>0</v>
          </cell>
        </row>
        <row r="149">
          <cell r="Z149">
            <v>0</v>
          </cell>
        </row>
        <row r="150">
          <cell r="B150" t="str">
            <v>照明四部（李远飞团队）-社会保险金</v>
          </cell>
        </row>
        <row r="150">
          <cell r="X150">
            <v>0</v>
          </cell>
        </row>
        <row r="150">
          <cell r="Z150">
            <v>0</v>
          </cell>
        </row>
        <row r="151">
          <cell r="B151" t="str">
            <v>照明四部（李远飞团队）-住房公积金</v>
          </cell>
        </row>
        <row r="151">
          <cell r="X151">
            <v>0</v>
          </cell>
        </row>
        <row r="151">
          <cell r="Z151">
            <v>0</v>
          </cell>
        </row>
        <row r="152">
          <cell r="B152" t="str">
            <v>售电业务部-交通差旅费</v>
          </cell>
        </row>
        <row r="152">
          <cell r="X152">
            <v>0</v>
          </cell>
        </row>
        <row r="152">
          <cell r="Z152">
            <v>0</v>
          </cell>
        </row>
        <row r="153">
          <cell r="B153" t="str">
            <v>售电业务部-办公物料用品</v>
          </cell>
        </row>
        <row r="153">
          <cell r="X153">
            <v>0</v>
          </cell>
        </row>
        <row r="153">
          <cell r="Z153">
            <v>0</v>
          </cell>
        </row>
        <row r="154">
          <cell r="B154" t="str">
            <v>售电业务部-工资及福利</v>
          </cell>
        </row>
        <row r="154">
          <cell r="X154">
            <v>0</v>
          </cell>
        </row>
        <row r="154">
          <cell r="Z154">
            <v>0</v>
          </cell>
        </row>
        <row r="155">
          <cell r="B155" t="str">
            <v>售电业务部-招标费用</v>
          </cell>
        </row>
        <row r="155">
          <cell r="X155">
            <v>0</v>
          </cell>
        </row>
        <row r="155">
          <cell r="Z155">
            <v>0</v>
          </cell>
        </row>
        <row r="156">
          <cell r="B156" t="str">
            <v>售电业务部-业务招待费</v>
          </cell>
        </row>
        <row r="156">
          <cell r="X156">
            <v>0</v>
          </cell>
        </row>
        <row r="156">
          <cell r="Z156">
            <v>0</v>
          </cell>
        </row>
        <row r="157">
          <cell r="B157" t="str">
            <v>售电业务部-汽车费用</v>
          </cell>
        </row>
        <row r="157">
          <cell r="X157">
            <v>0</v>
          </cell>
        </row>
        <row r="157">
          <cell r="Z157">
            <v>0</v>
          </cell>
        </row>
        <row r="158">
          <cell r="B158" t="str">
            <v>售电业务部-社会保险费</v>
          </cell>
        </row>
        <row r="158">
          <cell r="X158">
            <v>0</v>
          </cell>
        </row>
        <row r="158">
          <cell r="Z158">
            <v>0</v>
          </cell>
        </row>
        <row r="159">
          <cell r="B159" t="str">
            <v>售电业务部-住房公积金</v>
          </cell>
        </row>
        <row r="159">
          <cell r="X159">
            <v>0</v>
          </cell>
        </row>
        <row r="159">
          <cell r="Z159">
            <v>0</v>
          </cell>
        </row>
        <row r="160">
          <cell r="B160" t="str">
            <v>综合节能事业二部-交通差旅费</v>
          </cell>
        </row>
        <row r="160">
          <cell r="X160">
            <v>0</v>
          </cell>
        </row>
        <row r="160">
          <cell r="Z160">
            <v>0</v>
          </cell>
        </row>
        <row r="161">
          <cell r="B161" t="str">
            <v>综合节能事业二部-业务招待费</v>
          </cell>
        </row>
        <row r="161">
          <cell r="X161">
            <v>0</v>
          </cell>
        </row>
        <row r="162">
          <cell r="B162" t="str">
            <v>综合节能事业二部-折旧费</v>
          </cell>
        </row>
        <row r="162">
          <cell r="X162">
            <v>0</v>
          </cell>
        </row>
        <row r="162">
          <cell r="Z162">
            <v>0</v>
          </cell>
        </row>
        <row r="163">
          <cell r="B163" t="str">
            <v>沉没成本</v>
          </cell>
        </row>
        <row r="164">
          <cell r="B164" t="str">
            <v>合计</v>
          </cell>
        </row>
      </sheetData>
      <sheetData sheetId="5">
        <row r="9">
          <cell r="X9">
            <v>15258.57</v>
          </cell>
        </row>
        <row r="10">
          <cell r="X10">
            <v>194433.44</v>
          </cell>
        </row>
        <row r="11">
          <cell r="X11">
            <v>93062</v>
          </cell>
        </row>
        <row r="12">
          <cell r="X12">
            <v>0</v>
          </cell>
        </row>
        <row r="13">
          <cell r="X13">
            <v>0</v>
          </cell>
        </row>
        <row r="14">
          <cell r="X14">
            <v>0</v>
          </cell>
        </row>
        <row r="15">
          <cell r="X15">
            <v>523536.66</v>
          </cell>
        </row>
        <row r="16">
          <cell r="X16">
            <v>96427.9</v>
          </cell>
        </row>
        <row r="17">
          <cell r="X17">
            <v>327333.29</v>
          </cell>
        </row>
        <row r="18">
          <cell r="X18">
            <v>205987.3</v>
          </cell>
        </row>
        <row r="19">
          <cell r="X19">
            <v>0</v>
          </cell>
        </row>
        <row r="20">
          <cell r="X20">
            <v>43350.94</v>
          </cell>
        </row>
        <row r="21">
          <cell r="X21">
            <v>0</v>
          </cell>
        </row>
        <row r="22">
          <cell r="X22">
            <v>313569.28</v>
          </cell>
        </row>
        <row r="23">
          <cell r="X23">
            <v>72400.73</v>
          </cell>
        </row>
        <row r="24">
          <cell r="X24">
            <v>3323.3</v>
          </cell>
        </row>
        <row r="25">
          <cell r="X25">
            <v>5800</v>
          </cell>
        </row>
        <row r="26">
          <cell r="X26">
            <v>300</v>
          </cell>
        </row>
        <row r="27">
          <cell r="X27">
            <v>78766.81</v>
          </cell>
        </row>
        <row r="28">
          <cell r="X28">
            <v>40613.97</v>
          </cell>
        </row>
        <row r="29">
          <cell r="X29">
            <v>0</v>
          </cell>
        </row>
        <row r="30">
          <cell r="X30">
            <v>324</v>
          </cell>
        </row>
        <row r="31">
          <cell r="X31">
            <v>527378.16</v>
          </cell>
        </row>
        <row r="32">
          <cell r="X32">
            <v>4880.78</v>
          </cell>
        </row>
        <row r="33">
          <cell r="X33">
            <v>74436.4100000003</v>
          </cell>
        </row>
        <row r="34">
          <cell r="X34">
            <v>1384</v>
          </cell>
        </row>
        <row r="35">
          <cell r="X35">
            <v>0</v>
          </cell>
        </row>
        <row r="36">
          <cell r="X36">
            <v>0</v>
          </cell>
        </row>
        <row r="37">
          <cell r="X37">
            <v>0</v>
          </cell>
        </row>
        <row r="38">
          <cell r="X38">
            <v>0</v>
          </cell>
        </row>
        <row r="39">
          <cell r="X39">
            <v>0</v>
          </cell>
        </row>
        <row r="40">
          <cell r="X40">
            <v>0</v>
          </cell>
        </row>
        <row r="41">
          <cell r="X41">
            <v>2160</v>
          </cell>
        </row>
        <row r="42">
          <cell r="X42">
            <v>0</v>
          </cell>
        </row>
        <row r="43">
          <cell r="X43">
            <v>0</v>
          </cell>
        </row>
        <row r="44">
          <cell r="X44">
            <v>0</v>
          </cell>
        </row>
        <row r="45">
          <cell r="X45">
            <v>0</v>
          </cell>
        </row>
        <row r="46">
          <cell r="X46">
            <v>0</v>
          </cell>
        </row>
        <row r="47">
          <cell r="X47">
            <v>0</v>
          </cell>
        </row>
        <row r="48">
          <cell r="X48">
            <v>0</v>
          </cell>
        </row>
        <row r="49">
          <cell r="X49">
            <v>0</v>
          </cell>
        </row>
        <row r="50">
          <cell r="X50">
            <v>0</v>
          </cell>
        </row>
        <row r="51">
          <cell r="X51">
            <v>0</v>
          </cell>
        </row>
        <row r="52">
          <cell r="X52">
            <v>0</v>
          </cell>
        </row>
        <row r="53">
          <cell r="X53">
            <v>0</v>
          </cell>
        </row>
        <row r="54">
          <cell r="X54">
            <v>0</v>
          </cell>
        </row>
        <row r="55">
          <cell r="X55">
            <v>0</v>
          </cell>
        </row>
        <row r="56">
          <cell r="X56">
            <v>0</v>
          </cell>
        </row>
        <row r="57">
          <cell r="X57">
            <v>0</v>
          </cell>
        </row>
        <row r="58">
          <cell r="X58">
            <v>0</v>
          </cell>
        </row>
        <row r="59">
          <cell r="X59">
            <v>0</v>
          </cell>
        </row>
        <row r="60">
          <cell r="X60">
            <v>374952.92</v>
          </cell>
        </row>
        <row r="61">
          <cell r="X61">
            <v>123718.2</v>
          </cell>
        </row>
        <row r="62">
          <cell r="X62">
            <v>0</v>
          </cell>
        </row>
        <row r="63">
          <cell r="X63">
            <v>34650.11</v>
          </cell>
        </row>
        <row r="64">
          <cell r="X64">
            <v>1082252.76</v>
          </cell>
        </row>
        <row r="65">
          <cell r="X65">
            <v>8513</v>
          </cell>
        </row>
        <row r="66">
          <cell r="X66">
            <v>0</v>
          </cell>
        </row>
        <row r="67">
          <cell r="X67">
            <v>193941.95</v>
          </cell>
        </row>
        <row r="68">
          <cell r="X68">
            <v>108901.37</v>
          </cell>
        </row>
        <row r="69">
          <cell r="X69">
            <v>56967.97</v>
          </cell>
        </row>
        <row r="70">
          <cell r="X70">
            <v>13800</v>
          </cell>
        </row>
        <row r="71">
          <cell r="X71">
            <v>164000.5</v>
          </cell>
        </row>
        <row r="72">
          <cell r="X72">
            <v>13458.8</v>
          </cell>
        </row>
        <row r="73">
          <cell r="X73">
            <v>0</v>
          </cell>
        </row>
        <row r="74">
          <cell r="X74">
            <v>0</v>
          </cell>
        </row>
        <row r="75">
          <cell r="X75">
            <v>1368701.73</v>
          </cell>
        </row>
        <row r="76">
          <cell r="X76">
            <v>800</v>
          </cell>
        </row>
        <row r="77">
          <cell r="X77">
            <v>8199.54</v>
          </cell>
        </row>
        <row r="78">
          <cell r="X78">
            <v>217422.32</v>
          </cell>
        </row>
        <row r="79">
          <cell r="X79">
            <v>68869.43</v>
          </cell>
        </row>
        <row r="80">
          <cell r="X80">
            <v>39346.72</v>
          </cell>
        </row>
        <row r="81">
          <cell r="X81">
            <v>9600</v>
          </cell>
        </row>
        <row r="82">
          <cell r="X82">
            <v>68499.96</v>
          </cell>
        </row>
        <row r="83">
          <cell r="X83">
            <v>1990.5</v>
          </cell>
        </row>
        <row r="84">
          <cell r="X84">
            <v>0</v>
          </cell>
        </row>
        <row r="85">
          <cell r="X85">
            <v>0</v>
          </cell>
        </row>
        <row r="86">
          <cell r="X86">
            <v>0</v>
          </cell>
        </row>
        <row r="87">
          <cell r="X87">
            <v>13000</v>
          </cell>
        </row>
        <row r="88">
          <cell r="X88">
            <v>0</v>
          </cell>
        </row>
        <row r="89">
          <cell r="X89">
            <v>0</v>
          </cell>
        </row>
        <row r="90">
          <cell r="X90">
            <v>1930</v>
          </cell>
        </row>
        <row r="91">
          <cell r="X91">
            <v>0</v>
          </cell>
        </row>
        <row r="92">
          <cell r="X92">
            <v>0</v>
          </cell>
        </row>
        <row r="93">
          <cell r="X93">
            <v>0</v>
          </cell>
        </row>
        <row r="94">
          <cell r="X94">
            <v>0</v>
          </cell>
        </row>
        <row r="95">
          <cell r="X95">
            <v>0</v>
          </cell>
        </row>
        <row r="96">
          <cell r="X96">
            <v>0</v>
          </cell>
        </row>
        <row r="97">
          <cell r="X97">
            <v>0</v>
          </cell>
        </row>
        <row r="98">
          <cell r="X98">
            <v>0</v>
          </cell>
        </row>
        <row r="99">
          <cell r="X99">
            <v>0</v>
          </cell>
        </row>
        <row r="100">
          <cell r="X100">
            <v>0</v>
          </cell>
        </row>
        <row r="101">
          <cell r="X101">
            <v>0</v>
          </cell>
        </row>
        <row r="102">
          <cell r="X102">
            <v>0</v>
          </cell>
        </row>
        <row r="103">
          <cell r="X103">
            <v>0</v>
          </cell>
        </row>
        <row r="104">
          <cell r="X104">
            <v>0</v>
          </cell>
        </row>
        <row r="105">
          <cell r="X105">
            <v>0</v>
          </cell>
        </row>
        <row r="106">
          <cell r="X106">
            <v>592307.17</v>
          </cell>
        </row>
        <row r="107">
          <cell r="X107">
            <v>17824.66</v>
          </cell>
        </row>
        <row r="108">
          <cell r="X108">
            <v>0</v>
          </cell>
        </row>
        <row r="109">
          <cell r="X109">
            <v>0</v>
          </cell>
        </row>
        <row r="110">
          <cell r="X110">
            <v>2841529.62</v>
          </cell>
        </row>
        <row r="111">
          <cell r="X111">
            <v>0</v>
          </cell>
        </row>
        <row r="112">
          <cell r="X112">
            <v>0</v>
          </cell>
        </row>
        <row r="113">
          <cell r="X113">
            <v>315937.5</v>
          </cell>
        </row>
        <row r="114">
          <cell r="X114">
            <v>39514.47</v>
          </cell>
        </row>
        <row r="115">
          <cell r="X115">
            <v>59421.69</v>
          </cell>
        </row>
        <row r="116">
          <cell r="X116">
            <v>8350</v>
          </cell>
        </row>
        <row r="117">
          <cell r="X117">
            <v>0</v>
          </cell>
        </row>
        <row r="118">
          <cell r="X118">
            <v>256876.55</v>
          </cell>
        </row>
        <row r="119">
          <cell r="X119">
            <v>14288</v>
          </cell>
        </row>
        <row r="120">
          <cell r="X120">
            <v>0</v>
          </cell>
        </row>
        <row r="121">
          <cell r="X121">
            <v>2300</v>
          </cell>
        </row>
        <row r="122">
          <cell r="X122">
            <v>637049.43</v>
          </cell>
        </row>
        <row r="123">
          <cell r="X123">
            <v>31733.66</v>
          </cell>
        </row>
        <row r="124">
          <cell r="X124">
            <v>1721</v>
          </cell>
        </row>
        <row r="125">
          <cell r="X125">
            <v>17893.84</v>
          </cell>
        </row>
        <row r="126">
          <cell r="X126">
            <v>3500</v>
          </cell>
        </row>
        <row r="127">
          <cell r="X127">
            <v>88283.25</v>
          </cell>
        </row>
        <row r="128">
          <cell r="X128">
            <v>26205.58</v>
          </cell>
        </row>
        <row r="129">
          <cell r="X129">
            <v>0</v>
          </cell>
        </row>
        <row r="130">
          <cell r="X130">
            <v>0</v>
          </cell>
        </row>
        <row r="131">
          <cell r="X131">
            <v>227085.01</v>
          </cell>
        </row>
        <row r="132">
          <cell r="X132">
            <v>32024.81</v>
          </cell>
        </row>
        <row r="133">
          <cell r="X133">
            <v>9089.76</v>
          </cell>
        </row>
        <row r="134">
          <cell r="X134">
            <v>709</v>
          </cell>
        </row>
        <row r="135">
          <cell r="X135">
            <v>55970</v>
          </cell>
        </row>
        <row r="136">
          <cell r="X136">
            <v>11385.19</v>
          </cell>
        </row>
        <row r="137">
          <cell r="X137">
            <v>1050</v>
          </cell>
        </row>
        <row r="138">
          <cell r="X138">
            <v>0</v>
          </cell>
        </row>
        <row r="139">
          <cell r="X139">
            <v>0</v>
          </cell>
        </row>
        <row r="140">
          <cell r="X140">
            <v>0</v>
          </cell>
        </row>
        <row r="141">
          <cell r="X141">
            <v>0</v>
          </cell>
        </row>
        <row r="142">
          <cell r="X142">
            <v>0</v>
          </cell>
        </row>
        <row r="143">
          <cell r="X143">
            <v>0</v>
          </cell>
        </row>
        <row r="144">
          <cell r="X144">
            <v>285000</v>
          </cell>
        </row>
        <row r="145">
          <cell r="X145">
            <v>0</v>
          </cell>
        </row>
        <row r="146">
          <cell r="X146">
            <v>0</v>
          </cell>
        </row>
        <row r="147">
          <cell r="X147">
            <v>0</v>
          </cell>
        </row>
        <row r="148">
          <cell r="X148">
            <v>0</v>
          </cell>
        </row>
        <row r="149">
          <cell r="X149">
            <v>0</v>
          </cell>
        </row>
        <row r="150">
          <cell r="X150">
            <v>0</v>
          </cell>
        </row>
        <row r="151">
          <cell r="X151">
            <v>0</v>
          </cell>
        </row>
        <row r="152">
          <cell r="X152">
            <v>0</v>
          </cell>
        </row>
        <row r="153">
          <cell r="X153">
            <v>0</v>
          </cell>
        </row>
        <row r="154">
          <cell r="X154">
            <v>0</v>
          </cell>
        </row>
        <row r="155">
          <cell r="X155">
            <v>0</v>
          </cell>
        </row>
        <row r="156">
          <cell r="X156">
            <v>0</v>
          </cell>
        </row>
        <row r="157">
          <cell r="X157">
            <v>0</v>
          </cell>
        </row>
        <row r="158">
          <cell r="X158">
            <v>0</v>
          </cell>
        </row>
        <row r="159">
          <cell r="X159">
            <v>0</v>
          </cell>
        </row>
        <row r="160">
          <cell r="X160">
            <v>0</v>
          </cell>
        </row>
        <row r="161">
          <cell r="X161">
            <v>0</v>
          </cell>
        </row>
        <row r="162">
          <cell r="X162">
            <v>600000</v>
          </cell>
        </row>
        <row r="163">
          <cell r="X163">
            <v>12775295.51</v>
          </cell>
        </row>
      </sheetData>
      <sheetData sheetId="6">
        <row r="9">
          <cell r="X9">
            <v>23584.91</v>
          </cell>
        </row>
        <row r="10">
          <cell r="X10">
            <v>164670.77</v>
          </cell>
        </row>
        <row r="11">
          <cell r="X11">
            <v>0</v>
          </cell>
        </row>
        <row r="12">
          <cell r="X12">
            <v>0</v>
          </cell>
        </row>
        <row r="13">
          <cell r="X13">
            <v>0</v>
          </cell>
        </row>
        <row r="14">
          <cell r="X14">
            <v>6601.95</v>
          </cell>
        </row>
        <row r="15">
          <cell r="X15">
            <v>2203919.12</v>
          </cell>
        </row>
        <row r="16">
          <cell r="X16">
            <v>264087.36</v>
          </cell>
        </row>
        <row r="17">
          <cell r="X17">
            <v>153268.26</v>
          </cell>
        </row>
        <row r="18">
          <cell r="X18">
            <v>0</v>
          </cell>
        </row>
        <row r="19">
          <cell r="X19">
            <v>0</v>
          </cell>
        </row>
        <row r="20">
          <cell r="X20">
            <v>19367.92</v>
          </cell>
        </row>
        <row r="21">
          <cell r="X21">
            <v>796</v>
          </cell>
        </row>
        <row r="22">
          <cell r="X22">
            <v>342503.7</v>
          </cell>
        </row>
        <row r="23">
          <cell r="X23">
            <v>70225.84</v>
          </cell>
        </row>
        <row r="24">
          <cell r="X24">
            <v>4335</v>
          </cell>
        </row>
        <row r="25">
          <cell r="X25">
            <v>30675</v>
          </cell>
        </row>
        <row r="26">
          <cell r="X26">
            <v>0</v>
          </cell>
        </row>
        <row r="27">
          <cell r="X27">
            <v>155087.08</v>
          </cell>
        </row>
        <row r="28">
          <cell r="X28">
            <v>76118.2</v>
          </cell>
        </row>
        <row r="29">
          <cell r="X29">
            <v>8888.89</v>
          </cell>
        </row>
        <row r="30">
          <cell r="X30">
            <v>0</v>
          </cell>
        </row>
        <row r="31">
          <cell r="X31">
            <v>932230.51</v>
          </cell>
        </row>
        <row r="32">
          <cell r="X32">
            <v>49463.69</v>
          </cell>
        </row>
        <row r="33">
          <cell r="X33">
            <v>882634.14</v>
          </cell>
        </row>
        <row r="34">
          <cell r="X34">
            <v>0</v>
          </cell>
        </row>
        <row r="35">
          <cell r="X35">
            <v>0</v>
          </cell>
        </row>
        <row r="36">
          <cell r="X36">
            <v>0</v>
          </cell>
        </row>
        <row r="37">
          <cell r="X37">
            <v>0</v>
          </cell>
        </row>
        <row r="38">
          <cell r="X38">
            <v>0</v>
          </cell>
        </row>
        <row r="39">
          <cell r="X39">
            <v>0</v>
          </cell>
        </row>
        <row r="40">
          <cell r="X40">
            <v>0</v>
          </cell>
        </row>
        <row r="41">
          <cell r="X41">
            <v>0</v>
          </cell>
        </row>
        <row r="42">
          <cell r="X42">
            <v>0</v>
          </cell>
        </row>
        <row r="43">
          <cell r="X43">
            <v>0</v>
          </cell>
        </row>
        <row r="44">
          <cell r="X44">
            <v>0</v>
          </cell>
        </row>
        <row r="45">
          <cell r="X45">
            <v>0</v>
          </cell>
        </row>
        <row r="46">
          <cell r="X46">
            <v>0</v>
          </cell>
        </row>
        <row r="47">
          <cell r="X47">
            <v>0</v>
          </cell>
        </row>
        <row r="48">
          <cell r="X48">
            <v>0</v>
          </cell>
        </row>
        <row r="49">
          <cell r="X49">
            <v>0</v>
          </cell>
        </row>
        <row r="50">
          <cell r="X50">
            <v>0</v>
          </cell>
        </row>
        <row r="51">
          <cell r="X51">
            <v>0</v>
          </cell>
        </row>
        <row r="52">
          <cell r="X52">
            <v>0</v>
          </cell>
        </row>
        <row r="53">
          <cell r="X53">
            <v>0</v>
          </cell>
        </row>
        <row r="54">
          <cell r="X54">
            <v>0</v>
          </cell>
        </row>
        <row r="55">
          <cell r="X55">
            <v>0</v>
          </cell>
        </row>
        <row r="56">
          <cell r="X56">
            <v>0</v>
          </cell>
        </row>
        <row r="57">
          <cell r="X57">
            <v>0</v>
          </cell>
        </row>
        <row r="58">
          <cell r="X58">
            <v>0</v>
          </cell>
        </row>
        <row r="59">
          <cell r="X59">
            <v>0</v>
          </cell>
        </row>
        <row r="60">
          <cell r="X60">
            <v>226067.31</v>
          </cell>
        </row>
        <row r="61">
          <cell r="X61">
            <v>8904.64</v>
          </cell>
        </row>
        <row r="62">
          <cell r="X62">
            <v>0</v>
          </cell>
        </row>
        <row r="63">
          <cell r="X63">
            <v>0</v>
          </cell>
        </row>
        <row r="64">
          <cell r="X64">
            <v>871520</v>
          </cell>
        </row>
        <row r="65">
          <cell r="X65">
            <v>0</v>
          </cell>
        </row>
        <row r="66">
          <cell r="X66">
            <v>0</v>
          </cell>
        </row>
        <row r="67">
          <cell r="X67">
            <v>187094.49</v>
          </cell>
        </row>
        <row r="68">
          <cell r="X68">
            <v>98000.68</v>
          </cell>
        </row>
        <row r="69">
          <cell r="X69">
            <v>87144.6</v>
          </cell>
        </row>
        <row r="70">
          <cell r="X70">
            <v>14550</v>
          </cell>
        </row>
        <row r="71">
          <cell r="X71">
            <v>57227.73</v>
          </cell>
        </row>
        <row r="72">
          <cell r="X72">
            <v>0</v>
          </cell>
        </row>
        <row r="73">
          <cell r="X73">
            <v>0</v>
          </cell>
        </row>
        <row r="74">
          <cell r="X74">
            <v>0</v>
          </cell>
        </row>
        <row r="75">
          <cell r="X75">
            <v>489520</v>
          </cell>
        </row>
        <row r="76">
          <cell r="X76">
            <v>0</v>
          </cell>
        </row>
        <row r="77">
          <cell r="X77">
            <v>0</v>
          </cell>
        </row>
        <row r="78">
          <cell r="X78">
            <v>6000</v>
          </cell>
        </row>
        <row r="79">
          <cell r="X79">
            <v>25160</v>
          </cell>
        </row>
        <row r="80">
          <cell r="X80">
            <v>49496.78</v>
          </cell>
        </row>
        <row r="81">
          <cell r="X81">
            <v>9300</v>
          </cell>
        </row>
        <row r="82">
          <cell r="X82">
            <v>17125.07</v>
          </cell>
        </row>
        <row r="83">
          <cell r="X83">
            <v>0</v>
          </cell>
        </row>
        <row r="84">
          <cell r="X84">
            <v>0</v>
          </cell>
        </row>
        <row r="85">
          <cell r="X85">
            <v>0</v>
          </cell>
        </row>
        <row r="86">
          <cell r="X86">
            <v>0</v>
          </cell>
        </row>
        <row r="87">
          <cell r="X87">
            <v>0</v>
          </cell>
        </row>
        <row r="88">
          <cell r="X88">
            <v>0</v>
          </cell>
        </row>
        <row r="89">
          <cell r="X89">
            <v>0</v>
          </cell>
        </row>
        <row r="90">
          <cell r="X90">
            <v>0</v>
          </cell>
        </row>
        <row r="91">
          <cell r="X91">
            <v>0</v>
          </cell>
        </row>
        <row r="92">
          <cell r="X92">
            <v>0</v>
          </cell>
        </row>
        <row r="93">
          <cell r="X93">
            <v>0</v>
          </cell>
        </row>
        <row r="94">
          <cell r="X94">
            <v>0</v>
          </cell>
        </row>
        <row r="95">
          <cell r="X95">
            <v>0</v>
          </cell>
        </row>
        <row r="96">
          <cell r="X96">
            <v>0</v>
          </cell>
        </row>
        <row r="97">
          <cell r="X97">
            <v>0</v>
          </cell>
        </row>
        <row r="98">
          <cell r="X98">
            <v>0</v>
          </cell>
        </row>
        <row r="99">
          <cell r="X99">
            <v>0</v>
          </cell>
        </row>
        <row r="100">
          <cell r="X100">
            <v>0</v>
          </cell>
        </row>
        <row r="101">
          <cell r="X101">
            <v>0</v>
          </cell>
        </row>
        <row r="102">
          <cell r="X102">
            <v>0</v>
          </cell>
        </row>
        <row r="103">
          <cell r="X103">
            <v>0</v>
          </cell>
        </row>
        <row r="104">
          <cell r="X104">
            <v>0</v>
          </cell>
        </row>
        <row r="105">
          <cell r="X105">
            <v>0</v>
          </cell>
        </row>
        <row r="106">
          <cell r="X106">
            <v>475332.57</v>
          </cell>
        </row>
        <row r="107">
          <cell r="X107">
            <v>25100.8</v>
          </cell>
        </row>
        <row r="108">
          <cell r="X108">
            <v>0</v>
          </cell>
        </row>
        <row r="109">
          <cell r="X109">
            <v>59142.86</v>
          </cell>
        </row>
        <row r="110">
          <cell r="X110">
            <v>1327991.13</v>
          </cell>
        </row>
        <row r="111">
          <cell r="X111">
            <v>500</v>
          </cell>
        </row>
        <row r="112">
          <cell r="X112">
            <v>0</v>
          </cell>
        </row>
        <row r="113">
          <cell r="X113">
            <v>582631.12</v>
          </cell>
        </row>
        <row r="114">
          <cell r="X114">
            <v>31454.75</v>
          </cell>
        </row>
        <row r="115">
          <cell r="X115">
            <v>112739.36</v>
          </cell>
        </row>
        <row r="116">
          <cell r="X116">
            <v>18100</v>
          </cell>
        </row>
        <row r="117">
          <cell r="X117">
            <v>154452.83</v>
          </cell>
        </row>
        <row r="118">
          <cell r="X118">
            <v>117456.06</v>
          </cell>
        </row>
        <row r="119">
          <cell r="X119">
            <v>2532.52</v>
          </cell>
        </row>
        <row r="120">
          <cell r="X120">
            <v>0</v>
          </cell>
        </row>
        <row r="121">
          <cell r="X121">
            <v>29400</v>
          </cell>
        </row>
        <row r="122">
          <cell r="X122">
            <v>401070.69</v>
          </cell>
        </row>
        <row r="123">
          <cell r="X123">
            <v>23051.26</v>
          </cell>
        </row>
        <row r="124">
          <cell r="X124">
            <v>100</v>
          </cell>
        </row>
        <row r="125">
          <cell r="X125">
            <v>25310.14</v>
          </cell>
        </row>
        <row r="126">
          <cell r="X126">
            <v>1950</v>
          </cell>
        </row>
        <row r="127">
          <cell r="X127">
            <v>300795.4</v>
          </cell>
        </row>
        <row r="128">
          <cell r="X128">
            <v>46606.25</v>
          </cell>
        </row>
        <row r="129">
          <cell r="X129">
            <v>0</v>
          </cell>
        </row>
        <row r="130">
          <cell r="X130">
            <v>18161.36</v>
          </cell>
        </row>
        <row r="131">
          <cell r="X131">
            <v>640617.24</v>
          </cell>
        </row>
        <row r="132">
          <cell r="X132">
            <v>265435.02</v>
          </cell>
        </row>
        <row r="133">
          <cell r="X133">
            <v>31188.66</v>
          </cell>
        </row>
        <row r="134">
          <cell r="X134">
            <v>2207</v>
          </cell>
        </row>
        <row r="135">
          <cell r="X135">
            <v>19350</v>
          </cell>
        </row>
        <row r="136">
          <cell r="X136">
            <v>53814.09</v>
          </cell>
        </row>
        <row r="137">
          <cell r="X137">
            <v>6300</v>
          </cell>
        </row>
        <row r="138">
          <cell r="X138">
            <v>1081.5</v>
          </cell>
        </row>
        <row r="139">
          <cell r="X139">
            <v>191.5</v>
          </cell>
        </row>
        <row r="140">
          <cell r="X140">
            <v>143644.36</v>
          </cell>
        </row>
        <row r="141">
          <cell r="X141">
            <v>2082</v>
          </cell>
        </row>
        <row r="142">
          <cell r="X142">
            <v>0</v>
          </cell>
        </row>
        <row r="143">
          <cell r="X143">
            <v>0</v>
          </cell>
        </row>
        <row r="144">
          <cell r="X144">
            <v>402171.26</v>
          </cell>
        </row>
        <row r="145">
          <cell r="X145">
            <v>0</v>
          </cell>
        </row>
        <row r="146">
          <cell r="X146">
            <v>223853.47</v>
          </cell>
        </row>
        <row r="147">
          <cell r="X147">
            <v>17251.71</v>
          </cell>
        </row>
        <row r="148">
          <cell r="X148">
            <v>52188.86</v>
          </cell>
        </row>
        <row r="149">
          <cell r="X149">
            <v>5400</v>
          </cell>
        </row>
        <row r="150">
          <cell r="X150">
            <v>9726.18</v>
          </cell>
        </row>
        <row r="151">
          <cell r="X151">
            <v>9520</v>
          </cell>
        </row>
        <row r="152">
          <cell r="X152">
            <v>78581.21</v>
          </cell>
        </row>
        <row r="153">
          <cell r="X153">
            <v>0</v>
          </cell>
        </row>
        <row r="154">
          <cell r="X154">
            <v>18368</v>
          </cell>
        </row>
        <row r="155">
          <cell r="X155">
            <v>300</v>
          </cell>
        </row>
        <row r="156">
          <cell r="X156">
            <v>10374.12</v>
          </cell>
        </row>
        <row r="157">
          <cell r="X157">
            <v>1900</v>
          </cell>
        </row>
        <row r="158">
          <cell r="X158">
            <v>0</v>
          </cell>
        </row>
        <row r="159">
          <cell r="X159">
            <v>0</v>
          </cell>
        </row>
        <row r="160">
          <cell r="X160">
            <v>0</v>
          </cell>
        </row>
        <row r="161">
          <cell r="X161">
            <v>156627.92</v>
          </cell>
        </row>
        <row r="162">
          <cell r="X162">
            <v>13441622.84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底稿目录"/>
      <sheetName val="6415.01.1 2015年审定表"/>
      <sheetName val="6415.01.2 2016年审定表"/>
      <sheetName val="6145.01.3 2017年审定表"/>
      <sheetName val="6415.02.1 2015年明细表"/>
      <sheetName val="6415.02.2 2016年明细表"/>
      <sheetName val="6415.02.3 2017年明细表"/>
      <sheetName val="6415.03.1 披露表(上市)"/>
      <sheetName val="6415.03.2 2016年披露表(上市)"/>
      <sheetName val="报表项目分析"/>
      <sheetName val="6415.03.3 2017年披露表(上市)"/>
      <sheetName val="6415.04.1 2015年截止测试"/>
      <sheetName val="6415.04.2 2016年截止测试"/>
      <sheetName val="6145.04.3 2017年截止测试"/>
      <sheetName val="6415.05.1 2015年抽凭-检查表"/>
      <sheetName val="6415.05.2 2016年抽凭-检查表"/>
      <sheetName val="6415.05.3 2017年抽凭-检查表"/>
      <sheetName val="利息收入测算"/>
      <sheetName val="汇兑损益分析"/>
      <sheetName val="汇兑损益凭证检查表"/>
      <sheetName val="未确认融资费用比较分配表"/>
      <sheetName val="贴现利息比较分配表"/>
      <sheetName val="{隐藏公式页}"/>
    </sheetNames>
    <sheetDataSet>
      <sheetData sheetId="0"/>
      <sheetData sheetId="1"/>
      <sheetData sheetId="2"/>
      <sheetData sheetId="3"/>
      <sheetData sheetId="4">
        <row r="5">
          <cell r="K5">
            <v>-7053316.31</v>
          </cell>
        </row>
        <row r="5">
          <cell r="Q5">
            <v>-327203.29</v>
          </cell>
        </row>
        <row r="6">
          <cell r="K6">
            <v>6623057.53</v>
          </cell>
        </row>
        <row r="6">
          <cell r="Q6">
            <v>5020685.58</v>
          </cell>
        </row>
        <row r="7">
          <cell r="K7">
            <v>306363.47</v>
          </cell>
        </row>
        <row r="7">
          <cell r="Q7">
            <v>14086.72</v>
          </cell>
        </row>
        <row r="8">
          <cell r="K8">
            <v>2594.19</v>
          </cell>
        </row>
        <row r="8">
          <cell r="Q8">
            <v>1929.56</v>
          </cell>
        </row>
        <row r="9">
          <cell r="K9">
            <v>-59680.03</v>
          </cell>
        </row>
        <row r="9">
          <cell r="Q9">
            <v>0</v>
          </cell>
        </row>
        <row r="10">
          <cell r="K10">
            <v>6476.01</v>
          </cell>
        </row>
        <row r="10">
          <cell r="Q10">
            <v>2294.23</v>
          </cell>
        </row>
        <row r="11">
          <cell r="K11">
            <v>0</v>
          </cell>
        </row>
      </sheetData>
      <sheetData sheetId="5">
        <row r="5">
          <cell r="G5">
            <v>-1112994.49</v>
          </cell>
        </row>
        <row r="6">
          <cell r="G6">
            <v>6277143.46</v>
          </cell>
        </row>
        <row r="7">
          <cell r="G7">
            <v>480200.57</v>
          </cell>
        </row>
        <row r="8">
          <cell r="G8">
            <v>29455.75</v>
          </cell>
        </row>
        <row r="9">
          <cell r="G9">
            <v>1909.61</v>
          </cell>
        </row>
        <row r="10">
          <cell r="G10">
            <v>-116125.01</v>
          </cell>
        </row>
        <row r="11">
          <cell r="G11">
            <v>1536.79</v>
          </cell>
        </row>
        <row r="12">
          <cell r="G12">
            <v>12022800.98</v>
          </cell>
        </row>
      </sheetData>
      <sheetData sheetId="6">
        <row r="5">
          <cell r="G5">
            <v>-2039943.52</v>
          </cell>
        </row>
        <row r="6">
          <cell r="G6">
            <v>4526644.93</v>
          </cell>
        </row>
        <row r="7">
          <cell r="G7">
            <v>14326.53</v>
          </cell>
        </row>
        <row r="9">
          <cell r="G9">
            <v>865</v>
          </cell>
        </row>
        <row r="10">
          <cell r="G10">
            <v>35379.55</v>
          </cell>
        </row>
        <row r="11">
          <cell r="G11">
            <v>11134.16</v>
          </cell>
        </row>
        <row r="12">
          <cell r="G12">
            <v>150000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目录"/>
      <sheetName val="可供参考程序表"/>
      <sheetName val="实际实施程序表 "/>
      <sheetName val="现金流量表项目测试2014-2015"/>
      <sheetName val="审定表2014-2015"/>
      <sheetName val="本期调整分录"/>
      <sheetName val="上期调整分录"/>
      <sheetName val="科目代码"/>
      <sheetName val="审定表2013"/>
      <sheetName val="前二期调整分录"/>
      <sheetName val="前三期期调整分录"/>
      <sheetName val="现金流量表项目测试2013"/>
      <sheetName val="列示于现金流量表的现金及现金等价物检查"/>
      <sheetName val="分析性复核程序"/>
      <sheetName val="了解被审计单位现金流量表编制情况"/>
      <sheetName val="审计所需获取的资料"/>
      <sheetName val="note（上市）"/>
      <sheetName val="note（上市2）"/>
      <sheetName val="取得子公司"/>
      <sheetName val="处置子公司"/>
    </sheetNames>
    <sheetDataSet>
      <sheetData sheetId="0">
        <row r="2">
          <cell r="A2" t="str">
            <v>被审计单位：</v>
          </cell>
        </row>
        <row r="2">
          <cell r="C2" t="str">
            <v>广东省佳迅建设工程经济事务所</v>
          </cell>
        </row>
        <row r="3">
          <cell r="D3" t="str">
            <v>财务报表截止日/期间：</v>
          </cell>
        </row>
        <row r="3">
          <cell r="F3" t="str">
            <v>2016年12月31日</v>
          </cell>
        </row>
        <row r="4">
          <cell r="A4" t="str">
            <v>编制人：</v>
          </cell>
        </row>
        <row r="4">
          <cell r="D4" t="str">
            <v>复核人：</v>
          </cell>
        </row>
        <row r="5">
          <cell r="A5" t="str">
            <v>日期：</v>
          </cell>
        </row>
        <row r="5">
          <cell r="D5" t="str">
            <v>日期：</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参数表"/>
      <sheetName val="未审资负表"/>
      <sheetName val="未审利润表"/>
      <sheetName val="未审现流表"/>
      <sheetName val="未审权益表"/>
      <sheetName val="未审附注之流动资产"/>
      <sheetName val="未审附注之非流动资产"/>
      <sheetName val="未审附注之负债及权益"/>
      <sheetName val="未审附注之利润及利润分配"/>
      <sheetName val="未审附注及报表核对"/>
      <sheetName val="资负表及利润表调整分录"/>
      <sheetName val="附件1-无形资产摊销测算"/>
      <sheetName val="附件1"/>
      <sheetName val="附件2"/>
      <sheetName val="附件3"/>
      <sheetName val="现流表调整分录"/>
      <sheetName val="附件1-应收账款明细表（2017）"/>
      <sheetName val="附件2-应收账款明细表(2016)"/>
      <sheetName val="附件3-应收账款坏账准备计算表"/>
      <sheetName val="附件4-其他应收款明细表（2017）"/>
      <sheetName val="附件5-其他应收款明细表(2016)"/>
      <sheetName val="附件6-其他应收款坏账测算表"/>
      <sheetName val="审定资负表"/>
      <sheetName val="审定利润表"/>
      <sheetName val="审定现流表"/>
      <sheetName val="审定权益表"/>
      <sheetName val="审定附注之流动资产"/>
      <sheetName val="审定附注之非流动资产"/>
      <sheetName val="审定附注之负债及权益"/>
      <sheetName val="审定附注之利润及利润分配"/>
      <sheetName val="审定报表及附注核对"/>
      <sheetName val="试算平衡表"/>
      <sheetName val="报表分析（合理性复核）"/>
      <sheetName val="报表附注"/>
      <sheetName val="销售费用"/>
      <sheetName val="管理费用"/>
      <sheetName val="报表附注合并用"/>
      <sheetName val="附注、报表核对"/>
      <sheetName val="附注其他核对"/>
      <sheetName val="现流表勾稽"/>
      <sheetName val="固定资产清理"/>
      <sheetName val="借款"/>
      <sheetName val="内部往来账龄"/>
      <sheetName val="审定"/>
      <sheetName val="未审现流表-企业未审"/>
      <sheetName val="现金流量表项目测试"/>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157.5827258102" refreshedBy="作者" recordCount="44">
  <cacheSource type="worksheet">
    <worksheetSource ref="A175:I1227" sheet="资负表及利润表调整分录"/>
  </cacheSource>
  <cacheFields count="9">
    <cacheField name="序号" numFmtId="303"/>
    <cacheField name="说明" numFmtId="303"/>
    <cacheField name="报表项目" numFmtId="303">
      <sharedItems containsString="0" containsBlank="1" containsNonDate="0" count="1">
        <m/>
      </sharedItems>
    </cacheField>
    <cacheField name="说明2" numFmtId="303"/>
    <cacheField name="科目或子目" numFmtId="303"/>
    <cacheField name="索引号" numFmtId="303"/>
    <cacheField name="借方" numFmtId="265"/>
    <cacheField name="贷方 " numFmtId="265"/>
    <cacheField name="同意调整" numFmtId="303">
      <sharedItems containsString="0" containsBlank="1" containsNonDate="0"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44">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r>
    <m/>
    <m/>
    <x v="4294967295"/>
    <m/>
    <m/>
    <m/>
    <m/>
    <m/>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indent="0" outline="1" outlineData="1" showDrill="1" multipleFieldFilters="0">
  <location ref="A3:C5" firstHeaderRow="0" firstDataRow="1" firstDataCol="1" rowPageCount="1" colPageCount="1"/>
  <pivotFields count="9">
    <pivotField numFmtId="220" showAll="0"/>
    <pivotField numFmtId="220" showAll="0"/>
    <pivotField axis="axisRow" numFmtId="220" showAll="0">
      <items count="2">
        <item x="0"/>
        <item t="default"/>
      </items>
    </pivotField>
    <pivotField numFmtId="220" showAll="0"/>
    <pivotField numFmtId="220" showAll="0"/>
    <pivotField numFmtId="220" showAll="0"/>
    <pivotField dataField="1" numFmtId="220" showAll="0"/>
    <pivotField dataField="1" numFmtId="220" showAll="0"/>
    <pivotField axis="axisPage" multipleItemSelectionAllowed="1" numFmtId="220" showAll="0">
      <items count="2">
        <item x="0"/>
        <item t="default"/>
      </items>
    </pivotField>
  </pivotFields>
  <rowFields count="1">
    <field x="2"/>
  </rowFields>
  <rowItems count="2">
    <i>
      <x/>
    </i>
    <i t="grand">
      <x/>
    </i>
  </rowItems>
  <colFields count="1">
    <field x="-2"/>
  </colFields>
  <colItems count="2">
    <i>
      <x/>
    </i>
    <i i="1">
      <x v="1"/>
    </i>
  </colItems>
  <pageFields count="1">
    <pageField fld="8"/>
  </pageFields>
  <dataFields count="2">
    <dataField name="求和项:借方" fld="6" baseField="2" baseItem="0" numFmtId="281"/>
    <dataField name="求和项:贷方 " fld="7" baseField="2" baseItem="0" numFmtId="281"/>
  </dataFields>
  <formats count="1">
    <format dxfId="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5.xml"/><Relationship Id="rId1"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0.xml"/><Relationship Id="rId1"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30.xml"/><Relationship Id="rId1" Type="http://schemas.openxmlformats.org/officeDocument/2006/relationships/comments" Target="../comments16.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comments" Target="../comments24.xml"/></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comments" Target="../comments25.xml"/></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26.xml"/></Relationships>
</file>

<file path=xl/worksheets/_rels/sheet5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showGridLines="0" workbookViewId="0">
      <pane xSplit="10" ySplit="3" topLeftCell="K4" activePane="bottomRight" state="frozen"/>
      <selection/>
      <selection pane="topRight"/>
      <selection pane="bottomLeft"/>
      <selection pane="bottomRight" activeCell="A1" sqref="A1:K1"/>
    </sheetView>
  </sheetViews>
  <sheetFormatPr defaultColWidth="9" defaultRowHeight="14.25"/>
  <cols>
    <col min="1" max="1" width="2.5" customWidth="1"/>
    <col min="2" max="2" width="13.125" customWidth="1"/>
    <col min="3" max="3" width="6.75" customWidth="1"/>
    <col min="4" max="4" width="12" customWidth="1"/>
    <col min="5" max="5" width="13.125" customWidth="1"/>
    <col min="6" max="6" width="6.75" customWidth="1"/>
    <col min="7" max="7" width="12" customWidth="1"/>
    <col min="8" max="8" width="2.375" customWidth="1"/>
    <col min="9" max="9" width="22.25" customWidth="1"/>
    <col min="10" max="10" width="4.75" customWidth="1"/>
    <col min="11" max="11" width="2.75" customWidth="1"/>
    <col min="12" max="13" width="9" hidden="1" customWidth="1"/>
  </cols>
  <sheetData>
    <row r="1" ht="33.75" spans="1:11">
      <c r="A1" s="2905" t="s">
        <v>0</v>
      </c>
      <c r="B1" s="2906"/>
      <c r="C1" s="2906"/>
      <c r="D1" s="2906"/>
      <c r="E1" s="2906"/>
      <c r="F1" s="2906"/>
      <c r="G1" s="2906"/>
      <c r="H1" s="2906"/>
      <c r="I1" s="2906"/>
      <c r="J1" s="2906"/>
      <c r="K1" s="2906"/>
    </row>
    <row r="2" ht="15" spans="1:13">
      <c r="A2" s="2585"/>
      <c r="B2" s="2585" t="s">
        <v>1</v>
      </c>
      <c r="C2" s="2585"/>
      <c r="D2" s="2585"/>
      <c r="E2" s="2585"/>
      <c r="F2" s="2585"/>
      <c r="G2" s="2585"/>
      <c r="H2" s="2585"/>
      <c r="I2" s="2585"/>
      <c r="J2" s="2585"/>
      <c r="K2" s="2585"/>
      <c r="L2" s="2351"/>
      <c r="M2" s="2351" t="s">
        <v>2</v>
      </c>
    </row>
    <row r="3" ht="15.75" customHeight="1" spans="1:13">
      <c r="A3" s="2585"/>
      <c r="B3" s="2907" t="s">
        <v>3</v>
      </c>
      <c r="C3" s="2908" t="s">
        <v>4</v>
      </c>
      <c r="D3" s="2909"/>
      <c r="E3" s="2909"/>
      <c r="F3" s="2909"/>
      <c r="G3" s="2910"/>
      <c r="H3" s="2585"/>
      <c r="I3" s="2948" t="s">
        <v>5</v>
      </c>
      <c r="J3" s="2949" t="s">
        <v>6</v>
      </c>
      <c r="K3" s="2585"/>
      <c r="L3" s="2351"/>
      <c r="M3" s="2351" t="s">
        <v>7</v>
      </c>
    </row>
    <row r="4" ht="15.75" customHeight="1" spans="1:11">
      <c r="A4" s="2585"/>
      <c r="B4" s="2911" t="s">
        <v>8</v>
      </c>
      <c r="C4" s="2637" t="s">
        <v>9</v>
      </c>
      <c r="D4" s="2912"/>
      <c r="E4" s="2913" t="s">
        <v>10</v>
      </c>
      <c r="F4" s="2914" t="s">
        <v>11</v>
      </c>
      <c r="G4" s="2915"/>
      <c r="H4" s="2585"/>
      <c r="I4" s="2911" t="s">
        <v>12</v>
      </c>
      <c r="J4" s="2950" t="s">
        <v>13</v>
      </c>
      <c r="K4" s="2585"/>
    </row>
    <row r="5" ht="15.75" customHeight="1" spans="1:11">
      <c r="A5" s="2585"/>
      <c r="B5" s="2911" t="s">
        <v>14</v>
      </c>
      <c r="C5" s="2637" t="s">
        <v>15</v>
      </c>
      <c r="D5" s="2912"/>
      <c r="E5" s="2913" t="s">
        <v>16</v>
      </c>
      <c r="F5" s="2637" t="s">
        <v>17</v>
      </c>
      <c r="G5" s="2916"/>
      <c r="H5" s="2585"/>
      <c r="I5" s="2911" t="s">
        <v>18</v>
      </c>
      <c r="J5" s="2950" t="s">
        <v>13</v>
      </c>
      <c r="K5" s="2585"/>
    </row>
    <row r="6" ht="15.75" customHeight="1" spans="1:11">
      <c r="A6" s="2585"/>
      <c r="B6" s="2917" t="s">
        <v>19</v>
      </c>
      <c r="C6" s="2918" t="s">
        <v>20</v>
      </c>
      <c r="D6" s="2919" t="s">
        <v>21</v>
      </c>
      <c r="E6" s="2920" t="s">
        <v>22</v>
      </c>
      <c r="F6" s="2918" t="s">
        <v>20</v>
      </c>
      <c r="G6" s="2921">
        <v>42369</v>
      </c>
      <c r="H6" s="2585"/>
      <c r="I6" s="2911" t="s">
        <v>23</v>
      </c>
      <c r="J6" s="2950" t="s">
        <v>13</v>
      </c>
      <c r="K6" s="2585"/>
    </row>
    <row r="7" ht="15.75" customHeight="1" spans="1:11">
      <c r="A7" s="2585"/>
      <c r="B7" s="2922"/>
      <c r="C7" s="2923" t="s">
        <v>24</v>
      </c>
      <c r="D7" s="2919" t="s">
        <v>25</v>
      </c>
      <c r="E7" s="2924"/>
      <c r="F7" s="2923" t="s">
        <v>24</v>
      </c>
      <c r="G7" s="2921">
        <v>42735</v>
      </c>
      <c r="H7" s="2585"/>
      <c r="I7" s="2911" t="s">
        <v>26</v>
      </c>
      <c r="J7" s="2950" t="s">
        <v>13</v>
      </c>
      <c r="K7" s="2585"/>
    </row>
    <row r="8" ht="15.75" customHeight="1" spans="1:11">
      <c r="A8" s="2585"/>
      <c r="B8" s="2925"/>
      <c r="C8" s="2925"/>
      <c r="D8" s="2925"/>
      <c r="E8" s="2925"/>
      <c r="F8" s="2925"/>
      <c r="G8" s="2925"/>
      <c r="H8" s="2585"/>
      <c r="I8" s="2911" t="s">
        <v>27</v>
      </c>
      <c r="J8" s="2950" t="s">
        <v>13</v>
      </c>
      <c r="K8" s="2585"/>
    </row>
    <row r="9" ht="15.75" customHeight="1" spans="1:11">
      <c r="A9" s="2585"/>
      <c r="B9" s="2907" t="s">
        <v>28</v>
      </c>
      <c r="C9" s="2908"/>
      <c r="D9" s="2909"/>
      <c r="E9" s="2909"/>
      <c r="F9" s="2909"/>
      <c r="G9" s="2910"/>
      <c r="H9" s="2585"/>
      <c r="I9" s="2911" t="s">
        <v>29</v>
      </c>
      <c r="J9" s="2950" t="s">
        <v>13</v>
      </c>
      <c r="K9" s="2585"/>
    </row>
    <row r="10" ht="15.75" customHeight="1" spans="1:11">
      <c r="A10" s="2585"/>
      <c r="B10" s="2911" t="s">
        <v>30</v>
      </c>
      <c r="C10" s="2637"/>
      <c r="D10" s="2912"/>
      <c r="E10" s="2913" t="s">
        <v>31</v>
      </c>
      <c r="F10" s="2637"/>
      <c r="G10" s="2916"/>
      <c r="H10" s="2585"/>
      <c r="I10" s="2911" t="s">
        <v>32</v>
      </c>
      <c r="J10" s="2950" t="s">
        <v>13</v>
      </c>
      <c r="K10" s="2585"/>
    </row>
    <row r="11" ht="15.75" customHeight="1" spans="1:11">
      <c r="A11" s="2585"/>
      <c r="B11" s="2926" t="s">
        <v>33</v>
      </c>
      <c r="C11" s="2927"/>
      <c r="D11" s="2928"/>
      <c r="E11" s="2929" t="s">
        <v>34</v>
      </c>
      <c r="F11" s="2930" t="s">
        <v>35</v>
      </c>
      <c r="G11" s="2931"/>
      <c r="H11" s="2585"/>
      <c r="I11" s="2911" t="s">
        <v>36</v>
      </c>
      <c r="J11" s="2950" t="s">
        <v>13</v>
      </c>
      <c r="K11" s="2585"/>
    </row>
    <row r="12" ht="15.75" customHeight="1" spans="1:11">
      <c r="A12" s="2585"/>
      <c r="B12" s="2932" t="s">
        <v>37</v>
      </c>
      <c r="C12" s="2933" t="s">
        <v>2</v>
      </c>
      <c r="D12" s="2934"/>
      <c r="E12" s="2935"/>
      <c r="F12" s="2935"/>
      <c r="G12" s="2936"/>
      <c r="H12" s="2585"/>
      <c r="I12" s="2911" t="s">
        <v>38</v>
      </c>
      <c r="J12" s="2950" t="s">
        <v>13</v>
      </c>
      <c r="K12" s="2585"/>
    </row>
    <row r="13" ht="15.75" customHeight="1" spans="1:11">
      <c r="A13" s="2585"/>
      <c r="B13" s="2937"/>
      <c r="C13" s="2937"/>
      <c r="D13" s="2937"/>
      <c r="E13" s="2937"/>
      <c r="F13" s="2938"/>
      <c r="G13" s="2938"/>
      <c r="H13" s="2585"/>
      <c r="I13" s="2911" t="s">
        <v>39</v>
      </c>
      <c r="J13" s="2950" t="s">
        <v>13</v>
      </c>
      <c r="K13" s="2585"/>
    </row>
    <row r="14" ht="15.75" customHeight="1" spans="1:11">
      <c r="A14" s="2585"/>
      <c r="B14" s="2939" t="s">
        <v>40</v>
      </c>
      <c r="C14" s="2939" t="s">
        <v>41</v>
      </c>
      <c r="D14" s="2940"/>
      <c r="E14" s="2939" t="s">
        <v>42</v>
      </c>
      <c r="F14" s="2941"/>
      <c r="G14" s="2942"/>
      <c r="H14" s="2585"/>
      <c r="I14" s="2911" t="s">
        <v>43</v>
      </c>
      <c r="J14" s="2950" t="s">
        <v>13</v>
      </c>
      <c r="K14" s="2585"/>
    </row>
    <row r="15" ht="15.75" customHeight="1" spans="1:11">
      <c r="A15" s="2585"/>
      <c r="B15" s="2943"/>
      <c r="C15" s="2943"/>
      <c r="D15" s="2943"/>
      <c r="E15" s="2944"/>
      <c r="F15" s="2942"/>
      <c r="G15" s="2942"/>
      <c r="H15" s="2585"/>
      <c r="I15" s="2911" t="s">
        <v>44</v>
      </c>
      <c r="J15" s="2950" t="s">
        <v>13</v>
      </c>
      <c r="K15" s="2585"/>
    </row>
    <row r="16" ht="15.75" customHeight="1" spans="1:11">
      <c r="A16" s="2585"/>
      <c r="B16" s="2945" t="s">
        <v>45</v>
      </c>
      <c r="C16" s="2943"/>
      <c r="D16" s="2943"/>
      <c r="E16" s="2944"/>
      <c r="F16" s="2942"/>
      <c r="G16" s="2942"/>
      <c r="H16" s="2585"/>
      <c r="I16" s="2911" t="s">
        <v>46</v>
      </c>
      <c r="J16" s="2950" t="s">
        <v>13</v>
      </c>
      <c r="K16" s="2585"/>
    </row>
    <row r="17" ht="15.75" customHeight="1" spans="1:11">
      <c r="A17" s="2585"/>
      <c r="B17" s="2943" t="s">
        <v>47</v>
      </c>
      <c r="C17" s="2943"/>
      <c r="D17" s="2943"/>
      <c r="E17" s="2944"/>
      <c r="F17" s="2942"/>
      <c r="G17" s="2942"/>
      <c r="H17" s="2585"/>
      <c r="I17" s="2911" t="s">
        <v>48</v>
      </c>
      <c r="J17" s="2950" t="s">
        <v>13</v>
      </c>
      <c r="K17" s="2585"/>
    </row>
    <row r="18" ht="15.75" customHeight="1" spans="1:11">
      <c r="A18" s="2585"/>
      <c r="B18" s="2943" t="s">
        <v>49</v>
      </c>
      <c r="C18" s="2943"/>
      <c r="D18" s="2943"/>
      <c r="E18" s="2944"/>
      <c r="F18" s="2942"/>
      <c r="G18" s="2942"/>
      <c r="H18" s="2585"/>
      <c r="I18" s="2911" t="s">
        <v>50</v>
      </c>
      <c r="J18" s="2950" t="s">
        <v>13</v>
      </c>
      <c r="K18" s="2585"/>
    </row>
    <row r="19" ht="15.75" customHeight="1" spans="1:11">
      <c r="A19" s="2585"/>
      <c r="B19" s="2943" t="s">
        <v>51</v>
      </c>
      <c r="C19" s="2943"/>
      <c r="D19" s="2943"/>
      <c r="E19" s="2944"/>
      <c r="F19" s="2942"/>
      <c r="G19" s="2942"/>
      <c r="H19" s="2585"/>
      <c r="I19" s="2911" t="s">
        <v>52</v>
      </c>
      <c r="J19" s="2950" t="s">
        <v>13</v>
      </c>
      <c r="K19" s="2585"/>
    </row>
    <row r="20" ht="15.75" customHeight="1" spans="1:11">
      <c r="A20" s="2585"/>
      <c r="B20" s="2946" t="s">
        <v>53</v>
      </c>
      <c r="C20" s="2943"/>
      <c r="D20" s="2943"/>
      <c r="E20" s="2944"/>
      <c r="F20" s="2942"/>
      <c r="G20" s="2942"/>
      <c r="H20" s="2585"/>
      <c r="I20" s="2911" t="s">
        <v>54</v>
      </c>
      <c r="J20" s="2950" t="s">
        <v>13</v>
      </c>
      <c r="K20" s="2585"/>
    </row>
    <row r="21" ht="15.75" customHeight="1" spans="1:11">
      <c r="A21" s="2585"/>
      <c r="B21" s="2946" t="s">
        <v>55</v>
      </c>
      <c r="C21" s="2947"/>
      <c r="D21" s="2947"/>
      <c r="E21" s="2942"/>
      <c r="F21" s="2942"/>
      <c r="G21" s="2942"/>
      <c r="H21" s="2585"/>
      <c r="I21" s="2911" t="s">
        <v>56</v>
      </c>
      <c r="J21" s="2950" t="s">
        <v>13</v>
      </c>
      <c r="K21" s="2585"/>
    </row>
    <row r="22" ht="15.75" customHeight="1" spans="1:11">
      <c r="A22" s="2585"/>
      <c r="B22" s="2942"/>
      <c r="C22" s="2942"/>
      <c r="D22" s="2942"/>
      <c r="E22" s="2942"/>
      <c r="F22" s="2942"/>
      <c r="G22" s="2942"/>
      <c r="H22" s="2585"/>
      <c r="I22" s="2911" t="s">
        <v>57</v>
      </c>
      <c r="J22" s="2950" t="s">
        <v>13</v>
      </c>
      <c r="K22" s="2585"/>
    </row>
    <row r="23" ht="15.75" customHeight="1" spans="1:11">
      <c r="A23" s="2585"/>
      <c r="B23" s="2942"/>
      <c r="C23" s="2942"/>
      <c r="D23" s="2942"/>
      <c r="E23" s="2942"/>
      <c r="F23" s="2942"/>
      <c r="G23" s="2942"/>
      <c r="H23" s="2585"/>
      <c r="I23" s="2911" t="s">
        <v>58</v>
      </c>
      <c r="J23" s="2950" t="s">
        <v>13</v>
      </c>
      <c r="K23" s="2585"/>
    </row>
    <row r="24" ht="15.75" customHeight="1" spans="1:11">
      <c r="A24" s="2585"/>
      <c r="B24" s="2942"/>
      <c r="C24" s="2942"/>
      <c r="D24" s="2942"/>
      <c r="E24" s="2942"/>
      <c r="F24" s="2942"/>
      <c r="G24" s="2942"/>
      <c r="H24" s="2585"/>
      <c r="I24" s="2932"/>
      <c r="J24" s="2951" t="s">
        <v>59</v>
      </c>
      <c r="K24" s="2585"/>
    </row>
    <row r="25" ht="15" spans="1:11">
      <c r="A25" s="2585"/>
      <c r="B25" s="2942"/>
      <c r="C25" s="2942"/>
      <c r="D25" s="2942"/>
      <c r="E25" s="2942"/>
      <c r="F25" s="2942"/>
      <c r="G25" s="2942"/>
      <c r="H25" s="2585"/>
      <c r="I25" s="2585"/>
      <c r="J25" s="2585"/>
      <c r="K25" s="2585"/>
    </row>
  </sheetData>
  <mergeCells count="15">
    <mergeCell ref="A1:K1"/>
    <mergeCell ref="C3:G3"/>
    <mergeCell ref="C4:D4"/>
    <mergeCell ref="F4:G4"/>
    <mergeCell ref="C5:D5"/>
    <mergeCell ref="F5:G5"/>
    <mergeCell ref="C9:G9"/>
    <mergeCell ref="C10:D10"/>
    <mergeCell ref="F10:G10"/>
    <mergeCell ref="C11:D11"/>
    <mergeCell ref="F11:G11"/>
    <mergeCell ref="C12:D12"/>
    <mergeCell ref="E12:G12"/>
    <mergeCell ref="B6:B7"/>
    <mergeCell ref="E6:E7"/>
  </mergeCells>
  <dataValidations count="1">
    <dataValidation type="list" allowBlank="1" showInputMessage="1" showErrorMessage="1" sqref="C12:D12">
      <formula1>$M$2:$M$3</formula1>
    </dataValidation>
  </dataValidations>
  <hyperlinks>
    <hyperlink ref="J5" location="未审利润表!A1" display="@"/>
    <hyperlink ref="J6" location="未审现流表!A1" display="@"/>
    <hyperlink ref="J7" location="未审权益表!A1" display="@"/>
    <hyperlink ref="J13" location="审定现流表!A1" display="@"/>
    <hyperlink ref="J14" location="审定权益表!A1" display="@"/>
    <hyperlink ref="J15" location="'财务报表分析（审计总结）'!A1" display="@"/>
    <hyperlink ref="J16" location="试算平衡表!A1" display="@"/>
    <hyperlink ref="J17" location="税项及变更!A1" display="@"/>
    <hyperlink ref="J18" location="报表附注!A1" display="@"/>
    <hyperlink ref="J24" location="试算平衡表!A1" display="."/>
    <hyperlink ref="J8" location="'财务报表分析（风险评估）'!A1" display="@"/>
    <hyperlink ref="J9" location="资负表及利润表调整分录!A1" display="@"/>
    <hyperlink ref="J10" location="现流表调整分录!A1" display="@"/>
    <hyperlink ref="J11" location="审定资负表!A1" display="@"/>
    <hyperlink ref="J12" location="审定利润表!A1" display="@"/>
    <hyperlink ref="J19" location="报表附注合并用!A1" display="@"/>
    <hyperlink ref="J20" location="报表附注其他核对!A1" display="@"/>
    <hyperlink ref="J21" location="现金流量表勾稽核对!A1" display="@"/>
    <hyperlink ref="J22" location="内部事项数据!A1" display="@"/>
    <hyperlink ref="J23" location="非经常损益情况表!A1" display="@"/>
    <hyperlink ref="J4" location="未审资负表!A1" display="@"/>
  </hyperlinks>
  <pageMargins left="0.75" right="0.75" top="1" bottom="1" header="0.5" footer="0.5"/>
  <pageSetup paperSize="9" orientation="portrait" blackAndWhite="1"/>
  <headerFooter alignWithMargins="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
  <sheetViews>
    <sheetView workbookViewId="0">
      <pane xSplit="3" ySplit="5" topLeftCell="E6" activePane="bottomRight" state="frozen"/>
      <selection/>
      <selection pane="topRight"/>
      <selection pane="bottomLeft"/>
      <selection pane="bottomRight" activeCell="C7" sqref="C7"/>
    </sheetView>
  </sheetViews>
  <sheetFormatPr defaultColWidth="9" defaultRowHeight="14.25"/>
  <cols>
    <col min="1" max="1" width="31.875" customWidth="1"/>
    <col min="2" max="2" width="6.375" customWidth="1"/>
    <col min="3" max="3" width="15.5" customWidth="1"/>
    <col min="4" max="4" width="12" hidden="1" customWidth="1"/>
    <col min="5" max="16" width="15" customWidth="1"/>
  </cols>
  <sheetData>
    <row r="1" ht="25.5" spans="1:16">
      <c r="A1" s="2709" t="s">
        <v>60</v>
      </c>
      <c r="B1" s="2788"/>
      <c r="C1" s="2789"/>
      <c r="D1" s="2789"/>
      <c r="E1" s="2789"/>
      <c r="F1" s="2789"/>
      <c r="G1" s="2789"/>
      <c r="H1" s="2789"/>
      <c r="I1" s="2789"/>
      <c r="J1" s="2789"/>
      <c r="K1" s="2789"/>
      <c r="L1" s="2789"/>
      <c r="M1" s="2789"/>
      <c r="N1" s="2789"/>
      <c r="O1" s="2789"/>
      <c r="P1" s="2789"/>
    </row>
    <row r="2" ht="15.75" spans="1:16">
      <c r="A2" s="2791"/>
      <c r="B2" s="2713"/>
      <c r="C2" s="2792"/>
      <c r="D2" s="2792"/>
      <c r="E2" s="2792"/>
      <c r="F2" s="2792"/>
      <c r="G2" s="2793"/>
      <c r="H2" s="2793"/>
      <c r="I2" s="2793"/>
      <c r="J2" s="2793"/>
      <c r="K2" s="2793"/>
      <c r="L2" s="2793"/>
      <c r="M2" s="2793"/>
      <c r="N2" s="2793"/>
      <c r="O2" s="2793"/>
      <c r="P2" s="2793"/>
    </row>
    <row r="3" ht="15" spans="1:16">
      <c r="A3" s="2794" t="str">
        <f>未审资负表!A3</f>
        <v>编制单位：深圳新阳蓝光能源管理科技股份有限公司</v>
      </c>
      <c r="B3" s="2716"/>
      <c r="C3" s="2795" t="str">
        <f>审定利润表!B3</f>
        <v>2016年度</v>
      </c>
      <c r="D3" s="2795"/>
      <c r="E3" s="2713"/>
      <c r="F3" s="2713"/>
      <c r="G3" s="2796"/>
      <c r="H3" s="2796"/>
      <c r="I3" s="2796"/>
      <c r="J3" s="2796"/>
      <c r="K3" s="2796"/>
      <c r="L3" s="2796"/>
      <c r="M3" s="2796"/>
      <c r="N3" s="2796"/>
      <c r="O3" s="2796"/>
      <c r="P3" s="2796"/>
    </row>
    <row r="4" ht="15" spans="1:16">
      <c r="A4" s="2797" t="s">
        <v>61</v>
      </c>
      <c r="B4" s="2798" t="s">
        <v>62</v>
      </c>
      <c r="C4" s="2799" t="s">
        <v>63</v>
      </c>
      <c r="D4" s="2799"/>
      <c r="E4" s="2799" t="s">
        <v>63</v>
      </c>
      <c r="F4" s="2799" t="s">
        <v>63</v>
      </c>
      <c r="G4" s="2799" t="s">
        <v>63</v>
      </c>
      <c r="H4" s="2799" t="s">
        <v>63</v>
      </c>
      <c r="I4" s="2799" t="s">
        <v>63</v>
      </c>
      <c r="J4" s="2799" t="s">
        <v>63</v>
      </c>
      <c r="K4" s="2799" t="s">
        <v>63</v>
      </c>
      <c r="L4" s="2799" t="s">
        <v>63</v>
      </c>
      <c r="M4" s="2799" t="s">
        <v>63</v>
      </c>
      <c r="N4" s="2799" t="s">
        <v>63</v>
      </c>
      <c r="O4" s="2799" t="s">
        <v>63</v>
      </c>
      <c r="P4" s="2800" t="s">
        <v>63</v>
      </c>
    </row>
    <row r="5" spans="1:16">
      <c r="A5" s="2802"/>
      <c r="B5" s="2803"/>
      <c r="C5" s="2804" t="s">
        <v>64</v>
      </c>
      <c r="D5" s="2804"/>
      <c r="E5" s="2804" t="s">
        <v>65</v>
      </c>
      <c r="F5" s="2804" t="s">
        <v>66</v>
      </c>
      <c r="G5" s="2882" t="s">
        <v>67</v>
      </c>
      <c r="H5" s="2804" t="s">
        <v>68</v>
      </c>
      <c r="I5" s="2804" t="s">
        <v>69</v>
      </c>
      <c r="J5" s="2882" t="s">
        <v>70</v>
      </c>
      <c r="K5" s="2804" t="s">
        <v>71</v>
      </c>
      <c r="L5" s="2804" t="s">
        <v>72</v>
      </c>
      <c r="M5" s="2882" t="s">
        <v>73</v>
      </c>
      <c r="N5" s="2804" t="s">
        <v>74</v>
      </c>
      <c r="O5" s="2804" t="s">
        <v>75</v>
      </c>
      <c r="P5" s="2805" t="s">
        <v>76</v>
      </c>
    </row>
    <row r="6" spans="1:16">
      <c r="A6" s="2807" t="s">
        <v>77</v>
      </c>
      <c r="B6" s="2732" t="s">
        <v>78</v>
      </c>
      <c r="C6" s="2809">
        <f>审定利润表!C6</f>
        <v>120097563.96</v>
      </c>
      <c r="D6" s="2809"/>
      <c r="E6" s="2738">
        <f>$C6-SUM($D6:D6)</f>
        <v>120097563.96</v>
      </c>
      <c r="F6" s="2738">
        <f>$C6-SUM($D6:E6)</f>
        <v>0</v>
      </c>
      <c r="G6" s="2738">
        <f>$C6-SUM($D6:F6)</f>
        <v>0</v>
      </c>
      <c r="H6" s="2738">
        <f>$C6-SUM($D6:G6)</f>
        <v>0</v>
      </c>
      <c r="I6" s="2738">
        <f>$C6-SUM($D6:H6)</f>
        <v>0</v>
      </c>
      <c r="J6" s="2738">
        <f>$C6-SUM($D6:I6)</f>
        <v>0</v>
      </c>
      <c r="K6" s="2738">
        <f>$C6-SUM($D6:J6)</f>
        <v>0</v>
      </c>
      <c r="L6" s="2738">
        <f>$C6-SUM($D6:K6)</f>
        <v>0</v>
      </c>
      <c r="M6" s="2738">
        <f>$C6-SUM($D6:L6)</f>
        <v>0</v>
      </c>
      <c r="N6" s="2738">
        <f>$C6-SUM($D6:M6)</f>
        <v>0</v>
      </c>
      <c r="O6" s="2738">
        <f>$C6-SUM($D6:N6)</f>
        <v>0</v>
      </c>
      <c r="P6" s="2840">
        <f>$C6-SUM($D6:O6)</f>
        <v>0</v>
      </c>
    </row>
    <row r="7" spans="1:16">
      <c r="A7" s="2802" t="s">
        <v>79</v>
      </c>
      <c r="B7" s="2732" t="s">
        <v>78</v>
      </c>
      <c r="C7" s="2809">
        <f>审定利润表!C7</f>
        <v>65501451.94</v>
      </c>
      <c r="D7" s="2809"/>
      <c r="E7" s="2738">
        <f>$C7-SUM($D7:D7)</f>
        <v>65501451.94</v>
      </c>
      <c r="F7" s="2738">
        <f>$C7-SUM($D7:E7)</f>
        <v>0</v>
      </c>
      <c r="G7" s="2738">
        <f>$C7-SUM($D7:F7)</f>
        <v>0</v>
      </c>
      <c r="H7" s="2738">
        <f>$C7-SUM($D7:G7)</f>
        <v>0</v>
      </c>
      <c r="I7" s="2738">
        <f>$C7-SUM($D7:H7)</f>
        <v>0</v>
      </c>
      <c r="J7" s="2738">
        <f>$C7-SUM($D7:I7)</f>
        <v>0</v>
      </c>
      <c r="K7" s="2738">
        <f>$C7-SUM($D7:J7)</f>
        <v>0</v>
      </c>
      <c r="L7" s="2738">
        <f>$C7-SUM($D7:K7)</f>
        <v>0</v>
      </c>
      <c r="M7" s="2738">
        <f>$C7-SUM($D7:L7)</f>
        <v>0</v>
      </c>
      <c r="N7" s="2738">
        <f>$C7-SUM($D7:M7)</f>
        <v>0</v>
      </c>
      <c r="O7" s="2738">
        <f>$C7-SUM($D7:N7)</f>
        <v>0</v>
      </c>
      <c r="P7" s="2840">
        <f>$C7-SUM($D7:O7)</f>
        <v>0</v>
      </c>
    </row>
    <row r="8" spans="1:16">
      <c r="A8" s="2802" t="s">
        <v>80</v>
      </c>
      <c r="B8" s="2732" t="s">
        <v>81</v>
      </c>
      <c r="C8" s="2809">
        <f>审定利润表!C8</f>
        <v>373643.83</v>
      </c>
      <c r="D8" s="2809"/>
      <c r="E8" s="2738">
        <f>$C8-SUM($D8:D8)</f>
        <v>373643.83</v>
      </c>
      <c r="F8" s="2738">
        <f>$C8-SUM($D8:E8)</f>
        <v>0</v>
      </c>
      <c r="G8" s="2738">
        <f>$C8-SUM($D8:F8)</f>
        <v>0</v>
      </c>
      <c r="H8" s="2738">
        <f>$C8-SUM($D8:G8)</f>
        <v>0</v>
      </c>
      <c r="I8" s="2738">
        <f>$C8-SUM($D8:H8)</f>
        <v>0</v>
      </c>
      <c r="J8" s="2738">
        <f>$C8-SUM($D8:I8)</f>
        <v>0</v>
      </c>
      <c r="K8" s="2738">
        <f>$C8-SUM($D8:J8)</f>
        <v>0</v>
      </c>
      <c r="L8" s="2738">
        <f>$C8-SUM($D8:K8)</f>
        <v>0</v>
      </c>
      <c r="M8" s="2738">
        <f>$C8-SUM($D8:L8)</f>
        <v>0</v>
      </c>
      <c r="N8" s="2738">
        <f>$C8-SUM($D8:M8)</f>
        <v>0</v>
      </c>
      <c r="O8" s="2738">
        <f>$C8-SUM($D8:N8)</f>
        <v>0</v>
      </c>
      <c r="P8" s="2840">
        <f>$C8-SUM($D8:O8)</f>
        <v>0</v>
      </c>
    </row>
    <row r="9" spans="1:16">
      <c r="A9" s="2802" t="s">
        <v>82</v>
      </c>
      <c r="B9" s="2732" t="s">
        <v>83</v>
      </c>
      <c r="C9" s="2809">
        <f>审定利润表!C9</f>
        <v>11918966.31</v>
      </c>
      <c r="D9" s="2809"/>
      <c r="E9" s="2738">
        <f>$C9-SUM($D9:D9)</f>
        <v>11918966.31</v>
      </c>
      <c r="F9" s="2738">
        <f>$C9-SUM($D9:E9)</f>
        <v>0</v>
      </c>
      <c r="G9" s="2738">
        <f>$C9-SUM($D9:F9)</f>
        <v>0</v>
      </c>
      <c r="H9" s="2738">
        <f>$C9-SUM($D9:G9)</f>
        <v>0</v>
      </c>
      <c r="I9" s="2738">
        <f>$C9-SUM($D9:H9)</f>
        <v>0</v>
      </c>
      <c r="J9" s="2738">
        <f>$C9-SUM($D9:I9)</f>
        <v>0</v>
      </c>
      <c r="K9" s="2738">
        <f>$C9-SUM($D9:J9)</f>
        <v>0</v>
      </c>
      <c r="L9" s="2738">
        <f>$C9-SUM($D9:K9)</f>
        <v>0</v>
      </c>
      <c r="M9" s="2738">
        <f>$C9-SUM($D9:L9)</f>
        <v>0</v>
      </c>
      <c r="N9" s="2738">
        <f>$C9-SUM($D9:M9)</f>
        <v>0</v>
      </c>
      <c r="O9" s="2738">
        <f>$C9-SUM($D9:N9)</f>
        <v>0</v>
      </c>
      <c r="P9" s="2840">
        <f>$C9-SUM($D9:O9)</f>
        <v>0</v>
      </c>
    </row>
    <row r="10" spans="1:16">
      <c r="A10" s="2802" t="s">
        <v>84</v>
      </c>
      <c r="B10" s="2732" t="s">
        <v>83</v>
      </c>
      <c r="C10" s="2809">
        <f>审定利润表!C10</f>
        <v>13092697.23</v>
      </c>
      <c r="D10" s="2809"/>
      <c r="E10" s="2738">
        <f>$C10-SUM($D10:D10)</f>
        <v>13092697.23</v>
      </c>
      <c r="F10" s="2738">
        <f>$C10-SUM($D10:E10)</f>
        <v>0</v>
      </c>
      <c r="G10" s="2738">
        <f>$C10-SUM($D10:F10)</f>
        <v>0</v>
      </c>
      <c r="H10" s="2738">
        <f>$C10-SUM($D10:G10)</f>
        <v>0</v>
      </c>
      <c r="I10" s="2738">
        <f>$C10-SUM($D10:H10)</f>
        <v>0</v>
      </c>
      <c r="J10" s="2738">
        <f>$C10-SUM($D10:I10)</f>
        <v>0</v>
      </c>
      <c r="K10" s="2738">
        <f>$C10-SUM($D10:J10)</f>
        <v>0</v>
      </c>
      <c r="L10" s="2738">
        <f>$C10-SUM($D10:K10)</f>
        <v>0</v>
      </c>
      <c r="M10" s="2738">
        <f>$C10-SUM($D10:L10)</f>
        <v>0</v>
      </c>
      <c r="N10" s="2738">
        <f>$C10-SUM($D10:M10)</f>
        <v>0</v>
      </c>
      <c r="O10" s="2738">
        <f>$C10-SUM($D10:N10)</f>
        <v>0</v>
      </c>
      <c r="P10" s="2840">
        <f>$C10-SUM($D10:O10)</f>
        <v>0</v>
      </c>
    </row>
    <row r="11" spans="1:16">
      <c r="A11" s="2802" t="s">
        <v>85</v>
      </c>
      <c r="B11" s="2732" t="s">
        <v>83</v>
      </c>
      <c r="C11" s="2809">
        <f>审定利润表!C11</f>
        <v>17583927.65</v>
      </c>
      <c r="D11" s="2809"/>
      <c r="E11" s="2738">
        <f>$C11-SUM($D11:D11)</f>
        <v>17583927.65</v>
      </c>
      <c r="F11" s="2738">
        <f>$C11-SUM($D11:E11)</f>
        <v>0</v>
      </c>
      <c r="G11" s="2738">
        <f>$C11-SUM($D11:F11)</f>
        <v>0</v>
      </c>
      <c r="H11" s="2738">
        <f>$C11-SUM($D11:G11)</f>
        <v>0</v>
      </c>
      <c r="I11" s="2738">
        <f>$C11-SUM($D11:H11)</f>
        <v>0</v>
      </c>
      <c r="J11" s="2738">
        <f>$C11-SUM($D11:I11)</f>
        <v>0</v>
      </c>
      <c r="K11" s="2738">
        <f>$C11-SUM($D11:J11)</f>
        <v>0</v>
      </c>
      <c r="L11" s="2738">
        <f>$C11-SUM($D11:K11)</f>
        <v>0</v>
      </c>
      <c r="M11" s="2738">
        <f>$C11-SUM($D11:L11)</f>
        <v>0</v>
      </c>
      <c r="N11" s="2738">
        <f>$C11-SUM($D11:M11)</f>
        <v>0</v>
      </c>
      <c r="O11" s="2738">
        <f>$C11-SUM($D11:N11)</f>
        <v>0</v>
      </c>
      <c r="P11" s="2840">
        <f>$C11-SUM($D11:O11)</f>
        <v>0</v>
      </c>
    </row>
    <row r="12" spans="1:16">
      <c r="A12" s="2802" t="s">
        <v>86</v>
      </c>
      <c r="B12" s="2732" t="s">
        <v>87</v>
      </c>
      <c r="C12" s="2809">
        <f>审定利润表!C12</f>
        <v>1792140.07</v>
      </c>
      <c r="D12" s="2809"/>
      <c r="E12" s="2738">
        <f>$C12-SUM($D12:D12)</f>
        <v>1792140.07</v>
      </c>
      <c r="F12" s="2738">
        <f>$C12-SUM($D12:E12)</f>
        <v>0</v>
      </c>
      <c r="G12" s="2738">
        <f>$C12-SUM($D12:F12)</f>
        <v>0</v>
      </c>
      <c r="H12" s="2738">
        <f>$C12-SUM($D12:G12)</f>
        <v>0</v>
      </c>
      <c r="I12" s="2738">
        <f>$C12-SUM($D12:H12)</f>
        <v>0</v>
      </c>
      <c r="J12" s="2738">
        <f>$C12-SUM($D12:I12)</f>
        <v>0</v>
      </c>
      <c r="K12" s="2738">
        <f>$C12-SUM($D12:J12)</f>
        <v>0</v>
      </c>
      <c r="L12" s="2738">
        <f>$C12-SUM($D12:K12)</f>
        <v>0</v>
      </c>
      <c r="M12" s="2738">
        <f>$C12-SUM($D12:L12)</f>
        <v>0</v>
      </c>
      <c r="N12" s="2738">
        <f>$C12-SUM($D12:M12)</f>
        <v>0</v>
      </c>
      <c r="O12" s="2738">
        <f>$C12-SUM($D12:N12)</f>
        <v>0</v>
      </c>
      <c r="P12" s="2840">
        <f>$C12-SUM($D12:O12)</f>
        <v>0</v>
      </c>
    </row>
    <row r="13" spans="1:16">
      <c r="A13" s="2802" t="s">
        <v>88</v>
      </c>
      <c r="B13" s="2732" t="s">
        <v>89</v>
      </c>
      <c r="C13" s="2809">
        <f>审定利润表!C13</f>
        <v>0</v>
      </c>
      <c r="D13" s="2809"/>
      <c r="E13" s="2738">
        <f>$C13-SUM($D13:D13)</f>
        <v>0</v>
      </c>
      <c r="F13" s="2738">
        <f>$C13-SUM($D13:E13)</f>
        <v>0</v>
      </c>
      <c r="G13" s="2738">
        <f>$C13-SUM($D13:F13)</f>
        <v>0</v>
      </c>
      <c r="H13" s="2738">
        <f>$C13-SUM($D13:G13)</f>
        <v>0</v>
      </c>
      <c r="I13" s="2738">
        <f>$C13-SUM($D13:H13)</f>
        <v>0</v>
      </c>
      <c r="J13" s="2738">
        <f>$C13-SUM($D13:I13)</f>
        <v>0</v>
      </c>
      <c r="K13" s="2738">
        <f>$C13-SUM($D13:J13)</f>
        <v>0</v>
      </c>
      <c r="L13" s="2738">
        <f>$C13-SUM($D13:K13)</f>
        <v>0</v>
      </c>
      <c r="M13" s="2738">
        <f>$C13-SUM($D13:L13)</f>
        <v>0</v>
      </c>
      <c r="N13" s="2738">
        <f>$C13-SUM($D13:M13)</f>
        <v>0</v>
      </c>
      <c r="O13" s="2738">
        <f>$C13-SUM($D13:N13)</f>
        <v>0</v>
      </c>
      <c r="P13" s="2840">
        <f>$C13-SUM($D13:O13)</f>
        <v>0</v>
      </c>
    </row>
    <row r="14" spans="1:16">
      <c r="A14" s="2802" t="s">
        <v>90</v>
      </c>
      <c r="B14" s="2732" t="s">
        <v>91</v>
      </c>
      <c r="C14" s="2809">
        <f>审定利润表!C14</f>
        <v>0</v>
      </c>
      <c r="D14" s="2809"/>
      <c r="E14" s="2738">
        <f>$C14-SUM($D14:D14)</f>
        <v>0</v>
      </c>
      <c r="F14" s="2738">
        <f>$C14-SUM($D14:E14)</f>
        <v>0</v>
      </c>
      <c r="G14" s="2738">
        <f>$C14-SUM($D14:F14)</f>
        <v>0</v>
      </c>
      <c r="H14" s="2738">
        <f>$C14-SUM($D14:G14)</f>
        <v>0</v>
      </c>
      <c r="I14" s="2738">
        <f>$C14-SUM($D14:H14)</f>
        <v>0</v>
      </c>
      <c r="J14" s="2738">
        <f>$C14-SUM($D14:I14)</f>
        <v>0</v>
      </c>
      <c r="K14" s="2738">
        <f>$C14-SUM($D14:J14)</f>
        <v>0</v>
      </c>
      <c r="L14" s="2738">
        <f>$C14-SUM($D14:K14)</f>
        <v>0</v>
      </c>
      <c r="M14" s="2738">
        <f>$C14-SUM($D14:L14)</f>
        <v>0</v>
      </c>
      <c r="N14" s="2738">
        <f>$C14-SUM($D14:M14)</f>
        <v>0</v>
      </c>
      <c r="O14" s="2738">
        <f>$C14-SUM($D14:N14)</f>
        <v>0</v>
      </c>
      <c r="P14" s="2840">
        <f>$C14-SUM($D14:O14)</f>
        <v>0</v>
      </c>
    </row>
    <row r="15" spans="1:16">
      <c r="A15" s="2802" t="s">
        <v>92</v>
      </c>
      <c r="B15" s="2732"/>
      <c r="C15" s="2809">
        <f>审定利润表!C15</f>
        <v>0</v>
      </c>
      <c r="D15" s="2809"/>
      <c r="E15" s="2738">
        <f>$C15-SUM($D15:D15)</f>
        <v>0</v>
      </c>
      <c r="F15" s="2738">
        <f>$C15-SUM($D15:E15)</f>
        <v>0</v>
      </c>
      <c r="G15" s="2738">
        <f>$C15-SUM($D15:F15)</f>
        <v>0</v>
      </c>
      <c r="H15" s="2738">
        <f>$C15-SUM($D15:G15)</f>
        <v>0</v>
      </c>
      <c r="I15" s="2738">
        <f>$C15-SUM($D15:H15)</f>
        <v>0</v>
      </c>
      <c r="J15" s="2738">
        <f>$C15-SUM($D15:I15)</f>
        <v>0</v>
      </c>
      <c r="K15" s="2738">
        <f>$C15-SUM($D15:J15)</f>
        <v>0</v>
      </c>
      <c r="L15" s="2738">
        <f>$C15-SUM($D15:K15)</f>
        <v>0</v>
      </c>
      <c r="M15" s="2738">
        <f>$C15-SUM($D15:L15)</f>
        <v>0</v>
      </c>
      <c r="N15" s="2738">
        <f>$C15-SUM($D15:M15)</f>
        <v>0</v>
      </c>
      <c r="O15" s="2738">
        <f>$C15-SUM($D15:N15)</f>
        <v>0</v>
      </c>
      <c r="P15" s="2840">
        <f>$C15-SUM($D15:O15)</f>
        <v>0</v>
      </c>
    </row>
    <row r="16" spans="1:16">
      <c r="A16" s="2802" t="s">
        <v>93</v>
      </c>
      <c r="B16" s="2732"/>
      <c r="C16" s="2809">
        <f>审定利润表!C17</f>
        <v>0</v>
      </c>
      <c r="D16" s="2809"/>
      <c r="E16" s="2738">
        <f>$C16-SUM($D16:D16)</f>
        <v>0</v>
      </c>
      <c r="F16" s="2738">
        <f>$C16-SUM($D16:E16)</f>
        <v>0</v>
      </c>
      <c r="G16" s="2738">
        <f>$C16-SUM($D16:F16)</f>
        <v>0</v>
      </c>
      <c r="H16" s="2738">
        <f>$C16-SUM($D16:G16)</f>
        <v>0</v>
      </c>
      <c r="I16" s="2738">
        <f>$C16-SUM($D16:H16)</f>
        <v>0</v>
      </c>
      <c r="J16" s="2738">
        <f>$C16-SUM($D16:I16)</f>
        <v>0</v>
      </c>
      <c r="K16" s="2738">
        <f>$C16-SUM($D16:J16)</f>
        <v>0</v>
      </c>
      <c r="L16" s="2738">
        <f>$C16-SUM($D16:K16)</f>
        <v>0</v>
      </c>
      <c r="M16" s="2738">
        <f>$C16-SUM($D16:L16)</f>
        <v>0</v>
      </c>
      <c r="N16" s="2738">
        <f>$C16-SUM($D16:M16)</f>
        <v>0</v>
      </c>
      <c r="O16" s="2738">
        <f>$C16-SUM($D16:N16)</f>
        <v>0</v>
      </c>
      <c r="P16" s="2840">
        <f>$C16-SUM($D16:O16)</f>
        <v>0</v>
      </c>
    </row>
    <row r="17" spans="1:16">
      <c r="A17" s="2802"/>
      <c r="B17" s="2732"/>
      <c r="C17" s="2809"/>
      <c r="D17" s="2809"/>
      <c r="E17" s="2809"/>
      <c r="F17" s="2809"/>
      <c r="G17" s="2809"/>
      <c r="H17" s="2809"/>
      <c r="I17" s="2809"/>
      <c r="J17" s="2809"/>
      <c r="K17" s="2809"/>
      <c r="L17" s="2809"/>
      <c r="M17" s="2809"/>
      <c r="N17" s="2809"/>
      <c r="O17" s="2809"/>
      <c r="P17" s="2811"/>
    </row>
    <row r="18" spans="1:16">
      <c r="A18" s="2807" t="s">
        <v>94</v>
      </c>
      <c r="B18" s="2750"/>
      <c r="C18" s="2813">
        <f>审定利润表!C19</f>
        <v>9834736.93</v>
      </c>
      <c r="D18" s="2813"/>
      <c r="E18" s="2813">
        <f>ROUND(E6-SUM(E7:E12)+E13+E14+E16,2)</f>
        <v>9834736.93</v>
      </c>
      <c r="F18" s="2813">
        <f t="shared" ref="F18:P18" si="0">ROUND(F6-SUM(F7:F12)+F13+F14+F16,2)</f>
        <v>0</v>
      </c>
      <c r="G18" s="2813">
        <f t="shared" si="0"/>
        <v>0</v>
      </c>
      <c r="H18" s="2813">
        <f t="shared" si="0"/>
        <v>0</v>
      </c>
      <c r="I18" s="2813">
        <f t="shared" si="0"/>
        <v>0</v>
      </c>
      <c r="J18" s="2813">
        <f t="shared" si="0"/>
        <v>0</v>
      </c>
      <c r="K18" s="2813">
        <f t="shared" si="0"/>
        <v>0</v>
      </c>
      <c r="L18" s="2813">
        <f t="shared" si="0"/>
        <v>0</v>
      </c>
      <c r="M18" s="2813">
        <f t="shared" si="0"/>
        <v>0</v>
      </c>
      <c r="N18" s="2813">
        <f t="shared" si="0"/>
        <v>0</v>
      </c>
      <c r="O18" s="2813">
        <f t="shared" si="0"/>
        <v>0</v>
      </c>
      <c r="P18" s="2893">
        <f t="shared" si="0"/>
        <v>0</v>
      </c>
    </row>
    <row r="19" spans="1:16">
      <c r="A19" s="2802" t="s">
        <v>95</v>
      </c>
      <c r="B19" s="2732" t="s">
        <v>96</v>
      </c>
      <c r="C19" s="2809">
        <f>审定利润表!C20</f>
        <v>853546.58</v>
      </c>
      <c r="D19" s="2809"/>
      <c r="E19" s="2738">
        <f>$C19-SUM($D19:D19)</f>
        <v>853546.58</v>
      </c>
      <c r="F19" s="2738">
        <f>$C19-SUM($D19:E19)</f>
        <v>0</v>
      </c>
      <c r="G19" s="2738">
        <f>$C19-SUM($D19:F19)</f>
        <v>0</v>
      </c>
      <c r="H19" s="2738">
        <f>$C19-SUM($D19:G19)</f>
        <v>0</v>
      </c>
      <c r="I19" s="2738">
        <f>$C19-SUM($D19:H19)</f>
        <v>0</v>
      </c>
      <c r="J19" s="2738">
        <f>$C19-SUM($D19:I19)</f>
        <v>0</v>
      </c>
      <c r="K19" s="2738">
        <f>$C19-SUM($D19:J19)</f>
        <v>0</v>
      </c>
      <c r="L19" s="2738">
        <f>$C19-SUM($D19:K19)</f>
        <v>0</v>
      </c>
      <c r="M19" s="2738">
        <f>$C19-SUM($D19:L19)</f>
        <v>0</v>
      </c>
      <c r="N19" s="2738">
        <f>$C19-SUM($D19:M19)</f>
        <v>0</v>
      </c>
      <c r="O19" s="2738">
        <f>$C19-SUM($D19:N19)</f>
        <v>0</v>
      </c>
      <c r="P19" s="2840">
        <f>$C19-SUM($D19:O19)</f>
        <v>0</v>
      </c>
    </row>
    <row r="20" spans="1:16">
      <c r="A20" s="2802" t="s">
        <v>97</v>
      </c>
      <c r="B20" s="2732" t="s">
        <v>98</v>
      </c>
      <c r="C20" s="2809">
        <f>审定利润表!C21</f>
        <v>2139962.48</v>
      </c>
      <c r="D20" s="2809"/>
      <c r="E20" s="2738">
        <f>$C20-SUM($D20:D20)</f>
        <v>2139962.48</v>
      </c>
      <c r="F20" s="2738">
        <f>$C20-SUM($D20:E20)</f>
        <v>0</v>
      </c>
      <c r="G20" s="2738">
        <f>$C20-SUM($D20:F20)</f>
        <v>0</v>
      </c>
      <c r="H20" s="2738">
        <f>$C20-SUM($D20:G20)</f>
        <v>0</v>
      </c>
      <c r="I20" s="2738">
        <f>$C20-SUM($D20:H20)</f>
        <v>0</v>
      </c>
      <c r="J20" s="2738">
        <f>$C20-SUM($D20:I20)</f>
        <v>0</v>
      </c>
      <c r="K20" s="2738">
        <f>$C20-SUM($D20:J20)</f>
        <v>0</v>
      </c>
      <c r="L20" s="2738">
        <f>$C20-SUM($D20:K20)</f>
        <v>0</v>
      </c>
      <c r="M20" s="2738">
        <f>$C20-SUM($D20:L20)</f>
        <v>0</v>
      </c>
      <c r="N20" s="2738">
        <f>$C20-SUM($D20:M20)</f>
        <v>0</v>
      </c>
      <c r="O20" s="2738">
        <f>$C20-SUM($D20:N20)</f>
        <v>0</v>
      </c>
      <c r="P20" s="2840">
        <f>$C20-SUM($D20:O20)</f>
        <v>0</v>
      </c>
    </row>
    <row r="21" spans="1:16">
      <c r="A21" s="2802" t="s">
        <v>99</v>
      </c>
      <c r="B21" s="2732"/>
      <c r="C21" s="2809">
        <f>审定利润表!C27</f>
        <v>8831644.55</v>
      </c>
      <c r="D21" s="2809"/>
      <c r="E21" s="2738">
        <f>$C21-SUM($D21:D21)</f>
        <v>8831644.55</v>
      </c>
      <c r="F21" s="2738">
        <f>$C21-SUM($D21:E21)</f>
        <v>0</v>
      </c>
      <c r="G21" s="2738">
        <f>$C21-SUM($D21:F21)</f>
        <v>0</v>
      </c>
      <c r="H21" s="2738">
        <f>$C21-SUM($D21:G21)</f>
        <v>0</v>
      </c>
      <c r="I21" s="2738">
        <f>$C21-SUM($D21:H21)</f>
        <v>0</v>
      </c>
      <c r="J21" s="2738">
        <f>$C21-SUM($D21:I21)</f>
        <v>0</v>
      </c>
      <c r="K21" s="2738">
        <f>$C21-SUM($D21:J21)</f>
        <v>0</v>
      </c>
      <c r="L21" s="2738">
        <f>$C21-SUM($D21:K21)</f>
        <v>0</v>
      </c>
      <c r="M21" s="2738">
        <f>$C21-SUM($D21:L21)</f>
        <v>0</v>
      </c>
      <c r="N21" s="2738">
        <f>$C21-SUM($D21:M21)</f>
        <v>0</v>
      </c>
      <c r="O21" s="2738">
        <f>$C21-SUM($D21:N21)</f>
        <v>0</v>
      </c>
      <c r="P21" s="2840">
        <f>$C21-SUM($D21:O21)</f>
        <v>0</v>
      </c>
    </row>
    <row r="22" spans="1:16">
      <c r="A22" s="2802"/>
      <c r="B22" s="2732"/>
      <c r="C22" s="2809"/>
      <c r="D22" s="2809"/>
      <c r="E22" s="2809"/>
      <c r="F22" s="2809"/>
      <c r="G22" s="2809"/>
      <c r="H22" s="2809"/>
      <c r="I22" s="2809"/>
      <c r="J22" s="2809"/>
      <c r="K22" s="2809"/>
      <c r="L22" s="2809"/>
      <c r="M22" s="2809"/>
      <c r="N22" s="2809"/>
      <c r="O22" s="2809"/>
      <c r="P22" s="2811"/>
    </row>
    <row r="23" spans="1:16">
      <c r="A23" s="2807" t="s">
        <v>100</v>
      </c>
      <c r="B23" s="2732"/>
      <c r="C23" s="2813">
        <f>审定利润表!C22</f>
        <v>8548321.03</v>
      </c>
      <c r="D23" s="2813"/>
      <c r="E23" s="2813">
        <f>ROUND(E18+E19-E20,2)</f>
        <v>8548321.03</v>
      </c>
      <c r="F23" s="2813">
        <f t="shared" ref="F23:P23" si="1">ROUND(F18+F19-F20,2)</f>
        <v>0</v>
      </c>
      <c r="G23" s="2813">
        <f t="shared" si="1"/>
        <v>0</v>
      </c>
      <c r="H23" s="2813">
        <f t="shared" si="1"/>
        <v>0</v>
      </c>
      <c r="I23" s="2813">
        <f t="shared" si="1"/>
        <v>0</v>
      </c>
      <c r="J23" s="2813">
        <f t="shared" si="1"/>
        <v>0</v>
      </c>
      <c r="K23" s="2813">
        <f t="shared" si="1"/>
        <v>0</v>
      </c>
      <c r="L23" s="2813">
        <f t="shared" si="1"/>
        <v>0</v>
      </c>
      <c r="M23" s="2813">
        <f t="shared" si="1"/>
        <v>0</v>
      </c>
      <c r="N23" s="2813">
        <f t="shared" si="1"/>
        <v>0</v>
      </c>
      <c r="O23" s="2813">
        <f t="shared" si="1"/>
        <v>0</v>
      </c>
      <c r="P23" s="2893">
        <f t="shared" si="1"/>
        <v>0</v>
      </c>
    </row>
    <row r="24" spans="1:16">
      <c r="A24" s="2802" t="s">
        <v>101</v>
      </c>
      <c r="B24" s="2732" t="s">
        <v>102</v>
      </c>
      <c r="C24" s="2809">
        <f>审定利润表!C23</f>
        <v>-283323.52</v>
      </c>
      <c r="D24" s="2809"/>
      <c r="E24" s="2738">
        <f>$C24-SUM($D24:D24)</f>
        <v>-283323.52</v>
      </c>
      <c r="F24" s="2738">
        <f>$C24-SUM($D24:E24)</f>
        <v>0</v>
      </c>
      <c r="G24" s="2738">
        <f>$C24-SUM($D24:F24)</f>
        <v>0</v>
      </c>
      <c r="H24" s="2738">
        <f>$C24-SUM($D24:G24)</f>
        <v>0</v>
      </c>
      <c r="I24" s="2738">
        <f>$C24-SUM($D24:H24)</f>
        <v>0</v>
      </c>
      <c r="J24" s="2738">
        <f>$C24-SUM($D24:I24)</f>
        <v>0</v>
      </c>
      <c r="K24" s="2738">
        <f>$C24-SUM($D24:J24)</f>
        <v>0</v>
      </c>
      <c r="L24" s="2738">
        <f>$C24-SUM($D24:K24)</f>
        <v>0</v>
      </c>
      <c r="M24" s="2738">
        <f>$C24-SUM($D24:L24)</f>
        <v>0</v>
      </c>
      <c r="N24" s="2738">
        <f>$C24-SUM($D24:M24)</f>
        <v>0</v>
      </c>
      <c r="O24" s="2738">
        <f>$C24-SUM($D24:N24)</f>
        <v>0</v>
      </c>
      <c r="P24" s="2840">
        <f>$C24-SUM($D24:O24)</f>
        <v>0</v>
      </c>
    </row>
    <row r="25" spans="1:16">
      <c r="A25" s="2802"/>
      <c r="B25" s="2732"/>
      <c r="C25" s="2809"/>
      <c r="D25" s="2809"/>
      <c r="E25" s="2809"/>
      <c r="F25" s="2809"/>
      <c r="G25" s="2809"/>
      <c r="H25" s="2809"/>
      <c r="I25" s="2809"/>
      <c r="J25" s="2809"/>
      <c r="K25" s="2809"/>
      <c r="L25" s="2809"/>
      <c r="M25" s="2809"/>
      <c r="N25" s="2809"/>
      <c r="O25" s="2809"/>
      <c r="P25" s="2811"/>
    </row>
    <row r="26" spans="1:16">
      <c r="A26" s="2807" t="s">
        <v>103</v>
      </c>
      <c r="B26" s="2750"/>
      <c r="C26" s="2813">
        <f>审定利润表!C24</f>
        <v>8831644.55</v>
      </c>
      <c r="D26" s="2813"/>
      <c r="E26" s="2813">
        <f>ROUND(E23-E24,2)</f>
        <v>8831644.55</v>
      </c>
      <c r="F26" s="2813">
        <f t="shared" ref="F26:P26" si="2">ROUND(F23-F24,2)</f>
        <v>0</v>
      </c>
      <c r="G26" s="2813">
        <f t="shared" si="2"/>
        <v>0</v>
      </c>
      <c r="H26" s="2813">
        <f t="shared" si="2"/>
        <v>0</v>
      </c>
      <c r="I26" s="2813">
        <f t="shared" si="2"/>
        <v>0</v>
      </c>
      <c r="J26" s="2813">
        <f t="shared" si="2"/>
        <v>0</v>
      </c>
      <c r="K26" s="2813">
        <f t="shared" si="2"/>
        <v>0</v>
      </c>
      <c r="L26" s="2813">
        <f t="shared" si="2"/>
        <v>0</v>
      </c>
      <c r="M26" s="2813">
        <f t="shared" si="2"/>
        <v>0</v>
      </c>
      <c r="N26" s="2813">
        <f t="shared" si="2"/>
        <v>0</v>
      </c>
      <c r="O26" s="2813">
        <f t="shared" si="2"/>
        <v>0</v>
      </c>
      <c r="P26" s="2893">
        <f t="shared" si="2"/>
        <v>0</v>
      </c>
    </row>
    <row r="27" hidden="1" spans="1:16">
      <c r="A27" s="2802" t="s">
        <v>104</v>
      </c>
      <c r="B27" s="2732"/>
      <c r="C27" s="2813">
        <f>审定利润表!C25</f>
        <v>8831644.55</v>
      </c>
      <c r="D27" s="2813"/>
      <c r="E27" s="2813">
        <f t="shared" ref="E27:P27" si="3">E26-E28</f>
        <v>8831644.55</v>
      </c>
      <c r="F27" s="2813">
        <f t="shared" si="3"/>
        <v>0</v>
      </c>
      <c r="G27" s="2813">
        <f t="shared" si="3"/>
        <v>0</v>
      </c>
      <c r="H27" s="2813">
        <f t="shared" si="3"/>
        <v>0</v>
      </c>
      <c r="I27" s="2813">
        <f t="shared" si="3"/>
        <v>0</v>
      </c>
      <c r="J27" s="2813">
        <f t="shared" si="3"/>
        <v>0</v>
      </c>
      <c r="K27" s="2813">
        <f t="shared" si="3"/>
        <v>0</v>
      </c>
      <c r="L27" s="2813">
        <f t="shared" si="3"/>
        <v>0</v>
      </c>
      <c r="M27" s="2813">
        <f t="shared" si="3"/>
        <v>0</v>
      </c>
      <c r="N27" s="2813">
        <f t="shared" si="3"/>
        <v>0</v>
      </c>
      <c r="O27" s="2813">
        <f t="shared" si="3"/>
        <v>0</v>
      </c>
      <c r="P27" s="2893">
        <f t="shared" si="3"/>
        <v>0</v>
      </c>
    </row>
    <row r="28" hidden="1" spans="1:16">
      <c r="A28" s="2802" t="s">
        <v>105</v>
      </c>
      <c r="B28" s="2732"/>
      <c r="C28" s="2809">
        <f>审定利润表!C26</f>
        <v>0</v>
      </c>
      <c r="D28" s="2809"/>
      <c r="E28" s="2738">
        <f>$C28-SUM($D28:D28)</f>
        <v>0</v>
      </c>
      <c r="F28" s="2738">
        <f>$C28-SUM($D28:E28)</f>
        <v>0</v>
      </c>
      <c r="G28" s="2738">
        <f>$C28-SUM($D28:F28)</f>
        <v>0</v>
      </c>
      <c r="H28" s="2738">
        <f>$C28-SUM($D28:G28)</f>
        <v>0</v>
      </c>
      <c r="I28" s="2738">
        <f>$C28-SUM($D28:H28)</f>
        <v>0</v>
      </c>
      <c r="J28" s="2738">
        <f>$C28-SUM($D28:I28)</f>
        <v>0</v>
      </c>
      <c r="K28" s="2738">
        <f>$C28-SUM($D28:J28)</f>
        <v>0</v>
      </c>
      <c r="L28" s="2738">
        <f>$C28-SUM($D28:K28)</f>
        <v>0</v>
      </c>
      <c r="M28" s="2738">
        <f>$C28-SUM($D28:L28)</f>
        <v>0</v>
      </c>
      <c r="N28" s="2738">
        <f>$C28-SUM($D28:M28)</f>
        <v>0</v>
      </c>
      <c r="O28" s="2738">
        <f>$C28-SUM($D28:N28)</f>
        <v>0</v>
      </c>
      <c r="P28" s="2840">
        <f>$C28-SUM($D28:O28)</f>
        <v>0</v>
      </c>
    </row>
    <row r="29" spans="1:16">
      <c r="A29" s="2802"/>
      <c r="B29" s="2750"/>
      <c r="C29" s="2817"/>
      <c r="D29" s="2817"/>
      <c r="E29" s="2817"/>
      <c r="F29" s="2817"/>
      <c r="G29" s="2817"/>
      <c r="H29" s="2817"/>
      <c r="I29" s="2817"/>
      <c r="J29" s="2817"/>
      <c r="K29" s="2817"/>
      <c r="L29" s="2817"/>
      <c r="M29" s="2817"/>
      <c r="N29" s="2817"/>
      <c r="O29" s="2817"/>
      <c r="P29" s="2818"/>
    </row>
    <row r="30" spans="1:16">
      <c r="A30" s="2807" t="s">
        <v>106</v>
      </c>
      <c r="B30" s="2750"/>
      <c r="C30" s="2817"/>
      <c r="D30" s="2817"/>
      <c r="E30" s="2817"/>
      <c r="F30" s="2817"/>
      <c r="G30" s="2817"/>
      <c r="H30" s="2817"/>
      <c r="I30" s="2817"/>
      <c r="J30" s="2817"/>
      <c r="K30" s="2817"/>
      <c r="L30" s="2817"/>
      <c r="M30" s="2817"/>
      <c r="N30" s="2817"/>
      <c r="O30" s="2817"/>
      <c r="P30" s="2818"/>
    </row>
    <row r="31" spans="1:16">
      <c r="A31" s="2802" t="s">
        <v>107</v>
      </c>
      <c r="B31" s="2750"/>
      <c r="C31" s="2815"/>
      <c r="D31" s="2815"/>
      <c r="E31" s="2815"/>
      <c r="F31" s="2815"/>
      <c r="G31" s="2815"/>
      <c r="H31" s="2815"/>
      <c r="I31" s="2815"/>
      <c r="J31" s="2815"/>
      <c r="K31" s="2815"/>
      <c r="L31" s="2815"/>
      <c r="M31" s="2815"/>
      <c r="N31" s="2815"/>
      <c r="O31" s="2815"/>
      <c r="P31" s="2819"/>
    </row>
    <row r="32" ht="15" spans="1:16">
      <c r="A32" s="2820" t="s">
        <v>108</v>
      </c>
      <c r="B32" s="2821"/>
      <c r="C32" s="2822"/>
      <c r="D32" s="2822"/>
      <c r="E32" s="2822"/>
      <c r="F32" s="2822"/>
      <c r="G32" s="2822"/>
      <c r="H32" s="2822"/>
      <c r="I32" s="2822"/>
      <c r="J32" s="2822"/>
      <c r="K32" s="2822"/>
      <c r="L32" s="2822"/>
      <c r="M32" s="2822"/>
      <c r="N32" s="2822"/>
      <c r="O32" s="2822"/>
      <c r="P32" s="2823"/>
    </row>
    <row r="33" ht="15" spans="1:16">
      <c r="A33" s="2824"/>
      <c r="B33" s="2825"/>
      <c r="C33" s="2826"/>
      <c r="D33" s="2826"/>
      <c r="E33" s="2826"/>
      <c r="F33" s="2826"/>
      <c r="G33" s="2826"/>
      <c r="H33" s="2826"/>
      <c r="I33" s="2826"/>
      <c r="J33" s="2826"/>
      <c r="K33" s="2826"/>
      <c r="L33" s="2826"/>
      <c r="M33" s="2826"/>
      <c r="N33" s="2826"/>
      <c r="O33" s="2826"/>
      <c r="P33" s="2826"/>
    </row>
    <row r="34" ht="15" spans="1:16">
      <c r="A34" s="2829" t="s">
        <v>109</v>
      </c>
      <c r="B34" s="2825"/>
      <c r="C34" s="2826"/>
      <c r="D34" s="2826"/>
      <c r="E34" s="2826"/>
      <c r="F34" s="2826"/>
      <c r="G34" s="2826"/>
      <c r="H34" s="2826"/>
      <c r="I34" s="2826"/>
      <c r="J34" s="2826"/>
      <c r="K34" s="2826"/>
      <c r="L34" s="2826"/>
      <c r="M34" s="2826"/>
      <c r="N34" s="2826"/>
      <c r="O34" s="2826"/>
      <c r="P34" s="2826"/>
    </row>
    <row r="35" ht="15" spans="1:16">
      <c r="A35" s="2831" t="s">
        <v>110</v>
      </c>
      <c r="B35" s="2832"/>
      <c r="C35" s="2834">
        <f>审定利润表!C36</f>
        <v>8831644.55</v>
      </c>
      <c r="D35" s="2834"/>
      <c r="E35" s="2834">
        <f t="shared" ref="E35:O35" si="4">E27</f>
        <v>8831644.55</v>
      </c>
      <c r="F35" s="2834">
        <f t="shared" si="4"/>
        <v>0</v>
      </c>
      <c r="G35" s="2834">
        <f t="shared" si="4"/>
        <v>0</v>
      </c>
      <c r="H35" s="2834">
        <f t="shared" si="4"/>
        <v>0</v>
      </c>
      <c r="I35" s="2834">
        <f t="shared" si="4"/>
        <v>0</v>
      </c>
      <c r="J35" s="2834">
        <f t="shared" si="4"/>
        <v>0</v>
      </c>
      <c r="K35" s="2834">
        <f t="shared" si="4"/>
        <v>0</v>
      </c>
      <c r="L35" s="2834">
        <f t="shared" si="4"/>
        <v>0</v>
      </c>
      <c r="M35" s="2834">
        <f t="shared" si="4"/>
        <v>0</v>
      </c>
      <c r="N35" s="2834">
        <f t="shared" si="4"/>
        <v>0</v>
      </c>
      <c r="O35" s="2834">
        <f t="shared" si="4"/>
        <v>0</v>
      </c>
      <c r="P35" s="2842">
        <f t="shared" ref="P35" si="5">P27</f>
        <v>0</v>
      </c>
    </row>
    <row r="36" spans="1:16">
      <c r="A36" s="2802" t="s">
        <v>111</v>
      </c>
      <c r="B36" s="2750"/>
      <c r="C36" s="2809">
        <f>审定利润表!C37</f>
        <v>-36686290.04</v>
      </c>
      <c r="D36" s="2809"/>
      <c r="E36" s="2738">
        <f>$C36-SUM($D36:D36)</f>
        <v>-36686290.04</v>
      </c>
      <c r="F36" s="2738">
        <f>$C36-SUM($D36:E36)</f>
        <v>0</v>
      </c>
      <c r="G36" s="2738">
        <f>$C36-SUM($D36:F36)</f>
        <v>0</v>
      </c>
      <c r="H36" s="2738">
        <f>$C36-SUM($D36:G36)</f>
        <v>0</v>
      </c>
      <c r="I36" s="2738">
        <f>$C36-SUM($D36:H36)</f>
        <v>0</v>
      </c>
      <c r="J36" s="2738">
        <f>$C36-SUM($D36:I36)</f>
        <v>0</v>
      </c>
      <c r="K36" s="2738">
        <f>$C36-SUM($D36:J36)</f>
        <v>0</v>
      </c>
      <c r="L36" s="2738">
        <f>$C36-SUM($D36:K36)</f>
        <v>0</v>
      </c>
      <c r="M36" s="2738">
        <f>$C36-SUM($D36:L36)</f>
        <v>0</v>
      </c>
      <c r="N36" s="2738">
        <f>$C36-SUM($D36:M36)</f>
        <v>0</v>
      </c>
      <c r="O36" s="2738">
        <f>$C36-SUM($D36:N36)</f>
        <v>0</v>
      </c>
      <c r="P36" s="2840">
        <f>$C36-SUM($D36:O36)</f>
        <v>0</v>
      </c>
    </row>
    <row r="37" spans="1:16">
      <c r="A37" s="2802" t="s">
        <v>112</v>
      </c>
      <c r="B37" s="2750"/>
      <c r="C37" s="2809">
        <f>审定利润表!C38</f>
        <v>0</v>
      </c>
      <c r="D37" s="2809"/>
      <c r="E37" s="2738">
        <f>$C37-SUM($D37:D37)</f>
        <v>0</v>
      </c>
      <c r="F37" s="2738">
        <f>$C37-SUM($D37:E37)</f>
        <v>0</v>
      </c>
      <c r="G37" s="2738">
        <f>$C37-SUM($D37:F37)</f>
        <v>0</v>
      </c>
      <c r="H37" s="2738">
        <f>$C37-SUM($D37:G37)</f>
        <v>0</v>
      </c>
      <c r="I37" s="2738">
        <f>$C37-SUM($D37:H37)</f>
        <v>0</v>
      </c>
      <c r="J37" s="2738">
        <f>$C37-SUM($D37:I37)</f>
        <v>0</v>
      </c>
      <c r="K37" s="2738">
        <f>$C37-SUM($D37:J37)</f>
        <v>0</v>
      </c>
      <c r="L37" s="2738">
        <f>$C37-SUM($D37:K37)</f>
        <v>0</v>
      </c>
      <c r="M37" s="2738">
        <f>$C37-SUM($D37:L37)</f>
        <v>0</v>
      </c>
      <c r="N37" s="2738">
        <f>$C37-SUM($D37:M37)</f>
        <v>0</v>
      </c>
      <c r="O37" s="2738">
        <f>$C37-SUM($D37:N37)</f>
        <v>0</v>
      </c>
      <c r="P37" s="2840">
        <f>$C37-SUM($D37:O37)</f>
        <v>0</v>
      </c>
    </row>
    <row r="38" ht="15" spans="1:16">
      <c r="A38" s="2820" t="s">
        <v>113</v>
      </c>
      <c r="B38" s="2753"/>
      <c r="C38" s="2821">
        <f>审定利润表!C39</f>
        <v>-27854645.49</v>
      </c>
      <c r="D38" s="2821"/>
      <c r="E38" s="2821">
        <f>ROUND(E35+E36-E37,2)</f>
        <v>-27854645.49</v>
      </c>
      <c r="F38" s="2821">
        <f t="shared" ref="F38:P38" si="6">ROUND(F35+F36-F37,2)</f>
        <v>0</v>
      </c>
      <c r="G38" s="2821">
        <f t="shared" si="6"/>
        <v>0</v>
      </c>
      <c r="H38" s="2821">
        <f t="shared" si="6"/>
        <v>0</v>
      </c>
      <c r="I38" s="2821">
        <f t="shared" si="6"/>
        <v>0</v>
      </c>
      <c r="J38" s="2821">
        <f t="shared" si="6"/>
        <v>0</v>
      </c>
      <c r="K38" s="2821">
        <f t="shared" si="6"/>
        <v>0</v>
      </c>
      <c r="L38" s="2821">
        <f t="shared" si="6"/>
        <v>0</v>
      </c>
      <c r="M38" s="2821">
        <f t="shared" si="6"/>
        <v>0</v>
      </c>
      <c r="N38" s="2821">
        <f t="shared" si="6"/>
        <v>0</v>
      </c>
      <c r="O38" s="2821">
        <f t="shared" si="6"/>
        <v>0</v>
      </c>
      <c r="P38" s="2894">
        <f t="shared" si="6"/>
        <v>0</v>
      </c>
    </row>
    <row r="39" ht="20.25" customHeight="1" spans="1:16">
      <c r="A39" s="2875" t="s">
        <v>60</v>
      </c>
      <c r="B39" s="2883"/>
      <c r="C39" s="2883"/>
      <c r="D39" s="2883"/>
      <c r="E39" s="2884"/>
      <c r="F39" s="2884"/>
      <c r="G39" s="2884"/>
      <c r="H39" s="2884"/>
      <c r="I39" s="2884"/>
      <c r="J39" s="2884"/>
      <c r="K39" s="2884"/>
      <c r="L39" s="2884"/>
      <c r="M39" s="2884"/>
      <c r="N39" s="2884"/>
      <c r="O39" s="2884"/>
      <c r="P39" s="2884"/>
    </row>
    <row r="40" spans="1:16">
      <c r="A40" s="2885"/>
      <c r="B40" s="2713"/>
      <c r="C40" s="2790"/>
      <c r="D40" s="2790"/>
      <c r="E40" s="2790"/>
      <c r="F40" s="2790"/>
      <c r="G40" s="2790"/>
      <c r="H40" s="2790"/>
      <c r="I40" s="2790"/>
      <c r="J40" s="2790"/>
      <c r="K40" s="2790"/>
      <c r="L40" s="2790"/>
      <c r="M40" s="2790"/>
      <c r="N40" s="2790"/>
      <c r="O40" s="2790"/>
      <c r="P40" s="2790"/>
    </row>
    <row r="41" ht="15" spans="1:16">
      <c r="A41" s="2885" t="str">
        <f>A3</f>
        <v>编制单位：深圳新阳蓝光能源管理科技股份有限公司</v>
      </c>
      <c r="B41" s="2716"/>
      <c r="C41" s="2790"/>
      <c r="D41" s="2790"/>
      <c r="E41" s="2790"/>
      <c r="F41" s="2790"/>
      <c r="G41" s="2790"/>
      <c r="H41" s="2790"/>
      <c r="I41" s="2790"/>
      <c r="J41" s="2790"/>
      <c r="K41" s="2790"/>
      <c r="L41" s="2790"/>
      <c r="M41" s="2790"/>
      <c r="N41" s="2790"/>
      <c r="O41" s="2790"/>
      <c r="P41" s="2790"/>
    </row>
    <row r="42" ht="15" spans="1:16">
      <c r="A42" s="2886" t="s">
        <v>61</v>
      </c>
      <c r="B42" s="2798" t="s">
        <v>62</v>
      </c>
      <c r="C42" s="2887" t="str">
        <f>IF(参数表!$C$12="本期间为特定年","上年金额","上期金额")</f>
        <v>上年金额</v>
      </c>
      <c r="D42" s="2887"/>
      <c r="E42" s="2887" t="str">
        <f>IF(参数表!$C$12="本期间为特定年","上年金额","上期金额")</f>
        <v>上年金额</v>
      </c>
      <c r="F42" s="2887" t="str">
        <f>IF(参数表!$C$12="本期间为特定年","上年金额","上期金额")</f>
        <v>上年金额</v>
      </c>
      <c r="G42" s="2887" t="str">
        <f>IF(参数表!$C$12="本期间为特定年","上年金额","上期金额")</f>
        <v>上年金额</v>
      </c>
      <c r="H42" s="2887" t="str">
        <f>IF(参数表!$C$12="本期间为特定年","上年金额","上期金额")</f>
        <v>上年金额</v>
      </c>
      <c r="I42" s="2887" t="str">
        <f>IF(参数表!$C$12="本期间为特定年","上年金额","上期金额")</f>
        <v>上年金额</v>
      </c>
      <c r="J42" s="2887" t="str">
        <f>IF(参数表!$C$12="本期间为特定年","上年金额","上期金额")</f>
        <v>上年金额</v>
      </c>
      <c r="K42" s="2887" t="str">
        <f>IF(参数表!$C$12="本期间为特定年","上年金额","上期金额")</f>
        <v>上年金额</v>
      </c>
      <c r="L42" s="2887" t="str">
        <f>IF(参数表!$C$12="本期间为特定年","上年金额","上期金额")</f>
        <v>上年金额</v>
      </c>
      <c r="M42" s="2887" t="str">
        <f>IF(参数表!$C$12="本期间为特定年","上年金额","上期金额")</f>
        <v>上年金额</v>
      </c>
      <c r="N42" s="2887" t="str">
        <f>IF(参数表!$C$12="本期间为特定年","上年金额","上期金额")</f>
        <v>上年金额</v>
      </c>
      <c r="O42" s="2887" t="str">
        <f>IF(参数表!$C$12="本期间为特定年","上年金额","上期金额")</f>
        <v>上年金额</v>
      </c>
      <c r="P42" s="2895" t="str">
        <f>IF(参数表!$C$12="本期间为特定年","上年金额","上期金额")</f>
        <v>上年金额</v>
      </c>
    </row>
    <row r="43" spans="1:16">
      <c r="A43" s="2888"/>
      <c r="B43" s="2877"/>
      <c r="C43" s="2806" t="s">
        <v>114</v>
      </c>
      <c r="D43" s="2806"/>
      <c r="E43" s="2804" t="s">
        <v>65</v>
      </c>
      <c r="F43" s="2804" t="s">
        <v>66</v>
      </c>
      <c r="G43" s="2882" t="s">
        <v>67</v>
      </c>
      <c r="H43" s="2804" t="s">
        <v>68</v>
      </c>
      <c r="I43" s="2804" t="s">
        <v>69</v>
      </c>
      <c r="J43" s="2882" t="s">
        <v>70</v>
      </c>
      <c r="K43" s="2804" t="s">
        <v>71</v>
      </c>
      <c r="L43" s="2804" t="s">
        <v>72</v>
      </c>
      <c r="M43" s="2882" t="s">
        <v>73</v>
      </c>
      <c r="N43" s="2804" t="s">
        <v>74</v>
      </c>
      <c r="O43" s="2804" t="s">
        <v>75</v>
      </c>
      <c r="P43" s="2805" t="s">
        <v>76</v>
      </c>
    </row>
    <row r="44" spans="1:16">
      <c r="A44" s="2889" t="s">
        <v>77</v>
      </c>
      <c r="B44" s="2732" t="s">
        <v>78</v>
      </c>
      <c r="C44" s="2890">
        <f>ROUND(SUM(D44:P44),2)</f>
        <v>0</v>
      </c>
      <c r="D44" s="2809"/>
      <c r="E44" s="2738"/>
      <c r="F44" s="2738"/>
      <c r="G44" s="2738"/>
      <c r="H44" s="2738"/>
      <c r="I44" s="2738"/>
      <c r="J44" s="2738"/>
      <c r="K44" s="2738"/>
      <c r="L44" s="2738"/>
      <c r="M44" s="2738"/>
      <c r="N44" s="2738"/>
      <c r="O44" s="2738"/>
      <c r="P44" s="2840"/>
    </row>
    <row r="45" spans="1:16">
      <c r="A45" s="2891" t="s">
        <v>79</v>
      </c>
      <c r="B45" s="2732" t="s">
        <v>78</v>
      </c>
      <c r="C45" s="2890">
        <f t="shared" ref="C45:C54" si="7">ROUND(SUM(D45:P45),2)</f>
        <v>0</v>
      </c>
      <c r="D45" s="2809"/>
      <c r="E45" s="2738"/>
      <c r="F45" s="2738"/>
      <c r="G45" s="2738"/>
      <c r="H45" s="2738"/>
      <c r="I45" s="2738"/>
      <c r="J45" s="2738"/>
      <c r="K45" s="2738"/>
      <c r="L45" s="2738"/>
      <c r="M45" s="2738"/>
      <c r="N45" s="2738"/>
      <c r="O45" s="2738"/>
      <c r="P45" s="2840"/>
    </row>
    <row r="46" spans="1:16">
      <c r="A46" s="2891" t="s">
        <v>80</v>
      </c>
      <c r="B46" s="2732" t="s">
        <v>81</v>
      </c>
      <c r="C46" s="2890">
        <f t="shared" si="7"/>
        <v>0</v>
      </c>
      <c r="D46" s="2809"/>
      <c r="E46" s="2738"/>
      <c r="F46" s="2738"/>
      <c r="G46" s="2738"/>
      <c r="H46" s="2738"/>
      <c r="I46" s="2738"/>
      <c r="J46" s="2738"/>
      <c r="K46" s="2738"/>
      <c r="L46" s="2738"/>
      <c r="M46" s="2738"/>
      <c r="N46" s="2738"/>
      <c r="O46" s="2738"/>
      <c r="P46" s="2840"/>
    </row>
    <row r="47" spans="1:16">
      <c r="A47" s="2891" t="s">
        <v>82</v>
      </c>
      <c r="B47" s="2732" t="s">
        <v>83</v>
      </c>
      <c r="C47" s="2890">
        <f t="shared" si="7"/>
        <v>0</v>
      </c>
      <c r="D47" s="2809"/>
      <c r="E47" s="2738"/>
      <c r="F47" s="2738"/>
      <c r="G47" s="2738"/>
      <c r="H47" s="2738"/>
      <c r="I47" s="2738"/>
      <c r="J47" s="2738"/>
      <c r="K47" s="2738"/>
      <c r="L47" s="2738"/>
      <c r="M47" s="2738"/>
      <c r="N47" s="2738"/>
      <c r="O47" s="2738"/>
      <c r="P47" s="2840"/>
    </row>
    <row r="48" spans="1:16">
      <c r="A48" s="2891" t="s">
        <v>84</v>
      </c>
      <c r="B48" s="2732" t="s">
        <v>83</v>
      </c>
      <c r="C48" s="2890">
        <f t="shared" si="7"/>
        <v>0</v>
      </c>
      <c r="D48" s="2809"/>
      <c r="E48" s="2738"/>
      <c r="F48" s="2738"/>
      <c r="G48" s="2738"/>
      <c r="H48" s="2738"/>
      <c r="I48" s="2738"/>
      <c r="J48" s="2738"/>
      <c r="K48" s="2738"/>
      <c r="L48" s="2738"/>
      <c r="M48" s="2738"/>
      <c r="N48" s="2738"/>
      <c r="O48" s="2738"/>
      <c r="P48" s="2840"/>
    </row>
    <row r="49" spans="1:16">
      <c r="A49" s="2891" t="s">
        <v>85</v>
      </c>
      <c r="B49" s="2732" t="s">
        <v>83</v>
      </c>
      <c r="C49" s="2890">
        <f t="shared" si="7"/>
        <v>0</v>
      </c>
      <c r="D49" s="2809"/>
      <c r="E49" s="2738"/>
      <c r="F49" s="2738"/>
      <c r="G49" s="2738"/>
      <c r="H49" s="2738"/>
      <c r="I49" s="2738"/>
      <c r="J49" s="2738"/>
      <c r="K49" s="2738"/>
      <c r="L49" s="2738"/>
      <c r="M49" s="2738"/>
      <c r="N49" s="2738"/>
      <c r="O49" s="2738"/>
      <c r="P49" s="2840"/>
    </row>
    <row r="50" spans="1:16">
      <c r="A50" s="2891" t="s">
        <v>86</v>
      </c>
      <c r="B50" s="2732" t="s">
        <v>87</v>
      </c>
      <c r="C50" s="2890">
        <f t="shared" si="7"/>
        <v>0</v>
      </c>
      <c r="D50" s="2809"/>
      <c r="E50" s="2738"/>
      <c r="F50" s="2738"/>
      <c r="G50" s="2738"/>
      <c r="H50" s="2738"/>
      <c r="I50" s="2738"/>
      <c r="J50" s="2738"/>
      <c r="K50" s="2738"/>
      <c r="L50" s="2738"/>
      <c r="M50" s="2738"/>
      <c r="N50" s="2738"/>
      <c r="O50" s="2738"/>
      <c r="P50" s="2840"/>
    </row>
    <row r="51" spans="1:16">
      <c r="A51" s="2891" t="s">
        <v>88</v>
      </c>
      <c r="B51" s="2732" t="s">
        <v>89</v>
      </c>
      <c r="C51" s="2890">
        <f t="shared" si="7"/>
        <v>0</v>
      </c>
      <c r="D51" s="2809"/>
      <c r="E51" s="2738"/>
      <c r="F51" s="2738"/>
      <c r="G51" s="2738"/>
      <c r="H51" s="2738"/>
      <c r="I51" s="2738"/>
      <c r="J51" s="2738"/>
      <c r="K51" s="2738"/>
      <c r="L51" s="2738"/>
      <c r="M51" s="2738"/>
      <c r="N51" s="2738"/>
      <c r="O51" s="2738"/>
      <c r="P51" s="2840"/>
    </row>
    <row r="52" spans="1:16">
      <c r="A52" s="2891" t="s">
        <v>90</v>
      </c>
      <c r="B52" s="2732" t="s">
        <v>91</v>
      </c>
      <c r="C52" s="2890">
        <f t="shared" si="7"/>
        <v>0</v>
      </c>
      <c r="D52" s="2809"/>
      <c r="E52" s="2738"/>
      <c r="F52" s="2738"/>
      <c r="G52" s="2738"/>
      <c r="H52" s="2738"/>
      <c r="I52" s="2738"/>
      <c r="J52" s="2738"/>
      <c r="K52" s="2738"/>
      <c r="L52" s="2738"/>
      <c r="M52" s="2738"/>
      <c r="N52" s="2738"/>
      <c r="O52" s="2738"/>
      <c r="P52" s="2840"/>
    </row>
    <row r="53" spans="1:16">
      <c r="A53" s="2891" t="s">
        <v>92</v>
      </c>
      <c r="B53" s="2732"/>
      <c r="C53" s="2890">
        <f t="shared" si="7"/>
        <v>0</v>
      </c>
      <c r="D53" s="2809"/>
      <c r="E53" s="2738"/>
      <c r="F53" s="2738"/>
      <c r="G53" s="2738"/>
      <c r="H53" s="2738"/>
      <c r="I53" s="2738"/>
      <c r="J53" s="2738"/>
      <c r="K53" s="2738"/>
      <c r="L53" s="2738"/>
      <c r="M53" s="2738"/>
      <c r="N53" s="2738"/>
      <c r="O53" s="2738"/>
      <c r="P53" s="2840"/>
    </row>
    <row r="54" spans="1:16">
      <c r="A54" s="2891" t="s">
        <v>93</v>
      </c>
      <c r="B54" s="2732"/>
      <c r="C54" s="2890">
        <f t="shared" si="7"/>
        <v>0</v>
      </c>
      <c r="D54" s="2809"/>
      <c r="E54" s="2738"/>
      <c r="F54" s="2738"/>
      <c r="G54" s="2738"/>
      <c r="H54" s="2738"/>
      <c r="I54" s="2738"/>
      <c r="J54" s="2738"/>
      <c r="K54" s="2738"/>
      <c r="L54" s="2738"/>
      <c r="M54" s="2738"/>
      <c r="N54" s="2738"/>
      <c r="O54" s="2738"/>
      <c r="P54" s="2840"/>
    </row>
    <row r="55" spans="1:16">
      <c r="A55" s="2892"/>
      <c r="B55" s="2732"/>
      <c r="C55" s="2809"/>
      <c r="D55" s="2809"/>
      <c r="E55" s="2809"/>
      <c r="F55" s="2809"/>
      <c r="G55" s="2809"/>
      <c r="H55" s="2809"/>
      <c r="I55" s="2809"/>
      <c r="J55" s="2809"/>
      <c r="K55" s="2809"/>
      <c r="L55" s="2809"/>
      <c r="M55" s="2809"/>
      <c r="N55" s="2809"/>
      <c r="O55" s="2809"/>
      <c r="P55" s="2811"/>
    </row>
    <row r="56" spans="1:16">
      <c r="A56" s="2889" t="s">
        <v>94</v>
      </c>
      <c r="B56" s="2750"/>
      <c r="C56" s="2813">
        <f>ROUND(C44-SUM(C45:C50)+C51+C52+C54,2)</f>
        <v>0</v>
      </c>
      <c r="D56" s="2813"/>
      <c r="E56" s="2813">
        <f>ROUND(E44-SUM(E45:E50)+E51+E52+E54,2)</f>
        <v>0</v>
      </c>
      <c r="F56" s="2813">
        <f t="shared" ref="F56:P56" si="8">ROUND(F44-SUM(F45:F50)+F51+F52+F54,2)</f>
        <v>0</v>
      </c>
      <c r="G56" s="2813">
        <f t="shared" si="8"/>
        <v>0</v>
      </c>
      <c r="H56" s="2813">
        <f t="shared" si="8"/>
        <v>0</v>
      </c>
      <c r="I56" s="2813">
        <f t="shared" si="8"/>
        <v>0</v>
      </c>
      <c r="J56" s="2813">
        <f t="shared" si="8"/>
        <v>0</v>
      </c>
      <c r="K56" s="2813">
        <f t="shared" si="8"/>
        <v>0</v>
      </c>
      <c r="L56" s="2813">
        <f t="shared" si="8"/>
        <v>0</v>
      </c>
      <c r="M56" s="2813">
        <f t="shared" si="8"/>
        <v>0</v>
      </c>
      <c r="N56" s="2813">
        <f t="shared" si="8"/>
        <v>0</v>
      </c>
      <c r="O56" s="2813">
        <f t="shared" si="8"/>
        <v>0</v>
      </c>
      <c r="P56" s="2893">
        <f t="shared" si="8"/>
        <v>0</v>
      </c>
    </row>
    <row r="57" spans="1:16">
      <c r="A57" s="2891" t="s">
        <v>95</v>
      </c>
      <c r="B57" s="2732" t="s">
        <v>96</v>
      </c>
      <c r="C57" s="2890">
        <f>ROUND(SUM(D57:P57),2)</f>
        <v>0</v>
      </c>
      <c r="D57" s="2809"/>
      <c r="E57" s="2738"/>
      <c r="F57" s="2738"/>
      <c r="G57" s="2738"/>
      <c r="H57" s="2738"/>
      <c r="I57" s="2738"/>
      <c r="J57" s="2738"/>
      <c r="K57" s="2738"/>
      <c r="L57" s="2738"/>
      <c r="M57" s="2738"/>
      <c r="N57" s="2738"/>
      <c r="O57" s="2738"/>
      <c r="P57" s="2840"/>
    </row>
    <row r="58" spans="1:16">
      <c r="A58" s="2891" t="s">
        <v>97</v>
      </c>
      <c r="B58" s="2732" t="s">
        <v>98</v>
      </c>
      <c r="C58" s="2890">
        <f t="shared" ref="C58:C59" si="9">ROUND(SUM(D58:P58),2)</f>
        <v>0</v>
      </c>
      <c r="D58" s="2809"/>
      <c r="E58" s="2738"/>
      <c r="F58" s="2738"/>
      <c r="G58" s="2738"/>
      <c r="H58" s="2738"/>
      <c r="I58" s="2738"/>
      <c r="J58" s="2738"/>
      <c r="K58" s="2738"/>
      <c r="L58" s="2738"/>
      <c r="M58" s="2738"/>
      <c r="N58" s="2738"/>
      <c r="O58" s="2738"/>
      <c r="P58" s="2840"/>
    </row>
    <row r="59" spans="1:16">
      <c r="A59" s="2891" t="s">
        <v>99</v>
      </c>
      <c r="B59" s="2732"/>
      <c r="C59" s="2890">
        <f t="shared" si="9"/>
        <v>0</v>
      </c>
      <c r="D59" s="2809"/>
      <c r="E59" s="2815"/>
      <c r="F59" s="2815"/>
      <c r="G59" s="2815"/>
      <c r="H59" s="2815"/>
      <c r="I59" s="2815"/>
      <c r="J59" s="2815"/>
      <c r="K59" s="2815"/>
      <c r="L59" s="2815"/>
      <c r="M59" s="2815"/>
      <c r="N59" s="2815"/>
      <c r="O59" s="2815"/>
      <c r="P59" s="2819"/>
    </row>
    <row r="60" spans="1:16">
      <c r="A60" s="2892"/>
      <c r="B60" s="2732"/>
      <c r="C60" s="2809"/>
      <c r="D60" s="2809"/>
      <c r="E60" s="2809"/>
      <c r="F60" s="2809"/>
      <c r="G60" s="2809"/>
      <c r="H60" s="2809"/>
      <c r="I60" s="2809"/>
      <c r="J60" s="2809"/>
      <c r="K60" s="2809"/>
      <c r="L60" s="2809"/>
      <c r="M60" s="2809"/>
      <c r="N60" s="2809"/>
      <c r="O60" s="2809"/>
      <c r="P60" s="2811"/>
    </row>
    <row r="61" spans="1:16">
      <c r="A61" s="2889" t="s">
        <v>100</v>
      </c>
      <c r="B61" s="2732"/>
      <c r="C61" s="2890">
        <f>ROUND(SUM(D61:P61),2)</f>
        <v>0</v>
      </c>
      <c r="D61" s="2813"/>
      <c r="E61" s="2813">
        <f t="shared" ref="E61:P61" si="10">E56+E57-E58</f>
        <v>0</v>
      </c>
      <c r="F61" s="2813">
        <f t="shared" si="10"/>
        <v>0</v>
      </c>
      <c r="G61" s="2813">
        <f t="shared" si="10"/>
        <v>0</v>
      </c>
      <c r="H61" s="2813">
        <f t="shared" si="10"/>
        <v>0</v>
      </c>
      <c r="I61" s="2813">
        <f t="shared" si="10"/>
        <v>0</v>
      </c>
      <c r="J61" s="2813">
        <f t="shared" si="10"/>
        <v>0</v>
      </c>
      <c r="K61" s="2813">
        <f t="shared" si="10"/>
        <v>0</v>
      </c>
      <c r="L61" s="2813">
        <f t="shared" si="10"/>
        <v>0</v>
      </c>
      <c r="M61" s="2813">
        <f t="shared" si="10"/>
        <v>0</v>
      </c>
      <c r="N61" s="2813">
        <f t="shared" si="10"/>
        <v>0</v>
      </c>
      <c r="O61" s="2813">
        <f t="shared" si="10"/>
        <v>0</v>
      </c>
      <c r="P61" s="2893">
        <f t="shared" si="10"/>
        <v>0</v>
      </c>
    </row>
    <row r="62" spans="1:16">
      <c r="A62" s="2891" t="s">
        <v>101</v>
      </c>
      <c r="B62" s="2732" t="s">
        <v>102</v>
      </c>
      <c r="C62" s="2890">
        <f t="shared" ref="C62" si="11">ROUND(SUM(D62:P62),2)</f>
        <v>0</v>
      </c>
      <c r="D62" s="2809"/>
      <c r="E62" s="2738"/>
      <c r="F62" s="2738"/>
      <c r="G62" s="2738"/>
      <c r="H62" s="2738"/>
      <c r="I62" s="2738"/>
      <c r="J62" s="2738"/>
      <c r="K62" s="2738"/>
      <c r="L62" s="2738"/>
      <c r="M62" s="2738"/>
      <c r="N62" s="2738"/>
      <c r="O62" s="2738"/>
      <c r="P62" s="2840"/>
    </row>
    <row r="63" spans="1:16">
      <c r="A63" s="2892"/>
      <c r="B63" s="2732"/>
      <c r="C63" s="2809"/>
      <c r="D63" s="2809"/>
      <c r="E63" s="2809"/>
      <c r="F63" s="2809"/>
      <c r="G63" s="2809"/>
      <c r="H63" s="2809"/>
      <c r="I63" s="2809"/>
      <c r="J63" s="2809"/>
      <c r="K63" s="2809"/>
      <c r="L63" s="2809"/>
      <c r="M63" s="2809"/>
      <c r="N63" s="2809"/>
      <c r="O63" s="2809"/>
      <c r="P63" s="2811"/>
    </row>
    <row r="64" spans="1:16">
      <c r="A64" s="2889" t="s">
        <v>103</v>
      </c>
      <c r="B64" s="2750"/>
      <c r="C64" s="2813">
        <f>ROUND(C61-C62,2)</f>
        <v>0</v>
      </c>
      <c r="D64" s="2813"/>
      <c r="E64" s="2813">
        <f>ROUND(E61-E62,2)</f>
        <v>0</v>
      </c>
      <c r="F64" s="2813">
        <f t="shared" ref="F64:P64" si="12">ROUND(F61-F62,2)</f>
        <v>0</v>
      </c>
      <c r="G64" s="2813">
        <f t="shared" si="12"/>
        <v>0</v>
      </c>
      <c r="H64" s="2813">
        <f t="shared" si="12"/>
        <v>0</v>
      </c>
      <c r="I64" s="2813">
        <f t="shared" si="12"/>
        <v>0</v>
      </c>
      <c r="J64" s="2813">
        <f t="shared" si="12"/>
        <v>0</v>
      </c>
      <c r="K64" s="2813">
        <f t="shared" si="12"/>
        <v>0</v>
      </c>
      <c r="L64" s="2813">
        <f t="shared" si="12"/>
        <v>0</v>
      </c>
      <c r="M64" s="2813">
        <f t="shared" si="12"/>
        <v>0</v>
      </c>
      <c r="N64" s="2813">
        <f t="shared" si="12"/>
        <v>0</v>
      </c>
      <c r="O64" s="2813">
        <f t="shared" si="12"/>
        <v>0</v>
      </c>
      <c r="P64" s="2893">
        <f t="shared" si="12"/>
        <v>0</v>
      </c>
    </row>
    <row r="65" spans="1:16">
      <c r="A65" s="2891" t="s">
        <v>104</v>
      </c>
      <c r="B65" s="2732"/>
      <c r="C65" s="2890">
        <f>ROUND(SUM(D65:P65),2)</f>
        <v>0</v>
      </c>
      <c r="D65" s="2813"/>
      <c r="E65" s="2813"/>
      <c r="F65" s="2813"/>
      <c r="G65" s="2813"/>
      <c r="H65" s="2813"/>
      <c r="I65" s="2813"/>
      <c r="J65" s="2813"/>
      <c r="K65" s="2813"/>
      <c r="L65" s="2813"/>
      <c r="M65" s="2813"/>
      <c r="N65" s="2813"/>
      <c r="O65" s="2813"/>
      <c r="P65" s="2893"/>
    </row>
    <row r="66" spans="1:16">
      <c r="A66" s="2891" t="s">
        <v>105</v>
      </c>
      <c r="B66" s="2732"/>
      <c r="C66" s="2890">
        <f>ROUND(SUM(D66:P66),2)</f>
        <v>0</v>
      </c>
      <c r="D66" s="2809"/>
      <c r="E66" s="2816"/>
      <c r="F66" s="2816"/>
      <c r="G66" s="2816"/>
      <c r="H66" s="2816"/>
      <c r="I66" s="2816"/>
      <c r="J66" s="2816"/>
      <c r="K66" s="2816"/>
      <c r="L66" s="2816"/>
      <c r="M66" s="2816"/>
      <c r="N66" s="2816"/>
      <c r="O66" s="2816"/>
      <c r="P66" s="2841"/>
    </row>
    <row r="67" spans="1:16">
      <c r="A67" s="2891"/>
      <c r="B67" s="2750"/>
      <c r="C67" s="2817"/>
      <c r="D67" s="2817"/>
      <c r="E67" s="2817"/>
      <c r="F67" s="2817"/>
      <c r="G67" s="2817"/>
      <c r="H67" s="2817"/>
      <c r="I67" s="2817"/>
      <c r="J67" s="2817"/>
      <c r="K67" s="2817"/>
      <c r="L67" s="2817"/>
      <c r="M67" s="2817"/>
      <c r="N67" s="2817"/>
      <c r="O67" s="2817"/>
      <c r="P67" s="2818"/>
    </row>
    <row r="68" spans="1:16">
      <c r="A68" s="2889" t="s">
        <v>106</v>
      </c>
      <c r="B68" s="2750"/>
      <c r="C68" s="2817"/>
      <c r="D68" s="2817"/>
      <c r="E68" s="2817"/>
      <c r="F68" s="2817"/>
      <c r="G68" s="2817"/>
      <c r="H68" s="2817"/>
      <c r="I68" s="2817"/>
      <c r="J68" s="2817"/>
      <c r="K68" s="2817"/>
      <c r="L68" s="2817"/>
      <c r="M68" s="2817"/>
      <c r="N68" s="2817"/>
      <c r="O68" s="2817"/>
      <c r="P68" s="2818"/>
    </row>
    <row r="69" spans="1:16">
      <c r="A69" s="2891" t="s">
        <v>107</v>
      </c>
      <c r="B69" s="2750"/>
      <c r="C69" s="2815"/>
      <c r="D69" s="2815"/>
      <c r="E69" s="2815"/>
      <c r="F69" s="2815"/>
      <c r="G69" s="2815"/>
      <c r="H69" s="2815"/>
      <c r="I69" s="2815"/>
      <c r="J69" s="2815"/>
      <c r="K69" s="2815"/>
      <c r="L69" s="2815"/>
      <c r="M69" s="2815"/>
      <c r="N69" s="2815"/>
      <c r="O69" s="2815"/>
      <c r="P69" s="2819"/>
    </row>
    <row r="70" ht="15" spans="1:16">
      <c r="A70" s="2896" t="s">
        <v>108</v>
      </c>
      <c r="B70" s="2821"/>
      <c r="C70" s="2822"/>
      <c r="D70" s="2822"/>
      <c r="E70" s="2822"/>
      <c r="F70" s="2822"/>
      <c r="G70" s="2822"/>
      <c r="H70" s="2822"/>
      <c r="I70" s="2822"/>
      <c r="J70" s="2822"/>
      <c r="K70" s="2822"/>
      <c r="L70" s="2822"/>
      <c r="M70" s="2822"/>
      <c r="N70" s="2822"/>
      <c r="O70" s="2822"/>
      <c r="P70" s="2823"/>
    </row>
    <row r="71" ht="15" spans="1:16">
      <c r="A71" s="2897"/>
      <c r="B71" s="2825"/>
      <c r="C71" s="2827"/>
      <c r="D71" s="2827"/>
      <c r="E71" s="2827"/>
      <c r="F71" s="2827"/>
      <c r="G71" s="2827"/>
      <c r="H71" s="2827"/>
      <c r="I71" s="2827"/>
      <c r="J71" s="2827"/>
      <c r="K71" s="2827"/>
      <c r="L71" s="2827"/>
      <c r="M71" s="2827"/>
      <c r="N71" s="2827"/>
      <c r="O71" s="2827"/>
      <c r="P71" s="2827"/>
    </row>
    <row r="72" ht="15" spans="1:16">
      <c r="A72" s="2879" t="s">
        <v>109</v>
      </c>
      <c r="B72" s="2825"/>
      <c r="C72" s="2827"/>
      <c r="D72" s="2827"/>
      <c r="E72" s="2827"/>
      <c r="F72" s="2827"/>
      <c r="G72" s="2827"/>
      <c r="H72" s="2827"/>
      <c r="I72" s="2827"/>
      <c r="J72" s="2827"/>
      <c r="K72" s="2827"/>
      <c r="L72" s="2827"/>
      <c r="M72" s="2827"/>
      <c r="N72" s="2827"/>
      <c r="O72" s="2827"/>
      <c r="P72" s="2827"/>
    </row>
    <row r="73" ht="15" spans="1:16">
      <c r="A73" s="2898" t="s">
        <v>110</v>
      </c>
      <c r="B73" s="2899"/>
      <c r="C73" s="2834">
        <f>审定利润表!D36</f>
        <v>-10590731.64</v>
      </c>
      <c r="D73" s="2834"/>
      <c r="E73" s="2834">
        <f t="shared" ref="E73:P73" si="13">E65</f>
        <v>0</v>
      </c>
      <c r="F73" s="2834">
        <f t="shared" si="13"/>
        <v>0</v>
      </c>
      <c r="G73" s="2834">
        <f t="shared" si="13"/>
        <v>0</v>
      </c>
      <c r="H73" s="2834">
        <f t="shared" si="13"/>
        <v>0</v>
      </c>
      <c r="I73" s="2834">
        <f t="shared" si="13"/>
        <v>0</v>
      </c>
      <c r="J73" s="2834">
        <f t="shared" si="13"/>
        <v>0</v>
      </c>
      <c r="K73" s="2834">
        <f t="shared" si="13"/>
        <v>0</v>
      </c>
      <c r="L73" s="2834">
        <f t="shared" si="13"/>
        <v>0</v>
      </c>
      <c r="M73" s="2834">
        <f t="shared" si="13"/>
        <v>0</v>
      </c>
      <c r="N73" s="2834">
        <f t="shared" si="13"/>
        <v>0</v>
      </c>
      <c r="O73" s="2834">
        <f t="shared" si="13"/>
        <v>0</v>
      </c>
      <c r="P73" s="2842">
        <f t="shared" si="13"/>
        <v>0</v>
      </c>
    </row>
    <row r="74" spans="1:16">
      <c r="A74" s="2892" t="s">
        <v>111</v>
      </c>
      <c r="B74" s="2732"/>
      <c r="C74" s="2809">
        <f>审定利润表!D37</f>
        <v>-7295558.4</v>
      </c>
      <c r="D74" s="2809"/>
      <c r="E74" s="2900"/>
      <c r="F74" s="2900"/>
      <c r="G74" s="2900"/>
      <c r="H74" s="2900"/>
      <c r="I74" s="2900"/>
      <c r="J74" s="2900"/>
      <c r="K74" s="2900"/>
      <c r="L74" s="2900"/>
      <c r="M74" s="2900"/>
      <c r="N74" s="2900"/>
      <c r="O74" s="2900"/>
      <c r="P74" s="2903"/>
    </row>
    <row r="75" spans="1:16">
      <c r="A75" s="2892" t="s">
        <v>112</v>
      </c>
      <c r="B75" s="2732"/>
      <c r="C75" s="2809">
        <f>审定利润表!D38</f>
        <v>18800000</v>
      </c>
      <c r="D75" s="2809"/>
      <c r="E75" s="2901"/>
      <c r="F75" s="2901"/>
      <c r="G75" s="2901"/>
      <c r="H75" s="2901"/>
      <c r="I75" s="2901"/>
      <c r="J75" s="2901"/>
      <c r="K75" s="2901"/>
      <c r="L75" s="2901"/>
      <c r="M75" s="2901"/>
      <c r="N75" s="2901"/>
      <c r="O75" s="2901"/>
      <c r="P75" s="2904"/>
    </row>
    <row r="76" ht="15" spans="1:16">
      <c r="A76" s="2902" t="s">
        <v>113</v>
      </c>
      <c r="B76" s="2878"/>
      <c r="C76" s="2821">
        <f>审定利润表!D39</f>
        <v>-36686290.04</v>
      </c>
      <c r="D76" s="2821"/>
      <c r="E76" s="2821">
        <f>ROUND(E73+E74-E75,2)</f>
        <v>0</v>
      </c>
      <c r="F76" s="2821">
        <f t="shared" ref="F76:P76" si="14">ROUND(F73+F74-F75,2)</f>
        <v>0</v>
      </c>
      <c r="G76" s="2821">
        <f t="shared" si="14"/>
        <v>0</v>
      </c>
      <c r="H76" s="2821">
        <f t="shared" si="14"/>
        <v>0</v>
      </c>
      <c r="I76" s="2821">
        <f t="shared" si="14"/>
        <v>0</v>
      </c>
      <c r="J76" s="2821">
        <f t="shared" si="14"/>
        <v>0</v>
      </c>
      <c r="K76" s="2821">
        <f t="shared" si="14"/>
        <v>0</v>
      </c>
      <c r="L76" s="2821">
        <f t="shared" si="14"/>
        <v>0</v>
      </c>
      <c r="M76" s="2821">
        <f t="shared" si="14"/>
        <v>0</v>
      </c>
      <c r="N76" s="2821">
        <f t="shared" si="14"/>
        <v>0</v>
      </c>
      <c r="O76" s="2821">
        <f t="shared" si="14"/>
        <v>0</v>
      </c>
      <c r="P76" s="2894">
        <f t="shared" si="14"/>
        <v>0</v>
      </c>
    </row>
    <row r="77" ht="15"/>
  </sheetData>
  <sheetProtection formatCells="0" formatColumns="0" formatRows="0" insertHyperlinks="0" sort="0" autoFilter="0" pivotTables="0"/>
  <autoFilter ref="A5:P76">
    <extLst/>
  </autoFilter>
  <mergeCells count="2">
    <mergeCell ref="A42:A43"/>
    <mergeCell ref="B42:B43"/>
  </mergeCells>
  <hyperlinks>
    <hyperlink ref="B6" location="报表附注!E2492" display="（五十四）"/>
    <hyperlink ref="B7" location="报表附注!E2492" display="（五十四）"/>
    <hyperlink ref="B8" location="报表附注!E2586" display="（五十六）"/>
    <hyperlink ref="B13" location="报表附注!E2602" display="（五十七）"/>
    <hyperlink ref="B14" location="报表附注!E2623" display="（五十八）"/>
    <hyperlink ref="B12" location="报表附注!E2675" display="（五十九）"/>
    <hyperlink ref="B10" location="报表附注!E2717" display="（六十）"/>
    <hyperlink ref="B9" location="报表附注!E2788" display="（六十）"/>
    <hyperlink ref="B11" location="报表附注!E2697" display="（六十）"/>
    <hyperlink ref="B19" location="报表附注!E2878" display="（六十一）"/>
    <hyperlink ref="B20" location="报表附注!E2944" display="（六十二）"/>
    <hyperlink ref="B24" location="报表附注!E2963" display="（六十三）"/>
    <hyperlink ref="B44" location="报表附注!E2492" display="（五十四）"/>
    <hyperlink ref="B45" location="报表附注!E2492" display="（五十四）"/>
    <hyperlink ref="B46" location="报表附注!E2586" display="（五十六）"/>
    <hyperlink ref="B51" location="报表附注!E2602" display="（五十七）"/>
    <hyperlink ref="B52" location="报表附注!E2623" display="（五十八）"/>
    <hyperlink ref="B50" location="报表附注!E2675" display="（五十九）"/>
    <hyperlink ref="B48" location="报表附注!E2717" display="（六十）"/>
    <hyperlink ref="B47" location="报表附注!E2788" display="（六十）"/>
    <hyperlink ref="B49" location="报表附注!E2697" display="（六十）"/>
    <hyperlink ref="B57" location="报表附注!E2878" display="（六十一）"/>
    <hyperlink ref="B58" location="报表附注!E2944" display="（六十二）"/>
    <hyperlink ref="B62" location="报表附注!E2963" display="（六十三）"/>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workbookViewId="0">
      <pane xSplit="4" ySplit="5" topLeftCell="E6" activePane="bottomRight" state="frozen"/>
      <selection/>
      <selection pane="topRight"/>
      <selection pane="bottomLeft"/>
      <selection pane="bottomRight" activeCell="F20" sqref="F20"/>
    </sheetView>
  </sheetViews>
  <sheetFormatPr defaultColWidth="9" defaultRowHeight="14.25"/>
  <cols>
    <col min="1" max="1" width="34.875" customWidth="1"/>
    <col min="2" max="2" width="5.25" customWidth="1"/>
    <col min="3" max="3" width="13.5" customWidth="1"/>
    <col min="4" max="4" width="1.875" hidden="1" customWidth="1"/>
    <col min="5" max="16" width="10.5" customWidth="1"/>
  </cols>
  <sheetData>
    <row r="1" ht="21" customHeight="1" spans="1:16">
      <c r="A1" s="2709" t="s">
        <v>115</v>
      </c>
      <c r="B1" s="2710"/>
      <c r="C1" s="2710"/>
      <c r="D1" s="2710"/>
      <c r="E1" s="2710"/>
      <c r="F1" s="2710"/>
      <c r="G1" s="2710"/>
      <c r="H1" s="2710"/>
      <c r="I1" s="2710"/>
      <c r="J1" s="2710"/>
      <c r="K1" s="2710"/>
      <c r="L1" s="2710"/>
      <c r="M1" s="2710"/>
      <c r="N1" s="2710"/>
      <c r="O1" s="2710"/>
      <c r="P1" s="2710"/>
    </row>
    <row r="2" spans="1:16">
      <c r="A2" s="2712" t="str">
        <f>IF(C2&lt;&gt;0,"对应列“期末现金及现金等价物余额”与资产负债表不符，相差：","")</f>
        <v>对应列“期末现金及现金等价物余额”与资产负债表不符，相差：</v>
      </c>
      <c r="B2" s="2713"/>
      <c r="C2" s="2714">
        <f>ROUND(未审资负表!C7-C49,2)</f>
        <v>4158216.16</v>
      </c>
      <c r="D2" s="2711"/>
      <c r="E2" s="2711"/>
      <c r="F2" s="2711"/>
      <c r="G2" s="2711"/>
      <c r="H2" s="2711"/>
      <c r="I2" s="2711"/>
      <c r="J2" s="2711"/>
      <c r="K2" s="2711"/>
      <c r="L2" s="2711"/>
      <c r="M2" s="2711"/>
      <c r="N2" s="2711"/>
      <c r="O2" s="2711"/>
      <c r="P2" s="2711"/>
    </row>
    <row r="3" ht="15" spans="1:16">
      <c r="A3" s="2715" t="str">
        <f>"编制单位："&amp;参数表!C3</f>
        <v>编制单位：深圳新阳蓝光能源管理科技股份有限公司</v>
      </c>
      <c r="B3" s="2716"/>
      <c r="C3" s="2717"/>
      <c r="D3" s="2717"/>
      <c r="E3" s="2717"/>
      <c r="F3" s="2717"/>
      <c r="G3" s="2717"/>
      <c r="H3" s="2717"/>
      <c r="I3" s="2717"/>
      <c r="J3" s="2717"/>
      <c r="K3" s="2717"/>
      <c r="L3" s="2717"/>
      <c r="M3" s="2717"/>
      <c r="N3" s="2717"/>
      <c r="O3" s="2717"/>
      <c r="P3" s="2717"/>
    </row>
    <row r="4" ht="15" spans="1:16">
      <c r="A4" s="2719" t="s">
        <v>61</v>
      </c>
      <c r="B4" s="2720" t="s">
        <v>62</v>
      </c>
      <c r="C4" s="2721" t="str">
        <f>IF(参数表!$C$12="本期间为特定年","本年金额","本期金额")</f>
        <v>本年金额</v>
      </c>
      <c r="D4" s="2721"/>
      <c r="E4" s="2721" t="str">
        <f>IF(参数表!$C$12="本期间为特定年","本年金额","本期金额")</f>
        <v>本年金额</v>
      </c>
      <c r="F4" s="2721" t="str">
        <f>IF(参数表!$C$12="本期间为特定年","本年金额","本期金额")</f>
        <v>本年金额</v>
      </c>
      <c r="G4" s="2721" t="str">
        <f>IF(参数表!$C$12="本期间为特定年","本年金额","本期金额")</f>
        <v>本年金额</v>
      </c>
      <c r="H4" s="2721" t="str">
        <f>IF(参数表!$C$12="本期间为特定年","本年金额","本期金额")</f>
        <v>本年金额</v>
      </c>
      <c r="I4" s="2721" t="str">
        <f>IF(参数表!$C$12="本期间为特定年","本年金额","本期金额")</f>
        <v>本年金额</v>
      </c>
      <c r="J4" s="2721" t="str">
        <f>IF(参数表!$C$12="本期间为特定年","本年金额","本期金额")</f>
        <v>本年金额</v>
      </c>
      <c r="K4" s="2721" t="str">
        <f>IF(参数表!$C$12="本期间为特定年","本年金额","本期金额")</f>
        <v>本年金额</v>
      </c>
      <c r="L4" s="2721" t="str">
        <f>IF(参数表!$C$12="本期间为特定年","本年金额","本期金额")</f>
        <v>本年金额</v>
      </c>
      <c r="M4" s="2721" t="str">
        <f>IF(参数表!$C$12="本期间为特定年","本年金额","本期金额")</f>
        <v>本年金额</v>
      </c>
      <c r="N4" s="2721" t="str">
        <f>IF(参数表!$C$12="本期间为特定年","本年金额","本期金额")</f>
        <v>本年金额</v>
      </c>
      <c r="O4" s="2721" t="str">
        <f>IF(参数表!$C$12="本期间为特定年","本年金额","本期金额")</f>
        <v>本年金额</v>
      </c>
      <c r="P4" s="2722" t="str">
        <f>IF(参数表!$C$12="本期间为特定年","本年金额","本期金额")</f>
        <v>本年金额</v>
      </c>
    </row>
    <row r="5" spans="1:16">
      <c r="A5" s="2725"/>
      <c r="B5" s="2726"/>
      <c r="C5" s="2727" t="s">
        <v>64</v>
      </c>
      <c r="D5" s="2727"/>
      <c r="E5" s="2866" t="str">
        <f>月度审定利润表!E5</f>
        <v>1月</v>
      </c>
      <c r="F5" s="2727" t="str">
        <f>月度审定利润表!F5</f>
        <v>2月</v>
      </c>
      <c r="G5" s="2866" t="str">
        <f>月度审定利润表!G5</f>
        <v>3月</v>
      </c>
      <c r="H5" s="2727" t="str">
        <f>月度审定利润表!H5</f>
        <v>4月</v>
      </c>
      <c r="I5" s="2866" t="str">
        <f>月度审定利润表!I5</f>
        <v>5月</v>
      </c>
      <c r="J5" s="2727" t="str">
        <f>月度审定利润表!J5</f>
        <v>6月</v>
      </c>
      <c r="K5" s="2866" t="str">
        <f>月度审定利润表!K5</f>
        <v>7月</v>
      </c>
      <c r="L5" s="2727" t="str">
        <f>月度审定利润表!L5</f>
        <v>8月</v>
      </c>
      <c r="M5" s="2866" t="str">
        <f>月度审定利润表!M5</f>
        <v>9月</v>
      </c>
      <c r="N5" s="2727" t="str">
        <f>月度审定利润表!N5</f>
        <v>10月</v>
      </c>
      <c r="O5" s="2866" t="str">
        <f>月度审定利润表!O5</f>
        <v>11月</v>
      </c>
      <c r="P5" s="2769" t="str">
        <f>月度审定利润表!P5</f>
        <v>12月</v>
      </c>
    </row>
    <row r="6" spans="1:16">
      <c r="A6" s="2731" t="s">
        <v>116</v>
      </c>
      <c r="B6" s="2732"/>
      <c r="C6" s="2733"/>
      <c r="D6" s="2733"/>
      <c r="E6" s="2733"/>
      <c r="F6" s="2733"/>
      <c r="G6" s="2733"/>
      <c r="H6" s="2733"/>
      <c r="I6" s="2733"/>
      <c r="J6" s="2733"/>
      <c r="K6" s="2733"/>
      <c r="L6" s="2733"/>
      <c r="M6" s="2733"/>
      <c r="N6" s="2733"/>
      <c r="O6" s="2733"/>
      <c r="P6" s="2734"/>
    </row>
    <row r="7" spans="1:16">
      <c r="A7" s="2736" t="s">
        <v>117</v>
      </c>
      <c r="B7" s="2154"/>
      <c r="C7" s="2735">
        <f>审定现流表!C7</f>
        <v>60566550.55</v>
      </c>
      <c r="D7" s="2733"/>
      <c r="E7" s="2738">
        <f>$C7-SUM($D7:D7)</f>
        <v>60566550.55</v>
      </c>
      <c r="F7" s="2738">
        <f>$C7-SUM($D7:E7)</f>
        <v>0</v>
      </c>
      <c r="G7" s="2738">
        <f>$C7-SUM($D7:F7)</f>
        <v>0</v>
      </c>
      <c r="H7" s="2738">
        <f>$C7-SUM($D7:G7)</f>
        <v>0</v>
      </c>
      <c r="I7" s="2738">
        <f>$C7-SUM($D7:H7)</f>
        <v>0</v>
      </c>
      <c r="J7" s="2738">
        <f>$C7-SUM($D7:I7)</f>
        <v>0</v>
      </c>
      <c r="K7" s="2738">
        <f>$C7-SUM($D7:J7)</f>
        <v>0</v>
      </c>
      <c r="L7" s="2738">
        <f>$C7-SUM($D7:K7)</f>
        <v>0</v>
      </c>
      <c r="M7" s="2738">
        <f>$C7-SUM($D7:L7)</f>
        <v>0</v>
      </c>
      <c r="N7" s="2738">
        <f>$C7-SUM($D7:M7)</f>
        <v>0</v>
      </c>
      <c r="O7" s="2738">
        <f>$C7-SUM($D7:N7)</f>
        <v>0</v>
      </c>
      <c r="P7" s="2751">
        <f>$C7-SUM($D7:O7)</f>
        <v>0</v>
      </c>
    </row>
    <row r="8" spans="1:16">
      <c r="A8" s="2736" t="s">
        <v>118</v>
      </c>
      <c r="B8" s="2154"/>
      <c r="C8" s="2735">
        <f>审定现流表!C8</f>
        <v>715762.64</v>
      </c>
      <c r="D8" s="2733"/>
      <c r="E8" s="2738">
        <f>$C8-SUM($D8:D8)</f>
        <v>715762.64</v>
      </c>
      <c r="F8" s="2738">
        <f>$C8-SUM($D8:E8)</f>
        <v>0</v>
      </c>
      <c r="G8" s="2738">
        <f>$C8-SUM($D8:F8)</f>
        <v>0</v>
      </c>
      <c r="H8" s="2738">
        <f>$C8-SUM($D8:G8)</f>
        <v>0</v>
      </c>
      <c r="I8" s="2738">
        <f>$C8-SUM($D8:H8)</f>
        <v>0</v>
      </c>
      <c r="J8" s="2738">
        <f>$C8-SUM($D8:I8)</f>
        <v>0</v>
      </c>
      <c r="K8" s="2738">
        <f>$C8-SUM($D8:J8)</f>
        <v>0</v>
      </c>
      <c r="L8" s="2738">
        <f>$C8-SUM($D8:K8)</f>
        <v>0</v>
      </c>
      <c r="M8" s="2738">
        <f>$C8-SUM($D8:L8)</f>
        <v>0</v>
      </c>
      <c r="N8" s="2738">
        <f>$C8-SUM($D8:M8)</f>
        <v>0</v>
      </c>
      <c r="O8" s="2738">
        <f>$C8-SUM($D8:N8)</f>
        <v>0</v>
      </c>
      <c r="P8" s="2751">
        <f>$C8-SUM($D8:O8)</f>
        <v>0</v>
      </c>
    </row>
    <row r="9" spans="1:16">
      <c r="A9" s="2736" t="s">
        <v>119</v>
      </c>
      <c r="B9" s="2159" t="s">
        <v>120</v>
      </c>
      <c r="C9" s="2735">
        <f>审定现流表!C9</f>
        <v>15400669.23</v>
      </c>
      <c r="D9" s="2733"/>
      <c r="E9" s="2738">
        <f>$C9-SUM($D9:D9)</f>
        <v>15400669.23</v>
      </c>
      <c r="F9" s="2738">
        <f>$C9-SUM($D9:E9)</f>
        <v>0</v>
      </c>
      <c r="G9" s="2738">
        <f>$C9-SUM($D9:F9)</f>
        <v>0</v>
      </c>
      <c r="H9" s="2738">
        <f>$C9-SUM($D9:G9)</f>
        <v>0</v>
      </c>
      <c r="I9" s="2738">
        <f>$C9-SUM($D9:H9)</f>
        <v>0</v>
      </c>
      <c r="J9" s="2738">
        <f>$C9-SUM($D9:I9)</f>
        <v>0</v>
      </c>
      <c r="K9" s="2738">
        <f>$C9-SUM($D9:J9)</f>
        <v>0</v>
      </c>
      <c r="L9" s="2738">
        <f>$C9-SUM($D9:K9)</f>
        <v>0</v>
      </c>
      <c r="M9" s="2738">
        <f>$C9-SUM($D9:L9)</f>
        <v>0</v>
      </c>
      <c r="N9" s="2738">
        <f>$C9-SUM($D9:M9)</f>
        <v>0</v>
      </c>
      <c r="O9" s="2738">
        <f>$C9-SUM($D9:N9)</f>
        <v>0</v>
      </c>
      <c r="P9" s="2751">
        <f>$C9-SUM($D9:O9)</f>
        <v>0</v>
      </c>
    </row>
    <row r="10" spans="1:16">
      <c r="A10" s="2741" t="s">
        <v>121</v>
      </c>
      <c r="B10" s="2750"/>
      <c r="C10" s="2743"/>
      <c r="D10" s="2744"/>
      <c r="E10" s="2744">
        <f t="shared" ref="E10:P10" si="0">ROUND(SUM(E7:E9),2)</f>
        <v>76682982.42</v>
      </c>
      <c r="F10" s="2744">
        <f t="shared" si="0"/>
        <v>0</v>
      </c>
      <c r="G10" s="2744">
        <f t="shared" si="0"/>
        <v>0</v>
      </c>
      <c r="H10" s="2744">
        <f t="shared" si="0"/>
        <v>0</v>
      </c>
      <c r="I10" s="2744">
        <f t="shared" si="0"/>
        <v>0</v>
      </c>
      <c r="J10" s="2744">
        <f t="shared" si="0"/>
        <v>0</v>
      </c>
      <c r="K10" s="2744">
        <f t="shared" si="0"/>
        <v>0</v>
      </c>
      <c r="L10" s="2744">
        <f t="shared" si="0"/>
        <v>0</v>
      </c>
      <c r="M10" s="2744">
        <f t="shared" si="0"/>
        <v>0</v>
      </c>
      <c r="N10" s="2744">
        <f t="shared" si="0"/>
        <v>0</v>
      </c>
      <c r="O10" s="2744">
        <f t="shared" si="0"/>
        <v>0</v>
      </c>
      <c r="P10" s="2870">
        <f t="shared" si="0"/>
        <v>0</v>
      </c>
    </row>
    <row r="11" spans="1:16">
      <c r="A11" s="2736" t="s">
        <v>122</v>
      </c>
      <c r="B11" s="2154"/>
      <c r="C11" s="2735">
        <f>审定现流表!C11</f>
        <v>84892237.23</v>
      </c>
      <c r="D11" s="2733"/>
      <c r="E11" s="2738">
        <f>$C11-SUM($D11:D11)</f>
        <v>84892237.23</v>
      </c>
      <c r="F11" s="2738">
        <f>$C11-SUM($D11:E11)</f>
        <v>0</v>
      </c>
      <c r="G11" s="2738">
        <f>$C11-SUM($D11:F11)</f>
        <v>0</v>
      </c>
      <c r="H11" s="2738">
        <f>$C11-SUM($D11:G11)</f>
        <v>0</v>
      </c>
      <c r="I11" s="2738">
        <f>$C11-SUM($D11:H11)</f>
        <v>0</v>
      </c>
      <c r="J11" s="2738">
        <f>$C11-SUM($D11:I11)</f>
        <v>0</v>
      </c>
      <c r="K11" s="2738">
        <f>$C11-SUM($D11:J11)</f>
        <v>0</v>
      </c>
      <c r="L11" s="2738">
        <f>$C11-SUM($D11:K11)</f>
        <v>0</v>
      </c>
      <c r="M11" s="2738">
        <f>$C11-SUM($D11:L11)</f>
        <v>0</v>
      </c>
      <c r="N11" s="2738">
        <f>$C11-SUM($D11:M11)</f>
        <v>0</v>
      </c>
      <c r="O11" s="2738">
        <f>$C11-SUM($D11:N11)</f>
        <v>0</v>
      </c>
      <c r="P11" s="2751">
        <f>$C11-SUM($D11:O11)</f>
        <v>0</v>
      </c>
    </row>
    <row r="12" spans="1:16">
      <c r="A12" s="2736" t="s">
        <v>123</v>
      </c>
      <c r="B12" s="2154"/>
      <c r="C12" s="2735">
        <f>审定现流表!C12</f>
        <v>10228960.26</v>
      </c>
      <c r="D12" s="2733"/>
      <c r="E12" s="2738">
        <f>$C12-SUM($D12:D12)</f>
        <v>10228960.26</v>
      </c>
      <c r="F12" s="2738">
        <f>$C12-SUM($D12:E12)</f>
        <v>0</v>
      </c>
      <c r="G12" s="2738">
        <f>$C12-SUM($D12:F12)</f>
        <v>0</v>
      </c>
      <c r="H12" s="2738">
        <f>$C12-SUM($D12:G12)</f>
        <v>0</v>
      </c>
      <c r="I12" s="2738">
        <f>$C12-SUM($D12:H12)</f>
        <v>0</v>
      </c>
      <c r="J12" s="2738">
        <f>$C12-SUM($D12:I12)</f>
        <v>0</v>
      </c>
      <c r="K12" s="2738">
        <f>$C12-SUM($D12:J12)</f>
        <v>0</v>
      </c>
      <c r="L12" s="2738">
        <f>$C12-SUM($D12:K12)</f>
        <v>0</v>
      </c>
      <c r="M12" s="2738">
        <f>$C12-SUM($D12:L12)</f>
        <v>0</v>
      </c>
      <c r="N12" s="2738">
        <f>$C12-SUM($D12:M12)</f>
        <v>0</v>
      </c>
      <c r="O12" s="2738">
        <f>$C12-SUM($D12:N12)</f>
        <v>0</v>
      </c>
      <c r="P12" s="2751">
        <f>$C12-SUM($D12:O12)</f>
        <v>0</v>
      </c>
    </row>
    <row r="13" spans="1:16">
      <c r="A13" s="2736" t="s">
        <v>124</v>
      </c>
      <c r="B13" s="2154"/>
      <c r="C13" s="2735">
        <f>审定现流表!C13</f>
        <v>6259149.31</v>
      </c>
      <c r="D13" s="2733"/>
      <c r="E13" s="2738">
        <f>$C13-SUM($D13:D13)</f>
        <v>6259149.31</v>
      </c>
      <c r="F13" s="2738">
        <f>$C13-SUM($D13:E13)</f>
        <v>0</v>
      </c>
      <c r="G13" s="2738">
        <f>$C13-SUM($D13:F13)</f>
        <v>0</v>
      </c>
      <c r="H13" s="2738">
        <f>$C13-SUM($D13:G13)</f>
        <v>0</v>
      </c>
      <c r="I13" s="2738">
        <f>$C13-SUM($D13:H13)</f>
        <v>0</v>
      </c>
      <c r="J13" s="2738">
        <f>$C13-SUM($D13:I13)</f>
        <v>0</v>
      </c>
      <c r="K13" s="2738">
        <f>$C13-SUM($D13:J13)</f>
        <v>0</v>
      </c>
      <c r="L13" s="2738">
        <f>$C13-SUM($D13:K13)</f>
        <v>0</v>
      </c>
      <c r="M13" s="2738">
        <f>$C13-SUM($D13:L13)</f>
        <v>0</v>
      </c>
      <c r="N13" s="2738">
        <f>$C13-SUM($D13:M13)</f>
        <v>0</v>
      </c>
      <c r="O13" s="2738">
        <f>$C13-SUM($D13:N13)</f>
        <v>0</v>
      </c>
      <c r="P13" s="2751">
        <f>$C13-SUM($D13:O13)</f>
        <v>0</v>
      </c>
    </row>
    <row r="14" spans="1:16">
      <c r="A14" s="2736" t="s">
        <v>125</v>
      </c>
      <c r="B14" s="2159" t="s">
        <v>120</v>
      </c>
      <c r="C14" s="2735">
        <f>审定现流表!C14</f>
        <v>13364186.34</v>
      </c>
      <c r="D14" s="2733"/>
      <c r="E14" s="2738">
        <f>$C14-SUM($D14:D14)</f>
        <v>13364186.34</v>
      </c>
      <c r="F14" s="2738">
        <f>$C14-SUM($D14:E14)</f>
        <v>0</v>
      </c>
      <c r="G14" s="2738">
        <f>$C14-SUM($D14:F14)</f>
        <v>0</v>
      </c>
      <c r="H14" s="2738">
        <f>$C14-SUM($D14:G14)</f>
        <v>0</v>
      </c>
      <c r="I14" s="2738">
        <f>$C14-SUM($D14:H14)</f>
        <v>0</v>
      </c>
      <c r="J14" s="2738">
        <f>$C14-SUM($D14:I14)</f>
        <v>0</v>
      </c>
      <c r="K14" s="2738">
        <f>$C14-SUM($D14:J14)</f>
        <v>0</v>
      </c>
      <c r="L14" s="2738">
        <f>$C14-SUM($D14:K14)</f>
        <v>0</v>
      </c>
      <c r="M14" s="2738">
        <f>$C14-SUM($D14:L14)</f>
        <v>0</v>
      </c>
      <c r="N14" s="2738">
        <f>$C14-SUM($D14:M14)</f>
        <v>0</v>
      </c>
      <c r="O14" s="2738">
        <f>$C14-SUM($D14:N14)</f>
        <v>0</v>
      </c>
      <c r="P14" s="2751">
        <f>$C14-SUM($D14:O14)</f>
        <v>0</v>
      </c>
    </row>
    <row r="15" spans="1:16">
      <c r="A15" s="2741" t="s">
        <v>126</v>
      </c>
      <c r="B15" s="2750"/>
      <c r="C15" s="2743">
        <f>审定现流表!C15</f>
        <v>114744533.14</v>
      </c>
      <c r="D15" s="2744"/>
      <c r="E15" s="2744">
        <f t="shared" ref="E15:P15" si="1">ROUND(SUM(E11:E14),2)</f>
        <v>114744533.14</v>
      </c>
      <c r="F15" s="2744">
        <f t="shared" si="1"/>
        <v>0</v>
      </c>
      <c r="G15" s="2744">
        <f t="shared" si="1"/>
        <v>0</v>
      </c>
      <c r="H15" s="2744">
        <f t="shared" si="1"/>
        <v>0</v>
      </c>
      <c r="I15" s="2744">
        <f t="shared" si="1"/>
        <v>0</v>
      </c>
      <c r="J15" s="2744">
        <f t="shared" si="1"/>
        <v>0</v>
      </c>
      <c r="K15" s="2744">
        <f t="shared" si="1"/>
        <v>0</v>
      </c>
      <c r="L15" s="2744">
        <f t="shared" si="1"/>
        <v>0</v>
      </c>
      <c r="M15" s="2744">
        <f t="shared" si="1"/>
        <v>0</v>
      </c>
      <c r="N15" s="2744">
        <f t="shared" si="1"/>
        <v>0</v>
      </c>
      <c r="O15" s="2744">
        <f t="shared" si="1"/>
        <v>0</v>
      </c>
      <c r="P15" s="2870">
        <f t="shared" si="1"/>
        <v>0</v>
      </c>
    </row>
    <row r="16" spans="1:16">
      <c r="A16" s="2741" t="s">
        <v>127</v>
      </c>
      <c r="B16" s="2750"/>
      <c r="C16" s="2743">
        <f>审定现流表!C16</f>
        <v>-38061550.72</v>
      </c>
      <c r="D16" s="2744"/>
      <c r="E16" s="2744">
        <f t="shared" ref="E16:P16" si="2">ROUND(E10-E15,2)</f>
        <v>-38061550.72</v>
      </c>
      <c r="F16" s="2744">
        <f t="shared" si="2"/>
        <v>0</v>
      </c>
      <c r="G16" s="2744">
        <f t="shared" si="2"/>
        <v>0</v>
      </c>
      <c r="H16" s="2744">
        <f t="shared" si="2"/>
        <v>0</v>
      </c>
      <c r="I16" s="2744">
        <f t="shared" si="2"/>
        <v>0</v>
      </c>
      <c r="J16" s="2744">
        <f t="shared" si="2"/>
        <v>0</v>
      </c>
      <c r="K16" s="2744">
        <f t="shared" si="2"/>
        <v>0</v>
      </c>
      <c r="L16" s="2744">
        <f t="shared" si="2"/>
        <v>0</v>
      </c>
      <c r="M16" s="2744">
        <f t="shared" si="2"/>
        <v>0</v>
      </c>
      <c r="N16" s="2744">
        <f t="shared" si="2"/>
        <v>0</v>
      </c>
      <c r="O16" s="2744">
        <f t="shared" si="2"/>
        <v>0</v>
      </c>
      <c r="P16" s="2870">
        <f t="shared" si="2"/>
        <v>0</v>
      </c>
    </row>
    <row r="17" spans="1:16">
      <c r="A17" s="2748"/>
      <c r="B17" s="2750"/>
      <c r="C17" s="2735"/>
      <c r="D17" s="2733"/>
      <c r="E17" s="2733"/>
      <c r="F17" s="2733"/>
      <c r="G17" s="2733"/>
      <c r="H17" s="2733"/>
      <c r="I17" s="2733"/>
      <c r="J17" s="2733"/>
      <c r="K17" s="2733"/>
      <c r="L17" s="2733"/>
      <c r="M17" s="2733"/>
      <c r="N17" s="2733"/>
      <c r="O17" s="2733"/>
      <c r="P17" s="2734"/>
    </row>
    <row r="18" spans="1:16">
      <c r="A18" s="2731" t="s">
        <v>128</v>
      </c>
      <c r="B18" s="2750"/>
      <c r="C18" s="2735">
        <f>审定现流表!C18</f>
        <v>0</v>
      </c>
      <c r="D18" s="2733"/>
      <c r="E18" s="2733"/>
      <c r="F18" s="2733"/>
      <c r="G18" s="2733"/>
      <c r="H18" s="2733"/>
      <c r="I18" s="2733"/>
      <c r="J18" s="2733"/>
      <c r="K18" s="2733"/>
      <c r="L18" s="2733"/>
      <c r="M18" s="2733"/>
      <c r="N18" s="2733"/>
      <c r="O18" s="2733"/>
      <c r="P18" s="2734"/>
    </row>
    <row r="19" spans="1:16">
      <c r="A19" s="2736" t="s">
        <v>129</v>
      </c>
      <c r="B19" s="2154"/>
      <c r="C19" s="2735">
        <f>审定现流表!C19</f>
        <v>0</v>
      </c>
      <c r="D19" s="2733"/>
      <c r="E19" s="2738">
        <f>$C19-SUM($D19:D19)</f>
        <v>0</v>
      </c>
      <c r="F19" s="2738">
        <f>$C19-SUM($D19:E19)</f>
        <v>0</v>
      </c>
      <c r="G19" s="2738">
        <f>$C19-SUM($D19:F19)</f>
        <v>0</v>
      </c>
      <c r="H19" s="2738">
        <f>$C19-SUM($D19:G19)</f>
        <v>0</v>
      </c>
      <c r="I19" s="2738">
        <f>$C19-SUM($D19:H19)</f>
        <v>0</v>
      </c>
      <c r="J19" s="2738">
        <f>$C19-SUM($D19:I19)</f>
        <v>0</v>
      </c>
      <c r="K19" s="2738">
        <f>$C19-SUM($D19:J19)</f>
        <v>0</v>
      </c>
      <c r="L19" s="2738">
        <f>$C19-SUM($D19:K19)</f>
        <v>0</v>
      </c>
      <c r="M19" s="2738">
        <f>$C19-SUM($D19:L19)</f>
        <v>0</v>
      </c>
      <c r="N19" s="2738">
        <f>$C19-SUM($D19:M19)</f>
        <v>0</v>
      </c>
      <c r="O19" s="2738">
        <f>$C19-SUM($D19:N19)</f>
        <v>0</v>
      </c>
      <c r="P19" s="2751">
        <f>$C19-SUM($D19:O19)</f>
        <v>0</v>
      </c>
    </row>
    <row r="20" spans="1:16">
      <c r="A20" s="2736" t="s">
        <v>130</v>
      </c>
      <c r="B20" s="2154"/>
      <c r="C20" s="2735">
        <f>审定现流表!C20</f>
        <v>0</v>
      </c>
      <c r="D20" s="2733"/>
      <c r="E20" s="2738">
        <f>$C20-SUM($D20:D20)</f>
        <v>0</v>
      </c>
      <c r="F20" s="2738">
        <f>$C20-SUM($D20:E20)</f>
        <v>0</v>
      </c>
      <c r="G20" s="2738">
        <f>$C20-SUM($D20:F20)</f>
        <v>0</v>
      </c>
      <c r="H20" s="2738">
        <f>$C20-SUM($D20:G20)</f>
        <v>0</v>
      </c>
      <c r="I20" s="2738">
        <f>$C20-SUM($D20:H20)</f>
        <v>0</v>
      </c>
      <c r="J20" s="2738">
        <f>$C20-SUM($D20:I20)</f>
        <v>0</v>
      </c>
      <c r="K20" s="2738">
        <f>$C20-SUM($D20:J20)</f>
        <v>0</v>
      </c>
      <c r="L20" s="2738">
        <f>$C20-SUM($D20:K20)</f>
        <v>0</v>
      </c>
      <c r="M20" s="2738">
        <f>$C20-SUM($D20:L20)</f>
        <v>0</v>
      </c>
      <c r="N20" s="2738">
        <f>$C20-SUM($D20:M20)</f>
        <v>0</v>
      </c>
      <c r="O20" s="2738">
        <f>$C20-SUM($D20:N20)</f>
        <v>0</v>
      </c>
      <c r="P20" s="2751">
        <f>$C20-SUM($D20:O20)</f>
        <v>0</v>
      </c>
    </row>
    <row r="21" spans="1:16">
      <c r="A21" s="2736" t="s">
        <v>131</v>
      </c>
      <c r="B21" s="2154"/>
      <c r="C21" s="2735">
        <f>审定现流表!C21</f>
        <v>51129.13</v>
      </c>
      <c r="D21" s="2733"/>
      <c r="E21" s="2738">
        <f>$C21-SUM($D21:D21)</f>
        <v>51129.13</v>
      </c>
      <c r="F21" s="2738">
        <f>$C21-SUM($D21:E21)</f>
        <v>0</v>
      </c>
      <c r="G21" s="2738">
        <f>$C21-SUM($D21:F21)</f>
        <v>0</v>
      </c>
      <c r="H21" s="2738">
        <f>$C21-SUM($D21:G21)</f>
        <v>0</v>
      </c>
      <c r="I21" s="2738">
        <f>$C21-SUM($D21:H21)</f>
        <v>0</v>
      </c>
      <c r="J21" s="2738">
        <f>$C21-SUM($D21:I21)</f>
        <v>0</v>
      </c>
      <c r="K21" s="2738">
        <f>$C21-SUM($D21:J21)</f>
        <v>0</v>
      </c>
      <c r="L21" s="2738">
        <f>$C21-SUM($D21:K21)</f>
        <v>0</v>
      </c>
      <c r="M21" s="2738">
        <f>$C21-SUM($D21:L21)</f>
        <v>0</v>
      </c>
      <c r="N21" s="2738">
        <f>$C21-SUM($D21:M21)</f>
        <v>0</v>
      </c>
      <c r="O21" s="2738">
        <f>$C21-SUM($D21:N21)</f>
        <v>0</v>
      </c>
      <c r="P21" s="2751">
        <f>$C21-SUM($D21:O21)</f>
        <v>0</v>
      </c>
    </row>
    <row r="22" spans="1:16">
      <c r="A22" s="2736" t="s">
        <v>132</v>
      </c>
      <c r="B22" s="2154"/>
      <c r="C22" s="2735">
        <f>审定现流表!C22</f>
        <v>0</v>
      </c>
      <c r="D22" s="2733"/>
      <c r="E22" s="2738">
        <f>$C22-SUM($D22:D22)</f>
        <v>0</v>
      </c>
      <c r="F22" s="2738">
        <f>$C22-SUM($D22:E22)</f>
        <v>0</v>
      </c>
      <c r="G22" s="2738">
        <f>$C22-SUM($D22:F22)</f>
        <v>0</v>
      </c>
      <c r="H22" s="2738">
        <f>$C22-SUM($D22:G22)</f>
        <v>0</v>
      </c>
      <c r="I22" s="2738">
        <f>$C22-SUM($D22:H22)</f>
        <v>0</v>
      </c>
      <c r="J22" s="2738">
        <f>$C22-SUM($D22:I22)</f>
        <v>0</v>
      </c>
      <c r="K22" s="2738">
        <f>$C22-SUM($D22:J22)</f>
        <v>0</v>
      </c>
      <c r="L22" s="2738">
        <f>$C22-SUM($D22:K22)</f>
        <v>0</v>
      </c>
      <c r="M22" s="2738">
        <f>$C22-SUM($D22:L22)</f>
        <v>0</v>
      </c>
      <c r="N22" s="2738">
        <f>$C22-SUM($D22:M22)</f>
        <v>0</v>
      </c>
      <c r="O22" s="2738">
        <f>$C22-SUM($D22:N22)</f>
        <v>0</v>
      </c>
      <c r="P22" s="2751">
        <f>$C22-SUM($D22:O22)</f>
        <v>0</v>
      </c>
    </row>
    <row r="23" spans="1:16">
      <c r="A23" s="2736" t="s">
        <v>133</v>
      </c>
      <c r="B23" s="2159" t="s">
        <v>134</v>
      </c>
      <c r="C23" s="2735">
        <f>审定现流表!C23</f>
        <v>0</v>
      </c>
      <c r="D23" s="2733"/>
      <c r="E23" s="2738">
        <f>$C23-SUM($D23:D23)</f>
        <v>0</v>
      </c>
      <c r="F23" s="2738">
        <f>$C23-SUM($D23:E23)</f>
        <v>0</v>
      </c>
      <c r="G23" s="2738">
        <f>$C23-SUM($D23:F23)</f>
        <v>0</v>
      </c>
      <c r="H23" s="2738">
        <f>$C23-SUM($D23:G23)</f>
        <v>0</v>
      </c>
      <c r="I23" s="2738">
        <f>$C23-SUM($D23:H23)</f>
        <v>0</v>
      </c>
      <c r="J23" s="2738">
        <f>$C23-SUM($D23:I23)</f>
        <v>0</v>
      </c>
      <c r="K23" s="2738">
        <f>$C23-SUM($D23:J23)</f>
        <v>0</v>
      </c>
      <c r="L23" s="2738">
        <f>$C23-SUM($D23:K23)</f>
        <v>0</v>
      </c>
      <c r="M23" s="2738">
        <f>$C23-SUM($D23:L23)</f>
        <v>0</v>
      </c>
      <c r="N23" s="2738">
        <f>$C23-SUM($D23:M23)</f>
        <v>0</v>
      </c>
      <c r="O23" s="2738">
        <f>$C23-SUM($D23:N23)</f>
        <v>0</v>
      </c>
      <c r="P23" s="2751">
        <f>$C23-SUM($D23:O23)</f>
        <v>0</v>
      </c>
    </row>
    <row r="24" spans="1:16">
      <c r="A24" s="2741" t="s">
        <v>135</v>
      </c>
      <c r="B24" s="2750"/>
      <c r="C24" s="2743">
        <f>审定现流表!C24</f>
        <v>51129.13</v>
      </c>
      <c r="D24" s="2744"/>
      <c r="E24" s="2744">
        <f t="shared" ref="E24:P24" si="3">ROUND(SUM(E19:E23),2)</f>
        <v>51129.13</v>
      </c>
      <c r="F24" s="2744">
        <f t="shared" si="3"/>
        <v>0</v>
      </c>
      <c r="G24" s="2744">
        <f t="shared" si="3"/>
        <v>0</v>
      </c>
      <c r="H24" s="2744">
        <f t="shared" si="3"/>
        <v>0</v>
      </c>
      <c r="I24" s="2744">
        <f t="shared" si="3"/>
        <v>0</v>
      </c>
      <c r="J24" s="2744">
        <f t="shared" si="3"/>
        <v>0</v>
      </c>
      <c r="K24" s="2744">
        <f t="shared" si="3"/>
        <v>0</v>
      </c>
      <c r="L24" s="2744">
        <f t="shared" si="3"/>
        <v>0</v>
      </c>
      <c r="M24" s="2744">
        <f t="shared" si="3"/>
        <v>0</v>
      </c>
      <c r="N24" s="2744">
        <f t="shared" si="3"/>
        <v>0</v>
      </c>
      <c r="O24" s="2744">
        <f t="shared" si="3"/>
        <v>0</v>
      </c>
      <c r="P24" s="2870">
        <f t="shared" si="3"/>
        <v>0</v>
      </c>
    </row>
    <row r="25" spans="1:16">
      <c r="A25" s="2736" t="s">
        <v>136</v>
      </c>
      <c r="B25" s="2154"/>
      <c r="C25" s="2735">
        <f>审定现流表!C25</f>
        <v>28946323.47</v>
      </c>
      <c r="D25" s="2733"/>
      <c r="E25" s="2738">
        <f>$C25-SUM($D25:D25)</f>
        <v>28946323.47</v>
      </c>
      <c r="F25" s="2738">
        <f>$C25-SUM($D25:E25)</f>
        <v>0</v>
      </c>
      <c r="G25" s="2738">
        <f>$C25-SUM($D25:F25)</f>
        <v>0</v>
      </c>
      <c r="H25" s="2738">
        <f>$C25-SUM($D25:G25)</f>
        <v>0</v>
      </c>
      <c r="I25" s="2738">
        <f>$C25-SUM($D25:H25)</f>
        <v>0</v>
      </c>
      <c r="J25" s="2738">
        <f>$C25-SUM($D25:I25)</f>
        <v>0</v>
      </c>
      <c r="K25" s="2738">
        <f>$C25-SUM($D25:J25)</f>
        <v>0</v>
      </c>
      <c r="L25" s="2738">
        <f>$C25-SUM($D25:K25)</f>
        <v>0</v>
      </c>
      <c r="M25" s="2738">
        <f>$C25-SUM($D25:L25)</f>
        <v>0</v>
      </c>
      <c r="N25" s="2738">
        <f>$C25-SUM($D25:M25)</f>
        <v>0</v>
      </c>
      <c r="O25" s="2738">
        <f>$C25-SUM($D25:N25)</f>
        <v>0</v>
      </c>
      <c r="P25" s="2751">
        <f>$C25-SUM($D25:O25)</f>
        <v>0</v>
      </c>
    </row>
    <row r="26" spans="1:16">
      <c r="A26" s="2736" t="s">
        <v>137</v>
      </c>
      <c r="B26" s="2154"/>
      <c r="C26" s="2735">
        <f>审定现流表!C26</f>
        <v>0</v>
      </c>
      <c r="D26" s="2733"/>
      <c r="E26" s="2738">
        <f>$C26-SUM($D26:D26)</f>
        <v>0</v>
      </c>
      <c r="F26" s="2738">
        <f>$C26-SUM($D26:E26)</f>
        <v>0</v>
      </c>
      <c r="G26" s="2738">
        <f>$C26-SUM($D26:F26)</f>
        <v>0</v>
      </c>
      <c r="H26" s="2738">
        <f>$C26-SUM($D26:G26)</f>
        <v>0</v>
      </c>
      <c r="I26" s="2738">
        <f>$C26-SUM($D26:H26)</f>
        <v>0</v>
      </c>
      <c r="J26" s="2738">
        <f>$C26-SUM($D26:I26)</f>
        <v>0</v>
      </c>
      <c r="K26" s="2738">
        <f>$C26-SUM($D26:J26)</f>
        <v>0</v>
      </c>
      <c r="L26" s="2738">
        <f>$C26-SUM($D26:K26)</f>
        <v>0</v>
      </c>
      <c r="M26" s="2738">
        <f>$C26-SUM($D26:L26)</f>
        <v>0</v>
      </c>
      <c r="N26" s="2738">
        <f>$C26-SUM($D26:M26)</f>
        <v>0</v>
      </c>
      <c r="O26" s="2738">
        <f>$C26-SUM($D26:N26)</f>
        <v>0</v>
      </c>
      <c r="P26" s="2751">
        <f>$C26-SUM($D26:O26)</f>
        <v>0</v>
      </c>
    </row>
    <row r="27" spans="1:16">
      <c r="A27" s="2736" t="s">
        <v>138</v>
      </c>
      <c r="B27" s="2154"/>
      <c r="C27" s="2735">
        <f>审定现流表!C27</f>
        <v>0</v>
      </c>
      <c r="D27" s="2733"/>
      <c r="E27" s="2738">
        <f>$C27-SUM($D27:D27)</f>
        <v>0</v>
      </c>
      <c r="F27" s="2738">
        <f>$C27-SUM($D27:E27)</f>
        <v>0</v>
      </c>
      <c r="G27" s="2738">
        <f>$C27-SUM($D27:F27)</f>
        <v>0</v>
      </c>
      <c r="H27" s="2738">
        <f>$C27-SUM($D27:G27)</f>
        <v>0</v>
      </c>
      <c r="I27" s="2738">
        <f>$C27-SUM($D27:H27)</f>
        <v>0</v>
      </c>
      <c r="J27" s="2738">
        <f>$C27-SUM($D27:I27)</f>
        <v>0</v>
      </c>
      <c r="K27" s="2738">
        <f>$C27-SUM($D27:J27)</f>
        <v>0</v>
      </c>
      <c r="L27" s="2738">
        <f>$C27-SUM($D27:K27)</f>
        <v>0</v>
      </c>
      <c r="M27" s="2738">
        <f>$C27-SUM($D27:L27)</f>
        <v>0</v>
      </c>
      <c r="N27" s="2738">
        <f>$C27-SUM($D27:M27)</f>
        <v>0</v>
      </c>
      <c r="O27" s="2738">
        <f>$C27-SUM($D27:N27)</f>
        <v>0</v>
      </c>
      <c r="P27" s="2751">
        <f>$C27-SUM($D27:O27)</f>
        <v>0</v>
      </c>
    </row>
    <row r="28" spans="1:16">
      <c r="A28" s="2736" t="s">
        <v>139</v>
      </c>
      <c r="B28" s="2159" t="s">
        <v>134</v>
      </c>
      <c r="C28" s="2735">
        <f>审定现流表!C28</f>
        <v>0</v>
      </c>
      <c r="D28" s="2733"/>
      <c r="E28" s="2738">
        <f>$C28-SUM($D28:D28)</f>
        <v>0</v>
      </c>
      <c r="F28" s="2738">
        <f>$C28-SUM($D28:E28)</f>
        <v>0</v>
      </c>
      <c r="G28" s="2738">
        <f>$C28-SUM($D28:F28)</f>
        <v>0</v>
      </c>
      <c r="H28" s="2738">
        <f>$C28-SUM($D28:G28)</f>
        <v>0</v>
      </c>
      <c r="I28" s="2738">
        <f>$C28-SUM($D28:H28)</f>
        <v>0</v>
      </c>
      <c r="J28" s="2738">
        <f>$C28-SUM($D28:I28)</f>
        <v>0</v>
      </c>
      <c r="K28" s="2738">
        <f>$C28-SUM($D28:J28)</f>
        <v>0</v>
      </c>
      <c r="L28" s="2738">
        <f>$C28-SUM($D28:K28)</f>
        <v>0</v>
      </c>
      <c r="M28" s="2738">
        <f>$C28-SUM($D28:L28)</f>
        <v>0</v>
      </c>
      <c r="N28" s="2738">
        <f>$C28-SUM($D28:M28)</f>
        <v>0</v>
      </c>
      <c r="O28" s="2738">
        <f>$C28-SUM($D28:N28)</f>
        <v>0</v>
      </c>
      <c r="P28" s="2751">
        <f>$C28-SUM($D28:O28)</f>
        <v>0</v>
      </c>
    </row>
    <row r="29" spans="1:16">
      <c r="A29" s="2741" t="s">
        <v>140</v>
      </c>
      <c r="B29" s="2750"/>
      <c r="C29" s="2743">
        <f>审定现流表!C29</f>
        <v>28946323.47</v>
      </c>
      <c r="D29" s="2744"/>
      <c r="E29" s="2744">
        <f>ROUND(SUM(E25:E28),2)</f>
        <v>28946323.47</v>
      </c>
      <c r="F29" s="2744">
        <f t="shared" ref="F29:P29" si="4">ROUND(SUM(F25:F28),2)</f>
        <v>0</v>
      </c>
      <c r="G29" s="2744">
        <f t="shared" si="4"/>
        <v>0</v>
      </c>
      <c r="H29" s="2744">
        <f t="shared" si="4"/>
        <v>0</v>
      </c>
      <c r="I29" s="2744">
        <f t="shared" si="4"/>
        <v>0</v>
      </c>
      <c r="J29" s="2744">
        <f t="shared" si="4"/>
        <v>0</v>
      </c>
      <c r="K29" s="2744">
        <f t="shared" si="4"/>
        <v>0</v>
      </c>
      <c r="L29" s="2744">
        <f t="shared" si="4"/>
        <v>0</v>
      </c>
      <c r="M29" s="2744">
        <f t="shared" si="4"/>
        <v>0</v>
      </c>
      <c r="N29" s="2744">
        <f t="shared" si="4"/>
        <v>0</v>
      </c>
      <c r="O29" s="2744">
        <f t="shared" si="4"/>
        <v>0</v>
      </c>
      <c r="P29" s="2870">
        <f t="shared" si="4"/>
        <v>0</v>
      </c>
    </row>
    <row r="30" spans="1:16">
      <c r="A30" s="2741" t="s">
        <v>141</v>
      </c>
      <c r="B30" s="2750"/>
      <c r="C30" s="2743">
        <f>审定现流表!C30</f>
        <v>-28895194.34</v>
      </c>
      <c r="D30" s="2744"/>
      <c r="E30" s="2744">
        <f t="shared" ref="E30:P30" si="5">ROUND(E24-E29,2)</f>
        <v>-28895194.34</v>
      </c>
      <c r="F30" s="2744">
        <f t="shared" si="5"/>
        <v>0</v>
      </c>
      <c r="G30" s="2744">
        <f t="shared" si="5"/>
        <v>0</v>
      </c>
      <c r="H30" s="2744">
        <f t="shared" si="5"/>
        <v>0</v>
      </c>
      <c r="I30" s="2744">
        <f t="shared" si="5"/>
        <v>0</v>
      </c>
      <c r="J30" s="2744">
        <f t="shared" si="5"/>
        <v>0</v>
      </c>
      <c r="K30" s="2744">
        <f t="shared" si="5"/>
        <v>0</v>
      </c>
      <c r="L30" s="2744">
        <f t="shared" si="5"/>
        <v>0</v>
      </c>
      <c r="M30" s="2744">
        <f t="shared" si="5"/>
        <v>0</v>
      </c>
      <c r="N30" s="2744">
        <f t="shared" si="5"/>
        <v>0</v>
      </c>
      <c r="O30" s="2744">
        <f t="shared" si="5"/>
        <v>0</v>
      </c>
      <c r="P30" s="2870">
        <f t="shared" si="5"/>
        <v>0</v>
      </c>
    </row>
    <row r="31" spans="1:16">
      <c r="A31" s="2749"/>
      <c r="B31" s="2750"/>
      <c r="C31" s="2735"/>
      <c r="D31" s="2733"/>
      <c r="E31" s="2733"/>
      <c r="F31" s="2733"/>
      <c r="G31" s="2733"/>
      <c r="H31" s="2733"/>
      <c r="I31" s="2733"/>
      <c r="J31" s="2733"/>
      <c r="K31" s="2733"/>
      <c r="L31" s="2733"/>
      <c r="M31" s="2733"/>
      <c r="N31" s="2733"/>
      <c r="O31" s="2733"/>
      <c r="P31" s="2734"/>
    </row>
    <row r="32" spans="1:16">
      <c r="A32" s="2731" t="s">
        <v>142</v>
      </c>
      <c r="B32" s="2750"/>
      <c r="C32" s="2735">
        <f>审定现流表!C32</f>
        <v>0</v>
      </c>
      <c r="D32" s="2733"/>
      <c r="E32" s="2733"/>
      <c r="F32" s="2733"/>
      <c r="G32" s="2733"/>
      <c r="H32" s="2733"/>
      <c r="I32" s="2733"/>
      <c r="J32" s="2733"/>
      <c r="K32" s="2733"/>
      <c r="L32" s="2733"/>
      <c r="M32" s="2733"/>
      <c r="N32" s="2733"/>
      <c r="O32" s="2733"/>
      <c r="P32" s="2734"/>
    </row>
    <row r="33" spans="1:16">
      <c r="A33" s="2736" t="s">
        <v>143</v>
      </c>
      <c r="B33" s="2154"/>
      <c r="C33" s="2735">
        <f>审定现流表!C33</f>
        <v>230642672</v>
      </c>
      <c r="D33" s="2733"/>
      <c r="E33" s="2738">
        <f>$C33-SUM($D33:D33)</f>
        <v>230642672</v>
      </c>
      <c r="F33" s="2738">
        <f>$C33-SUM($D33:E33)</f>
        <v>0</v>
      </c>
      <c r="G33" s="2738">
        <f>$C33-SUM($D33:F33)</f>
        <v>0</v>
      </c>
      <c r="H33" s="2738">
        <f>$C33-SUM($D33:G33)</f>
        <v>0</v>
      </c>
      <c r="I33" s="2738">
        <f>$C33-SUM($D33:H33)</f>
        <v>0</v>
      </c>
      <c r="J33" s="2738">
        <f>$C33-SUM($D33:I33)</f>
        <v>0</v>
      </c>
      <c r="K33" s="2738">
        <f>$C33-SUM($D33:J33)</f>
        <v>0</v>
      </c>
      <c r="L33" s="2738">
        <f>$C33-SUM($D33:K33)</f>
        <v>0</v>
      </c>
      <c r="M33" s="2738">
        <f>$C33-SUM($D33:L33)</f>
        <v>0</v>
      </c>
      <c r="N33" s="2738">
        <f>$C33-SUM($D33:M33)</f>
        <v>0</v>
      </c>
      <c r="O33" s="2738">
        <f>$C33-SUM($D33:N33)</f>
        <v>0</v>
      </c>
      <c r="P33" s="2751">
        <f>$C33-SUM($D33:O33)</f>
        <v>0</v>
      </c>
    </row>
    <row r="34" spans="1:16">
      <c r="A34" s="2736" t="s">
        <v>144</v>
      </c>
      <c r="B34" s="2154"/>
      <c r="C34" s="2735">
        <f>审定现流表!C34</f>
        <v>0</v>
      </c>
      <c r="D34" s="2733"/>
      <c r="E34" s="2738">
        <f>$C34-SUM($D34:D34)</f>
        <v>0</v>
      </c>
      <c r="F34" s="2738">
        <f>$C34-SUM($D34:E34)</f>
        <v>0</v>
      </c>
      <c r="G34" s="2738">
        <f>$C34-SUM($D34:F34)</f>
        <v>0</v>
      </c>
      <c r="H34" s="2738">
        <f>$C34-SUM($D34:G34)</f>
        <v>0</v>
      </c>
      <c r="I34" s="2738">
        <f>$C34-SUM($D34:H34)</f>
        <v>0</v>
      </c>
      <c r="J34" s="2738">
        <f>$C34-SUM($D34:I34)</f>
        <v>0</v>
      </c>
      <c r="K34" s="2738">
        <f>$C34-SUM($D34:J34)</f>
        <v>0</v>
      </c>
      <c r="L34" s="2738">
        <f>$C34-SUM($D34:K34)</f>
        <v>0</v>
      </c>
      <c r="M34" s="2738">
        <f>$C34-SUM($D34:L34)</f>
        <v>0</v>
      </c>
      <c r="N34" s="2738">
        <f>$C34-SUM($D34:M34)</f>
        <v>0</v>
      </c>
      <c r="O34" s="2738">
        <f>$C34-SUM($D34:N34)</f>
        <v>0</v>
      </c>
      <c r="P34" s="2751">
        <f>$C34-SUM($D34:O34)</f>
        <v>0</v>
      </c>
    </row>
    <row r="35" spans="1:16">
      <c r="A35" s="2736" t="s">
        <v>145</v>
      </c>
      <c r="B35" s="2154"/>
      <c r="C35" s="2735">
        <f>审定现流表!C35</f>
        <v>31000000</v>
      </c>
      <c r="D35" s="2733"/>
      <c r="E35" s="2738">
        <f>$C35-SUM($D35:D35)</f>
        <v>31000000</v>
      </c>
      <c r="F35" s="2738">
        <f>$C35-SUM($D35:E35)</f>
        <v>0</v>
      </c>
      <c r="G35" s="2738">
        <f>$C35-SUM($D35:F35)</f>
        <v>0</v>
      </c>
      <c r="H35" s="2738">
        <f>$C35-SUM($D35:G35)</f>
        <v>0</v>
      </c>
      <c r="I35" s="2738">
        <f>$C35-SUM($D35:H35)</f>
        <v>0</v>
      </c>
      <c r="J35" s="2738">
        <f>$C35-SUM($D35:I35)</f>
        <v>0</v>
      </c>
      <c r="K35" s="2738">
        <f>$C35-SUM($D35:J35)</f>
        <v>0</v>
      </c>
      <c r="L35" s="2738">
        <f>$C35-SUM($D35:K35)</f>
        <v>0</v>
      </c>
      <c r="M35" s="2738">
        <f>$C35-SUM($D35:L35)</f>
        <v>0</v>
      </c>
      <c r="N35" s="2738">
        <f>$C35-SUM($D35:M35)</f>
        <v>0</v>
      </c>
      <c r="O35" s="2738">
        <f>$C35-SUM($D35:N35)</f>
        <v>0</v>
      </c>
      <c r="P35" s="2751">
        <f>$C35-SUM($D35:O35)</f>
        <v>0</v>
      </c>
    </row>
    <row r="36" spans="1:16">
      <c r="A36" s="2736" t="s">
        <v>146</v>
      </c>
      <c r="B36" s="2154"/>
      <c r="C36" s="2735">
        <f>审定现流表!C36</f>
        <v>0</v>
      </c>
      <c r="D36" s="2733"/>
      <c r="E36" s="2738">
        <f>$C36-SUM($D36:D36)</f>
        <v>0</v>
      </c>
      <c r="F36" s="2738">
        <f>$C36-SUM($D36:E36)</f>
        <v>0</v>
      </c>
      <c r="G36" s="2738">
        <f>$C36-SUM($D36:F36)</f>
        <v>0</v>
      </c>
      <c r="H36" s="2738">
        <f>$C36-SUM($D36:G36)</f>
        <v>0</v>
      </c>
      <c r="I36" s="2738">
        <f>$C36-SUM($D36:H36)</f>
        <v>0</v>
      </c>
      <c r="J36" s="2738">
        <f>$C36-SUM($D36:I36)</f>
        <v>0</v>
      </c>
      <c r="K36" s="2738">
        <f>$C36-SUM($D36:J36)</f>
        <v>0</v>
      </c>
      <c r="L36" s="2738">
        <f>$C36-SUM($D36:K36)</f>
        <v>0</v>
      </c>
      <c r="M36" s="2738">
        <f>$C36-SUM($D36:L36)</f>
        <v>0</v>
      </c>
      <c r="N36" s="2738">
        <f>$C36-SUM($D36:M36)</f>
        <v>0</v>
      </c>
      <c r="O36" s="2738">
        <f>$C36-SUM($D36:N36)</f>
        <v>0</v>
      </c>
      <c r="P36" s="2751">
        <f>$C36-SUM($D36:O36)</f>
        <v>0</v>
      </c>
    </row>
    <row r="37" spans="1:16">
      <c r="A37" s="2736" t="s">
        <v>147</v>
      </c>
      <c r="B37" s="2159" t="s">
        <v>148</v>
      </c>
      <c r="C37" s="2735">
        <f>审定现流表!C37</f>
        <v>0</v>
      </c>
      <c r="D37" s="2733"/>
      <c r="E37" s="2738">
        <f>$C37-SUM($D37:D37)</f>
        <v>0</v>
      </c>
      <c r="F37" s="2738">
        <f>$C37-SUM($D37:E37)</f>
        <v>0</v>
      </c>
      <c r="G37" s="2738">
        <f>$C37-SUM($D37:F37)</f>
        <v>0</v>
      </c>
      <c r="H37" s="2738">
        <f>$C37-SUM($D37:G37)</f>
        <v>0</v>
      </c>
      <c r="I37" s="2738">
        <f>$C37-SUM($D37:H37)</f>
        <v>0</v>
      </c>
      <c r="J37" s="2738">
        <f>$C37-SUM($D37:I37)</f>
        <v>0</v>
      </c>
      <c r="K37" s="2738">
        <f>$C37-SUM($D37:J37)</f>
        <v>0</v>
      </c>
      <c r="L37" s="2738">
        <f>$C37-SUM($D37:K37)</f>
        <v>0</v>
      </c>
      <c r="M37" s="2738">
        <f>$C37-SUM($D37:L37)</f>
        <v>0</v>
      </c>
      <c r="N37" s="2738">
        <f>$C37-SUM($D37:M37)</f>
        <v>0</v>
      </c>
      <c r="O37" s="2738">
        <f>$C37-SUM($D37:N37)</f>
        <v>0</v>
      </c>
      <c r="P37" s="2751">
        <f>$C37-SUM($D37:O37)</f>
        <v>0</v>
      </c>
    </row>
    <row r="38" spans="1:16">
      <c r="A38" s="2741" t="s">
        <v>149</v>
      </c>
      <c r="B38" s="2750"/>
      <c r="C38" s="2743">
        <f>审定现流表!C38</f>
        <v>261642672</v>
      </c>
      <c r="D38" s="2744"/>
      <c r="E38" s="2744">
        <f t="shared" ref="E38:P38" si="6">ROUND(SUM(E33:E37),2)-E34</f>
        <v>261642672</v>
      </c>
      <c r="F38" s="2744">
        <f t="shared" si="6"/>
        <v>0</v>
      </c>
      <c r="G38" s="2744">
        <f t="shared" si="6"/>
        <v>0</v>
      </c>
      <c r="H38" s="2744">
        <f t="shared" si="6"/>
        <v>0</v>
      </c>
      <c r="I38" s="2744">
        <f t="shared" si="6"/>
        <v>0</v>
      </c>
      <c r="J38" s="2744">
        <f t="shared" si="6"/>
        <v>0</v>
      </c>
      <c r="K38" s="2744">
        <f t="shared" si="6"/>
        <v>0</v>
      </c>
      <c r="L38" s="2744">
        <f t="shared" si="6"/>
        <v>0</v>
      </c>
      <c r="M38" s="2744">
        <f t="shared" si="6"/>
        <v>0</v>
      </c>
      <c r="N38" s="2744">
        <f t="shared" si="6"/>
        <v>0</v>
      </c>
      <c r="O38" s="2744">
        <f t="shared" si="6"/>
        <v>0</v>
      </c>
      <c r="P38" s="2870">
        <f t="shared" si="6"/>
        <v>0</v>
      </c>
    </row>
    <row r="39" spans="1:16">
      <c r="A39" s="2736" t="s">
        <v>150</v>
      </c>
      <c r="B39" s="2154"/>
      <c r="C39" s="2735">
        <f>审定现流表!C39</f>
        <v>44144814.81</v>
      </c>
      <c r="D39" s="2733"/>
      <c r="E39" s="2738">
        <f>$C39-SUM($D39:D39)</f>
        <v>44144814.81</v>
      </c>
      <c r="F39" s="2738">
        <f>$C39-SUM($D39:E39)</f>
        <v>0</v>
      </c>
      <c r="G39" s="2738">
        <f>$C39-SUM($D39:F39)</f>
        <v>0</v>
      </c>
      <c r="H39" s="2738">
        <f>$C39-SUM($D39:G39)</f>
        <v>0</v>
      </c>
      <c r="I39" s="2738">
        <f>$C39-SUM($D39:H39)</f>
        <v>0</v>
      </c>
      <c r="J39" s="2738">
        <f>$C39-SUM($D39:I39)</f>
        <v>0</v>
      </c>
      <c r="K39" s="2738">
        <f>$C39-SUM($D39:J39)</f>
        <v>0</v>
      </c>
      <c r="L39" s="2738">
        <f>$C39-SUM($D39:K39)</f>
        <v>0</v>
      </c>
      <c r="M39" s="2738">
        <f>$C39-SUM($D39:L39)</f>
        <v>0</v>
      </c>
      <c r="N39" s="2738">
        <f>$C39-SUM($D39:M39)</f>
        <v>0</v>
      </c>
      <c r="O39" s="2738">
        <f>$C39-SUM($D39:N39)</f>
        <v>0</v>
      </c>
      <c r="P39" s="2751">
        <f>$C39-SUM($D39:O39)</f>
        <v>0</v>
      </c>
    </row>
    <row r="40" spans="1:16">
      <c r="A40" s="2736" t="s">
        <v>151</v>
      </c>
      <c r="B40" s="2154"/>
      <c r="C40" s="2735">
        <f>审定现流表!C40</f>
        <v>6308223.85</v>
      </c>
      <c r="D40" s="2733"/>
      <c r="E40" s="2738">
        <f>$C40-SUM($D40:D40)</f>
        <v>6308223.85</v>
      </c>
      <c r="F40" s="2738">
        <f>$C40-SUM($D40:E40)</f>
        <v>0</v>
      </c>
      <c r="G40" s="2738">
        <f>$C40-SUM($D40:F40)</f>
        <v>0</v>
      </c>
      <c r="H40" s="2738">
        <f>$C40-SUM($D40:G40)</f>
        <v>0</v>
      </c>
      <c r="I40" s="2738">
        <f>$C40-SUM($D40:H40)</f>
        <v>0</v>
      </c>
      <c r="J40" s="2738">
        <f>$C40-SUM($D40:I40)</f>
        <v>0</v>
      </c>
      <c r="K40" s="2738">
        <f>$C40-SUM($D40:J40)</f>
        <v>0</v>
      </c>
      <c r="L40" s="2738">
        <f>$C40-SUM($D40:K40)</f>
        <v>0</v>
      </c>
      <c r="M40" s="2738">
        <f>$C40-SUM($D40:L40)</f>
        <v>0</v>
      </c>
      <c r="N40" s="2738">
        <f>$C40-SUM($D40:M40)</f>
        <v>0</v>
      </c>
      <c r="O40" s="2738">
        <f>$C40-SUM($D40:N40)</f>
        <v>0</v>
      </c>
      <c r="P40" s="2751">
        <f>$C40-SUM($D40:O40)</f>
        <v>0</v>
      </c>
    </row>
    <row r="41" spans="1:16">
      <c r="A41" s="2736" t="s">
        <v>152</v>
      </c>
      <c r="B41" s="2154"/>
      <c r="C41" s="2735">
        <f>审定现流表!C41</f>
        <v>0</v>
      </c>
      <c r="D41" s="2733"/>
      <c r="E41" s="2738">
        <f>$C41-SUM($D41:D41)</f>
        <v>0</v>
      </c>
      <c r="F41" s="2738">
        <f>$C41-SUM($D41:E41)</f>
        <v>0</v>
      </c>
      <c r="G41" s="2738">
        <f>$C41-SUM($D41:F41)</f>
        <v>0</v>
      </c>
      <c r="H41" s="2738">
        <f>$C41-SUM($D41:G41)</f>
        <v>0</v>
      </c>
      <c r="I41" s="2738">
        <f>$C41-SUM($D41:H41)</f>
        <v>0</v>
      </c>
      <c r="J41" s="2738">
        <f>$C41-SUM($D41:I41)</f>
        <v>0</v>
      </c>
      <c r="K41" s="2738">
        <f>$C41-SUM($D41:J41)</f>
        <v>0</v>
      </c>
      <c r="L41" s="2738">
        <f>$C41-SUM($D41:K41)</f>
        <v>0</v>
      </c>
      <c r="M41" s="2738">
        <f>$C41-SUM($D41:L41)</f>
        <v>0</v>
      </c>
      <c r="N41" s="2738">
        <f>$C41-SUM($D41:M41)</f>
        <v>0</v>
      </c>
      <c r="O41" s="2738">
        <f>$C41-SUM($D41:N41)</f>
        <v>0</v>
      </c>
      <c r="P41" s="2751">
        <f>$C41-SUM($D41:O41)</f>
        <v>0</v>
      </c>
    </row>
    <row r="42" spans="1:16">
      <c r="A42" s="2736" t="s">
        <v>153</v>
      </c>
      <c r="B42" s="2159" t="s">
        <v>148</v>
      </c>
      <c r="C42" s="2735">
        <f>审定现流表!C42</f>
        <v>10873286.42</v>
      </c>
      <c r="D42" s="2733"/>
      <c r="E42" s="2738">
        <f>$C42-SUM($D42:D42)</f>
        <v>10873286.42</v>
      </c>
      <c r="F42" s="2738">
        <f>$C42-SUM($D42:E42)</f>
        <v>0</v>
      </c>
      <c r="G42" s="2738">
        <f>$C42-SUM($D42:F42)</f>
        <v>0</v>
      </c>
      <c r="H42" s="2738">
        <f>$C42-SUM($D42:G42)</f>
        <v>0</v>
      </c>
      <c r="I42" s="2738">
        <f>$C42-SUM($D42:H42)</f>
        <v>0</v>
      </c>
      <c r="J42" s="2738">
        <f>$C42-SUM($D42:I42)</f>
        <v>0</v>
      </c>
      <c r="K42" s="2738">
        <f>$C42-SUM($D42:J42)</f>
        <v>0</v>
      </c>
      <c r="L42" s="2738">
        <f>$C42-SUM($D42:K42)</f>
        <v>0</v>
      </c>
      <c r="M42" s="2738">
        <f>$C42-SUM($D42:L42)</f>
        <v>0</v>
      </c>
      <c r="N42" s="2738">
        <f>$C42-SUM($D42:M42)</f>
        <v>0</v>
      </c>
      <c r="O42" s="2738">
        <f>$C42-SUM($D42:N42)</f>
        <v>0</v>
      </c>
      <c r="P42" s="2751">
        <f>$C42-SUM($D42:O42)</f>
        <v>0</v>
      </c>
    </row>
    <row r="43" spans="1:16">
      <c r="A43" s="2741" t="s">
        <v>154</v>
      </c>
      <c r="B43" s="2750"/>
      <c r="C43" s="2743">
        <f>审定现流表!C43</f>
        <v>61326325.08</v>
      </c>
      <c r="D43" s="2744"/>
      <c r="E43" s="2744">
        <f t="shared" ref="E43:P43" si="7">ROUND(SUM(E39:E42),2)-E41</f>
        <v>61326325.08</v>
      </c>
      <c r="F43" s="2744">
        <f t="shared" si="7"/>
        <v>0</v>
      </c>
      <c r="G43" s="2744">
        <f t="shared" si="7"/>
        <v>0</v>
      </c>
      <c r="H43" s="2744">
        <f t="shared" si="7"/>
        <v>0</v>
      </c>
      <c r="I43" s="2744">
        <f t="shared" si="7"/>
        <v>0</v>
      </c>
      <c r="J43" s="2744">
        <f t="shared" si="7"/>
        <v>0</v>
      </c>
      <c r="K43" s="2744">
        <f t="shared" si="7"/>
        <v>0</v>
      </c>
      <c r="L43" s="2744">
        <f t="shared" si="7"/>
        <v>0</v>
      </c>
      <c r="M43" s="2744">
        <f t="shared" si="7"/>
        <v>0</v>
      </c>
      <c r="N43" s="2744">
        <f t="shared" si="7"/>
        <v>0</v>
      </c>
      <c r="O43" s="2744">
        <f t="shared" si="7"/>
        <v>0</v>
      </c>
      <c r="P43" s="2870">
        <f t="shared" si="7"/>
        <v>0</v>
      </c>
    </row>
    <row r="44" spans="1:16">
      <c r="A44" s="2741" t="s">
        <v>155</v>
      </c>
      <c r="B44" s="2750"/>
      <c r="C44" s="2743">
        <f>审定现流表!C44</f>
        <v>200316346.92</v>
      </c>
      <c r="D44" s="2744"/>
      <c r="E44" s="2744">
        <f t="shared" ref="E44:P44" si="8">ROUND(E38-E43,2)</f>
        <v>200316346.92</v>
      </c>
      <c r="F44" s="2744">
        <f t="shared" si="8"/>
        <v>0</v>
      </c>
      <c r="G44" s="2744">
        <f t="shared" si="8"/>
        <v>0</v>
      </c>
      <c r="H44" s="2744">
        <f t="shared" si="8"/>
        <v>0</v>
      </c>
      <c r="I44" s="2744">
        <f t="shared" si="8"/>
        <v>0</v>
      </c>
      <c r="J44" s="2744">
        <f t="shared" si="8"/>
        <v>0</v>
      </c>
      <c r="K44" s="2744">
        <f t="shared" si="8"/>
        <v>0</v>
      </c>
      <c r="L44" s="2744">
        <f t="shared" si="8"/>
        <v>0</v>
      </c>
      <c r="M44" s="2744">
        <f t="shared" si="8"/>
        <v>0</v>
      </c>
      <c r="N44" s="2744">
        <f t="shared" si="8"/>
        <v>0</v>
      </c>
      <c r="O44" s="2744">
        <f t="shared" si="8"/>
        <v>0</v>
      </c>
      <c r="P44" s="2870">
        <f t="shared" si="8"/>
        <v>0</v>
      </c>
    </row>
    <row r="45" spans="1:16">
      <c r="A45" s="2749"/>
      <c r="B45" s="2750"/>
      <c r="C45" s="2735"/>
      <c r="D45" s="2733"/>
      <c r="E45" s="2733"/>
      <c r="F45" s="2733"/>
      <c r="G45" s="2733"/>
      <c r="H45" s="2733"/>
      <c r="I45" s="2733"/>
      <c r="J45" s="2733"/>
      <c r="K45" s="2733"/>
      <c r="L45" s="2733"/>
      <c r="M45" s="2733"/>
      <c r="N45" s="2733"/>
      <c r="O45" s="2733"/>
      <c r="P45" s="2734"/>
    </row>
    <row r="46" spans="1:16">
      <c r="A46" s="2731" t="s">
        <v>156</v>
      </c>
      <c r="B46" s="2154"/>
      <c r="C46" s="2735">
        <f>审定现流表!C46</f>
        <v>32553.99</v>
      </c>
      <c r="D46" s="2733"/>
      <c r="E46" s="2738">
        <f>$C46-SUM($D46:D46)</f>
        <v>32553.99</v>
      </c>
      <c r="F46" s="2738">
        <f>$C46-SUM($D46:E46)</f>
        <v>0</v>
      </c>
      <c r="G46" s="2738">
        <f>$C46-SUM($D46:F46)</f>
        <v>0</v>
      </c>
      <c r="H46" s="2738">
        <f>$C46-SUM($D46:G46)</f>
        <v>0</v>
      </c>
      <c r="I46" s="2738">
        <f>$C46-SUM($D46:H46)</f>
        <v>0</v>
      </c>
      <c r="J46" s="2738">
        <f>$C46-SUM($D46:I46)</f>
        <v>0</v>
      </c>
      <c r="K46" s="2738">
        <f>$C46-SUM($D46:J46)</f>
        <v>0</v>
      </c>
      <c r="L46" s="2738">
        <f>$C46-SUM($D46:K46)</f>
        <v>0</v>
      </c>
      <c r="M46" s="2738">
        <f>$C46-SUM($D46:L46)</f>
        <v>0</v>
      </c>
      <c r="N46" s="2738">
        <f>$C46-SUM($D46:M46)</f>
        <v>0</v>
      </c>
      <c r="O46" s="2738">
        <f>$C46-SUM($D46:N46)</f>
        <v>0</v>
      </c>
      <c r="P46" s="2751">
        <f>$C46-SUM($D46:O46)</f>
        <v>0</v>
      </c>
    </row>
    <row r="47" spans="1:16">
      <c r="A47" s="2731" t="s">
        <v>157</v>
      </c>
      <c r="B47" s="2750"/>
      <c r="C47" s="2743">
        <f>审定现流表!C47</f>
        <v>133392155.85</v>
      </c>
      <c r="D47" s="2744"/>
      <c r="E47" s="2744">
        <f t="shared" ref="E47:P47" si="9">ROUND(E16+E30+E44+E46,2)</f>
        <v>133392155.85</v>
      </c>
      <c r="F47" s="2744">
        <f t="shared" si="9"/>
        <v>0</v>
      </c>
      <c r="G47" s="2744">
        <f t="shared" si="9"/>
        <v>0</v>
      </c>
      <c r="H47" s="2744">
        <f t="shared" si="9"/>
        <v>0</v>
      </c>
      <c r="I47" s="2744">
        <f t="shared" si="9"/>
        <v>0</v>
      </c>
      <c r="J47" s="2744">
        <f t="shared" si="9"/>
        <v>0</v>
      </c>
      <c r="K47" s="2744">
        <f t="shared" si="9"/>
        <v>0</v>
      </c>
      <c r="L47" s="2744">
        <f t="shared" si="9"/>
        <v>0</v>
      </c>
      <c r="M47" s="2744">
        <f t="shared" si="9"/>
        <v>0</v>
      </c>
      <c r="N47" s="2744">
        <f t="shared" si="9"/>
        <v>0</v>
      </c>
      <c r="O47" s="2744">
        <f t="shared" si="9"/>
        <v>0</v>
      </c>
      <c r="P47" s="2870">
        <f t="shared" si="9"/>
        <v>0</v>
      </c>
    </row>
    <row r="48" spans="1:16">
      <c r="A48" s="2736" t="s">
        <v>158</v>
      </c>
      <c r="B48" s="2750"/>
      <c r="C48" s="2735">
        <f>审定现流表!C48</f>
        <v>66164760.35</v>
      </c>
      <c r="D48" s="2733"/>
      <c r="E48" s="2738">
        <f>$C48-SUM($D48:D48)</f>
        <v>66164760.35</v>
      </c>
      <c r="F48" s="2738">
        <f>$C48-SUM($D48:E48)</f>
        <v>0</v>
      </c>
      <c r="G48" s="2738">
        <f>$C48-SUM($D48:F48)</f>
        <v>0</v>
      </c>
      <c r="H48" s="2738">
        <f>$C48-SUM($D48:G48)</f>
        <v>0</v>
      </c>
      <c r="I48" s="2738">
        <f>$C48-SUM($D48:H48)</f>
        <v>0</v>
      </c>
      <c r="J48" s="2738">
        <f>$C48-SUM($D48:I48)</f>
        <v>0</v>
      </c>
      <c r="K48" s="2738">
        <f>$C48-SUM($D48:J48)</f>
        <v>0</v>
      </c>
      <c r="L48" s="2738">
        <f>$C48-SUM($D48:K48)</f>
        <v>0</v>
      </c>
      <c r="M48" s="2738">
        <f>$C48-SUM($D48:L48)</f>
        <v>0</v>
      </c>
      <c r="N48" s="2738">
        <f>$C48-SUM($D48:M48)</f>
        <v>0</v>
      </c>
      <c r="O48" s="2738">
        <f>$C48-SUM($D48:N48)</f>
        <v>0</v>
      </c>
      <c r="P48" s="2751">
        <f>$C48-SUM($D48:O48)</f>
        <v>0</v>
      </c>
    </row>
    <row r="49" ht="15" spans="1:16">
      <c r="A49" s="2752" t="s">
        <v>159</v>
      </c>
      <c r="B49" s="2753"/>
      <c r="C49" s="2867">
        <f>审定现流表!C49</f>
        <v>199556916.2</v>
      </c>
      <c r="D49" s="2755"/>
      <c r="E49" s="2755">
        <f t="shared" ref="E49:P49" si="10">ROUND(E47+E48,2)</f>
        <v>199556916.2</v>
      </c>
      <c r="F49" s="2755">
        <f t="shared" si="10"/>
        <v>0</v>
      </c>
      <c r="G49" s="2755">
        <f t="shared" si="10"/>
        <v>0</v>
      </c>
      <c r="H49" s="2755">
        <f t="shared" si="10"/>
        <v>0</v>
      </c>
      <c r="I49" s="2755">
        <f t="shared" si="10"/>
        <v>0</v>
      </c>
      <c r="J49" s="2755">
        <f t="shared" si="10"/>
        <v>0</v>
      </c>
      <c r="K49" s="2755">
        <f t="shared" si="10"/>
        <v>0</v>
      </c>
      <c r="L49" s="2755">
        <f t="shared" si="10"/>
        <v>0</v>
      </c>
      <c r="M49" s="2755">
        <f t="shared" si="10"/>
        <v>0</v>
      </c>
      <c r="N49" s="2755">
        <f t="shared" si="10"/>
        <v>0</v>
      </c>
      <c r="O49" s="2755">
        <f t="shared" si="10"/>
        <v>0</v>
      </c>
      <c r="P49" s="2871">
        <f t="shared" si="10"/>
        <v>0</v>
      </c>
    </row>
    <row r="50" ht="15" spans="1:16">
      <c r="A50" s="2758"/>
      <c r="B50" s="2713"/>
      <c r="C50" s="2718"/>
      <c r="D50" s="2717"/>
      <c r="E50" s="2717"/>
      <c r="F50" s="2717"/>
      <c r="G50" s="2717"/>
      <c r="H50" s="2717"/>
      <c r="I50" s="2717"/>
      <c r="J50" s="2717"/>
      <c r="K50" s="2717"/>
      <c r="L50" s="2717"/>
      <c r="M50" s="2717"/>
      <c r="N50" s="2717"/>
      <c r="O50" s="2717"/>
      <c r="P50" s="2717"/>
    </row>
    <row r="51" spans="1:16">
      <c r="A51" s="2759" t="str">
        <f>IF(C51&lt;&gt;0,"主表的经营活动现金产生的流量净额与附表不符，相差：","")</f>
        <v>主表的经营活动现金产生的流量净额与附表不符，相差：</v>
      </c>
      <c r="B51" s="2713"/>
      <c r="C51" s="2868">
        <f>ROUND(C16-C72,2)</f>
        <v>7632043.24</v>
      </c>
      <c r="D51" s="2761"/>
      <c r="E51" s="2761">
        <f>ROUND(E16-E72,2)</f>
        <v>16463687.79</v>
      </c>
      <c r="F51" s="2761">
        <f>ROUND(F16-F72,2)</f>
        <v>0</v>
      </c>
      <c r="G51" s="2761">
        <f t="shared" ref="G51:P51" si="11">ROUND(G16-G72,2)</f>
        <v>0</v>
      </c>
      <c r="H51" s="2761">
        <f t="shared" si="11"/>
        <v>0</v>
      </c>
      <c r="I51" s="2761">
        <f t="shared" si="11"/>
        <v>0</v>
      </c>
      <c r="J51" s="2761">
        <f t="shared" si="11"/>
        <v>0</v>
      </c>
      <c r="K51" s="2761">
        <f t="shared" si="11"/>
        <v>0</v>
      </c>
      <c r="L51" s="2761">
        <f t="shared" si="11"/>
        <v>0</v>
      </c>
      <c r="M51" s="2761">
        <f t="shared" si="11"/>
        <v>0</v>
      </c>
      <c r="N51" s="2761">
        <f t="shared" si="11"/>
        <v>0</v>
      </c>
      <c r="O51" s="2761">
        <f t="shared" si="11"/>
        <v>0</v>
      </c>
      <c r="P51" s="2761">
        <f t="shared" si="11"/>
        <v>0</v>
      </c>
    </row>
    <row r="52" ht="15" spans="1:16">
      <c r="A52" s="2762" t="s">
        <v>160</v>
      </c>
      <c r="B52" s="2713"/>
      <c r="C52" s="2718"/>
      <c r="D52" s="2717"/>
      <c r="E52" s="2717"/>
      <c r="F52" s="2717"/>
      <c r="G52" s="2717"/>
      <c r="H52" s="2717"/>
      <c r="I52" s="2717"/>
      <c r="J52" s="2717"/>
      <c r="K52" s="2717"/>
      <c r="L52" s="2717"/>
      <c r="M52" s="2717"/>
      <c r="N52" s="2717"/>
      <c r="O52" s="2717"/>
      <c r="P52" s="2717"/>
    </row>
    <row r="53" ht="15" spans="1:16">
      <c r="A53" s="2763" t="s">
        <v>161</v>
      </c>
      <c r="B53" s="2764" t="s">
        <v>162</v>
      </c>
      <c r="C53" s="2869" t="str">
        <f>IF(参数表!$C$12="本期间为特定年","本年金额","本期金额")</f>
        <v>本年金额</v>
      </c>
      <c r="D53" s="2721"/>
      <c r="E53" s="2721" t="str">
        <f>IF(参数表!$C$12="本期间为特定年","本年金额","本期金额")</f>
        <v>本年金额</v>
      </c>
      <c r="F53" s="2721" t="str">
        <f>IF(参数表!$C$12="本期间为特定年","本年金额","本期金额")</f>
        <v>本年金额</v>
      </c>
      <c r="G53" s="2721" t="str">
        <f>IF(参数表!$C$12="本期间为特定年","本年金额","本期金额")</f>
        <v>本年金额</v>
      </c>
      <c r="H53" s="2721" t="str">
        <f>IF(参数表!$C$12="本期间为特定年","本年金额","本期金额")</f>
        <v>本年金额</v>
      </c>
      <c r="I53" s="2721" t="str">
        <f>IF(参数表!$C$12="本期间为特定年","本年金额","本期金额")</f>
        <v>本年金额</v>
      </c>
      <c r="J53" s="2721" t="str">
        <f>IF(参数表!$C$12="本期间为特定年","本年金额","本期金额")</f>
        <v>本年金额</v>
      </c>
      <c r="K53" s="2721" t="str">
        <f>IF(参数表!$C$12="本期间为特定年","本年金额","本期金额")</f>
        <v>本年金额</v>
      </c>
      <c r="L53" s="2721" t="str">
        <f>IF(参数表!$C$12="本期间为特定年","本年金额","本期金额")</f>
        <v>本年金额</v>
      </c>
      <c r="M53" s="2721" t="str">
        <f>IF(参数表!$C$12="本期间为特定年","本年金额","本期金额")</f>
        <v>本年金额</v>
      </c>
      <c r="N53" s="2721" t="str">
        <f>IF(参数表!$C$12="本期间为特定年","本年金额","本期金额")</f>
        <v>本年金额</v>
      </c>
      <c r="O53" s="2721" t="str">
        <f>IF(参数表!$C$12="本期间为特定年","本年金额","本期金额")</f>
        <v>本年金额</v>
      </c>
      <c r="P53" s="2722" t="str">
        <f>IF(参数表!$C$12="本期间为特定年","本年金额","本期金额")</f>
        <v>本年金额</v>
      </c>
    </row>
    <row r="54" spans="1:16">
      <c r="A54" s="2766"/>
      <c r="B54" s="2767"/>
      <c r="C54" s="2729" t="s">
        <v>163</v>
      </c>
      <c r="D54" s="2727"/>
      <c r="E54" s="2768" t="str">
        <f>E5</f>
        <v>1月</v>
      </c>
      <c r="F54" s="2727" t="str">
        <f t="shared" ref="F54:P54" si="12">F5</f>
        <v>2月</v>
      </c>
      <c r="G54" s="2768" t="str">
        <f t="shared" si="12"/>
        <v>3月</v>
      </c>
      <c r="H54" s="2727" t="str">
        <f t="shared" si="12"/>
        <v>4月</v>
      </c>
      <c r="I54" s="2768" t="str">
        <f t="shared" si="12"/>
        <v>5月</v>
      </c>
      <c r="J54" s="2727" t="str">
        <f t="shared" si="12"/>
        <v>6月</v>
      </c>
      <c r="K54" s="2768" t="str">
        <f t="shared" si="12"/>
        <v>7月</v>
      </c>
      <c r="L54" s="2727" t="str">
        <f t="shared" si="12"/>
        <v>8月</v>
      </c>
      <c r="M54" s="2768" t="str">
        <f t="shared" si="12"/>
        <v>9月</v>
      </c>
      <c r="N54" s="2727" t="str">
        <f t="shared" si="12"/>
        <v>10月</v>
      </c>
      <c r="O54" s="2768" t="str">
        <f t="shared" si="12"/>
        <v>11月</v>
      </c>
      <c r="P54" s="2769" t="str">
        <f t="shared" si="12"/>
        <v>12月</v>
      </c>
    </row>
    <row r="55" spans="1:16">
      <c r="A55" s="2771" t="s">
        <v>164</v>
      </c>
      <c r="B55" s="2750"/>
      <c r="C55" s="2735"/>
      <c r="D55" s="2733"/>
      <c r="E55" s="2733"/>
      <c r="F55" s="2733"/>
      <c r="G55" s="2733"/>
      <c r="H55" s="2733"/>
      <c r="I55" s="2733"/>
      <c r="J55" s="2733"/>
      <c r="K55" s="2733"/>
      <c r="L55" s="2733"/>
      <c r="M55" s="2733"/>
      <c r="N55" s="2733"/>
      <c r="O55" s="2733"/>
      <c r="P55" s="2734"/>
    </row>
    <row r="56" spans="1:16">
      <c r="A56" s="2772" t="s">
        <v>110</v>
      </c>
      <c r="B56" s="2773"/>
      <c r="C56" s="2735">
        <f>审定现流表!C56</f>
        <v>8831644.55</v>
      </c>
      <c r="D56" s="2733"/>
      <c r="E56" s="2733"/>
      <c r="F56" s="2733"/>
      <c r="G56" s="2733"/>
      <c r="H56" s="2733"/>
      <c r="I56" s="2733"/>
      <c r="J56" s="2733"/>
      <c r="K56" s="2733"/>
      <c r="L56" s="2733"/>
      <c r="M56" s="2733"/>
      <c r="N56" s="2733"/>
      <c r="O56" s="2733"/>
      <c r="P56" s="2734"/>
    </row>
    <row r="57" spans="1:16">
      <c r="A57" s="2772" t="s">
        <v>165</v>
      </c>
      <c r="B57" s="2773"/>
      <c r="C57" s="2735">
        <f>审定现流表!C57</f>
        <v>1895849.54</v>
      </c>
      <c r="D57" s="2733"/>
      <c r="E57" s="2738">
        <f>$C57-SUM($D57:D57)</f>
        <v>1895849.54</v>
      </c>
      <c r="F57" s="2738">
        <f>$C57-SUM($D57:E57)</f>
        <v>0</v>
      </c>
      <c r="G57" s="2738">
        <f>$C57-SUM($D57:F57)</f>
        <v>0</v>
      </c>
      <c r="H57" s="2738">
        <f>$C57-SUM($D57:G57)</f>
        <v>0</v>
      </c>
      <c r="I57" s="2738">
        <f>$C57-SUM($D57:H57)</f>
        <v>0</v>
      </c>
      <c r="J57" s="2738">
        <f>$C57-SUM($D57:I57)</f>
        <v>0</v>
      </c>
      <c r="K57" s="2738">
        <f>$C57-SUM($D57:J57)</f>
        <v>0</v>
      </c>
      <c r="L57" s="2738">
        <f>$C57-SUM($D57:K57)</f>
        <v>0</v>
      </c>
      <c r="M57" s="2738">
        <f>$C57-SUM($D57:L57)</f>
        <v>0</v>
      </c>
      <c r="N57" s="2738">
        <f>$C57-SUM($D57:M57)</f>
        <v>0</v>
      </c>
      <c r="O57" s="2738">
        <f>$C57-SUM($D57:N57)</f>
        <v>0</v>
      </c>
      <c r="P57" s="2751">
        <f>$C57-SUM($D57:O57)</f>
        <v>0</v>
      </c>
    </row>
    <row r="58" spans="1:16">
      <c r="A58" s="2772" t="s">
        <v>166</v>
      </c>
      <c r="B58" s="2773"/>
      <c r="C58" s="2735">
        <f>审定现流表!C58</f>
        <v>10725982.08</v>
      </c>
      <c r="D58" s="2733"/>
      <c r="E58" s="2738">
        <f>$C58-SUM($D58:D58)</f>
        <v>10725982.08</v>
      </c>
      <c r="F58" s="2738">
        <f>$C58-SUM($D58:E58)</f>
        <v>0</v>
      </c>
      <c r="G58" s="2738">
        <f>$C58-SUM($D58:F58)</f>
        <v>0</v>
      </c>
      <c r="H58" s="2738">
        <f>$C58-SUM($D58:G58)</f>
        <v>0</v>
      </c>
      <c r="I58" s="2738">
        <f>$C58-SUM($D58:H58)</f>
        <v>0</v>
      </c>
      <c r="J58" s="2738">
        <f>$C58-SUM($D58:I58)</f>
        <v>0</v>
      </c>
      <c r="K58" s="2738">
        <f>$C58-SUM($D58:J58)</f>
        <v>0</v>
      </c>
      <c r="L58" s="2738">
        <f>$C58-SUM($D58:K58)</f>
        <v>0</v>
      </c>
      <c r="M58" s="2738">
        <f>$C58-SUM($D58:L58)</f>
        <v>0</v>
      </c>
      <c r="N58" s="2738">
        <f>$C58-SUM($D58:M58)</f>
        <v>0</v>
      </c>
      <c r="O58" s="2738">
        <f>$C58-SUM($D58:N58)</f>
        <v>0</v>
      </c>
      <c r="P58" s="2751">
        <f>$C58-SUM($D58:O58)</f>
        <v>0</v>
      </c>
    </row>
    <row r="59" spans="1:16">
      <c r="A59" s="2772" t="s">
        <v>167</v>
      </c>
      <c r="B59" s="2773"/>
      <c r="C59" s="2735">
        <f>审定现流表!C59</f>
        <v>6000</v>
      </c>
      <c r="D59" s="2733"/>
      <c r="E59" s="2738">
        <f>$C59-SUM($D59:D59)</f>
        <v>6000</v>
      </c>
      <c r="F59" s="2738">
        <f>$C59-SUM($D59:E59)</f>
        <v>0</v>
      </c>
      <c r="G59" s="2738">
        <f>$C59-SUM($D59:F59)</f>
        <v>0</v>
      </c>
      <c r="H59" s="2738">
        <f>$C59-SUM($D59:G59)</f>
        <v>0</v>
      </c>
      <c r="I59" s="2738">
        <f>$C59-SUM($D59:H59)</f>
        <v>0</v>
      </c>
      <c r="J59" s="2738">
        <f>$C59-SUM($D59:I59)</f>
        <v>0</v>
      </c>
      <c r="K59" s="2738">
        <f>$C59-SUM($D59:J59)</f>
        <v>0</v>
      </c>
      <c r="L59" s="2738">
        <f>$C59-SUM($D59:K59)</f>
        <v>0</v>
      </c>
      <c r="M59" s="2738">
        <f>$C59-SUM($D59:L59)</f>
        <v>0</v>
      </c>
      <c r="N59" s="2738">
        <f>$C59-SUM($D59:M59)</f>
        <v>0</v>
      </c>
      <c r="O59" s="2738">
        <f>$C59-SUM($D59:N59)</f>
        <v>0</v>
      </c>
      <c r="P59" s="2751">
        <f>$C59-SUM($D59:O59)</f>
        <v>0</v>
      </c>
    </row>
    <row r="60" spans="1:16">
      <c r="A60" s="2772" t="s">
        <v>168</v>
      </c>
      <c r="B60" s="2773"/>
      <c r="C60" s="2735">
        <f>审定现流表!C60</f>
        <v>207956.57</v>
      </c>
      <c r="D60" s="2733"/>
      <c r="E60" s="2738">
        <f>$C60-SUM($D60:D60)</f>
        <v>207956.57</v>
      </c>
      <c r="F60" s="2738">
        <f>$C60-SUM($D60:E60)</f>
        <v>0</v>
      </c>
      <c r="G60" s="2738">
        <f>$C60-SUM($D60:F60)</f>
        <v>0</v>
      </c>
      <c r="H60" s="2738">
        <f>$C60-SUM($D60:G60)</f>
        <v>0</v>
      </c>
      <c r="I60" s="2738">
        <f>$C60-SUM($D60:H60)</f>
        <v>0</v>
      </c>
      <c r="J60" s="2738">
        <f>$C60-SUM($D60:I60)</f>
        <v>0</v>
      </c>
      <c r="K60" s="2738">
        <f>$C60-SUM($D60:J60)</f>
        <v>0</v>
      </c>
      <c r="L60" s="2738">
        <f>$C60-SUM($D60:K60)</f>
        <v>0</v>
      </c>
      <c r="M60" s="2738">
        <f>$C60-SUM($D60:L60)</f>
        <v>0</v>
      </c>
      <c r="N60" s="2738">
        <f>$C60-SUM($D60:M60)</f>
        <v>0</v>
      </c>
      <c r="O60" s="2738">
        <f>$C60-SUM($D60:N60)</f>
        <v>0</v>
      </c>
      <c r="P60" s="2751">
        <f>$C60-SUM($D60:O60)</f>
        <v>0</v>
      </c>
    </row>
    <row r="61" spans="1:16">
      <c r="A61" s="2772" t="s">
        <v>169</v>
      </c>
      <c r="B61" s="2773"/>
      <c r="C61" s="2735">
        <f>审定现流表!C61</f>
        <v>68120.1</v>
      </c>
      <c r="D61" s="2733"/>
      <c r="E61" s="2738">
        <f>$C61-SUM($D61:D61)</f>
        <v>68120.1</v>
      </c>
      <c r="F61" s="2738">
        <f>$C61-SUM($D61:E61)</f>
        <v>0</v>
      </c>
      <c r="G61" s="2738">
        <f>$C61-SUM($D61:F61)</f>
        <v>0</v>
      </c>
      <c r="H61" s="2738">
        <f>$C61-SUM($D61:G61)</f>
        <v>0</v>
      </c>
      <c r="I61" s="2738">
        <f>$C61-SUM($D61:H61)</f>
        <v>0</v>
      </c>
      <c r="J61" s="2738">
        <f>$C61-SUM($D61:I61)</f>
        <v>0</v>
      </c>
      <c r="K61" s="2738">
        <f>$C61-SUM($D61:J61)</f>
        <v>0</v>
      </c>
      <c r="L61" s="2738">
        <f>$C61-SUM($D61:K61)</f>
        <v>0</v>
      </c>
      <c r="M61" s="2738">
        <f>$C61-SUM($D61:L61)</f>
        <v>0</v>
      </c>
      <c r="N61" s="2738">
        <f>$C61-SUM($D61:M61)</f>
        <v>0</v>
      </c>
      <c r="O61" s="2738">
        <f>$C61-SUM($D61:N61)</f>
        <v>0</v>
      </c>
      <c r="P61" s="2751">
        <f>$C61-SUM($D61:O61)</f>
        <v>0</v>
      </c>
    </row>
    <row r="62" spans="1:16">
      <c r="A62" s="2772" t="s">
        <v>170</v>
      </c>
      <c r="B62" s="2773"/>
      <c r="C62" s="2735">
        <f>审定现流表!C62</f>
        <v>0</v>
      </c>
      <c r="D62" s="2733"/>
      <c r="E62" s="2738">
        <f>$C62-SUM($D62:D62)</f>
        <v>0</v>
      </c>
      <c r="F62" s="2738">
        <f>$C62-SUM($D62:E62)</f>
        <v>0</v>
      </c>
      <c r="G62" s="2738">
        <f>$C62-SUM($D62:F62)</f>
        <v>0</v>
      </c>
      <c r="H62" s="2738">
        <f>$C62-SUM($D62:G62)</f>
        <v>0</v>
      </c>
      <c r="I62" s="2738">
        <f>$C62-SUM($D62:H62)</f>
        <v>0</v>
      </c>
      <c r="J62" s="2738">
        <f>$C62-SUM($D62:I62)</f>
        <v>0</v>
      </c>
      <c r="K62" s="2738">
        <f>$C62-SUM($D62:J62)</f>
        <v>0</v>
      </c>
      <c r="L62" s="2738">
        <f>$C62-SUM($D62:K62)</f>
        <v>0</v>
      </c>
      <c r="M62" s="2738">
        <f>$C62-SUM($D62:L62)</f>
        <v>0</v>
      </c>
      <c r="N62" s="2738">
        <f>$C62-SUM($D62:M62)</f>
        <v>0</v>
      </c>
      <c r="O62" s="2738">
        <f>$C62-SUM($D62:N62)</f>
        <v>0</v>
      </c>
      <c r="P62" s="2751">
        <f>$C62-SUM($D62:O62)</f>
        <v>0</v>
      </c>
    </row>
    <row r="63" spans="1:16">
      <c r="A63" s="2772" t="s">
        <v>171</v>
      </c>
      <c r="B63" s="2773"/>
      <c r="C63" s="2735">
        <f>审定现流表!C63</f>
        <v>0</v>
      </c>
      <c r="D63" s="2733"/>
      <c r="E63" s="2738">
        <f>$C63-SUM($D63:D63)</f>
        <v>0</v>
      </c>
      <c r="F63" s="2738">
        <f>$C63-SUM($D63:E63)</f>
        <v>0</v>
      </c>
      <c r="G63" s="2738">
        <f>$C63-SUM($D63:F63)</f>
        <v>0</v>
      </c>
      <c r="H63" s="2738">
        <f>$C63-SUM($D63:G63)</f>
        <v>0</v>
      </c>
      <c r="I63" s="2738">
        <f>$C63-SUM($D63:H63)</f>
        <v>0</v>
      </c>
      <c r="J63" s="2738">
        <f>$C63-SUM($D63:I63)</f>
        <v>0</v>
      </c>
      <c r="K63" s="2738">
        <f>$C63-SUM($D63:J63)</f>
        <v>0</v>
      </c>
      <c r="L63" s="2738">
        <f>$C63-SUM($D63:K63)</f>
        <v>0</v>
      </c>
      <c r="M63" s="2738">
        <f>$C63-SUM($D63:L63)</f>
        <v>0</v>
      </c>
      <c r="N63" s="2738">
        <f>$C63-SUM($D63:M63)</f>
        <v>0</v>
      </c>
      <c r="O63" s="2738">
        <f>$C63-SUM($D63:N63)</f>
        <v>0</v>
      </c>
      <c r="P63" s="2751">
        <f>$C63-SUM($D63:O63)</f>
        <v>0</v>
      </c>
    </row>
    <row r="64" spans="1:16">
      <c r="A64" s="2772" t="s">
        <v>85</v>
      </c>
      <c r="B64" s="2773"/>
      <c r="C64" s="2735">
        <f>审定现流表!C64</f>
        <v>18267390.45</v>
      </c>
      <c r="D64" s="2733"/>
      <c r="E64" s="2738">
        <f>$C64-SUM($D64:D64)</f>
        <v>18267390.45</v>
      </c>
      <c r="F64" s="2738">
        <f>$C64-SUM($D64:E64)</f>
        <v>0</v>
      </c>
      <c r="G64" s="2738">
        <f>$C64-SUM($D64:F64)</f>
        <v>0</v>
      </c>
      <c r="H64" s="2738">
        <f>$C64-SUM($D64:G64)</f>
        <v>0</v>
      </c>
      <c r="I64" s="2738">
        <f>$C64-SUM($D64:H64)</f>
        <v>0</v>
      </c>
      <c r="J64" s="2738">
        <f>$C64-SUM($D64:I64)</f>
        <v>0</v>
      </c>
      <c r="K64" s="2738">
        <f>$C64-SUM($D64:J64)</f>
        <v>0</v>
      </c>
      <c r="L64" s="2738">
        <f>$C64-SUM($D64:K64)</f>
        <v>0</v>
      </c>
      <c r="M64" s="2738">
        <f>$C64-SUM($D64:L64)</f>
        <v>0</v>
      </c>
      <c r="N64" s="2738">
        <f>$C64-SUM($D64:M64)</f>
        <v>0</v>
      </c>
      <c r="O64" s="2738">
        <f>$C64-SUM($D64:N64)</f>
        <v>0</v>
      </c>
      <c r="P64" s="2751">
        <f>$C64-SUM($D64:O64)</f>
        <v>0</v>
      </c>
    </row>
    <row r="65" spans="1:16">
      <c r="A65" s="2772" t="s">
        <v>172</v>
      </c>
      <c r="B65" s="2773"/>
      <c r="C65" s="2735">
        <f>审定现流表!C65</f>
        <v>0</v>
      </c>
      <c r="D65" s="2733"/>
      <c r="E65" s="2738">
        <f>$C65-SUM($D65:D65)</f>
        <v>0</v>
      </c>
      <c r="F65" s="2738">
        <f>$C65-SUM($D65:E65)</f>
        <v>0</v>
      </c>
      <c r="G65" s="2738">
        <f>$C65-SUM($D65:F65)</f>
        <v>0</v>
      </c>
      <c r="H65" s="2738">
        <f>$C65-SUM($D65:G65)</f>
        <v>0</v>
      </c>
      <c r="I65" s="2738">
        <f>$C65-SUM($D65:H65)</f>
        <v>0</v>
      </c>
      <c r="J65" s="2738">
        <f>$C65-SUM($D65:I65)</f>
        <v>0</v>
      </c>
      <c r="K65" s="2738">
        <f>$C65-SUM($D65:J65)</f>
        <v>0</v>
      </c>
      <c r="L65" s="2738">
        <f>$C65-SUM($D65:K65)</f>
        <v>0</v>
      </c>
      <c r="M65" s="2738">
        <f>$C65-SUM($D65:L65)</f>
        <v>0</v>
      </c>
      <c r="N65" s="2738">
        <f>$C65-SUM($D65:M65)</f>
        <v>0</v>
      </c>
      <c r="O65" s="2738">
        <f>$C65-SUM($D65:N65)</f>
        <v>0</v>
      </c>
      <c r="P65" s="2751">
        <f>$C65-SUM($D65:O65)</f>
        <v>0</v>
      </c>
    </row>
    <row r="66" spans="1:16">
      <c r="A66" s="2772" t="s">
        <v>173</v>
      </c>
      <c r="B66" s="2773"/>
      <c r="C66" s="2735">
        <f>审定现流表!C66</f>
        <v>24825.52</v>
      </c>
      <c r="D66" s="2733"/>
      <c r="E66" s="2738">
        <f>$C66-SUM($D66:D66)</f>
        <v>24825.52</v>
      </c>
      <c r="F66" s="2738">
        <f>$C66-SUM($D66:E66)</f>
        <v>0</v>
      </c>
      <c r="G66" s="2738">
        <f>$C66-SUM($D66:F66)</f>
        <v>0</v>
      </c>
      <c r="H66" s="2738">
        <f>$C66-SUM($D66:G66)</f>
        <v>0</v>
      </c>
      <c r="I66" s="2738">
        <f>$C66-SUM($D66:H66)</f>
        <v>0</v>
      </c>
      <c r="J66" s="2738">
        <f>$C66-SUM($D66:I66)</f>
        <v>0</v>
      </c>
      <c r="K66" s="2738">
        <f>$C66-SUM($D66:J66)</f>
        <v>0</v>
      </c>
      <c r="L66" s="2738">
        <f>$C66-SUM($D66:K66)</f>
        <v>0</v>
      </c>
      <c r="M66" s="2738">
        <f>$C66-SUM($D66:L66)</f>
        <v>0</v>
      </c>
      <c r="N66" s="2738">
        <f>$C66-SUM($D66:M66)</f>
        <v>0</v>
      </c>
      <c r="O66" s="2738">
        <f>$C66-SUM($D66:N66)</f>
        <v>0</v>
      </c>
      <c r="P66" s="2751">
        <f>$C66-SUM($D66:O66)</f>
        <v>0</v>
      </c>
    </row>
    <row r="67" spans="1:16">
      <c r="A67" s="2772" t="s">
        <v>174</v>
      </c>
      <c r="B67" s="2773"/>
      <c r="C67" s="2735">
        <f>审定现流表!C67</f>
        <v>0</v>
      </c>
      <c r="D67" s="2733"/>
      <c r="E67" s="2738">
        <f>$C67-SUM($D67:D67)</f>
        <v>0</v>
      </c>
      <c r="F67" s="2738">
        <f>$C67-SUM($D67:E67)</f>
        <v>0</v>
      </c>
      <c r="G67" s="2738">
        <f>$C67-SUM($D67:F67)</f>
        <v>0</v>
      </c>
      <c r="H67" s="2738">
        <f>$C67-SUM($D67:G67)</f>
        <v>0</v>
      </c>
      <c r="I67" s="2738">
        <f>$C67-SUM($D67:H67)</f>
        <v>0</v>
      </c>
      <c r="J67" s="2738">
        <f>$C67-SUM($D67:I67)</f>
        <v>0</v>
      </c>
      <c r="K67" s="2738">
        <f>$C67-SUM($D67:J67)</f>
        <v>0</v>
      </c>
      <c r="L67" s="2738">
        <f>$C67-SUM($D67:K67)</f>
        <v>0</v>
      </c>
      <c r="M67" s="2738">
        <f>$C67-SUM($D67:L67)</f>
        <v>0</v>
      </c>
      <c r="N67" s="2738">
        <f>$C67-SUM($D67:M67)</f>
        <v>0</v>
      </c>
      <c r="O67" s="2738">
        <f>$C67-SUM($D67:N67)</f>
        <v>0</v>
      </c>
      <c r="P67" s="2751">
        <f>$C67-SUM($D67:O67)</f>
        <v>0</v>
      </c>
    </row>
    <row r="68" spans="1:16">
      <c r="A68" s="2772" t="s">
        <v>175</v>
      </c>
      <c r="B68" s="2773"/>
      <c r="C68" s="2735">
        <f>审定现流表!C68</f>
        <v>-40160366.77</v>
      </c>
      <c r="D68" s="2733"/>
      <c r="E68" s="2738">
        <f>$C68-SUM($D68:D68)</f>
        <v>-40160366.77</v>
      </c>
      <c r="F68" s="2738">
        <f>$C68-SUM($D68:E68)</f>
        <v>0</v>
      </c>
      <c r="G68" s="2738">
        <f>$C68-SUM($D68:F68)</f>
        <v>0</v>
      </c>
      <c r="H68" s="2738">
        <f>$C68-SUM($D68:G68)</f>
        <v>0</v>
      </c>
      <c r="I68" s="2738">
        <f>$C68-SUM($D68:H68)</f>
        <v>0</v>
      </c>
      <c r="J68" s="2738">
        <f>$C68-SUM($D68:I68)</f>
        <v>0</v>
      </c>
      <c r="K68" s="2738">
        <f>$C68-SUM($D68:J68)</f>
        <v>0</v>
      </c>
      <c r="L68" s="2738">
        <f>$C68-SUM($D68:K68)</f>
        <v>0</v>
      </c>
      <c r="M68" s="2738">
        <f>$C68-SUM($D68:L68)</f>
        <v>0</v>
      </c>
      <c r="N68" s="2738">
        <f>$C68-SUM($D68:M68)</f>
        <v>0</v>
      </c>
      <c r="O68" s="2738">
        <f>$C68-SUM($D68:N68)</f>
        <v>0</v>
      </c>
      <c r="P68" s="2751">
        <f>$C68-SUM($D68:O68)</f>
        <v>0</v>
      </c>
    </row>
    <row r="69" spans="1:16">
      <c r="A69" s="2772" t="s">
        <v>176</v>
      </c>
      <c r="B69" s="2773"/>
      <c r="C69" s="2735">
        <f>审定现流表!C69</f>
        <v>-64887311.39</v>
      </c>
      <c r="D69" s="2733"/>
      <c r="E69" s="2738">
        <f>$C69-SUM($D69:D69)</f>
        <v>-64887311.39</v>
      </c>
      <c r="F69" s="2738">
        <f>$C69-SUM($D69:E69)</f>
        <v>0</v>
      </c>
      <c r="G69" s="2738">
        <f>$C69-SUM($D69:F69)</f>
        <v>0</v>
      </c>
      <c r="H69" s="2738">
        <f>$C69-SUM($D69:G69)</f>
        <v>0</v>
      </c>
      <c r="I69" s="2738">
        <f>$C69-SUM($D69:H69)</f>
        <v>0</v>
      </c>
      <c r="J69" s="2738">
        <f>$C69-SUM($D69:I69)</f>
        <v>0</v>
      </c>
      <c r="K69" s="2738">
        <f>$C69-SUM($D69:J69)</f>
        <v>0</v>
      </c>
      <c r="L69" s="2738">
        <f>$C69-SUM($D69:K69)</f>
        <v>0</v>
      </c>
      <c r="M69" s="2738">
        <f>$C69-SUM($D69:L69)</f>
        <v>0</v>
      </c>
      <c r="N69" s="2738">
        <f>$C69-SUM($D69:M69)</f>
        <v>0</v>
      </c>
      <c r="O69" s="2738">
        <f>$C69-SUM($D69:N69)</f>
        <v>0</v>
      </c>
      <c r="P69" s="2751">
        <f>$C69-SUM($D69:O69)</f>
        <v>0</v>
      </c>
    </row>
    <row r="70" spans="1:16">
      <c r="A70" s="2772" t="s">
        <v>177</v>
      </c>
      <c r="B70" s="2773"/>
      <c r="C70" s="2735">
        <f>审定现流表!C70</f>
        <v>19326315.39</v>
      </c>
      <c r="D70" s="2733"/>
      <c r="E70" s="2738">
        <f>$C70-SUM($D70:D70)</f>
        <v>19326315.39</v>
      </c>
      <c r="F70" s="2738">
        <f>$C70-SUM($D70:E70)</f>
        <v>0</v>
      </c>
      <c r="G70" s="2738">
        <f>$C70-SUM($D70:F70)</f>
        <v>0</v>
      </c>
      <c r="H70" s="2738">
        <f>$C70-SUM($D70:G70)</f>
        <v>0</v>
      </c>
      <c r="I70" s="2738">
        <f>$C70-SUM($D70:H70)</f>
        <v>0</v>
      </c>
      <c r="J70" s="2738">
        <f>$C70-SUM($D70:I70)</f>
        <v>0</v>
      </c>
      <c r="K70" s="2738">
        <f>$C70-SUM($D70:J70)</f>
        <v>0</v>
      </c>
      <c r="L70" s="2738">
        <f>$C70-SUM($D70:K70)</f>
        <v>0</v>
      </c>
      <c r="M70" s="2738">
        <f>$C70-SUM($D70:L70)</f>
        <v>0</v>
      </c>
      <c r="N70" s="2738">
        <f>$C70-SUM($D70:M70)</f>
        <v>0</v>
      </c>
      <c r="O70" s="2738">
        <f>$C70-SUM($D70:N70)</f>
        <v>0</v>
      </c>
      <c r="P70" s="2751">
        <f>$C70-SUM($D70:O70)</f>
        <v>0</v>
      </c>
    </row>
    <row r="71" spans="1:16">
      <c r="A71" s="2772" t="s">
        <v>178</v>
      </c>
      <c r="B71" s="2773"/>
      <c r="C71" s="2735">
        <f>审定现流表!C71</f>
        <v>0</v>
      </c>
      <c r="D71" s="2733"/>
      <c r="E71" s="2738">
        <f>$C71-SUM($D71:D71)</f>
        <v>0</v>
      </c>
      <c r="F71" s="2738">
        <f>$C71-SUM($D71:E71)</f>
        <v>0</v>
      </c>
      <c r="G71" s="2738">
        <f>$C71-SUM($D71:F71)</f>
        <v>0</v>
      </c>
      <c r="H71" s="2738">
        <f>$C71-SUM($D71:G71)</f>
        <v>0</v>
      </c>
      <c r="I71" s="2738">
        <f>$C71-SUM($D71:H71)</f>
        <v>0</v>
      </c>
      <c r="J71" s="2738">
        <f>$C71-SUM($D71:I71)</f>
        <v>0</v>
      </c>
      <c r="K71" s="2738">
        <f>$C71-SUM($D71:J71)</f>
        <v>0</v>
      </c>
      <c r="L71" s="2738">
        <f>$C71-SUM($D71:K71)</f>
        <v>0</v>
      </c>
      <c r="M71" s="2738">
        <f>$C71-SUM($D71:L71)</f>
        <v>0</v>
      </c>
      <c r="N71" s="2738">
        <f>$C71-SUM($D71:M71)</f>
        <v>0</v>
      </c>
      <c r="O71" s="2738">
        <f>$C71-SUM($D71:N71)</f>
        <v>0</v>
      </c>
      <c r="P71" s="2751">
        <f>$C71-SUM($D71:O71)</f>
        <v>0</v>
      </c>
    </row>
    <row r="72" spans="1:16">
      <c r="A72" s="2777" t="s">
        <v>179</v>
      </c>
      <c r="B72" s="2773"/>
      <c r="C72" s="2743">
        <f>ROUND(SUM(C56:C71),2)</f>
        <v>-45693593.96</v>
      </c>
      <c r="D72" s="2744"/>
      <c r="E72" s="2744">
        <f t="shared" ref="E72:P72" si="13">ROUND(SUM(E56:E71),2)</f>
        <v>-54525238.51</v>
      </c>
      <c r="F72" s="2744">
        <f t="shared" si="13"/>
        <v>0</v>
      </c>
      <c r="G72" s="2744">
        <f t="shared" si="13"/>
        <v>0</v>
      </c>
      <c r="H72" s="2744">
        <f t="shared" si="13"/>
        <v>0</v>
      </c>
      <c r="I72" s="2744">
        <f t="shared" si="13"/>
        <v>0</v>
      </c>
      <c r="J72" s="2744">
        <f t="shared" si="13"/>
        <v>0</v>
      </c>
      <c r="K72" s="2744">
        <f t="shared" si="13"/>
        <v>0</v>
      </c>
      <c r="L72" s="2744">
        <f t="shared" si="13"/>
        <v>0</v>
      </c>
      <c r="M72" s="2744">
        <f t="shared" si="13"/>
        <v>0</v>
      </c>
      <c r="N72" s="2744">
        <f t="shared" si="13"/>
        <v>0</v>
      </c>
      <c r="O72" s="2744">
        <f t="shared" si="13"/>
        <v>0</v>
      </c>
      <c r="P72" s="2870">
        <f t="shared" si="13"/>
        <v>0</v>
      </c>
    </row>
    <row r="73" spans="1:16">
      <c r="A73" s="2772"/>
      <c r="B73" s="2773"/>
      <c r="C73" s="2735"/>
      <c r="D73" s="2773"/>
      <c r="E73" s="2773"/>
      <c r="F73" s="2773"/>
      <c r="G73" s="2773"/>
      <c r="H73" s="2773"/>
      <c r="I73" s="2773"/>
      <c r="J73" s="2773"/>
      <c r="K73" s="2773"/>
      <c r="L73" s="2773"/>
      <c r="M73" s="2773"/>
      <c r="N73" s="2773"/>
      <c r="O73" s="2773"/>
      <c r="P73" s="2778"/>
    </row>
    <row r="74" spans="1:16">
      <c r="A74" s="2777" t="s">
        <v>180</v>
      </c>
      <c r="B74" s="2773"/>
      <c r="C74" s="2735"/>
      <c r="D74" s="2773"/>
      <c r="E74" s="2773"/>
      <c r="F74" s="2773"/>
      <c r="G74" s="2773"/>
      <c r="H74" s="2773"/>
      <c r="I74" s="2773"/>
      <c r="J74" s="2773"/>
      <c r="K74" s="2773"/>
      <c r="L74" s="2773"/>
      <c r="M74" s="2773"/>
      <c r="N74" s="2773"/>
      <c r="O74" s="2773"/>
      <c r="P74" s="2778"/>
    </row>
    <row r="75" spans="1:16">
      <c r="A75" s="2772" t="s">
        <v>181</v>
      </c>
      <c r="B75" s="2773"/>
      <c r="C75" s="2735">
        <f>审定现流表!C75</f>
        <v>0</v>
      </c>
      <c r="D75" s="2733"/>
      <c r="E75" s="2738">
        <f>$C75-SUM($D75:D75)</f>
        <v>0</v>
      </c>
      <c r="F75" s="2738">
        <f>$C75-SUM($D75:E75)</f>
        <v>0</v>
      </c>
      <c r="G75" s="2738">
        <f>$C75-SUM($D75:F75)</f>
        <v>0</v>
      </c>
      <c r="H75" s="2738">
        <f>$C75-SUM($D75:G75)</f>
        <v>0</v>
      </c>
      <c r="I75" s="2738">
        <f>$C75-SUM($D75:H75)</f>
        <v>0</v>
      </c>
      <c r="J75" s="2738">
        <f>$C75-SUM($D75:I75)</f>
        <v>0</v>
      </c>
      <c r="K75" s="2738">
        <f>$C75-SUM($D75:J75)</f>
        <v>0</v>
      </c>
      <c r="L75" s="2738">
        <f>$C75-SUM($D75:K75)</f>
        <v>0</v>
      </c>
      <c r="M75" s="2738">
        <f>$C75-SUM($D75:L75)</f>
        <v>0</v>
      </c>
      <c r="N75" s="2738">
        <f>$C75-SUM($D75:M75)</f>
        <v>0</v>
      </c>
      <c r="O75" s="2738">
        <f>$C75-SUM($D75:N75)</f>
        <v>0</v>
      </c>
      <c r="P75" s="2751">
        <f>$C75-SUM($D75:O75)</f>
        <v>0</v>
      </c>
    </row>
    <row r="76" spans="1:16">
      <c r="A76" s="2772" t="s">
        <v>182</v>
      </c>
      <c r="B76" s="2773"/>
      <c r="C76" s="2735">
        <f>审定现流表!C76</f>
        <v>0</v>
      </c>
      <c r="D76" s="2733"/>
      <c r="E76" s="2738">
        <f>$C76-SUM($D76:D76)</f>
        <v>0</v>
      </c>
      <c r="F76" s="2738">
        <f>$C76-SUM($D76:E76)</f>
        <v>0</v>
      </c>
      <c r="G76" s="2738">
        <f>$C76-SUM($D76:F76)</f>
        <v>0</v>
      </c>
      <c r="H76" s="2738">
        <f>$C76-SUM($D76:G76)</f>
        <v>0</v>
      </c>
      <c r="I76" s="2738">
        <f>$C76-SUM($D76:H76)</f>
        <v>0</v>
      </c>
      <c r="J76" s="2738">
        <f>$C76-SUM($D76:I76)</f>
        <v>0</v>
      </c>
      <c r="K76" s="2738">
        <f>$C76-SUM($D76:J76)</f>
        <v>0</v>
      </c>
      <c r="L76" s="2738">
        <f>$C76-SUM($D76:K76)</f>
        <v>0</v>
      </c>
      <c r="M76" s="2738">
        <f>$C76-SUM($D76:L76)</f>
        <v>0</v>
      </c>
      <c r="N76" s="2738">
        <f>$C76-SUM($D76:M76)</f>
        <v>0</v>
      </c>
      <c r="O76" s="2738">
        <f>$C76-SUM($D76:N76)</f>
        <v>0</v>
      </c>
      <c r="P76" s="2751">
        <f>$C76-SUM($D76:O76)</f>
        <v>0</v>
      </c>
    </row>
    <row r="77" spans="1:16">
      <c r="A77" s="2772" t="s">
        <v>183</v>
      </c>
      <c r="B77" s="2773"/>
      <c r="C77" s="2735">
        <f>审定现流表!C77</f>
        <v>0</v>
      </c>
      <c r="D77" s="2733"/>
      <c r="E77" s="2738">
        <f>$C77-SUM($D77:D77)</f>
        <v>0</v>
      </c>
      <c r="F77" s="2738">
        <f>$C77-SUM($D77:E77)</f>
        <v>0</v>
      </c>
      <c r="G77" s="2738">
        <f>$C77-SUM($D77:F77)</f>
        <v>0</v>
      </c>
      <c r="H77" s="2738">
        <f>$C77-SUM($D77:G77)</f>
        <v>0</v>
      </c>
      <c r="I77" s="2738">
        <f>$C77-SUM($D77:H77)</f>
        <v>0</v>
      </c>
      <c r="J77" s="2738">
        <f>$C77-SUM($D77:I77)</f>
        <v>0</v>
      </c>
      <c r="K77" s="2738">
        <f>$C77-SUM($D77:J77)</f>
        <v>0</v>
      </c>
      <c r="L77" s="2738">
        <f>$C77-SUM($D77:K77)</f>
        <v>0</v>
      </c>
      <c r="M77" s="2738">
        <f>$C77-SUM($D77:L77)</f>
        <v>0</v>
      </c>
      <c r="N77" s="2738">
        <f>$C77-SUM($D77:M77)</f>
        <v>0</v>
      </c>
      <c r="O77" s="2738">
        <f>$C77-SUM($D77:N77)</f>
        <v>0</v>
      </c>
      <c r="P77" s="2751">
        <f>$C77-SUM($D77:O77)</f>
        <v>0</v>
      </c>
    </row>
    <row r="78" spans="1:16">
      <c r="A78" s="2772"/>
      <c r="B78" s="2773"/>
      <c r="C78" s="2735"/>
      <c r="D78" s="2773"/>
      <c r="E78" s="2773"/>
      <c r="F78" s="2773"/>
      <c r="G78" s="2773"/>
      <c r="H78" s="2773"/>
      <c r="I78" s="2773"/>
      <c r="J78" s="2773"/>
      <c r="K78" s="2773"/>
      <c r="L78" s="2773"/>
      <c r="M78" s="2773"/>
      <c r="N78" s="2773"/>
      <c r="O78" s="2773"/>
      <c r="P78" s="2778"/>
    </row>
    <row r="79" spans="1:16">
      <c r="A79" s="2777" t="s">
        <v>184</v>
      </c>
      <c r="B79" s="2773"/>
      <c r="C79" s="2735"/>
      <c r="D79" s="2773"/>
      <c r="E79" s="2773"/>
      <c r="F79" s="2773"/>
      <c r="G79" s="2773"/>
      <c r="H79" s="2773"/>
      <c r="I79" s="2773"/>
      <c r="J79" s="2773"/>
      <c r="K79" s="2773"/>
      <c r="L79" s="2773"/>
      <c r="M79" s="2773"/>
      <c r="N79" s="2773"/>
      <c r="O79" s="2773"/>
      <c r="P79" s="2778"/>
    </row>
    <row r="80" spans="1:16">
      <c r="A80" s="2772" t="s">
        <v>185</v>
      </c>
      <c r="B80" s="2773"/>
      <c r="C80" s="2735">
        <f>审定现流表!C80</f>
        <v>203715132.36</v>
      </c>
      <c r="D80" s="2733"/>
      <c r="E80" s="2733"/>
      <c r="F80" s="2733"/>
      <c r="G80" s="2733"/>
      <c r="H80" s="2733"/>
      <c r="I80" s="2733"/>
      <c r="J80" s="2733"/>
      <c r="K80" s="2733"/>
      <c r="L80" s="2733"/>
      <c r="M80" s="2733"/>
      <c r="N80" s="2733"/>
      <c r="O80" s="2733"/>
      <c r="P80" s="2734"/>
    </row>
    <row r="81" spans="1:16">
      <c r="A81" s="2772" t="s">
        <v>186</v>
      </c>
      <c r="B81" s="2773"/>
      <c r="C81" s="2735">
        <f>审定现流表!C81</f>
        <v>76914775.62</v>
      </c>
      <c r="D81" s="2733"/>
      <c r="E81" s="2733"/>
      <c r="F81" s="2733"/>
      <c r="G81" s="2733"/>
      <c r="H81" s="2733"/>
      <c r="I81" s="2733"/>
      <c r="J81" s="2733"/>
      <c r="K81" s="2733"/>
      <c r="L81" s="2733"/>
      <c r="M81" s="2733"/>
      <c r="N81" s="2733"/>
      <c r="O81" s="2733"/>
      <c r="P81" s="2734"/>
    </row>
    <row r="82" spans="1:16">
      <c r="A82" s="2772" t="s">
        <v>187</v>
      </c>
      <c r="B82" s="2773"/>
      <c r="C82" s="2735">
        <f>审定现流表!C82</f>
        <v>0</v>
      </c>
      <c r="D82" s="2733"/>
      <c r="E82" s="2738">
        <f>$C82-SUM($D82:D82)</f>
        <v>0</v>
      </c>
      <c r="F82" s="2738">
        <f>$C82-SUM($D82:E82)</f>
        <v>0</v>
      </c>
      <c r="G82" s="2738">
        <f>$C82-SUM($D82:F82)</f>
        <v>0</v>
      </c>
      <c r="H82" s="2738">
        <f>$C82-SUM($D82:G82)</f>
        <v>0</v>
      </c>
      <c r="I82" s="2738">
        <f>$C82-SUM($D82:H82)</f>
        <v>0</v>
      </c>
      <c r="J82" s="2738">
        <f>$C82-SUM($D82:I82)</f>
        <v>0</v>
      </c>
      <c r="K82" s="2738">
        <f>$C82-SUM($D82:J82)</f>
        <v>0</v>
      </c>
      <c r="L82" s="2738">
        <f>$C82-SUM($D82:K82)</f>
        <v>0</v>
      </c>
      <c r="M82" s="2738">
        <f>$C82-SUM($D82:L82)</f>
        <v>0</v>
      </c>
      <c r="N82" s="2738">
        <f>$C82-SUM($D82:M82)</f>
        <v>0</v>
      </c>
      <c r="O82" s="2738">
        <f>$C82-SUM($D82:N82)</f>
        <v>0</v>
      </c>
      <c r="P82" s="2751">
        <f>$C82-SUM($D82:O82)</f>
        <v>0</v>
      </c>
    </row>
    <row r="83" spans="1:16">
      <c r="A83" s="2772" t="s">
        <v>188</v>
      </c>
      <c r="B83" s="2773"/>
      <c r="C83" s="2735">
        <f>审定现流表!C83</f>
        <v>0</v>
      </c>
      <c r="D83" s="2733"/>
      <c r="E83" s="2738">
        <f>$C83-SUM($D83:D83)</f>
        <v>0</v>
      </c>
      <c r="F83" s="2738">
        <f>$C83-SUM($D83:E83)</f>
        <v>0</v>
      </c>
      <c r="G83" s="2738">
        <f>$C83-SUM($D83:F83)</f>
        <v>0</v>
      </c>
      <c r="H83" s="2738">
        <f>$C83-SUM($D83:G83)</f>
        <v>0</v>
      </c>
      <c r="I83" s="2738">
        <f>$C83-SUM($D83:H83)</f>
        <v>0</v>
      </c>
      <c r="J83" s="2738">
        <f>$C83-SUM($D83:I83)</f>
        <v>0</v>
      </c>
      <c r="K83" s="2738">
        <f>$C83-SUM($D83:J83)</f>
        <v>0</v>
      </c>
      <c r="L83" s="2738">
        <f>$C83-SUM($D83:K83)</f>
        <v>0</v>
      </c>
      <c r="M83" s="2738">
        <f>$C83-SUM($D83:L83)</f>
        <v>0</v>
      </c>
      <c r="N83" s="2738">
        <f>$C83-SUM($D83:M83)</f>
        <v>0</v>
      </c>
      <c r="O83" s="2738">
        <f>$C83-SUM($D83:N83)</f>
        <v>0</v>
      </c>
      <c r="P83" s="2751">
        <f>$C83-SUM($D83:O83)</f>
        <v>0</v>
      </c>
    </row>
    <row r="84" ht="15" spans="1:16">
      <c r="A84" s="2781" t="s">
        <v>189</v>
      </c>
      <c r="B84" s="2782"/>
      <c r="C84" s="2867">
        <f t="shared" ref="C84:P84" si="14">ROUND(C80-C81+C82-C83,2)</f>
        <v>126800356.74</v>
      </c>
      <c r="D84" s="2755"/>
      <c r="E84" s="2755">
        <f t="shared" si="14"/>
        <v>0</v>
      </c>
      <c r="F84" s="2755">
        <f t="shared" si="14"/>
        <v>0</v>
      </c>
      <c r="G84" s="2755">
        <f t="shared" si="14"/>
        <v>0</v>
      </c>
      <c r="H84" s="2755">
        <f t="shared" si="14"/>
        <v>0</v>
      </c>
      <c r="I84" s="2755">
        <f t="shared" si="14"/>
        <v>0</v>
      </c>
      <c r="J84" s="2755">
        <f t="shared" si="14"/>
        <v>0</v>
      </c>
      <c r="K84" s="2755">
        <f t="shared" si="14"/>
        <v>0</v>
      </c>
      <c r="L84" s="2755">
        <f t="shared" si="14"/>
        <v>0</v>
      </c>
      <c r="M84" s="2755">
        <f t="shared" si="14"/>
        <v>0</v>
      </c>
      <c r="N84" s="2755">
        <f t="shared" si="14"/>
        <v>0</v>
      </c>
      <c r="O84" s="2755">
        <f t="shared" si="14"/>
        <v>0</v>
      </c>
      <c r="P84" s="2871">
        <f t="shared" si="14"/>
        <v>0</v>
      </c>
    </row>
    <row r="85" ht="15" hidden="1" spans="1:16">
      <c r="A85" s="2872"/>
      <c r="B85" s="2873"/>
      <c r="C85" s="2874"/>
      <c r="D85" s="2874"/>
      <c r="E85" s="2874"/>
      <c r="F85" s="2874"/>
      <c r="G85" s="2874"/>
      <c r="H85" s="2874"/>
      <c r="I85" s="2874"/>
      <c r="J85" s="2874"/>
      <c r="K85" s="2874"/>
      <c r="L85" s="2874"/>
      <c r="M85" s="2874"/>
      <c r="N85" s="2874"/>
      <c r="O85" s="2874"/>
      <c r="P85" s="2874"/>
    </row>
    <row r="86" hidden="1" spans="1:16">
      <c r="A86" s="2872"/>
      <c r="B86" s="2873"/>
      <c r="C86" s="2874"/>
      <c r="D86" s="2874"/>
      <c r="E86" s="2874"/>
      <c r="F86" s="2874"/>
      <c r="G86" s="2874"/>
      <c r="H86" s="2874"/>
      <c r="I86" s="2874"/>
      <c r="J86" s="2874"/>
      <c r="K86" s="2874"/>
      <c r="L86" s="2874"/>
      <c r="M86" s="2874"/>
      <c r="N86" s="2874"/>
      <c r="O86" s="2874"/>
      <c r="P86" s="2874"/>
    </row>
    <row r="87" hidden="1" spans="1:16">
      <c r="A87" s="2872"/>
      <c r="B87" s="2873"/>
      <c r="C87" s="2874"/>
      <c r="D87" s="2874"/>
      <c r="E87" s="2874"/>
      <c r="F87" s="2874"/>
      <c r="G87" s="2874"/>
      <c r="H87" s="2874"/>
      <c r="I87" s="2874"/>
      <c r="J87" s="2874"/>
      <c r="K87" s="2874"/>
      <c r="L87" s="2874"/>
      <c r="M87" s="2874"/>
      <c r="N87" s="2874"/>
      <c r="O87" s="2874"/>
      <c r="P87" s="2874"/>
    </row>
    <row r="88" hidden="1" spans="1:16">
      <c r="A88" s="2872"/>
      <c r="B88" s="2873"/>
      <c r="C88" s="2874"/>
      <c r="D88" s="2874"/>
      <c r="E88" s="2874"/>
      <c r="F88" s="2874"/>
      <c r="G88" s="2874"/>
      <c r="H88" s="2874"/>
      <c r="I88" s="2874"/>
      <c r="J88" s="2874"/>
      <c r="K88" s="2874"/>
      <c r="L88" s="2874"/>
      <c r="M88" s="2874"/>
      <c r="N88" s="2874"/>
      <c r="O88" s="2874"/>
      <c r="P88" s="2874"/>
    </row>
    <row r="89" hidden="1" spans="1:16">
      <c r="A89" s="2872"/>
      <c r="B89" s="2873"/>
      <c r="C89" s="2874"/>
      <c r="D89" s="2874"/>
      <c r="E89" s="2874"/>
      <c r="F89" s="2874"/>
      <c r="G89" s="2874"/>
      <c r="H89" s="2874"/>
      <c r="I89" s="2874"/>
      <c r="J89" s="2874"/>
      <c r="K89" s="2874"/>
      <c r="L89" s="2874"/>
      <c r="M89" s="2874"/>
      <c r="N89" s="2874"/>
      <c r="O89" s="2874"/>
      <c r="P89" s="2874"/>
    </row>
    <row r="90" hidden="1" spans="1:16">
      <c r="A90" s="2872"/>
      <c r="B90" s="2873"/>
      <c r="C90" s="2874"/>
      <c r="D90" s="2874"/>
      <c r="E90" s="2874"/>
      <c r="F90" s="2874"/>
      <c r="G90" s="2874"/>
      <c r="H90" s="2874"/>
      <c r="I90" s="2874"/>
      <c r="J90" s="2874"/>
      <c r="K90" s="2874"/>
      <c r="L90" s="2874"/>
      <c r="M90" s="2874"/>
      <c r="N90" s="2874"/>
      <c r="O90" s="2874"/>
      <c r="P90" s="2874"/>
    </row>
    <row r="91" hidden="1" spans="1:16">
      <c r="A91" s="2872"/>
      <c r="B91" s="2873"/>
      <c r="C91" s="2874"/>
      <c r="D91" s="2874"/>
      <c r="E91" s="2874"/>
      <c r="F91" s="2874"/>
      <c r="G91" s="2874"/>
      <c r="H91" s="2874"/>
      <c r="I91" s="2874"/>
      <c r="J91" s="2874"/>
      <c r="K91" s="2874"/>
      <c r="L91" s="2874"/>
      <c r="M91" s="2874"/>
      <c r="N91" s="2874"/>
      <c r="O91" s="2874"/>
      <c r="P91" s="2874"/>
    </row>
    <row r="92" hidden="1" spans="1:16">
      <c r="A92" s="2872"/>
      <c r="B92" s="2873"/>
      <c r="C92" s="2874"/>
      <c r="D92" s="2874"/>
      <c r="E92" s="2874"/>
      <c r="F92" s="2874"/>
      <c r="G92" s="2874"/>
      <c r="H92" s="2874"/>
      <c r="I92" s="2874"/>
      <c r="J92" s="2874"/>
      <c r="K92" s="2874"/>
      <c r="L92" s="2874"/>
      <c r="M92" s="2874"/>
      <c r="N92" s="2874"/>
      <c r="O92" s="2874"/>
      <c r="P92" s="2874"/>
    </row>
    <row r="93" hidden="1" spans="1:16">
      <c r="A93" s="2872"/>
      <c r="B93" s="2873"/>
      <c r="C93" s="2874"/>
      <c r="D93" s="2874"/>
      <c r="E93" s="2874"/>
      <c r="F93" s="2874"/>
      <c r="G93" s="2874"/>
      <c r="H93" s="2874"/>
      <c r="I93" s="2874"/>
      <c r="J93" s="2874"/>
      <c r="K93" s="2874"/>
      <c r="L93" s="2874"/>
      <c r="M93" s="2874"/>
      <c r="N93" s="2874"/>
      <c r="O93" s="2874"/>
      <c r="P93" s="2874"/>
    </row>
    <row r="94" hidden="1" spans="1:16">
      <c r="A94" s="2872"/>
      <c r="B94" s="2873"/>
      <c r="C94" s="2874"/>
      <c r="D94" s="2874"/>
      <c r="E94" s="2874"/>
      <c r="F94" s="2874"/>
      <c r="G94" s="2874"/>
      <c r="H94" s="2874"/>
      <c r="I94" s="2874"/>
      <c r="J94" s="2874"/>
      <c r="K94" s="2874"/>
      <c r="L94" s="2874"/>
      <c r="M94" s="2874"/>
      <c r="N94" s="2874"/>
      <c r="O94" s="2874"/>
      <c r="P94" s="2874"/>
    </row>
    <row r="95" hidden="1" spans="1:16">
      <c r="A95" s="2872"/>
      <c r="B95" s="2873"/>
      <c r="C95" s="2874"/>
      <c r="D95" s="2874"/>
      <c r="E95" s="2874"/>
      <c r="F95" s="2874"/>
      <c r="G95" s="2874"/>
      <c r="H95" s="2874"/>
      <c r="I95" s="2874"/>
      <c r="J95" s="2874"/>
      <c r="K95" s="2874"/>
      <c r="L95" s="2874"/>
      <c r="M95" s="2874"/>
      <c r="N95" s="2874"/>
      <c r="O95" s="2874"/>
      <c r="P95" s="2874"/>
    </row>
    <row r="96" hidden="1" spans="1:16">
      <c r="A96" s="2872"/>
      <c r="B96" s="2873"/>
      <c r="C96" s="2874"/>
      <c r="D96" s="2874"/>
      <c r="E96" s="2874"/>
      <c r="F96" s="2874"/>
      <c r="G96" s="2874"/>
      <c r="H96" s="2874"/>
      <c r="I96" s="2874"/>
      <c r="J96" s="2874"/>
      <c r="K96" s="2874"/>
      <c r="L96" s="2874"/>
      <c r="M96" s="2874"/>
      <c r="N96" s="2874"/>
      <c r="O96" s="2874"/>
      <c r="P96" s="2874"/>
    </row>
    <row r="97" hidden="1" spans="1:16">
      <c r="A97" s="2872"/>
      <c r="B97" s="2873"/>
      <c r="C97" s="2874"/>
      <c r="D97" s="2874"/>
      <c r="E97" s="2874"/>
      <c r="F97" s="2874"/>
      <c r="G97" s="2874"/>
      <c r="H97" s="2874"/>
      <c r="I97" s="2874"/>
      <c r="J97" s="2874"/>
      <c r="K97" s="2874"/>
      <c r="L97" s="2874"/>
      <c r="M97" s="2874"/>
      <c r="N97" s="2874"/>
      <c r="O97" s="2874"/>
      <c r="P97" s="2874"/>
    </row>
    <row r="98" hidden="1" spans="1:16">
      <c r="A98" s="2872"/>
      <c r="B98" s="2873"/>
      <c r="C98" s="2874"/>
      <c r="D98" s="2874"/>
      <c r="E98" s="2874"/>
      <c r="F98" s="2874"/>
      <c r="G98" s="2874"/>
      <c r="H98" s="2874"/>
      <c r="I98" s="2874"/>
      <c r="J98" s="2874"/>
      <c r="K98" s="2874"/>
      <c r="L98" s="2874"/>
      <c r="M98" s="2874"/>
      <c r="N98" s="2874"/>
      <c r="O98" s="2874"/>
      <c r="P98" s="2874"/>
    </row>
    <row r="99" hidden="1" spans="1:16">
      <c r="A99" s="2872"/>
      <c r="B99" s="2873"/>
      <c r="C99" s="2874"/>
      <c r="D99" s="2874"/>
      <c r="E99" s="2874"/>
      <c r="F99" s="2874"/>
      <c r="G99" s="2874"/>
      <c r="H99" s="2874"/>
      <c r="I99" s="2874"/>
      <c r="J99" s="2874"/>
      <c r="K99" s="2874"/>
      <c r="L99" s="2874"/>
      <c r="M99" s="2874"/>
      <c r="N99" s="2874"/>
      <c r="O99" s="2874"/>
      <c r="P99" s="2874"/>
    </row>
    <row r="100" ht="21.75" customHeight="1" spans="1:16">
      <c r="A100" s="2875" t="s">
        <v>115</v>
      </c>
      <c r="B100" s="2710"/>
      <c r="C100" s="2710"/>
      <c r="D100" s="2710"/>
      <c r="E100" s="2710"/>
      <c r="F100" s="2710"/>
      <c r="G100" s="2710"/>
      <c r="H100" s="2710"/>
      <c r="I100" s="2710"/>
      <c r="J100" s="2710"/>
      <c r="K100" s="2710"/>
      <c r="L100" s="2710"/>
      <c r="M100" s="2710"/>
      <c r="N100" s="2710"/>
      <c r="O100" s="2710"/>
      <c r="P100" s="2710"/>
    </row>
    <row r="101" spans="1:16">
      <c r="A101" s="2759" t="str">
        <f>IF(C101&lt;&gt;0,"对应列“期末现金及现金等价物余额”与资产负债表不符，相差：","")</f>
        <v>对应列“期末现金及现金等价物余额”与资产负债表不符，相差：</v>
      </c>
      <c r="B101" s="2713"/>
      <c r="C101" s="2714">
        <f>ROUND(未审资负表!D7-C148,2)</f>
        <v>10750015.27</v>
      </c>
      <c r="D101" s="2711"/>
      <c r="E101" s="2711"/>
      <c r="F101" s="2711"/>
      <c r="G101" s="2711"/>
      <c r="H101" s="2711"/>
      <c r="I101" s="2711"/>
      <c r="J101" s="2711"/>
      <c r="K101" s="2711"/>
      <c r="L101" s="2711"/>
      <c r="M101" s="2711"/>
      <c r="N101" s="2711"/>
      <c r="O101" s="2711"/>
      <c r="P101" s="2711"/>
    </row>
    <row r="102" ht="15" spans="1:16">
      <c r="A102" s="2715" t="str">
        <f>"编制单位："&amp;参数表!C3</f>
        <v>编制单位：深圳新阳蓝光能源管理科技股份有限公司</v>
      </c>
      <c r="B102" s="2716"/>
      <c r="C102" s="2718"/>
      <c r="D102" s="2717"/>
      <c r="E102" s="2717"/>
      <c r="F102" s="2717"/>
      <c r="G102" s="2717"/>
      <c r="H102" s="2717"/>
      <c r="I102" s="2717"/>
      <c r="J102" s="2717"/>
      <c r="K102" s="2717"/>
      <c r="L102" s="2717"/>
      <c r="M102" s="2717"/>
      <c r="N102" s="2717"/>
      <c r="O102" s="2717"/>
      <c r="P102" s="2717"/>
    </row>
    <row r="103" ht="15" spans="1:16">
      <c r="A103" s="2797" t="s">
        <v>61</v>
      </c>
      <c r="B103" s="2798" t="s">
        <v>62</v>
      </c>
      <c r="C103" s="2869" t="str">
        <f>IF(参数表!$C$12="本期间为特定年","上年金额","上期金额")</f>
        <v>上年金额</v>
      </c>
      <c r="D103" s="2721"/>
      <c r="E103" s="2721" t="str">
        <f>IF(参数表!$C$12="本期间为特定年","上年金额","上期金额")</f>
        <v>上年金额</v>
      </c>
      <c r="F103" s="2721" t="str">
        <f>IF(参数表!$C$12="本期间为特定年","上年金额","上期金额")</f>
        <v>上年金额</v>
      </c>
      <c r="G103" s="2721" t="str">
        <f>IF(参数表!$C$12="本期间为特定年","上年金额","上期金额")</f>
        <v>上年金额</v>
      </c>
      <c r="H103" s="2721" t="str">
        <f>IF(参数表!$C$12="本期间为特定年","上年金额","上期金额")</f>
        <v>上年金额</v>
      </c>
      <c r="I103" s="2721" t="str">
        <f>IF(参数表!$C$12="本期间为特定年","上年金额","上期金额")</f>
        <v>上年金额</v>
      </c>
      <c r="J103" s="2721" t="str">
        <f>IF(参数表!$C$12="本期间为特定年","上年金额","上期金额")</f>
        <v>上年金额</v>
      </c>
      <c r="K103" s="2721" t="str">
        <f>IF(参数表!$C$12="本期间为特定年","上年金额","上期金额")</f>
        <v>上年金额</v>
      </c>
      <c r="L103" s="2721" t="str">
        <f>IF(参数表!$C$12="本期间为特定年","上年金额","上期金额")</f>
        <v>上年金额</v>
      </c>
      <c r="M103" s="2721" t="str">
        <f>IF(参数表!$C$12="本期间为特定年","上年金额","上期金额")</f>
        <v>上年金额</v>
      </c>
      <c r="N103" s="2721" t="str">
        <f>IF(参数表!$C$12="本期间为特定年","上年金额","上期金额")</f>
        <v>上年金额</v>
      </c>
      <c r="O103" s="2721" t="str">
        <f>IF(参数表!$C$12="本期间为特定年","上年金额","上期金额")</f>
        <v>上年金额</v>
      </c>
      <c r="P103" s="2722" t="str">
        <f>IF(参数表!$C$12="本期间为特定年","上年金额","上期金额")</f>
        <v>上年金额</v>
      </c>
    </row>
    <row r="104" spans="1:16">
      <c r="A104" s="2876"/>
      <c r="B104" s="2877"/>
      <c r="C104" s="2729" t="s">
        <v>64</v>
      </c>
      <c r="D104" s="2727"/>
      <c r="E104" s="2768" t="str">
        <f>E5</f>
        <v>1月</v>
      </c>
      <c r="F104" s="2727" t="str">
        <f t="shared" ref="F104:P104" si="15">F5</f>
        <v>2月</v>
      </c>
      <c r="G104" s="2768" t="str">
        <f t="shared" si="15"/>
        <v>3月</v>
      </c>
      <c r="H104" s="2727" t="str">
        <f t="shared" si="15"/>
        <v>4月</v>
      </c>
      <c r="I104" s="2768" t="str">
        <f t="shared" si="15"/>
        <v>5月</v>
      </c>
      <c r="J104" s="2727" t="str">
        <f t="shared" si="15"/>
        <v>6月</v>
      </c>
      <c r="K104" s="2768" t="str">
        <f t="shared" si="15"/>
        <v>7月</v>
      </c>
      <c r="L104" s="2727" t="str">
        <f t="shared" si="15"/>
        <v>8月</v>
      </c>
      <c r="M104" s="2768" t="str">
        <f t="shared" si="15"/>
        <v>9月</v>
      </c>
      <c r="N104" s="2727" t="str">
        <f t="shared" si="15"/>
        <v>10月</v>
      </c>
      <c r="O104" s="2768" t="str">
        <f t="shared" si="15"/>
        <v>11月</v>
      </c>
      <c r="P104" s="2769" t="str">
        <f t="shared" si="15"/>
        <v>12月</v>
      </c>
    </row>
    <row r="105" spans="1:16">
      <c r="A105" s="2731" t="s">
        <v>116</v>
      </c>
      <c r="B105" s="2732"/>
      <c r="C105" s="2735"/>
      <c r="D105" s="2733"/>
      <c r="E105" s="2733"/>
      <c r="F105" s="2733"/>
      <c r="G105" s="2733"/>
      <c r="H105" s="2733"/>
      <c r="I105" s="2733"/>
      <c r="J105" s="2733"/>
      <c r="K105" s="2733"/>
      <c r="L105" s="2733"/>
      <c r="M105" s="2733"/>
      <c r="N105" s="2733"/>
      <c r="O105" s="2733"/>
      <c r="P105" s="2734"/>
    </row>
    <row r="106" spans="1:16">
      <c r="A106" s="2736" t="s">
        <v>117</v>
      </c>
      <c r="B106" s="2154"/>
      <c r="C106" s="2735">
        <f>审定现流表!D7</f>
        <v>0</v>
      </c>
      <c r="D106" s="2733"/>
      <c r="E106" s="2738">
        <f>$C106-SUM($D106:D106)</f>
        <v>0</v>
      </c>
      <c r="F106" s="2738">
        <f>$C106-SUM($D106:E106)</f>
        <v>0</v>
      </c>
      <c r="G106" s="2738">
        <f>$C106-SUM($D106:F106)</f>
        <v>0</v>
      </c>
      <c r="H106" s="2738">
        <f>$C106-SUM($D106:G106)</f>
        <v>0</v>
      </c>
      <c r="I106" s="2738">
        <f>$C106-SUM($D106:H106)</f>
        <v>0</v>
      </c>
      <c r="J106" s="2738">
        <f>$C106-SUM($D106:I106)</f>
        <v>0</v>
      </c>
      <c r="K106" s="2738">
        <f>$C106-SUM($D106:J106)</f>
        <v>0</v>
      </c>
      <c r="L106" s="2738">
        <f>$C106-SUM($D106:K106)</f>
        <v>0</v>
      </c>
      <c r="M106" s="2738">
        <f>$C106-SUM($D106:L106)</f>
        <v>0</v>
      </c>
      <c r="N106" s="2738">
        <f>$C106-SUM($D106:M106)</f>
        <v>0</v>
      </c>
      <c r="O106" s="2738">
        <f>$C106-SUM($D106:N106)</f>
        <v>0</v>
      </c>
      <c r="P106" s="2751">
        <f>$C106-SUM($D106:O106)</f>
        <v>0</v>
      </c>
    </row>
    <row r="107" spans="1:16">
      <c r="A107" s="2736" t="s">
        <v>118</v>
      </c>
      <c r="B107" s="2154"/>
      <c r="C107" s="2735">
        <f>审定现流表!D8</f>
        <v>0</v>
      </c>
      <c r="D107" s="2733"/>
      <c r="E107" s="2738">
        <f>$C107-SUM($D107:D107)</f>
        <v>0</v>
      </c>
      <c r="F107" s="2738">
        <f>$C107-SUM($D107:E107)</f>
        <v>0</v>
      </c>
      <c r="G107" s="2738">
        <f>$C107-SUM($D107:F107)</f>
        <v>0</v>
      </c>
      <c r="H107" s="2738">
        <f>$C107-SUM($D107:G107)</f>
        <v>0</v>
      </c>
      <c r="I107" s="2738">
        <f>$C107-SUM($D107:H107)</f>
        <v>0</v>
      </c>
      <c r="J107" s="2738">
        <f>$C107-SUM($D107:I107)</f>
        <v>0</v>
      </c>
      <c r="K107" s="2738">
        <f>$C107-SUM($D107:J107)</f>
        <v>0</v>
      </c>
      <c r="L107" s="2738">
        <f>$C107-SUM($D107:K107)</f>
        <v>0</v>
      </c>
      <c r="M107" s="2738">
        <f>$C107-SUM($D107:L107)</f>
        <v>0</v>
      </c>
      <c r="N107" s="2738">
        <f>$C107-SUM($D107:M107)</f>
        <v>0</v>
      </c>
      <c r="O107" s="2738">
        <f>$C107-SUM($D107:N107)</f>
        <v>0</v>
      </c>
      <c r="P107" s="2751">
        <f>$C107-SUM($D107:O107)</f>
        <v>0</v>
      </c>
    </row>
    <row r="108" spans="1:16">
      <c r="A108" s="2736" t="s">
        <v>119</v>
      </c>
      <c r="B108" s="2154"/>
      <c r="C108" s="2735">
        <f>审定现流表!D9</f>
        <v>0</v>
      </c>
      <c r="D108" s="2733"/>
      <c r="E108" s="2738">
        <f>$C108-SUM($D108:D108)</f>
        <v>0</v>
      </c>
      <c r="F108" s="2738">
        <f>$C108-SUM($D108:E108)</f>
        <v>0</v>
      </c>
      <c r="G108" s="2738">
        <f>$C108-SUM($D108:F108)</f>
        <v>0</v>
      </c>
      <c r="H108" s="2738">
        <f>$C108-SUM($D108:G108)</f>
        <v>0</v>
      </c>
      <c r="I108" s="2738">
        <f>$C108-SUM($D108:H108)</f>
        <v>0</v>
      </c>
      <c r="J108" s="2738">
        <f>$C108-SUM($D108:I108)</f>
        <v>0</v>
      </c>
      <c r="K108" s="2738">
        <f>$C108-SUM($D108:J108)</f>
        <v>0</v>
      </c>
      <c r="L108" s="2738">
        <f>$C108-SUM($D108:K108)</f>
        <v>0</v>
      </c>
      <c r="M108" s="2738">
        <f>$C108-SUM($D108:L108)</f>
        <v>0</v>
      </c>
      <c r="N108" s="2738">
        <f>$C108-SUM($D108:M108)</f>
        <v>0</v>
      </c>
      <c r="O108" s="2738">
        <f>$C108-SUM($D108:N108)</f>
        <v>0</v>
      </c>
      <c r="P108" s="2751">
        <f>$C108-SUM($D108:O108)</f>
        <v>0</v>
      </c>
    </row>
    <row r="109" spans="1:16">
      <c r="A109" s="2741" t="s">
        <v>121</v>
      </c>
      <c r="B109" s="2732"/>
      <c r="C109" s="2743">
        <f t="shared" ref="C109:P109" si="16">ROUND(SUM(C106:C108),2)</f>
        <v>0</v>
      </c>
      <c r="D109" s="2744"/>
      <c r="E109" s="2744">
        <f t="shared" si="16"/>
        <v>0</v>
      </c>
      <c r="F109" s="2744">
        <f t="shared" si="16"/>
        <v>0</v>
      </c>
      <c r="G109" s="2744">
        <f t="shared" si="16"/>
        <v>0</v>
      </c>
      <c r="H109" s="2744">
        <f t="shared" si="16"/>
        <v>0</v>
      </c>
      <c r="I109" s="2744">
        <f t="shared" si="16"/>
        <v>0</v>
      </c>
      <c r="J109" s="2744">
        <f t="shared" si="16"/>
        <v>0</v>
      </c>
      <c r="K109" s="2744">
        <f t="shared" si="16"/>
        <v>0</v>
      </c>
      <c r="L109" s="2744">
        <f t="shared" si="16"/>
        <v>0</v>
      </c>
      <c r="M109" s="2744">
        <f t="shared" si="16"/>
        <v>0</v>
      </c>
      <c r="N109" s="2744">
        <f t="shared" si="16"/>
        <v>0</v>
      </c>
      <c r="O109" s="2744">
        <f t="shared" si="16"/>
        <v>0</v>
      </c>
      <c r="P109" s="2870">
        <f t="shared" si="16"/>
        <v>0</v>
      </c>
    </row>
    <row r="110" spans="1:16">
      <c r="A110" s="2736" t="s">
        <v>122</v>
      </c>
      <c r="B110" s="2154"/>
      <c r="C110" s="2735">
        <f>审定现流表!D11</f>
        <v>0</v>
      </c>
      <c r="D110" s="2733"/>
      <c r="E110" s="2738">
        <f>$C110-SUM($D110:D110)</f>
        <v>0</v>
      </c>
      <c r="F110" s="2738">
        <f>$C110-SUM($D110:E110)</f>
        <v>0</v>
      </c>
      <c r="G110" s="2738">
        <f>$C110-SUM($D110:F110)</f>
        <v>0</v>
      </c>
      <c r="H110" s="2738">
        <f>$C110-SUM($D110:G110)</f>
        <v>0</v>
      </c>
      <c r="I110" s="2738">
        <f>$C110-SUM($D110:H110)</f>
        <v>0</v>
      </c>
      <c r="J110" s="2738">
        <f>$C110-SUM($D110:I110)</f>
        <v>0</v>
      </c>
      <c r="K110" s="2738">
        <f>$C110-SUM($D110:J110)</f>
        <v>0</v>
      </c>
      <c r="L110" s="2738">
        <f>$C110-SUM($D110:K110)</f>
        <v>0</v>
      </c>
      <c r="M110" s="2738">
        <f>$C110-SUM($D110:L110)</f>
        <v>0</v>
      </c>
      <c r="N110" s="2738">
        <f>$C110-SUM($D110:M110)</f>
        <v>0</v>
      </c>
      <c r="O110" s="2738">
        <f>$C110-SUM($D110:N110)</f>
        <v>0</v>
      </c>
      <c r="P110" s="2751">
        <f>$C110-SUM($D110:O110)</f>
        <v>0</v>
      </c>
    </row>
    <row r="111" spans="1:16">
      <c r="A111" s="2736" t="s">
        <v>123</v>
      </c>
      <c r="B111" s="2154"/>
      <c r="C111" s="2735">
        <f>审定现流表!D12</f>
        <v>0</v>
      </c>
      <c r="D111" s="2733"/>
      <c r="E111" s="2738">
        <f>$C111-SUM($D111:D111)</f>
        <v>0</v>
      </c>
      <c r="F111" s="2738">
        <f>$C111-SUM($D111:E111)</f>
        <v>0</v>
      </c>
      <c r="G111" s="2738">
        <f>$C111-SUM($D111:F111)</f>
        <v>0</v>
      </c>
      <c r="H111" s="2738">
        <f>$C111-SUM($D111:G111)</f>
        <v>0</v>
      </c>
      <c r="I111" s="2738">
        <f>$C111-SUM($D111:H111)</f>
        <v>0</v>
      </c>
      <c r="J111" s="2738">
        <f>$C111-SUM($D111:I111)</f>
        <v>0</v>
      </c>
      <c r="K111" s="2738">
        <f>$C111-SUM($D111:J111)</f>
        <v>0</v>
      </c>
      <c r="L111" s="2738">
        <f>$C111-SUM($D111:K111)</f>
        <v>0</v>
      </c>
      <c r="M111" s="2738">
        <f>$C111-SUM($D111:L111)</f>
        <v>0</v>
      </c>
      <c r="N111" s="2738">
        <f>$C111-SUM($D111:M111)</f>
        <v>0</v>
      </c>
      <c r="O111" s="2738">
        <f>$C111-SUM($D111:N111)</f>
        <v>0</v>
      </c>
      <c r="P111" s="2751">
        <f>$C111-SUM($D111:O111)</f>
        <v>0</v>
      </c>
    </row>
    <row r="112" spans="1:16">
      <c r="A112" s="2736" t="s">
        <v>124</v>
      </c>
      <c r="B112" s="2154"/>
      <c r="C112" s="2735">
        <f>审定现流表!D13</f>
        <v>0</v>
      </c>
      <c r="D112" s="2733"/>
      <c r="E112" s="2738">
        <f>$C112-SUM($D112:D112)</f>
        <v>0</v>
      </c>
      <c r="F112" s="2738">
        <f>$C112-SUM($D112:E112)</f>
        <v>0</v>
      </c>
      <c r="G112" s="2738">
        <f>$C112-SUM($D112:F112)</f>
        <v>0</v>
      </c>
      <c r="H112" s="2738">
        <f>$C112-SUM($D112:G112)</f>
        <v>0</v>
      </c>
      <c r="I112" s="2738">
        <f>$C112-SUM($D112:H112)</f>
        <v>0</v>
      </c>
      <c r="J112" s="2738">
        <f>$C112-SUM($D112:I112)</f>
        <v>0</v>
      </c>
      <c r="K112" s="2738">
        <f>$C112-SUM($D112:J112)</f>
        <v>0</v>
      </c>
      <c r="L112" s="2738">
        <f>$C112-SUM($D112:K112)</f>
        <v>0</v>
      </c>
      <c r="M112" s="2738">
        <f>$C112-SUM($D112:L112)</f>
        <v>0</v>
      </c>
      <c r="N112" s="2738">
        <f>$C112-SUM($D112:M112)</f>
        <v>0</v>
      </c>
      <c r="O112" s="2738">
        <f>$C112-SUM($D112:N112)</f>
        <v>0</v>
      </c>
      <c r="P112" s="2751">
        <f>$C112-SUM($D112:O112)</f>
        <v>0</v>
      </c>
    </row>
    <row r="113" spans="1:16">
      <c r="A113" s="2736" t="s">
        <v>125</v>
      </c>
      <c r="B113" s="2154"/>
      <c r="C113" s="2735">
        <f>审定现流表!D14</f>
        <v>0</v>
      </c>
      <c r="D113" s="2733"/>
      <c r="E113" s="2738">
        <f>$C113-SUM($D113:D113)</f>
        <v>0</v>
      </c>
      <c r="F113" s="2738">
        <f>$C113-SUM($D113:E113)</f>
        <v>0</v>
      </c>
      <c r="G113" s="2738">
        <f>$C113-SUM($D113:F113)</f>
        <v>0</v>
      </c>
      <c r="H113" s="2738">
        <f>$C113-SUM($D113:G113)</f>
        <v>0</v>
      </c>
      <c r="I113" s="2738">
        <f>$C113-SUM($D113:H113)</f>
        <v>0</v>
      </c>
      <c r="J113" s="2738">
        <f>$C113-SUM($D113:I113)</f>
        <v>0</v>
      </c>
      <c r="K113" s="2738">
        <f>$C113-SUM($D113:J113)</f>
        <v>0</v>
      </c>
      <c r="L113" s="2738">
        <f>$C113-SUM($D113:K113)</f>
        <v>0</v>
      </c>
      <c r="M113" s="2738">
        <f>$C113-SUM($D113:L113)</f>
        <v>0</v>
      </c>
      <c r="N113" s="2738">
        <f>$C113-SUM($D113:M113)</f>
        <v>0</v>
      </c>
      <c r="O113" s="2738">
        <f>$C113-SUM($D113:N113)</f>
        <v>0</v>
      </c>
      <c r="P113" s="2751">
        <f>$C113-SUM($D113:O113)</f>
        <v>0</v>
      </c>
    </row>
    <row r="114" spans="1:16">
      <c r="A114" s="2741" t="s">
        <v>126</v>
      </c>
      <c r="B114" s="2732"/>
      <c r="C114" s="2743">
        <f t="shared" ref="C114:P114" si="17">ROUND(SUM(C110:C113),2)</f>
        <v>0</v>
      </c>
      <c r="D114" s="2744"/>
      <c r="E114" s="2744">
        <f t="shared" si="17"/>
        <v>0</v>
      </c>
      <c r="F114" s="2744">
        <f t="shared" si="17"/>
        <v>0</v>
      </c>
      <c r="G114" s="2744">
        <f t="shared" si="17"/>
        <v>0</v>
      </c>
      <c r="H114" s="2744">
        <f t="shared" si="17"/>
        <v>0</v>
      </c>
      <c r="I114" s="2744">
        <f t="shared" si="17"/>
        <v>0</v>
      </c>
      <c r="J114" s="2744">
        <f t="shared" si="17"/>
        <v>0</v>
      </c>
      <c r="K114" s="2744">
        <f t="shared" si="17"/>
        <v>0</v>
      </c>
      <c r="L114" s="2744">
        <f t="shared" si="17"/>
        <v>0</v>
      </c>
      <c r="M114" s="2744">
        <f t="shared" si="17"/>
        <v>0</v>
      </c>
      <c r="N114" s="2744">
        <f t="shared" si="17"/>
        <v>0</v>
      </c>
      <c r="O114" s="2744">
        <f t="shared" si="17"/>
        <v>0</v>
      </c>
      <c r="P114" s="2870">
        <f t="shared" si="17"/>
        <v>0</v>
      </c>
    </row>
    <row r="115" spans="1:16">
      <c r="A115" s="2741" t="s">
        <v>127</v>
      </c>
      <c r="B115" s="2732"/>
      <c r="C115" s="2743">
        <f t="shared" ref="C115:P115" si="18">ROUND(C109-C114,2)</f>
        <v>0</v>
      </c>
      <c r="D115" s="2744"/>
      <c r="E115" s="2744">
        <f t="shared" si="18"/>
        <v>0</v>
      </c>
      <c r="F115" s="2744">
        <f t="shared" si="18"/>
        <v>0</v>
      </c>
      <c r="G115" s="2744">
        <f t="shared" si="18"/>
        <v>0</v>
      </c>
      <c r="H115" s="2744">
        <f t="shared" si="18"/>
        <v>0</v>
      </c>
      <c r="I115" s="2744">
        <f t="shared" si="18"/>
        <v>0</v>
      </c>
      <c r="J115" s="2744">
        <f t="shared" si="18"/>
        <v>0</v>
      </c>
      <c r="K115" s="2744">
        <f t="shared" si="18"/>
        <v>0</v>
      </c>
      <c r="L115" s="2744">
        <f t="shared" si="18"/>
        <v>0</v>
      </c>
      <c r="M115" s="2744">
        <f t="shared" si="18"/>
        <v>0</v>
      </c>
      <c r="N115" s="2744">
        <f t="shared" si="18"/>
        <v>0</v>
      </c>
      <c r="O115" s="2744">
        <f t="shared" si="18"/>
        <v>0</v>
      </c>
      <c r="P115" s="2870">
        <f t="shared" si="18"/>
        <v>0</v>
      </c>
    </row>
    <row r="116" spans="1:16">
      <c r="A116" s="2748"/>
      <c r="B116" s="2732"/>
      <c r="C116" s="2735"/>
      <c r="D116" s="2733"/>
      <c r="E116" s="2733"/>
      <c r="F116" s="2733"/>
      <c r="G116" s="2733"/>
      <c r="H116" s="2733"/>
      <c r="I116" s="2733"/>
      <c r="J116" s="2733"/>
      <c r="K116" s="2733"/>
      <c r="L116" s="2733"/>
      <c r="M116" s="2733"/>
      <c r="N116" s="2733"/>
      <c r="O116" s="2733"/>
      <c r="P116" s="2734"/>
    </row>
    <row r="117" spans="1:16">
      <c r="A117" s="2731" t="s">
        <v>128</v>
      </c>
      <c r="B117" s="2732"/>
      <c r="C117" s="2735"/>
      <c r="D117" s="2733"/>
      <c r="E117" s="2733"/>
      <c r="F117" s="2733"/>
      <c r="G117" s="2733"/>
      <c r="H117" s="2733"/>
      <c r="I117" s="2733"/>
      <c r="J117" s="2733"/>
      <c r="K117" s="2733"/>
      <c r="L117" s="2733"/>
      <c r="M117" s="2733"/>
      <c r="N117" s="2733"/>
      <c r="O117" s="2733"/>
      <c r="P117" s="2734"/>
    </row>
    <row r="118" spans="1:16">
      <c r="A118" s="2736" t="s">
        <v>129</v>
      </c>
      <c r="B118" s="2154"/>
      <c r="C118" s="2735">
        <f>审定现流表!D19</f>
        <v>0</v>
      </c>
      <c r="D118" s="2733"/>
      <c r="E118" s="2738">
        <f>$C118-SUM($D118:D118)</f>
        <v>0</v>
      </c>
      <c r="F118" s="2738">
        <f>$C118-SUM($D118:E118)</f>
        <v>0</v>
      </c>
      <c r="G118" s="2738">
        <f>$C118-SUM($D118:F118)</f>
        <v>0</v>
      </c>
      <c r="H118" s="2738">
        <f>$C118-SUM($D118:G118)</f>
        <v>0</v>
      </c>
      <c r="I118" s="2738">
        <f>$C118-SUM($D118:H118)</f>
        <v>0</v>
      </c>
      <c r="J118" s="2738">
        <f>$C118-SUM($D118:I118)</f>
        <v>0</v>
      </c>
      <c r="K118" s="2738">
        <f>$C118-SUM($D118:J118)</f>
        <v>0</v>
      </c>
      <c r="L118" s="2738">
        <f>$C118-SUM($D118:K118)</f>
        <v>0</v>
      </c>
      <c r="M118" s="2738">
        <f>$C118-SUM($D118:L118)</f>
        <v>0</v>
      </c>
      <c r="N118" s="2738">
        <f>$C118-SUM($D118:M118)</f>
        <v>0</v>
      </c>
      <c r="O118" s="2738">
        <f>$C118-SUM($D118:N118)</f>
        <v>0</v>
      </c>
      <c r="P118" s="2751">
        <f>$C118-SUM($D118:O118)</f>
        <v>0</v>
      </c>
    </row>
    <row r="119" spans="1:16">
      <c r="A119" s="2736" t="s">
        <v>130</v>
      </c>
      <c r="B119" s="2154"/>
      <c r="C119" s="2735">
        <f>审定现流表!D20</f>
        <v>0</v>
      </c>
      <c r="D119" s="2733"/>
      <c r="E119" s="2738">
        <f>$C119-SUM($D119:D119)</f>
        <v>0</v>
      </c>
      <c r="F119" s="2738">
        <f>$C119-SUM($D119:E119)</f>
        <v>0</v>
      </c>
      <c r="G119" s="2738">
        <f>$C119-SUM($D119:F119)</f>
        <v>0</v>
      </c>
      <c r="H119" s="2738">
        <f>$C119-SUM($D119:G119)</f>
        <v>0</v>
      </c>
      <c r="I119" s="2738">
        <f>$C119-SUM($D119:H119)</f>
        <v>0</v>
      </c>
      <c r="J119" s="2738">
        <f>$C119-SUM($D119:I119)</f>
        <v>0</v>
      </c>
      <c r="K119" s="2738">
        <f>$C119-SUM($D119:J119)</f>
        <v>0</v>
      </c>
      <c r="L119" s="2738">
        <f>$C119-SUM($D119:K119)</f>
        <v>0</v>
      </c>
      <c r="M119" s="2738">
        <f>$C119-SUM($D119:L119)</f>
        <v>0</v>
      </c>
      <c r="N119" s="2738">
        <f>$C119-SUM($D119:M119)</f>
        <v>0</v>
      </c>
      <c r="O119" s="2738">
        <f>$C119-SUM($D119:N119)</f>
        <v>0</v>
      </c>
      <c r="P119" s="2751">
        <f>$C119-SUM($D119:O119)</f>
        <v>0</v>
      </c>
    </row>
    <row r="120" spans="1:16">
      <c r="A120" s="2736" t="s">
        <v>131</v>
      </c>
      <c r="B120" s="2154"/>
      <c r="C120" s="2735">
        <f>审定现流表!D21</f>
        <v>0</v>
      </c>
      <c r="D120" s="2733"/>
      <c r="E120" s="2738">
        <f>$C120-SUM($D120:D120)</f>
        <v>0</v>
      </c>
      <c r="F120" s="2738">
        <f>$C120-SUM($D120:E120)</f>
        <v>0</v>
      </c>
      <c r="G120" s="2738">
        <f>$C120-SUM($D120:F120)</f>
        <v>0</v>
      </c>
      <c r="H120" s="2738">
        <f>$C120-SUM($D120:G120)</f>
        <v>0</v>
      </c>
      <c r="I120" s="2738">
        <f>$C120-SUM($D120:H120)</f>
        <v>0</v>
      </c>
      <c r="J120" s="2738">
        <f>$C120-SUM($D120:I120)</f>
        <v>0</v>
      </c>
      <c r="K120" s="2738">
        <f>$C120-SUM($D120:J120)</f>
        <v>0</v>
      </c>
      <c r="L120" s="2738">
        <f>$C120-SUM($D120:K120)</f>
        <v>0</v>
      </c>
      <c r="M120" s="2738">
        <f>$C120-SUM($D120:L120)</f>
        <v>0</v>
      </c>
      <c r="N120" s="2738">
        <f>$C120-SUM($D120:M120)</f>
        <v>0</v>
      </c>
      <c r="O120" s="2738">
        <f>$C120-SUM($D120:N120)</f>
        <v>0</v>
      </c>
      <c r="P120" s="2751">
        <f>$C120-SUM($D120:O120)</f>
        <v>0</v>
      </c>
    </row>
    <row r="121" spans="1:16">
      <c r="A121" s="2736" t="s">
        <v>132</v>
      </c>
      <c r="B121" s="2154"/>
      <c r="C121" s="2735">
        <f>审定现流表!D22</f>
        <v>0</v>
      </c>
      <c r="D121" s="2733"/>
      <c r="E121" s="2738">
        <f>$C121-SUM($D121:D121)</f>
        <v>0</v>
      </c>
      <c r="F121" s="2738">
        <f>$C121-SUM($D121:E121)</f>
        <v>0</v>
      </c>
      <c r="G121" s="2738">
        <f>$C121-SUM($D121:F121)</f>
        <v>0</v>
      </c>
      <c r="H121" s="2738">
        <f>$C121-SUM($D121:G121)</f>
        <v>0</v>
      </c>
      <c r="I121" s="2738">
        <f>$C121-SUM($D121:H121)</f>
        <v>0</v>
      </c>
      <c r="J121" s="2738">
        <f>$C121-SUM($D121:I121)</f>
        <v>0</v>
      </c>
      <c r="K121" s="2738">
        <f>$C121-SUM($D121:J121)</f>
        <v>0</v>
      </c>
      <c r="L121" s="2738">
        <f>$C121-SUM($D121:K121)</f>
        <v>0</v>
      </c>
      <c r="M121" s="2738">
        <f>$C121-SUM($D121:L121)</f>
        <v>0</v>
      </c>
      <c r="N121" s="2738">
        <f>$C121-SUM($D121:M121)</f>
        <v>0</v>
      </c>
      <c r="O121" s="2738">
        <f>$C121-SUM($D121:N121)</f>
        <v>0</v>
      </c>
      <c r="P121" s="2751">
        <f>$C121-SUM($D121:O121)</f>
        <v>0</v>
      </c>
    </row>
    <row r="122" spans="1:16">
      <c r="A122" s="2736" t="s">
        <v>133</v>
      </c>
      <c r="B122" s="2154"/>
      <c r="C122" s="2735">
        <f>审定现流表!D23</f>
        <v>0</v>
      </c>
      <c r="D122" s="2733"/>
      <c r="E122" s="2738">
        <f>$C122-SUM($D122:D122)</f>
        <v>0</v>
      </c>
      <c r="F122" s="2738">
        <f>$C122-SUM($D122:E122)</f>
        <v>0</v>
      </c>
      <c r="G122" s="2738">
        <f>$C122-SUM($D122:F122)</f>
        <v>0</v>
      </c>
      <c r="H122" s="2738">
        <f>$C122-SUM($D122:G122)</f>
        <v>0</v>
      </c>
      <c r="I122" s="2738">
        <f>$C122-SUM($D122:H122)</f>
        <v>0</v>
      </c>
      <c r="J122" s="2738">
        <f>$C122-SUM($D122:I122)</f>
        <v>0</v>
      </c>
      <c r="K122" s="2738">
        <f>$C122-SUM($D122:J122)</f>
        <v>0</v>
      </c>
      <c r="L122" s="2738">
        <f>$C122-SUM($D122:K122)</f>
        <v>0</v>
      </c>
      <c r="M122" s="2738">
        <f>$C122-SUM($D122:L122)</f>
        <v>0</v>
      </c>
      <c r="N122" s="2738">
        <f>$C122-SUM($D122:M122)</f>
        <v>0</v>
      </c>
      <c r="O122" s="2738">
        <f>$C122-SUM($D122:N122)</f>
        <v>0</v>
      </c>
      <c r="P122" s="2751">
        <f>$C122-SUM($D122:O122)</f>
        <v>0</v>
      </c>
    </row>
    <row r="123" spans="1:16">
      <c r="A123" s="2741" t="s">
        <v>135</v>
      </c>
      <c r="B123" s="2732"/>
      <c r="C123" s="2743">
        <f>ROUND(SUM(C118:C122),2)</f>
        <v>0</v>
      </c>
      <c r="D123" s="2744"/>
      <c r="E123" s="2744">
        <f t="shared" ref="E123:I123" si="19">ROUND(SUM(E118:E122),2)</f>
        <v>0</v>
      </c>
      <c r="F123" s="2744">
        <f t="shared" si="19"/>
        <v>0</v>
      </c>
      <c r="G123" s="2744">
        <f t="shared" si="19"/>
        <v>0</v>
      </c>
      <c r="H123" s="2744">
        <f t="shared" si="19"/>
        <v>0</v>
      </c>
      <c r="I123" s="2744">
        <f t="shared" si="19"/>
        <v>0</v>
      </c>
      <c r="J123" s="2744">
        <f t="shared" ref="J123:P123" si="20">ROUND(SUM(J118:J122),2)</f>
        <v>0</v>
      </c>
      <c r="K123" s="2744">
        <f t="shared" si="20"/>
        <v>0</v>
      </c>
      <c r="L123" s="2744">
        <f t="shared" si="20"/>
        <v>0</v>
      </c>
      <c r="M123" s="2744">
        <f t="shared" si="20"/>
        <v>0</v>
      </c>
      <c r="N123" s="2744">
        <f t="shared" si="20"/>
        <v>0</v>
      </c>
      <c r="O123" s="2744">
        <f t="shared" si="20"/>
        <v>0</v>
      </c>
      <c r="P123" s="2870">
        <f t="shared" si="20"/>
        <v>0</v>
      </c>
    </row>
    <row r="124" spans="1:16">
      <c r="A124" s="2736" t="s">
        <v>136</v>
      </c>
      <c r="B124" s="2154"/>
      <c r="C124" s="2735">
        <f>审定现流表!D25</f>
        <v>0</v>
      </c>
      <c r="D124" s="2733"/>
      <c r="E124" s="2738">
        <f>$C124-SUM($D124:D124)</f>
        <v>0</v>
      </c>
      <c r="F124" s="2738">
        <f>$C124-SUM($D124:E124)</f>
        <v>0</v>
      </c>
      <c r="G124" s="2738">
        <f>$C124-SUM($D124:F124)</f>
        <v>0</v>
      </c>
      <c r="H124" s="2738">
        <f>$C124-SUM($D124:G124)</f>
        <v>0</v>
      </c>
      <c r="I124" s="2738">
        <f>$C124-SUM($D124:H124)</f>
        <v>0</v>
      </c>
      <c r="J124" s="2738">
        <f>$C124-SUM($D124:I124)</f>
        <v>0</v>
      </c>
      <c r="K124" s="2738">
        <f>$C124-SUM($D124:J124)</f>
        <v>0</v>
      </c>
      <c r="L124" s="2738">
        <f>$C124-SUM($D124:K124)</f>
        <v>0</v>
      </c>
      <c r="M124" s="2738">
        <f>$C124-SUM($D124:L124)</f>
        <v>0</v>
      </c>
      <c r="N124" s="2738">
        <f>$C124-SUM($D124:M124)</f>
        <v>0</v>
      </c>
      <c r="O124" s="2738">
        <f>$C124-SUM($D124:N124)</f>
        <v>0</v>
      </c>
      <c r="P124" s="2751">
        <f>$C124-SUM($D124:O124)</f>
        <v>0</v>
      </c>
    </row>
    <row r="125" spans="1:16">
      <c r="A125" s="2736" t="s">
        <v>137</v>
      </c>
      <c r="B125" s="2154"/>
      <c r="C125" s="2735">
        <f>审定现流表!D26</f>
        <v>0</v>
      </c>
      <c r="D125" s="2733"/>
      <c r="E125" s="2738">
        <f>$C125-SUM($D125:D125)</f>
        <v>0</v>
      </c>
      <c r="F125" s="2738">
        <f>$C125-SUM($D125:E125)</f>
        <v>0</v>
      </c>
      <c r="G125" s="2738">
        <f>$C125-SUM($D125:F125)</f>
        <v>0</v>
      </c>
      <c r="H125" s="2738">
        <f>$C125-SUM($D125:G125)</f>
        <v>0</v>
      </c>
      <c r="I125" s="2738">
        <f>$C125-SUM($D125:H125)</f>
        <v>0</v>
      </c>
      <c r="J125" s="2738">
        <f>$C125-SUM($D125:I125)</f>
        <v>0</v>
      </c>
      <c r="K125" s="2738">
        <f>$C125-SUM($D125:J125)</f>
        <v>0</v>
      </c>
      <c r="L125" s="2738">
        <f>$C125-SUM($D125:K125)</f>
        <v>0</v>
      </c>
      <c r="M125" s="2738">
        <f>$C125-SUM($D125:L125)</f>
        <v>0</v>
      </c>
      <c r="N125" s="2738">
        <f>$C125-SUM($D125:M125)</f>
        <v>0</v>
      </c>
      <c r="O125" s="2738">
        <f>$C125-SUM($D125:N125)</f>
        <v>0</v>
      </c>
      <c r="P125" s="2751">
        <f>$C125-SUM($D125:O125)</f>
        <v>0</v>
      </c>
    </row>
    <row r="126" spans="1:16">
      <c r="A126" s="2736" t="s">
        <v>138</v>
      </c>
      <c r="B126" s="2154"/>
      <c r="C126" s="2735">
        <f>审定现流表!D27</f>
        <v>0</v>
      </c>
      <c r="D126" s="2733"/>
      <c r="E126" s="2738">
        <f>$C126-SUM($D126:D126)</f>
        <v>0</v>
      </c>
      <c r="F126" s="2738">
        <f>$C126-SUM($D126:E126)</f>
        <v>0</v>
      </c>
      <c r="G126" s="2738">
        <f>$C126-SUM($D126:F126)</f>
        <v>0</v>
      </c>
      <c r="H126" s="2738">
        <f>$C126-SUM($D126:G126)</f>
        <v>0</v>
      </c>
      <c r="I126" s="2738">
        <f>$C126-SUM($D126:H126)</f>
        <v>0</v>
      </c>
      <c r="J126" s="2738">
        <f>$C126-SUM($D126:I126)</f>
        <v>0</v>
      </c>
      <c r="K126" s="2738">
        <f>$C126-SUM($D126:J126)</f>
        <v>0</v>
      </c>
      <c r="L126" s="2738">
        <f>$C126-SUM($D126:K126)</f>
        <v>0</v>
      </c>
      <c r="M126" s="2738">
        <f>$C126-SUM($D126:L126)</f>
        <v>0</v>
      </c>
      <c r="N126" s="2738">
        <f>$C126-SUM($D126:M126)</f>
        <v>0</v>
      </c>
      <c r="O126" s="2738">
        <f>$C126-SUM($D126:N126)</f>
        <v>0</v>
      </c>
      <c r="P126" s="2751">
        <f>$C126-SUM($D126:O126)</f>
        <v>0</v>
      </c>
    </row>
    <row r="127" spans="1:16">
      <c r="A127" s="2736" t="s">
        <v>139</v>
      </c>
      <c r="B127" s="2154"/>
      <c r="C127" s="2735">
        <f>审定现流表!D28</f>
        <v>0</v>
      </c>
      <c r="D127" s="2733"/>
      <c r="E127" s="2738">
        <f>$C127-SUM($D127:D127)</f>
        <v>0</v>
      </c>
      <c r="F127" s="2738">
        <f>$C127-SUM($D127:E127)</f>
        <v>0</v>
      </c>
      <c r="G127" s="2738">
        <f>$C127-SUM($D127:F127)</f>
        <v>0</v>
      </c>
      <c r="H127" s="2738">
        <f>$C127-SUM($D127:G127)</f>
        <v>0</v>
      </c>
      <c r="I127" s="2738">
        <f>$C127-SUM($D127:H127)</f>
        <v>0</v>
      </c>
      <c r="J127" s="2738">
        <f>$C127-SUM($D127:I127)</f>
        <v>0</v>
      </c>
      <c r="K127" s="2738">
        <f>$C127-SUM($D127:J127)</f>
        <v>0</v>
      </c>
      <c r="L127" s="2738">
        <f>$C127-SUM($D127:K127)</f>
        <v>0</v>
      </c>
      <c r="M127" s="2738">
        <f>$C127-SUM($D127:L127)</f>
        <v>0</v>
      </c>
      <c r="N127" s="2738">
        <f>$C127-SUM($D127:M127)</f>
        <v>0</v>
      </c>
      <c r="O127" s="2738">
        <f>$C127-SUM($D127:N127)</f>
        <v>0</v>
      </c>
      <c r="P127" s="2751">
        <f>$C127-SUM($D127:O127)</f>
        <v>0</v>
      </c>
    </row>
    <row r="128" spans="1:16">
      <c r="A128" s="2741" t="s">
        <v>140</v>
      </c>
      <c r="B128" s="2732"/>
      <c r="C128" s="2743">
        <f>ROUND(SUM(C124:C127),2)</f>
        <v>0</v>
      </c>
      <c r="D128" s="2744"/>
      <c r="E128" s="2744">
        <f>ROUND(SUM(E124:E127),2)</f>
        <v>0</v>
      </c>
      <c r="F128" s="2744">
        <f t="shared" ref="F128:I128" si="21">ROUND(SUM(F124:F127),2)</f>
        <v>0</v>
      </c>
      <c r="G128" s="2744">
        <f t="shared" si="21"/>
        <v>0</v>
      </c>
      <c r="H128" s="2744">
        <f t="shared" si="21"/>
        <v>0</v>
      </c>
      <c r="I128" s="2744">
        <f t="shared" si="21"/>
        <v>0</v>
      </c>
      <c r="J128" s="2744">
        <f t="shared" ref="J128:P128" si="22">ROUND(SUM(J124:J127),2)</f>
        <v>0</v>
      </c>
      <c r="K128" s="2744">
        <f t="shared" si="22"/>
        <v>0</v>
      </c>
      <c r="L128" s="2744">
        <f t="shared" si="22"/>
        <v>0</v>
      </c>
      <c r="M128" s="2744">
        <f t="shared" si="22"/>
        <v>0</v>
      </c>
      <c r="N128" s="2744">
        <f t="shared" si="22"/>
        <v>0</v>
      </c>
      <c r="O128" s="2744">
        <f t="shared" si="22"/>
        <v>0</v>
      </c>
      <c r="P128" s="2870">
        <f t="shared" si="22"/>
        <v>0</v>
      </c>
    </row>
    <row r="129" spans="1:16">
      <c r="A129" s="2741" t="s">
        <v>141</v>
      </c>
      <c r="B129" s="2732"/>
      <c r="C129" s="2743">
        <f>ROUND(C123-C128,2)</f>
        <v>0</v>
      </c>
      <c r="D129" s="2744"/>
      <c r="E129" s="2744">
        <f t="shared" ref="E129:I129" si="23">ROUND(E123-E128,2)</f>
        <v>0</v>
      </c>
      <c r="F129" s="2744">
        <f t="shared" si="23"/>
        <v>0</v>
      </c>
      <c r="G129" s="2744">
        <f t="shared" si="23"/>
        <v>0</v>
      </c>
      <c r="H129" s="2744">
        <f t="shared" si="23"/>
        <v>0</v>
      </c>
      <c r="I129" s="2744">
        <f t="shared" si="23"/>
        <v>0</v>
      </c>
      <c r="J129" s="2744">
        <f t="shared" ref="J129:P129" si="24">ROUND(J123-J128,2)</f>
        <v>0</v>
      </c>
      <c r="K129" s="2744">
        <f t="shared" si="24"/>
        <v>0</v>
      </c>
      <c r="L129" s="2744">
        <f t="shared" si="24"/>
        <v>0</v>
      </c>
      <c r="M129" s="2744">
        <f t="shared" si="24"/>
        <v>0</v>
      </c>
      <c r="N129" s="2744">
        <f t="shared" si="24"/>
        <v>0</v>
      </c>
      <c r="O129" s="2744">
        <f t="shared" si="24"/>
        <v>0</v>
      </c>
      <c r="P129" s="2870">
        <f t="shared" si="24"/>
        <v>0</v>
      </c>
    </row>
    <row r="130" spans="1:16">
      <c r="A130" s="2749"/>
      <c r="B130" s="2732"/>
      <c r="C130" s="2735"/>
      <c r="D130" s="2733"/>
      <c r="E130" s="2733"/>
      <c r="F130" s="2733"/>
      <c r="G130" s="2733"/>
      <c r="H130" s="2733"/>
      <c r="I130" s="2733"/>
      <c r="J130" s="2733"/>
      <c r="K130" s="2733"/>
      <c r="L130" s="2733"/>
      <c r="M130" s="2733"/>
      <c r="N130" s="2733"/>
      <c r="O130" s="2733"/>
      <c r="P130" s="2734"/>
    </row>
    <row r="131" spans="1:16">
      <c r="A131" s="2731" t="s">
        <v>142</v>
      </c>
      <c r="B131" s="2732"/>
      <c r="C131" s="2735"/>
      <c r="D131" s="2733"/>
      <c r="E131" s="2733"/>
      <c r="F131" s="2733"/>
      <c r="G131" s="2733"/>
      <c r="H131" s="2733"/>
      <c r="I131" s="2733"/>
      <c r="J131" s="2733"/>
      <c r="K131" s="2733"/>
      <c r="L131" s="2733"/>
      <c r="M131" s="2733"/>
      <c r="N131" s="2733"/>
      <c r="O131" s="2733"/>
      <c r="P131" s="2734"/>
    </row>
    <row r="132" spans="1:16">
      <c r="A132" s="2736" t="s">
        <v>143</v>
      </c>
      <c r="B132" s="2154"/>
      <c r="C132" s="2735">
        <f>审定现流表!D33</f>
        <v>0</v>
      </c>
      <c r="D132" s="2733"/>
      <c r="E132" s="2738">
        <f>$C132-SUM($D132:D132)</f>
        <v>0</v>
      </c>
      <c r="F132" s="2738">
        <f>$C132-SUM($D132:E132)</f>
        <v>0</v>
      </c>
      <c r="G132" s="2738">
        <f>$C132-SUM($D132:F132)</f>
        <v>0</v>
      </c>
      <c r="H132" s="2738">
        <f>$C132-SUM($D132:G132)</f>
        <v>0</v>
      </c>
      <c r="I132" s="2738">
        <f>$C132-SUM($D132:H132)</f>
        <v>0</v>
      </c>
      <c r="J132" s="2738">
        <f>$C132-SUM($D132:I132)</f>
        <v>0</v>
      </c>
      <c r="K132" s="2738">
        <f>$C132-SUM($D132:J132)</f>
        <v>0</v>
      </c>
      <c r="L132" s="2738">
        <f>$C132-SUM($D132:K132)</f>
        <v>0</v>
      </c>
      <c r="M132" s="2738">
        <f>$C132-SUM($D132:L132)</f>
        <v>0</v>
      </c>
      <c r="N132" s="2738">
        <f>$C132-SUM($D132:M132)</f>
        <v>0</v>
      </c>
      <c r="O132" s="2738">
        <f>$C132-SUM($D132:N132)</f>
        <v>0</v>
      </c>
      <c r="P132" s="2751">
        <f>$C132-SUM($D132:O132)</f>
        <v>0</v>
      </c>
    </row>
    <row r="133" spans="1:16">
      <c r="A133" s="2736" t="s">
        <v>144</v>
      </c>
      <c r="B133" s="2154"/>
      <c r="C133" s="2735">
        <f>审定现流表!D34</f>
        <v>0</v>
      </c>
      <c r="D133" s="2733"/>
      <c r="E133" s="2738">
        <f>$C133-SUM($D133:D133)</f>
        <v>0</v>
      </c>
      <c r="F133" s="2738">
        <f>$C133-SUM($D133:E133)</f>
        <v>0</v>
      </c>
      <c r="G133" s="2738">
        <f>$C133-SUM($D133:F133)</f>
        <v>0</v>
      </c>
      <c r="H133" s="2738">
        <f>$C133-SUM($D133:G133)</f>
        <v>0</v>
      </c>
      <c r="I133" s="2738">
        <f>$C133-SUM($D133:H133)</f>
        <v>0</v>
      </c>
      <c r="J133" s="2738">
        <f>$C133-SUM($D133:I133)</f>
        <v>0</v>
      </c>
      <c r="K133" s="2738">
        <f>$C133-SUM($D133:J133)</f>
        <v>0</v>
      </c>
      <c r="L133" s="2738">
        <f>$C133-SUM($D133:K133)</f>
        <v>0</v>
      </c>
      <c r="M133" s="2738">
        <f>$C133-SUM($D133:L133)</f>
        <v>0</v>
      </c>
      <c r="N133" s="2738">
        <f>$C133-SUM($D133:M133)</f>
        <v>0</v>
      </c>
      <c r="O133" s="2738">
        <f>$C133-SUM($D133:N133)</f>
        <v>0</v>
      </c>
      <c r="P133" s="2751">
        <f>$C133-SUM($D133:O133)</f>
        <v>0</v>
      </c>
    </row>
    <row r="134" spans="1:16">
      <c r="A134" s="2736" t="s">
        <v>145</v>
      </c>
      <c r="B134" s="2154"/>
      <c r="C134" s="2735">
        <f>审定现流表!D35</f>
        <v>0</v>
      </c>
      <c r="D134" s="2733"/>
      <c r="E134" s="2738">
        <f>$C134-SUM($D134:D134)</f>
        <v>0</v>
      </c>
      <c r="F134" s="2738">
        <f>$C134-SUM($D134:E134)</f>
        <v>0</v>
      </c>
      <c r="G134" s="2738">
        <f>$C134-SUM($D134:F134)</f>
        <v>0</v>
      </c>
      <c r="H134" s="2738">
        <f>$C134-SUM($D134:G134)</f>
        <v>0</v>
      </c>
      <c r="I134" s="2738">
        <f>$C134-SUM($D134:H134)</f>
        <v>0</v>
      </c>
      <c r="J134" s="2738">
        <f>$C134-SUM($D134:I134)</f>
        <v>0</v>
      </c>
      <c r="K134" s="2738">
        <f>$C134-SUM($D134:J134)</f>
        <v>0</v>
      </c>
      <c r="L134" s="2738">
        <f>$C134-SUM($D134:K134)</f>
        <v>0</v>
      </c>
      <c r="M134" s="2738">
        <f>$C134-SUM($D134:L134)</f>
        <v>0</v>
      </c>
      <c r="N134" s="2738">
        <f>$C134-SUM($D134:M134)</f>
        <v>0</v>
      </c>
      <c r="O134" s="2738">
        <f>$C134-SUM($D134:N134)</f>
        <v>0</v>
      </c>
      <c r="P134" s="2751">
        <f>$C134-SUM($D134:O134)</f>
        <v>0</v>
      </c>
    </row>
    <row r="135" spans="1:16">
      <c r="A135" s="2736" t="s">
        <v>146</v>
      </c>
      <c r="B135" s="2154"/>
      <c r="C135" s="2735">
        <f>审定现流表!D36</f>
        <v>0</v>
      </c>
      <c r="D135" s="2733"/>
      <c r="E135" s="2738">
        <f>$C135-SUM($D135:D135)</f>
        <v>0</v>
      </c>
      <c r="F135" s="2738">
        <f>$C135-SUM($D135:E135)</f>
        <v>0</v>
      </c>
      <c r="G135" s="2738">
        <f>$C135-SUM($D135:F135)</f>
        <v>0</v>
      </c>
      <c r="H135" s="2738">
        <f>$C135-SUM($D135:G135)</f>
        <v>0</v>
      </c>
      <c r="I135" s="2738">
        <f>$C135-SUM($D135:H135)</f>
        <v>0</v>
      </c>
      <c r="J135" s="2738">
        <f>$C135-SUM($D135:I135)</f>
        <v>0</v>
      </c>
      <c r="K135" s="2738">
        <f>$C135-SUM($D135:J135)</f>
        <v>0</v>
      </c>
      <c r="L135" s="2738">
        <f>$C135-SUM($D135:K135)</f>
        <v>0</v>
      </c>
      <c r="M135" s="2738">
        <f>$C135-SUM($D135:L135)</f>
        <v>0</v>
      </c>
      <c r="N135" s="2738">
        <f>$C135-SUM($D135:M135)</f>
        <v>0</v>
      </c>
      <c r="O135" s="2738">
        <f>$C135-SUM($D135:N135)</f>
        <v>0</v>
      </c>
      <c r="P135" s="2751">
        <f>$C135-SUM($D135:O135)</f>
        <v>0</v>
      </c>
    </row>
    <row r="136" spans="1:16">
      <c r="A136" s="2736" t="s">
        <v>147</v>
      </c>
      <c r="B136" s="2154"/>
      <c r="C136" s="2735">
        <f>审定现流表!D37</f>
        <v>0</v>
      </c>
      <c r="D136" s="2733"/>
      <c r="E136" s="2738">
        <f>$C136-SUM($D136:D136)</f>
        <v>0</v>
      </c>
      <c r="F136" s="2738">
        <f>$C136-SUM($D136:E136)</f>
        <v>0</v>
      </c>
      <c r="G136" s="2738">
        <f>$C136-SUM($D136:F136)</f>
        <v>0</v>
      </c>
      <c r="H136" s="2738">
        <f>$C136-SUM($D136:G136)</f>
        <v>0</v>
      </c>
      <c r="I136" s="2738">
        <f>$C136-SUM($D136:H136)</f>
        <v>0</v>
      </c>
      <c r="J136" s="2738">
        <f>$C136-SUM($D136:I136)</f>
        <v>0</v>
      </c>
      <c r="K136" s="2738">
        <f>$C136-SUM($D136:J136)</f>
        <v>0</v>
      </c>
      <c r="L136" s="2738">
        <f>$C136-SUM($D136:K136)</f>
        <v>0</v>
      </c>
      <c r="M136" s="2738">
        <f>$C136-SUM($D136:L136)</f>
        <v>0</v>
      </c>
      <c r="N136" s="2738">
        <f>$C136-SUM($D136:M136)</f>
        <v>0</v>
      </c>
      <c r="O136" s="2738">
        <f>$C136-SUM($D136:N136)</f>
        <v>0</v>
      </c>
      <c r="P136" s="2751">
        <f>$C136-SUM($D136:O136)</f>
        <v>0</v>
      </c>
    </row>
    <row r="137" spans="1:16">
      <c r="A137" s="2741" t="s">
        <v>149</v>
      </c>
      <c r="B137" s="2732"/>
      <c r="C137" s="2743">
        <f>ROUND(SUM(C132:C136),2)-C133</f>
        <v>0</v>
      </c>
      <c r="D137" s="2744"/>
      <c r="E137" s="2744">
        <f t="shared" ref="E137" si="25">ROUND(SUM(E132:E136),2)-E133</f>
        <v>0</v>
      </c>
      <c r="F137" s="2744">
        <f t="shared" ref="F137" si="26">ROUND(SUM(F132:F136),2)-F133</f>
        <v>0</v>
      </c>
      <c r="G137" s="2744">
        <f t="shared" ref="G137" si="27">ROUND(SUM(G132:G136),2)-G133</f>
        <v>0</v>
      </c>
      <c r="H137" s="2744">
        <f t="shared" ref="H137" si="28">ROUND(SUM(H132:H136),2)-H133</f>
        <v>0</v>
      </c>
      <c r="I137" s="2744">
        <f t="shared" ref="I137" si="29">ROUND(SUM(I132:I136),2)-I133</f>
        <v>0</v>
      </c>
      <c r="J137" s="2744">
        <f t="shared" ref="J137" si="30">ROUND(SUM(J132:J136),2)-J133</f>
        <v>0</v>
      </c>
      <c r="K137" s="2744">
        <f t="shared" ref="K137" si="31">ROUND(SUM(K132:K136),2)-K133</f>
        <v>0</v>
      </c>
      <c r="L137" s="2744">
        <f t="shared" ref="L137" si="32">ROUND(SUM(L132:L136),2)-L133</f>
        <v>0</v>
      </c>
      <c r="M137" s="2744">
        <f t="shared" ref="M137" si="33">ROUND(SUM(M132:M136),2)-M133</f>
        <v>0</v>
      </c>
      <c r="N137" s="2744">
        <f t="shared" ref="N137" si="34">ROUND(SUM(N132:N136),2)-N133</f>
        <v>0</v>
      </c>
      <c r="O137" s="2744">
        <f t="shared" ref="O137" si="35">ROUND(SUM(O132:O136),2)-O133</f>
        <v>0</v>
      </c>
      <c r="P137" s="2870">
        <f t="shared" ref="P137" si="36">ROUND(SUM(P132:P136),2)-P133</f>
        <v>0</v>
      </c>
    </row>
    <row r="138" spans="1:16">
      <c r="A138" s="2736" t="s">
        <v>150</v>
      </c>
      <c r="B138" s="2154"/>
      <c r="C138" s="2735">
        <f>审定现流表!D39</f>
        <v>0</v>
      </c>
      <c r="D138" s="2733"/>
      <c r="E138" s="2738">
        <f>$C138-SUM($D138:D138)</f>
        <v>0</v>
      </c>
      <c r="F138" s="2738">
        <f>$C138-SUM($D138:E138)</f>
        <v>0</v>
      </c>
      <c r="G138" s="2738">
        <f>$C138-SUM($D138:F138)</f>
        <v>0</v>
      </c>
      <c r="H138" s="2738">
        <f>$C138-SUM($D138:G138)</f>
        <v>0</v>
      </c>
      <c r="I138" s="2738">
        <f>$C138-SUM($D138:H138)</f>
        <v>0</v>
      </c>
      <c r="J138" s="2738">
        <f>$C138-SUM($D138:I138)</f>
        <v>0</v>
      </c>
      <c r="K138" s="2738">
        <f>$C138-SUM($D138:J138)</f>
        <v>0</v>
      </c>
      <c r="L138" s="2738">
        <f>$C138-SUM($D138:K138)</f>
        <v>0</v>
      </c>
      <c r="M138" s="2738">
        <f>$C138-SUM($D138:L138)</f>
        <v>0</v>
      </c>
      <c r="N138" s="2738">
        <f>$C138-SUM($D138:M138)</f>
        <v>0</v>
      </c>
      <c r="O138" s="2738">
        <f>$C138-SUM($D138:N138)</f>
        <v>0</v>
      </c>
      <c r="P138" s="2751">
        <f>$C138-SUM($D138:O138)</f>
        <v>0</v>
      </c>
    </row>
    <row r="139" spans="1:16">
      <c r="A139" s="2736" t="s">
        <v>151</v>
      </c>
      <c r="B139" s="2154"/>
      <c r="C139" s="2735">
        <f>审定现流表!D40</f>
        <v>0</v>
      </c>
      <c r="D139" s="2733"/>
      <c r="E139" s="2738">
        <f>$C139-SUM($D139:D139)</f>
        <v>0</v>
      </c>
      <c r="F139" s="2738">
        <f>$C139-SUM($D139:E139)</f>
        <v>0</v>
      </c>
      <c r="G139" s="2738">
        <f>$C139-SUM($D139:F139)</f>
        <v>0</v>
      </c>
      <c r="H139" s="2738">
        <f>$C139-SUM($D139:G139)</f>
        <v>0</v>
      </c>
      <c r="I139" s="2738">
        <f>$C139-SUM($D139:H139)</f>
        <v>0</v>
      </c>
      <c r="J139" s="2738">
        <f>$C139-SUM($D139:I139)</f>
        <v>0</v>
      </c>
      <c r="K139" s="2738">
        <f>$C139-SUM($D139:J139)</f>
        <v>0</v>
      </c>
      <c r="L139" s="2738">
        <f>$C139-SUM($D139:K139)</f>
        <v>0</v>
      </c>
      <c r="M139" s="2738">
        <f>$C139-SUM($D139:L139)</f>
        <v>0</v>
      </c>
      <c r="N139" s="2738">
        <f>$C139-SUM($D139:M139)</f>
        <v>0</v>
      </c>
      <c r="O139" s="2738">
        <f>$C139-SUM($D139:N139)</f>
        <v>0</v>
      </c>
      <c r="P139" s="2751">
        <f>$C139-SUM($D139:O139)</f>
        <v>0</v>
      </c>
    </row>
    <row r="140" spans="1:16">
      <c r="A140" s="2736" t="s">
        <v>152</v>
      </c>
      <c r="B140" s="2154"/>
      <c r="C140" s="2735">
        <f>审定现流表!D41</f>
        <v>0</v>
      </c>
      <c r="D140" s="2733"/>
      <c r="E140" s="2738">
        <f>$C140-SUM($D140:D140)</f>
        <v>0</v>
      </c>
      <c r="F140" s="2738">
        <f>$C140-SUM($D140:E140)</f>
        <v>0</v>
      </c>
      <c r="G140" s="2738">
        <f>$C140-SUM($D140:F140)</f>
        <v>0</v>
      </c>
      <c r="H140" s="2738">
        <f>$C140-SUM($D140:G140)</f>
        <v>0</v>
      </c>
      <c r="I140" s="2738">
        <f>$C140-SUM($D140:H140)</f>
        <v>0</v>
      </c>
      <c r="J140" s="2738">
        <f>$C140-SUM($D140:I140)</f>
        <v>0</v>
      </c>
      <c r="K140" s="2738">
        <f>$C140-SUM($D140:J140)</f>
        <v>0</v>
      </c>
      <c r="L140" s="2738">
        <f>$C140-SUM($D140:K140)</f>
        <v>0</v>
      </c>
      <c r="M140" s="2738">
        <f>$C140-SUM($D140:L140)</f>
        <v>0</v>
      </c>
      <c r="N140" s="2738">
        <f>$C140-SUM($D140:M140)</f>
        <v>0</v>
      </c>
      <c r="O140" s="2738">
        <f>$C140-SUM($D140:N140)</f>
        <v>0</v>
      </c>
      <c r="P140" s="2751">
        <f>$C140-SUM($D140:O140)</f>
        <v>0</v>
      </c>
    </row>
    <row r="141" spans="1:16">
      <c r="A141" s="2736" t="s">
        <v>153</v>
      </c>
      <c r="B141" s="2154"/>
      <c r="C141" s="2735">
        <f>审定现流表!D42</f>
        <v>0</v>
      </c>
      <c r="D141" s="2733"/>
      <c r="E141" s="2738">
        <f>$C141-SUM($D141:D141)</f>
        <v>0</v>
      </c>
      <c r="F141" s="2738">
        <f>$C141-SUM($D141:E141)</f>
        <v>0</v>
      </c>
      <c r="G141" s="2738">
        <f>$C141-SUM($D141:F141)</f>
        <v>0</v>
      </c>
      <c r="H141" s="2738">
        <f>$C141-SUM($D141:G141)</f>
        <v>0</v>
      </c>
      <c r="I141" s="2738">
        <f>$C141-SUM($D141:H141)</f>
        <v>0</v>
      </c>
      <c r="J141" s="2738">
        <f>$C141-SUM($D141:I141)</f>
        <v>0</v>
      </c>
      <c r="K141" s="2738">
        <f>$C141-SUM($D141:J141)</f>
        <v>0</v>
      </c>
      <c r="L141" s="2738">
        <f>$C141-SUM($D141:K141)</f>
        <v>0</v>
      </c>
      <c r="M141" s="2738">
        <f>$C141-SUM($D141:L141)</f>
        <v>0</v>
      </c>
      <c r="N141" s="2738">
        <f>$C141-SUM($D141:M141)</f>
        <v>0</v>
      </c>
      <c r="O141" s="2738">
        <f>$C141-SUM($D141:N141)</f>
        <v>0</v>
      </c>
      <c r="P141" s="2751">
        <f>$C141-SUM($D141:O141)</f>
        <v>0</v>
      </c>
    </row>
    <row r="142" spans="1:16">
      <c r="A142" s="2741" t="s">
        <v>154</v>
      </c>
      <c r="B142" s="2732"/>
      <c r="C142" s="2743">
        <f>ROUND(SUM(C138:C141),2)-C140</f>
        <v>0</v>
      </c>
      <c r="D142" s="2744"/>
      <c r="E142" s="2744">
        <f t="shared" ref="E142" si="37">ROUND(SUM(E138:E141),2)-E140</f>
        <v>0</v>
      </c>
      <c r="F142" s="2744">
        <f t="shared" ref="F142" si="38">ROUND(SUM(F138:F141),2)-F140</f>
        <v>0</v>
      </c>
      <c r="G142" s="2744">
        <f t="shared" ref="G142" si="39">ROUND(SUM(G138:G141),2)-G140</f>
        <v>0</v>
      </c>
      <c r="H142" s="2744">
        <f t="shared" ref="H142" si="40">ROUND(SUM(H138:H141),2)-H140</f>
        <v>0</v>
      </c>
      <c r="I142" s="2744">
        <f t="shared" ref="I142" si="41">ROUND(SUM(I138:I141),2)-I140</f>
        <v>0</v>
      </c>
      <c r="J142" s="2744">
        <f t="shared" ref="J142" si="42">ROUND(SUM(J138:J141),2)-J140</f>
        <v>0</v>
      </c>
      <c r="K142" s="2744">
        <f t="shared" ref="K142" si="43">ROUND(SUM(K138:K141),2)-K140</f>
        <v>0</v>
      </c>
      <c r="L142" s="2744">
        <f t="shared" ref="L142" si="44">ROUND(SUM(L138:L141),2)-L140</f>
        <v>0</v>
      </c>
      <c r="M142" s="2744">
        <f t="shared" ref="M142" si="45">ROUND(SUM(M138:M141),2)-M140</f>
        <v>0</v>
      </c>
      <c r="N142" s="2744">
        <f t="shared" ref="N142" si="46">ROUND(SUM(N138:N141),2)-N140</f>
        <v>0</v>
      </c>
      <c r="O142" s="2744">
        <f t="shared" ref="O142" si="47">ROUND(SUM(O138:O141),2)-O140</f>
        <v>0</v>
      </c>
      <c r="P142" s="2870">
        <f t="shared" ref="P142" si="48">ROUND(SUM(P138:P141),2)-P140</f>
        <v>0</v>
      </c>
    </row>
    <row r="143" spans="1:16">
      <c r="A143" s="2741" t="s">
        <v>155</v>
      </c>
      <c r="B143" s="2732"/>
      <c r="C143" s="2743">
        <f>ROUND(C137-C142,2)</f>
        <v>0</v>
      </c>
      <c r="D143" s="2744"/>
      <c r="E143" s="2744">
        <f t="shared" ref="E143" si="49">ROUND(E137-E142,2)</f>
        <v>0</v>
      </c>
      <c r="F143" s="2744">
        <f t="shared" ref="F143" si="50">ROUND(F137-F142,2)</f>
        <v>0</v>
      </c>
      <c r="G143" s="2744">
        <f t="shared" ref="G143" si="51">ROUND(G137-G142,2)</f>
        <v>0</v>
      </c>
      <c r="H143" s="2744">
        <f t="shared" ref="H143" si="52">ROUND(H137-H142,2)</f>
        <v>0</v>
      </c>
      <c r="I143" s="2744">
        <f t="shared" ref="I143" si="53">ROUND(I137-I142,2)</f>
        <v>0</v>
      </c>
      <c r="J143" s="2744">
        <f t="shared" ref="J143" si="54">ROUND(J137-J142,2)</f>
        <v>0</v>
      </c>
      <c r="K143" s="2744">
        <f t="shared" ref="K143" si="55">ROUND(K137-K142,2)</f>
        <v>0</v>
      </c>
      <c r="L143" s="2744">
        <f t="shared" ref="L143" si="56">ROUND(L137-L142,2)</f>
        <v>0</v>
      </c>
      <c r="M143" s="2744">
        <f t="shared" ref="M143" si="57">ROUND(M137-M142,2)</f>
        <v>0</v>
      </c>
      <c r="N143" s="2744">
        <f t="shared" ref="N143" si="58">ROUND(N137-N142,2)</f>
        <v>0</v>
      </c>
      <c r="O143" s="2744">
        <f t="shared" ref="O143" si="59">ROUND(O137-O142,2)</f>
        <v>0</v>
      </c>
      <c r="P143" s="2870">
        <f t="shared" ref="P143" si="60">ROUND(P137-P142,2)</f>
        <v>0</v>
      </c>
    </row>
    <row r="144" spans="1:16">
      <c r="A144" s="2749"/>
      <c r="B144" s="2732"/>
      <c r="C144" s="2735"/>
      <c r="D144" s="2733"/>
      <c r="E144" s="2733"/>
      <c r="F144" s="2733"/>
      <c r="G144" s="2733"/>
      <c r="H144" s="2733"/>
      <c r="I144" s="2733"/>
      <c r="J144" s="2733"/>
      <c r="K144" s="2733"/>
      <c r="L144" s="2733"/>
      <c r="M144" s="2733"/>
      <c r="N144" s="2733"/>
      <c r="O144" s="2733"/>
      <c r="P144" s="2734"/>
    </row>
    <row r="145" spans="1:16">
      <c r="A145" s="2731" t="s">
        <v>156</v>
      </c>
      <c r="B145" s="2154"/>
      <c r="C145" s="2735">
        <f>审定现流表!D46</f>
        <v>0</v>
      </c>
      <c r="D145" s="2733"/>
      <c r="E145" s="2738">
        <f>$C145-SUM($D145:D145)</f>
        <v>0</v>
      </c>
      <c r="F145" s="2738">
        <f>$C145-SUM($D145:E145)</f>
        <v>0</v>
      </c>
      <c r="G145" s="2738">
        <f>$C145-SUM($D145:F145)</f>
        <v>0</v>
      </c>
      <c r="H145" s="2738">
        <f>$C145-SUM($D145:G145)</f>
        <v>0</v>
      </c>
      <c r="I145" s="2738">
        <f>$C145-SUM($D145:H145)</f>
        <v>0</v>
      </c>
      <c r="J145" s="2738">
        <f>$C145-SUM($D145:I145)</f>
        <v>0</v>
      </c>
      <c r="K145" s="2738">
        <f>$C145-SUM($D145:J145)</f>
        <v>0</v>
      </c>
      <c r="L145" s="2738">
        <f>$C145-SUM($D145:K145)</f>
        <v>0</v>
      </c>
      <c r="M145" s="2738">
        <f>$C145-SUM($D145:L145)</f>
        <v>0</v>
      </c>
      <c r="N145" s="2738">
        <f>$C145-SUM($D145:M145)</f>
        <v>0</v>
      </c>
      <c r="O145" s="2738">
        <f>$C145-SUM($D145:N145)</f>
        <v>0</v>
      </c>
      <c r="P145" s="2751">
        <f>$C145-SUM($D145:O145)</f>
        <v>0</v>
      </c>
    </row>
    <row r="146" spans="1:16">
      <c r="A146" s="2731" t="s">
        <v>157</v>
      </c>
      <c r="B146" s="2732"/>
      <c r="C146" s="2743">
        <f>ROUND(C115+C129+C143+C145,2)</f>
        <v>0</v>
      </c>
      <c r="D146" s="2744"/>
      <c r="E146" s="2744">
        <f>ROUND(E115+E129+E143+E145,2)</f>
        <v>0</v>
      </c>
      <c r="F146" s="2744">
        <f t="shared" ref="F146:I146" si="61">ROUND(F115+F129+F143+F145,2)</f>
        <v>0</v>
      </c>
      <c r="G146" s="2744">
        <f t="shared" si="61"/>
        <v>0</v>
      </c>
      <c r="H146" s="2744">
        <f t="shared" si="61"/>
        <v>0</v>
      </c>
      <c r="I146" s="2744">
        <f t="shared" si="61"/>
        <v>0</v>
      </c>
      <c r="J146" s="2744">
        <f t="shared" ref="J146:P146" si="62">ROUND(J115+J129+J143+J145,2)</f>
        <v>0</v>
      </c>
      <c r="K146" s="2744">
        <f t="shared" si="62"/>
        <v>0</v>
      </c>
      <c r="L146" s="2744">
        <f t="shared" si="62"/>
        <v>0</v>
      </c>
      <c r="M146" s="2744">
        <f t="shared" si="62"/>
        <v>0</v>
      </c>
      <c r="N146" s="2744">
        <f t="shared" si="62"/>
        <v>0</v>
      </c>
      <c r="O146" s="2744">
        <f t="shared" si="62"/>
        <v>0</v>
      </c>
      <c r="P146" s="2870">
        <f t="shared" si="62"/>
        <v>0</v>
      </c>
    </row>
    <row r="147" spans="1:16">
      <c r="A147" s="2736" t="s">
        <v>158</v>
      </c>
      <c r="B147" s="2732"/>
      <c r="C147" s="2735">
        <f>审定现流表!D48</f>
        <v>66164760.35</v>
      </c>
      <c r="D147" s="2733"/>
      <c r="E147" s="2738">
        <f>$C147-SUM($D147:D147)</f>
        <v>66164760.35</v>
      </c>
      <c r="F147" s="2738">
        <f>$C147-SUM($D147:E147)</f>
        <v>0</v>
      </c>
      <c r="G147" s="2738">
        <f>$C147-SUM($D147:F147)</f>
        <v>0</v>
      </c>
      <c r="H147" s="2738">
        <f>$C147-SUM($D147:G147)</f>
        <v>0</v>
      </c>
      <c r="I147" s="2738">
        <f>$C147-SUM($D147:H147)</f>
        <v>0</v>
      </c>
      <c r="J147" s="2738">
        <f>$C147-SUM($D147:I147)</f>
        <v>0</v>
      </c>
      <c r="K147" s="2738">
        <f>$C147-SUM($D147:J147)</f>
        <v>0</v>
      </c>
      <c r="L147" s="2738">
        <f>$C147-SUM($D147:K147)</f>
        <v>0</v>
      </c>
      <c r="M147" s="2738">
        <f>$C147-SUM($D147:L147)</f>
        <v>0</v>
      </c>
      <c r="N147" s="2738">
        <f>$C147-SUM($D147:M147)</f>
        <v>0</v>
      </c>
      <c r="O147" s="2738">
        <f>$C147-SUM($D147:N147)</f>
        <v>0</v>
      </c>
      <c r="P147" s="2751">
        <f>$C147-SUM($D147:O147)</f>
        <v>0</v>
      </c>
    </row>
    <row r="148" ht="15" spans="1:16">
      <c r="A148" s="2752" t="s">
        <v>159</v>
      </c>
      <c r="B148" s="2878"/>
      <c r="C148" s="2867">
        <f>ROUND(C146+C147,2)</f>
        <v>66164760.35</v>
      </c>
      <c r="D148" s="2755"/>
      <c r="E148" s="2755">
        <f t="shared" ref="E148:I148" si="63">ROUND(E146+E147,2)</f>
        <v>66164760.35</v>
      </c>
      <c r="F148" s="2755">
        <f t="shared" si="63"/>
        <v>0</v>
      </c>
      <c r="G148" s="2755">
        <f t="shared" si="63"/>
        <v>0</v>
      </c>
      <c r="H148" s="2755">
        <f t="shared" si="63"/>
        <v>0</v>
      </c>
      <c r="I148" s="2755">
        <f t="shared" si="63"/>
        <v>0</v>
      </c>
      <c r="J148" s="2755">
        <f t="shared" ref="J148:P148" si="64">ROUND(J146+J147,2)</f>
        <v>0</v>
      </c>
      <c r="K148" s="2755">
        <f t="shared" si="64"/>
        <v>0</v>
      </c>
      <c r="L148" s="2755">
        <f t="shared" si="64"/>
        <v>0</v>
      </c>
      <c r="M148" s="2755">
        <f t="shared" si="64"/>
        <v>0</v>
      </c>
      <c r="N148" s="2755">
        <f t="shared" si="64"/>
        <v>0</v>
      </c>
      <c r="O148" s="2755">
        <f t="shared" si="64"/>
        <v>0</v>
      </c>
      <c r="P148" s="2871">
        <f t="shared" si="64"/>
        <v>0</v>
      </c>
    </row>
    <row r="149" ht="15" spans="1:16">
      <c r="A149" s="2758"/>
      <c r="B149" s="2713"/>
      <c r="C149" s="2718"/>
      <c r="D149" s="2717"/>
      <c r="E149" s="2717"/>
      <c r="F149" s="2717"/>
      <c r="G149" s="2717"/>
      <c r="H149" s="2717"/>
      <c r="I149" s="2717"/>
      <c r="J149" s="2717"/>
      <c r="K149" s="2717"/>
      <c r="L149" s="2717"/>
      <c r="M149" s="2717"/>
      <c r="N149" s="2717"/>
      <c r="O149" s="2717"/>
      <c r="P149" s="2717"/>
    </row>
    <row r="150" spans="1:16">
      <c r="A150" s="2879"/>
      <c r="B150" s="2713"/>
      <c r="C150" s="2868">
        <f>ROUND(C115-C171,2)</f>
        <v>-199235970.03</v>
      </c>
      <c r="D150" s="2761"/>
      <c r="E150" s="2761">
        <f>ROUND(E115-E171,2)</f>
        <v>-209826701.67</v>
      </c>
      <c r="F150" s="2761">
        <f t="shared" ref="F150:P150" si="65">ROUND(F115-F171,2)</f>
        <v>0</v>
      </c>
      <c r="G150" s="2761">
        <f t="shared" si="65"/>
        <v>0</v>
      </c>
      <c r="H150" s="2761">
        <f t="shared" si="65"/>
        <v>0</v>
      </c>
      <c r="I150" s="2761">
        <f t="shared" si="65"/>
        <v>0</v>
      </c>
      <c r="J150" s="2761">
        <f t="shared" si="65"/>
        <v>0</v>
      </c>
      <c r="K150" s="2761">
        <f t="shared" si="65"/>
        <v>0</v>
      </c>
      <c r="L150" s="2761">
        <f t="shared" si="65"/>
        <v>0</v>
      </c>
      <c r="M150" s="2761">
        <f t="shared" si="65"/>
        <v>0</v>
      </c>
      <c r="N150" s="2761">
        <f t="shared" si="65"/>
        <v>0</v>
      </c>
      <c r="O150" s="2761">
        <f t="shared" si="65"/>
        <v>0</v>
      </c>
      <c r="P150" s="2761">
        <f t="shared" si="65"/>
        <v>0</v>
      </c>
    </row>
    <row r="151" ht="15" spans="1:16">
      <c r="A151" s="2762" t="s">
        <v>160</v>
      </c>
      <c r="B151" s="2713"/>
      <c r="C151" s="2718"/>
      <c r="D151" s="2717"/>
      <c r="E151" s="2717"/>
      <c r="F151" s="2717"/>
      <c r="G151" s="2717"/>
      <c r="H151" s="2717"/>
      <c r="I151" s="2717"/>
      <c r="J151" s="2717"/>
      <c r="K151" s="2717"/>
      <c r="L151" s="2717"/>
      <c r="M151" s="2717"/>
      <c r="N151" s="2717"/>
      <c r="O151" s="2717"/>
      <c r="P151" s="2717"/>
    </row>
    <row r="152" ht="15" spans="1:16">
      <c r="A152" s="2880" t="s">
        <v>161</v>
      </c>
      <c r="B152" s="2798" t="s">
        <v>162</v>
      </c>
      <c r="C152" s="2869" t="str">
        <f>IF(参数表!$C$12="本期间为特定年","上年金额","上期金额")</f>
        <v>上年金额</v>
      </c>
      <c r="D152" s="2721"/>
      <c r="E152" s="2721" t="str">
        <f>IF(参数表!$C$12="本期间为特定年","上年金额","上期金额")</f>
        <v>上年金额</v>
      </c>
      <c r="F152" s="2721" t="str">
        <f>IF(参数表!$C$12="本期间为特定年","上年金额","上期金额")</f>
        <v>上年金额</v>
      </c>
      <c r="G152" s="2721" t="str">
        <f>IF(参数表!$C$12="本期间为特定年","上年金额","上期金额")</f>
        <v>上年金额</v>
      </c>
      <c r="H152" s="2721" t="str">
        <f>IF(参数表!$C$12="本期间为特定年","上年金额","上期金额")</f>
        <v>上年金额</v>
      </c>
      <c r="I152" s="2721" t="str">
        <f>IF(参数表!$C$12="本期间为特定年","上年金额","上期金额")</f>
        <v>上年金额</v>
      </c>
      <c r="J152" s="2721" t="str">
        <f>IF(参数表!$C$12="本期间为特定年","上年金额","上期金额")</f>
        <v>上年金额</v>
      </c>
      <c r="K152" s="2721" t="str">
        <f>IF(参数表!$C$12="本期间为特定年","上年金额","上期金额")</f>
        <v>上年金额</v>
      </c>
      <c r="L152" s="2721" t="str">
        <f>IF(参数表!$C$12="本期间为特定年","上年金额","上期金额")</f>
        <v>上年金额</v>
      </c>
      <c r="M152" s="2721" t="str">
        <f>IF(参数表!$C$12="本期间为特定年","上年金额","上期金额")</f>
        <v>上年金额</v>
      </c>
      <c r="N152" s="2721" t="str">
        <f>IF(参数表!$C$12="本期间为特定年","上年金额","上期金额")</f>
        <v>上年金额</v>
      </c>
      <c r="O152" s="2721" t="str">
        <f>IF(参数表!$C$12="本期间为特定年","上年金额","上期金额")</f>
        <v>上年金额</v>
      </c>
      <c r="P152" s="2722" t="str">
        <f>IF(参数表!$C$12="本期间为特定年","上年金额","上期金额")</f>
        <v>上年金额</v>
      </c>
    </row>
    <row r="153" spans="1:16">
      <c r="A153" s="2881"/>
      <c r="B153" s="2877"/>
      <c r="C153" s="2729" t="s">
        <v>163</v>
      </c>
      <c r="D153" s="2727"/>
      <c r="E153" s="2768" t="str">
        <f>E104</f>
        <v>1月</v>
      </c>
      <c r="F153" s="2727" t="str">
        <f t="shared" ref="F153:P153" si="66">F104</f>
        <v>2月</v>
      </c>
      <c r="G153" s="2768" t="str">
        <f t="shared" si="66"/>
        <v>3月</v>
      </c>
      <c r="H153" s="2727" t="str">
        <f t="shared" si="66"/>
        <v>4月</v>
      </c>
      <c r="I153" s="2768" t="str">
        <f t="shared" si="66"/>
        <v>5月</v>
      </c>
      <c r="J153" s="2727" t="str">
        <f t="shared" si="66"/>
        <v>6月</v>
      </c>
      <c r="K153" s="2768" t="str">
        <f t="shared" si="66"/>
        <v>7月</v>
      </c>
      <c r="L153" s="2727" t="str">
        <f t="shared" si="66"/>
        <v>8月</v>
      </c>
      <c r="M153" s="2768" t="str">
        <f t="shared" si="66"/>
        <v>9月</v>
      </c>
      <c r="N153" s="2727" t="str">
        <f t="shared" si="66"/>
        <v>10月</v>
      </c>
      <c r="O153" s="2768" t="str">
        <f t="shared" si="66"/>
        <v>11月</v>
      </c>
      <c r="P153" s="2769" t="str">
        <f t="shared" si="66"/>
        <v>12月</v>
      </c>
    </row>
    <row r="154" spans="1:16">
      <c r="A154" s="2771" t="s">
        <v>164</v>
      </c>
      <c r="B154" s="2750"/>
      <c r="C154" s="2735"/>
      <c r="D154" s="2733"/>
      <c r="E154" s="2733"/>
      <c r="F154" s="2733"/>
      <c r="G154" s="2733"/>
      <c r="H154" s="2733"/>
      <c r="I154" s="2733"/>
      <c r="J154" s="2733"/>
      <c r="K154" s="2733"/>
      <c r="L154" s="2733"/>
      <c r="M154" s="2733"/>
      <c r="N154" s="2733"/>
      <c r="O154" s="2733"/>
      <c r="P154" s="2734"/>
    </row>
    <row r="155" spans="1:16">
      <c r="A155" s="2772" t="s">
        <v>110</v>
      </c>
      <c r="B155" s="2773"/>
      <c r="C155" s="2735">
        <f>审定现流表!D56</f>
        <v>-10590731.64</v>
      </c>
      <c r="D155" s="2733"/>
      <c r="E155" s="2733"/>
      <c r="F155" s="2733"/>
      <c r="G155" s="2733"/>
      <c r="H155" s="2733"/>
      <c r="I155" s="2733"/>
      <c r="J155" s="2733"/>
      <c r="K155" s="2733"/>
      <c r="L155" s="2733"/>
      <c r="M155" s="2733"/>
      <c r="N155" s="2733"/>
      <c r="O155" s="2733"/>
      <c r="P155" s="2734"/>
    </row>
    <row r="156" spans="1:16">
      <c r="A156" s="2772" t="s">
        <v>165</v>
      </c>
      <c r="B156" s="2773"/>
      <c r="C156" s="2735">
        <f>审定现流表!D57</f>
        <v>4990869.42</v>
      </c>
      <c r="D156" s="2733"/>
      <c r="E156" s="2738">
        <f>$C156-SUM($D156:D156)</f>
        <v>4990869.42</v>
      </c>
      <c r="F156" s="2738">
        <f>$C156-SUM($D156:E156)</f>
        <v>0</v>
      </c>
      <c r="G156" s="2738">
        <f>$C156-SUM($D156:F156)</f>
        <v>0</v>
      </c>
      <c r="H156" s="2738">
        <f>$C156-SUM($D156:G156)</f>
        <v>0</v>
      </c>
      <c r="I156" s="2738">
        <f>$C156-SUM($D156:H156)</f>
        <v>0</v>
      </c>
      <c r="J156" s="2738">
        <f>$C156-SUM($D156:I156)</f>
        <v>0</v>
      </c>
      <c r="K156" s="2738">
        <f>$C156-SUM($D156:J156)</f>
        <v>0</v>
      </c>
      <c r="L156" s="2738">
        <f>$C156-SUM($D156:K156)</f>
        <v>0</v>
      </c>
      <c r="M156" s="2738">
        <f>$C156-SUM($D156:L156)</f>
        <v>0</v>
      </c>
      <c r="N156" s="2738">
        <f>$C156-SUM($D156:M156)</f>
        <v>0</v>
      </c>
      <c r="O156" s="2738">
        <f>$C156-SUM($D156:N156)</f>
        <v>0</v>
      </c>
      <c r="P156" s="2751">
        <f>$C156-SUM($D156:O156)</f>
        <v>0</v>
      </c>
    </row>
    <row r="157" spans="1:16">
      <c r="A157" s="2772" t="s">
        <v>166</v>
      </c>
      <c r="B157" s="2773"/>
      <c r="C157" s="2735">
        <f>审定现流表!D58</f>
        <v>0</v>
      </c>
      <c r="D157" s="2733"/>
      <c r="E157" s="2738">
        <f>$C157-SUM($D157:D157)</f>
        <v>0</v>
      </c>
      <c r="F157" s="2738">
        <f>$C157-SUM($D157:E157)</f>
        <v>0</v>
      </c>
      <c r="G157" s="2738">
        <f>$C157-SUM($D157:F157)</f>
        <v>0</v>
      </c>
      <c r="H157" s="2738">
        <f>$C157-SUM($D157:G157)</f>
        <v>0</v>
      </c>
      <c r="I157" s="2738">
        <f>$C157-SUM($D157:H157)</f>
        <v>0</v>
      </c>
      <c r="J157" s="2738">
        <f>$C157-SUM($D157:I157)</f>
        <v>0</v>
      </c>
      <c r="K157" s="2738">
        <f>$C157-SUM($D157:J157)</f>
        <v>0</v>
      </c>
      <c r="L157" s="2738">
        <f>$C157-SUM($D157:K157)</f>
        <v>0</v>
      </c>
      <c r="M157" s="2738">
        <f>$C157-SUM($D157:L157)</f>
        <v>0</v>
      </c>
      <c r="N157" s="2738">
        <f>$C157-SUM($D157:M157)</f>
        <v>0</v>
      </c>
      <c r="O157" s="2738">
        <f>$C157-SUM($D157:N157)</f>
        <v>0</v>
      </c>
      <c r="P157" s="2751">
        <f>$C157-SUM($D157:O157)</f>
        <v>0</v>
      </c>
    </row>
    <row r="158" spans="1:16">
      <c r="A158" s="2772" t="s">
        <v>167</v>
      </c>
      <c r="B158" s="2773"/>
      <c r="C158" s="2735">
        <f>审定现流表!D59</f>
        <v>0</v>
      </c>
      <c r="D158" s="2733"/>
      <c r="E158" s="2738">
        <f>$C158-SUM($D158:D158)</f>
        <v>0</v>
      </c>
      <c r="F158" s="2738">
        <f>$C158-SUM($D158:E158)</f>
        <v>0</v>
      </c>
      <c r="G158" s="2738">
        <f>$C158-SUM($D158:F158)</f>
        <v>0</v>
      </c>
      <c r="H158" s="2738">
        <f>$C158-SUM($D158:G158)</f>
        <v>0</v>
      </c>
      <c r="I158" s="2738">
        <f>$C158-SUM($D158:H158)</f>
        <v>0</v>
      </c>
      <c r="J158" s="2738">
        <f>$C158-SUM($D158:I158)</f>
        <v>0</v>
      </c>
      <c r="K158" s="2738">
        <f>$C158-SUM($D158:J158)</f>
        <v>0</v>
      </c>
      <c r="L158" s="2738">
        <f>$C158-SUM($D158:K158)</f>
        <v>0</v>
      </c>
      <c r="M158" s="2738">
        <f>$C158-SUM($D158:L158)</f>
        <v>0</v>
      </c>
      <c r="N158" s="2738">
        <f>$C158-SUM($D158:M158)</f>
        <v>0</v>
      </c>
      <c r="O158" s="2738">
        <f>$C158-SUM($D158:N158)</f>
        <v>0</v>
      </c>
      <c r="P158" s="2751">
        <f>$C158-SUM($D158:O158)</f>
        <v>0</v>
      </c>
    </row>
    <row r="159" spans="1:16">
      <c r="A159" s="2772" t="s">
        <v>168</v>
      </c>
      <c r="B159" s="2773"/>
      <c r="C159" s="2735">
        <f>审定现流表!D60</f>
        <v>0</v>
      </c>
      <c r="D159" s="2733"/>
      <c r="E159" s="2738">
        <f>$C159-SUM($D159:D159)</f>
        <v>0</v>
      </c>
      <c r="F159" s="2738">
        <f>$C159-SUM($D159:E159)</f>
        <v>0</v>
      </c>
      <c r="G159" s="2738">
        <f>$C159-SUM($D159:F159)</f>
        <v>0</v>
      </c>
      <c r="H159" s="2738">
        <f>$C159-SUM($D159:G159)</f>
        <v>0</v>
      </c>
      <c r="I159" s="2738">
        <f>$C159-SUM($D159:H159)</f>
        <v>0</v>
      </c>
      <c r="J159" s="2738">
        <f>$C159-SUM($D159:I159)</f>
        <v>0</v>
      </c>
      <c r="K159" s="2738">
        <f>$C159-SUM($D159:J159)</f>
        <v>0</v>
      </c>
      <c r="L159" s="2738">
        <f>$C159-SUM($D159:K159)</f>
        <v>0</v>
      </c>
      <c r="M159" s="2738">
        <f>$C159-SUM($D159:L159)</f>
        <v>0</v>
      </c>
      <c r="N159" s="2738">
        <f>$C159-SUM($D159:M159)</f>
        <v>0</v>
      </c>
      <c r="O159" s="2738">
        <f>$C159-SUM($D159:N159)</f>
        <v>0</v>
      </c>
      <c r="P159" s="2751">
        <f>$C159-SUM($D159:O159)</f>
        <v>0</v>
      </c>
    </row>
    <row r="160" spans="1:16">
      <c r="A160" s="2772" t="s">
        <v>169</v>
      </c>
      <c r="B160" s="2773"/>
      <c r="C160" s="2735">
        <f>审定现流表!D61</f>
        <v>0</v>
      </c>
      <c r="D160" s="2733"/>
      <c r="E160" s="2738">
        <f>$C160-SUM($D160:D160)</f>
        <v>0</v>
      </c>
      <c r="F160" s="2738">
        <f>$C160-SUM($D160:E160)</f>
        <v>0</v>
      </c>
      <c r="G160" s="2738">
        <f>$C160-SUM($D160:F160)</f>
        <v>0</v>
      </c>
      <c r="H160" s="2738">
        <f>$C160-SUM($D160:G160)</f>
        <v>0</v>
      </c>
      <c r="I160" s="2738">
        <f>$C160-SUM($D160:H160)</f>
        <v>0</v>
      </c>
      <c r="J160" s="2738">
        <f>$C160-SUM($D160:I160)</f>
        <v>0</v>
      </c>
      <c r="K160" s="2738">
        <f>$C160-SUM($D160:J160)</f>
        <v>0</v>
      </c>
      <c r="L160" s="2738">
        <f>$C160-SUM($D160:K160)</f>
        <v>0</v>
      </c>
      <c r="M160" s="2738">
        <f>$C160-SUM($D160:L160)</f>
        <v>0</v>
      </c>
      <c r="N160" s="2738">
        <f>$C160-SUM($D160:M160)</f>
        <v>0</v>
      </c>
      <c r="O160" s="2738">
        <f>$C160-SUM($D160:N160)</f>
        <v>0</v>
      </c>
      <c r="P160" s="2751">
        <f>$C160-SUM($D160:O160)</f>
        <v>0</v>
      </c>
    </row>
    <row r="161" spans="1:16">
      <c r="A161" s="2772" t="s">
        <v>170</v>
      </c>
      <c r="B161" s="2773"/>
      <c r="C161" s="2735">
        <f>审定现流表!D62</f>
        <v>0</v>
      </c>
      <c r="D161" s="2733"/>
      <c r="E161" s="2738">
        <f>$C161-SUM($D161:D161)</f>
        <v>0</v>
      </c>
      <c r="F161" s="2738">
        <f>$C161-SUM($D161:E161)</f>
        <v>0</v>
      </c>
      <c r="G161" s="2738">
        <f>$C161-SUM($D161:F161)</f>
        <v>0</v>
      </c>
      <c r="H161" s="2738">
        <f>$C161-SUM($D161:G161)</f>
        <v>0</v>
      </c>
      <c r="I161" s="2738">
        <f>$C161-SUM($D161:H161)</f>
        <v>0</v>
      </c>
      <c r="J161" s="2738">
        <f>$C161-SUM($D161:I161)</f>
        <v>0</v>
      </c>
      <c r="K161" s="2738">
        <f>$C161-SUM($D161:J161)</f>
        <v>0</v>
      </c>
      <c r="L161" s="2738">
        <f>$C161-SUM($D161:K161)</f>
        <v>0</v>
      </c>
      <c r="M161" s="2738">
        <f>$C161-SUM($D161:L161)</f>
        <v>0</v>
      </c>
      <c r="N161" s="2738">
        <f>$C161-SUM($D161:M161)</f>
        <v>0</v>
      </c>
      <c r="O161" s="2738">
        <f>$C161-SUM($D161:N161)</f>
        <v>0</v>
      </c>
      <c r="P161" s="2751">
        <f>$C161-SUM($D161:O161)</f>
        <v>0</v>
      </c>
    </row>
    <row r="162" spans="1:16">
      <c r="A162" s="2772" t="s">
        <v>171</v>
      </c>
      <c r="B162" s="2773"/>
      <c r="C162" s="2735">
        <f>审定现流表!D63</f>
        <v>0</v>
      </c>
      <c r="D162" s="2733"/>
      <c r="E162" s="2738">
        <f>$C162-SUM($D162:D162)</f>
        <v>0</v>
      </c>
      <c r="F162" s="2738">
        <f>$C162-SUM($D162:E162)</f>
        <v>0</v>
      </c>
      <c r="G162" s="2738">
        <f>$C162-SUM($D162:F162)</f>
        <v>0</v>
      </c>
      <c r="H162" s="2738">
        <f>$C162-SUM($D162:G162)</f>
        <v>0</v>
      </c>
      <c r="I162" s="2738">
        <f>$C162-SUM($D162:H162)</f>
        <v>0</v>
      </c>
      <c r="J162" s="2738">
        <f>$C162-SUM($D162:I162)</f>
        <v>0</v>
      </c>
      <c r="K162" s="2738">
        <f>$C162-SUM($D162:J162)</f>
        <v>0</v>
      </c>
      <c r="L162" s="2738">
        <f>$C162-SUM($D162:K162)</f>
        <v>0</v>
      </c>
      <c r="M162" s="2738">
        <f>$C162-SUM($D162:L162)</f>
        <v>0</v>
      </c>
      <c r="N162" s="2738">
        <f>$C162-SUM($D162:M162)</f>
        <v>0</v>
      </c>
      <c r="O162" s="2738">
        <f>$C162-SUM($D162:N162)</f>
        <v>0</v>
      </c>
      <c r="P162" s="2751">
        <f>$C162-SUM($D162:O162)</f>
        <v>0</v>
      </c>
    </row>
    <row r="163" spans="1:16">
      <c r="A163" s="2772" t="s">
        <v>85</v>
      </c>
      <c r="B163" s="2773"/>
      <c r="C163" s="2735">
        <f>审定现流表!D64</f>
        <v>6623057.53</v>
      </c>
      <c r="D163" s="2733"/>
      <c r="E163" s="2738">
        <f>$C163-SUM($D163:D163)</f>
        <v>6623057.53</v>
      </c>
      <c r="F163" s="2738">
        <f>$C163-SUM($D163:E163)</f>
        <v>0</v>
      </c>
      <c r="G163" s="2738">
        <f>$C163-SUM($D163:F163)</f>
        <v>0</v>
      </c>
      <c r="H163" s="2738">
        <f>$C163-SUM($D163:G163)</f>
        <v>0</v>
      </c>
      <c r="I163" s="2738">
        <f>$C163-SUM($D163:H163)</f>
        <v>0</v>
      </c>
      <c r="J163" s="2738">
        <f>$C163-SUM($D163:I163)</f>
        <v>0</v>
      </c>
      <c r="K163" s="2738">
        <f>$C163-SUM($D163:J163)</f>
        <v>0</v>
      </c>
      <c r="L163" s="2738">
        <f>$C163-SUM($D163:K163)</f>
        <v>0</v>
      </c>
      <c r="M163" s="2738">
        <f>$C163-SUM($D163:L163)</f>
        <v>0</v>
      </c>
      <c r="N163" s="2738">
        <f>$C163-SUM($D163:M163)</f>
        <v>0</v>
      </c>
      <c r="O163" s="2738">
        <f>$C163-SUM($D163:N163)</f>
        <v>0</v>
      </c>
      <c r="P163" s="2751">
        <f>$C163-SUM($D163:O163)</f>
        <v>0</v>
      </c>
    </row>
    <row r="164" spans="1:16">
      <c r="A164" s="2772" t="s">
        <v>172</v>
      </c>
      <c r="B164" s="2773"/>
      <c r="C164" s="2735">
        <f>审定现流表!D65</f>
        <v>0</v>
      </c>
      <c r="D164" s="2733"/>
      <c r="E164" s="2738">
        <f>$C164-SUM($D164:D164)</f>
        <v>0</v>
      </c>
      <c r="F164" s="2738">
        <f>$C164-SUM($D164:E164)</f>
        <v>0</v>
      </c>
      <c r="G164" s="2738">
        <f>$C164-SUM($D164:F164)</f>
        <v>0</v>
      </c>
      <c r="H164" s="2738">
        <f>$C164-SUM($D164:G164)</f>
        <v>0</v>
      </c>
      <c r="I164" s="2738">
        <f>$C164-SUM($D164:H164)</f>
        <v>0</v>
      </c>
      <c r="J164" s="2738">
        <f>$C164-SUM($D164:I164)</f>
        <v>0</v>
      </c>
      <c r="K164" s="2738">
        <f>$C164-SUM($D164:J164)</f>
        <v>0</v>
      </c>
      <c r="L164" s="2738">
        <f>$C164-SUM($D164:K164)</f>
        <v>0</v>
      </c>
      <c r="M164" s="2738">
        <f>$C164-SUM($D164:L164)</f>
        <v>0</v>
      </c>
      <c r="N164" s="2738">
        <f>$C164-SUM($D164:M164)</f>
        <v>0</v>
      </c>
      <c r="O164" s="2738">
        <f>$C164-SUM($D164:N164)</f>
        <v>0</v>
      </c>
      <c r="P164" s="2751">
        <f>$C164-SUM($D164:O164)</f>
        <v>0</v>
      </c>
    </row>
    <row r="165" spans="1:16">
      <c r="A165" s="2772" t="s">
        <v>173</v>
      </c>
      <c r="B165" s="2773"/>
      <c r="C165" s="2735">
        <f>审定现流表!D66</f>
        <v>0</v>
      </c>
      <c r="D165" s="2733"/>
      <c r="E165" s="2738">
        <f>$C165-SUM($D165:D165)</f>
        <v>0</v>
      </c>
      <c r="F165" s="2738">
        <f>$C165-SUM($D165:E165)</f>
        <v>0</v>
      </c>
      <c r="G165" s="2738">
        <f>$C165-SUM($D165:F165)</f>
        <v>0</v>
      </c>
      <c r="H165" s="2738">
        <f>$C165-SUM($D165:G165)</f>
        <v>0</v>
      </c>
      <c r="I165" s="2738">
        <f>$C165-SUM($D165:H165)</f>
        <v>0</v>
      </c>
      <c r="J165" s="2738">
        <f>$C165-SUM($D165:I165)</f>
        <v>0</v>
      </c>
      <c r="K165" s="2738">
        <f>$C165-SUM($D165:J165)</f>
        <v>0</v>
      </c>
      <c r="L165" s="2738">
        <f>$C165-SUM($D165:K165)</f>
        <v>0</v>
      </c>
      <c r="M165" s="2738">
        <f>$C165-SUM($D165:L165)</f>
        <v>0</v>
      </c>
      <c r="N165" s="2738">
        <f>$C165-SUM($D165:M165)</f>
        <v>0</v>
      </c>
      <c r="O165" s="2738">
        <f>$C165-SUM($D165:N165)</f>
        <v>0</v>
      </c>
      <c r="P165" s="2751">
        <f>$C165-SUM($D165:O165)</f>
        <v>0</v>
      </c>
    </row>
    <row r="166" spans="1:16">
      <c r="A166" s="2772" t="s">
        <v>174</v>
      </c>
      <c r="B166" s="2773"/>
      <c r="C166" s="2735">
        <f>审定现流表!D67</f>
        <v>0</v>
      </c>
      <c r="D166" s="2733"/>
      <c r="E166" s="2738">
        <f>$C166-SUM($D166:D166)</f>
        <v>0</v>
      </c>
      <c r="F166" s="2738">
        <f>$C166-SUM($D166:E166)</f>
        <v>0</v>
      </c>
      <c r="G166" s="2738">
        <f>$C166-SUM($D166:F166)</f>
        <v>0</v>
      </c>
      <c r="H166" s="2738">
        <f>$C166-SUM($D166:G166)</f>
        <v>0</v>
      </c>
      <c r="I166" s="2738">
        <f>$C166-SUM($D166:H166)</f>
        <v>0</v>
      </c>
      <c r="J166" s="2738">
        <f>$C166-SUM($D166:I166)</f>
        <v>0</v>
      </c>
      <c r="K166" s="2738">
        <f>$C166-SUM($D166:J166)</f>
        <v>0</v>
      </c>
      <c r="L166" s="2738">
        <f>$C166-SUM($D166:K166)</f>
        <v>0</v>
      </c>
      <c r="M166" s="2738">
        <f>$C166-SUM($D166:L166)</f>
        <v>0</v>
      </c>
      <c r="N166" s="2738">
        <f>$C166-SUM($D166:M166)</f>
        <v>0</v>
      </c>
      <c r="O166" s="2738">
        <f>$C166-SUM($D166:N166)</f>
        <v>0</v>
      </c>
      <c r="P166" s="2751">
        <f>$C166-SUM($D166:O166)</f>
        <v>0</v>
      </c>
    </row>
    <row r="167" spans="1:16">
      <c r="A167" s="2772" t="s">
        <v>175</v>
      </c>
      <c r="B167" s="2773"/>
      <c r="C167" s="2735">
        <f>审定现流表!D68</f>
        <v>-1647900.77</v>
      </c>
      <c r="D167" s="2733"/>
      <c r="E167" s="2738">
        <f>$C167-SUM($D167:D167)</f>
        <v>-1647900.77</v>
      </c>
      <c r="F167" s="2738">
        <f>$C167-SUM($D167:E167)</f>
        <v>0</v>
      </c>
      <c r="G167" s="2738">
        <f>$C167-SUM($D167:F167)</f>
        <v>0</v>
      </c>
      <c r="H167" s="2738">
        <f>$C167-SUM($D167:G167)</f>
        <v>0</v>
      </c>
      <c r="I167" s="2738">
        <f>$C167-SUM($D167:H167)</f>
        <v>0</v>
      </c>
      <c r="J167" s="2738">
        <f>$C167-SUM($D167:I167)</f>
        <v>0</v>
      </c>
      <c r="K167" s="2738">
        <f>$C167-SUM($D167:J167)</f>
        <v>0</v>
      </c>
      <c r="L167" s="2738">
        <f>$C167-SUM($D167:K167)</f>
        <v>0</v>
      </c>
      <c r="M167" s="2738">
        <f>$C167-SUM($D167:L167)</f>
        <v>0</v>
      </c>
      <c r="N167" s="2738">
        <f>$C167-SUM($D167:M167)</f>
        <v>0</v>
      </c>
      <c r="O167" s="2738">
        <f>$C167-SUM($D167:N167)</f>
        <v>0</v>
      </c>
      <c r="P167" s="2751">
        <f>$C167-SUM($D167:O167)</f>
        <v>0</v>
      </c>
    </row>
    <row r="168" spans="1:16">
      <c r="A168" s="2772" t="s">
        <v>176</v>
      </c>
      <c r="B168" s="2773"/>
      <c r="C168" s="2735">
        <f>审定现流表!D69</f>
        <v>201481369.14</v>
      </c>
      <c r="D168" s="2733"/>
      <c r="E168" s="2738">
        <f>$C168-SUM($D168:D168)</f>
        <v>201481369.14</v>
      </c>
      <c r="F168" s="2738">
        <f>$C168-SUM($D168:E168)</f>
        <v>0</v>
      </c>
      <c r="G168" s="2738">
        <f>$C168-SUM($D168:F168)</f>
        <v>0</v>
      </c>
      <c r="H168" s="2738">
        <f>$C168-SUM($D168:G168)</f>
        <v>0</v>
      </c>
      <c r="I168" s="2738">
        <f>$C168-SUM($D168:H168)</f>
        <v>0</v>
      </c>
      <c r="J168" s="2738">
        <f>$C168-SUM($D168:I168)</f>
        <v>0</v>
      </c>
      <c r="K168" s="2738">
        <f>$C168-SUM($D168:J168)</f>
        <v>0</v>
      </c>
      <c r="L168" s="2738">
        <f>$C168-SUM($D168:K168)</f>
        <v>0</v>
      </c>
      <c r="M168" s="2738">
        <f>$C168-SUM($D168:L168)</f>
        <v>0</v>
      </c>
      <c r="N168" s="2738">
        <f>$C168-SUM($D168:M168)</f>
        <v>0</v>
      </c>
      <c r="O168" s="2738">
        <f>$C168-SUM($D168:N168)</f>
        <v>0</v>
      </c>
      <c r="P168" s="2751">
        <f>$C168-SUM($D168:O168)</f>
        <v>0</v>
      </c>
    </row>
    <row r="169" spans="1:16">
      <c r="A169" s="2772" t="s">
        <v>177</v>
      </c>
      <c r="B169" s="2773"/>
      <c r="C169" s="2735">
        <f>审定现流表!D70</f>
        <v>-1620693.65</v>
      </c>
      <c r="D169" s="2733"/>
      <c r="E169" s="2738">
        <f>$C169-SUM($D169:D169)</f>
        <v>-1620693.65</v>
      </c>
      <c r="F169" s="2738">
        <f>$C169-SUM($D169:E169)</f>
        <v>0</v>
      </c>
      <c r="G169" s="2738">
        <f>$C169-SUM($D169:F169)</f>
        <v>0</v>
      </c>
      <c r="H169" s="2738">
        <f>$C169-SUM($D169:G169)</f>
        <v>0</v>
      </c>
      <c r="I169" s="2738">
        <f>$C169-SUM($D169:H169)</f>
        <v>0</v>
      </c>
      <c r="J169" s="2738">
        <f>$C169-SUM($D169:I169)</f>
        <v>0</v>
      </c>
      <c r="K169" s="2738">
        <f>$C169-SUM($D169:J169)</f>
        <v>0</v>
      </c>
      <c r="L169" s="2738">
        <f>$C169-SUM($D169:K169)</f>
        <v>0</v>
      </c>
      <c r="M169" s="2738">
        <f>$C169-SUM($D169:L169)</f>
        <v>0</v>
      </c>
      <c r="N169" s="2738">
        <f>$C169-SUM($D169:M169)</f>
        <v>0</v>
      </c>
      <c r="O169" s="2738">
        <f>$C169-SUM($D169:N169)</f>
        <v>0</v>
      </c>
      <c r="P169" s="2751">
        <f>$C169-SUM($D169:O169)</f>
        <v>0</v>
      </c>
    </row>
    <row r="170" spans="1:16">
      <c r="A170" s="2772" t="s">
        <v>178</v>
      </c>
      <c r="B170" s="2773"/>
      <c r="C170" s="2735">
        <f>审定现流表!D71</f>
        <v>0</v>
      </c>
      <c r="D170" s="2733"/>
      <c r="E170" s="2738">
        <f>$C170-SUM($D170:D170)</f>
        <v>0</v>
      </c>
      <c r="F170" s="2738">
        <f>$C170-SUM($D170:E170)</f>
        <v>0</v>
      </c>
      <c r="G170" s="2738">
        <f>$C170-SUM($D170:F170)</f>
        <v>0</v>
      </c>
      <c r="H170" s="2738">
        <f>$C170-SUM($D170:G170)</f>
        <v>0</v>
      </c>
      <c r="I170" s="2738">
        <f>$C170-SUM($D170:H170)</f>
        <v>0</v>
      </c>
      <c r="J170" s="2738">
        <f>$C170-SUM($D170:I170)</f>
        <v>0</v>
      </c>
      <c r="K170" s="2738">
        <f>$C170-SUM($D170:J170)</f>
        <v>0</v>
      </c>
      <c r="L170" s="2738">
        <f>$C170-SUM($D170:K170)</f>
        <v>0</v>
      </c>
      <c r="M170" s="2738">
        <f>$C170-SUM($D170:L170)</f>
        <v>0</v>
      </c>
      <c r="N170" s="2738">
        <f>$C170-SUM($D170:M170)</f>
        <v>0</v>
      </c>
      <c r="O170" s="2738">
        <f>$C170-SUM($D170:N170)</f>
        <v>0</v>
      </c>
      <c r="P170" s="2751">
        <f>$C170-SUM($D170:O170)</f>
        <v>0</v>
      </c>
    </row>
    <row r="171" spans="1:16">
      <c r="A171" s="2777" t="s">
        <v>179</v>
      </c>
      <c r="B171" s="2773"/>
      <c r="C171" s="2743">
        <f t="shared" ref="C171" si="67">ROUND(SUM(C155:C170),2)</f>
        <v>199235970.03</v>
      </c>
      <c r="D171" s="2744"/>
      <c r="E171" s="2744">
        <f t="shared" ref="E171:P171" si="68">ROUND(SUM(E155:E170),2)</f>
        <v>209826701.67</v>
      </c>
      <c r="F171" s="2744">
        <f t="shared" si="68"/>
        <v>0</v>
      </c>
      <c r="G171" s="2744">
        <f t="shared" si="68"/>
        <v>0</v>
      </c>
      <c r="H171" s="2744">
        <f t="shared" si="68"/>
        <v>0</v>
      </c>
      <c r="I171" s="2744">
        <f t="shared" si="68"/>
        <v>0</v>
      </c>
      <c r="J171" s="2744">
        <f t="shared" si="68"/>
        <v>0</v>
      </c>
      <c r="K171" s="2744">
        <f t="shared" si="68"/>
        <v>0</v>
      </c>
      <c r="L171" s="2744">
        <f t="shared" si="68"/>
        <v>0</v>
      </c>
      <c r="M171" s="2744">
        <f t="shared" si="68"/>
        <v>0</v>
      </c>
      <c r="N171" s="2744">
        <f t="shared" si="68"/>
        <v>0</v>
      </c>
      <c r="O171" s="2744">
        <f t="shared" si="68"/>
        <v>0</v>
      </c>
      <c r="P171" s="2870">
        <f t="shared" si="68"/>
        <v>0</v>
      </c>
    </row>
    <row r="172" spans="1:16">
      <c r="A172" s="2772"/>
      <c r="B172" s="2773"/>
      <c r="C172" s="2735"/>
      <c r="D172" s="2773"/>
      <c r="E172" s="2773"/>
      <c r="F172" s="2773"/>
      <c r="G172" s="2773"/>
      <c r="H172" s="2773"/>
      <c r="I172" s="2773"/>
      <c r="J172" s="2773"/>
      <c r="K172" s="2773"/>
      <c r="L172" s="2773"/>
      <c r="M172" s="2773"/>
      <c r="N172" s="2773"/>
      <c r="O172" s="2773"/>
      <c r="P172" s="2778"/>
    </row>
    <row r="173" spans="1:16">
      <c r="A173" s="2777" t="s">
        <v>180</v>
      </c>
      <c r="B173" s="2773"/>
      <c r="C173" s="2735"/>
      <c r="D173" s="2773"/>
      <c r="E173" s="2773"/>
      <c r="F173" s="2773"/>
      <c r="G173" s="2773"/>
      <c r="H173" s="2773"/>
      <c r="I173" s="2773"/>
      <c r="J173" s="2773"/>
      <c r="K173" s="2773"/>
      <c r="L173" s="2773"/>
      <c r="M173" s="2773"/>
      <c r="N173" s="2773"/>
      <c r="O173" s="2773"/>
      <c r="P173" s="2778"/>
    </row>
    <row r="174" spans="1:16">
      <c r="A174" s="2772" t="s">
        <v>181</v>
      </c>
      <c r="B174" s="2773"/>
      <c r="C174" s="2735">
        <f>审定现流表!D75</f>
        <v>0</v>
      </c>
      <c r="D174" s="2733"/>
      <c r="E174" s="2738">
        <f>$C174-SUM($D174:D174)</f>
        <v>0</v>
      </c>
      <c r="F174" s="2738">
        <f>$C174-SUM($D174:E174)</f>
        <v>0</v>
      </c>
      <c r="G174" s="2738">
        <f>$C174-SUM($D174:F174)</f>
        <v>0</v>
      </c>
      <c r="H174" s="2738">
        <f>$C174-SUM($D174:G174)</f>
        <v>0</v>
      </c>
      <c r="I174" s="2738">
        <f>$C174-SUM($D174:H174)</f>
        <v>0</v>
      </c>
      <c r="J174" s="2738">
        <f>$C174-SUM($D174:I174)</f>
        <v>0</v>
      </c>
      <c r="K174" s="2738">
        <f>$C174-SUM($D174:J174)</f>
        <v>0</v>
      </c>
      <c r="L174" s="2738">
        <f>$C174-SUM($D174:K174)</f>
        <v>0</v>
      </c>
      <c r="M174" s="2738">
        <f>$C174-SUM($D174:L174)</f>
        <v>0</v>
      </c>
      <c r="N174" s="2738">
        <f>$C174-SUM($D174:M174)</f>
        <v>0</v>
      </c>
      <c r="O174" s="2738">
        <f>$C174-SUM($D174:N174)</f>
        <v>0</v>
      </c>
      <c r="P174" s="2751">
        <f>$C174-SUM($D174:O174)</f>
        <v>0</v>
      </c>
    </row>
    <row r="175" spans="1:16">
      <c r="A175" s="2772" t="s">
        <v>182</v>
      </c>
      <c r="B175" s="2773"/>
      <c r="C175" s="2735">
        <f>审定现流表!D76</f>
        <v>0</v>
      </c>
      <c r="D175" s="2733"/>
      <c r="E175" s="2738">
        <f>$C175-SUM($D175:D175)</f>
        <v>0</v>
      </c>
      <c r="F175" s="2738">
        <f>$C175-SUM($D175:E175)</f>
        <v>0</v>
      </c>
      <c r="G175" s="2738">
        <f>$C175-SUM($D175:F175)</f>
        <v>0</v>
      </c>
      <c r="H175" s="2738">
        <f>$C175-SUM($D175:G175)</f>
        <v>0</v>
      </c>
      <c r="I175" s="2738">
        <f>$C175-SUM($D175:H175)</f>
        <v>0</v>
      </c>
      <c r="J175" s="2738">
        <f>$C175-SUM($D175:I175)</f>
        <v>0</v>
      </c>
      <c r="K175" s="2738">
        <f>$C175-SUM($D175:J175)</f>
        <v>0</v>
      </c>
      <c r="L175" s="2738">
        <f>$C175-SUM($D175:K175)</f>
        <v>0</v>
      </c>
      <c r="M175" s="2738">
        <f>$C175-SUM($D175:L175)</f>
        <v>0</v>
      </c>
      <c r="N175" s="2738">
        <f>$C175-SUM($D175:M175)</f>
        <v>0</v>
      </c>
      <c r="O175" s="2738">
        <f>$C175-SUM($D175:N175)</f>
        <v>0</v>
      </c>
      <c r="P175" s="2751">
        <f>$C175-SUM($D175:O175)</f>
        <v>0</v>
      </c>
    </row>
    <row r="176" spans="1:16">
      <c r="A176" s="2772" t="s">
        <v>183</v>
      </c>
      <c r="B176" s="2773"/>
      <c r="C176" s="2735">
        <f>审定现流表!D77</f>
        <v>0</v>
      </c>
      <c r="D176" s="2733"/>
      <c r="E176" s="2738">
        <f>$C176-SUM($D176:D176)</f>
        <v>0</v>
      </c>
      <c r="F176" s="2738">
        <f>$C176-SUM($D176:E176)</f>
        <v>0</v>
      </c>
      <c r="G176" s="2738">
        <f>$C176-SUM($D176:F176)</f>
        <v>0</v>
      </c>
      <c r="H176" s="2738">
        <f>$C176-SUM($D176:G176)</f>
        <v>0</v>
      </c>
      <c r="I176" s="2738">
        <f>$C176-SUM($D176:H176)</f>
        <v>0</v>
      </c>
      <c r="J176" s="2738">
        <f>$C176-SUM($D176:I176)</f>
        <v>0</v>
      </c>
      <c r="K176" s="2738">
        <f>$C176-SUM($D176:J176)</f>
        <v>0</v>
      </c>
      <c r="L176" s="2738">
        <f>$C176-SUM($D176:K176)</f>
        <v>0</v>
      </c>
      <c r="M176" s="2738">
        <f>$C176-SUM($D176:L176)</f>
        <v>0</v>
      </c>
      <c r="N176" s="2738">
        <f>$C176-SUM($D176:M176)</f>
        <v>0</v>
      </c>
      <c r="O176" s="2738">
        <f>$C176-SUM($D176:N176)</f>
        <v>0</v>
      </c>
      <c r="P176" s="2751">
        <f>$C176-SUM($D176:O176)</f>
        <v>0</v>
      </c>
    </row>
    <row r="177" spans="1:16">
      <c r="A177" s="2772"/>
      <c r="B177" s="2773"/>
      <c r="C177" s="2735"/>
      <c r="D177" s="2773"/>
      <c r="E177" s="2773"/>
      <c r="F177" s="2773"/>
      <c r="G177" s="2773"/>
      <c r="H177" s="2773"/>
      <c r="I177" s="2773"/>
      <c r="J177" s="2773"/>
      <c r="K177" s="2773"/>
      <c r="L177" s="2773"/>
      <c r="M177" s="2773"/>
      <c r="N177" s="2773"/>
      <c r="O177" s="2773"/>
      <c r="P177" s="2778"/>
    </row>
    <row r="178" spans="1:16">
      <c r="A178" s="2777" t="s">
        <v>184</v>
      </c>
      <c r="B178" s="2773"/>
      <c r="C178" s="2735"/>
      <c r="D178" s="2773"/>
      <c r="E178" s="2773"/>
      <c r="F178" s="2773"/>
      <c r="G178" s="2773"/>
      <c r="H178" s="2773"/>
      <c r="I178" s="2773"/>
      <c r="J178" s="2773"/>
      <c r="K178" s="2773"/>
      <c r="L178" s="2773"/>
      <c r="M178" s="2773"/>
      <c r="N178" s="2773"/>
      <c r="O178" s="2773"/>
      <c r="P178" s="2778"/>
    </row>
    <row r="179" spans="1:16">
      <c r="A179" s="2772" t="s">
        <v>185</v>
      </c>
      <c r="B179" s="2773"/>
      <c r="C179" s="2735">
        <f>审定现流表!D80</f>
        <v>76914775.62</v>
      </c>
      <c r="D179" s="2733"/>
      <c r="E179" s="2733"/>
      <c r="F179" s="2733"/>
      <c r="G179" s="2733"/>
      <c r="H179" s="2733"/>
      <c r="I179" s="2733"/>
      <c r="J179" s="2733"/>
      <c r="K179" s="2733"/>
      <c r="L179" s="2733"/>
      <c r="M179" s="2733"/>
      <c r="N179" s="2733"/>
      <c r="O179" s="2733"/>
      <c r="P179" s="2734"/>
    </row>
    <row r="180" spans="1:16">
      <c r="A180" s="2772" t="s">
        <v>186</v>
      </c>
      <c r="B180" s="2773"/>
      <c r="C180" s="2735">
        <f>审定现流表!D81</f>
        <v>66164760.35</v>
      </c>
      <c r="D180" s="2733"/>
      <c r="E180" s="2733"/>
      <c r="F180" s="2733"/>
      <c r="G180" s="2733"/>
      <c r="H180" s="2733"/>
      <c r="I180" s="2733"/>
      <c r="J180" s="2733"/>
      <c r="K180" s="2733"/>
      <c r="L180" s="2733"/>
      <c r="M180" s="2733"/>
      <c r="N180" s="2733"/>
      <c r="O180" s="2733"/>
      <c r="P180" s="2734"/>
    </row>
    <row r="181" spans="1:16">
      <c r="A181" s="2772" t="s">
        <v>187</v>
      </c>
      <c r="B181" s="2773"/>
      <c r="C181" s="2735">
        <f>审定现流表!D82</f>
        <v>0</v>
      </c>
      <c r="D181" s="2733"/>
      <c r="E181" s="2738">
        <f>$C181-SUM($D181:D181)</f>
        <v>0</v>
      </c>
      <c r="F181" s="2738">
        <f>$C181-SUM($D181:E181)</f>
        <v>0</v>
      </c>
      <c r="G181" s="2738">
        <f>$C181-SUM($D181:F181)</f>
        <v>0</v>
      </c>
      <c r="H181" s="2738">
        <f>$C181-SUM($D181:G181)</f>
        <v>0</v>
      </c>
      <c r="I181" s="2738">
        <f>$C181-SUM($D181:H181)</f>
        <v>0</v>
      </c>
      <c r="J181" s="2738">
        <f>$C181-SUM($D181:I181)</f>
        <v>0</v>
      </c>
      <c r="K181" s="2738">
        <f>$C181-SUM($D181:J181)</f>
        <v>0</v>
      </c>
      <c r="L181" s="2738">
        <f>$C181-SUM($D181:K181)</f>
        <v>0</v>
      </c>
      <c r="M181" s="2738">
        <f>$C181-SUM($D181:L181)</f>
        <v>0</v>
      </c>
      <c r="N181" s="2738">
        <f>$C181-SUM($D181:M181)</f>
        <v>0</v>
      </c>
      <c r="O181" s="2738">
        <f>$C181-SUM($D181:N181)</f>
        <v>0</v>
      </c>
      <c r="P181" s="2751">
        <f>$C181-SUM($D181:O181)</f>
        <v>0</v>
      </c>
    </row>
    <row r="182" spans="1:16">
      <c r="A182" s="2772" t="s">
        <v>188</v>
      </c>
      <c r="B182" s="2773"/>
      <c r="C182" s="2735">
        <f>审定现流表!D83</f>
        <v>0</v>
      </c>
      <c r="D182" s="2733"/>
      <c r="E182" s="2738">
        <f>$C182-SUM($D182:D182)</f>
        <v>0</v>
      </c>
      <c r="F182" s="2738">
        <f>$C182-SUM($D182:E182)</f>
        <v>0</v>
      </c>
      <c r="G182" s="2738">
        <f>$C182-SUM($D182:F182)</f>
        <v>0</v>
      </c>
      <c r="H182" s="2738">
        <f>$C182-SUM($D182:G182)</f>
        <v>0</v>
      </c>
      <c r="I182" s="2738">
        <f>$C182-SUM($D182:H182)</f>
        <v>0</v>
      </c>
      <c r="J182" s="2738">
        <f>$C182-SUM($D182:I182)</f>
        <v>0</v>
      </c>
      <c r="K182" s="2738">
        <f>$C182-SUM($D182:J182)</f>
        <v>0</v>
      </c>
      <c r="L182" s="2738">
        <f>$C182-SUM($D182:K182)</f>
        <v>0</v>
      </c>
      <c r="M182" s="2738">
        <f>$C182-SUM($D182:L182)</f>
        <v>0</v>
      </c>
      <c r="N182" s="2738">
        <f>$C182-SUM($D182:M182)</f>
        <v>0</v>
      </c>
      <c r="O182" s="2738">
        <f>$C182-SUM($D182:N182)</f>
        <v>0</v>
      </c>
      <c r="P182" s="2751">
        <f>$C182-SUM($D182:O182)</f>
        <v>0</v>
      </c>
    </row>
    <row r="183" ht="15" spans="1:16">
      <c r="A183" s="2781" t="s">
        <v>189</v>
      </c>
      <c r="B183" s="2782"/>
      <c r="C183" s="2867">
        <f t="shared" ref="C183" si="69">ROUND(C179-C180+C181-C182,2)</f>
        <v>10750015.27</v>
      </c>
      <c r="D183" s="2755"/>
      <c r="E183" s="2755">
        <f t="shared" ref="E183:P183" si="70">ROUND(E179-E180+E181-E182,2)</f>
        <v>0</v>
      </c>
      <c r="F183" s="2755">
        <f t="shared" si="70"/>
        <v>0</v>
      </c>
      <c r="G183" s="2755">
        <f t="shared" si="70"/>
        <v>0</v>
      </c>
      <c r="H183" s="2755">
        <f t="shared" si="70"/>
        <v>0</v>
      </c>
      <c r="I183" s="2755">
        <f t="shared" si="70"/>
        <v>0</v>
      </c>
      <c r="J183" s="2755">
        <f t="shared" si="70"/>
        <v>0</v>
      </c>
      <c r="K183" s="2755">
        <f t="shared" si="70"/>
        <v>0</v>
      </c>
      <c r="L183" s="2755">
        <f t="shared" si="70"/>
        <v>0</v>
      </c>
      <c r="M183" s="2755">
        <f t="shared" si="70"/>
        <v>0</v>
      </c>
      <c r="N183" s="2755">
        <f t="shared" si="70"/>
        <v>0</v>
      </c>
      <c r="O183" s="2755">
        <f t="shared" si="70"/>
        <v>0</v>
      </c>
      <c r="P183" s="2871">
        <f t="shared" si="70"/>
        <v>0</v>
      </c>
    </row>
    <row r="184" ht="15"/>
  </sheetData>
  <sheetProtection formatCells="0" formatColumns="0" formatRows="0" insertRows="0" insertHyperlinks="0" sort="0" autoFilter="0" pivotTables="0"/>
  <autoFilter ref="A5:P183">
    <extLst/>
  </autoFilter>
  <mergeCells count="6">
    <mergeCell ref="A53:A54"/>
    <mergeCell ref="A103:A104"/>
    <mergeCell ref="A152:A153"/>
    <mergeCell ref="B53:B54"/>
    <mergeCell ref="B103:B104"/>
    <mergeCell ref="B152:B153"/>
  </mergeCells>
  <conditionalFormatting sqref="A2 A101 A51">
    <cfRule type="cellIs" dxfId="1" priority="2" stopIfTrue="1" operator="notEqual">
      <formula>""</formula>
    </cfRule>
  </conditionalFormatting>
  <conditionalFormatting sqref="C2:P2 C101:P101 C150:P150 C51:P51">
    <cfRule type="cellIs" dxfId="1" priority="1" stopIfTrue="1" operator="notEqual">
      <formula>0</formula>
    </cfRule>
  </conditionalFormatting>
  <hyperlinks>
    <hyperlink ref="B23" location="报表附注!E3146" display="六十七"/>
    <hyperlink ref="B28" location="报表附注!E3158" display="六十七"/>
    <hyperlink ref="B14" location="报表附注!E3119" display="六十六"/>
    <hyperlink ref="B37" location="报表附注!E3182" display="六十八"/>
    <hyperlink ref="B42" location="报表附注!E3191" display="六十八"/>
    <hyperlink ref="B9" location="报表附注!E3146" display="六十六"/>
  </hyperlinks>
  <pageMargins left="0.7" right="0.7" top="0.75" bottom="0.75" header="0.3" footer="0.3"/>
  <headerFooter/>
  <ignoredErrors>
    <ignoredError sqref="P7" unlockedFormula="1"/>
  </ignoredErrors>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showGridLines="0" showZeros="0" topLeftCell="A34" workbookViewId="0">
      <selection activeCell="C54" sqref="C54"/>
    </sheetView>
  </sheetViews>
  <sheetFormatPr defaultColWidth="9" defaultRowHeight="14.25"/>
  <cols>
    <col min="1" max="1" width="36.875" customWidth="1"/>
    <col min="2" max="2" width="5.375" customWidth="1"/>
    <col min="3" max="4" width="12.125" customWidth="1"/>
    <col min="5" max="5" width="36.875" customWidth="1"/>
    <col min="6" max="6" width="5.375" customWidth="1"/>
    <col min="7" max="8" width="13.5" customWidth="1"/>
  </cols>
  <sheetData>
    <row r="1" ht="27.75" customHeight="1" spans="1:8">
      <c r="A1" s="2103" t="s">
        <v>190</v>
      </c>
      <c r="B1" s="2204"/>
      <c r="C1" s="2204"/>
      <c r="D1" s="2204"/>
      <c r="E1" s="2204"/>
      <c r="F1" s="2204"/>
      <c r="G1" s="2204"/>
      <c r="H1" s="2204"/>
    </row>
    <row r="2" ht="15" customHeight="1" spans="1:10">
      <c r="A2" s="2205" t="str">
        <f>IF(OR(C2&lt;&gt;0,D2&lt;&gt;0),"对应期间报表数不平，相差：","")</f>
        <v/>
      </c>
      <c r="B2" s="2205"/>
      <c r="C2" s="2105">
        <f>ROUND(C48-G48,2)</f>
        <v>0</v>
      </c>
      <c r="D2" s="2105">
        <f>ROUND(D48-H48,2)</f>
        <v>0</v>
      </c>
      <c r="E2" s="2108"/>
      <c r="F2" s="2136"/>
      <c r="G2" s="2206"/>
      <c r="H2" s="2207" t="s">
        <v>191</v>
      </c>
      <c r="J2" s="2351"/>
    </row>
    <row r="3" ht="15" customHeight="1" spans="1:10">
      <c r="A3" s="2208" t="str">
        <f>"编制单位："&amp;参数表!C3</f>
        <v>编制单位：深圳新阳蓝光能源管理科技股份有限公司</v>
      </c>
      <c r="B3" s="2208"/>
      <c r="C3" s="2208"/>
      <c r="D3" s="2208"/>
      <c r="E3" s="2856">
        <f>参数表!G7</f>
        <v>42735</v>
      </c>
      <c r="F3" s="2136"/>
      <c r="G3" s="2206"/>
      <c r="H3" s="2210" t="str">
        <f>"金额单位："&amp;参数表!F11</f>
        <v>金额单位：人民币元</v>
      </c>
      <c r="J3" s="2351"/>
    </row>
    <row r="4" ht="16.5" customHeight="1" spans="1:10">
      <c r="A4" s="2211" t="s">
        <v>192</v>
      </c>
      <c r="B4" s="2212" t="s">
        <v>62</v>
      </c>
      <c r="C4" s="2213" t="str">
        <f>IF(参数表!$C$12="本期间为特定年","年末余额","期末余额")</f>
        <v>年末余额</v>
      </c>
      <c r="D4" s="2213" t="str">
        <f>IF(参数表!$C$12="本期间为特定年","年初余额","期初余额")</f>
        <v>年初余额</v>
      </c>
      <c r="E4" s="2212" t="s">
        <v>193</v>
      </c>
      <c r="F4" s="2212" t="s">
        <v>62</v>
      </c>
      <c r="G4" s="2213" t="str">
        <f>C4</f>
        <v>年末余额</v>
      </c>
      <c r="H4" s="2214" t="str">
        <f>D4</f>
        <v>年初余额</v>
      </c>
      <c r="J4" s="2351"/>
    </row>
    <row r="5" ht="16.5" customHeight="1" spans="1:10">
      <c r="A5" s="2215"/>
      <c r="B5" s="2216"/>
      <c r="C5" s="2217"/>
      <c r="D5" s="2217"/>
      <c r="E5" s="2216"/>
      <c r="F5" s="2216"/>
      <c r="G5" s="2217"/>
      <c r="H5" s="2218"/>
      <c r="J5" s="2351"/>
    </row>
    <row r="6" ht="16.5" customHeight="1" spans="1:10">
      <c r="A6" s="2219" t="s">
        <v>194</v>
      </c>
      <c r="B6" s="2380"/>
      <c r="C6" s="2221"/>
      <c r="D6" s="2222"/>
      <c r="E6" s="2223" t="s">
        <v>195</v>
      </c>
      <c r="F6" s="2384"/>
      <c r="G6" s="2343"/>
      <c r="H6" s="2354"/>
      <c r="J6" s="2355"/>
    </row>
    <row r="7" ht="16.5" customHeight="1" spans="1:8">
      <c r="A7" s="2226" t="s">
        <v>196</v>
      </c>
      <c r="B7" s="2857"/>
      <c r="C7" s="2858">
        <v>203715132.36</v>
      </c>
      <c r="D7" s="2858">
        <v>76914775.62</v>
      </c>
      <c r="E7" s="2228" t="s">
        <v>197</v>
      </c>
      <c r="F7" s="2857"/>
      <c r="G7" s="2858">
        <v>4850000</v>
      </c>
      <c r="H7" s="2859"/>
    </row>
    <row r="8" ht="16.5" customHeight="1" spans="1:8">
      <c r="A8" s="2226" t="s">
        <v>198</v>
      </c>
      <c r="B8" s="2860"/>
      <c r="C8" s="2858"/>
      <c r="D8" s="2858"/>
      <c r="E8" s="2228" t="s">
        <v>199</v>
      </c>
      <c r="F8" s="2861"/>
      <c r="G8" s="2858"/>
      <c r="H8" s="2859"/>
    </row>
    <row r="9" ht="16.5" customHeight="1" spans="1:8">
      <c r="A9" s="2226" t="s">
        <v>200</v>
      </c>
      <c r="B9" s="2860"/>
      <c r="C9" s="2858"/>
      <c r="D9" s="2858"/>
      <c r="E9" s="2228" t="s">
        <v>201</v>
      </c>
      <c r="F9" s="2857"/>
      <c r="G9" s="2858">
        <v>4117111</v>
      </c>
      <c r="H9" s="2859">
        <v>7000000</v>
      </c>
    </row>
    <row r="10" ht="16.5" customHeight="1" spans="1:8">
      <c r="A10" s="2226" t="s">
        <v>202</v>
      </c>
      <c r="B10" s="2857"/>
      <c r="C10" s="2858">
        <v>28412133.56</v>
      </c>
      <c r="D10" s="2858">
        <v>32360406.92</v>
      </c>
      <c r="E10" s="2228" t="s">
        <v>203</v>
      </c>
      <c r="F10" s="2862"/>
      <c r="G10" s="2858">
        <v>41707145.22</v>
      </c>
      <c r="H10" s="2859">
        <v>16368470.98</v>
      </c>
    </row>
    <row r="11" ht="16.5" customHeight="1" spans="1:8">
      <c r="A11" s="2226" t="s">
        <v>204</v>
      </c>
      <c r="B11" s="2857"/>
      <c r="C11" s="2858">
        <v>1579739.99</v>
      </c>
      <c r="D11" s="2858">
        <v>2096781.42</v>
      </c>
      <c r="E11" s="2228" t="s">
        <v>205</v>
      </c>
      <c r="F11" s="2862"/>
      <c r="G11" s="2858"/>
      <c r="H11" s="2859">
        <v>4711102.57</v>
      </c>
    </row>
    <row r="12" ht="16.5" customHeight="1" spans="1:8">
      <c r="A12" s="2226" t="s">
        <v>206</v>
      </c>
      <c r="B12" s="2857"/>
      <c r="C12" s="2858">
        <v>5230925.94</v>
      </c>
      <c r="D12" s="2858">
        <v>5230925.94</v>
      </c>
      <c r="E12" s="2228" t="s">
        <v>207</v>
      </c>
      <c r="F12" s="2862"/>
      <c r="G12" s="2858">
        <v>1416018.5</v>
      </c>
      <c r="H12" s="2859">
        <v>1116508.51</v>
      </c>
    </row>
    <row r="13" ht="16.5" customHeight="1" spans="1:8">
      <c r="A13" s="2226" t="s">
        <v>208</v>
      </c>
      <c r="B13" s="2860"/>
      <c r="C13" s="2858"/>
      <c r="D13" s="2858"/>
      <c r="E13" s="2228" t="s">
        <v>209</v>
      </c>
      <c r="F13" s="2862"/>
      <c r="G13" s="2858">
        <v>8795980.05</v>
      </c>
      <c r="H13" s="2859">
        <v>5639504.07</v>
      </c>
    </row>
    <row r="14" ht="16.5" customHeight="1" spans="1:8">
      <c r="A14" s="2226" t="s">
        <v>210</v>
      </c>
      <c r="B14" s="2857"/>
      <c r="C14" s="2858">
        <v>16091622.43</v>
      </c>
      <c r="D14" s="2858">
        <v>11522921.26</v>
      </c>
      <c r="E14" s="2228" t="s">
        <v>211</v>
      </c>
      <c r="F14" s="2861"/>
      <c r="G14" s="2858">
        <v>120815.96</v>
      </c>
      <c r="H14" s="2859">
        <v>151896.35</v>
      </c>
    </row>
    <row r="15" ht="16.5" customHeight="1" spans="1:8">
      <c r="A15" s="2226" t="s">
        <v>212</v>
      </c>
      <c r="B15" s="2857"/>
      <c r="C15" s="2858">
        <v>31962413.89</v>
      </c>
      <c r="D15" s="2858">
        <v>9826768.95</v>
      </c>
      <c r="E15" s="2228" t="s">
        <v>213</v>
      </c>
      <c r="F15" s="2861"/>
      <c r="G15" s="2858"/>
      <c r="H15" s="2859"/>
    </row>
    <row r="16" ht="16.5" customHeight="1" spans="1:8">
      <c r="A16" s="2226" t="s">
        <v>214</v>
      </c>
      <c r="B16" s="2857"/>
      <c r="C16" s="2858">
        <v>10518611.64</v>
      </c>
      <c r="D16" s="2858">
        <v>2480418.94</v>
      </c>
      <c r="E16" s="2228" t="s">
        <v>215</v>
      </c>
      <c r="F16" s="2862"/>
      <c r="G16" s="2858">
        <v>18955150.91</v>
      </c>
      <c r="H16" s="2859">
        <v>2042598</v>
      </c>
    </row>
    <row r="17" ht="16.5" customHeight="1" spans="1:8">
      <c r="A17" s="2226" t="s">
        <v>216</v>
      </c>
      <c r="B17" s="2860"/>
      <c r="C17" s="2858">
        <v>2044868.72</v>
      </c>
      <c r="D17" s="2858">
        <v>893168.56</v>
      </c>
      <c r="E17" s="2228" t="s">
        <v>217</v>
      </c>
      <c r="F17" s="2862"/>
      <c r="G17" s="2858">
        <v>6557196.07</v>
      </c>
      <c r="H17" s="2859">
        <v>6606039.24</v>
      </c>
    </row>
    <row r="18" ht="16.5" customHeight="1" spans="1:8">
      <c r="A18" s="2226" t="s">
        <v>218</v>
      </c>
      <c r="B18" s="2860"/>
      <c r="C18" s="2858"/>
      <c r="D18" s="2858"/>
      <c r="E18" s="2228" t="s">
        <v>219</v>
      </c>
      <c r="F18" s="2861"/>
      <c r="G18" s="2858"/>
      <c r="H18" s="2859"/>
    </row>
    <row r="19" ht="16.5" customHeight="1" spans="1:8">
      <c r="A19" s="2231" t="s">
        <v>220</v>
      </c>
      <c r="B19" s="2232"/>
      <c r="C19" s="2344">
        <f>ROUND(SUM(C7:C18),2)</f>
        <v>299555448.53</v>
      </c>
      <c r="D19" s="2344">
        <f>ROUND(SUM(D7:D18),2)</f>
        <v>141326167.61</v>
      </c>
      <c r="E19" s="2228" t="s">
        <v>221</v>
      </c>
      <c r="F19" s="2861"/>
      <c r="G19" s="2858"/>
      <c r="H19" s="2859"/>
    </row>
    <row r="20" ht="16.5" customHeight="1" spans="1:8">
      <c r="A20" s="2233"/>
      <c r="B20" s="2381"/>
      <c r="C20" s="2222"/>
      <c r="D20" s="2222"/>
      <c r="E20" s="2235" t="s">
        <v>222</v>
      </c>
      <c r="F20" s="2232"/>
      <c r="G20" s="2344">
        <f>ROUND(SUM(G7:G19),2)</f>
        <v>86519417.71</v>
      </c>
      <c r="H20" s="2357">
        <f>ROUND(SUM(H7:H19),2)</f>
        <v>43636119.72</v>
      </c>
    </row>
    <row r="21" ht="16.5" customHeight="1" spans="1:8">
      <c r="A21" s="2219" t="s">
        <v>223</v>
      </c>
      <c r="B21" s="2380"/>
      <c r="C21" s="2222"/>
      <c r="D21" s="2222"/>
      <c r="E21" s="2238"/>
      <c r="F21" s="2385"/>
      <c r="G21" s="2239"/>
      <c r="H21" s="2229"/>
    </row>
    <row r="22" ht="16.5" customHeight="1" spans="1:8">
      <c r="A22" s="2226" t="s">
        <v>224</v>
      </c>
      <c r="B22" s="2860"/>
      <c r="C22" s="2858"/>
      <c r="D22" s="2858"/>
      <c r="E22" s="2223" t="s">
        <v>225</v>
      </c>
      <c r="F22" s="2385"/>
      <c r="G22" s="2240"/>
      <c r="H22" s="2229"/>
    </row>
    <row r="23" ht="16.5" customHeight="1" spans="1:8">
      <c r="A23" s="2226" t="s">
        <v>226</v>
      </c>
      <c r="B23" s="2860"/>
      <c r="C23" s="2858"/>
      <c r="D23" s="2858"/>
      <c r="E23" s="2228" t="s">
        <v>227</v>
      </c>
      <c r="F23" s="2862"/>
      <c r="G23" s="2858">
        <v>47832592.6</v>
      </c>
      <c r="H23" s="2859">
        <v>65827407.41</v>
      </c>
    </row>
    <row r="24" ht="16.5" customHeight="1" spans="1:8">
      <c r="A24" s="2226" t="s">
        <v>228</v>
      </c>
      <c r="B24" s="2857"/>
      <c r="C24" s="2858">
        <v>77469455.73</v>
      </c>
      <c r="D24" s="2858">
        <v>11167882.74</v>
      </c>
      <c r="E24" s="2228" t="s">
        <v>229</v>
      </c>
      <c r="F24" s="2861"/>
      <c r="G24" s="2858"/>
      <c r="H24" s="2859"/>
    </row>
    <row r="25" ht="16.5" customHeight="1" spans="1:8">
      <c r="A25" s="2226" t="s">
        <v>230</v>
      </c>
      <c r="B25" s="2857"/>
      <c r="C25" s="2858">
        <v>4000000</v>
      </c>
      <c r="D25" s="2858">
        <v>4000000</v>
      </c>
      <c r="E25" s="2228" t="s">
        <v>231</v>
      </c>
      <c r="F25" s="2862"/>
      <c r="G25" s="2858">
        <v>12375398.73</v>
      </c>
      <c r="H25" s="2859">
        <v>18932594.8</v>
      </c>
    </row>
    <row r="26" ht="16.5" customHeight="1" spans="1:8">
      <c r="A26" s="2226" t="s">
        <v>232</v>
      </c>
      <c r="B26" s="2860"/>
      <c r="C26" s="2858"/>
      <c r="D26" s="2858"/>
      <c r="E26" s="2228" t="s">
        <v>233</v>
      </c>
      <c r="F26" s="2861"/>
      <c r="G26" s="2858"/>
      <c r="H26" s="2859"/>
    </row>
    <row r="27" ht="16.5" customHeight="1" spans="1:8">
      <c r="A27" s="2226" t="s">
        <v>234</v>
      </c>
      <c r="B27" s="2857"/>
      <c r="C27" s="2858">
        <v>63138192.37</v>
      </c>
      <c r="D27" s="2858">
        <v>67613790.3</v>
      </c>
      <c r="E27" s="2228" t="s">
        <v>235</v>
      </c>
      <c r="F27" s="2862"/>
      <c r="G27" s="2858"/>
      <c r="H27" s="2859">
        <v>450190.65</v>
      </c>
    </row>
    <row r="28" ht="16.5" customHeight="1" spans="1:8">
      <c r="A28" s="2226" t="s">
        <v>236</v>
      </c>
      <c r="B28" s="2857"/>
      <c r="C28" s="2858">
        <v>50697993.93</v>
      </c>
      <c r="D28" s="2858">
        <v>2327419.91</v>
      </c>
      <c r="E28" s="2228" t="s">
        <v>237</v>
      </c>
      <c r="F28" s="2861"/>
      <c r="G28" s="2858"/>
      <c r="H28" s="2859"/>
    </row>
    <row r="29" ht="16.5" customHeight="1" spans="1:8">
      <c r="A29" s="2226" t="s">
        <v>238</v>
      </c>
      <c r="B29" s="2860"/>
      <c r="C29" s="2858"/>
      <c r="D29" s="2858"/>
      <c r="E29" s="2228" t="s">
        <v>239</v>
      </c>
      <c r="F29" s="2861"/>
      <c r="G29" s="2858"/>
      <c r="H29" s="2859"/>
    </row>
    <row r="30" ht="16.5" customHeight="1" spans="1:8">
      <c r="A30" s="2226" t="s">
        <v>240</v>
      </c>
      <c r="B30" s="2860"/>
      <c r="C30" s="2858"/>
      <c r="D30" s="2858"/>
      <c r="E30" s="2863" t="s">
        <v>241</v>
      </c>
      <c r="F30" s="2862"/>
      <c r="G30" s="2858">
        <v>3973515.53</v>
      </c>
      <c r="H30" s="2859">
        <v>2082524</v>
      </c>
    </row>
    <row r="31" ht="16.5" customHeight="1" spans="1:8">
      <c r="A31" s="2226" t="s">
        <v>242</v>
      </c>
      <c r="B31" s="2860"/>
      <c r="C31" s="2858"/>
      <c r="D31" s="2858"/>
      <c r="E31" s="2241" t="s">
        <v>243</v>
      </c>
      <c r="F31" s="2385"/>
      <c r="G31" s="2344">
        <f>ROUND(SUM(G23:G30),2)</f>
        <v>64181506.86</v>
      </c>
      <c r="H31" s="2357">
        <f>ROUND(SUM(H23:H30),2)</f>
        <v>87292716.86</v>
      </c>
    </row>
    <row r="32" ht="16.5" customHeight="1" spans="1:8">
      <c r="A32" s="2226" t="s">
        <v>244</v>
      </c>
      <c r="B32" s="2860"/>
      <c r="C32" s="2858"/>
      <c r="D32" s="2858"/>
      <c r="E32" s="2238"/>
      <c r="F32" s="2385"/>
      <c r="G32" s="2239"/>
      <c r="H32" s="2229"/>
    </row>
    <row r="33" ht="16.5" customHeight="1" spans="1:8">
      <c r="A33" s="2226" t="s">
        <v>245</v>
      </c>
      <c r="B33" s="2857"/>
      <c r="C33" s="2858">
        <v>10000</v>
      </c>
      <c r="D33" s="2858">
        <v>16000</v>
      </c>
      <c r="E33" s="2241" t="s">
        <v>246</v>
      </c>
      <c r="F33" s="2385"/>
      <c r="G33" s="2344">
        <f>ROUND(G20+G31,2)</f>
        <v>150700924.57</v>
      </c>
      <c r="H33" s="2357">
        <f>ROUND(H20+H31,2)</f>
        <v>130928836.58</v>
      </c>
    </row>
    <row r="34" ht="16.5" customHeight="1" spans="1:8">
      <c r="A34" s="2226" t="s">
        <v>247</v>
      </c>
      <c r="B34" s="2860"/>
      <c r="C34" s="2858"/>
      <c r="D34" s="2858"/>
      <c r="E34" s="2238"/>
      <c r="F34" s="2385"/>
      <c r="G34" s="2222"/>
      <c r="H34" s="2229"/>
    </row>
    <row r="35" ht="16.5" customHeight="1" spans="1:8">
      <c r="A35" s="2226" t="s">
        <v>248</v>
      </c>
      <c r="B35" s="2860"/>
      <c r="C35" s="2858"/>
      <c r="D35" s="2858"/>
      <c r="E35" s="2242" t="s">
        <v>249</v>
      </c>
      <c r="F35" s="2385"/>
      <c r="G35" s="2222"/>
      <c r="H35" s="2229"/>
    </row>
    <row r="36" ht="16.5" customHeight="1" spans="1:8">
      <c r="A36" s="2226" t="s">
        <v>250</v>
      </c>
      <c r="B36" s="2857"/>
      <c r="C36" s="2858">
        <v>170458.45</v>
      </c>
      <c r="D36" s="2858">
        <v>378415.02</v>
      </c>
      <c r="E36" s="2228" t="s">
        <v>251</v>
      </c>
      <c r="F36" s="2862"/>
      <c r="G36" s="2858">
        <v>137800000</v>
      </c>
      <c r="H36" s="2859">
        <v>120000000</v>
      </c>
    </row>
    <row r="37" ht="16.5" customHeight="1" spans="1:8">
      <c r="A37" s="2226" t="s">
        <v>252</v>
      </c>
      <c r="B37" s="2857"/>
      <c r="C37" s="2858">
        <v>785866.71</v>
      </c>
      <c r="D37" s="2858">
        <v>810692.23</v>
      </c>
      <c r="E37" s="2228" t="s">
        <v>253</v>
      </c>
      <c r="F37" s="2862"/>
      <c r="G37" s="2858">
        <v>218598931.26</v>
      </c>
      <c r="H37" s="2859">
        <v>5756259.26</v>
      </c>
    </row>
    <row r="38" ht="16.5" customHeight="1" spans="1:8">
      <c r="A38" s="2226" t="s">
        <v>254</v>
      </c>
      <c r="B38" s="2857"/>
      <c r="C38" s="2858"/>
      <c r="D38" s="2858"/>
      <c r="E38" s="2228" t="s">
        <v>255</v>
      </c>
      <c r="F38" s="2861"/>
      <c r="G38" s="2858"/>
      <c r="H38" s="2859"/>
    </row>
    <row r="39" ht="16.5" customHeight="1" spans="1:8">
      <c r="A39" s="2864"/>
      <c r="B39" s="2860"/>
      <c r="C39" s="2858"/>
      <c r="D39" s="2858"/>
      <c r="E39" s="2228" t="s">
        <v>256</v>
      </c>
      <c r="F39" s="2862"/>
      <c r="G39" s="2858"/>
      <c r="H39" s="2859"/>
    </row>
    <row r="40" ht="16.5" customHeight="1" spans="1:8">
      <c r="A40" s="2231" t="s">
        <v>257</v>
      </c>
      <c r="B40" s="2381"/>
      <c r="C40" s="2344">
        <f>ROUND(SUM(C22:C39),2)</f>
        <v>196271967.19</v>
      </c>
      <c r="D40" s="2344">
        <f>ROUND(SUM(D22:D39),2)</f>
        <v>86314200.2</v>
      </c>
      <c r="E40" s="2228" t="s">
        <v>258</v>
      </c>
      <c r="F40" s="2862"/>
      <c r="G40" s="2858">
        <v>-11272440.11</v>
      </c>
      <c r="H40" s="2859">
        <v>-29044728.03</v>
      </c>
    </row>
    <row r="41" ht="16.5" customHeight="1" spans="1:8">
      <c r="A41" s="2243"/>
      <c r="B41" s="2381"/>
      <c r="C41" s="2222"/>
      <c r="D41" s="2222"/>
      <c r="E41" s="2228" t="s">
        <v>259</v>
      </c>
      <c r="F41" s="2861"/>
      <c r="G41" s="2858"/>
      <c r="H41" s="2859"/>
    </row>
    <row r="42" ht="16.5" customHeight="1" spans="1:8">
      <c r="A42" s="2243"/>
      <c r="B42" s="2381"/>
      <c r="C42" s="2222"/>
      <c r="D42" s="2222"/>
      <c r="E42" s="2228" t="s">
        <v>260</v>
      </c>
      <c r="F42" s="2861"/>
      <c r="G42" s="2858"/>
      <c r="H42" s="2859"/>
    </row>
    <row r="43" ht="17.25" hidden="1" customHeight="1" spans="1:8">
      <c r="A43" s="2243"/>
      <c r="B43" s="2232"/>
      <c r="C43" s="2222"/>
      <c r="D43" s="2222"/>
      <c r="E43" s="2241" t="s">
        <v>261</v>
      </c>
      <c r="F43" s="2241"/>
      <c r="G43" s="2344">
        <f>ROUND(SUM(G36:G42)-2*G38,2)</f>
        <v>345126491.15</v>
      </c>
      <c r="H43" s="2357">
        <f>ROUND(SUM(H36:H42)-2*H38,2)</f>
        <v>96711531.23</v>
      </c>
    </row>
    <row r="44" ht="17.25" hidden="1" customHeight="1" spans="1:8">
      <c r="A44" s="2243"/>
      <c r="B44" s="2381"/>
      <c r="C44" s="2222"/>
      <c r="D44" s="2222"/>
      <c r="E44" s="2238"/>
      <c r="F44" s="2385"/>
      <c r="G44" s="2239"/>
      <c r="H44" s="2229"/>
    </row>
    <row r="45" ht="17.25" hidden="1" customHeight="1" spans="1:8">
      <c r="A45" s="2243"/>
      <c r="B45" s="2381"/>
      <c r="C45" s="2222"/>
      <c r="D45" s="2222"/>
      <c r="E45" s="2228" t="s">
        <v>262</v>
      </c>
      <c r="F45" s="2865"/>
      <c r="G45" s="2245"/>
      <c r="H45" s="2246"/>
    </row>
    <row r="46" ht="16.5" customHeight="1" spans="1:8">
      <c r="A46" s="2243"/>
      <c r="B46" s="2381"/>
      <c r="C46" s="2222"/>
      <c r="D46" s="2222"/>
      <c r="E46" s="2241" t="s">
        <v>263</v>
      </c>
      <c r="F46" s="2241"/>
      <c r="G46" s="2344">
        <f>ROUND(G43+G45,2)</f>
        <v>345126491.15</v>
      </c>
      <c r="H46" s="2357">
        <f>ROUND(H43+H45,2)</f>
        <v>96711531.23</v>
      </c>
    </row>
    <row r="47" ht="16.5" customHeight="1" spans="1:8">
      <c r="A47" s="2243"/>
      <c r="B47" s="2381"/>
      <c r="C47" s="2222"/>
      <c r="D47" s="2222"/>
      <c r="E47" s="2238"/>
      <c r="F47" s="2385"/>
      <c r="G47" s="2222"/>
      <c r="H47" s="2229"/>
    </row>
    <row r="48" ht="16.5" customHeight="1" spans="1:8">
      <c r="A48" s="2247" t="s">
        <v>264</v>
      </c>
      <c r="B48" s="2248"/>
      <c r="C48" s="2345">
        <f>ROUND(C19+C40,2)</f>
        <v>495827415.72</v>
      </c>
      <c r="D48" s="2345">
        <f>ROUND(D19+D40,2)</f>
        <v>227640367.81</v>
      </c>
      <c r="E48" s="2250" t="s">
        <v>265</v>
      </c>
      <c r="F48" s="2250"/>
      <c r="G48" s="2345">
        <f>ROUND(G33+G46,2)</f>
        <v>495827415.72</v>
      </c>
      <c r="H48" s="2382">
        <f>ROUND(H33+H46,2)</f>
        <v>227640367.81</v>
      </c>
    </row>
    <row r="49" ht="15"/>
  </sheetData>
  <sheetProtection password="CF6E" sheet="1" objects="1" scenarios="1"/>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354330708661417" right="0.196850393700787" top="0.36" bottom="0.3" header="0.275590551181102" footer="0.21"/>
  <pageSetup paperSize="9" orientation="portrait" blackAndWhite="1"/>
  <headerFooter alignWithMargins="0">
    <oddHeader>&amp;L&amp;10未审报表：</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showGridLines="0" showZeros="0" zoomScale="90" zoomScaleNormal="90" topLeftCell="A28" workbookViewId="0">
      <selection activeCell="C38" sqref="C38"/>
    </sheetView>
  </sheetViews>
  <sheetFormatPr defaultColWidth="9" defaultRowHeight="14.25" outlineLevelCol="3"/>
  <cols>
    <col min="1" max="1" width="38.625" customWidth="1"/>
    <col min="3" max="4" width="17" customWidth="1"/>
  </cols>
  <sheetData>
    <row r="1" ht="25.5" spans="1:4">
      <c r="A1" s="2134" t="s">
        <v>60</v>
      </c>
      <c r="B1" s="2134"/>
      <c r="C1" s="2134"/>
      <c r="D1" s="2134"/>
    </row>
    <row r="2" ht="21" customHeight="1" spans="1:4">
      <c r="A2" s="2170">
        <f>IF(OR(C2&lt;&gt;0,D2&lt;&gt;"会企02表"),"对应列未分配利润和资产负债表不符，相差：",0)</f>
        <v>0</v>
      </c>
      <c r="B2" s="2171"/>
      <c r="C2" s="2845">
        <f>ROUND(C39-未审资负表!G40,2)</f>
        <v>0</v>
      </c>
      <c r="D2" s="2846" t="str">
        <f>IF(ROUND(D39-未审资负表!H40,2)&lt;&gt;0,ROUND(D39-未审资负表!H40,2),"会企02表")</f>
        <v>会企02表</v>
      </c>
    </row>
    <row r="3" ht="21" customHeight="1" spans="1:4">
      <c r="A3" s="2170" t="str">
        <f>"编制单位："&amp;参数表!C3</f>
        <v>编制单位：深圳新阳蓝光能源管理科技股份有限公司</v>
      </c>
      <c r="B3" s="2173" t="str">
        <f>参数表!D7</f>
        <v>2016年度</v>
      </c>
      <c r="C3" s="2171"/>
      <c r="D3" s="2174" t="str">
        <f>"金额单位："&amp;参数表!F11</f>
        <v>金额单位：人民币元</v>
      </c>
    </row>
    <row r="4" ht="15" spans="1:4">
      <c r="A4" s="2175" t="s">
        <v>61</v>
      </c>
      <c r="B4" s="2176" t="s">
        <v>62</v>
      </c>
      <c r="C4" s="2176" t="str">
        <f>IF(参数表!$C$12="本期间为特定年","本年金额","本期金额")</f>
        <v>本年金额</v>
      </c>
      <c r="D4" s="2177" t="str">
        <f>IF(参数表!$C$12="本期间为特定年","上年金额","上期金额")</f>
        <v>上年金额</v>
      </c>
    </row>
    <row r="5" spans="1:4">
      <c r="A5" s="2178"/>
      <c r="B5" s="2179"/>
      <c r="C5" s="2179"/>
      <c r="D5" s="2180"/>
    </row>
    <row r="6" ht="21" customHeight="1" spans="1:4">
      <c r="A6" s="2847" t="s">
        <v>77</v>
      </c>
      <c r="B6" s="2848"/>
      <c r="C6" s="2192">
        <v>124397272.16</v>
      </c>
      <c r="D6" s="2192">
        <v>57514283.18</v>
      </c>
    </row>
    <row r="7" ht="21" customHeight="1" spans="1:4">
      <c r="A7" s="2514" t="s">
        <v>79</v>
      </c>
      <c r="B7" s="2848"/>
      <c r="C7" s="2192">
        <v>60105468.68</v>
      </c>
      <c r="D7" s="2192">
        <v>29364509.85</v>
      </c>
    </row>
    <row r="8" ht="21" customHeight="1" spans="1:4">
      <c r="A8" s="2514" t="s">
        <v>266</v>
      </c>
      <c r="B8" s="2848"/>
      <c r="C8" s="2192">
        <v>373643.83</v>
      </c>
      <c r="D8" s="2192">
        <v>242593.74</v>
      </c>
    </row>
    <row r="9" ht="21" customHeight="1" spans="1:4">
      <c r="A9" s="2514" t="s">
        <v>82</v>
      </c>
      <c r="B9" s="2848"/>
      <c r="C9" s="2192">
        <v>11918966.31</v>
      </c>
      <c r="D9" s="2192">
        <v>11911652.27</v>
      </c>
    </row>
    <row r="10" ht="21" customHeight="1" spans="1:4">
      <c r="A10" s="2514" t="s">
        <v>84</v>
      </c>
      <c r="B10" s="2848"/>
      <c r="C10" s="2192">
        <v>13092697.23</v>
      </c>
      <c r="D10" s="2192">
        <v>18616301.28</v>
      </c>
    </row>
    <row r="11" ht="21" customHeight="1" spans="1:4">
      <c r="A11" s="2514" t="s">
        <v>85</v>
      </c>
      <c r="B11" s="2848"/>
      <c r="C11" s="2192">
        <v>17440214.47</v>
      </c>
      <c r="D11" s="2192">
        <v>-298343.11</v>
      </c>
    </row>
    <row r="12" ht="21" customHeight="1" spans="1:4">
      <c r="A12" s="2514" t="s">
        <v>86</v>
      </c>
      <c r="B12" s="2848"/>
      <c r="C12" s="2192">
        <v>1895849.54</v>
      </c>
      <c r="D12" s="2192">
        <v>5158184.12</v>
      </c>
    </row>
    <row r="13" ht="21" customHeight="1" spans="1:4">
      <c r="A13" s="2514" t="s">
        <v>88</v>
      </c>
      <c r="B13" s="2199"/>
      <c r="C13" s="2192"/>
      <c r="D13" s="2193"/>
    </row>
    <row r="14" ht="21" customHeight="1" spans="1:4">
      <c r="A14" s="2514" t="s">
        <v>90</v>
      </c>
      <c r="B14" s="2199"/>
      <c r="C14" s="2192"/>
      <c r="D14" s="2193"/>
    </row>
    <row r="15" ht="21" customHeight="1" spans="1:4">
      <c r="A15" s="2514" t="s">
        <v>92</v>
      </c>
      <c r="B15" s="2199"/>
      <c r="C15" s="2192"/>
      <c r="D15" s="2193"/>
    </row>
    <row r="16" ht="21" customHeight="1" spans="1:4">
      <c r="A16" s="2514" t="s">
        <v>267</v>
      </c>
      <c r="B16" s="2199"/>
      <c r="C16" s="2192"/>
      <c r="D16" s="2193"/>
    </row>
    <row r="17" ht="21" customHeight="1" spans="1:4">
      <c r="A17" s="2514" t="s">
        <v>93</v>
      </c>
      <c r="B17" s="2199"/>
      <c r="C17" s="2192"/>
      <c r="D17" s="2193"/>
    </row>
    <row r="18" ht="21" customHeight="1" spans="1:4">
      <c r="A18" s="2514" t="s">
        <v>268</v>
      </c>
      <c r="B18" s="2199"/>
      <c r="C18" s="2192"/>
      <c r="D18" s="2193"/>
    </row>
    <row r="19" ht="21" customHeight="1" spans="1:4">
      <c r="A19" s="2847" t="s">
        <v>94</v>
      </c>
      <c r="B19" s="2849"/>
      <c r="C19" s="2850">
        <f>ROUND(C6-SUM(C7:C12)+SUM(C13:C14)+C17+C18+C16,2)</f>
        <v>19570432.1</v>
      </c>
      <c r="D19" s="2851">
        <f>ROUND(D6-SUM(D7:D12)+SUM(D13:D14)+D17+D18+D16,2)</f>
        <v>-7480614.97</v>
      </c>
    </row>
    <row r="20" ht="21" customHeight="1" spans="1:4">
      <c r="A20" s="2514" t="s">
        <v>95</v>
      </c>
      <c r="B20" s="2848"/>
      <c r="C20" s="2192">
        <v>853546.58</v>
      </c>
      <c r="D20" s="2192">
        <v>362052.92</v>
      </c>
    </row>
    <row r="21" ht="21" customHeight="1" spans="1:4">
      <c r="A21" s="2852" t="s">
        <v>97</v>
      </c>
      <c r="B21" s="2848"/>
      <c r="C21" s="2192">
        <v>2139962.48</v>
      </c>
      <c r="D21" s="2192">
        <v>24281.65</v>
      </c>
    </row>
    <row r="22" ht="21" customHeight="1" spans="1:4">
      <c r="A22" s="2847" t="s">
        <v>100</v>
      </c>
      <c r="B22" s="2849"/>
      <c r="C22" s="2850">
        <f>ROUND(C19+C20-C21,2)</f>
        <v>18284016.2</v>
      </c>
      <c r="D22" s="2850">
        <f>ROUND(D19+D20-D21,2)</f>
        <v>-7142843.7</v>
      </c>
    </row>
    <row r="23" ht="21" customHeight="1" spans="1:4">
      <c r="A23" s="2514" t="s">
        <v>101</v>
      </c>
      <c r="B23" s="2848"/>
      <c r="C23" s="2192">
        <v>485420.35</v>
      </c>
      <c r="D23" s="2192">
        <v>842798.93</v>
      </c>
    </row>
    <row r="24" ht="21" customHeight="1" spans="1:4">
      <c r="A24" s="2847" t="s">
        <v>103</v>
      </c>
      <c r="B24" s="2849"/>
      <c r="C24" s="2850">
        <f>ROUND(C22-C23,2)</f>
        <v>17798595.85</v>
      </c>
      <c r="D24" s="2851">
        <f>ROUND(D22-D23,2)</f>
        <v>-7985642.63</v>
      </c>
    </row>
    <row r="25" ht="21" customHeight="1" spans="1:4">
      <c r="A25" s="2514" t="s">
        <v>104</v>
      </c>
      <c r="B25" s="2849"/>
      <c r="C25" s="2190">
        <f>C24-C26</f>
        <v>17798595.85</v>
      </c>
      <c r="D25" s="2191">
        <f>D24-D26</f>
        <v>-7985642.63</v>
      </c>
    </row>
    <row r="26" ht="21" customHeight="1" spans="1:4">
      <c r="A26" s="2514" t="s">
        <v>105</v>
      </c>
      <c r="B26" s="2199"/>
      <c r="C26" s="2853"/>
      <c r="D26" s="2854"/>
    </row>
    <row r="27" ht="21" customHeight="1" spans="1:4">
      <c r="A27" s="2514" t="s">
        <v>269</v>
      </c>
      <c r="B27" s="2849"/>
      <c r="C27" s="2197">
        <f>C24-C28</f>
        <v>17798595.85</v>
      </c>
      <c r="D27" s="2198">
        <f>D24-D28</f>
        <v>-7985642.63</v>
      </c>
    </row>
    <row r="28" ht="21" customHeight="1" spans="1:4">
      <c r="A28" s="2514" t="s">
        <v>270</v>
      </c>
      <c r="B28" s="2199"/>
      <c r="C28" s="2853"/>
      <c r="D28" s="2854"/>
    </row>
    <row r="29" ht="21" customHeight="1" spans="1:4">
      <c r="A29" s="2847" t="s">
        <v>271</v>
      </c>
      <c r="B29" s="2199"/>
      <c r="C29" s="2853"/>
      <c r="D29" s="2854"/>
    </row>
    <row r="30" ht="21" customHeight="1" spans="1:4">
      <c r="A30" s="2847" t="s">
        <v>272</v>
      </c>
      <c r="B30" s="2849"/>
      <c r="C30" s="2855">
        <f>C24+C29</f>
        <v>17798595.85</v>
      </c>
      <c r="D30" s="2855">
        <f>D24+D29</f>
        <v>-7985642.63</v>
      </c>
    </row>
    <row r="31" ht="21" customHeight="1" spans="1:4">
      <c r="A31" s="2847" t="s">
        <v>273</v>
      </c>
      <c r="B31" s="2849"/>
      <c r="C31" s="2197"/>
      <c r="D31" s="2198"/>
    </row>
    <row r="32" ht="21" customHeight="1" spans="1:4">
      <c r="A32" s="2514" t="s">
        <v>107</v>
      </c>
      <c r="B32" s="2199"/>
      <c r="C32" s="2192"/>
      <c r="D32" s="2193"/>
    </row>
    <row r="33" ht="21" customHeight="1" spans="1:4">
      <c r="A33" s="2517" t="s">
        <v>108</v>
      </c>
      <c r="B33" s="2201"/>
      <c r="C33" s="2202"/>
      <c r="D33" s="2203"/>
    </row>
    <row r="34" ht="16.5" spans="1:4">
      <c r="A34" s="2171"/>
      <c r="B34" s="2171"/>
      <c r="C34" s="2171"/>
      <c r="D34" s="2171"/>
    </row>
    <row r="35" ht="21" customHeight="1" spans="1:4">
      <c r="A35" s="2509" t="s">
        <v>274</v>
      </c>
      <c r="B35" s="2171"/>
      <c r="C35" s="2171"/>
      <c r="D35" s="2171"/>
    </row>
    <row r="36" ht="21" customHeight="1" spans="1:4">
      <c r="A36" s="2510" t="s">
        <v>110</v>
      </c>
      <c r="B36" s="2511"/>
      <c r="C36" s="2512">
        <f>ROUND(C24,2)</f>
        <v>17798595.85</v>
      </c>
      <c r="D36" s="2513">
        <f>ROUND(D24,2)</f>
        <v>-7985642.63</v>
      </c>
    </row>
    <row r="37" ht="21" customHeight="1" spans="1:4">
      <c r="A37" s="2514" t="s">
        <v>111</v>
      </c>
      <c r="B37" s="2189"/>
      <c r="C37" s="2190">
        <f>ROUND(D39,2)</f>
        <v>-29044728.03</v>
      </c>
      <c r="D37" s="2193">
        <f>未审资负表!H40+18800000</f>
        <v>-10244728.03</v>
      </c>
    </row>
    <row r="38" ht="21" customHeight="1" spans="1:4">
      <c r="A38" s="2514" t="s">
        <v>112</v>
      </c>
      <c r="B38" s="2189"/>
      <c r="C38" s="2192">
        <v>26307.93</v>
      </c>
      <c r="D38" s="2192">
        <f>-7701055.84-284586.79+18800000</f>
        <v>10814357.37</v>
      </c>
    </row>
    <row r="39" ht="21" customHeight="1" spans="1:4">
      <c r="A39" s="2517" t="s">
        <v>113</v>
      </c>
      <c r="B39" s="2518"/>
      <c r="C39" s="2519">
        <f>ROUND(C36+C37-C38,2)</f>
        <v>-11272440.11</v>
      </c>
      <c r="D39" s="2520">
        <f>ROUND(D36+D37-D38,2)</f>
        <v>-29044728.03</v>
      </c>
    </row>
    <row r="40" ht="21" customHeight="1" spans="1:4">
      <c r="A40" s="2509" t="s">
        <v>275</v>
      </c>
      <c r="B40" s="2171"/>
      <c r="C40" s="2171"/>
      <c r="D40" s="2171"/>
    </row>
  </sheetData>
  <sheetProtection sheet="1" objects="1" scenarios="1"/>
  <mergeCells count="5">
    <mergeCell ref="A1:D1"/>
    <mergeCell ref="A4:A5"/>
    <mergeCell ref="B4:B5"/>
    <mergeCell ref="C4:C5"/>
    <mergeCell ref="D4:D5"/>
  </mergeCells>
  <conditionalFormatting sqref="D2">
    <cfRule type="cellIs" dxfId="2" priority="2" stopIfTrue="1" operator="notEqual">
      <formula>"会企02表"</formula>
    </cfRule>
  </conditionalFormatting>
  <conditionalFormatting sqref="A2 C2">
    <cfRule type="cellIs" dxfId="2" priority="1" stopIfTrue="1" operator="notEqual">
      <formula>0</formula>
    </cfRule>
  </conditionalFormatting>
  <printOptions horizontalCentered="1" verticalCentered="1"/>
  <pageMargins left="0.433070866141732" right="0.433070866141732" top="0.748031496062992" bottom="1.22047244094488" header="0.511811023622047" footer="0.511811023622047"/>
  <pageSetup paperSize="9" orientation="portrait" blackAndWhite="1"/>
  <headerFooter alignWithMargins="0">
    <oddHeader>&amp;L&amp;10未审报表：</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5"/>
  <sheetViews>
    <sheetView showGridLines="0" showZeros="0" workbookViewId="0">
      <pane xSplit="1" ySplit="5" topLeftCell="B48" activePane="bottomRight" state="frozen"/>
      <selection/>
      <selection pane="topRight"/>
      <selection pane="bottomLeft"/>
      <selection pane="bottomRight" activeCell="C25" sqref="C25"/>
    </sheetView>
  </sheetViews>
  <sheetFormatPr defaultColWidth="9" defaultRowHeight="14.25" outlineLevelCol="3"/>
  <cols>
    <col min="1" max="1" width="47.625" customWidth="1"/>
    <col min="2" max="2" width="6" customWidth="1"/>
    <col min="3" max="4" width="15.625" customWidth="1"/>
  </cols>
  <sheetData>
    <row r="1" ht="25.5" spans="1:4">
      <c r="A1" s="2134" t="s">
        <v>115</v>
      </c>
      <c r="B1" s="2135"/>
      <c r="C1" s="2135"/>
      <c r="D1" s="2135"/>
    </row>
    <row r="2" ht="15" customHeight="1" spans="1:4">
      <c r="A2" s="2104" t="str">
        <f>IF(OR(C2&lt;&gt;0,D2&lt;&gt;"会企03表"),"对应列“期末现金及现金等价物余额”与资产负债表不符，相差：","")</f>
        <v>对应列“期末现金及现金等价物余额”与资产负债表不符，相差：</v>
      </c>
      <c r="B2" s="2136"/>
      <c r="C2" s="2105">
        <f>ROUND(C49-未审资负表!C7,2)</f>
        <v>-4158216.16</v>
      </c>
      <c r="D2" s="2137">
        <f>IF(ROUND(D49-未审资负表!D7,2)=0,"会企03表",ROUND(D49-未审资负表!D7,2))</f>
        <v>-10750015.27</v>
      </c>
    </row>
    <row r="3" ht="15" customHeight="1" spans="1:4">
      <c r="A3" s="2107" t="str">
        <f>"编制单位："&amp;参数表!C3</f>
        <v>编制单位：深圳新阳蓝光能源管理科技股份有限公司</v>
      </c>
      <c r="B3" s="2108" t="str">
        <f>参数表!D7</f>
        <v>2016年度</v>
      </c>
      <c r="C3" s="2206"/>
      <c r="D3" s="2210" t="str">
        <f>"金额单位："&amp;参数表!F11</f>
        <v>金额单位：人民币元</v>
      </c>
    </row>
    <row r="4" ht="15" spans="1:4">
      <c r="A4" s="2141" t="s">
        <v>61</v>
      </c>
      <c r="B4" s="2142" t="s">
        <v>62</v>
      </c>
      <c r="C4" s="2143" t="str">
        <f>未审利润表!C4</f>
        <v>本年金额</v>
      </c>
      <c r="D4" s="2144" t="str">
        <f>未审利润表!D4</f>
        <v>上年金额</v>
      </c>
    </row>
    <row r="5" spans="1:4">
      <c r="A5" s="2145"/>
      <c r="B5" s="2146"/>
      <c r="C5" s="2147"/>
      <c r="D5" s="2148"/>
    </row>
    <row r="6" ht="15" customHeight="1" spans="1:4">
      <c r="A6" s="2149" t="s">
        <v>116</v>
      </c>
      <c r="B6" s="2389"/>
      <c r="C6" s="2151"/>
      <c r="D6" s="2152"/>
    </row>
    <row r="7" ht="15" customHeight="1" spans="1:4">
      <c r="A7" s="2153" t="s">
        <v>117</v>
      </c>
      <c r="B7" s="2154"/>
      <c r="C7" s="2505">
        <v>60566550.55</v>
      </c>
      <c r="D7" s="2505"/>
    </row>
    <row r="8" ht="15" customHeight="1" spans="1:4">
      <c r="A8" s="2153" t="s">
        <v>118</v>
      </c>
      <c r="B8" s="2154"/>
      <c r="C8" s="2505">
        <v>715762.64</v>
      </c>
      <c r="D8" s="2505"/>
    </row>
    <row r="9" ht="15" customHeight="1" spans="1:4">
      <c r="A9" s="2153" t="s">
        <v>119</v>
      </c>
      <c r="B9" s="2154"/>
      <c r="C9" s="2505">
        <v>15400669.23</v>
      </c>
      <c r="D9" s="2505"/>
    </row>
    <row r="10" ht="15" customHeight="1" spans="1:4">
      <c r="A10" s="2155" t="s">
        <v>121</v>
      </c>
      <c r="B10" s="2389"/>
      <c r="C10" s="2369">
        <f>ROUND(SUM(C7:C9),2)</f>
        <v>76682982.42</v>
      </c>
      <c r="D10" s="2390">
        <f>ROUND(SUM(D7:D9),2)</f>
        <v>0</v>
      </c>
    </row>
    <row r="11" ht="15" customHeight="1" spans="1:4">
      <c r="A11" s="2153" t="s">
        <v>122</v>
      </c>
      <c r="B11" s="2154"/>
      <c r="C11" s="2505">
        <v>84892237.23</v>
      </c>
      <c r="D11" s="2505"/>
    </row>
    <row r="12" ht="15" customHeight="1" spans="1:4">
      <c r="A12" s="2153" t="s">
        <v>123</v>
      </c>
      <c r="B12" s="2154"/>
      <c r="C12" s="2505">
        <v>10228960.26</v>
      </c>
      <c r="D12" s="2505"/>
    </row>
    <row r="13" ht="15" customHeight="1" spans="1:4">
      <c r="A13" s="2153" t="s">
        <v>124</v>
      </c>
      <c r="B13" s="2154"/>
      <c r="C13" s="2505">
        <v>6259149.31</v>
      </c>
      <c r="D13" s="2505"/>
    </row>
    <row r="14" ht="15" customHeight="1" spans="1:4">
      <c r="A14" s="2153" t="s">
        <v>125</v>
      </c>
      <c r="B14" s="2154"/>
      <c r="C14" s="2505">
        <v>13364186.34</v>
      </c>
      <c r="D14" s="2505"/>
    </row>
    <row r="15" ht="15" customHeight="1" spans="1:4">
      <c r="A15" s="2155" t="s">
        <v>126</v>
      </c>
      <c r="B15" s="2389"/>
      <c r="C15" s="2369">
        <f>ROUND(SUM(C11:C14),2)</f>
        <v>114744533.14</v>
      </c>
      <c r="D15" s="2390">
        <f>ROUND(SUM(D11:D14),2)</f>
        <v>0</v>
      </c>
    </row>
    <row r="16" ht="15" customHeight="1" spans="1:4">
      <c r="A16" s="2155" t="s">
        <v>127</v>
      </c>
      <c r="B16" s="2389"/>
      <c r="C16" s="2369">
        <f>ROUND(C10-C15,2)</f>
        <v>-38061550.72</v>
      </c>
      <c r="D16" s="2390">
        <f>ROUND(D10-D15,2)</f>
        <v>0</v>
      </c>
    </row>
    <row r="17" ht="15" customHeight="1" spans="1:4">
      <c r="A17" s="2158"/>
      <c r="B17" s="2389"/>
      <c r="C17" s="2151"/>
      <c r="D17" s="2152"/>
    </row>
    <row r="18" ht="15" customHeight="1" spans="1:4">
      <c r="A18" s="2149" t="s">
        <v>128</v>
      </c>
      <c r="B18" s="2389"/>
      <c r="C18" s="2151"/>
      <c r="D18" s="2152"/>
    </row>
    <row r="19" ht="15" customHeight="1" spans="1:4">
      <c r="A19" s="2153" t="s">
        <v>129</v>
      </c>
      <c r="B19" s="2154"/>
      <c r="C19" s="2505">
        <f>现金流量表项目测试!C149</f>
        <v>0</v>
      </c>
      <c r="D19" s="2505">
        <f>现金流量表项目测试!D149</f>
        <v>0</v>
      </c>
    </row>
    <row r="20" ht="15" customHeight="1" spans="1:4">
      <c r="A20" s="2153" t="s">
        <v>130</v>
      </c>
      <c r="B20" s="2154"/>
      <c r="C20" s="2505">
        <f>现金流量表项目测试!C160</f>
        <v>0</v>
      </c>
      <c r="D20" s="2505">
        <f>现金流量表项目测试!D160</f>
        <v>0</v>
      </c>
    </row>
    <row r="21" ht="15" customHeight="1" spans="1:4">
      <c r="A21" s="2153" t="s">
        <v>131</v>
      </c>
      <c r="B21" s="2154"/>
      <c r="C21" s="2505">
        <v>51129.13</v>
      </c>
      <c r="D21" s="2505"/>
    </row>
    <row r="22" ht="15" customHeight="1" spans="1:4">
      <c r="A22" s="2153" t="s">
        <v>132</v>
      </c>
      <c r="B22" s="2154"/>
      <c r="C22" s="2505">
        <f>现金流量表项目测试!C196</f>
        <v>0</v>
      </c>
      <c r="D22" s="2505">
        <f>现金流量表项目测试!D196</f>
        <v>0</v>
      </c>
    </row>
    <row r="23" ht="15" customHeight="1" spans="1:4">
      <c r="A23" s="2153" t="s">
        <v>133</v>
      </c>
      <c r="B23" s="2154"/>
      <c r="C23" s="2505">
        <f>现金流量表项目测试!C206</f>
        <v>0</v>
      </c>
      <c r="D23" s="2505">
        <f>现金流量表项目测试!D206</f>
        <v>0</v>
      </c>
    </row>
    <row r="24" ht="15" customHeight="1" spans="1:4">
      <c r="A24" s="2155" t="s">
        <v>135</v>
      </c>
      <c r="B24" s="2389"/>
      <c r="C24" s="2369">
        <f>ROUND(SUM(C19:C23),2)</f>
        <v>51129.13</v>
      </c>
      <c r="D24" s="2390">
        <f>ROUND(SUM(D19:D23),2)</f>
        <v>0</v>
      </c>
    </row>
    <row r="25" ht="15" customHeight="1" spans="1:4">
      <c r="A25" s="2153" t="s">
        <v>136</v>
      </c>
      <c r="B25" s="2154"/>
      <c r="C25" s="2505">
        <v>28946323.47</v>
      </c>
      <c r="D25" s="2505"/>
    </row>
    <row r="26" ht="15" customHeight="1" spans="1:4">
      <c r="A26" s="2153" t="s">
        <v>137</v>
      </c>
      <c r="B26" s="2154"/>
      <c r="C26" s="2505">
        <f>现金流量表项目测试!C235</f>
        <v>0</v>
      </c>
      <c r="D26" s="2505">
        <f>现金流量表项目测试!D235</f>
        <v>0</v>
      </c>
    </row>
    <row r="27" ht="15" customHeight="1" spans="1:4">
      <c r="A27" s="2153" t="s">
        <v>138</v>
      </c>
      <c r="B27" s="2154"/>
      <c r="C27" s="2505">
        <f>现金流量表项目测试!C260</f>
        <v>0</v>
      </c>
      <c r="D27" s="2505"/>
    </row>
    <row r="28" ht="15" customHeight="1" spans="1:4">
      <c r="A28" s="2153" t="s">
        <v>139</v>
      </c>
      <c r="B28" s="2154"/>
      <c r="C28" s="2505"/>
      <c r="D28" s="2505">
        <f>现金流量表项目测试!D271</f>
        <v>0</v>
      </c>
    </row>
    <row r="29" ht="15" customHeight="1" spans="1:4">
      <c r="A29" s="2155" t="s">
        <v>140</v>
      </c>
      <c r="B29" s="2389"/>
      <c r="C29" s="2369">
        <f>ROUND(SUM(C25:C28),2)</f>
        <v>28946323.47</v>
      </c>
      <c r="D29" s="2390">
        <f>ROUND(SUM(D25:D28),2)</f>
        <v>0</v>
      </c>
    </row>
    <row r="30" ht="15" customHeight="1" spans="1:4">
      <c r="A30" s="2155" t="s">
        <v>141</v>
      </c>
      <c r="B30" s="2389"/>
      <c r="C30" s="2369">
        <f>ROUND(C24-C29,2)</f>
        <v>-28895194.34</v>
      </c>
      <c r="D30" s="2390">
        <f>ROUND(D24-D29,2)</f>
        <v>0</v>
      </c>
    </row>
    <row r="31" ht="15" customHeight="1" spans="1:4">
      <c r="A31" s="2160"/>
      <c r="B31" s="2389"/>
      <c r="C31" s="2151"/>
      <c r="D31" s="2152"/>
    </row>
    <row r="32" ht="15" customHeight="1" spans="1:4">
      <c r="A32" s="2149" t="s">
        <v>142</v>
      </c>
      <c r="B32" s="2389"/>
      <c r="C32" s="2151"/>
      <c r="D32" s="2152"/>
    </row>
    <row r="33" ht="15" customHeight="1" spans="1:4">
      <c r="A33" s="2153" t="s">
        <v>143</v>
      </c>
      <c r="B33" s="2154"/>
      <c r="C33" s="2505">
        <v>230642672</v>
      </c>
      <c r="D33" s="2505">
        <f>现金流量表项目测试!D282</f>
        <v>0</v>
      </c>
    </row>
    <row r="34" ht="15" hidden="1" customHeight="1" spans="1:4">
      <c r="A34" s="2153" t="s">
        <v>144</v>
      </c>
      <c r="B34" s="2154"/>
      <c r="C34" s="2505">
        <v>0</v>
      </c>
      <c r="D34" s="2505"/>
    </row>
    <row r="35" ht="15" customHeight="1" spans="1:4">
      <c r="A35" s="2153" t="s">
        <v>145</v>
      </c>
      <c r="B35" s="2154"/>
      <c r="C35" s="2505">
        <v>31000000</v>
      </c>
      <c r="D35" s="2505"/>
    </row>
    <row r="36" ht="15" customHeight="1" spans="1:4">
      <c r="A36" s="2153" t="s">
        <v>146</v>
      </c>
      <c r="B36" s="2154"/>
      <c r="C36" s="2505">
        <f>现金流量表项目测试!C301</f>
        <v>0</v>
      </c>
      <c r="D36" s="2505">
        <f>现金流量表项目测试!D301</f>
        <v>0</v>
      </c>
    </row>
    <row r="37" ht="15" customHeight="1" spans="1:4">
      <c r="A37" s="2153" t="s">
        <v>147</v>
      </c>
      <c r="B37" s="2154"/>
      <c r="C37" s="2505">
        <f>现金流量表项目测试!C301</f>
        <v>0</v>
      </c>
      <c r="D37" s="2505">
        <f>现金流量表项目测试!D301</f>
        <v>0</v>
      </c>
    </row>
    <row r="38" ht="15" customHeight="1" spans="1:4">
      <c r="A38" s="2155" t="s">
        <v>149</v>
      </c>
      <c r="B38" s="2389"/>
      <c r="C38" s="2369">
        <f>ROUND(SUM(C33:C37)-C34,2)</f>
        <v>261642672</v>
      </c>
      <c r="D38" s="2390">
        <f>ROUND(SUM(D33:D37)-D34,2)</f>
        <v>0</v>
      </c>
    </row>
    <row r="39" ht="15" customHeight="1" spans="1:4">
      <c r="A39" s="2153" t="s">
        <v>150</v>
      </c>
      <c r="B39" s="2154"/>
      <c r="C39" s="2505">
        <v>44144814.81</v>
      </c>
      <c r="D39" s="2505"/>
    </row>
    <row r="40" ht="15" customHeight="1" spans="1:4">
      <c r="A40" s="2153" t="s">
        <v>151</v>
      </c>
      <c r="B40" s="2154"/>
      <c r="C40" s="2505">
        <v>6308223.85</v>
      </c>
      <c r="D40" s="2505"/>
    </row>
    <row r="41" ht="15" hidden="1" customHeight="1" spans="1:4">
      <c r="A41" s="2153" t="s">
        <v>152</v>
      </c>
      <c r="B41" s="2154"/>
      <c r="C41" s="2505"/>
      <c r="D41" s="2505"/>
    </row>
    <row r="42" ht="15" customHeight="1" spans="1:4">
      <c r="A42" s="2153" t="s">
        <v>153</v>
      </c>
      <c r="B42" s="2154"/>
      <c r="C42" s="2505">
        <v>10873286.42</v>
      </c>
      <c r="D42" s="2505">
        <f>现金流量表项目测试!D338</f>
        <v>0</v>
      </c>
    </row>
    <row r="43" ht="15" customHeight="1" spans="1:4">
      <c r="A43" s="2155" t="s">
        <v>154</v>
      </c>
      <c r="B43" s="2389"/>
      <c r="C43" s="2369">
        <f>ROUND(SUM(C39:C42)-C41,2)</f>
        <v>61326325.08</v>
      </c>
      <c r="D43" s="2390">
        <f>ROUND(SUM(D39:D42)-D41,2)</f>
        <v>0</v>
      </c>
    </row>
    <row r="44" ht="15" customHeight="1" spans="1:4">
      <c r="A44" s="2155" t="s">
        <v>155</v>
      </c>
      <c r="B44" s="2389"/>
      <c r="C44" s="2369">
        <f>ROUND(C38-C43,2)</f>
        <v>200316346.92</v>
      </c>
      <c r="D44" s="2390">
        <f>ROUND(D38-D43,2)</f>
        <v>0</v>
      </c>
    </row>
    <row r="45" ht="15" customHeight="1" spans="1:4">
      <c r="A45" s="2160"/>
      <c r="B45" s="2389"/>
      <c r="C45" s="2151"/>
      <c r="D45" s="2152"/>
    </row>
    <row r="46" ht="15" customHeight="1" spans="1:4">
      <c r="A46" s="2149" t="s">
        <v>156</v>
      </c>
      <c r="B46" s="2154"/>
      <c r="C46" s="2505">
        <v>32553.99</v>
      </c>
      <c r="D46" s="2161"/>
    </row>
    <row r="47" ht="15" customHeight="1" spans="1:4">
      <c r="A47" s="2149" t="s">
        <v>157</v>
      </c>
      <c r="B47" s="2389"/>
      <c r="C47" s="2369">
        <f>ROUND(C16+C30+C44+C46,2)</f>
        <v>133392155.85</v>
      </c>
      <c r="D47" s="2390">
        <f>ROUND(D16+D30+D44+D46,2)</f>
        <v>0</v>
      </c>
    </row>
    <row r="48" ht="15" customHeight="1" spans="1:4">
      <c r="A48" s="2153" t="s">
        <v>158</v>
      </c>
      <c r="B48" s="2389"/>
      <c r="C48" s="2151">
        <f>ROUND(D49,2)</f>
        <v>66164760.35</v>
      </c>
      <c r="D48" s="2161">
        <v>66164760.35</v>
      </c>
    </row>
    <row r="49" ht="15" customHeight="1" spans="1:4">
      <c r="A49" s="2162" t="s">
        <v>159</v>
      </c>
      <c r="B49" s="2392"/>
      <c r="C49" s="2373">
        <f>ROUND(C47+C48,2)</f>
        <v>199556916.2</v>
      </c>
      <c r="D49" s="2478">
        <f>ROUND(D47+D48,2)</f>
        <v>66164760.35</v>
      </c>
    </row>
    <row r="50" ht="15" spans="1:4">
      <c r="A50" s="2136"/>
      <c r="B50" s="2136"/>
      <c r="C50" s="2206"/>
      <c r="D50" s="2206"/>
    </row>
    <row r="51" spans="1:4">
      <c r="A51" s="2104" t="str">
        <f>IF(OR(C51&lt;&gt;0,D51&lt;&gt;0),"主表的经营活动现金产生的流量净额与附表不符，相差：","")</f>
        <v>主表的经营活动现金产生的流量净额与附表不符，相差：</v>
      </c>
      <c r="B51" s="2136"/>
      <c r="C51" s="2105">
        <f>ROUND(C16-C72,2)</f>
        <v>-1334908.06</v>
      </c>
      <c r="D51" s="2105">
        <f>ROUND(D16-D72,2)</f>
        <v>-201841059.04</v>
      </c>
    </row>
    <row r="52" ht="15" customHeight="1" spans="1:4">
      <c r="A52" s="2479" t="s">
        <v>276</v>
      </c>
      <c r="B52" s="2136"/>
      <c r="C52" s="2206"/>
      <c r="D52" s="2206"/>
    </row>
    <row r="53" ht="15" customHeight="1" spans="1:4">
      <c r="A53" s="2480" t="s">
        <v>160</v>
      </c>
      <c r="B53" s="2136"/>
      <c r="C53" s="2206"/>
      <c r="D53" s="2206"/>
    </row>
    <row r="54" ht="15" customHeight="1" spans="1:4">
      <c r="A54" s="2481" t="s">
        <v>161</v>
      </c>
      <c r="B54" s="2142" t="s">
        <v>162</v>
      </c>
      <c r="C54" s="2482" t="str">
        <f>C4</f>
        <v>本年金额</v>
      </c>
      <c r="D54" s="2483" t="str">
        <f>D4</f>
        <v>上年金额</v>
      </c>
    </row>
    <row r="55" ht="15" customHeight="1" spans="1:4">
      <c r="A55" s="2484" t="s">
        <v>164</v>
      </c>
      <c r="B55" s="2150"/>
      <c r="C55" s="2151"/>
      <c r="D55" s="2152"/>
    </row>
    <row r="56" ht="15" customHeight="1" spans="1:4">
      <c r="A56" s="2485" t="s">
        <v>110</v>
      </c>
      <c r="B56" s="2416"/>
      <c r="C56" s="2151">
        <f>ROUND(未审利润表!C24,2)</f>
        <v>17798595.85</v>
      </c>
      <c r="D56" s="2152">
        <f>ROUND(未审利润表!D24,2)</f>
        <v>-7985642.63</v>
      </c>
    </row>
    <row r="57" ht="15" customHeight="1" spans="1:4">
      <c r="A57" s="2485" t="s">
        <v>165</v>
      </c>
      <c r="B57" s="2416"/>
      <c r="C57" s="2505">
        <v>1895849.54</v>
      </c>
      <c r="D57" s="2505">
        <f>审定利润表!D12</f>
        <v>4990869.42</v>
      </c>
    </row>
    <row r="58" ht="15" customHeight="1" spans="1:4">
      <c r="A58" s="2485" t="s">
        <v>166</v>
      </c>
      <c r="B58" s="2416"/>
      <c r="C58" s="2505">
        <v>10725982.08</v>
      </c>
      <c r="D58" s="2161"/>
    </row>
    <row r="59" ht="15" customHeight="1" spans="1:4">
      <c r="A59" s="2485" t="s">
        <v>167</v>
      </c>
      <c r="B59" s="2416"/>
      <c r="C59" s="2505">
        <v>6000</v>
      </c>
      <c r="D59" s="2161"/>
    </row>
    <row r="60" ht="15" customHeight="1" spans="1:4">
      <c r="A60" s="2485" t="s">
        <v>168</v>
      </c>
      <c r="B60" s="2416"/>
      <c r="C60" s="2505">
        <v>207956.57</v>
      </c>
      <c r="D60" s="2161"/>
    </row>
    <row r="61" ht="15" customHeight="1" spans="1:4">
      <c r="A61" s="2485" t="s">
        <v>169</v>
      </c>
      <c r="B61" s="2416"/>
      <c r="C61" s="2505">
        <v>68120.1</v>
      </c>
      <c r="D61" s="2161"/>
    </row>
    <row r="62" ht="15" customHeight="1" spans="1:4">
      <c r="A62" s="2485" t="s">
        <v>170</v>
      </c>
      <c r="B62" s="2416"/>
      <c r="C62" s="2505">
        <v>0</v>
      </c>
      <c r="D62" s="2161"/>
    </row>
    <row r="63" ht="15" customHeight="1" spans="1:4">
      <c r="A63" s="2485" t="s">
        <v>171</v>
      </c>
      <c r="B63" s="2416"/>
      <c r="C63" s="2505"/>
      <c r="D63" s="2161"/>
    </row>
    <row r="64" ht="15" customHeight="1" spans="1:4">
      <c r="A64" s="2485" t="s">
        <v>85</v>
      </c>
      <c r="B64" s="2416"/>
      <c r="C64" s="2505">
        <v>18267390.45</v>
      </c>
      <c r="D64" s="2505">
        <f>现金流量表项目测试!D351</f>
        <v>6623057.53</v>
      </c>
    </row>
    <row r="65" ht="15" customHeight="1" spans="1:4">
      <c r="A65" s="2485" t="s">
        <v>172</v>
      </c>
      <c r="B65" s="2416"/>
      <c r="C65" s="2505">
        <v>0</v>
      </c>
      <c r="D65" s="2161"/>
    </row>
    <row r="66" ht="15" customHeight="1" spans="1:4">
      <c r="A66" s="2485" t="s">
        <v>173</v>
      </c>
      <c r="B66" s="2416"/>
      <c r="C66" s="2505">
        <v>24825.52</v>
      </c>
      <c r="D66" s="2161"/>
    </row>
    <row r="67" ht="15" customHeight="1" spans="1:4">
      <c r="A67" s="2485" t="s">
        <v>174</v>
      </c>
      <c r="B67" s="2416"/>
      <c r="C67" s="2505">
        <v>0</v>
      </c>
      <c r="D67" s="2161"/>
    </row>
    <row r="68" ht="15" customHeight="1" spans="1:4">
      <c r="A68" s="2485" t="s">
        <v>175</v>
      </c>
      <c r="B68" s="2416"/>
      <c r="C68" s="2505">
        <v>-40160366.77</v>
      </c>
      <c r="D68" s="2505">
        <f>现金流量表项目测试!D361</f>
        <v>-1647900.77</v>
      </c>
    </row>
    <row r="69" ht="15" customHeight="1" spans="1:4">
      <c r="A69" s="2485" t="s">
        <v>176</v>
      </c>
      <c r="B69" s="2416"/>
      <c r="C69" s="2505">
        <v>-64887311.39</v>
      </c>
      <c r="D69" s="2505">
        <f>现金流量表项目测试!D378</f>
        <v>201481369.14</v>
      </c>
    </row>
    <row r="70" ht="15" customHeight="1" spans="1:4">
      <c r="A70" s="2485" t="s">
        <v>177</v>
      </c>
      <c r="B70" s="2416"/>
      <c r="C70" s="2505">
        <v>19326315.39</v>
      </c>
      <c r="D70" s="2505">
        <f>现金流量表项目测试!D398</f>
        <v>-1620693.65</v>
      </c>
    </row>
    <row r="71" ht="15" customHeight="1" spans="1:4">
      <c r="A71" s="2485" t="s">
        <v>178</v>
      </c>
      <c r="B71" s="2416"/>
      <c r="C71" s="2505"/>
      <c r="D71" s="2161"/>
    </row>
    <row r="72" ht="15" customHeight="1" spans="1:4">
      <c r="A72" s="2486" t="s">
        <v>179</v>
      </c>
      <c r="B72" s="2416"/>
      <c r="C72" s="2369">
        <f>ROUND(SUM(C56:C71),2)</f>
        <v>-36726642.66</v>
      </c>
      <c r="D72" s="2390">
        <f>ROUND(SUM(D56:D71),2)</f>
        <v>201841059.04</v>
      </c>
    </row>
    <row r="73" ht="15" customHeight="1" spans="1:4">
      <c r="A73" s="2485"/>
      <c r="B73" s="2416"/>
      <c r="C73" s="2416"/>
      <c r="D73" s="2487"/>
    </row>
    <row r="74" ht="15" customHeight="1" spans="1:4">
      <c r="A74" s="2486" t="s">
        <v>180</v>
      </c>
      <c r="B74" s="2416"/>
      <c r="C74" s="2416"/>
      <c r="D74" s="2487"/>
    </row>
    <row r="75" ht="15" customHeight="1" spans="1:4">
      <c r="A75" s="2485" t="s">
        <v>181</v>
      </c>
      <c r="B75" s="2416"/>
      <c r="C75" s="2843"/>
      <c r="D75" s="2844"/>
    </row>
    <row r="76" ht="15" customHeight="1" spans="1:4">
      <c r="A76" s="2485" t="s">
        <v>182</v>
      </c>
      <c r="B76" s="2416"/>
      <c r="C76" s="2843"/>
      <c r="D76" s="2844"/>
    </row>
    <row r="77" ht="15" customHeight="1" spans="1:4">
      <c r="A77" s="2485" t="s">
        <v>183</v>
      </c>
      <c r="B77" s="2416"/>
      <c r="C77" s="2843"/>
      <c r="D77" s="2844"/>
    </row>
    <row r="78" ht="15" customHeight="1" spans="1:4">
      <c r="A78" s="2485"/>
      <c r="B78" s="2416"/>
      <c r="C78" s="2416"/>
      <c r="D78" s="2487"/>
    </row>
    <row r="79" ht="15" customHeight="1" spans="1:4">
      <c r="A79" s="2486" t="s">
        <v>184</v>
      </c>
      <c r="B79" s="2416"/>
      <c r="C79" s="2416"/>
      <c r="D79" s="2487"/>
    </row>
    <row r="80" ht="15" customHeight="1" spans="1:4">
      <c r="A80" s="2485" t="s">
        <v>185</v>
      </c>
      <c r="B80" s="2416"/>
      <c r="C80" s="2151">
        <f>ROUND(未审资负表!C7,2)</f>
        <v>203715132.36</v>
      </c>
      <c r="D80" s="2152">
        <f>ROUND(未审资负表!D7,2)</f>
        <v>76914775.62</v>
      </c>
    </row>
    <row r="81" ht="15" customHeight="1" spans="1:4">
      <c r="A81" s="2485" t="s">
        <v>186</v>
      </c>
      <c r="B81" s="2416"/>
      <c r="C81" s="2151">
        <f>ROUND(未审资负表!D7,2)</f>
        <v>76914775.62</v>
      </c>
      <c r="D81" s="2152">
        <f>ROUND(D48,2)</f>
        <v>66164760.35</v>
      </c>
    </row>
    <row r="82" ht="15" customHeight="1" spans="1:4">
      <c r="A82" s="2485" t="s">
        <v>187</v>
      </c>
      <c r="B82" s="2416"/>
      <c r="C82" s="2843"/>
      <c r="D82" s="2844"/>
    </row>
    <row r="83" ht="15" customHeight="1" spans="1:4">
      <c r="A83" s="2485" t="s">
        <v>188</v>
      </c>
      <c r="B83" s="2416"/>
      <c r="C83" s="2843"/>
      <c r="D83" s="2844"/>
    </row>
    <row r="84" ht="15" customHeight="1" spans="1:4">
      <c r="A84" s="2490" t="s">
        <v>189</v>
      </c>
      <c r="B84" s="2491"/>
      <c r="C84" s="2373">
        <f>ROUND(C80-C81+C82-C83,2)</f>
        <v>126800356.74</v>
      </c>
      <c r="D84" s="2478">
        <f>ROUND(D80-D81+D82-D83,2)</f>
        <v>10750015.27</v>
      </c>
    </row>
    <row r="85" ht="15"/>
  </sheetData>
  <sheetProtection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verticalCentered="1"/>
  <pageMargins left="0.393700787401575" right="0.393700787401575" top="0.57" bottom="0.511811023622047" header="0.38" footer="0.354330708661417"/>
  <pageSetup paperSize="9" orientation="portrait" blackAndWhite="1"/>
  <headerFooter alignWithMargins="0">
    <oddHeader>&amp;L&amp;10未审报表：</oddHead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
  <sheetViews>
    <sheetView showGridLines="0" showZeros="0" workbookViewId="0">
      <pane xSplit="1" ySplit="6" topLeftCell="B34" activePane="bottomRight" state="frozen"/>
      <selection/>
      <selection pane="topRight"/>
      <selection pane="bottomLeft"/>
      <selection pane="bottomRight" activeCell="F63" sqref="F63"/>
    </sheetView>
  </sheetViews>
  <sheetFormatPr defaultColWidth="9" defaultRowHeight="14.25" outlineLevelCol="7"/>
  <cols>
    <col min="1" max="1" width="38.375" customWidth="1"/>
    <col min="2" max="8" width="13.375" customWidth="1"/>
  </cols>
  <sheetData>
    <row r="1" ht="25.5" spans="1:8">
      <c r="A1" s="2103" t="s">
        <v>277</v>
      </c>
      <c r="B1" s="2103"/>
      <c r="C1" s="2103"/>
      <c r="D1" s="2103"/>
      <c r="E1" s="2103"/>
      <c r="F1" s="2103"/>
      <c r="G1" s="2103"/>
      <c r="H1" s="2103"/>
    </row>
    <row r="2" ht="15" customHeight="1" spans="1:8">
      <c r="A2" s="2104" t="str">
        <f>IF(OR(ABS(B2)&lt;&gt;0,ABS(C2)&lt;&gt;0,ABS(D2)&lt;&gt;0,ABS(E2)&lt;&gt;0,ABS(F2)&lt;&gt;0,ABS(G2)&lt;&gt;0),"本期期末余额与资产负债表不符，相差：","")</f>
        <v>本期期末余额与资产负债表不符，相差：</v>
      </c>
      <c r="B2" s="2105">
        <f>ROUND(B32-未审资负表!$G$36,2)</f>
        <v>0</v>
      </c>
      <c r="C2" s="2105">
        <f>ROUND(C32-未审资负表!$G$37,2)</f>
        <v>0</v>
      </c>
      <c r="D2" s="2105">
        <f>ROUND(D32-未审资负表!$G$38,2)</f>
        <v>0</v>
      </c>
      <c r="E2" s="2105">
        <f>ROUND(E32-未审资负表!$G$39,2)</f>
        <v>790519.37</v>
      </c>
      <c r="F2" s="2105">
        <f>ROUND(F32-未审资负表!$G$40,2)</f>
        <v>10948520.42</v>
      </c>
      <c r="G2" s="2105">
        <f>ROUND(G32-未审资负表!$G$41-未审资负表!$G$42,2)</f>
        <v>0</v>
      </c>
      <c r="H2" s="2106" t="s">
        <v>278</v>
      </c>
    </row>
    <row r="3" ht="15" customHeight="1" spans="1:8">
      <c r="A3" s="2107" t="str">
        <f>"编制单位："&amp;参数表!C3</f>
        <v>编制单位：深圳新阳蓝光能源管理科技股份有限公司</v>
      </c>
      <c r="B3" s="2108"/>
      <c r="C3" s="2108"/>
      <c r="D3" s="2108" t="str">
        <f>参数表!D7</f>
        <v>2016年度</v>
      </c>
      <c r="E3" s="2108"/>
      <c r="F3" s="2108"/>
      <c r="G3" s="2108"/>
      <c r="H3" s="2106" t="str">
        <f>"金额单位："&amp;参数表!F11</f>
        <v>金额单位：人民币元</v>
      </c>
    </row>
    <row r="4" ht="15" spans="1:8">
      <c r="A4" s="2109" t="s">
        <v>61</v>
      </c>
      <c r="B4" s="2128" t="str">
        <f>未审利润表!C4</f>
        <v>本年金额</v>
      </c>
      <c r="C4" s="2129"/>
      <c r="D4" s="2129"/>
      <c r="E4" s="2129"/>
      <c r="F4" s="2129"/>
      <c r="G4" s="2129"/>
      <c r="H4" s="2130"/>
    </row>
    <row r="5" spans="1:8">
      <c r="A5" s="2113"/>
      <c r="B5" s="2131"/>
      <c r="C5" s="2132"/>
      <c r="D5" s="2132"/>
      <c r="E5" s="2132"/>
      <c r="F5" s="2132"/>
      <c r="G5" s="2132"/>
      <c r="H5" s="2133"/>
    </row>
    <row r="6" ht="15" customHeight="1" spans="1:8">
      <c r="A6" s="2113"/>
      <c r="B6" s="2117" t="s">
        <v>279</v>
      </c>
      <c r="C6" s="2117" t="s">
        <v>253</v>
      </c>
      <c r="D6" s="2117" t="s">
        <v>255</v>
      </c>
      <c r="E6" s="2117" t="s">
        <v>256</v>
      </c>
      <c r="F6" s="2117" t="s">
        <v>258</v>
      </c>
      <c r="G6" s="2117" t="s">
        <v>280</v>
      </c>
      <c r="H6" s="2118" t="s">
        <v>263</v>
      </c>
    </row>
    <row r="7" ht="15" customHeight="1" spans="1:8">
      <c r="A7" s="2119" t="s">
        <v>281</v>
      </c>
      <c r="B7" s="2120">
        <f>B64</f>
        <v>120000000</v>
      </c>
      <c r="C7" s="2120">
        <f t="shared" ref="C7:G7" si="0">C64</f>
        <v>5756259.26</v>
      </c>
      <c r="D7" s="2120">
        <f t="shared" si="0"/>
        <v>0</v>
      </c>
      <c r="E7" s="2120">
        <f t="shared" si="0"/>
        <v>0</v>
      </c>
      <c r="F7" s="2120">
        <f t="shared" si="0"/>
        <v>-17331996.17</v>
      </c>
      <c r="G7" s="2120">
        <f t="shared" si="0"/>
        <v>0</v>
      </c>
      <c r="H7" s="2121">
        <f>ROUND(SUM(B7:G7)-2*D7,2)</f>
        <v>108424263.09</v>
      </c>
    </row>
    <row r="8" ht="15" customHeight="1" spans="1:8">
      <c r="A8" s="2122" t="s">
        <v>282</v>
      </c>
      <c r="B8" s="2120"/>
      <c r="C8" s="2120"/>
      <c r="D8" s="2120"/>
      <c r="E8" s="2120"/>
      <c r="F8" s="2120"/>
      <c r="G8" s="2120"/>
      <c r="H8" s="2121">
        <f t="shared" ref="H8:H32" si="1">ROUND(SUM(B8:G8)-2*D8,2)</f>
        <v>0</v>
      </c>
    </row>
    <row r="9" ht="15" customHeight="1" spans="1:8">
      <c r="A9" s="2122" t="s">
        <v>283</v>
      </c>
      <c r="B9" s="2123">
        <f t="shared" ref="B9:G9" si="2">ROUND(B10-B7-B8,2)</f>
        <v>0</v>
      </c>
      <c r="C9" s="2123">
        <f t="shared" si="2"/>
        <v>0</v>
      </c>
      <c r="D9" s="2123">
        <f t="shared" si="2"/>
        <v>0</v>
      </c>
      <c r="E9" s="2123">
        <f t="shared" si="2"/>
        <v>0</v>
      </c>
      <c r="F9" s="2123">
        <f t="shared" si="2"/>
        <v>0</v>
      </c>
      <c r="G9" s="2123">
        <f t="shared" si="2"/>
        <v>0</v>
      </c>
      <c r="H9" s="2121">
        <f t="shared" si="1"/>
        <v>0</v>
      </c>
    </row>
    <row r="10" ht="15" customHeight="1" spans="1:8">
      <c r="A10" s="2119" t="s">
        <v>284</v>
      </c>
      <c r="B10" s="2123">
        <f t="shared" ref="B10:G10" si="3">ROUND(B64,2)</f>
        <v>120000000</v>
      </c>
      <c r="C10" s="2123">
        <f t="shared" si="3"/>
        <v>5756259.26</v>
      </c>
      <c r="D10" s="2123">
        <f t="shared" si="3"/>
        <v>0</v>
      </c>
      <c r="E10" s="2123">
        <f t="shared" si="3"/>
        <v>0</v>
      </c>
      <c r="F10" s="2123">
        <f t="shared" si="3"/>
        <v>-17331996.17</v>
      </c>
      <c r="G10" s="2123">
        <f t="shared" si="3"/>
        <v>0</v>
      </c>
      <c r="H10" s="2121">
        <f t="shared" si="1"/>
        <v>108424263.09</v>
      </c>
    </row>
    <row r="11" ht="15" customHeight="1" spans="1:8">
      <c r="A11" s="2119" t="s">
        <v>285</v>
      </c>
      <c r="B11" s="2123">
        <f t="shared" ref="B11:G11" si="4">ROUND(B18+B19+B23+B27,2)</f>
        <v>17800000</v>
      </c>
      <c r="C11" s="2123">
        <f t="shared" si="4"/>
        <v>212842672</v>
      </c>
      <c r="D11" s="2123">
        <f t="shared" si="4"/>
        <v>0</v>
      </c>
      <c r="E11" s="2123">
        <f t="shared" si="4"/>
        <v>790519.37</v>
      </c>
      <c r="F11" s="2123">
        <f t="shared" si="4"/>
        <v>17008076.48</v>
      </c>
      <c r="G11" s="2123">
        <f t="shared" si="4"/>
        <v>0</v>
      </c>
      <c r="H11" s="2121">
        <f t="shared" si="1"/>
        <v>248441267.85</v>
      </c>
    </row>
    <row r="12" ht="15" customHeight="1" spans="1:8">
      <c r="A12" s="2119" t="s">
        <v>286</v>
      </c>
      <c r="B12" s="2123"/>
      <c r="C12" s="2123"/>
      <c r="D12" s="2123"/>
      <c r="E12" s="2123"/>
      <c r="F12" s="2123">
        <f>ROUND(未审利润表!C24,2)</f>
        <v>17798595.85</v>
      </c>
      <c r="G12" s="2123"/>
      <c r="H12" s="2121">
        <f t="shared" si="1"/>
        <v>17798595.85</v>
      </c>
    </row>
    <row r="13" ht="15" customHeight="1" spans="1:8">
      <c r="A13" s="2119" t="s">
        <v>287</v>
      </c>
      <c r="B13" s="2123">
        <f t="shared" ref="B13:G13" si="5">ROUND(B14+B15+B16+B17,2)</f>
        <v>0</v>
      </c>
      <c r="C13" s="2123">
        <f t="shared" si="5"/>
        <v>0</v>
      </c>
      <c r="D13" s="2123">
        <f t="shared" si="5"/>
        <v>0</v>
      </c>
      <c r="E13" s="2123">
        <f t="shared" si="5"/>
        <v>0</v>
      </c>
      <c r="F13" s="2123">
        <f t="shared" si="5"/>
        <v>0</v>
      </c>
      <c r="G13" s="2123">
        <f t="shared" si="5"/>
        <v>0</v>
      </c>
      <c r="H13" s="2121">
        <f t="shared" si="1"/>
        <v>0</v>
      </c>
    </row>
    <row r="14" ht="15" customHeight="1" spans="1:8">
      <c r="A14" s="2124" t="s">
        <v>288</v>
      </c>
      <c r="B14" s="2120"/>
      <c r="C14" s="2120"/>
      <c r="D14" s="2120"/>
      <c r="E14" s="2120"/>
      <c r="F14" s="2120"/>
      <c r="G14" s="2120"/>
      <c r="H14" s="2121">
        <f t="shared" si="1"/>
        <v>0</v>
      </c>
    </row>
    <row r="15" ht="15" customHeight="1" spans="1:8">
      <c r="A15" s="2124" t="s">
        <v>289</v>
      </c>
      <c r="B15" s="2120"/>
      <c r="C15" s="2120"/>
      <c r="D15" s="2120"/>
      <c r="E15" s="2120"/>
      <c r="F15" s="2120"/>
      <c r="G15" s="2120"/>
      <c r="H15" s="2121">
        <f t="shared" si="1"/>
        <v>0</v>
      </c>
    </row>
    <row r="16" ht="15" customHeight="1" spans="1:8">
      <c r="A16" s="2124" t="s">
        <v>290</v>
      </c>
      <c r="B16" s="2120"/>
      <c r="C16" s="2120"/>
      <c r="D16" s="2120"/>
      <c r="E16" s="2120"/>
      <c r="F16" s="2120"/>
      <c r="G16" s="2120"/>
      <c r="H16" s="2121">
        <f t="shared" si="1"/>
        <v>0</v>
      </c>
    </row>
    <row r="17" ht="15" customHeight="1" spans="1:8">
      <c r="A17" s="2124" t="s">
        <v>291</v>
      </c>
      <c r="B17" s="2120"/>
      <c r="C17" s="2120"/>
      <c r="D17" s="2120"/>
      <c r="E17" s="2120"/>
      <c r="F17" s="2120"/>
      <c r="G17" s="2120"/>
      <c r="H17" s="2121">
        <f t="shared" si="1"/>
        <v>0</v>
      </c>
    </row>
    <row r="18" ht="15" customHeight="1" spans="1:8">
      <c r="A18" s="2119" t="s">
        <v>292</v>
      </c>
      <c r="B18" s="2123">
        <f t="shared" ref="B18:G18" si="6">ROUND(B12+B13,2)</f>
        <v>0</v>
      </c>
      <c r="C18" s="2123">
        <f t="shared" si="6"/>
        <v>0</v>
      </c>
      <c r="D18" s="2123">
        <f t="shared" si="6"/>
        <v>0</v>
      </c>
      <c r="E18" s="2123">
        <f t="shared" si="6"/>
        <v>0</v>
      </c>
      <c r="F18" s="2123">
        <f t="shared" si="6"/>
        <v>17798595.85</v>
      </c>
      <c r="G18" s="2123">
        <f t="shared" si="6"/>
        <v>0</v>
      </c>
      <c r="H18" s="2121">
        <f t="shared" si="1"/>
        <v>17798595.85</v>
      </c>
    </row>
    <row r="19" ht="15" customHeight="1" spans="1:8">
      <c r="A19" s="2119" t="s">
        <v>293</v>
      </c>
      <c r="B19" s="2123">
        <f t="shared" ref="B19:G19" si="7">ROUND(B20+B21+B22,2)</f>
        <v>17800000</v>
      </c>
      <c r="C19" s="2123">
        <f t="shared" si="7"/>
        <v>212842672</v>
      </c>
      <c r="D19" s="2123">
        <f t="shared" si="7"/>
        <v>0</v>
      </c>
      <c r="E19" s="2123">
        <f t="shared" si="7"/>
        <v>0</v>
      </c>
      <c r="F19" s="2123">
        <f t="shared" si="7"/>
        <v>0</v>
      </c>
      <c r="G19" s="2123">
        <f t="shared" si="7"/>
        <v>0</v>
      </c>
      <c r="H19" s="2121">
        <f t="shared" si="1"/>
        <v>230642672</v>
      </c>
    </row>
    <row r="20" ht="15" customHeight="1" spans="1:8">
      <c r="A20" s="2124" t="s">
        <v>294</v>
      </c>
      <c r="B20" s="2120">
        <v>17800000</v>
      </c>
      <c r="C20" s="2120">
        <v>212842672</v>
      </c>
      <c r="D20" s="2120"/>
      <c r="E20" s="2120"/>
      <c r="F20" s="2120"/>
      <c r="G20" s="2120"/>
      <c r="H20" s="2121">
        <f t="shared" si="1"/>
        <v>230642672</v>
      </c>
    </row>
    <row r="21" ht="15" customHeight="1" spans="1:8">
      <c r="A21" s="2124" t="s">
        <v>295</v>
      </c>
      <c r="B21" s="2120"/>
      <c r="C21" s="2120"/>
      <c r="D21" s="2120"/>
      <c r="E21" s="2120"/>
      <c r="F21" s="2120"/>
      <c r="G21" s="2120"/>
      <c r="H21" s="2121">
        <f t="shared" si="1"/>
        <v>0</v>
      </c>
    </row>
    <row r="22" ht="15" customHeight="1" spans="1:8">
      <c r="A22" s="2124" t="s">
        <v>296</v>
      </c>
      <c r="B22" s="2120"/>
      <c r="C22" s="2120"/>
      <c r="D22" s="2120"/>
      <c r="E22" s="2120"/>
      <c r="F22" s="2120"/>
      <c r="G22" s="2120"/>
      <c r="H22" s="2121">
        <f t="shared" si="1"/>
        <v>0</v>
      </c>
    </row>
    <row r="23" ht="15" customHeight="1" spans="1:8">
      <c r="A23" s="2119" t="s">
        <v>297</v>
      </c>
      <c r="B23" s="2123">
        <f t="shared" ref="B23:G23" si="8">ROUND(B24+B25+B26,2)</f>
        <v>0</v>
      </c>
      <c r="C23" s="2123">
        <f t="shared" si="8"/>
        <v>0</v>
      </c>
      <c r="D23" s="2123">
        <f t="shared" si="8"/>
        <v>0</v>
      </c>
      <c r="E23" s="2123">
        <f t="shared" si="8"/>
        <v>790519.37</v>
      </c>
      <c r="F23" s="2123">
        <f t="shared" si="8"/>
        <v>-790519.37</v>
      </c>
      <c r="G23" s="2123">
        <f t="shared" si="8"/>
        <v>0</v>
      </c>
      <c r="H23" s="2121">
        <f t="shared" si="1"/>
        <v>0</v>
      </c>
    </row>
    <row r="24" ht="15" customHeight="1" spans="1:8">
      <c r="A24" s="2124" t="s">
        <v>298</v>
      </c>
      <c r="B24" s="2120"/>
      <c r="C24" s="2120"/>
      <c r="D24" s="2120"/>
      <c r="E24" s="2120">
        <v>790519.37</v>
      </c>
      <c r="F24" s="2120">
        <f>-E24</f>
        <v>-790519.37</v>
      </c>
      <c r="G24" s="2120"/>
      <c r="H24" s="2121">
        <f t="shared" si="1"/>
        <v>0</v>
      </c>
    </row>
    <row r="25" ht="15" customHeight="1" spans="1:8">
      <c r="A25" s="2124" t="s">
        <v>299</v>
      </c>
      <c r="B25" s="2120"/>
      <c r="C25" s="2120"/>
      <c r="D25" s="2120"/>
      <c r="E25" s="2120"/>
      <c r="F25" s="2120"/>
      <c r="G25" s="2120"/>
      <c r="H25" s="2121">
        <f t="shared" si="1"/>
        <v>0</v>
      </c>
    </row>
    <row r="26" ht="15" customHeight="1" spans="1:8">
      <c r="A26" s="2124" t="s">
        <v>296</v>
      </c>
      <c r="B26" s="2120"/>
      <c r="C26" s="2120"/>
      <c r="D26" s="2120"/>
      <c r="E26" s="2120"/>
      <c r="F26" s="2120"/>
      <c r="G26" s="2120"/>
      <c r="H26" s="2121">
        <f t="shared" si="1"/>
        <v>0</v>
      </c>
    </row>
    <row r="27" ht="15" customHeight="1" spans="1:8">
      <c r="A27" s="2119" t="s">
        <v>300</v>
      </c>
      <c r="B27" s="2123">
        <f t="shared" ref="B27:G27" si="9">ROUND(B28+B29+B30+B31,2)</f>
        <v>0</v>
      </c>
      <c r="C27" s="2123">
        <f t="shared" si="9"/>
        <v>0</v>
      </c>
      <c r="D27" s="2123">
        <f t="shared" si="9"/>
        <v>0</v>
      </c>
      <c r="E27" s="2123">
        <f t="shared" si="9"/>
        <v>0</v>
      </c>
      <c r="F27" s="2123">
        <f t="shared" si="9"/>
        <v>0</v>
      </c>
      <c r="G27" s="2123">
        <f t="shared" si="9"/>
        <v>0</v>
      </c>
      <c r="H27" s="2121">
        <f t="shared" si="1"/>
        <v>0</v>
      </c>
    </row>
    <row r="28" ht="15" customHeight="1" spans="1:8">
      <c r="A28" s="2124" t="s">
        <v>301</v>
      </c>
      <c r="B28" s="2120"/>
      <c r="C28" s="2120"/>
      <c r="D28" s="2120"/>
      <c r="E28" s="2120"/>
      <c r="F28" s="2120"/>
      <c r="G28" s="2120"/>
      <c r="H28" s="2121">
        <f t="shared" si="1"/>
        <v>0</v>
      </c>
    </row>
    <row r="29" ht="15" customHeight="1" spans="1:8">
      <c r="A29" s="2124" t="s">
        <v>302</v>
      </c>
      <c r="B29" s="2120"/>
      <c r="C29" s="2120"/>
      <c r="D29" s="2120"/>
      <c r="E29" s="2120"/>
      <c r="F29" s="2120"/>
      <c r="G29" s="2120"/>
      <c r="H29" s="2121">
        <f t="shared" si="1"/>
        <v>0</v>
      </c>
    </row>
    <row r="30" ht="15" customHeight="1" spans="1:8">
      <c r="A30" s="2124" t="s">
        <v>303</v>
      </c>
      <c r="B30" s="2120"/>
      <c r="C30" s="2120"/>
      <c r="D30" s="2120"/>
      <c r="E30" s="2120"/>
      <c r="F30" s="2120"/>
      <c r="G30" s="2120"/>
      <c r="H30" s="2121">
        <f t="shared" si="1"/>
        <v>0</v>
      </c>
    </row>
    <row r="31" ht="15" customHeight="1" spans="1:8">
      <c r="A31" s="2124" t="s">
        <v>291</v>
      </c>
      <c r="B31" s="2120"/>
      <c r="C31" s="2120"/>
      <c r="D31" s="2120"/>
      <c r="E31" s="2120"/>
      <c r="F31" s="2120"/>
      <c r="G31" s="2120"/>
      <c r="H31" s="2121">
        <f t="shared" si="1"/>
        <v>0</v>
      </c>
    </row>
    <row r="32" ht="15" customHeight="1" spans="1:8">
      <c r="A32" s="2125" t="s">
        <v>304</v>
      </c>
      <c r="B32" s="2126">
        <f t="shared" ref="B32:G32" si="10">ROUND(B10+B11,2)</f>
        <v>137800000</v>
      </c>
      <c r="C32" s="2126">
        <f t="shared" si="10"/>
        <v>218598931.26</v>
      </c>
      <c r="D32" s="2126">
        <f t="shared" si="10"/>
        <v>0</v>
      </c>
      <c r="E32" s="2126">
        <f t="shared" si="10"/>
        <v>790519.37</v>
      </c>
      <c r="F32" s="2126">
        <f t="shared" si="10"/>
        <v>-323919.69</v>
      </c>
      <c r="G32" s="2126">
        <f t="shared" si="10"/>
        <v>0</v>
      </c>
      <c r="H32" s="2127">
        <f t="shared" si="1"/>
        <v>356865530.94</v>
      </c>
    </row>
    <row r="33" ht="26.25" spans="1:8">
      <c r="A33" s="2103" t="s">
        <v>277</v>
      </c>
      <c r="B33" s="2103"/>
      <c r="C33" s="2103"/>
      <c r="D33" s="2103"/>
      <c r="E33" s="2103"/>
      <c r="F33" s="2103"/>
      <c r="G33" s="2103"/>
      <c r="H33" s="2103"/>
    </row>
    <row r="34" ht="15" customHeight="1" spans="1:8">
      <c r="A34" s="2104" t="str">
        <f>IF(OR(ABS(B34)&lt;&gt;0,ABS(C34)&lt;&gt;0,ABS(D34)&lt;&gt;0,ABS(E34)&lt;&gt;0,ABS(F34)&lt;&gt;0,ABS(G34)&lt;&gt;0),"上期期末余额与资产负债表不符，相差：","")</f>
        <v>上期期末余额与资产负债表不符，相差：</v>
      </c>
      <c r="B34" s="2105">
        <f>ROUND(B64-未审资负表!$H$36,2)</f>
        <v>0</v>
      </c>
      <c r="C34" s="2105">
        <f>ROUND(C64-未审资负表!$H$37,2)</f>
        <v>0</v>
      </c>
      <c r="D34" s="2105">
        <f>ROUND(D64-未审资负表!$H$38,2)</f>
        <v>0</v>
      </c>
      <c r="E34" s="2105">
        <f>ROUND(E64-未审资负表!$H$39,2)</f>
        <v>0</v>
      </c>
      <c r="F34" s="2105">
        <f>ROUND(F64-未审资负表!$H$40,2)</f>
        <v>11712731.86</v>
      </c>
      <c r="G34" s="2105">
        <f>ROUND(G64-未审资负表!$H$41-未审资负表!$H$42,2)</f>
        <v>0</v>
      </c>
      <c r="H34" s="2106" t="s">
        <v>305</v>
      </c>
    </row>
    <row r="35" ht="15" customHeight="1" spans="1:8">
      <c r="A35" s="2107" t="str">
        <f>"编制单位："&amp;参数表!C3</f>
        <v>编制单位：深圳新阳蓝光能源管理科技股份有限公司</v>
      </c>
      <c r="B35" s="2108"/>
      <c r="C35" s="2108"/>
      <c r="D35" s="2108" t="str">
        <f>参数表!D7</f>
        <v>2016年度</v>
      </c>
      <c r="E35" s="2108"/>
      <c r="F35" s="2108"/>
      <c r="G35" s="2108"/>
      <c r="H35" s="2106" t="str">
        <f>"金额单位："&amp;参数表!F11</f>
        <v>金额单位：人民币元</v>
      </c>
    </row>
    <row r="36" ht="15" spans="1:8">
      <c r="A36" s="2109" t="s">
        <v>61</v>
      </c>
      <c r="B36" s="2128" t="str">
        <f>未审利润表!D4</f>
        <v>上年金额</v>
      </c>
      <c r="C36" s="2129"/>
      <c r="D36" s="2129"/>
      <c r="E36" s="2129"/>
      <c r="F36" s="2129"/>
      <c r="G36" s="2129"/>
      <c r="H36" s="2130"/>
    </row>
    <row r="37" spans="1:8">
      <c r="A37" s="2113"/>
      <c r="B37" s="2131"/>
      <c r="C37" s="2132"/>
      <c r="D37" s="2132"/>
      <c r="E37" s="2132"/>
      <c r="F37" s="2132"/>
      <c r="G37" s="2132"/>
      <c r="H37" s="2133"/>
    </row>
    <row r="38" ht="15" customHeight="1" spans="1:8">
      <c r="A38" s="2113"/>
      <c r="B38" s="2117" t="s">
        <v>279</v>
      </c>
      <c r="C38" s="2117" t="s">
        <v>253</v>
      </c>
      <c r="D38" s="2117" t="s">
        <v>255</v>
      </c>
      <c r="E38" s="2117" t="s">
        <v>256</v>
      </c>
      <c r="F38" s="2117" t="s">
        <v>258</v>
      </c>
      <c r="G38" s="2117" t="s">
        <v>280</v>
      </c>
      <c r="H38" s="2118" t="s">
        <v>263</v>
      </c>
    </row>
    <row r="39" ht="15" customHeight="1" spans="1:8">
      <c r="A39" s="2119" t="s">
        <v>281</v>
      </c>
      <c r="B39" s="2120">
        <v>220000000</v>
      </c>
      <c r="C39" s="2120">
        <v>0</v>
      </c>
      <c r="D39" s="2120">
        <v>0</v>
      </c>
      <c r="E39" s="2120">
        <v>898374.49</v>
      </c>
      <c r="F39" s="2120">
        <v>4543595.95</v>
      </c>
      <c r="G39" s="2120"/>
      <c r="H39" s="2121">
        <f t="shared" ref="H39:H64" si="11">ROUND(SUM(B39:G39)-2*D39,2)</f>
        <v>225441970.44</v>
      </c>
    </row>
    <row r="40" ht="15" customHeight="1" spans="1:8">
      <c r="A40" s="2122" t="s">
        <v>282</v>
      </c>
      <c r="B40" s="2120"/>
      <c r="C40" s="2120"/>
      <c r="D40" s="2120"/>
      <c r="E40" s="2120"/>
      <c r="F40" s="2120"/>
      <c r="G40" s="2120"/>
      <c r="H40" s="2121">
        <f t="shared" si="11"/>
        <v>0</v>
      </c>
    </row>
    <row r="41" ht="15" customHeight="1" spans="1:8">
      <c r="A41" s="2122" t="s">
        <v>283</v>
      </c>
      <c r="B41" s="2120"/>
      <c r="C41" s="2120"/>
      <c r="D41" s="2120"/>
      <c r="E41" s="2120"/>
      <c r="F41" s="2123">
        <f>ROUND(F42-F39-F40,2)</f>
        <v>-14788323.98</v>
      </c>
      <c r="G41" s="2120"/>
      <c r="H41" s="2121">
        <f t="shared" si="11"/>
        <v>-14788323.98</v>
      </c>
    </row>
    <row r="42" ht="15" customHeight="1" spans="1:8">
      <c r="A42" s="2119" t="s">
        <v>284</v>
      </c>
      <c r="B42" s="2123">
        <f t="shared" ref="B42:G42" si="12">ROUND(B39+B40+B41,2)</f>
        <v>220000000</v>
      </c>
      <c r="C42" s="2123">
        <f t="shared" si="12"/>
        <v>0</v>
      </c>
      <c r="D42" s="2123">
        <f t="shared" si="12"/>
        <v>0</v>
      </c>
      <c r="E42" s="2123">
        <f t="shared" si="12"/>
        <v>898374.49</v>
      </c>
      <c r="F42" s="2123">
        <f>ROUND(未审利润表!D37,2)</f>
        <v>-10244728.03</v>
      </c>
      <c r="G42" s="2123">
        <f t="shared" si="12"/>
        <v>0</v>
      </c>
      <c r="H42" s="2121">
        <f t="shared" si="11"/>
        <v>210653646.46</v>
      </c>
    </row>
    <row r="43" ht="15" customHeight="1" spans="1:8">
      <c r="A43" s="2119" t="s">
        <v>285</v>
      </c>
      <c r="B43" s="2123">
        <f t="shared" ref="B43:G43" si="13">ROUND(B50+B51+B55+B59,2)</f>
        <v>-100000000</v>
      </c>
      <c r="C43" s="2123">
        <f t="shared" si="13"/>
        <v>5756259.26</v>
      </c>
      <c r="D43" s="2123">
        <f t="shared" si="13"/>
        <v>0</v>
      </c>
      <c r="E43" s="2123">
        <f t="shared" si="13"/>
        <v>-898374.49</v>
      </c>
      <c r="F43" s="2123">
        <f t="shared" si="13"/>
        <v>-7087268.14</v>
      </c>
      <c r="G43" s="2123">
        <f t="shared" si="13"/>
        <v>0</v>
      </c>
      <c r="H43" s="2121">
        <f t="shared" si="11"/>
        <v>-102229383.37</v>
      </c>
    </row>
    <row r="44" ht="15" customHeight="1" spans="1:8">
      <c r="A44" s="2119" t="s">
        <v>286</v>
      </c>
      <c r="B44" s="2123"/>
      <c r="C44" s="2123"/>
      <c r="D44" s="2123"/>
      <c r="E44" s="2123"/>
      <c r="F44" s="2123">
        <f>ROUND(未审利润表!D24,2)</f>
        <v>-7985642.63</v>
      </c>
      <c r="G44" s="2123"/>
      <c r="H44" s="2121">
        <f t="shared" si="11"/>
        <v>-7985642.63</v>
      </c>
    </row>
    <row r="45" ht="15" customHeight="1" spans="1:8">
      <c r="A45" s="2119" t="s">
        <v>287</v>
      </c>
      <c r="B45" s="2123">
        <f t="shared" ref="B45:G45" si="14">ROUND(B46+B47+B48+B49,2)</f>
        <v>0</v>
      </c>
      <c r="C45" s="2123">
        <f t="shared" si="14"/>
        <v>0</v>
      </c>
      <c r="D45" s="2123">
        <f t="shared" si="14"/>
        <v>0</v>
      </c>
      <c r="E45" s="2123">
        <f t="shared" si="14"/>
        <v>0</v>
      </c>
      <c r="F45" s="2123">
        <f t="shared" si="14"/>
        <v>0</v>
      </c>
      <c r="G45" s="2123">
        <f t="shared" si="14"/>
        <v>0</v>
      </c>
      <c r="H45" s="2121">
        <f t="shared" si="11"/>
        <v>0</v>
      </c>
    </row>
    <row r="46" ht="15" customHeight="1" spans="1:8">
      <c r="A46" s="2124" t="s">
        <v>288</v>
      </c>
      <c r="B46" s="2120"/>
      <c r="C46" s="2120"/>
      <c r="D46" s="2120"/>
      <c r="E46" s="2120"/>
      <c r="F46" s="2120"/>
      <c r="G46" s="2120"/>
      <c r="H46" s="2121">
        <f t="shared" si="11"/>
        <v>0</v>
      </c>
    </row>
    <row r="47" ht="15" customHeight="1" spans="1:8">
      <c r="A47" s="2124" t="s">
        <v>289</v>
      </c>
      <c r="B47" s="2120"/>
      <c r="C47" s="2120"/>
      <c r="D47" s="2120"/>
      <c r="E47" s="2120"/>
      <c r="F47" s="2120"/>
      <c r="G47" s="2120"/>
      <c r="H47" s="2121">
        <f t="shared" si="11"/>
        <v>0</v>
      </c>
    </row>
    <row r="48" ht="15" customHeight="1" spans="1:8">
      <c r="A48" s="2124" t="s">
        <v>290</v>
      </c>
      <c r="B48" s="2120"/>
      <c r="C48" s="2120"/>
      <c r="D48" s="2120"/>
      <c r="E48" s="2120"/>
      <c r="F48" s="2120"/>
      <c r="G48" s="2120"/>
      <c r="H48" s="2121">
        <f t="shared" si="11"/>
        <v>0</v>
      </c>
    </row>
    <row r="49" ht="15" customHeight="1" spans="1:8">
      <c r="A49" s="2124" t="s">
        <v>291</v>
      </c>
      <c r="B49" s="2120"/>
      <c r="C49" s="2120"/>
      <c r="D49" s="2120"/>
      <c r="E49" s="2120"/>
      <c r="F49" s="2120"/>
      <c r="G49" s="2120"/>
      <c r="H49" s="2121">
        <f t="shared" si="11"/>
        <v>0</v>
      </c>
    </row>
    <row r="50" ht="15" customHeight="1" spans="1:8">
      <c r="A50" s="2119" t="s">
        <v>292</v>
      </c>
      <c r="B50" s="2123">
        <f t="shared" ref="B50:G50" si="15">ROUND(B44+B45,2)</f>
        <v>0</v>
      </c>
      <c r="C50" s="2123">
        <f t="shared" si="15"/>
        <v>0</v>
      </c>
      <c r="D50" s="2123">
        <f t="shared" si="15"/>
        <v>0</v>
      </c>
      <c r="E50" s="2123">
        <f t="shared" si="15"/>
        <v>0</v>
      </c>
      <c r="F50" s="2123">
        <f t="shared" si="15"/>
        <v>-7985642.63</v>
      </c>
      <c r="G50" s="2123">
        <f t="shared" si="15"/>
        <v>0</v>
      </c>
      <c r="H50" s="2121">
        <f t="shared" si="11"/>
        <v>-7985642.63</v>
      </c>
    </row>
    <row r="51" ht="15" customHeight="1" spans="1:8">
      <c r="A51" s="2119" t="s">
        <v>293</v>
      </c>
      <c r="B51" s="2123">
        <f t="shared" ref="B51:G51" si="16">ROUND(B52+B53+B54,2)</f>
        <v>-100000000</v>
      </c>
      <c r="C51" s="2123">
        <f t="shared" si="16"/>
        <v>5756259.26</v>
      </c>
      <c r="D51" s="2123">
        <f t="shared" si="16"/>
        <v>0</v>
      </c>
      <c r="E51" s="2123">
        <f t="shared" si="16"/>
        <v>0</v>
      </c>
      <c r="F51" s="2123">
        <f t="shared" si="16"/>
        <v>0</v>
      </c>
      <c r="G51" s="2123">
        <f t="shared" si="16"/>
        <v>0</v>
      </c>
      <c r="H51" s="2121">
        <f t="shared" si="11"/>
        <v>-94243740.74</v>
      </c>
    </row>
    <row r="52" ht="15" customHeight="1" spans="1:8">
      <c r="A52" s="2124" t="s">
        <v>294</v>
      </c>
      <c r="B52" s="2120">
        <v>-100000000</v>
      </c>
      <c r="C52" s="2120">
        <v>5756259.26</v>
      </c>
      <c r="D52" s="2120"/>
      <c r="E52" s="2120"/>
      <c r="F52" s="2120"/>
      <c r="G52" s="2120"/>
      <c r="H52" s="2121">
        <f t="shared" si="11"/>
        <v>-94243740.74</v>
      </c>
    </row>
    <row r="53" ht="15" customHeight="1" spans="1:8">
      <c r="A53" s="2124" t="s">
        <v>295</v>
      </c>
      <c r="B53" s="2120"/>
      <c r="C53" s="2120"/>
      <c r="D53" s="2120"/>
      <c r="E53" s="2120"/>
      <c r="F53" s="2120"/>
      <c r="G53" s="2120"/>
      <c r="H53" s="2121">
        <f t="shared" si="11"/>
        <v>0</v>
      </c>
    </row>
    <row r="54" ht="15" customHeight="1" spans="1:8">
      <c r="A54" s="2124" t="s">
        <v>296</v>
      </c>
      <c r="B54" s="2120"/>
      <c r="C54" s="2120"/>
      <c r="D54" s="2120"/>
      <c r="E54" s="2120"/>
      <c r="F54" s="2120"/>
      <c r="G54" s="2120"/>
      <c r="H54" s="2121">
        <f t="shared" si="11"/>
        <v>0</v>
      </c>
    </row>
    <row r="55" ht="15" customHeight="1" spans="1:8">
      <c r="A55" s="2119" t="s">
        <v>297</v>
      </c>
      <c r="B55" s="2123">
        <f t="shared" ref="B55:G55" si="17">ROUND(B56+B57+B58,2)</f>
        <v>0</v>
      </c>
      <c r="C55" s="2123">
        <f t="shared" si="17"/>
        <v>0</v>
      </c>
      <c r="D55" s="2123">
        <f t="shared" si="17"/>
        <v>0</v>
      </c>
      <c r="E55" s="2123">
        <f t="shared" si="17"/>
        <v>0</v>
      </c>
      <c r="F55" s="2123">
        <f t="shared" si="17"/>
        <v>0</v>
      </c>
      <c r="G55" s="2123">
        <f t="shared" si="17"/>
        <v>0</v>
      </c>
      <c r="H55" s="2121">
        <f t="shared" si="11"/>
        <v>0</v>
      </c>
    </row>
    <row r="56" ht="15" customHeight="1" spans="1:8">
      <c r="A56" s="2124" t="s">
        <v>298</v>
      </c>
      <c r="B56" s="2120"/>
      <c r="C56" s="2120"/>
      <c r="D56" s="2120"/>
      <c r="E56" s="2120"/>
      <c r="F56" s="2120"/>
      <c r="G56" s="2120"/>
      <c r="H56" s="2121">
        <f t="shared" si="11"/>
        <v>0</v>
      </c>
    </row>
    <row r="57" ht="15" customHeight="1" spans="1:8">
      <c r="A57" s="2124" t="s">
        <v>299</v>
      </c>
      <c r="B57" s="2120"/>
      <c r="C57" s="2120"/>
      <c r="D57" s="2120"/>
      <c r="E57" s="2120"/>
      <c r="F57" s="2120"/>
      <c r="G57" s="2120"/>
      <c r="H57" s="2121">
        <f t="shared" si="11"/>
        <v>0</v>
      </c>
    </row>
    <row r="58" ht="15" customHeight="1" spans="1:8">
      <c r="A58" s="2124" t="s">
        <v>296</v>
      </c>
      <c r="B58" s="2120"/>
      <c r="C58" s="2120"/>
      <c r="D58" s="2120"/>
      <c r="E58" s="2120"/>
      <c r="F58" s="2120"/>
      <c r="G58" s="2120"/>
      <c r="H58" s="2121">
        <f t="shared" si="11"/>
        <v>0</v>
      </c>
    </row>
    <row r="59" ht="15" customHeight="1" spans="1:8">
      <c r="A59" s="2119" t="s">
        <v>300</v>
      </c>
      <c r="B59" s="2123">
        <f t="shared" ref="B59:G59" si="18">ROUND(B60+B61+B62+B63,2)</f>
        <v>0</v>
      </c>
      <c r="C59" s="2123">
        <f t="shared" si="18"/>
        <v>0</v>
      </c>
      <c r="D59" s="2123">
        <f t="shared" si="18"/>
        <v>0</v>
      </c>
      <c r="E59" s="2123">
        <f t="shared" si="18"/>
        <v>-898374.49</v>
      </c>
      <c r="F59" s="2123">
        <f t="shared" si="18"/>
        <v>898374.49</v>
      </c>
      <c r="G59" s="2123">
        <f t="shared" si="18"/>
        <v>0</v>
      </c>
      <c r="H59" s="2121">
        <f t="shared" si="11"/>
        <v>0</v>
      </c>
    </row>
    <row r="60" ht="15" customHeight="1" spans="1:8">
      <c r="A60" s="2124" t="s">
        <v>301</v>
      </c>
      <c r="B60" s="2120"/>
      <c r="C60" s="2120"/>
      <c r="D60" s="2120"/>
      <c r="E60" s="2120"/>
      <c r="F60" s="2120"/>
      <c r="G60" s="2120"/>
      <c r="H60" s="2121">
        <f t="shared" si="11"/>
        <v>0</v>
      </c>
    </row>
    <row r="61" ht="15" customHeight="1" spans="1:8">
      <c r="A61" s="2124" t="s">
        <v>302</v>
      </c>
      <c r="B61" s="2120"/>
      <c r="C61" s="2120"/>
      <c r="D61" s="2120"/>
      <c r="E61" s="2120"/>
      <c r="F61" s="2120"/>
      <c r="G61" s="2120"/>
      <c r="H61" s="2121">
        <f t="shared" si="11"/>
        <v>0</v>
      </c>
    </row>
    <row r="62" ht="15" customHeight="1" spans="1:8">
      <c r="A62" s="2124" t="s">
        <v>303</v>
      </c>
      <c r="B62" s="2120"/>
      <c r="C62" s="2120"/>
      <c r="D62" s="2120"/>
      <c r="E62" s="2120">
        <f>-E39</f>
        <v>-898374.49</v>
      </c>
      <c r="F62" s="2120">
        <f>-E62</f>
        <v>898374.49</v>
      </c>
      <c r="G62" s="2120"/>
      <c r="H62" s="2121">
        <f t="shared" si="11"/>
        <v>0</v>
      </c>
    </row>
    <row r="63" ht="15" customHeight="1" spans="1:8">
      <c r="A63" s="2124" t="s">
        <v>291</v>
      </c>
      <c r="B63" s="2120"/>
      <c r="C63" s="2120"/>
      <c r="D63" s="2120"/>
      <c r="E63" s="2120"/>
      <c r="F63" s="2120"/>
      <c r="G63" s="2120"/>
      <c r="H63" s="2121">
        <f t="shared" si="11"/>
        <v>0</v>
      </c>
    </row>
    <row r="64" ht="15" customHeight="1" spans="1:8">
      <c r="A64" s="2125" t="s">
        <v>304</v>
      </c>
      <c r="B64" s="2126">
        <f t="shared" ref="B64:G64" si="19">ROUND(B42+B43,2)</f>
        <v>120000000</v>
      </c>
      <c r="C64" s="2126">
        <f t="shared" si="19"/>
        <v>5756259.26</v>
      </c>
      <c r="D64" s="2126">
        <f t="shared" si="19"/>
        <v>0</v>
      </c>
      <c r="E64" s="2126">
        <f t="shared" si="19"/>
        <v>0</v>
      </c>
      <c r="F64" s="2126">
        <f t="shared" si="19"/>
        <v>-17331996.17</v>
      </c>
      <c r="G64" s="2126">
        <f t="shared" si="19"/>
        <v>0</v>
      </c>
      <c r="H64" s="2127">
        <f t="shared" si="11"/>
        <v>108424263.09</v>
      </c>
    </row>
    <row r="65" ht="15"/>
  </sheetData>
  <sheetProtection password="CF6E" sheet="1" objects="1" scenario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2" stopIfTrue="1" operator="notEqual">
      <formula>""</formula>
    </cfRule>
  </conditionalFormatting>
  <conditionalFormatting sqref="B2:G2 B34:G34">
    <cfRule type="cellIs" dxfId="1" priority="1" stopIfTrue="1" operator="notEqual">
      <formula>0</formula>
    </cfRule>
  </conditionalFormatting>
  <printOptions horizontalCentered="1"/>
  <pageMargins left="0.2" right="0.21" top="0.6" bottom="0.4" header="0.21" footer="0.21"/>
  <pageSetup paperSize="9" orientation="landscape" blackAndWhite="1"/>
  <headerFooter alignWithMargins="0">
    <oddHeader>&amp;L&amp;10未审报表：</oddHead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9"/>
  <sheetViews>
    <sheetView workbookViewId="0">
      <pane xSplit="3" ySplit="5" topLeftCell="E12" activePane="bottomRight" state="frozen"/>
      <selection/>
      <selection pane="topRight"/>
      <selection pane="bottomLeft"/>
      <selection pane="bottomRight" activeCell="H28" sqref="H28:I28"/>
    </sheetView>
  </sheetViews>
  <sheetFormatPr defaultColWidth="9" defaultRowHeight="14.25"/>
  <cols>
    <col min="1" max="1" width="31.875" customWidth="1"/>
    <col min="2" max="2" width="6.375" customWidth="1"/>
    <col min="3" max="3" width="15.5" customWidth="1"/>
    <col min="4" max="4" width="2" hidden="1" customWidth="1"/>
    <col min="5" max="6" width="15.625" customWidth="1"/>
    <col min="7" max="9" width="17.875" customWidth="1"/>
  </cols>
  <sheetData>
    <row r="1" ht="25.5" spans="1:9">
      <c r="A1" s="2709" t="s">
        <v>60</v>
      </c>
      <c r="B1" s="2788"/>
      <c r="C1" s="2789"/>
      <c r="D1" s="2789"/>
      <c r="E1" s="2789"/>
      <c r="F1" s="2789"/>
      <c r="G1" s="2790"/>
      <c r="H1" s="2790"/>
      <c r="I1" s="312" t="s">
        <v>306</v>
      </c>
    </row>
    <row r="2" ht="15.75" spans="1:9">
      <c r="A2" s="2791"/>
      <c r="B2" s="2713"/>
      <c r="C2" s="2792"/>
      <c r="D2" s="2792"/>
      <c r="E2" s="2792"/>
      <c r="F2" s="2793"/>
      <c r="G2" s="2790"/>
      <c r="H2" s="2790"/>
      <c r="I2" s="2790"/>
    </row>
    <row r="3" ht="15" spans="1:9">
      <c r="A3" s="2794" t="str">
        <f>未审资负表!A3</f>
        <v>编制单位：深圳新阳蓝光能源管理科技股份有限公司</v>
      </c>
      <c r="B3" s="2716"/>
      <c r="C3" s="2795" t="str">
        <f>审定利润表!B3</f>
        <v>2016年度</v>
      </c>
      <c r="D3" s="2795"/>
      <c r="E3" s="2713"/>
      <c r="F3" s="2796"/>
      <c r="G3" s="2790"/>
      <c r="H3" s="2790"/>
      <c r="I3" s="2790"/>
    </row>
    <row r="4" ht="15" spans="1:9">
      <c r="A4" s="2797" t="s">
        <v>61</v>
      </c>
      <c r="B4" s="2798" t="s">
        <v>62</v>
      </c>
      <c r="C4" s="2799" t="s">
        <v>63</v>
      </c>
      <c r="D4" s="2799"/>
      <c r="E4" s="2799" t="s">
        <v>63</v>
      </c>
      <c r="F4" s="2800" t="s">
        <v>63</v>
      </c>
      <c r="G4" s="2801" t="s">
        <v>307</v>
      </c>
      <c r="H4" s="2801" t="s">
        <v>307</v>
      </c>
      <c r="I4" s="2839" t="s">
        <v>307</v>
      </c>
    </row>
    <row r="5" spans="1:9">
      <c r="A5" s="2802"/>
      <c r="B5" s="2803"/>
      <c r="C5" s="2804" t="s">
        <v>308</v>
      </c>
      <c r="D5" s="2804"/>
      <c r="E5" s="2804" t="s">
        <v>309</v>
      </c>
      <c r="F5" s="2805" t="s">
        <v>310</v>
      </c>
      <c r="G5" s="2806" t="s">
        <v>311</v>
      </c>
      <c r="H5" s="2804" t="s">
        <v>309</v>
      </c>
      <c r="I5" s="2805" t="s">
        <v>310</v>
      </c>
    </row>
    <row r="6" spans="1:9">
      <c r="A6" s="2807" t="s">
        <v>77</v>
      </c>
      <c r="B6" s="2808" t="s">
        <v>78</v>
      </c>
      <c r="C6" s="2740">
        <f>审定利润表!C6</f>
        <v>120097563.96</v>
      </c>
      <c r="D6" s="2809"/>
      <c r="E6" s="2738"/>
      <c r="F6" s="2810">
        <f>$C6-SUM($D6:E6)</f>
        <v>120097563.96</v>
      </c>
      <c r="G6" s="2740">
        <f t="shared" ref="G6:G16" si="0">ROUND(SUM(H6:I6),2)</f>
        <v>0</v>
      </c>
      <c r="H6" s="2738"/>
      <c r="I6" s="2840"/>
    </row>
    <row r="7" spans="1:9">
      <c r="A7" s="2802" t="s">
        <v>79</v>
      </c>
      <c r="B7" s="2808" t="s">
        <v>78</v>
      </c>
      <c r="C7" s="2740">
        <f>审定利润表!C7</f>
        <v>65501451.94</v>
      </c>
      <c r="D7" s="2809"/>
      <c r="E7" s="2738"/>
      <c r="F7" s="2810">
        <f>$C7-SUM($D7:E7)</f>
        <v>65501451.94</v>
      </c>
      <c r="G7" s="2740">
        <f t="shared" si="0"/>
        <v>0</v>
      </c>
      <c r="H7" s="2738"/>
      <c r="I7" s="2840"/>
    </row>
    <row r="8" spans="1:9">
      <c r="A8" s="2802" t="s">
        <v>80</v>
      </c>
      <c r="B8" s="2808" t="s">
        <v>81</v>
      </c>
      <c r="C8" s="2740">
        <f>审定利润表!C8</f>
        <v>373643.83</v>
      </c>
      <c r="D8" s="2809"/>
      <c r="E8" s="2738"/>
      <c r="F8" s="2810">
        <f>$C8-SUM($D8:E8)</f>
        <v>373643.83</v>
      </c>
      <c r="G8" s="2740">
        <f t="shared" si="0"/>
        <v>0</v>
      </c>
      <c r="H8" s="2738"/>
      <c r="I8" s="2840"/>
    </row>
    <row r="9" spans="1:9">
      <c r="A9" s="2802" t="s">
        <v>82</v>
      </c>
      <c r="B9" s="2808" t="s">
        <v>83</v>
      </c>
      <c r="C9" s="2740">
        <f>审定利润表!C9</f>
        <v>11918966.31</v>
      </c>
      <c r="D9" s="2809"/>
      <c r="E9" s="2738"/>
      <c r="F9" s="2810">
        <f>$C9-SUM($D9:E9)</f>
        <v>11918966.31</v>
      </c>
      <c r="G9" s="2740">
        <f t="shared" si="0"/>
        <v>0</v>
      </c>
      <c r="H9" s="2738"/>
      <c r="I9" s="2840"/>
    </row>
    <row r="10" spans="1:9">
      <c r="A10" s="2802" t="s">
        <v>84</v>
      </c>
      <c r="B10" s="2808" t="s">
        <v>83</v>
      </c>
      <c r="C10" s="2740">
        <f>审定利润表!C10</f>
        <v>13092697.23</v>
      </c>
      <c r="D10" s="2809"/>
      <c r="E10" s="2738"/>
      <c r="F10" s="2810">
        <f>$C10-SUM($D10:E10)</f>
        <v>13092697.23</v>
      </c>
      <c r="G10" s="2740">
        <f t="shared" si="0"/>
        <v>0</v>
      </c>
      <c r="H10" s="2738"/>
      <c r="I10" s="2840"/>
    </row>
    <row r="11" spans="1:9">
      <c r="A11" s="2802" t="s">
        <v>85</v>
      </c>
      <c r="B11" s="2808" t="s">
        <v>83</v>
      </c>
      <c r="C11" s="2740">
        <f>审定利润表!C11</f>
        <v>17583927.65</v>
      </c>
      <c r="D11" s="2809"/>
      <c r="E11" s="2738"/>
      <c r="F11" s="2810">
        <f>$C11-SUM($D11:E11)</f>
        <v>17583927.65</v>
      </c>
      <c r="G11" s="2740">
        <f t="shared" si="0"/>
        <v>0</v>
      </c>
      <c r="H11" s="2738"/>
      <c r="I11" s="2840"/>
    </row>
    <row r="12" spans="1:9">
      <c r="A12" s="2802" t="s">
        <v>86</v>
      </c>
      <c r="B12" s="2808" t="s">
        <v>87</v>
      </c>
      <c r="C12" s="2740">
        <f>审定利润表!C12</f>
        <v>1792140.07</v>
      </c>
      <c r="D12" s="2809"/>
      <c r="E12" s="2738"/>
      <c r="F12" s="2810">
        <f>$C12-SUM($D12:E12)</f>
        <v>1792140.07</v>
      </c>
      <c r="G12" s="2740">
        <f t="shared" si="0"/>
        <v>0</v>
      </c>
      <c r="H12" s="2738"/>
      <c r="I12" s="2840"/>
    </row>
    <row r="13" spans="1:9">
      <c r="A13" s="2802" t="s">
        <v>88</v>
      </c>
      <c r="B13" s="2808" t="s">
        <v>89</v>
      </c>
      <c r="C13" s="2740">
        <f>审定利润表!C13</f>
        <v>0</v>
      </c>
      <c r="D13" s="2809"/>
      <c r="E13" s="2738"/>
      <c r="F13" s="2810">
        <f>$C13-SUM($D13:E13)</f>
        <v>0</v>
      </c>
      <c r="G13" s="2740">
        <f t="shared" si="0"/>
        <v>0</v>
      </c>
      <c r="H13" s="2738"/>
      <c r="I13" s="2840"/>
    </row>
    <row r="14" spans="1:9">
      <c r="A14" s="2802" t="s">
        <v>90</v>
      </c>
      <c r="B14" s="2808" t="s">
        <v>91</v>
      </c>
      <c r="C14" s="2740">
        <f>审定利润表!C14</f>
        <v>0</v>
      </c>
      <c r="D14" s="2809"/>
      <c r="E14" s="2738"/>
      <c r="F14" s="2810">
        <f>$C14-SUM($D14:E14)</f>
        <v>0</v>
      </c>
      <c r="G14" s="2740">
        <f t="shared" si="0"/>
        <v>0</v>
      </c>
      <c r="H14" s="2738"/>
      <c r="I14" s="2840"/>
    </row>
    <row r="15" spans="1:9">
      <c r="A15" s="2802" t="s">
        <v>92</v>
      </c>
      <c r="B15" s="2732"/>
      <c r="C15" s="2740">
        <f>审定利润表!C15</f>
        <v>0</v>
      </c>
      <c r="D15" s="2809"/>
      <c r="E15" s="2738"/>
      <c r="F15" s="2810">
        <f>$C15-SUM($D15:E15)</f>
        <v>0</v>
      </c>
      <c r="G15" s="2740">
        <f t="shared" si="0"/>
        <v>0</v>
      </c>
      <c r="H15" s="2738"/>
      <c r="I15" s="2840"/>
    </row>
    <row r="16" spans="1:9">
      <c r="A16" s="2802" t="s">
        <v>93</v>
      </c>
      <c r="B16" s="2732"/>
      <c r="C16" s="2740">
        <f>审定利润表!C17</f>
        <v>0</v>
      </c>
      <c r="D16" s="2809"/>
      <c r="E16" s="2738"/>
      <c r="F16" s="2810">
        <f>$C16-SUM($D16:E16)</f>
        <v>0</v>
      </c>
      <c r="G16" s="2740">
        <f t="shared" si="0"/>
        <v>0</v>
      </c>
      <c r="H16" s="2738"/>
      <c r="I16" s="2840"/>
    </row>
    <row r="17" spans="1:9">
      <c r="A17" s="2802"/>
      <c r="B17" s="2732"/>
      <c r="C17" s="2809"/>
      <c r="D17" s="2809"/>
      <c r="E17" s="2809"/>
      <c r="F17" s="2811"/>
      <c r="G17" s="2809"/>
      <c r="H17" s="2809"/>
      <c r="I17" s="2811"/>
    </row>
    <row r="18" spans="1:9">
      <c r="A18" s="2807" t="s">
        <v>94</v>
      </c>
      <c r="B18" s="2750"/>
      <c r="C18" s="2812">
        <f>审定利润表!C19</f>
        <v>9834736.93</v>
      </c>
      <c r="D18" s="2813"/>
      <c r="E18" s="2812">
        <f>ROUND(E6-SUM(E7:E12)+E13+E14+E16,2)</f>
        <v>0</v>
      </c>
      <c r="F18" s="2814">
        <f t="shared" ref="F18:H18" si="1">ROUND(F6-SUM(F7:F12)+F13+F14+F16,2)</f>
        <v>9834736.93</v>
      </c>
      <c r="G18" s="2812">
        <f t="shared" si="1"/>
        <v>0</v>
      </c>
      <c r="H18" s="2812">
        <f t="shared" si="1"/>
        <v>0</v>
      </c>
      <c r="I18" s="2814">
        <f t="shared" ref="I18" si="2">ROUND(I6-SUM(I7:I12)+I13+I14+I16,2)</f>
        <v>0</v>
      </c>
    </row>
    <row r="19" spans="1:9">
      <c r="A19" s="2802" t="s">
        <v>95</v>
      </c>
      <c r="B19" s="2808" t="s">
        <v>96</v>
      </c>
      <c r="C19" s="2740">
        <f>审定利润表!C20</f>
        <v>853546.58</v>
      </c>
      <c r="D19" s="2809"/>
      <c r="E19" s="2738"/>
      <c r="F19" s="2810">
        <f>$C19-SUM($D19:E19)</f>
        <v>853546.58</v>
      </c>
      <c r="G19" s="2740">
        <f>ROUND(SUM(H19:I19),2)</f>
        <v>0</v>
      </c>
      <c r="H19" s="2738"/>
      <c r="I19" s="2840"/>
    </row>
    <row r="20" spans="1:9">
      <c r="A20" s="2802" t="s">
        <v>97</v>
      </c>
      <c r="B20" s="2808" t="s">
        <v>98</v>
      </c>
      <c r="C20" s="2740">
        <f>审定利润表!C21</f>
        <v>2139962.48</v>
      </c>
      <c r="D20" s="2809"/>
      <c r="E20" s="2738"/>
      <c r="F20" s="2810">
        <f>$C20-SUM($D20:E20)</f>
        <v>2139962.48</v>
      </c>
      <c r="G20" s="2740">
        <f>ROUND(SUM(H20:I20),2)</f>
        <v>0</v>
      </c>
      <c r="H20" s="2738"/>
      <c r="I20" s="2840"/>
    </row>
    <row r="21" spans="1:9">
      <c r="A21" s="2802" t="s">
        <v>99</v>
      </c>
      <c r="B21" s="2732"/>
      <c r="C21" s="2740">
        <f>审定利润表!C27</f>
        <v>8831644.55</v>
      </c>
      <c r="D21" s="2809"/>
      <c r="E21" s="2738"/>
      <c r="F21" s="2810">
        <f>$C21-SUM($D21:E21)</f>
        <v>8831644.55</v>
      </c>
      <c r="G21" s="2740">
        <f>ROUND(SUM(H21:I21),2)</f>
        <v>0</v>
      </c>
      <c r="H21" s="2815"/>
      <c r="I21" s="2840"/>
    </row>
    <row r="22" spans="1:9">
      <c r="A22" s="2802"/>
      <c r="B22" s="2732"/>
      <c r="C22" s="2809"/>
      <c r="D22" s="2809"/>
      <c r="E22" s="2809"/>
      <c r="F22" s="2811"/>
      <c r="G22" s="2809"/>
      <c r="H22" s="2809"/>
      <c r="I22" s="2811"/>
    </row>
    <row r="23" spans="1:9">
      <c r="A23" s="2807" t="s">
        <v>100</v>
      </c>
      <c r="B23" s="2732"/>
      <c r="C23" s="2812">
        <f>审定利润表!C22</f>
        <v>8548321.03</v>
      </c>
      <c r="D23" s="2813"/>
      <c r="E23" s="2812">
        <f>ROUND(E18+E19-E20,2)</f>
        <v>0</v>
      </c>
      <c r="F23" s="2814">
        <f t="shared" ref="F23" si="3">ROUND(F18+F19-F20,2)</f>
        <v>8548321.03</v>
      </c>
      <c r="G23" s="2740">
        <f>ROUND(SUM(H23:I23),2)</f>
        <v>0</v>
      </c>
      <c r="H23" s="2812">
        <f t="shared" ref="H23:I23" si="4">H18+H19-H20</f>
        <v>0</v>
      </c>
      <c r="I23" s="2814">
        <f t="shared" si="4"/>
        <v>0</v>
      </c>
    </row>
    <row r="24" spans="1:9">
      <c r="A24" s="2802" t="s">
        <v>101</v>
      </c>
      <c r="B24" s="2808" t="s">
        <v>102</v>
      </c>
      <c r="C24" s="2740">
        <f>审定利润表!C23</f>
        <v>-283323.52</v>
      </c>
      <c r="D24" s="2809"/>
      <c r="E24" s="2738"/>
      <c r="F24" s="2810">
        <f>$C24-SUM($D24:E24)</f>
        <v>-283323.52</v>
      </c>
      <c r="G24" s="2740">
        <f>ROUND(SUM(H24:I24),2)</f>
        <v>0</v>
      </c>
      <c r="H24" s="2738"/>
      <c r="I24" s="2840"/>
    </row>
    <row r="25" spans="1:9">
      <c r="A25" s="2802"/>
      <c r="B25" s="2732"/>
      <c r="C25" s="2809"/>
      <c r="D25" s="2809"/>
      <c r="E25" s="2809"/>
      <c r="F25" s="2811"/>
      <c r="G25" s="2809"/>
      <c r="H25" s="2809"/>
      <c r="I25" s="2811"/>
    </row>
    <row r="26" spans="1:9">
      <c r="A26" s="2807" t="s">
        <v>103</v>
      </c>
      <c r="B26" s="2750"/>
      <c r="C26" s="2812">
        <f>审定利润表!C24</f>
        <v>8831644.55</v>
      </c>
      <c r="D26" s="2813"/>
      <c r="E26" s="2812">
        <f>ROUND(E23-E24,2)</f>
        <v>0</v>
      </c>
      <c r="F26" s="2814">
        <f t="shared" ref="F26:H26" si="5">ROUND(F23-F24,2)</f>
        <v>8831644.55</v>
      </c>
      <c r="G26" s="2812">
        <f t="shared" si="5"/>
        <v>0</v>
      </c>
      <c r="H26" s="2812">
        <f t="shared" si="5"/>
        <v>0</v>
      </c>
      <c r="I26" s="2814">
        <f t="shared" ref="I26" si="6">ROUND(I23-I24,2)</f>
        <v>0</v>
      </c>
    </row>
    <row r="27" spans="1:9">
      <c r="A27" s="2802" t="s">
        <v>104</v>
      </c>
      <c r="B27" s="2732"/>
      <c r="C27" s="2812">
        <f>审定利润表!C25</f>
        <v>8831644.55</v>
      </c>
      <c r="D27" s="2813"/>
      <c r="E27" s="2812">
        <f t="shared" ref="E27:F27" si="7">E26-E28</f>
        <v>0</v>
      </c>
      <c r="F27" s="2814">
        <f t="shared" si="7"/>
        <v>8831644.55</v>
      </c>
      <c r="G27" s="2740">
        <f>ROUND(SUM(H27:I27),2)</f>
        <v>0</v>
      </c>
      <c r="H27" s="2812">
        <f>H26-H28</f>
        <v>0</v>
      </c>
      <c r="I27" s="2814">
        <f t="shared" ref="I27" si="8">I26-I28</f>
        <v>0</v>
      </c>
    </row>
    <row r="28" spans="1:9">
      <c r="A28" s="2802" t="s">
        <v>105</v>
      </c>
      <c r="B28" s="2732"/>
      <c r="C28" s="2740">
        <f>审定利润表!C26</f>
        <v>0</v>
      </c>
      <c r="D28" s="2809"/>
      <c r="E28" s="2738"/>
      <c r="F28" s="2810">
        <f>$C28-SUM($D28:E28)</f>
        <v>0</v>
      </c>
      <c r="G28" s="2740">
        <f>ROUND(SUM(H28:I28),2)</f>
        <v>0</v>
      </c>
      <c r="H28" s="2816"/>
      <c r="I28" s="2841"/>
    </row>
    <row r="29" spans="1:9">
      <c r="A29" s="2802"/>
      <c r="B29" s="2750"/>
      <c r="C29" s="2817"/>
      <c r="D29" s="2817"/>
      <c r="E29" s="2817"/>
      <c r="F29" s="2818"/>
      <c r="G29" s="2817"/>
      <c r="H29" s="2817"/>
      <c r="I29" s="2818"/>
    </row>
    <row r="30" spans="1:9">
      <c r="A30" s="2807" t="s">
        <v>106</v>
      </c>
      <c r="B30" s="2750"/>
      <c r="C30" s="2817"/>
      <c r="D30" s="2817"/>
      <c r="E30" s="2817"/>
      <c r="F30" s="2818"/>
      <c r="G30" s="2817"/>
      <c r="H30" s="2817"/>
      <c r="I30" s="2818"/>
    </row>
    <row r="31" spans="1:9">
      <c r="A31" s="2802" t="s">
        <v>107</v>
      </c>
      <c r="B31" s="2750"/>
      <c r="C31" s="2815"/>
      <c r="D31" s="2815"/>
      <c r="E31" s="2815"/>
      <c r="F31" s="2819"/>
      <c r="G31" s="2815"/>
      <c r="H31" s="2815"/>
      <c r="I31" s="2819"/>
    </row>
    <row r="32" ht="15" spans="1:9">
      <c r="A32" s="2820" t="s">
        <v>108</v>
      </c>
      <c r="B32" s="2821"/>
      <c r="C32" s="2822"/>
      <c r="D32" s="2822"/>
      <c r="E32" s="2822"/>
      <c r="F32" s="2823"/>
      <c r="G32" s="2822"/>
      <c r="H32" s="2822"/>
      <c r="I32" s="2823"/>
    </row>
    <row r="33" ht="15" spans="1:9">
      <c r="A33" s="2824"/>
      <c r="B33" s="2825"/>
      <c r="C33" s="2826"/>
      <c r="D33" s="2826"/>
      <c r="E33" s="2826"/>
      <c r="F33" s="2826"/>
      <c r="G33" s="2827"/>
      <c r="H33" s="2828"/>
      <c r="I33" s="2827"/>
    </row>
    <row r="34" ht="15" spans="1:9">
      <c r="A34" s="2829" t="s">
        <v>109</v>
      </c>
      <c r="B34" s="2825"/>
      <c r="C34" s="2826"/>
      <c r="D34" s="2826"/>
      <c r="E34" s="2826"/>
      <c r="F34" s="2826"/>
      <c r="G34" s="2830"/>
      <c r="H34" s="2828"/>
      <c r="I34" s="2827"/>
    </row>
    <row r="35" ht="15" spans="1:9">
      <c r="A35" s="2831" t="s">
        <v>110</v>
      </c>
      <c r="B35" s="2832"/>
      <c r="C35" s="2833">
        <f>审定利润表!C36</f>
        <v>8831644.55</v>
      </c>
      <c r="D35" s="2834"/>
      <c r="E35" s="2833">
        <f>E27</f>
        <v>0</v>
      </c>
      <c r="F35" s="2835">
        <f t="shared" ref="F35" si="9">F27</f>
        <v>8831644.55</v>
      </c>
      <c r="G35" s="2833">
        <f>审定利润表!D36</f>
        <v>-10590731.64</v>
      </c>
      <c r="H35" s="2834"/>
      <c r="I35" s="2842"/>
    </row>
    <row r="36" spans="1:9">
      <c r="A36" s="2802" t="s">
        <v>111</v>
      </c>
      <c r="B36" s="2750"/>
      <c r="C36" s="2740">
        <f>审定利润表!C37</f>
        <v>-36686290.04</v>
      </c>
      <c r="D36" s="2809"/>
      <c r="E36" s="2740">
        <f>C36</f>
        <v>-36686290.04</v>
      </c>
      <c r="F36" s="2836">
        <f>C36</f>
        <v>-36686290.04</v>
      </c>
      <c r="G36" s="2740">
        <f>审定利润表!D37</f>
        <v>-7295558.4</v>
      </c>
      <c r="H36" s="2817"/>
      <c r="I36" s="2818"/>
    </row>
    <row r="37" spans="1:9">
      <c r="A37" s="2802" t="s">
        <v>112</v>
      </c>
      <c r="B37" s="2750"/>
      <c r="C37" s="2740">
        <f>审定利润表!C38</f>
        <v>0</v>
      </c>
      <c r="D37" s="2809"/>
      <c r="E37" s="2738"/>
      <c r="F37" s="2836">
        <f>$C37-SUM($D37:E37)</f>
        <v>0</v>
      </c>
      <c r="G37" s="2740">
        <f>审定利润表!D38</f>
        <v>18800000</v>
      </c>
      <c r="H37" s="2817"/>
      <c r="I37" s="2818"/>
    </row>
    <row r="38" ht="15" spans="1:9">
      <c r="A38" s="2820" t="s">
        <v>113</v>
      </c>
      <c r="B38" s="2753"/>
      <c r="C38" s="2837">
        <f>审定利润表!C39</f>
        <v>-27854645.49</v>
      </c>
      <c r="D38" s="2821"/>
      <c r="E38" s="2837">
        <f>ROUND(E35+E36-E37,2)</f>
        <v>-36686290.04</v>
      </c>
      <c r="F38" s="2838">
        <f>ROUND(F35+F36-F37,2)</f>
        <v>-27854645.49</v>
      </c>
      <c r="G38" s="2837">
        <f>审定利润表!D39</f>
        <v>-36686290.04</v>
      </c>
      <c r="H38" s="2837">
        <f>ROUND(H35+H36-H37,2)</f>
        <v>0</v>
      </c>
      <c r="I38" s="2838">
        <f>ROUND(I35+I36-I37,2)</f>
        <v>0</v>
      </c>
    </row>
    <row r="39" ht="15"/>
  </sheetData>
  <sheetProtection formatCells="0" formatColumns="0" formatRows="0" insertHyperlinks="0" sort="0" autoFilter="0" pivotTables="0"/>
  <autoFilter ref="A5:F38">
    <extLst/>
  </autoFilter>
  <hyperlinks>
    <hyperlink ref="I1" location="报表附注!F1" display="【返回】报表附注"/>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19" location="报表附注!E2913" display="（六十一）"/>
    <hyperlink ref="B20" location="报表附注!E2979" display="（六十二）"/>
    <hyperlink ref="B24" location="报表附注!E2998" display="（六十三）"/>
  </hyperlinks>
  <pageMargins left="0.7" right="1.01" top="0.75" bottom="0.75" header="0.3" footer="0.3"/>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6"/>
  <sheetViews>
    <sheetView workbookViewId="0">
      <pane xSplit="4" ySplit="5" topLeftCell="E30" activePane="bottomRight" state="frozen"/>
      <selection/>
      <selection pane="topRight"/>
      <selection pane="bottomLeft"/>
      <selection pane="bottomRight" activeCell="H13" sqref="H13"/>
    </sheetView>
  </sheetViews>
  <sheetFormatPr defaultColWidth="9" defaultRowHeight="14.25"/>
  <cols>
    <col min="1" max="1" width="34.875" customWidth="1"/>
    <col min="2" max="2" width="5.25" customWidth="1"/>
    <col min="3" max="3" width="17.75" customWidth="1"/>
    <col min="4" max="4" width="17.75" hidden="1" customWidth="1"/>
    <col min="5" max="6" width="17.75" customWidth="1"/>
    <col min="7" max="9" width="18" customWidth="1"/>
  </cols>
  <sheetData>
    <row r="1" ht="21" customHeight="1" spans="1:9">
      <c r="A1" s="2709" t="s">
        <v>115</v>
      </c>
      <c r="B1" s="2710"/>
      <c r="C1" s="2710"/>
      <c r="D1" s="2710"/>
      <c r="E1" s="2710"/>
      <c r="F1" s="2710"/>
      <c r="G1" s="2711"/>
      <c r="H1" s="2711"/>
      <c r="I1" s="312" t="s">
        <v>306</v>
      </c>
    </row>
    <row r="2" spans="1:9">
      <c r="A2" s="2712" t="str">
        <f>IF(C2&lt;&gt;0,"对应列“期末现金及现金等价物余额”与资产负债表不符，相差：","")</f>
        <v>对应列“期末现金及现金等价物余额”与资产负债表不符，相差：</v>
      </c>
      <c r="B2" s="2713"/>
      <c r="C2" s="2714">
        <f>ROUND(未审资负表!C7-C49,2)</f>
        <v>4158216.16</v>
      </c>
      <c r="D2" s="2711"/>
      <c r="E2" s="2711"/>
      <c r="F2" s="2711"/>
      <c r="G2" s="2714">
        <f>ROUND(G49-G49,2)</f>
        <v>0</v>
      </c>
      <c r="H2" s="2711"/>
      <c r="I2" s="2711"/>
    </row>
    <row r="3" ht="15" spans="1:9">
      <c r="A3" s="2715" t="str">
        <f>"编制单位："&amp;参数表!C3</f>
        <v>编制单位：深圳新阳蓝光能源管理科技股份有限公司</v>
      </c>
      <c r="B3" s="2716"/>
      <c r="C3" s="2717" t="str">
        <f>审定现流表!B3</f>
        <v>2016年度</v>
      </c>
      <c r="D3" s="2717"/>
      <c r="E3" s="2717"/>
      <c r="F3" s="2717"/>
      <c r="G3" s="2718"/>
      <c r="H3" s="2717"/>
      <c r="I3" s="2717"/>
    </row>
    <row r="4" ht="15" spans="1:9">
      <c r="A4" s="2719" t="s">
        <v>61</v>
      </c>
      <c r="B4" s="2720" t="s">
        <v>62</v>
      </c>
      <c r="C4" s="2721" t="s">
        <v>63</v>
      </c>
      <c r="D4" s="2721"/>
      <c r="E4" s="2721" t="s">
        <v>63</v>
      </c>
      <c r="F4" s="2722" t="s">
        <v>63</v>
      </c>
      <c r="G4" s="2723" t="s">
        <v>307</v>
      </c>
      <c r="H4" s="2724" t="s">
        <v>307</v>
      </c>
      <c r="I4" s="2765" t="s">
        <v>307</v>
      </c>
    </row>
    <row r="5" spans="1:9">
      <c r="A5" s="2725"/>
      <c r="B5" s="2726"/>
      <c r="C5" s="2727" t="s">
        <v>308</v>
      </c>
      <c r="D5" s="2727"/>
      <c r="E5" s="2727" t="s">
        <v>309</v>
      </c>
      <c r="F5" s="2728" t="s">
        <v>310</v>
      </c>
      <c r="G5" s="2729" t="s">
        <v>311</v>
      </c>
      <c r="H5" s="2730" t="s">
        <v>309</v>
      </c>
      <c r="I5" s="2775" t="s">
        <v>310</v>
      </c>
    </row>
    <row r="6" spans="1:9">
      <c r="A6" s="2731" t="s">
        <v>116</v>
      </c>
      <c r="B6" s="2732"/>
      <c r="C6" s="2733"/>
      <c r="D6" s="2733"/>
      <c r="E6" s="2733"/>
      <c r="F6" s="2734"/>
      <c r="G6" s="2735"/>
      <c r="H6" s="2733"/>
      <c r="I6" s="2734"/>
    </row>
    <row r="7" spans="1:9">
      <c r="A7" s="2736" t="s">
        <v>117</v>
      </c>
      <c r="B7" s="2154"/>
      <c r="C7" s="2737">
        <f>审定现流表!C7</f>
        <v>60566550.55</v>
      </c>
      <c r="D7" s="2733"/>
      <c r="E7" s="2738"/>
      <c r="F7" s="2739">
        <f>$C7-SUM($D7:E7)</f>
        <v>60566550.55</v>
      </c>
      <c r="G7" s="2740">
        <f>ROUND(SUM(H7:I7),2)</f>
        <v>0</v>
      </c>
      <c r="H7" s="2738"/>
      <c r="I7" s="2751"/>
    </row>
    <row r="8" spans="1:9">
      <c r="A8" s="2736" t="s">
        <v>118</v>
      </c>
      <c r="B8" s="2154"/>
      <c r="C8" s="2737">
        <f>审定现流表!C8</f>
        <v>715762.64</v>
      </c>
      <c r="D8" s="2733"/>
      <c r="E8" s="2738"/>
      <c r="F8" s="2739">
        <f>$C8-SUM($D8:E8)</f>
        <v>715762.64</v>
      </c>
      <c r="G8" s="2740">
        <f>ROUND(SUM(H8:I8),2)</f>
        <v>0</v>
      </c>
      <c r="H8" s="2738"/>
      <c r="I8" s="2751"/>
    </row>
    <row r="9" spans="1:9">
      <c r="A9" s="2736" t="s">
        <v>119</v>
      </c>
      <c r="B9" s="2099" t="s">
        <v>120</v>
      </c>
      <c r="C9" s="2737">
        <f>审定现流表!C9</f>
        <v>15400669.23</v>
      </c>
      <c r="D9" s="2733"/>
      <c r="E9" s="2738"/>
      <c r="F9" s="2739">
        <f>$C9-SUM($D9:E9)</f>
        <v>15400669.23</v>
      </c>
      <c r="G9" s="2740">
        <f>ROUND(SUM(H9:I9),2)</f>
        <v>0</v>
      </c>
      <c r="H9" s="2738"/>
      <c r="I9" s="2751"/>
    </row>
    <row r="10" spans="1:9">
      <c r="A10" s="2741" t="s">
        <v>121</v>
      </c>
      <c r="B10" s="2742"/>
      <c r="C10" s="2743"/>
      <c r="D10" s="2744"/>
      <c r="E10" s="2745">
        <f t="shared" ref="E10:F10" si="0">ROUND(SUM(E7:E9),2)</f>
        <v>0</v>
      </c>
      <c r="F10" s="2746">
        <f t="shared" si="0"/>
        <v>76682982.42</v>
      </c>
      <c r="G10" s="2747">
        <f t="shared" ref="G10:I10" si="1">ROUND(SUM(G7:G9),2)</f>
        <v>0</v>
      </c>
      <c r="H10" s="2745">
        <f t="shared" si="1"/>
        <v>0</v>
      </c>
      <c r="I10" s="2746">
        <f t="shared" si="1"/>
        <v>0</v>
      </c>
    </row>
    <row r="11" spans="1:9">
      <c r="A11" s="2736" t="s">
        <v>122</v>
      </c>
      <c r="B11" s="2154"/>
      <c r="C11" s="2737">
        <f>审定现流表!C11</f>
        <v>84892237.23</v>
      </c>
      <c r="D11" s="2733"/>
      <c r="E11" s="2738"/>
      <c r="F11" s="2739">
        <f>$C11-SUM($D11:E11)</f>
        <v>84892237.23</v>
      </c>
      <c r="G11" s="2740">
        <f>ROUND(SUM(H11:I11),2)</f>
        <v>0</v>
      </c>
      <c r="H11" s="2738"/>
      <c r="I11" s="2751"/>
    </row>
    <row r="12" spans="1:9">
      <c r="A12" s="2736" t="s">
        <v>123</v>
      </c>
      <c r="B12" s="2154"/>
      <c r="C12" s="2737">
        <f>审定现流表!C12</f>
        <v>10228960.26</v>
      </c>
      <c r="D12" s="2733"/>
      <c r="E12" s="2738"/>
      <c r="F12" s="2739">
        <f>$C12-SUM($D12:E12)</f>
        <v>10228960.26</v>
      </c>
      <c r="G12" s="2740">
        <f>ROUND(SUM(H12:I12),2)</f>
        <v>0</v>
      </c>
      <c r="H12" s="2738"/>
      <c r="I12" s="2751"/>
    </row>
    <row r="13" spans="1:9">
      <c r="A13" s="2736" t="s">
        <v>124</v>
      </c>
      <c r="B13" s="2154"/>
      <c r="C13" s="2737">
        <f>审定现流表!C13</f>
        <v>6259149.31</v>
      </c>
      <c r="D13" s="2733"/>
      <c r="E13" s="2738"/>
      <c r="F13" s="2739">
        <f>$C13-SUM($D13:E13)</f>
        <v>6259149.31</v>
      </c>
      <c r="G13" s="2740">
        <f>ROUND(SUM(H13:I13),2)</f>
        <v>0</v>
      </c>
      <c r="H13" s="2738"/>
      <c r="I13" s="2751"/>
    </row>
    <row r="14" spans="1:9">
      <c r="A14" s="2736" t="s">
        <v>125</v>
      </c>
      <c r="B14" s="2099" t="s">
        <v>120</v>
      </c>
      <c r="C14" s="2737">
        <f>审定现流表!C14</f>
        <v>13364186.34</v>
      </c>
      <c r="D14" s="2733"/>
      <c r="E14" s="2738"/>
      <c r="F14" s="2739">
        <f>$C14-SUM($D14:E14)</f>
        <v>13364186.34</v>
      </c>
      <c r="G14" s="2740">
        <f>ROUND(SUM(H14:I14),2)</f>
        <v>0</v>
      </c>
      <c r="H14" s="2738"/>
      <c r="I14" s="2751"/>
    </row>
    <row r="15" spans="1:9">
      <c r="A15" s="2741" t="s">
        <v>126</v>
      </c>
      <c r="B15" s="2742"/>
      <c r="C15" s="2747">
        <f>审定现流表!C15</f>
        <v>114744533.14</v>
      </c>
      <c r="D15" s="2744"/>
      <c r="E15" s="2745">
        <f t="shared" ref="E15:F15" si="2">ROUND(SUM(E11:E14),2)</f>
        <v>0</v>
      </c>
      <c r="F15" s="2746">
        <f t="shared" si="2"/>
        <v>114744533.14</v>
      </c>
      <c r="G15" s="2747">
        <f t="shared" ref="G15:I15" si="3">ROUND(SUM(G11:G14),2)</f>
        <v>0</v>
      </c>
      <c r="H15" s="2745">
        <f t="shared" si="3"/>
        <v>0</v>
      </c>
      <c r="I15" s="2746">
        <f t="shared" si="3"/>
        <v>0</v>
      </c>
    </row>
    <row r="16" spans="1:9">
      <c r="A16" s="2741" t="s">
        <v>127</v>
      </c>
      <c r="B16" s="2742"/>
      <c r="C16" s="2747">
        <f>审定现流表!C16</f>
        <v>-38061550.72</v>
      </c>
      <c r="D16" s="2744"/>
      <c r="E16" s="2745">
        <f t="shared" ref="E16:F16" si="4">ROUND(E10-E15,2)</f>
        <v>0</v>
      </c>
      <c r="F16" s="2746">
        <f t="shared" si="4"/>
        <v>-38061550.72</v>
      </c>
      <c r="G16" s="2747">
        <f t="shared" ref="G16:I16" si="5">ROUND(G10-G15,2)</f>
        <v>0</v>
      </c>
      <c r="H16" s="2745">
        <f t="shared" si="5"/>
        <v>0</v>
      </c>
      <c r="I16" s="2746">
        <f t="shared" si="5"/>
        <v>0</v>
      </c>
    </row>
    <row r="17" spans="1:9">
      <c r="A17" s="2748"/>
      <c r="B17" s="2742"/>
      <c r="C17" s="2735"/>
      <c r="D17" s="2733"/>
      <c r="E17" s="2733"/>
      <c r="F17" s="2734"/>
      <c r="G17" s="2735"/>
      <c r="H17" s="2735"/>
      <c r="I17" s="2734"/>
    </row>
    <row r="18" spans="1:9">
      <c r="A18" s="2731" t="s">
        <v>128</v>
      </c>
      <c r="B18" s="2742"/>
      <c r="C18" s="2737">
        <f>审定现流表!C18</f>
        <v>0</v>
      </c>
      <c r="D18" s="2733"/>
      <c r="E18" s="2733"/>
      <c r="F18" s="2734"/>
      <c r="G18" s="2735"/>
      <c r="H18" s="2735"/>
      <c r="I18" s="2734"/>
    </row>
    <row r="19" spans="1:9">
      <c r="A19" s="2736" t="s">
        <v>129</v>
      </c>
      <c r="B19" s="2154"/>
      <c r="C19" s="2737">
        <f>审定现流表!C19</f>
        <v>0</v>
      </c>
      <c r="D19" s="2733"/>
      <c r="E19" s="2738"/>
      <c r="F19" s="2739">
        <f>$C19-SUM($D19:E19)</f>
        <v>0</v>
      </c>
      <c r="G19" s="2740">
        <f>ROUND(SUM(H19:I19),2)</f>
        <v>0</v>
      </c>
      <c r="H19" s="2738"/>
      <c r="I19" s="2751"/>
    </row>
    <row r="20" spans="1:9">
      <c r="A20" s="2736" t="s">
        <v>130</v>
      </c>
      <c r="B20" s="2154"/>
      <c r="C20" s="2737">
        <f>审定现流表!C20</f>
        <v>0</v>
      </c>
      <c r="D20" s="2733"/>
      <c r="E20" s="2738"/>
      <c r="F20" s="2739">
        <f>$C20-SUM($D20:E20)</f>
        <v>0</v>
      </c>
      <c r="G20" s="2740">
        <f>ROUND(SUM(H20:I20),2)</f>
        <v>0</v>
      </c>
      <c r="H20" s="2738"/>
      <c r="I20" s="2751"/>
    </row>
    <row r="21" spans="1:9">
      <c r="A21" s="2736" t="s">
        <v>131</v>
      </c>
      <c r="B21" s="2154"/>
      <c r="C21" s="2737">
        <f>审定现流表!C21</f>
        <v>51129.13</v>
      </c>
      <c r="D21" s="2733"/>
      <c r="E21" s="2738"/>
      <c r="F21" s="2739">
        <f>$C21-SUM($D21:E21)</f>
        <v>51129.13</v>
      </c>
      <c r="G21" s="2740">
        <f>ROUND(SUM(H21:I21),2)</f>
        <v>0</v>
      </c>
      <c r="H21" s="2738"/>
      <c r="I21" s="2751"/>
    </row>
    <row r="22" spans="1:9">
      <c r="A22" s="2736" t="s">
        <v>132</v>
      </c>
      <c r="B22" s="2154"/>
      <c r="C22" s="2737">
        <f>审定现流表!C22</f>
        <v>0</v>
      </c>
      <c r="D22" s="2733"/>
      <c r="E22" s="2738"/>
      <c r="F22" s="2739">
        <f>$C22-SUM($D22:E22)</f>
        <v>0</v>
      </c>
      <c r="G22" s="2740">
        <f>ROUND(SUM(H22:I22),2)</f>
        <v>0</v>
      </c>
      <c r="H22" s="2738"/>
      <c r="I22" s="2751"/>
    </row>
    <row r="23" spans="1:9">
      <c r="A23" s="2736" t="s">
        <v>133</v>
      </c>
      <c r="B23" s="2159" t="s">
        <v>134</v>
      </c>
      <c r="C23" s="2737">
        <f>审定现流表!C23</f>
        <v>0</v>
      </c>
      <c r="D23" s="2733"/>
      <c r="E23" s="2738"/>
      <c r="F23" s="2739">
        <f>$C23-SUM($D23:E23)</f>
        <v>0</v>
      </c>
      <c r="G23" s="2740">
        <f>ROUND(SUM(H23:I23),2)</f>
        <v>0</v>
      </c>
      <c r="H23" s="2738"/>
      <c r="I23" s="2751"/>
    </row>
    <row r="24" spans="1:9">
      <c r="A24" s="2741" t="s">
        <v>135</v>
      </c>
      <c r="B24" s="2742"/>
      <c r="C24" s="2747">
        <f>审定现流表!C24</f>
        <v>51129.13</v>
      </c>
      <c r="D24" s="2744"/>
      <c r="E24" s="2745">
        <f t="shared" ref="E24:G24" si="6">ROUND(SUM(E19:E23),2)</f>
        <v>0</v>
      </c>
      <c r="F24" s="2746">
        <f t="shared" si="6"/>
        <v>51129.13</v>
      </c>
      <c r="G24" s="2747">
        <f t="shared" si="6"/>
        <v>0</v>
      </c>
      <c r="H24" s="2745">
        <f t="shared" ref="H24" si="7">ROUND(SUM(H19:H23),2)</f>
        <v>0</v>
      </c>
      <c r="I24" s="2746">
        <f t="shared" ref="I24" si="8">ROUND(SUM(I19:I23),2)</f>
        <v>0</v>
      </c>
    </row>
    <row r="25" spans="1:9">
      <c r="A25" s="2736" t="s">
        <v>136</v>
      </c>
      <c r="B25" s="2154"/>
      <c r="C25" s="2737">
        <f>审定现流表!C25</f>
        <v>28946323.47</v>
      </c>
      <c r="D25" s="2733"/>
      <c r="E25" s="2738"/>
      <c r="F25" s="2739">
        <f>$C25-SUM($D25:E25)</f>
        <v>28946323.47</v>
      </c>
      <c r="G25" s="2740">
        <f>ROUND(SUM(H25:I25),2)</f>
        <v>0</v>
      </c>
      <c r="H25" s="2738"/>
      <c r="I25" s="2751"/>
    </row>
    <row r="26" spans="1:9">
      <c r="A26" s="2736" t="s">
        <v>137</v>
      </c>
      <c r="B26" s="2154"/>
      <c r="C26" s="2737">
        <f>审定现流表!C26</f>
        <v>0</v>
      </c>
      <c r="D26" s="2733"/>
      <c r="E26" s="2738"/>
      <c r="F26" s="2739">
        <f>$C26-SUM($D26:E26)</f>
        <v>0</v>
      </c>
      <c r="G26" s="2740">
        <f>ROUND(SUM(H26:I26),2)</f>
        <v>0</v>
      </c>
      <c r="H26" s="2738"/>
      <c r="I26" s="2751"/>
    </row>
    <row r="27" spans="1:9">
      <c r="A27" s="2736" t="s">
        <v>138</v>
      </c>
      <c r="B27" s="2154"/>
      <c r="C27" s="2737">
        <f>审定现流表!C27</f>
        <v>0</v>
      </c>
      <c r="D27" s="2733"/>
      <c r="E27" s="2738"/>
      <c r="F27" s="2739">
        <f>$C27-SUM($D27:E27)</f>
        <v>0</v>
      </c>
      <c r="G27" s="2740">
        <f>ROUND(SUM(H27:I27),2)</f>
        <v>0</v>
      </c>
      <c r="H27" s="2738"/>
      <c r="I27" s="2751"/>
    </row>
    <row r="28" spans="1:9">
      <c r="A28" s="2736" t="s">
        <v>139</v>
      </c>
      <c r="B28" s="2159" t="s">
        <v>134</v>
      </c>
      <c r="C28" s="2737">
        <f>审定现流表!C28</f>
        <v>0</v>
      </c>
      <c r="D28" s="2733"/>
      <c r="E28" s="2738"/>
      <c r="F28" s="2739">
        <f>$C28-SUM($D28:E28)</f>
        <v>0</v>
      </c>
      <c r="G28" s="2740">
        <f>ROUND(SUM(H28:I28),2)</f>
        <v>0</v>
      </c>
      <c r="H28" s="2738"/>
      <c r="I28" s="2751"/>
    </row>
    <row r="29" spans="1:9">
      <c r="A29" s="2741" t="s">
        <v>140</v>
      </c>
      <c r="B29" s="2742"/>
      <c r="C29" s="2747">
        <f>审定现流表!C29</f>
        <v>28946323.47</v>
      </c>
      <c r="D29" s="2744"/>
      <c r="E29" s="2745">
        <f>ROUND(SUM(E25:E28),2)</f>
        <v>0</v>
      </c>
      <c r="F29" s="2746">
        <f t="shared" ref="F29:H29" si="9">ROUND(SUM(F25:F28),2)</f>
        <v>28946323.47</v>
      </c>
      <c r="G29" s="2747">
        <f t="shared" si="9"/>
        <v>0</v>
      </c>
      <c r="H29" s="2745">
        <f t="shared" si="9"/>
        <v>0</v>
      </c>
      <c r="I29" s="2746">
        <f t="shared" ref="I29" si="10">ROUND(SUM(I25:I28),2)</f>
        <v>0</v>
      </c>
    </row>
    <row r="30" spans="1:9">
      <c r="A30" s="2741" t="s">
        <v>141</v>
      </c>
      <c r="B30" s="2742"/>
      <c r="C30" s="2747">
        <f>审定现流表!C30</f>
        <v>-28895194.34</v>
      </c>
      <c r="D30" s="2744"/>
      <c r="E30" s="2745">
        <f t="shared" ref="E30:G30" si="11">ROUND(E24-E29,2)</f>
        <v>0</v>
      </c>
      <c r="F30" s="2746">
        <f t="shared" si="11"/>
        <v>-28895194.34</v>
      </c>
      <c r="G30" s="2747">
        <f t="shared" si="11"/>
        <v>0</v>
      </c>
      <c r="H30" s="2745">
        <f t="shared" ref="H30" si="12">ROUND(H24-H29,2)</f>
        <v>0</v>
      </c>
      <c r="I30" s="2746">
        <f t="shared" ref="I30" si="13">ROUND(I24-I29,2)</f>
        <v>0</v>
      </c>
    </row>
    <row r="31" spans="1:9">
      <c r="A31" s="2749"/>
      <c r="B31" s="2742"/>
      <c r="C31" s="2735"/>
      <c r="D31" s="2733"/>
      <c r="E31" s="2733"/>
      <c r="F31" s="2734"/>
      <c r="G31" s="2735"/>
      <c r="H31" s="2735"/>
      <c r="I31" s="2734"/>
    </row>
    <row r="32" spans="1:9">
      <c r="A32" s="2731" t="s">
        <v>142</v>
      </c>
      <c r="B32" s="2742"/>
      <c r="C32" s="2737">
        <f>审定现流表!C32</f>
        <v>0</v>
      </c>
      <c r="D32" s="2733"/>
      <c r="E32" s="2733"/>
      <c r="F32" s="2734"/>
      <c r="G32" s="2735"/>
      <c r="H32" s="2735"/>
      <c r="I32" s="2734"/>
    </row>
    <row r="33" spans="1:9">
      <c r="A33" s="2736" t="s">
        <v>143</v>
      </c>
      <c r="B33" s="2154"/>
      <c r="C33" s="2737">
        <f>审定现流表!C33</f>
        <v>230642672</v>
      </c>
      <c r="D33" s="2733"/>
      <c r="E33" s="2738"/>
      <c r="F33" s="2739">
        <f>$C33-SUM($D33:E33)</f>
        <v>230642672</v>
      </c>
      <c r="G33" s="2740">
        <f>ROUND(SUM(H33:I33),2)</f>
        <v>0</v>
      </c>
      <c r="H33" s="2738"/>
      <c r="I33" s="2751"/>
    </row>
    <row r="34" spans="1:9">
      <c r="A34" s="2736" t="s">
        <v>144</v>
      </c>
      <c r="B34" s="2154"/>
      <c r="C34" s="2737">
        <f>审定现流表!C34</f>
        <v>0</v>
      </c>
      <c r="D34" s="2733"/>
      <c r="E34" s="2738"/>
      <c r="F34" s="2739">
        <f>$C34-SUM($D34:E34)</f>
        <v>0</v>
      </c>
      <c r="G34" s="2740">
        <f>ROUND(SUM(H34:I34),2)</f>
        <v>0</v>
      </c>
      <c r="H34" s="2738"/>
      <c r="I34" s="2751"/>
    </row>
    <row r="35" spans="1:9">
      <c r="A35" s="2736" t="s">
        <v>145</v>
      </c>
      <c r="B35" s="2154"/>
      <c r="C35" s="2737">
        <f>审定现流表!C35</f>
        <v>31000000</v>
      </c>
      <c r="D35" s="2733"/>
      <c r="E35" s="2738"/>
      <c r="F35" s="2739">
        <f>$C35-SUM($D35:E35)</f>
        <v>31000000</v>
      </c>
      <c r="G35" s="2740">
        <f>ROUND(SUM(H35:I35),2)</f>
        <v>0</v>
      </c>
      <c r="H35" s="2738"/>
      <c r="I35" s="2751"/>
    </row>
    <row r="36" spans="1:9">
      <c r="A36" s="2736" t="s">
        <v>146</v>
      </c>
      <c r="B36" s="2154"/>
      <c r="C36" s="2737">
        <f>审定现流表!C36</f>
        <v>0</v>
      </c>
      <c r="D36" s="2733"/>
      <c r="E36" s="2738"/>
      <c r="F36" s="2739">
        <f>$C36-SUM($D36:E36)</f>
        <v>0</v>
      </c>
      <c r="G36" s="2740">
        <f>ROUND(SUM(H36:I36),2)</f>
        <v>0</v>
      </c>
      <c r="H36" s="2738"/>
      <c r="I36" s="2751"/>
    </row>
    <row r="37" spans="1:9">
      <c r="A37" s="2736" t="s">
        <v>147</v>
      </c>
      <c r="B37" s="2159" t="s">
        <v>148</v>
      </c>
      <c r="C37" s="2737">
        <f>审定现流表!C37</f>
        <v>0</v>
      </c>
      <c r="D37" s="2733"/>
      <c r="E37" s="2738"/>
      <c r="F37" s="2739">
        <f>$C37-SUM($D37:E37)</f>
        <v>0</v>
      </c>
      <c r="G37" s="2740">
        <f>ROUND(SUM(H37:I37),2)</f>
        <v>0</v>
      </c>
      <c r="H37" s="2738"/>
      <c r="I37" s="2751"/>
    </row>
    <row r="38" spans="1:9">
      <c r="A38" s="2741" t="s">
        <v>149</v>
      </c>
      <c r="B38" s="2742"/>
      <c r="C38" s="2747">
        <f>审定现流表!C38</f>
        <v>261642672</v>
      </c>
      <c r="D38" s="2744"/>
      <c r="E38" s="2745">
        <f>ROUND(SUM(E33:E37),2)-E34</f>
        <v>0</v>
      </c>
      <c r="F38" s="2746">
        <f t="shared" ref="F38:G38" si="14">ROUND(SUM(F33:F37),2)-F34</f>
        <v>261642672</v>
      </c>
      <c r="G38" s="2747">
        <f t="shared" si="14"/>
        <v>0</v>
      </c>
      <c r="H38" s="2745">
        <f t="shared" ref="H38:I38" si="15">ROUND(SUM(H33:H37),2)-H34</f>
        <v>0</v>
      </c>
      <c r="I38" s="2746">
        <f t="shared" si="15"/>
        <v>0</v>
      </c>
    </row>
    <row r="39" spans="1:9">
      <c r="A39" s="2736" t="s">
        <v>150</v>
      </c>
      <c r="B39" s="2154"/>
      <c r="C39" s="2737">
        <f>审定现流表!C39</f>
        <v>44144814.81</v>
      </c>
      <c r="D39" s="2733"/>
      <c r="E39" s="2738"/>
      <c r="F39" s="2739">
        <f>$C39-SUM($D39:E39)</f>
        <v>44144814.81</v>
      </c>
      <c r="G39" s="2740">
        <f>ROUND(SUM(H39:I39),2)</f>
        <v>0</v>
      </c>
      <c r="H39" s="2738"/>
      <c r="I39" s="2751"/>
    </row>
    <row r="40" spans="1:9">
      <c r="A40" s="2736" t="s">
        <v>151</v>
      </c>
      <c r="B40" s="2154"/>
      <c r="C40" s="2737">
        <f>审定现流表!C40</f>
        <v>6308223.85</v>
      </c>
      <c r="D40" s="2733"/>
      <c r="E40" s="2738"/>
      <c r="F40" s="2739">
        <f>$C40-SUM($D40:E40)</f>
        <v>6308223.85</v>
      </c>
      <c r="G40" s="2740">
        <f>ROUND(SUM(H40:I40),2)</f>
        <v>0</v>
      </c>
      <c r="H40" s="2738"/>
      <c r="I40" s="2751"/>
    </row>
    <row r="41" spans="1:9">
      <c r="A41" s="2736" t="s">
        <v>152</v>
      </c>
      <c r="B41" s="2154"/>
      <c r="C41" s="2737">
        <f>审定现流表!C41</f>
        <v>0</v>
      </c>
      <c r="D41" s="2733"/>
      <c r="E41" s="2738"/>
      <c r="F41" s="2739">
        <f>$C41-SUM($D41:E41)</f>
        <v>0</v>
      </c>
      <c r="G41" s="2740">
        <f>ROUND(SUM(H41:I41),2)</f>
        <v>0</v>
      </c>
      <c r="H41" s="2738"/>
      <c r="I41" s="2751"/>
    </row>
    <row r="42" spans="1:9">
      <c r="A42" s="2736" t="s">
        <v>153</v>
      </c>
      <c r="B42" s="2159" t="s">
        <v>148</v>
      </c>
      <c r="C42" s="2737">
        <f>审定现流表!C42</f>
        <v>10873286.42</v>
      </c>
      <c r="D42" s="2733"/>
      <c r="E42" s="2738"/>
      <c r="F42" s="2739">
        <f>$C42-SUM($D42:E42)</f>
        <v>10873286.42</v>
      </c>
      <c r="G42" s="2740">
        <f>ROUND(SUM(H42:I42),2)</f>
        <v>0</v>
      </c>
      <c r="H42" s="2738"/>
      <c r="I42" s="2751"/>
    </row>
    <row r="43" spans="1:9">
      <c r="A43" s="2741" t="s">
        <v>154</v>
      </c>
      <c r="B43" s="2742"/>
      <c r="C43" s="2747">
        <f>审定现流表!C43</f>
        <v>61326325.08</v>
      </c>
      <c r="D43" s="2744"/>
      <c r="E43" s="2745">
        <f>ROUND(SUM(E39:E42),2)-E41</f>
        <v>0</v>
      </c>
      <c r="F43" s="2746">
        <f t="shared" ref="F43:G43" si="16">ROUND(SUM(F39:F42),2)-F41</f>
        <v>61326325.08</v>
      </c>
      <c r="G43" s="2747">
        <f t="shared" si="16"/>
        <v>0</v>
      </c>
      <c r="H43" s="2745">
        <f t="shared" ref="H43:I43" si="17">ROUND(SUM(H39:H42),2)-H41</f>
        <v>0</v>
      </c>
      <c r="I43" s="2746">
        <f t="shared" si="17"/>
        <v>0</v>
      </c>
    </row>
    <row r="44" spans="1:9">
      <c r="A44" s="2741" t="s">
        <v>155</v>
      </c>
      <c r="B44" s="2742"/>
      <c r="C44" s="2747">
        <f>审定现流表!C44</f>
        <v>200316346.92</v>
      </c>
      <c r="D44" s="2744"/>
      <c r="E44" s="2745">
        <f t="shared" ref="E44:G44" si="18">ROUND(E38-E43,2)</f>
        <v>0</v>
      </c>
      <c r="F44" s="2746">
        <f t="shared" si="18"/>
        <v>200316346.92</v>
      </c>
      <c r="G44" s="2747">
        <f t="shared" si="18"/>
        <v>0</v>
      </c>
      <c r="H44" s="2745">
        <f t="shared" ref="H44:I44" si="19">ROUND(H38-H43,2)</f>
        <v>0</v>
      </c>
      <c r="I44" s="2746">
        <f t="shared" si="19"/>
        <v>0</v>
      </c>
    </row>
    <row r="45" spans="1:9">
      <c r="A45" s="2749"/>
      <c r="B45" s="2742"/>
      <c r="C45" s="2735"/>
      <c r="D45" s="2733"/>
      <c r="E45" s="2733"/>
      <c r="F45" s="2734"/>
      <c r="G45" s="2735"/>
      <c r="H45" s="2733"/>
      <c r="I45" s="2734"/>
    </row>
    <row r="46" spans="1:9">
      <c r="A46" s="2731" t="s">
        <v>156</v>
      </c>
      <c r="B46" s="2154"/>
      <c r="C46" s="2737">
        <f>审定现流表!C46</f>
        <v>32553.99</v>
      </c>
      <c r="D46" s="2733"/>
      <c r="E46" s="2738"/>
      <c r="F46" s="2739">
        <f>$C46-SUM($D46:E46)</f>
        <v>32553.99</v>
      </c>
      <c r="G46" s="2740">
        <f>ROUND(SUM(H46:I46),2)</f>
        <v>0</v>
      </c>
      <c r="H46" s="2738"/>
      <c r="I46" s="2751"/>
    </row>
    <row r="47" spans="1:9">
      <c r="A47" s="2731" t="s">
        <v>157</v>
      </c>
      <c r="B47" s="2750"/>
      <c r="C47" s="2747">
        <f>审定现流表!C47</f>
        <v>133392155.85</v>
      </c>
      <c r="D47" s="2744"/>
      <c r="E47" s="2745">
        <f t="shared" ref="E47:H47" si="20">ROUND(E16+E30+E44+E46,2)</f>
        <v>0</v>
      </c>
      <c r="F47" s="2746">
        <f t="shared" si="20"/>
        <v>133392155.85</v>
      </c>
      <c r="G47" s="2747">
        <f t="shared" si="20"/>
        <v>0</v>
      </c>
      <c r="H47" s="2745">
        <f t="shared" si="20"/>
        <v>0</v>
      </c>
      <c r="I47" s="2746">
        <f t="shared" ref="I47" si="21">ROUND(I16+I30+I44+I46,2)</f>
        <v>0</v>
      </c>
    </row>
    <row r="48" spans="1:9">
      <c r="A48" s="2736" t="s">
        <v>158</v>
      </c>
      <c r="B48" s="2750"/>
      <c r="C48" s="2737">
        <f>审定现流表!C48</f>
        <v>66164760.35</v>
      </c>
      <c r="D48" s="2733"/>
      <c r="E48" s="2738"/>
      <c r="F48" s="2751">
        <f>E49</f>
        <v>0</v>
      </c>
      <c r="G48" s="2738">
        <f>ROUND(SUM(H48),2)</f>
        <v>0</v>
      </c>
      <c r="H48" s="2738"/>
      <c r="I48" s="2751"/>
    </row>
    <row r="49" ht="15" spans="1:9">
      <c r="A49" s="2752" t="s">
        <v>159</v>
      </c>
      <c r="B49" s="2753"/>
      <c r="C49" s="2754">
        <f>审定现流表!C49</f>
        <v>199556916.2</v>
      </c>
      <c r="D49" s="2755"/>
      <c r="E49" s="2756">
        <f t="shared" ref="E49:G49" si="22">ROUND(E47+E48,2)</f>
        <v>0</v>
      </c>
      <c r="F49" s="2757">
        <f t="shared" si="22"/>
        <v>133392155.85</v>
      </c>
      <c r="G49" s="2754">
        <f t="shared" si="22"/>
        <v>0</v>
      </c>
      <c r="H49" s="2756">
        <f t="shared" ref="H49" si="23">ROUND(H47+H48,2)</f>
        <v>0</v>
      </c>
      <c r="I49" s="2757">
        <f t="shared" ref="I49" si="24">ROUND(I47+I48,2)</f>
        <v>0</v>
      </c>
    </row>
    <row r="50" ht="15" spans="1:9">
      <c r="A50" s="2758"/>
      <c r="B50" s="2713"/>
      <c r="C50" s="2718"/>
      <c r="D50" s="2717"/>
      <c r="E50" s="2717"/>
      <c r="F50" s="2717"/>
      <c r="G50" s="2718"/>
      <c r="H50" s="2717"/>
      <c r="I50" s="2717"/>
    </row>
    <row r="51" spans="1:9">
      <c r="A51" s="2759" t="str">
        <f>IF(C51&lt;&gt;0,"主表的经营活动现金产生的流量净额与附表不符，相差：","")</f>
        <v>主表的经营活动现金产生的流量净额与附表不符，相差：</v>
      </c>
      <c r="B51" s="2713"/>
      <c r="C51" s="2760">
        <f>ROUND(C16-C72,2)</f>
        <v>7632043.24</v>
      </c>
      <c r="D51" s="2761"/>
      <c r="E51" s="2760">
        <f>ROUND(E16-E72,2)</f>
        <v>0</v>
      </c>
      <c r="F51" s="2760">
        <f>ROUND(F16-F72,2)</f>
        <v>7632043.24</v>
      </c>
      <c r="G51" s="2760">
        <f>ROUND(G16-G72,2)</f>
        <v>0</v>
      </c>
      <c r="H51" s="2760">
        <f>ROUND(H16-H72,2)</f>
        <v>0</v>
      </c>
      <c r="I51" s="2760">
        <f t="shared" ref="I51" si="25">ROUND(I16-I72,2)</f>
        <v>0</v>
      </c>
    </row>
    <row r="52" ht="15" spans="1:9">
      <c r="A52" s="2762" t="s">
        <v>160</v>
      </c>
      <c r="B52" s="2713"/>
      <c r="C52" s="2718"/>
      <c r="D52" s="2717"/>
      <c r="E52" s="2717"/>
      <c r="F52" s="2717"/>
      <c r="G52" s="2718"/>
      <c r="H52" s="2717"/>
      <c r="I52" s="2717"/>
    </row>
    <row r="53" ht="15" spans="1:9">
      <c r="A53" s="2763" t="s">
        <v>161</v>
      </c>
      <c r="B53" s="2764" t="s">
        <v>162</v>
      </c>
      <c r="C53" s="2723" t="s">
        <v>63</v>
      </c>
      <c r="D53" s="2721"/>
      <c r="E53" s="2724" t="s">
        <v>63</v>
      </c>
      <c r="F53" s="2765" t="s">
        <v>63</v>
      </c>
      <c r="G53" s="2723" t="s">
        <v>307</v>
      </c>
      <c r="H53" s="2724" t="s">
        <v>307</v>
      </c>
      <c r="I53" s="2765" t="s">
        <v>307</v>
      </c>
    </row>
    <row r="54" spans="1:9">
      <c r="A54" s="2766"/>
      <c r="B54" s="2767"/>
      <c r="C54" s="2729" t="s">
        <v>308</v>
      </c>
      <c r="D54" s="2727"/>
      <c r="E54" s="2768" t="s">
        <v>309</v>
      </c>
      <c r="F54" s="2769" t="s">
        <v>310</v>
      </c>
      <c r="G54" s="2729" t="s">
        <v>114</v>
      </c>
      <c r="H54" s="2770" t="s">
        <v>309</v>
      </c>
      <c r="I54" s="2776" t="s">
        <v>310</v>
      </c>
    </row>
    <row r="55" spans="1:9">
      <c r="A55" s="2771" t="s">
        <v>164</v>
      </c>
      <c r="B55" s="2750"/>
      <c r="C55" s="2735"/>
      <c r="D55" s="2733"/>
      <c r="E55" s="2733"/>
      <c r="F55" s="2734"/>
      <c r="G55" s="2735"/>
      <c r="H55" s="2733"/>
      <c r="I55" s="2734"/>
    </row>
    <row r="56" spans="1:9">
      <c r="A56" s="2772" t="s">
        <v>110</v>
      </c>
      <c r="B56" s="2773"/>
      <c r="C56" s="2737">
        <f>审定现流表!C56</f>
        <v>8831644.55</v>
      </c>
      <c r="D56" s="2733"/>
      <c r="E56" s="2737">
        <f>本月审定利润表!E35</f>
        <v>0</v>
      </c>
      <c r="F56" s="2774">
        <f>本月审定利润表!F35</f>
        <v>8831644.55</v>
      </c>
      <c r="G56" s="2737">
        <f>本月审定利润表!G26</f>
        <v>0</v>
      </c>
      <c r="H56" s="2737">
        <f>本月审定利润表!H26</f>
        <v>0</v>
      </c>
      <c r="I56" s="2774">
        <f>本月审定利润表!I26</f>
        <v>0</v>
      </c>
    </row>
    <row r="57" spans="1:9">
      <c r="A57" s="2772" t="s">
        <v>165</v>
      </c>
      <c r="B57" s="2773"/>
      <c r="C57" s="2737">
        <f>审定现流表!C57</f>
        <v>1895849.54</v>
      </c>
      <c r="D57" s="2733"/>
      <c r="E57" s="2738"/>
      <c r="F57" s="2739">
        <f>$C57-SUM($D57:E57)</f>
        <v>1895849.54</v>
      </c>
      <c r="G57" s="2740">
        <f t="shared" ref="G57:G71" si="26">ROUND(SUM(H57:I57),2)</f>
        <v>0</v>
      </c>
      <c r="H57" s="2738"/>
      <c r="I57" s="2751"/>
    </row>
    <row r="58" spans="1:9">
      <c r="A58" s="2772" t="s">
        <v>166</v>
      </c>
      <c r="B58" s="2773"/>
      <c r="C58" s="2737">
        <f>审定现流表!C58</f>
        <v>10725982.08</v>
      </c>
      <c r="D58" s="2733"/>
      <c r="E58" s="2738"/>
      <c r="F58" s="2739">
        <f>$C58-SUM($D58:E58)</f>
        <v>10725982.08</v>
      </c>
      <c r="G58" s="2740">
        <f t="shared" si="26"/>
        <v>0</v>
      </c>
      <c r="H58" s="2738"/>
      <c r="I58" s="2751"/>
    </row>
    <row r="59" spans="1:9">
      <c r="A59" s="2772" t="s">
        <v>167</v>
      </c>
      <c r="B59" s="2773"/>
      <c r="C59" s="2737">
        <f>审定现流表!C59</f>
        <v>6000</v>
      </c>
      <c r="D59" s="2733"/>
      <c r="E59" s="2738"/>
      <c r="F59" s="2739">
        <f>$C59-SUM($D59:E59)</f>
        <v>6000</v>
      </c>
      <c r="G59" s="2740">
        <f t="shared" si="26"/>
        <v>0</v>
      </c>
      <c r="H59" s="2738"/>
      <c r="I59" s="2751"/>
    </row>
    <row r="60" spans="1:9">
      <c r="A60" s="2772" t="s">
        <v>168</v>
      </c>
      <c r="B60" s="2773"/>
      <c r="C60" s="2737">
        <f>审定现流表!C60</f>
        <v>207956.57</v>
      </c>
      <c r="D60" s="2733"/>
      <c r="E60" s="2738"/>
      <c r="F60" s="2739">
        <f>$C60-SUM($D60:E60)</f>
        <v>207956.57</v>
      </c>
      <c r="G60" s="2740">
        <f t="shared" si="26"/>
        <v>0</v>
      </c>
      <c r="H60" s="2738"/>
      <c r="I60" s="2751"/>
    </row>
    <row r="61" spans="1:9">
      <c r="A61" s="2772" t="s">
        <v>169</v>
      </c>
      <c r="B61" s="2773"/>
      <c r="C61" s="2737">
        <f>审定现流表!C61</f>
        <v>68120.1</v>
      </c>
      <c r="D61" s="2733"/>
      <c r="E61" s="2738"/>
      <c r="F61" s="2739">
        <f>$C61-SUM($D61:E61)</f>
        <v>68120.1</v>
      </c>
      <c r="G61" s="2740">
        <f t="shared" si="26"/>
        <v>0</v>
      </c>
      <c r="H61" s="2738"/>
      <c r="I61" s="2751"/>
    </row>
    <row r="62" spans="1:9">
      <c r="A62" s="2772" t="s">
        <v>170</v>
      </c>
      <c r="B62" s="2773"/>
      <c r="C62" s="2737">
        <f>审定现流表!C62</f>
        <v>0</v>
      </c>
      <c r="D62" s="2733"/>
      <c r="E62" s="2738"/>
      <c r="F62" s="2739">
        <f>$C62-SUM($D62:E62)</f>
        <v>0</v>
      </c>
      <c r="G62" s="2740">
        <f t="shared" si="26"/>
        <v>0</v>
      </c>
      <c r="H62" s="2738"/>
      <c r="I62" s="2751"/>
    </row>
    <row r="63" spans="1:9">
      <c r="A63" s="2772" t="s">
        <v>171</v>
      </c>
      <c r="B63" s="2773"/>
      <c r="C63" s="2737">
        <f>审定现流表!C63</f>
        <v>0</v>
      </c>
      <c r="D63" s="2733"/>
      <c r="E63" s="2738"/>
      <c r="F63" s="2739">
        <f>$C63-SUM($D63:E63)</f>
        <v>0</v>
      </c>
      <c r="G63" s="2740">
        <f t="shared" si="26"/>
        <v>0</v>
      </c>
      <c r="H63" s="2738"/>
      <c r="I63" s="2751"/>
    </row>
    <row r="64" spans="1:9">
      <c r="A64" s="2772" t="s">
        <v>85</v>
      </c>
      <c r="B64" s="2773"/>
      <c r="C64" s="2737">
        <f>审定现流表!C64</f>
        <v>18267390.45</v>
      </c>
      <c r="D64" s="2733"/>
      <c r="E64" s="2738"/>
      <c r="F64" s="2739">
        <f>$C64-SUM($D64:E64)</f>
        <v>18267390.45</v>
      </c>
      <c r="G64" s="2740">
        <f t="shared" si="26"/>
        <v>0</v>
      </c>
      <c r="H64" s="2738"/>
      <c r="I64" s="2751"/>
    </row>
    <row r="65" spans="1:9">
      <c r="A65" s="2772" t="s">
        <v>172</v>
      </c>
      <c r="B65" s="2773"/>
      <c r="C65" s="2737">
        <f>审定现流表!C65</f>
        <v>0</v>
      </c>
      <c r="D65" s="2733"/>
      <c r="E65" s="2738"/>
      <c r="F65" s="2739">
        <f>$C65-SUM($D65:E65)</f>
        <v>0</v>
      </c>
      <c r="G65" s="2740">
        <f t="shared" si="26"/>
        <v>0</v>
      </c>
      <c r="H65" s="2738"/>
      <c r="I65" s="2751"/>
    </row>
    <row r="66" spans="1:9">
      <c r="A66" s="2772" t="s">
        <v>173</v>
      </c>
      <c r="B66" s="2773"/>
      <c r="C66" s="2737">
        <f>审定现流表!C66</f>
        <v>24825.52</v>
      </c>
      <c r="D66" s="2733"/>
      <c r="E66" s="2738"/>
      <c r="F66" s="2739">
        <f>$C66-SUM($D66:E66)</f>
        <v>24825.52</v>
      </c>
      <c r="G66" s="2740">
        <f t="shared" si="26"/>
        <v>0</v>
      </c>
      <c r="H66" s="2738"/>
      <c r="I66" s="2751"/>
    </row>
    <row r="67" spans="1:9">
      <c r="A67" s="2772" t="s">
        <v>174</v>
      </c>
      <c r="B67" s="2773"/>
      <c r="C67" s="2737">
        <f>审定现流表!C67</f>
        <v>0</v>
      </c>
      <c r="D67" s="2733"/>
      <c r="E67" s="2738"/>
      <c r="F67" s="2739">
        <f>$C67-SUM($D67:E67)</f>
        <v>0</v>
      </c>
      <c r="G67" s="2740">
        <f t="shared" si="26"/>
        <v>0</v>
      </c>
      <c r="H67" s="2738"/>
      <c r="I67" s="2751"/>
    </row>
    <row r="68" spans="1:9">
      <c r="A68" s="2772" t="s">
        <v>175</v>
      </c>
      <c r="B68" s="2773"/>
      <c r="C68" s="2737">
        <f>审定现流表!C68</f>
        <v>-40160366.77</v>
      </c>
      <c r="D68" s="2733"/>
      <c r="E68" s="2738"/>
      <c r="F68" s="2739">
        <f>$C68-SUM($D68:E68)</f>
        <v>-40160366.77</v>
      </c>
      <c r="G68" s="2740">
        <f t="shared" si="26"/>
        <v>0</v>
      </c>
      <c r="H68" s="2738"/>
      <c r="I68" s="2751"/>
    </row>
    <row r="69" spans="1:9">
      <c r="A69" s="2772" t="s">
        <v>176</v>
      </c>
      <c r="B69" s="2773"/>
      <c r="C69" s="2737">
        <f>审定现流表!C69</f>
        <v>-64887311.39</v>
      </c>
      <c r="D69" s="2733"/>
      <c r="E69" s="2738"/>
      <c r="F69" s="2739">
        <f>$C69-SUM($D69:E69)</f>
        <v>-64887311.39</v>
      </c>
      <c r="G69" s="2740">
        <f t="shared" si="26"/>
        <v>0</v>
      </c>
      <c r="H69" s="2738"/>
      <c r="I69" s="2751"/>
    </row>
    <row r="70" spans="1:9">
      <c r="A70" s="2772" t="s">
        <v>177</v>
      </c>
      <c r="B70" s="2773"/>
      <c r="C70" s="2737">
        <f>审定现流表!C70</f>
        <v>19326315.39</v>
      </c>
      <c r="D70" s="2733"/>
      <c r="E70" s="2738"/>
      <c r="F70" s="2739">
        <f>$C70-SUM($D70:E70)</f>
        <v>19326315.39</v>
      </c>
      <c r="G70" s="2740">
        <f t="shared" si="26"/>
        <v>0</v>
      </c>
      <c r="H70" s="2738"/>
      <c r="I70" s="2751"/>
    </row>
    <row r="71" spans="1:9">
      <c r="A71" s="2772" t="s">
        <v>178</v>
      </c>
      <c r="B71" s="2773"/>
      <c r="C71" s="2737">
        <f>审定现流表!C71</f>
        <v>0</v>
      </c>
      <c r="D71" s="2733"/>
      <c r="E71" s="2738"/>
      <c r="F71" s="2739">
        <f>$C71-SUM($D71:E71)</f>
        <v>0</v>
      </c>
      <c r="G71" s="2740">
        <f t="shared" si="26"/>
        <v>0</v>
      </c>
      <c r="H71" s="2738"/>
      <c r="I71" s="2751"/>
    </row>
    <row r="72" spans="1:9">
      <c r="A72" s="2777" t="s">
        <v>179</v>
      </c>
      <c r="B72" s="2773"/>
      <c r="C72" s="2747">
        <f>ROUND(SUM(C56:C71),2)</f>
        <v>-45693593.96</v>
      </c>
      <c r="D72" s="2744"/>
      <c r="E72" s="2745">
        <f>ROUND(SUM(E56:E71),2)</f>
        <v>0</v>
      </c>
      <c r="F72" s="2746">
        <f>ROUND(SUM(F56:F71),2)</f>
        <v>-45693593.96</v>
      </c>
      <c r="G72" s="2747">
        <f>ROUND(SUM(G56:G71),2)</f>
        <v>0</v>
      </c>
      <c r="H72" s="2745">
        <f>ROUND(SUM(H56:H71),2)</f>
        <v>0</v>
      </c>
      <c r="I72" s="2746">
        <f>ROUND(SUM(I56:I71),2)</f>
        <v>0</v>
      </c>
    </row>
    <row r="73" spans="1:9">
      <c r="A73" s="2772"/>
      <c r="B73" s="2773"/>
      <c r="C73" s="2735"/>
      <c r="D73" s="2773"/>
      <c r="E73" s="2773"/>
      <c r="F73" s="2778"/>
      <c r="G73" s="2735"/>
      <c r="H73" s="2773"/>
      <c r="I73" s="2778"/>
    </row>
    <row r="74" spans="1:9">
      <c r="A74" s="2777" t="s">
        <v>180</v>
      </c>
      <c r="B74" s="2773"/>
      <c r="C74" s="2735"/>
      <c r="D74" s="2773"/>
      <c r="E74" s="2773"/>
      <c r="F74" s="2778"/>
      <c r="G74" s="2735"/>
      <c r="H74" s="2773"/>
      <c r="I74" s="2778"/>
    </row>
    <row r="75" spans="1:9">
      <c r="A75" s="2772" t="s">
        <v>181</v>
      </c>
      <c r="B75" s="2773"/>
      <c r="C75" s="2737">
        <f>审定现流表!C75</f>
        <v>0</v>
      </c>
      <c r="D75" s="2733"/>
      <c r="E75" s="2738"/>
      <c r="F75" s="2739">
        <f>$C75-SUM($D75:E75)</f>
        <v>0</v>
      </c>
      <c r="G75" s="2740">
        <f>ROUND(SUM(H75:I75),2)</f>
        <v>0</v>
      </c>
      <c r="H75" s="2738"/>
      <c r="I75" s="2751"/>
    </row>
    <row r="76" spans="1:9">
      <c r="A76" s="2772" t="s">
        <v>182</v>
      </c>
      <c r="B76" s="2773"/>
      <c r="C76" s="2737">
        <f>审定现流表!C76</f>
        <v>0</v>
      </c>
      <c r="D76" s="2733"/>
      <c r="E76" s="2738"/>
      <c r="F76" s="2739">
        <f>$C76-SUM($D76:E76)</f>
        <v>0</v>
      </c>
      <c r="G76" s="2740">
        <f>ROUND(SUM(H76:I76),2)</f>
        <v>0</v>
      </c>
      <c r="H76" s="2738"/>
      <c r="I76" s="2751"/>
    </row>
    <row r="77" spans="1:9">
      <c r="A77" s="2772" t="s">
        <v>183</v>
      </c>
      <c r="B77" s="2773"/>
      <c r="C77" s="2737">
        <f>审定现流表!C77</f>
        <v>0</v>
      </c>
      <c r="D77" s="2733"/>
      <c r="E77" s="2738"/>
      <c r="F77" s="2739">
        <f>$C77-SUM($D77:E77)</f>
        <v>0</v>
      </c>
      <c r="G77" s="2740">
        <f>ROUND(SUM(H77:I77),2)</f>
        <v>0</v>
      </c>
      <c r="H77" s="2738"/>
      <c r="I77" s="2751"/>
    </row>
    <row r="78" spans="1:9">
      <c r="A78" s="2772"/>
      <c r="B78" s="2773"/>
      <c r="C78" s="2735"/>
      <c r="D78" s="2773"/>
      <c r="E78" s="2773"/>
      <c r="F78" s="2778"/>
      <c r="G78" s="2735"/>
      <c r="H78" s="2773"/>
      <c r="I78" s="2778"/>
    </row>
    <row r="79" spans="1:9">
      <c r="A79" s="2777" t="s">
        <v>184</v>
      </c>
      <c r="B79" s="2773"/>
      <c r="C79" s="2735"/>
      <c r="D79" s="2773"/>
      <c r="E79" s="2773"/>
      <c r="F79" s="2778"/>
      <c r="G79" s="2735"/>
      <c r="H79" s="2773"/>
      <c r="I79" s="2778"/>
    </row>
    <row r="80" spans="1:9">
      <c r="A80" s="2772" t="s">
        <v>185</v>
      </c>
      <c r="B80" s="2773"/>
      <c r="C80" s="2737">
        <f>审定现流表!C80</f>
        <v>203715132.36</v>
      </c>
      <c r="D80" s="2733"/>
      <c r="E80" s="2735">
        <f>E49</f>
        <v>0</v>
      </c>
      <c r="F80" s="2779">
        <f>F49</f>
        <v>133392155.85</v>
      </c>
      <c r="G80" s="2740">
        <f>ROUND(SUM(H80:I80),2)</f>
        <v>0</v>
      </c>
      <c r="H80" s="2737">
        <f>H49</f>
        <v>0</v>
      </c>
      <c r="I80" s="2774">
        <f>I49</f>
        <v>0</v>
      </c>
    </row>
    <row r="81" spans="1:9">
      <c r="A81" s="2772" t="s">
        <v>186</v>
      </c>
      <c r="B81" s="2773"/>
      <c r="C81" s="2737">
        <f>审定现流表!C81</f>
        <v>76914775.62</v>
      </c>
      <c r="D81" s="2733"/>
      <c r="E81" s="2735">
        <f>E48</f>
        <v>0</v>
      </c>
      <c r="F81" s="2779">
        <f>F48</f>
        <v>0</v>
      </c>
      <c r="G81" s="2738">
        <f>ROUND(SUM(H81),2)</f>
        <v>0</v>
      </c>
      <c r="H81" s="2780"/>
      <c r="I81" s="2787"/>
    </row>
    <row r="82" spans="1:9">
      <c r="A82" s="2772" t="s">
        <v>187</v>
      </c>
      <c r="B82" s="2773"/>
      <c r="C82" s="2737">
        <f>审定现流表!C82</f>
        <v>0</v>
      </c>
      <c r="D82" s="2733"/>
      <c r="E82" s="2738"/>
      <c r="F82" s="2751">
        <f>$C82-SUM($D82:E82)</f>
        <v>0</v>
      </c>
      <c r="G82" s="2740">
        <f>ROUND(SUM(H82:I82),2)</f>
        <v>0</v>
      </c>
      <c r="H82" s="2738"/>
      <c r="I82" s="2751"/>
    </row>
    <row r="83" spans="1:9">
      <c r="A83" s="2772" t="s">
        <v>188</v>
      </c>
      <c r="B83" s="2773"/>
      <c r="C83" s="2737">
        <f>审定现流表!C83</f>
        <v>0</v>
      </c>
      <c r="D83" s="2733"/>
      <c r="E83" s="2738"/>
      <c r="F83" s="2751">
        <f>$C83-SUM($D83:E83)</f>
        <v>0</v>
      </c>
      <c r="G83" s="2738">
        <f>ROUND(SUM(H83),2)</f>
        <v>0</v>
      </c>
      <c r="H83" s="2738"/>
      <c r="I83" s="2751"/>
    </row>
    <row r="84" ht="15" spans="1:9">
      <c r="A84" s="2781" t="s">
        <v>189</v>
      </c>
      <c r="B84" s="2782"/>
      <c r="C84" s="2754">
        <f t="shared" ref="C84:I84" si="27">ROUND(C80-C81+C82-C83,2)</f>
        <v>126800356.74</v>
      </c>
      <c r="D84" s="2755"/>
      <c r="E84" s="2756">
        <f t="shared" si="27"/>
        <v>0</v>
      </c>
      <c r="F84" s="2757">
        <f t="shared" si="27"/>
        <v>133392155.85</v>
      </c>
      <c r="G84" s="2754">
        <f t="shared" si="27"/>
        <v>0</v>
      </c>
      <c r="H84" s="2756">
        <f t="shared" si="27"/>
        <v>0</v>
      </c>
      <c r="I84" s="2757">
        <f t="shared" si="27"/>
        <v>0</v>
      </c>
    </row>
    <row r="85" ht="15" spans="1:6">
      <c r="A85" s="2783"/>
      <c r="B85" s="2784"/>
      <c r="C85" s="2785"/>
      <c r="D85" s="2785"/>
      <c r="E85" s="2785"/>
      <c r="F85" s="2785"/>
    </row>
    <row r="86" spans="1:6">
      <c r="A86" s="2786"/>
      <c r="B86" s="2786"/>
      <c r="C86" s="2786"/>
      <c r="D86" s="2786"/>
      <c r="E86" s="2786"/>
      <c r="F86" s="2786"/>
    </row>
  </sheetData>
  <sheetProtection formatCells="0" formatColumns="0" formatRows="0" insertRows="0" insertHyperlinks="0" sort="0" autoFilter="0" pivotTables="0"/>
  <autoFilter ref="A5:F85">
    <extLst/>
  </autoFilter>
  <mergeCells count="2">
    <mergeCell ref="A53:A54"/>
    <mergeCell ref="B53:B54"/>
  </mergeCells>
  <conditionalFormatting sqref="G1">
    <cfRule type="cellIs" dxfId="1" priority="1" stopIfTrue="1" operator="notEqual">
      <formula>0</formula>
    </cfRule>
  </conditionalFormatting>
  <conditionalFormatting sqref="H1">
    <cfRule type="cellIs" dxfId="1" priority="2" stopIfTrue="1" operator="notEqual">
      <formula>0</formula>
    </cfRule>
  </conditionalFormatting>
  <conditionalFormatting sqref="A2 A51">
    <cfRule type="cellIs" dxfId="1" priority="4" stopIfTrue="1" operator="notEqual">
      <formula>""</formula>
    </cfRule>
  </conditionalFormatting>
  <conditionalFormatting sqref="C2:I2 C51:I51">
    <cfRule type="cellIs" dxfId="1" priority="3" stopIfTrue="1" operator="notEqual">
      <formula>0</formula>
    </cfRule>
  </conditionalFormatting>
  <hyperlinks>
    <hyperlink ref="I1" location="报表附注!F1" display="【返回】报表附注"/>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ageMargins left="0.7" right="0.7" top="0.75" bottom="0.75" header="0.3" footer="0.3"/>
  <pageSetup paperSize="9"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4.25"/>
  <cols>
    <col min="1" max="1" width="37.75" customWidth="1"/>
    <col min="2" max="9" width="12.25" customWidth="1"/>
    <col min="10" max="10" width="26.75" hidden="1" customWidth="1"/>
    <col min="11" max="11" width="16.25" customWidth="1"/>
  </cols>
  <sheetData>
    <row r="1" ht="25.5" spans="1:10">
      <c r="A1" s="2395" t="s">
        <v>312</v>
      </c>
      <c r="B1" s="2395"/>
      <c r="C1" s="2395"/>
      <c r="D1" s="2395"/>
      <c r="E1" s="2395"/>
      <c r="F1" s="2395"/>
      <c r="G1" s="2395"/>
      <c r="H1" s="2395"/>
      <c r="I1" s="2395"/>
      <c r="J1" s="2460"/>
    </row>
    <row r="2" spans="1:10">
      <c r="A2" s="2397" t="s">
        <v>313</v>
      </c>
      <c r="B2" s="2465"/>
      <c r="C2" s="2465"/>
      <c r="D2" s="2465"/>
      <c r="E2" s="2465"/>
      <c r="F2" s="2465"/>
      <c r="G2" s="2465"/>
      <c r="H2" s="2465"/>
      <c r="I2" s="2465"/>
      <c r="J2" s="2460"/>
    </row>
    <row r="3" spans="1:10">
      <c r="A3" s="2399" t="s">
        <v>314</v>
      </c>
      <c r="B3" s="2465"/>
      <c r="C3" s="2465"/>
      <c r="D3" s="2465"/>
      <c r="E3" s="2465"/>
      <c r="F3" s="2465"/>
      <c r="G3" s="2465"/>
      <c r="H3" s="2465"/>
      <c r="I3" s="2465"/>
      <c r="J3" s="2460"/>
    </row>
    <row r="4" spans="1:10">
      <c r="A4" s="2466" t="s">
        <v>315</v>
      </c>
      <c r="B4" s="2426" t="s">
        <v>316</v>
      </c>
      <c r="C4" s="2426"/>
      <c r="D4" s="2426"/>
      <c r="E4" s="2426" t="s">
        <v>317</v>
      </c>
      <c r="F4" s="2426"/>
      <c r="G4" s="2426"/>
      <c r="H4" s="2446"/>
      <c r="I4" s="2446"/>
      <c r="J4" s="2460"/>
    </row>
    <row r="5" spans="1:10">
      <c r="A5" s="2467"/>
      <c r="B5" s="2426" t="s">
        <v>318</v>
      </c>
      <c r="C5" s="2426" t="s">
        <v>319</v>
      </c>
      <c r="D5" s="2426" t="s">
        <v>320</v>
      </c>
      <c r="E5" s="2426" t="s">
        <v>318</v>
      </c>
      <c r="F5" s="2426" t="s">
        <v>319</v>
      </c>
      <c r="G5" s="2426" t="s">
        <v>320</v>
      </c>
      <c r="H5" s="2446"/>
      <c r="I5" s="2446"/>
      <c r="J5" s="2460"/>
    </row>
    <row r="6" spans="1:10">
      <c r="A6" s="2427" t="s">
        <v>321</v>
      </c>
      <c r="B6" s="2150"/>
      <c r="C6" s="2468"/>
      <c r="D6" s="2369">
        <f>ROUND(SUM(D7:D11),2)</f>
        <v>0</v>
      </c>
      <c r="E6" s="2150"/>
      <c r="F6" s="2468"/>
      <c r="G6" s="2369">
        <f>ROUND(SUM(G7:G11),2)</f>
        <v>0</v>
      </c>
      <c r="H6" s="2418"/>
      <c r="I6" s="2418"/>
      <c r="J6" s="2436" t="s">
        <v>322</v>
      </c>
    </row>
    <row r="7" spans="1:10">
      <c r="A7" s="2427" t="s">
        <v>323</v>
      </c>
      <c r="B7" s="2150"/>
      <c r="C7" s="2468"/>
      <c r="D7" s="2469"/>
      <c r="E7" s="2150"/>
      <c r="F7" s="2468"/>
      <c r="G7" s="2469"/>
      <c r="H7" s="2418"/>
      <c r="I7" s="2418"/>
      <c r="J7" s="2436" t="s">
        <v>324</v>
      </c>
    </row>
    <row r="8" spans="1:10">
      <c r="A8" s="2470" t="s">
        <v>325</v>
      </c>
      <c r="B8" s="2123" t="str">
        <f>IF(C8=0,"",ROUND(D8/C8,2))</f>
        <v/>
      </c>
      <c r="C8" s="2471"/>
      <c r="D8" s="2469"/>
      <c r="E8" s="2123" t="str">
        <f>IF(F8=0,"",ROUND(G8/F8,2))</f>
        <v/>
      </c>
      <c r="F8" s="2471"/>
      <c r="G8" s="2469"/>
      <c r="H8" s="2418"/>
      <c r="I8" s="2418"/>
      <c r="J8" s="2436" t="s">
        <v>326</v>
      </c>
    </row>
    <row r="9" spans="1:10">
      <c r="A9" s="2470" t="s">
        <v>327</v>
      </c>
      <c r="B9" s="2123" t="str">
        <f>IF(C9=0,"",ROUND(D9/C9,2))</f>
        <v/>
      </c>
      <c r="C9" s="2471"/>
      <c r="D9" s="2469"/>
      <c r="E9" s="2123" t="str">
        <f>IF(F9=0,"",ROUND(G9/F9,2))</f>
        <v/>
      </c>
      <c r="F9" s="2471"/>
      <c r="G9" s="2469"/>
      <c r="H9" s="2418"/>
      <c r="I9" s="2418"/>
      <c r="J9" s="2436" t="s">
        <v>328</v>
      </c>
    </row>
    <row r="10" spans="1:10">
      <c r="A10" s="2470" t="s">
        <v>329</v>
      </c>
      <c r="B10" s="2123" t="str">
        <f>IF(C10=0,"",ROUND(D10/C10,2))</f>
        <v/>
      </c>
      <c r="C10" s="2471"/>
      <c r="D10" s="2469"/>
      <c r="E10" s="2123" t="str">
        <f>IF(F10=0,"",ROUND(G10/F10,2))</f>
        <v/>
      </c>
      <c r="F10" s="2471"/>
      <c r="G10" s="2469"/>
      <c r="H10" s="2418"/>
      <c r="I10" s="2418"/>
      <c r="J10" s="2436" t="s">
        <v>330</v>
      </c>
    </row>
    <row r="11" spans="1:10">
      <c r="A11" s="2470" t="s">
        <v>331</v>
      </c>
      <c r="B11" s="2123" t="str">
        <f>IF(C11=0,"",ROUND(D11/C11,2))</f>
        <v/>
      </c>
      <c r="C11" s="2471"/>
      <c r="D11" s="2469"/>
      <c r="E11" s="2123" t="str">
        <f>IF(F11=0,"",ROUND(G11/F11,2))</f>
        <v/>
      </c>
      <c r="F11" s="2471"/>
      <c r="G11" s="2469"/>
      <c r="H11" s="2418"/>
      <c r="I11" s="2418"/>
      <c r="J11" s="2436" t="s">
        <v>332</v>
      </c>
    </row>
    <row r="12" spans="1:10">
      <c r="A12" s="2427" t="s">
        <v>333</v>
      </c>
      <c r="B12" s="2416"/>
      <c r="C12" s="2468"/>
      <c r="D12" s="2369">
        <f>ROUND(SUM(D13:D17),2)</f>
        <v>0</v>
      </c>
      <c r="E12" s="2416"/>
      <c r="F12" s="2468"/>
      <c r="G12" s="2369">
        <f>ROUND(SUM(G13:G17),2)</f>
        <v>0</v>
      </c>
      <c r="H12" s="2418"/>
      <c r="I12" s="2418"/>
      <c r="J12" s="2436" t="s">
        <v>334</v>
      </c>
    </row>
    <row r="13" spans="1:10">
      <c r="A13" s="2427" t="s">
        <v>323</v>
      </c>
      <c r="B13" s="2416"/>
      <c r="C13" s="2468"/>
      <c r="D13" s="2469"/>
      <c r="E13" s="2416"/>
      <c r="F13" s="2468"/>
      <c r="G13" s="2469"/>
      <c r="H13" s="2418"/>
      <c r="I13" s="2418"/>
      <c r="J13" s="2436" t="s">
        <v>335</v>
      </c>
    </row>
    <row r="14" spans="1:10">
      <c r="A14" s="2470" t="s">
        <v>325</v>
      </c>
      <c r="B14" s="2123" t="str">
        <f>IF(C14=0,"",ROUND(D14/C14,2))</f>
        <v/>
      </c>
      <c r="C14" s="2471"/>
      <c r="D14" s="2469"/>
      <c r="E14" s="2123" t="str">
        <f>IF(F14=0,"",ROUND(G14/F14,2))</f>
        <v/>
      </c>
      <c r="F14" s="2471"/>
      <c r="G14" s="2469"/>
      <c r="H14" s="2418"/>
      <c r="I14" s="2418"/>
      <c r="J14" s="2436" t="s">
        <v>336</v>
      </c>
    </row>
    <row r="15" spans="1:10">
      <c r="A15" s="2470" t="s">
        <v>327</v>
      </c>
      <c r="B15" s="2123" t="str">
        <f>IF(C15=0,"",ROUND(D15/C15,2))</f>
        <v/>
      </c>
      <c r="C15" s="2471"/>
      <c r="D15" s="2469"/>
      <c r="E15" s="2123" t="str">
        <f>IF(F15=0,"",ROUND(G15/F15,2))</f>
        <v/>
      </c>
      <c r="F15" s="2471"/>
      <c r="G15" s="2469"/>
      <c r="H15" s="2418"/>
      <c r="I15" s="2418"/>
      <c r="J15" s="2436" t="s">
        <v>337</v>
      </c>
    </row>
    <row r="16" spans="1:10">
      <c r="A16" s="2470" t="s">
        <v>329</v>
      </c>
      <c r="B16" s="2123" t="str">
        <f>IF(C16=0,"",ROUND(D16/C16,2))</f>
        <v/>
      </c>
      <c r="C16" s="2471"/>
      <c r="D16" s="2469"/>
      <c r="E16" s="2123" t="str">
        <f>IF(F16=0,"",ROUND(G16/F16,2))</f>
        <v/>
      </c>
      <c r="F16" s="2471"/>
      <c r="G16" s="2469"/>
      <c r="H16" s="2418"/>
      <c r="I16" s="2418"/>
      <c r="J16" s="2436" t="s">
        <v>338</v>
      </c>
    </row>
    <row r="17" spans="1:10">
      <c r="A17" s="2470" t="s">
        <v>331</v>
      </c>
      <c r="B17" s="2123" t="str">
        <f>IF(C17=0,"",ROUND(D17/C17,2))</f>
        <v/>
      </c>
      <c r="C17" s="2471"/>
      <c r="D17" s="2469"/>
      <c r="E17" s="2123" t="str">
        <f>IF(F17=0,"",ROUND(G17/F17,2))</f>
        <v/>
      </c>
      <c r="F17" s="2471"/>
      <c r="G17" s="2469"/>
      <c r="H17" s="2418"/>
      <c r="I17" s="2418"/>
      <c r="J17" s="2436" t="s">
        <v>339</v>
      </c>
    </row>
    <row r="18" spans="1:10">
      <c r="A18" s="2427" t="s">
        <v>340</v>
      </c>
      <c r="B18" s="2416"/>
      <c r="C18" s="2468"/>
      <c r="D18" s="2369">
        <f>ROUND(SUM(D19:D23),2)</f>
        <v>0</v>
      </c>
      <c r="E18" s="2416"/>
      <c r="F18" s="2468"/>
      <c r="G18" s="2369">
        <f>ROUND(SUM(G19:G23),2)</f>
        <v>0</v>
      </c>
      <c r="H18" s="2418"/>
      <c r="I18" s="2418"/>
      <c r="J18" s="2436" t="s">
        <v>341</v>
      </c>
    </row>
    <row r="19" spans="1:10">
      <c r="A19" s="2427" t="s">
        <v>323</v>
      </c>
      <c r="B19" s="2416"/>
      <c r="C19" s="2468"/>
      <c r="D19" s="2469"/>
      <c r="E19" s="2416"/>
      <c r="F19" s="2468"/>
      <c r="G19" s="2469"/>
      <c r="H19" s="2418"/>
      <c r="I19" s="2418"/>
      <c r="J19" s="2436" t="s">
        <v>342</v>
      </c>
    </row>
    <row r="20" spans="1:10">
      <c r="A20" s="2470" t="s">
        <v>325</v>
      </c>
      <c r="B20" s="2123" t="str">
        <f>IF(C20=0,"",ROUND(D20/C20,2))</f>
        <v/>
      </c>
      <c r="C20" s="2471"/>
      <c r="D20" s="2469"/>
      <c r="E20" s="2123" t="str">
        <f>IF(F20=0,"",ROUND(G20/F20,2))</f>
        <v/>
      </c>
      <c r="F20" s="2471"/>
      <c r="G20" s="2469"/>
      <c r="H20" s="2418"/>
      <c r="I20" s="2418"/>
      <c r="J20" s="2436" t="s">
        <v>343</v>
      </c>
    </row>
    <row r="21" spans="1:10">
      <c r="A21" s="2470" t="s">
        <v>327</v>
      </c>
      <c r="B21" s="2123" t="str">
        <f>IF(C21=0,"",ROUND(D21/C21,2))</f>
        <v/>
      </c>
      <c r="C21" s="2471"/>
      <c r="D21" s="2469"/>
      <c r="E21" s="2123" t="str">
        <f>IF(F21=0,"",ROUND(G21/F21,2))</f>
        <v/>
      </c>
      <c r="F21" s="2471"/>
      <c r="G21" s="2469"/>
      <c r="H21" s="2418"/>
      <c r="I21" s="2418"/>
      <c r="J21" s="2436" t="s">
        <v>344</v>
      </c>
    </row>
    <row r="22" spans="1:10">
      <c r="A22" s="2470" t="s">
        <v>329</v>
      </c>
      <c r="B22" s="2123" t="str">
        <f>IF(C22=0,"",ROUND(D22/C22,2))</f>
        <v/>
      </c>
      <c r="C22" s="2471"/>
      <c r="D22" s="2469"/>
      <c r="E22" s="2123" t="str">
        <f>IF(F22=0,"",ROUND(G22/F22,2))</f>
        <v/>
      </c>
      <c r="F22" s="2471"/>
      <c r="G22" s="2469"/>
      <c r="H22" s="2418"/>
      <c r="I22" s="2418"/>
      <c r="J22" s="2436" t="s">
        <v>345</v>
      </c>
    </row>
    <row r="23" spans="1:10">
      <c r="A23" s="2470" t="s">
        <v>331</v>
      </c>
      <c r="B23" s="2123" t="str">
        <f>IF(C23=0,"",ROUND(D23/C23,2))</f>
        <v/>
      </c>
      <c r="C23" s="2471"/>
      <c r="D23" s="2469"/>
      <c r="E23" s="2123" t="str">
        <f>IF(F23=0,"",ROUND(G23/F23,2))</f>
        <v/>
      </c>
      <c r="F23" s="2471"/>
      <c r="G23" s="2469"/>
      <c r="H23" s="2418"/>
      <c r="I23" s="2418"/>
      <c r="J23" s="2436" t="s">
        <v>346</v>
      </c>
    </row>
    <row r="24" spans="1:10">
      <c r="A24" s="2400" t="s">
        <v>347</v>
      </c>
      <c r="B24" s="2150"/>
      <c r="C24" s="2468"/>
      <c r="D24" s="2369">
        <f>ROUND(D6+D12+D18,2)</f>
        <v>0</v>
      </c>
      <c r="E24" s="2150"/>
      <c r="F24" s="2468"/>
      <c r="G24" s="2369">
        <f>ROUND(G6+G12+G18,2)</f>
        <v>0</v>
      </c>
      <c r="H24" s="2418"/>
      <c r="I24" s="2418"/>
      <c r="J24" s="2436" t="s">
        <v>348</v>
      </c>
    </row>
    <row r="25" spans="1:10">
      <c r="A25" s="2419"/>
      <c r="B25" s="2419"/>
      <c r="C25" s="2419"/>
      <c r="D25" s="2419"/>
      <c r="E25" s="2419"/>
      <c r="F25" s="2419"/>
      <c r="G25" s="2419"/>
      <c r="H25" s="2418"/>
      <c r="I25" s="2418"/>
      <c r="J25" s="2460"/>
    </row>
    <row r="26" spans="1:10">
      <c r="A26" s="2422" t="s">
        <v>349</v>
      </c>
      <c r="B26" s="2419"/>
      <c r="C26" s="2419"/>
      <c r="D26" s="2419"/>
      <c r="E26" s="2419"/>
      <c r="F26" s="2419"/>
      <c r="G26" s="2419"/>
      <c r="H26" s="2418"/>
      <c r="I26" s="2418"/>
      <c r="J26" s="2460"/>
    </row>
    <row r="27" spans="1:10">
      <c r="A27" s="2400" t="s">
        <v>350</v>
      </c>
      <c r="B27" s="2400" t="s">
        <v>351</v>
      </c>
      <c r="C27" s="2400" t="s">
        <v>352</v>
      </c>
      <c r="D27" s="2400" t="s">
        <v>353</v>
      </c>
      <c r="E27" s="2400" t="s">
        <v>354</v>
      </c>
      <c r="F27" s="2419"/>
      <c r="G27" s="2446"/>
      <c r="H27" s="2446"/>
      <c r="I27" s="2446"/>
      <c r="J27" s="2460"/>
    </row>
    <row r="28" spans="1:10">
      <c r="A28" s="2410"/>
      <c r="B28" s="2403"/>
      <c r="C28" s="2410"/>
      <c r="D28" s="2410"/>
      <c r="E28" s="2472"/>
      <c r="F28" s="2419"/>
      <c r="G28" s="2446"/>
      <c r="H28" s="2446"/>
      <c r="I28" s="2446"/>
      <c r="J28" s="2436" t="s">
        <v>355</v>
      </c>
    </row>
    <row r="29" spans="1:10">
      <c r="A29" s="2410"/>
      <c r="B29" s="2403"/>
      <c r="C29" s="2410"/>
      <c r="D29" s="2410"/>
      <c r="E29" s="2472"/>
      <c r="F29" s="2419"/>
      <c r="G29" s="2446"/>
      <c r="H29" s="2446"/>
      <c r="I29" s="2446"/>
      <c r="J29" s="2436" t="s">
        <v>355</v>
      </c>
    </row>
    <row r="30" spans="1:10">
      <c r="A30" s="2410"/>
      <c r="B30" s="2403"/>
      <c r="C30" s="2410"/>
      <c r="D30" s="2410"/>
      <c r="E30" s="2472"/>
      <c r="F30" s="2419"/>
      <c r="G30" s="2446"/>
      <c r="H30" s="2446"/>
      <c r="I30" s="2446"/>
      <c r="J30" s="2436" t="s">
        <v>355</v>
      </c>
    </row>
    <row r="31" spans="1:10">
      <c r="A31" s="2410"/>
      <c r="B31" s="2403"/>
      <c r="C31" s="2410"/>
      <c r="D31" s="2410"/>
      <c r="E31" s="2472"/>
      <c r="F31" s="2419"/>
      <c r="G31" s="2446"/>
      <c r="H31" s="2446"/>
      <c r="I31" s="2446"/>
      <c r="J31" s="2436" t="s">
        <v>355</v>
      </c>
    </row>
    <row r="32" spans="1:10">
      <c r="A32" s="2410"/>
      <c r="B32" s="2403"/>
      <c r="C32" s="2410"/>
      <c r="D32" s="2410"/>
      <c r="E32" s="2472"/>
      <c r="F32" s="2419"/>
      <c r="G32" s="2446"/>
      <c r="H32" s="2446"/>
      <c r="I32" s="2446"/>
      <c r="J32" s="2436" t="s">
        <v>355</v>
      </c>
    </row>
    <row r="33" spans="1:10">
      <c r="A33" s="2410"/>
      <c r="B33" s="2403"/>
      <c r="C33" s="2410"/>
      <c r="D33" s="2410"/>
      <c r="E33" s="2472"/>
      <c r="F33" s="2419"/>
      <c r="G33" s="2446"/>
      <c r="H33" s="2446"/>
      <c r="I33" s="2446"/>
      <c r="J33" s="2436" t="s">
        <v>355</v>
      </c>
    </row>
    <row r="34" spans="1:10">
      <c r="A34" s="2410"/>
      <c r="B34" s="2403"/>
      <c r="C34" s="2410"/>
      <c r="D34" s="2410"/>
      <c r="E34" s="2472"/>
      <c r="F34" s="2419"/>
      <c r="G34" s="2446"/>
      <c r="H34" s="2446"/>
      <c r="I34" s="2446"/>
      <c r="J34" s="2436" t="s">
        <v>355</v>
      </c>
    </row>
    <row r="35" spans="1:10">
      <c r="A35" s="2410"/>
      <c r="B35" s="2403"/>
      <c r="C35" s="2410"/>
      <c r="D35" s="2410"/>
      <c r="E35" s="2472"/>
      <c r="F35" s="2419"/>
      <c r="G35" s="2446"/>
      <c r="H35" s="2446"/>
      <c r="I35" s="2446"/>
      <c r="J35" s="2436" t="s">
        <v>355</v>
      </c>
    </row>
    <row r="36" spans="1:10">
      <c r="A36" s="2410"/>
      <c r="B36" s="2403"/>
      <c r="C36" s="2410"/>
      <c r="D36" s="2410"/>
      <c r="E36" s="2472"/>
      <c r="F36" s="2419"/>
      <c r="G36" s="2446"/>
      <c r="H36" s="2446"/>
      <c r="I36" s="2446"/>
      <c r="J36" s="2436" t="s">
        <v>355</v>
      </c>
    </row>
    <row r="37" spans="1:10">
      <c r="A37" s="2410"/>
      <c r="B37" s="2403"/>
      <c r="C37" s="2410"/>
      <c r="D37" s="2410"/>
      <c r="E37" s="2472"/>
      <c r="F37" s="2419"/>
      <c r="G37" s="2446"/>
      <c r="H37" s="2446"/>
      <c r="I37" s="2446"/>
      <c r="J37" s="2436" t="s">
        <v>355</v>
      </c>
    </row>
    <row r="38" spans="1:10">
      <c r="A38" s="2400" t="s">
        <v>347</v>
      </c>
      <c r="B38" s="2369">
        <f>ROUND(SUM(B28:B37),2)</f>
        <v>0</v>
      </c>
      <c r="C38" s="2369"/>
      <c r="D38" s="2369"/>
      <c r="E38" s="2369"/>
      <c r="F38" s="2419"/>
      <c r="G38" s="2446"/>
      <c r="H38" s="2446"/>
      <c r="I38" s="2446"/>
      <c r="J38" s="2436" t="s">
        <v>356</v>
      </c>
    </row>
    <row r="39" spans="1:10">
      <c r="A39" s="2419"/>
      <c r="B39" s="2419"/>
      <c r="C39" s="2419"/>
      <c r="D39" s="2419"/>
      <c r="E39" s="2419"/>
      <c r="F39" s="2419"/>
      <c r="G39" s="2419"/>
      <c r="H39" s="2419"/>
      <c r="I39" s="2419"/>
      <c r="J39" s="2460"/>
    </row>
    <row r="40" spans="1:10">
      <c r="A40" s="2422" t="s">
        <v>357</v>
      </c>
      <c r="B40" s="2419"/>
      <c r="C40" s="2419"/>
      <c r="D40" s="2419"/>
      <c r="E40" s="2419"/>
      <c r="F40" s="2419"/>
      <c r="G40" s="2419"/>
      <c r="H40" s="2419"/>
      <c r="I40" s="2419"/>
      <c r="J40" s="2460"/>
    </row>
    <row r="41" spans="1:10">
      <c r="A41" s="2400" t="s">
        <v>358</v>
      </c>
      <c r="B41" s="2402" t="s">
        <v>359</v>
      </c>
      <c r="C41" s="2400" t="s">
        <v>360</v>
      </c>
      <c r="D41" s="2400" t="s">
        <v>361</v>
      </c>
      <c r="E41" s="2419"/>
      <c r="F41" s="2419"/>
      <c r="G41" s="2446"/>
      <c r="H41" s="2446"/>
      <c r="I41" s="2446"/>
      <c r="J41" s="2460"/>
    </row>
    <row r="42" spans="1:10">
      <c r="A42" s="2410"/>
      <c r="B42" s="2410"/>
      <c r="C42" s="2403"/>
      <c r="D42" s="2410"/>
      <c r="E42" s="2419"/>
      <c r="F42" s="2419"/>
      <c r="G42" s="2446"/>
      <c r="H42" s="2446"/>
      <c r="I42" s="2446"/>
      <c r="J42" s="2436" t="s">
        <v>362</v>
      </c>
    </row>
    <row r="43" spans="1:10">
      <c r="A43" s="2410"/>
      <c r="B43" s="2410"/>
      <c r="C43" s="2403"/>
      <c r="D43" s="2410"/>
      <c r="E43" s="2419"/>
      <c r="F43" s="2419"/>
      <c r="G43" s="2446"/>
      <c r="H43" s="2446"/>
      <c r="I43" s="2446"/>
      <c r="J43" s="2436" t="s">
        <v>362</v>
      </c>
    </row>
    <row r="44" spans="1:10">
      <c r="A44" s="2410"/>
      <c r="B44" s="2410"/>
      <c r="C44" s="2403"/>
      <c r="D44" s="2410"/>
      <c r="E44" s="2419"/>
      <c r="F44" s="2419"/>
      <c r="G44" s="2446"/>
      <c r="H44" s="2446"/>
      <c r="I44" s="2446"/>
      <c r="J44" s="2436" t="s">
        <v>362</v>
      </c>
    </row>
    <row r="45" spans="1:10">
      <c r="A45" s="2410"/>
      <c r="B45" s="2410"/>
      <c r="C45" s="2403"/>
      <c r="D45" s="2410"/>
      <c r="E45" s="2419"/>
      <c r="F45" s="2419"/>
      <c r="G45" s="2446"/>
      <c r="H45" s="2446"/>
      <c r="I45" s="2446"/>
      <c r="J45" s="2436" t="s">
        <v>362</v>
      </c>
    </row>
    <row r="46" spans="1:10">
      <c r="A46" s="2410"/>
      <c r="B46" s="2410"/>
      <c r="C46" s="2403"/>
      <c r="D46" s="2410"/>
      <c r="E46" s="2419"/>
      <c r="F46" s="2419"/>
      <c r="G46" s="2446"/>
      <c r="H46" s="2446"/>
      <c r="I46" s="2446"/>
      <c r="J46" s="2436" t="s">
        <v>362</v>
      </c>
    </row>
    <row r="47" spans="1:10">
      <c r="A47" s="2410"/>
      <c r="B47" s="2410"/>
      <c r="C47" s="2403"/>
      <c r="D47" s="2410"/>
      <c r="E47" s="2419"/>
      <c r="F47" s="2419"/>
      <c r="G47" s="2446"/>
      <c r="H47" s="2446"/>
      <c r="I47" s="2446"/>
      <c r="J47" s="2436" t="s">
        <v>362</v>
      </c>
    </row>
    <row r="48" spans="1:10">
      <c r="A48" s="2410"/>
      <c r="B48" s="2410"/>
      <c r="C48" s="2403"/>
      <c r="D48" s="2410"/>
      <c r="E48" s="2419"/>
      <c r="F48" s="2419"/>
      <c r="G48" s="2446"/>
      <c r="H48" s="2446"/>
      <c r="I48" s="2446"/>
      <c r="J48" s="2436" t="s">
        <v>362</v>
      </c>
    </row>
    <row r="49" spans="1:10">
      <c r="A49" s="2410"/>
      <c r="B49" s="2410"/>
      <c r="C49" s="2403"/>
      <c r="D49" s="2410"/>
      <c r="E49" s="2419"/>
      <c r="F49" s="2419"/>
      <c r="G49" s="2446"/>
      <c r="H49" s="2446"/>
      <c r="I49" s="2446"/>
      <c r="J49" s="2436" t="s">
        <v>362</v>
      </c>
    </row>
    <row r="50" spans="1:10">
      <c r="A50" s="2410"/>
      <c r="B50" s="2410"/>
      <c r="C50" s="2403"/>
      <c r="D50" s="2410"/>
      <c r="E50" s="2419"/>
      <c r="F50" s="2419"/>
      <c r="G50" s="2446"/>
      <c r="H50" s="2446"/>
      <c r="I50" s="2446"/>
      <c r="J50" s="2436" t="s">
        <v>362</v>
      </c>
    </row>
    <row r="51" spans="1:10">
      <c r="A51" s="2410"/>
      <c r="B51" s="2410"/>
      <c r="C51" s="2403"/>
      <c r="D51" s="2410"/>
      <c r="E51" s="2419"/>
      <c r="F51" s="2419"/>
      <c r="G51" s="2446"/>
      <c r="H51" s="2446"/>
      <c r="I51" s="2446"/>
      <c r="J51" s="2436" t="s">
        <v>362</v>
      </c>
    </row>
    <row r="52" spans="1:10">
      <c r="A52" s="2400" t="s">
        <v>347</v>
      </c>
      <c r="B52" s="2369"/>
      <c r="C52" s="2369">
        <f>ROUND(SUM(C42:C51),2)</f>
        <v>0</v>
      </c>
      <c r="D52" s="2369">
        <f>ROUND(SUM(D42:D51),2)</f>
        <v>0</v>
      </c>
      <c r="E52" s="2419"/>
      <c r="F52" s="2419"/>
      <c r="G52" s="2446"/>
      <c r="H52" s="2446"/>
      <c r="I52" s="2446"/>
      <c r="J52" s="2436" t="s">
        <v>363</v>
      </c>
    </row>
    <row r="53" spans="1:10">
      <c r="A53" s="2419"/>
      <c r="B53" s="2419"/>
      <c r="C53" s="2419"/>
      <c r="D53" s="2419"/>
      <c r="E53" s="2419"/>
      <c r="F53" s="2419"/>
      <c r="G53" s="2419"/>
      <c r="H53" s="2419"/>
      <c r="I53" s="2419"/>
      <c r="J53" s="2460"/>
    </row>
    <row r="54" spans="1:10">
      <c r="A54" s="2422" t="s">
        <v>364</v>
      </c>
      <c r="B54" s="2419"/>
      <c r="C54" s="2419"/>
      <c r="D54" s="2419"/>
      <c r="E54" s="2419"/>
      <c r="F54" s="2419"/>
      <c r="G54" s="2419"/>
      <c r="H54" s="2419"/>
      <c r="I54" s="2419"/>
      <c r="J54" s="2460"/>
    </row>
    <row r="55" spans="1:10">
      <c r="A55" s="2400" t="s">
        <v>365</v>
      </c>
      <c r="B55" s="2400" t="s">
        <v>366</v>
      </c>
      <c r="C55" s="2400" t="s">
        <v>367</v>
      </c>
      <c r="D55" s="2400" t="s">
        <v>368</v>
      </c>
      <c r="E55" s="2400" t="s">
        <v>369</v>
      </c>
      <c r="F55" s="2419"/>
      <c r="G55" s="2446"/>
      <c r="H55" s="2446"/>
      <c r="I55" s="2446"/>
      <c r="J55" s="2460"/>
    </row>
    <row r="56" spans="1:10">
      <c r="A56" s="2410"/>
      <c r="B56" s="2403"/>
      <c r="C56" s="2403"/>
      <c r="D56" s="2410"/>
      <c r="E56" s="2410"/>
      <c r="F56" s="2419"/>
      <c r="G56" s="2446"/>
      <c r="H56" s="2446"/>
      <c r="I56" s="2446"/>
      <c r="J56" s="2436" t="s">
        <v>370</v>
      </c>
    </row>
    <row r="57" spans="1:10">
      <c r="A57" s="2410"/>
      <c r="B57" s="2403"/>
      <c r="C57" s="2403"/>
      <c r="D57" s="2410"/>
      <c r="E57" s="2410"/>
      <c r="F57" s="2419"/>
      <c r="G57" s="2446"/>
      <c r="H57" s="2446"/>
      <c r="I57" s="2446"/>
      <c r="J57" s="2436" t="s">
        <v>370</v>
      </c>
    </row>
    <row r="58" spans="1:10">
      <c r="A58" s="2410"/>
      <c r="B58" s="2403"/>
      <c r="C58" s="2403"/>
      <c r="D58" s="2410"/>
      <c r="E58" s="2410"/>
      <c r="F58" s="2419"/>
      <c r="G58" s="2446"/>
      <c r="H58" s="2446"/>
      <c r="I58" s="2446"/>
      <c r="J58" s="2436" t="s">
        <v>370</v>
      </c>
    </row>
    <row r="59" spans="1:10">
      <c r="A59" s="2410"/>
      <c r="B59" s="2403"/>
      <c r="C59" s="2403"/>
      <c r="D59" s="2410"/>
      <c r="E59" s="2410"/>
      <c r="F59" s="2419"/>
      <c r="G59" s="2446"/>
      <c r="H59" s="2446"/>
      <c r="I59" s="2446"/>
      <c r="J59" s="2436" t="s">
        <v>370</v>
      </c>
    </row>
    <row r="60" spans="1:10">
      <c r="A60" s="2410"/>
      <c r="B60" s="2403"/>
      <c r="C60" s="2403"/>
      <c r="D60" s="2410"/>
      <c r="E60" s="2410"/>
      <c r="F60" s="2419"/>
      <c r="G60" s="2446"/>
      <c r="H60" s="2446"/>
      <c r="I60" s="2446"/>
      <c r="J60" s="2436" t="s">
        <v>370</v>
      </c>
    </row>
    <row r="61" spans="1:10">
      <c r="A61" s="2410"/>
      <c r="B61" s="2403"/>
      <c r="C61" s="2403"/>
      <c r="D61" s="2410"/>
      <c r="E61" s="2410"/>
      <c r="F61" s="2419"/>
      <c r="G61" s="2446"/>
      <c r="H61" s="2446"/>
      <c r="I61" s="2446"/>
      <c r="J61" s="2436" t="s">
        <v>370</v>
      </c>
    </row>
    <row r="62" spans="1:10">
      <c r="A62" s="2410"/>
      <c r="B62" s="2403"/>
      <c r="C62" s="2403"/>
      <c r="D62" s="2410"/>
      <c r="E62" s="2410"/>
      <c r="F62" s="2419"/>
      <c r="G62" s="2446"/>
      <c r="H62" s="2446"/>
      <c r="I62" s="2446"/>
      <c r="J62" s="2436" t="s">
        <v>370</v>
      </c>
    </row>
    <row r="63" spans="1:10">
      <c r="A63" s="2410"/>
      <c r="B63" s="2403"/>
      <c r="C63" s="2403"/>
      <c r="D63" s="2410"/>
      <c r="E63" s="2410"/>
      <c r="F63" s="2419"/>
      <c r="G63" s="2446"/>
      <c r="H63" s="2446"/>
      <c r="I63" s="2446"/>
      <c r="J63" s="2436" t="s">
        <v>370</v>
      </c>
    </row>
    <row r="64" spans="1:10">
      <c r="A64" s="2410"/>
      <c r="B64" s="2403"/>
      <c r="C64" s="2403"/>
      <c r="D64" s="2410"/>
      <c r="E64" s="2410"/>
      <c r="F64" s="2419"/>
      <c r="G64" s="2446"/>
      <c r="H64" s="2446"/>
      <c r="I64" s="2446"/>
      <c r="J64" s="2436" t="s">
        <v>370</v>
      </c>
    </row>
    <row r="65" spans="1:10">
      <c r="A65" s="2410"/>
      <c r="B65" s="2403"/>
      <c r="C65" s="2403"/>
      <c r="D65" s="2410"/>
      <c r="E65" s="2410"/>
      <c r="F65" s="2419"/>
      <c r="G65" s="2446"/>
      <c r="H65" s="2446"/>
      <c r="I65" s="2446"/>
      <c r="J65" s="2436" t="s">
        <v>370</v>
      </c>
    </row>
    <row r="66" spans="1:10">
      <c r="A66" s="2400" t="s">
        <v>347</v>
      </c>
      <c r="B66" s="2369">
        <f>ROUND(SUM(B56:B65),2)</f>
        <v>0</v>
      </c>
      <c r="C66" s="2369">
        <f>ROUND(SUM(C56:C65),2)</f>
        <v>0</v>
      </c>
      <c r="D66" s="2369"/>
      <c r="E66" s="2369"/>
      <c r="F66" s="2419"/>
      <c r="G66" s="2446"/>
      <c r="H66" s="2446"/>
      <c r="I66" s="2446"/>
      <c r="J66" s="2436" t="s">
        <v>371</v>
      </c>
    </row>
    <row r="67" spans="1:10">
      <c r="A67" s="2419"/>
      <c r="B67" s="2419"/>
      <c r="C67" s="2419"/>
      <c r="D67" s="2419"/>
      <c r="E67" s="2419"/>
      <c r="F67" s="2419"/>
      <c r="G67" s="2419"/>
      <c r="H67" s="2419"/>
      <c r="I67" s="2419"/>
      <c r="J67" s="2460"/>
    </row>
    <row r="68" spans="1:10">
      <c r="A68" s="2419"/>
      <c r="B68" s="2419"/>
      <c r="C68" s="2419"/>
      <c r="D68" s="2419"/>
      <c r="E68" s="2419"/>
      <c r="F68" s="2419"/>
      <c r="G68" s="2419"/>
      <c r="H68" s="2419"/>
      <c r="I68" s="2419"/>
      <c r="J68" s="2460"/>
    </row>
    <row r="69" spans="1:10">
      <c r="A69" s="2397" t="s">
        <v>372</v>
      </c>
      <c r="B69" s="2398"/>
      <c r="C69" s="2398"/>
      <c r="D69" s="2398"/>
      <c r="E69" s="2398"/>
      <c r="F69" s="2398"/>
      <c r="G69" s="2398"/>
      <c r="H69" s="2398"/>
      <c r="I69" s="2398"/>
      <c r="J69" s="2460"/>
    </row>
    <row r="70" spans="1:10">
      <c r="A70" s="2399" t="s">
        <v>314</v>
      </c>
      <c r="B70" s="2398"/>
      <c r="C70" s="2398"/>
      <c r="D70" s="2398"/>
      <c r="E70" s="2398"/>
      <c r="F70" s="2398"/>
      <c r="G70" s="2398"/>
      <c r="H70" s="2398"/>
      <c r="I70" s="2398"/>
      <c r="J70" s="2460"/>
    </row>
    <row r="71" spans="1:10">
      <c r="A71" s="2400" t="s">
        <v>373</v>
      </c>
      <c r="B71" s="2400" t="s">
        <v>374</v>
      </c>
      <c r="C71" s="2400" t="s">
        <v>375</v>
      </c>
      <c r="D71" s="2398"/>
      <c r="E71" s="2398"/>
      <c r="F71" s="2398"/>
      <c r="G71" s="2398"/>
      <c r="H71" s="2398"/>
      <c r="I71" s="2398"/>
      <c r="J71" s="2460"/>
    </row>
    <row r="72" spans="1:10">
      <c r="A72" s="2402" t="s">
        <v>376</v>
      </c>
      <c r="B72" s="2403"/>
      <c r="C72" s="2403"/>
      <c r="D72" s="2398"/>
      <c r="E72" s="2398"/>
      <c r="F72" s="2398"/>
      <c r="G72" s="2398"/>
      <c r="H72" s="2398"/>
      <c r="I72" s="2398"/>
      <c r="J72" s="2436" t="s">
        <v>377</v>
      </c>
    </row>
    <row r="73" spans="1:10">
      <c r="A73" s="2402" t="s">
        <v>378</v>
      </c>
      <c r="B73" s="2403"/>
      <c r="C73" s="2403"/>
      <c r="D73" s="2398"/>
      <c r="E73" s="2398"/>
      <c r="F73" s="2398"/>
      <c r="G73" s="2398"/>
      <c r="H73" s="2398"/>
      <c r="I73" s="2398"/>
      <c r="J73" s="2436" t="s">
        <v>379</v>
      </c>
    </row>
    <row r="74" spans="1:10">
      <c r="A74" s="2402" t="s">
        <v>380</v>
      </c>
      <c r="B74" s="2403"/>
      <c r="C74" s="2403"/>
      <c r="D74" s="2398"/>
      <c r="E74" s="2398"/>
      <c r="F74" s="2398"/>
      <c r="G74" s="2398"/>
      <c r="H74" s="2398"/>
      <c r="I74" s="2398"/>
      <c r="J74" s="2436" t="s">
        <v>381</v>
      </c>
    </row>
    <row r="75" spans="1:10">
      <c r="A75" s="2402" t="s">
        <v>382</v>
      </c>
      <c r="B75" s="2403"/>
      <c r="C75" s="2403"/>
      <c r="D75" s="2398"/>
      <c r="E75" s="2398"/>
      <c r="F75" s="2398"/>
      <c r="G75" s="2398"/>
      <c r="H75" s="2398"/>
      <c r="I75" s="2398"/>
      <c r="J75" s="2436" t="s">
        <v>383</v>
      </c>
    </row>
    <row r="76" spans="1:10">
      <c r="A76" s="2402" t="s">
        <v>280</v>
      </c>
      <c r="B76" s="2403"/>
      <c r="C76" s="2403"/>
      <c r="D76" s="2398"/>
      <c r="E76" s="2398"/>
      <c r="F76" s="2398"/>
      <c r="G76" s="2398"/>
      <c r="H76" s="2398"/>
      <c r="I76" s="2398"/>
      <c r="J76" s="2436" t="s">
        <v>384</v>
      </c>
    </row>
    <row r="77" spans="1:10">
      <c r="A77" s="2400" t="s">
        <v>385</v>
      </c>
      <c r="B77" s="2369">
        <f>ROUND(SUM(B72:B76),2)</f>
        <v>0</v>
      </c>
      <c r="C77" s="2369">
        <f>ROUND(SUM(C72:C76),2)</f>
        <v>0</v>
      </c>
      <c r="D77" s="2398"/>
      <c r="E77" s="2398"/>
      <c r="F77" s="2398"/>
      <c r="G77" s="2398"/>
      <c r="H77" s="2398"/>
      <c r="I77" s="2398"/>
      <c r="J77" s="2436" t="s">
        <v>386</v>
      </c>
    </row>
    <row r="78" spans="1:10">
      <c r="A78" s="2398"/>
      <c r="B78" s="2398"/>
      <c r="C78" s="2398"/>
      <c r="D78" s="2398"/>
      <c r="E78" s="2398"/>
      <c r="F78" s="2398"/>
      <c r="G78" s="2398"/>
      <c r="H78" s="2398"/>
      <c r="I78" s="2398"/>
      <c r="J78" s="2460"/>
    </row>
    <row r="79" spans="1:10">
      <c r="A79" s="2422" t="s">
        <v>387</v>
      </c>
      <c r="B79" s="2419"/>
      <c r="C79" s="2419"/>
      <c r="D79" s="2419"/>
      <c r="E79" s="2419"/>
      <c r="F79" s="2419"/>
      <c r="G79" s="2419"/>
      <c r="H79" s="2419"/>
      <c r="I79" s="2419"/>
      <c r="J79" s="2460"/>
    </row>
    <row r="80" spans="1:10">
      <c r="A80" s="2400" t="s">
        <v>350</v>
      </c>
      <c r="B80" s="2400" t="s">
        <v>351</v>
      </c>
      <c r="C80" s="2400" t="s">
        <v>368</v>
      </c>
      <c r="D80" s="2400" t="s">
        <v>354</v>
      </c>
      <c r="E80" s="2419"/>
      <c r="F80" s="2419"/>
      <c r="G80" s="2446"/>
      <c r="H80" s="2446"/>
      <c r="I80" s="2446"/>
      <c r="J80" s="2460"/>
    </row>
    <row r="81" spans="1:10">
      <c r="A81" s="2410"/>
      <c r="B81" s="2403"/>
      <c r="C81" s="2410"/>
      <c r="D81" s="2410"/>
      <c r="E81" s="2419"/>
      <c r="F81" s="2419"/>
      <c r="G81" s="2446"/>
      <c r="H81" s="2446"/>
      <c r="I81" s="2446"/>
      <c r="J81" s="2436" t="s">
        <v>388</v>
      </c>
    </row>
    <row r="82" spans="1:10">
      <c r="A82" s="2410"/>
      <c r="B82" s="2403"/>
      <c r="C82" s="2410"/>
      <c r="D82" s="2410"/>
      <c r="E82" s="2419"/>
      <c r="F82" s="2419"/>
      <c r="G82" s="2446"/>
      <c r="H82" s="2446"/>
      <c r="I82" s="2446"/>
      <c r="J82" s="2436" t="s">
        <v>388</v>
      </c>
    </row>
    <row r="83" spans="1:10">
      <c r="A83" s="2410"/>
      <c r="B83" s="2403"/>
      <c r="C83" s="2410"/>
      <c r="D83" s="2410"/>
      <c r="E83" s="2419"/>
      <c r="F83" s="2419"/>
      <c r="G83" s="2446"/>
      <c r="H83" s="2446"/>
      <c r="I83" s="2446"/>
      <c r="J83" s="2436" t="s">
        <v>388</v>
      </c>
    </row>
    <row r="84" spans="1:10">
      <c r="A84" s="2410"/>
      <c r="B84" s="2403"/>
      <c r="C84" s="2410"/>
      <c r="D84" s="2410"/>
      <c r="E84" s="2419"/>
      <c r="F84" s="2419"/>
      <c r="G84" s="2446"/>
      <c r="H84" s="2446"/>
      <c r="I84" s="2446"/>
      <c r="J84" s="2436" t="s">
        <v>388</v>
      </c>
    </row>
    <row r="85" spans="1:10">
      <c r="A85" s="2410"/>
      <c r="B85" s="2403"/>
      <c r="C85" s="2410"/>
      <c r="D85" s="2410"/>
      <c r="E85" s="2419"/>
      <c r="F85" s="2419"/>
      <c r="G85" s="2446"/>
      <c r="H85" s="2446"/>
      <c r="I85" s="2446"/>
      <c r="J85" s="2436" t="s">
        <v>388</v>
      </c>
    </row>
    <row r="86" spans="1:10">
      <c r="A86" s="2410"/>
      <c r="B86" s="2403"/>
      <c r="C86" s="2410"/>
      <c r="D86" s="2410"/>
      <c r="E86" s="2419"/>
      <c r="F86" s="2419"/>
      <c r="G86" s="2446"/>
      <c r="H86" s="2446"/>
      <c r="I86" s="2446"/>
      <c r="J86" s="2436" t="s">
        <v>388</v>
      </c>
    </row>
    <row r="87" spans="1:10">
      <c r="A87" s="2410"/>
      <c r="B87" s="2403"/>
      <c r="C87" s="2410"/>
      <c r="D87" s="2410"/>
      <c r="E87" s="2419"/>
      <c r="F87" s="2419"/>
      <c r="G87" s="2446"/>
      <c r="H87" s="2446"/>
      <c r="I87" s="2446"/>
      <c r="J87" s="2436" t="s">
        <v>388</v>
      </c>
    </row>
    <row r="88" spans="1:10">
      <c r="A88" s="2410"/>
      <c r="B88" s="2403"/>
      <c r="C88" s="2410"/>
      <c r="D88" s="2410"/>
      <c r="E88" s="2419"/>
      <c r="F88" s="2419"/>
      <c r="G88" s="2446"/>
      <c r="H88" s="2446"/>
      <c r="I88" s="2446"/>
      <c r="J88" s="2436" t="s">
        <v>388</v>
      </c>
    </row>
    <row r="89" spans="1:10">
      <c r="A89" s="2410"/>
      <c r="B89" s="2403"/>
      <c r="C89" s="2410"/>
      <c r="D89" s="2410"/>
      <c r="E89" s="2419"/>
      <c r="F89" s="2419"/>
      <c r="G89" s="2446"/>
      <c r="H89" s="2446"/>
      <c r="I89" s="2446"/>
      <c r="J89" s="2436" t="s">
        <v>388</v>
      </c>
    </row>
    <row r="90" spans="1:10">
      <c r="A90" s="2410"/>
      <c r="B90" s="2403"/>
      <c r="C90" s="2410"/>
      <c r="D90" s="2410"/>
      <c r="E90" s="2419"/>
      <c r="F90" s="2419"/>
      <c r="G90" s="2446"/>
      <c r="H90" s="2446"/>
      <c r="I90" s="2446"/>
      <c r="J90" s="2436" t="s">
        <v>388</v>
      </c>
    </row>
    <row r="91" spans="1:10">
      <c r="A91" s="2400" t="s">
        <v>347</v>
      </c>
      <c r="B91" s="2369">
        <f>ROUND(SUM(B81:B90),2)</f>
        <v>0</v>
      </c>
      <c r="C91" s="2369"/>
      <c r="D91" s="2369"/>
      <c r="E91" s="2419"/>
      <c r="F91" s="2419"/>
      <c r="G91" s="2446"/>
      <c r="H91" s="2446"/>
      <c r="I91" s="2446"/>
      <c r="J91" s="2436" t="s">
        <v>389</v>
      </c>
    </row>
    <row r="92" spans="1:10">
      <c r="A92" s="2417"/>
      <c r="B92" s="2418"/>
      <c r="C92" s="2418"/>
      <c r="D92" s="2418"/>
      <c r="E92" s="2418"/>
      <c r="F92" s="2419"/>
      <c r="G92" s="2446"/>
      <c r="H92" s="2446"/>
      <c r="I92" s="2446"/>
      <c r="J92" s="2436"/>
    </row>
    <row r="93" spans="1:10">
      <c r="A93" s="2421"/>
      <c r="B93" s="2398"/>
      <c r="C93" s="2398"/>
      <c r="D93" s="2398"/>
      <c r="E93" s="2398"/>
      <c r="F93" s="2398"/>
      <c r="G93" s="2398"/>
      <c r="H93" s="2398"/>
      <c r="I93" s="2398"/>
      <c r="J93" s="2460"/>
    </row>
    <row r="94" spans="1:10">
      <c r="A94" s="2397" t="s">
        <v>390</v>
      </c>
      <c r="B94" s="2398"/>
      <c r="C94" s="2398"/>
      <c r="D94" s="2398"/>
      <c r="E94" s="2398"/>
      <c r="F94" s="2398"/>
      <c r="G94" s="2398"/>
      <c r="H94" s="2398"/>
      <c r="I94" s="2398"/>
      <c r="J94" s="2460"/>
    </row>
    <row r="95" spans="1:10">
      <c r="A95" s="2399" t="s">
        <v>314</v>
      </c>
      <c r="B95" s="2398"/>
      <c r="C95" s="2398"/>
      <c r="D95" s="2398"/>
      <c r="E95" s="2398"/>
      <c r="F95" s="2398"/>
      <c r="G95" s="2398"/>
      <c r="H95" s="2398"/>
      <c r="I95" s="2398"/>
      <c r="J95" s="2460"/>
    </row>
    <row r="96" spans="1:10">
      <c r="A96" s="2401" t="s">
        <v>391</v>
      </c>
      <c r="B96" s="2400" t="s">
        <v>316</v>
      </c>
      <c r="C96" s="2400" t="s">
        <v>317</v>
      </c>
      <c r="D96" s="2398"/>
      <c r="E96" s="2398"/>
      <c r="F96" s="2398"/>
      <c r="G96" s="2398"/>
      <c r="H96" s="2398"/>
      <c r="I96" s="2398"/>
      <c r="J96" s="2460"/>
    </row>
    <row r="97" spans="1:10">
      <c r="A97" s="2405" t="s">
        <v>392</v>
      </c>
      <c r="B97" s="2403"/>
      <c r="C97" s="2403"/>
      <c r="D97" s="2398"/>
      <c r="E97" s="2398"/>
      <c r="F97" s="2398"/>
      <c r="G97" s="2398"/>
      <c r="H97" s="2398"/>
      <c r="I97" s="2398"/>
      <c r="J97" s="2436" t="s">
        <v>393</v>
      </c>
    </row>
    <row r="98" spans="1:10">
      <c r="A98" s="2405" t="s">
        <v>394</v>
      </c>
      <c r="B98" s="2403"/>
      <c r="C98" s="2403"/>
      <c r="D98" s="2398"/>
      <c r="E98" s="2398"/>
      <c r="F98" s="2398"/>
      <c r="G98" s="2398"/>
      <c r="H98" s="2398"/>
      <c r="I98" s="2398"/>
      <c r="J98" s="2436" t="s">
        <v>395</v>
      </c>
    </row>
    <row r="99" spans="1:10">
      <c r="A99" s="2400" t="s">
        <v>347</v>
      </c>
      <c r="B99" s="2369">
        <f>ROUND(SUM(B97:B98),2)</f>
        <v>0</v>
      </c>
      <c r="C99" s="2369">
        <f>ROUND(SUM(C97:C98),2)</f>
        <v>0</v>
      </c>
      <c r="D99" s="2398"/>
      <c r="E99" s="2398"/>
      <c r="F99" s="2398"/>
      <c r="G99" s="2398"/>
      <c r="H99" s="2398"/>
      <c r="I99" s="2398"/>
      <c r="J99" s="2436" t="s">
        <v>396</v>
      </c>
    </row>
    <row r="100" spans="1:10">
      <c r="A100" s="2421"/>
      <c r="B100" s="2398"/>
      <c r="C100" s="2398"/>
      <c r="D100" s="2398"/>
      <c r="E100" s="2398"/>
      <c r="F100" s="2398"/>
      <c r="G100" s="2398"/>
      <c r="H100" s="2398"/>
      <c r="I100" s="2398"/>
      <c r="J100" s="2460"/>
    </row>
    <row r="101" spans="1:10">
      <c r="A101" s="2399" t="s">
        <v>397</v>
      </c>
      <c r="B101" s="2398"/>
      <c r="C101" s="2398"/>
      <c r="D101" s="2398"/>
      <c r="E101" s="2398"/>
      <c r="F101" s="2398"/>
      <c r="G101" s="2398"/>
      <c r="H101" s="2398"/>
      <c r="I101" s="2398"/>
      <c r="J101" s="2460"/>
    </row>
    <row r="102" spans="1:10">
      <c r="A102" s="2401" t="s">
        <v>398</v>
      </c>
      <c r="B102" s="2426" t="s">
        <v>399</v>
      </c>
      <c r="C102" s="2442" t="s">
        <v>400</v>
      </c>
      <c r="D102" s="2426" t="s">
        <v>366</v>
      </c>
      <c r="E102" s="2442" t="s">
        <v>401</v>
      </c>
      <c r="F102" s="2398"/>
      <c r="G102" s="2398"/>
      <c r="H102" s="2398"/>
      <c r="I102" s="2398"/>
      <c r="J102" s="2460"/>
    </row>
    <row r="103" spans="1:10">
      <c r="A103" s="2410"/>
      <c r="B103" s="2431"/>
      <c r="C103" s="2431"/>
      <c r="D103" s="2403"/>
      <c r="E103" s="2410"/>
      <c r="F103" s="2398"/>
      <c r="G103" s="2398"/>
      <c r="H103" s="2398"/>
      <c r="I103" s="2398"/>
      <c r="J103" s="2436" t="s">
        <v>402</v>
      </c>
    </row>
    <row r="104" spans="1:10">
      <c r="A104" s="2410"/>
      <c r="B104" s="2431"/>
      <c r="C104" s="2431"/>
      <c r="D104" s="2403"/>
      <c r="E104" s="2410"/>
      <c r="F104" s="2398"/>
      <c r="G104" s="2398"/>
      <c r="H104" s="2398"/>
      <c r="I104" s="2398"/>
      <c r="J104" s="2436" t="s">
        <v>402</v>
      </c>
    </row>
    <row r="105" spans="1:10">
      <c r="A105" s="2410"/>
      <c r="B105" s="2431"/>
      <c r="C105" s="2431"/>
      <c r="D105" s="2403"/>
      <c r="E105" s="2410"/>
      <c r="F105" s="2398"/>
      <c r="G105" s="2398"/>
      <c r="H105" s="2398"/>
      <c r="I105" s="2398"/>
      <c r="J105" s="2436" t="s">
        <v>402</v>
      </c>
    </row>
    <row r="106" spans="1:10">
      <c r="A106" s="2410"/>
      <c r="B106" s="2431"/>
      <c r="C106" s="2431"/>
      <c r="D106" s="2403"/>
      <c r="E106" s="2410"/>
      <c r="F106" s="2398"/>
      <c r="G106" s="2398"/>
      <c r="H106" s="2398"/>
      <c r="I106" s="2398"/>
      <c r="J106" s="2436" t="s">
        <v>402</v>
      </c>
    </row>
    <row r="107" spans="1:10">
      <c r="A107" s="2410"/>
      <c r="B107" s="2431"/>
      <c r="C107" s="2431"/>
      <c r="D107" s="2403"/>
      <c r="E107" s="2410"/>
      <c r="F107" s="2398"/>
      <c r="G107" s="2398"/>
      <c r="H107" s="2398"/>
      <c r="I107" s="2398"/>
      <c r="J107" s="2436" t="s">
        <v>402</v>
      </c>
    </row>
    <row r="108" spans="1:10">
      <c r="A108" s="2410"/>
      <c r="B108" s="2431"/>
      <c r="C108" s="2431"/>
      <c r="D108" s="2403"/>
      <c r="E108" s="2410"/>
      <c r="F108" s="2398"/>
      <c r="G108" s="2398"/>
      <c r="H108" s="2398"/>
      <c r="I108" s="2398"/>
      <c r="J108" s="2436" t="s">
        <v>402</v>
      </c>
    </row>
    <row r="109" spans="1:10">
      <c r="A109" s="2410"/>
      <c r="B109" s="2431"/>
      <c r="C109" s="2431"/>
      <c r="D109" s="2403"/>
      <c r="E109" s="2410"/>
      <c r="F109" s="2398"/>
      <c r="G109" s="2398"/>
      <c r="H109" s="2398"/>
      <c r="I109" s="2398"/>
      <c r="J109" s="2436" t="s">
        <v>402</v>
      </c>
    </row>
    <row r="110" spans="1:10">
      <c r="A110" s="2410"/>
      <c r="B110" s="2431"/>
      <c r="C110" s="2431"/>
      <c r="D110" s="2403"/>
      <c r="E110" s="2410"/>
      <c r="F110" s="2398"/>
      <c r="G110" s="2398"/>
      <c r="H110" s="2398"/>
      <c r="I110" s="2398"/>
      <c r="J110" s="2436" t="s">
        <v>402</v>
      </c>
    </row>
    <row r="111" spans="1:10">
      <c r="A111" s="2410"/>
      <c r="B111" s="2431"/>
      <c r="C111" s="2431"/>
      <c r="D111" s="2403"/>
      <c r="E111" s="2410"/>
      <c r="F111" s="2398"/>
      <c r="G111" s="2398"/>
      <c r="H111" s="2398"/>
      <c r="I111" s="2398"/>
      <c r="J111" s="2436" t="s">
        <v>402</v>
      </c>
    </row>
    <row r="112" spans="1:10">
      <c r="A112" s="2410"/>
      <c r="B112" s="2431"/>
      <c r="C112" s="2431"/>
      <c r="D112" s="2403"/>
      <c r="E112" s="2410"/>
      <c r="F112" s="2398"/>
      <c r="G112" s="2398"/>
      <c r="H112" s="2398"/>
      <c r="I112" s="2398"/>
      <c r="J112" s="2436" t="s">
        <v>402</v>
      </c>
    </row>
    <row r="113" spans="1:10">
      <c r="A113" s="2400" t="s">
        <v>347</v>
      </c>
      <c r="B113" s="2416"/>
      <c r="C113" s="2416"/>
      <c r="D113" s="2369">
        <f>ROUND(SUM(D103:D112),2)</f>
        <v>0</v>
      </c>
      <c r="E113" s="2416"/>
      <c r="F113" s="2398"/>
      <c r="G113" s="2398"/>
      <c r="H113" s="2398"/>
      <c r="I113" s="2398"/>
      <c r="J113" s="2436" t="s">
        <v>403</v>
      </c>
    </row>
    <row r="114" spans="1:10">
      <c r="A114" s="2421"/>
      <c r="B114" s="2398"/>
      <c r="C114" s="2398"/>
      <c r="D114" s="2398"/>
      <c r="E114" s="2398"/>
      <c r="F114" s="2398"/>
      <c r="G114" s="2398"/>
      <c r="H114" s="2398"/>
      <c r="I114" s="2398"/>
      <c r="J114" s="2460"/>
    </row>
    <row r="115" spans="1:10">
      <c r="A115" s="2399" t="s">
        <v>404</v>
      </c>
      <c r="B115" s="2398"/>
      <c r="C115" s="2398"/>
      <c r="D115" s="2398"/>
      <c r="E115" s="2398"/>
      <c r="F115" s="2398"/>
      <c r="G115" s="2398"/>
      <c r="H115" s="2398"/>
      <c r="I115" s="2398"/>
      <c r="J115" s="2460"/>
    </row>
    <row r="116" spans="1:10">
      <c r="A116" s="2401" t="s">
        <v>398</v>
      </c>
      <c r="B116" s="2426" t="s">
        <v>399</v>
      </c>
      <c r="C116" s="2442" t="s">
        <v>400</v>
      </c>
      <c r="D116" s="2426" t="s">
        <v>366</v>
      </c>
      <c r="E116" s="2426" t="s">
        <v>405</v>
      </c>
      <c r="F116" s="2426" t="s">
        <v>406</v>
      </c>
      <c r="G116" s="2398"/>
      <c r="H116" s="2398"/>
      <c r="I116" s="2398"/>
      <c r="J116" s="2460"/>
    </row>
    <row r="117" spans="1:10">
      <c r="A117" s="2410"/>
      <c r="B117" s="2431"/>
      <c r="C117" s="2431"/>
      <c r="D117" s="2403"/>
      <c r="E117" s="2431"/>
      <c r="F117" s="2403"/>
      <c r="G117" s="2398"/>
      <c r="H117" s="2398"/>
      <c r="I117" s="2398"/>
      <c r="J117" s="2436" t="s">
        <v>407</v>
      </c>
    </row>
    <row r="118" spans="1:10">
      <c r="A118" s="2410"/>
      <c r="B118" s="2431"/>
      <c r="C118" s="2431"/>
      <c r="D118" s="2403"/>
      <c r="E118" s="2431"/>
      <c r="F118" s="2403"/>
      <c r="G118" s="2398"/>
      <c r="H118" s="2398"/>
      <c r="I118" s="2398"/>
      <c r="J118" s="2436" t="s">
        <v>407</v>
      </c>
    </row>
    <row r="119" spans="1:10">
      <c r="A119" s="2410"/>
      <c r="B119" s="2431"/>
      <c r="C119" s="2431"/>
      <c r="D119" s="2403"/>
      <c r="E119" s="2431"/>
      <c r="F119" s="2403"/>
      <c r="G119" s="2398"/>
      <c r="H119" s="2398"/>
      <c r="I119" s="2398"/>
      <c r="J119" s="2436" t="s">
        <v>407</v>
      </c>
    </row>
    <row r="120" spans="1:10">
      <c r="A120" s="2410"/>
      <c r="B120" s="2431"/>
      <c r="C120" s="2431"/>
      <c r="D120" s="2403"/>
      <c r="E120" s="2431"/>
      <c r="F120" s="2403"/>
      <c r="G120" s="2398"/>
      <c r="H120" s="2398"/>
      <c r="I120" s="2398"/>
      <c r="J120" s="2436" t="s">
        <v>407</v>
      </c>
    </row>
    <row r="121" spans="1:10">
      <c r="A121" s="2410"/>
      <c r="B121" s="2431"/>
      <c r="C121" s="2431"/>
      <c r="D121" s="2403"/>
      <c r="E121" s="2431"/>
      <c r="F121" s="2403"/>
      <c r="G121" s="2398"/>
      <c r="H121" s="2398"/>
      <c r="I121" s="2398"/>
      <c r="J121" s="2436" t="s">
        <v>407</v>
      </c>
    </row>
    <row r="122" spans="1:10">
      <c r="A122" s="2410"/>
      <c r="B122" s="2431"/>
      <c r="C122" s="2431"/>
      <c r="D122" s="2403"/>
      <c r="E122" s="2431"/>
      <c r="F122" s="2403"/>
      <c r="G122" s="2398"/>
      <c r="H122" s="2398"/>
      <c r="I122" s="2398"/>
      <c r="J122" s="2436" t="s">
        <v>407</v>
      </c>
    </row>
    <row r="123" spans="1:10">
      <c r="A123" s="2410"/>
      <c r="B123" s="2431"/>
      <c r="C123" s="2431"/>
      <c r="D123" s="2403"/>
      <c r="E123" s="2431"/>
      <c r="F123" s="2403"/>
      <c r="G123" s="2398"/>
      <c r="H123" s="2398"/>
      <c r="I123" s="2398"/>
      <c r="J123" s="2436" t="s">
        <v>407</v>
      </c>
    </row>
    <row r="124" spans="1:10">
      <c r="A124" s="2410"/>
      <c r="B124" s="2431"/>
      <c r="C124" s="2431"/>
      <c r="D124" s="2403"/>
      <c r="E124" s="2431"/>
      <c r="F124" s="2403"/>
      <c r="G124" s="2398"/>
      <c r="H124" s="2398"/>
      <c r="I124" s="2398"/>
      <c r="J124" s="2436" t="s">
        <v>407</v>
      </c>
    </row>
    <row r="125" spans="1:10">
      <c r="A125" s="2410"/>
      <c r="B125" s="2431"/>
      <c r="C125" s="2431"/>
      <c r="D125" s="2403"/>
      <c r="E125" s="2431"/>
      <c r="F125" s="2403"/>
      <c r="G125" s="2398"/>
      <c r="H125" s="2398"/>
      <c r="I125" s="2398"/>
      <c r="J125" s="2436" t="s">
        <v>407</v>
      </c>
    </row>
    <row r="126" spans="1:10">
      <c r="A126" s="2410"/>
      <c r="B126" s="2431"/>
      <c r="C126" s="2431"/>
      <c r="D126" s="2403"/>
      <c r="E126" s="2431"/>
      <c r="F126" s="2403"/>
      <c r="G126" s="2398"/>
      <c r="H126" s="2398"/>
      <c r="I126" s="2398"/>
      <c r="J126" s="2436" t="s">
        <v>407</v>
      </c>
    </row>
    <row r="127" spans="1:10">
      <c r="A127" s="2400" t="s">
        <v>347</v>
      </c>
      <c r="B127" s="2416"/>
      <c r="C127" s="2416"/>
      <c r="D127" s="2369">
        <f>ROUND(SUM(D117:D126),2)</f>
        <v>0</v>
      </c>
      <c r="E127" s="2416"/>
      <c r="F127" s="2369">
        <f>ROUND(SUM(F117:F126),2)</f>
        <v>0</v>
      </c>
      <c r="G127" s="2398"/>
      <c r="H127" s="2398"/>
      <c r="I127" s="2398"/>
      <c r="J127" s="2436" t="s">
        <v>408</v>
      </c>
    </row>
    <row r="128" spans="1:10">
      <c r="A128" s="2421"/>
      <c r="B128" s="2398"/>
      <c r="C128" s="2398"/>
      <c r="D128" s="2398"/>
      <c r="E128" s="2398"/>
      <c r="F128" s="2398"/>
      <c r="G128" s="2398"/>
      <c r="H128" s="2398"/>
      <c r="I128" s="2398"/>
      <c r="J128" s="2460"/>
    </row>
    <row r="129" spans="1:10">
      <c r="A129" s="2399" t="s">
        <v>409</v>
      </c>
      <c r="B129" s="2398"/>
      <c r="C129" s="2398"/>
      <c r="D129" s="2398"/>
      <c r="E129" s="2398"/>
      <c r="F129" s="2398"/>
      <c r="G129" s="2398"/>
      <c r="H129" s="2398"/>
      <c r="I129" s="2398"/>
      <c r="J129" s="2460"/>
    </row>
    <row r="130" spans="1:10">
      <c r="A130" s="2401" t="s">
        <v>398</v>
      </c>
      <c r="B130" s="2426" t="s">
        <v>399</v>
      </c>
      <c r="C130" s="2442" t="s">
        <v>400</v>
      </c>
      <c r="D130" s="2426" t="s">
        <v>366</v>
      </c>
      <c r="E130" s="2426" t="s">
        <v>410</v>
      </c>
      <c r="F130" s="2398"/>
      <c r="G130" s="2398"/>
      <c r="H130" s="2398"/>
      <c r="I130" s="2398"/>
      <c r="J130" s="2460"/>
    </row>
    <row r="131" spans="1:10">
      <c r="A131" s="2410"/>
      <c r="B131" s="2431"/>
      <c r="C131" s="2431"/>
      <c r="D131" s="2403"/>
      <c r="E131" s="2410"/>
      <c r="F131" s="2398"/>
      <c r="G131" s="2398"/>
      <c r="H131" s="2398"/>
      <c r="I131" s="2398"/>
      <c r="J131" s="2436" t="s">
        <v>411</v>
      </c>
    </row>
    <row r="132" spans="1:10">
      <c r="A132" s="2410"/>
      <c r="B132" s="2431"/>
      <c r="C132" s="2431"/>
      <c r="D132" s="2403"/>
      <c r="E132" s="2410"/>
      <c r="F132" s="2398"/>
      <c r="G132" s="2398"/>
      <c r="H132" s="2398"/>
      <c r="I132" s="2398"/>
      <c r="J132" s="2436" t="s">
        <v>411</v>
      </c>
    </row>
    <row r="133" spans="1:10">
      <c r="A133" s="2410"/>
      <c r="B133" s="2431"/>
      <c r="C133" s="2431"/>
      <c r="D133" s="2403"/>
      <c r="E133" s="2410"/>
      <c r="F133" s="2398"/>
      <c r="G133" s="2398"/>
      <c r="H133" s="2398"/>
      <c r="I133" s="2398"/>
      <c r="J133" s="2436" t="s">
        <v>411</v>
      </c>
    </row>
    <row r="134" spans="1:10">
      <c r="A134" s="2410"/>
      <c r="B134" s="2431"/>
      <c r="C134" s="2431"/>
      <c r="D134" s="2403"/>
      <c r="E134" s="2410"/>
      <c r="F134" s="2398"/>
      <c r="G134" s="2398"/>
      <c r="H134" s="2398"/>
      <c r="I134" s="2398"/>
      <c r="J134" s="2436" t="s">
        <v>411</v>
      </c>
    </row>
    <row r="135" spans="1:10">
      <c r="A135" s="2410"/>
      <c r="B135" s="2431"/>
      <c r="C135" s="2431"/>
      <c r="D135" s="2403"/>
      <c r="E135" s="2410"/>
      <c r="F135" s="2398"/>
      <c r="G135" s="2398"/>
      <c r="H135" s="2398"/>
      <c r="I135" s="2398"/>
      <c r="J135" s="2436" t="s">
        <v>411</v>
      </c>
    </row>
    <row r="136" spans="1:10">
      <c r="A136" s="2410"/>
      <c r="B136" s="2431"/>
      <c r="C136" s="2431"/>
      <c r="D136" s="2403"/>
      <c r="E136" s="2410"/>
      <c r="F136" s="2398"/>
      <c r="G136" s="2398"/>
      <c r="H136" s="2398"/>
      <c r="I136" s="2398"/>
      <c r="J136" s="2436" t="s">
        <v>411</v>
      </c>
    </row>
    <row r="137" spans="1:10">
      <c r="A137" s="2410"/>
      <c r="B137" s="2431"/>
      <c r="C137" s="2431"/>
      <c r="D137" s="2403"/>
      <c r="E137" s="2410"/>
      <c r="F137" s="2398"/>
      <c r="G137" s="2398"/>
      <c r="H137" s="2398"/>
      <c r="I137" s="2398"/>
      <c r="J137" s="2436" t="s">
        <v>411</v>
      </c>
    </row>
    <row r="138" spans="1:10">
      <c r="A138" s="2410"/>
      <c r="B138" s="2431"/>
      <c r="C138" s="2431"/>
      <c r="D138" s="2403"/>
      <c r="E138" s="2410"/>
      <c r="F138" s="2398"/>
      <c r="G138" s="2398"/>
      <c r="H138" s="2398"/>
      <c r="I138" s="2398"/>
      <c r="J138" s="2436" t="s">
        <v>411</v>
      </c>
    </row>
    <row r="139" spans="1:10">
      <c r="A139" s="2410"/>
      <c r="B139" s="2431"/>
      <c r="C139" s="2431"/>
      <c r="D139" s="2403"/>
      <c r="E139" s="2410"/>
      <c r="F139" s="2398"/>
      <c r="G139" s="2398"/>
      <c r="H139" s="2398"/>
      <c r="I139" s="2398"/>
      <c r="J139" s="2436" t="s">
        <v>411</v>
      </c>
    </row>
    <row r="140" spans="1:10">
      <c r="A140" s="2410"/>
      <c r="B140" s="2431"/>
      <c r="C140" s="2431"/>
      <c r="D140" s="2403"/>
      <c r="E140" s="2410"/>
      <c r="F140" s="2398"/>
      <c r="G140" s="2398"/>
      <c r="H140" s="2398"/>
      <c r="I140" s="2398"/>
      <c r="J140" s="2436" t="s">
        <v>411</v>
      </c>
    </row>
    <row r="141" spans="1:10">
      <c r="A141" s="2400" t="s">
        <v>347</v>
      </c>
      <c r="B141" s="2416"/>
      <c r="C141" s="2416"/>
      <c r="D141" s="2369">
        <f>ROUND(SUM(D131:D140),2)</f>
        <v>0</v>
      </c>
      <c r="E141" s="2416"/>
      <c r="F141" s="2398"/>
      <c r="G141" s="2398"/>
      <c r="H141" s="2398"/>
      <c r="I141" s="2398"/>
      <c r="J141" s="2436" t="s">
        <v>412</v>
      </c>
    </row>
    <row r="142" spans="1:10">
      <c r="A142" s="2421"/>
      <c r="B142" s="2398"/>
      <c r="C142" s="2398"/>
      <c r="D142" s="2398"/>
      <c r="E142" s="2398"/>
      <c r="F142" s="2398"/>
      <c r="G142" s="2398"/>
      <c r="H142" s="2398"/>
      <c r="I142" s="2398"/>
      <c r="J142" s="2460"/>
    </row>
    <row r="143" spans="1:10">
      <c r="A143" s="2399" t="s">
        <v>413</v>
      </c>
      <c r="B143" s="2398"/>
      <c r="C143" s="2398"/>
      <c r="D143" s="2398"/>
      <c r="E143" s="2398"/>
      <c r="F143" s="2398"/>
      <c r="G143" s="2398"/>
      <c r="H143" s="2398"/>
      <c r="I143" s="2398"/>
      <c r="J143" s="2460"/>
    </row>
    <row r="144" spans="1:10">
      <c r="A144" s="2401" t="s">
        <v>398</v>
      </c>
      <c r="B144" s="2426" t="s">
        <v>399</v>
      </c>
      <c r="C144" s="2442" t="s">
        <v>400</v>
      </c>
      <c r="D144" s="2426" t="s">
        <v>366</v>
      </c>
      <c r="E144" s="2398"/>
      <c r="F144" s="2398"/>
      <c r="G144" s="2398"/>
      <c r="H144" s="2398"/>
      <c r="I144" s="2398"/>
      <c r="J144" s="2460"/>
    </row>
    <row r="145" spans="1:10">
      <c r="A145" s="2410"/>
      <c r="B145" s="2431"/>
      <c r="C145" s="2431"/>
      <c r="D145" s="2403"/>
      <c r="E145" s="2398"/>
      <c r="F145" s="2398"/>
      <c r="G145" s="2398"/>
      <c r="H145" s="2398"/>
      <c r="I145" s="2398"/>
      <c r="J145" s="2436" t="s">
        <v>414</v>
      </c>
    </row>
    <row r="146" spans="1:10">
      <c r="A146" s="2410"/>
      <c r="B146" s="2431"/>
      <c r="C146" s="2431"/>
      <c r="D146" s="2403"/>
      <c r="E146" s="2398"/>
      <c r="F146" s="2398"/>
      <c r="G146" s="2398"/>
      <c r="H146" s="2398"/>
      <c r="I146" s="2398"/>
      <c r="J146" s="2436" t="s">
        <v>414</v>
      </c>
    </row>
    <row r="147" spans="1:10">
      <c r="A147" s="2410"/>
      <c r="B147" s="2431"/>
      <c r="C147" s="2431"/>
      <c r="D147" s="2403"/>
      <c r="E147" s="2398"/>
      <c r="F147" s="2398"/>
      <c r="G147" s="2398"/>
      <c r="H147" s="2398"/>
      <c r="I147" s="2398"/>
      <c r="J147" s="2436" t="s">
        <v>414</v>
      </c>
    </row>
    <row r="148" spans="1:10">
      <c r="A148" s="2410"/>
      <c r="B148" s="2431"/>
      <c r="C148" s="2431"/>
      <c r="D148" s="2403"/>
      <c r="E148" s="2398"/>
      <c r="F148" s="2398"/>
      <c r="G148" s="2398"/>
      <c r="H148" s="2398"/>
      <c r="I148" s="2398"/>
      <c r="J148" s="2436" t="s">
        <v>414</v>
      </c>
    </row>
    <row r="149" spans="1:10">
      <c r="A149" s="2410"/>
      <c r="B149" s="2431"/>
      <c r="C149" s="2431"/>
      <c r="D149" s="2403"/>
      <c r="E149" s="2398"/>
      <c r="F149" s="2398"/>
      <c r="G149" s="2398"/>
      <c r="H149" s="2398"/>
      <c r="I149" s="2398"/>
      <c r="J149" s="2436" t="s">
        <v>414</v>
      </c>
    </row>
    <row r="150" spans="1:10">
      <c r="A150" s="2410"/>
      <c r="B150" s="2431"/>
      <c r="C150" s="2431"/>
      <c r="D150" s="2403"/>
      <c r="E150" s="2398"/>
      <c r="F150" s="2398"/>
      <c r="G150" s="2398"/>
      <c r="H150" s="2398"/>
      <c r="I150" s="2398"/>
      <c r="J150" s="2436" t="s">
        <v>414</v>
      </c>
    </row>
    <row r="151" spans="1:10">
      <c r="A151" s="2410"/>
      <c r="B151" s="2431"/>
      <c r="C151" s="2431"/>
      <c r="D151" s="2403"/>
      <c r="E151" s="2398"/>
      <c r="F151" s="2398"/>
      <c r="G151" s="2398"/>
      <c r="H151" s="2398"/>
      <c r="I151" s="2398"/>
      <c r="J151" s="2436" t="s">
        <v>414</v>
      </c>
    </row>
    <row r="152" spans="1:10">
      <c r="A152" s="2410"/>
      <c r="B152" s="2431"/>
      <c r="C152" s="2431"/>
      <c r="D152" s="2403"/>
      <c r="E152" s="2398"/>
      <c r="F152" s="2398"/>
      <c r="G152" s="2398"/>
      <c r="H152" s="2398"/>
      <c r="I152" s="2398"/>
      <c r="J152" s="2436" t="s">
        <v>414</v>
      </c>
    </row>
    <row r="153" spans="1:10">
      <c r="A153" s="2410"/>
      <c r="B153" s="2431"/>
      <c r="C153" s="2431"/>
      <c r="D153" s="2403"/>
      <c r="E153" s="2398"/>
      <c r="F153" s="2398"/>
      <c r="G153" s="2398"/>
      <c r="H153" s="2398"/>
      <c r="I153" s="2398"/>
      <c r="J153" s="2436" t="s">
        <v>414</v>
      </c>
    </row>
    <row r="154" spans="1:10">
      <c r="A154" s="2410"/>
      <c r="B154" s="2431"/>
      <c r="C154" s="2431"/>
      <c r="D154" s="2403"/>
      <c r="E154" s="2398"/>
      <c r="F154" s="2398"/>
      <c r="G154" s="2398"/>
      <c r="H154" s="2398"/>
      <c r="I154" s="2398"/>
      <c r="J154" s="2436" t="s">
        <v>414</v>
      </c>
    </row>
    <row r="155" spans="1:10">
      <c r="A155" s="2400" t="s">
        <v>347</v>
      </c>
      <c r="B155" s="2416"/>
      <c r="C155" s="2416"/>
      <c r="D155" s="2369">
        <f>ROUND(SUM(D145:D154),2)</f>
        <v>0</v>
      </c>
      <c r="E155" s="2398"/>
      <c r="F155" s="2398"/>
      <c r="G155" s="2398"/>
      <c r="H155" s="2398"/>
      <c r="I155" s="2398"/>
      <c r="J155" s="2436" t="s">
        <v>415</v>
      </c>
    </row>
    <row r="156" spans="1:10">
      <c r="A156" s="2421"/>
      <c r="B156" s="2398"/>
      <c r="C156" s="2398"/>
      <c r="D156" s="2398"/>
      <c r="E156" s="2398"/>
      <c r="F156" s="2398"/>
      <c r="G156" s="2398"/>
      <c r="H156" s="2398"/>
      <c r="I156" s="2398"/>
      <c r="J156" s="2460"/>
    </row>
    <row r="157" spans="1:10">
      <c r="A157" s="2414" t="s">
        <v>416</v>
      </c>
      <c r="B157" s="2398"/>
      <c r="C157" s="2398"/>
      <c r="D157" s="2398"/>
      <c r="E157" s="2398"/>
      <c r="F157" s="2398"/>
      <c r="G157" s="2398"/>
      <c r="H157" s="2398"/>
      <c r="I157" s="2398"/>
      <c r="J157" s="2460"/>
    </row>
    <row r="158" spans="1:10">
      <c r="A158" s="2401" t="s">
        <v>398</v>
      </c>
      <c r="B158" s="2426" t="s">
        <v>399</v>
      </c>
      <c r="C158" s="2442" t="s">
        <v>400</v>
      </c>
      <c r="D158" s="2426" t="s">
        <v>366</v>
      </c>
      <c r="E158" s="2426" t="s">
        <v>405</v>
      </c>
      <c r="F158" s="2426" t="s">
        <v>406</v>
      </c>
      <c r="G158" s="2398"/>
      <c r="H158" s="2398"/>
      <c r="I158" s="2398"/>
      <c r="J158" s="2460"/>
    </row>
    <row r="159" spans="1:10">
      <c r="A159" s="2410"/>
      <c r="B159" s="2431"/>
      <c r="C159" s="2431"/>
      <c r="D159" s="2403"/>
      <c r="E159" s="2431"/>
      <c r="F159" s="2403"/>
      <c r="G159" s="2398"/>
      <c r="H159" s="2398"/>
      <c r="I159" s="2398"/>
      <c r="J159" s="2436" t="s">
        <v>417</v>
      </c>
    </row>
    <row r="160" spans="1:10">
      <c r="A160" s="2410"/>
      <c r="B160" s="2431"/>
      <c r="C160" s="2431"/>
      <c r="D160" s="2403"/>
      <c r="E160" s="2431"/>
      <c r="F160" s="2403"/>
      <c r="G160" s="2398"/>
      <c r="H160" s="2398"/>
      <c r="I160" s="2398"/>
      <c r="J160" s="2436" t="s">
        <v>417</v>
      </c>
    </row>
    <row r="161" spans="1:10">
      <c r="A161" s="2410"/>
      <c r="B161" s="2431"/>
      <c r="C161" s="2431"/>
      <c r="D161" s="2403"/>
      <c r="E161" s="2431"/>
      <c r="F161" s="2403"/>
      <c r="G161" s="2398"/>
      <c r="H161" s="2398"/>
      <c r="I161" s="2398"/>
      <c r="J161" s="2436" t="s">
        <v>417</v>
      </c>
    </row>
    <row r="162" spans="1:10">
      <c r="A162" s="2410"/>
      <c r="B162" s="2431"/>
      <c r="C162" s="2431"/>
      <c r="D162" s="2403"/>
      <c r="E162" s="2431"/>
      <c r="F162" s="2403"/>
      <c r="G162" s="2398"/>
      <c r="H162" s="2398"/>
      <c r="I162" s="2398"/>
      <c r="J162" s="2436" t="s">
        <v>417</v>
      </c>
    </row>
    <row r="163" spans="1:10">
      <c r="A163" s="2410"/>
      <c r="B163" s="2431"/>
      <c r="C163" s="2431"/>
      <c r="D163" s="2403"/>
      <c r="E163" s="2431"/>
      <c r="F163" s="2403"/>
      <c r="G163" s="2398"/>
      <c r="H163" s="2398"/>
      <c r="I163" s="2398"/>
      <c r="J163" s="2436" t="s">
        <v>417</v>
      </c>
    </row>
    <row r="164" spans="1:10">
      <c r="A164" s="2410"/>
      <c r="B164" s="2431"/>
      <c r="C164" s="2431"/>
      <c r="D164" s="2403"/>
      <c r="E164" s="2431"/>
      <c r="F164" s="2403"/>
      <c r="G164" s="2398"/>
      <c r="H164" s="2398"/>
      <c r="I164" s="2398"/>
      <c r="J164" s="2436" t="s">
        <v>417</v>
      </c>
    </row>
    <row r="165" spans="1:10">
      <c r="A165" s="2410"/>
      <c r="B165" s="2431"/>
      <c r="C165" s="2431"/>
      <c r="D165" s="2403"/>
      <c r="E165" s="2431"/>
      <c r="F165" s="2403"/>
      <c r="G165" s="2398"/>
      <c r="H165" s="2398"/>
      <c r="I165" s="2398"/>
      <c r="J165" s="2436" t="s">
        <v>417</v>
      </c>
    </row>
    <row r="166" spans="1:10">
      <c r="A166" s="2410"/>
      <c r="B166" s="2431"/>
      <c r="C166" s="2431"/>
      <c r="D166" s="2403"/>
      <c r="E166" s="2431"/>
      <c r="F166" s="2403"/>
      <c r="G166" s="2398"/>
      <c r="H166" s="2398"/>
      <c r="I166" s="2398"/>
      <c r="J166" s="2436" t="s">
        <v>417</v>
      </c>
    </row>
    <row r="167" spans="1:10">
      <c r="A167" s="2410"/>
      <c r="B167" s="2431"/>
      <c r="C167" s="2431"/>
      <c r="D167" s="2403"/>
      <c r="E167" s="2431"/>
      <c r="F167" s="2403"/>
      <c r="G167" s="2398"/>
      <c r="H167" s="2398"/>
      <c r="I167" s="2398"/>
      <c r="J167" s="2436" t="s">
        <v>417</v>
      </c>
    </row>
    <row r="168" spans="1:10">
      <c r="A168" s="2410"/>
      <c r="B168" s="2431"/>
      <c r="C168" s="2431"/>
      <c r="D168" s="2403"/>
      <c r="E168" s="2431"/>
      <c r="F168" s="2403"/>
      <c r="G168" s="2398"/>
      <c r="H168" s="2398"/>
      <c r="I168" s="2398"/>
      <c r="J168" s="2436" t="s">
        <v>417</v>
      </c>
    </row>
    <row r="169" spans="1:10">
      <c r="A169" s="2400" t="s">
        <v>347</v>
      </c>
      <c r="B169" s="2416"/>
      <c r="C169" s="2416"/>
      <c r="D169" s="2369">
        <f>ROUND(SUM(D159:D168),2)</f>
        <v>0</v>
      </c>
      <c r="E169" s="2416"/>
      <c r="F169" s="2369">
        <f>ROUND(SUM(F159:F168),2)</f>
        <v>0</v>
      </c>
      <c r="G169" s="2398"/>
      <c r="H169" s="2398"/>
      <c r="I169" s="2398"/>
      <c r="J169" s="2436" t="s">
        <v>418</v>
      </c>
    </row>
    <row r="170" spans="1:10">
      <c r="A170" s="2421"/>
      <c r="B170" s="2398"/>
      <c r="C170" s="2398"/>
      <c r="D170" s="2398"/>
      <c r="E170" s="2398"/>
      <c r="F170" s="2398"/>
      <c r="G170" s="2398"/>
      <c r="H170" s="2398"/>
      <c r="I170" s="2398"/>
      <c r="J170" s="2460"/>
    </row>
    <row r="171" spans="1:10">
      <c r="A171" s="2421"/>
      <c r="B171" s="2398"/>
      <c r="C171" s="2398"/>
      <c r="D171" s="2398"/>
      <c r="E171" s="2398"/>
      <c r="F171" s="2398"/>
      <c r="G171" s="2398"/>
      <c r="H171" s="2398"/>
      <c r="I171" s="2398"/>
      <c r="J171" s="2460"/>
    </row>
    <row r="172" spans="1:10">
      <c r="A172" s="2399" t="s">
        <v>419</v>
      </c>
      <c r="B172" s="2398"/>
      <c r="C172" s="2398"/>
      <c r="D172" s="2398"/>
      <c r="E172" s="2398"/>
      <c r="F172" s="2398"/>
      <c r="G172" s="2398"/>
      <c r="H172" s="2398"/>
      <c r="I172" s="2398"/>
      <c r="J172" s="2460"/>
    </row>
    <row r="173" spans="1:10">
      <c r="A173" s="2400" t="s">
        <v>420</v>
      </c>
      <c r="B173" s="2400" t="s">
        <v>316</v>
      </c>
      <c r="C173" s="2400" t="s">
        <v>317</v>
      </c>
      <c r="D173" s="2426" t="s">
        <v>421</v>
      </c>
      <c r="E173" s="2426" t="s">
        <v>422</v>
      </c>
      <c r="F173" s="2426" t="s">
        <v>423</v>
      </c>
      <c r="G173" s="2398"/>
      <c r="H173" s="2398"/>
      <c r="I173" s="2398"/>
      <c r="J173" s="2460"/>
    </row>
    <row r="174" spans="1:10">
      <c r="A174" s="2447" t="s">
        <v>424</v>
      </c>
      <c r="B174" s="2400"/>
      <c r="C174" s="2400"/>
      <c r="D174" s="2442"/>
      <c r="E174" s="2426"/>
      <c r="F174" s="2400"/>
      <c r="G174" s="2398"/>
      <c r="H174" s="2398"/>
      <c r="I174" s="2398"/>
      <c r="J174" s="2460"/>
    </row>
    <row r="175" spans="1:10">
      <c r="A175" s="2410"/>
      <c r="B175" s="2403"/>
      <c r="C175" s="2403"/>
      <c r="D175" s="2410"/>
      <c r="E175" s="2410"/>
      <c r="F175" s="2403"/>
      <c r="G175" s="2398"/>
      <c r="H175" s="2398"/>
      <c r="I175" s="2398"/>
      <c r="J175" s="2436" t="s">
        <v>425</v>
      </c>
    </row>
    <row r="176" spans="1:10">
      <c r="A176" s="2410"/>
      <c r="B176" s="2403"/>
      <c r="C176" s="2403"/>
      <c r="D176" s="2410"/>
      <c r="E176" s="2410"/>
      <c r="F176" s="2403"/>
      <c r="G176" s="2398"/>
      <c r="H176" s="2398"/>
      <c r="I176" s="2398"/>
      <c r="J176" s="2436" t="s">
        <v>425</v>
      </c>
    </row>
    <row r="177" spans="1:10">
      <c r="A177" s="2410"/>
      <c r="B177" s="2403"/>
      <c r="C177" s="2403"/>
      <c r="D177" s="2410"/>
      <c r="E177" s="2410"/>
      <c r="F177" s="2403"/>
      <c r="G177" s="2398"/>
      <c r="H177" s="2398"/>
      <c r="I177" s="2398"/>
      <c r="J177" s="2436" t="s">
        <v>425</v>
      </c>
    </row>
    <row r="178" spans="1:10">
      <c r="A178" s="2410"/>
      <c r="B178" s="2403"/>
      <c r="C178" s="2403"/>
      <c r="D178" s="2410"/>
      <c r="E178" s="2410"/>
      <c r="F178" s="2403"/>
      <c r="G178" s="2398"/>
      <c r="H178" s="2398"/>
      <c r="I178" s="2398"/>
      <c r="J178" s="2436" t="s">
        <v>425</v>
      </c>
    </row>
    <row r="179" spans="1:10">
      <c r="A179" s="2410"/>
      <c r="B179" s="2403"/>
      <c r="C179" s="2403"/>
      <c r="D179" s="2410"/>
      <c r="E179" s="2410"/>
      <c r="F179" s="2403"/>
      <c r="G179" s="2398"/>
      <c r="H179" s="2398"/>
      <c r="I179" s="2398"/>
      <c r="J179" s="2436" t="s">
        <v>425</v>
      </c>
    </row>
    <row r="180" spans="1:10">
      <c r="A180" s="2410"/>
      <c r="B180" s="2403"/>
      <c r="C180" s="2403"/>
      <c r="D180" s="2410"/>
      <c r="E180" s="2410"/>
      <c r="F180" s="2403"/>
      <c r="G180" s="2398"/>
      <c r="H180" s="2398"/>
      <c r="I180" s="2398"/>
      <c r="J180" s="2436" t="s">
        <v>425</v>
      </c>
    </row>
    <row r="181" spans="1:10">
      <c r="A181" s="2410"/>
      <c r="B181" s="2403"/>
      <c r="C181" s="2403"/>
      <c r="D181" s="2410"/>
      <c r="E181" s="2410"/>
      <c r="F181" s="2403"/>
      <c r="G181" s="2398"/>
      <c r="H181" s="2398"/>
      <c r="I181" s="2398"/>
      <c r="J181" s="2436" t="s">
        <v>425</v>
      </c>
    </row>
    <row r="182" spans="1:10">
      <c r="A182" s="2410"/>
      <c r="B182" s="2403"/>
      <c r="C182" s="2403"/>
      <c r="D182" s="2410"/>
      <c r="E182" s="2410"/>
      <c r="F182" s="2403"/>
      <c r="G182" s="2398"/>
      <c r="H182" s="2398"/>
      <c r="I182" s="2398"/>
      <c r="J182" s="2436" t="s">
        <v>425</v>
      </c>
    </row>
    <row r="183" spans="1:10">
      <c r="A183" s="2410"/>
      <c r="B183" s="2403"/>
      <c r="C183" s="2403"/>
      <c r="D183" s="2410"/>
      <c r="E183" s="2410"/>
      <c r="F183" s="2403"/>
      <c r="G183" s="2398"/>
      <c r="H183" s="2398"/>
      <c r="I183" s="2398"/>
      <c r="J183" s="2436" t="s">
        <v>425</v>
      </c>
    </row>
    <row r="184" spans="1:10">
      <c r="A184" s="2410"/>
      <c r="B184" s="2403"/>
      <c r="C184" s="2403"/>
      <c r="D184" s="2410"/>
      <c r="E184" s="2410"/>
      <c r="F184" s="2403"/>
      <c r="G184" s="2398"/>
      <c r="H184" s="2398"/>
      <c r="I184" s="2398"/>
      <c r="J184" s="2436" t="s">
        <v>425</v>
      </c>
    </row>
    <row r="185" spans="1:10">
      <c r="A185" s="2400" t="s">
        <v>426</v>
      </c>
      <c r="B185" s="2369">
        <f>ROUND(SUM(B175:B184),2)</f>
        <v>0</v>
      </c>
      <c r="C185" s="2369">
        <f>ROUND(SUM(C175:C184),2)</f>
        <v>0</v>
      </c>
      <c r="D185" s="2416"/>
      <c r="E185" s="2369"/>
      <c r="F185" s="2369">
        <f>ROUND(SUM(F175:F184),2)</f>
        <v>0</v>
      </c>
      <c r="G185" s="2398"/>
      <c r="H185" s="2398"/>
      <c r="I185" s="2398"/>
      <c r="J185" s="2436" t="s">
        <v>427</v>
      </c>
    </row>
    <row r="186" spans="1:10">
      <c r="A186" s="2405"/>
      <c r="B186" s="2416"/>
      <c r="C186" s="2416"/>
      <c r="D186" s="2416"/>
      <c r="E186" s="2416"/>
      <c r="F186" s="2416"/>
      <c r="G186" s="2398"/>
      <c r="H186" s="2398"/>
      <c r="I186" s="2398"/>
      <c r="J186" s="2460"/>
    </row>
    <row r="187" spans="1:10">
      <c r="A187" s="2447" t="s">
        <v>428</v>
      </c>
      <c r="B187" s="2400"/>
      <c r="C187" s="2400"/>
      <c r="D187" s="2442"/>
      <c r="E187" s="2426"/>
      <c r="F187" s="2442"/>
      <c r="G187" s="2398"/>
      <c r="H187" s="2398"/>
      <c r="I187" s="2398"/>
      <c r="J187" s="2460"/>
    </row>
    <row r="188" spans="1:10">
      <c r="A188" s="2410"/>
      <c r="B188" s="2403"/>
      <c r="C188" s="2403"/>
      <c r="D188" s="2410"/>
      <c r="E188" s="2410"/>
      <c r="F188" s="2403"/>
      <c r="G188" s="2398"/>
      <c r="H188" s="2398"/>
      <c r="I188" s="2398"/>
      <c r="J188" s="2436" t="s">
        <v>429</v>
      </c>
    </row>
    <row r="189" spans="1:10">
      <c r="A189" s="2410"/>
      <c r="B189" s="2403"/>
      <c r="C189" s="2403"/>
      <c r="D189" s="2410"/>
      <c r="E189" s="2410"/>
      <c r="F189" s="2403"/>
      <c r="G189" s="2398"/>
      <c r="H189" s="2398"/>
      <c r="I189" s="2398"/>
      <c r="J189" s="2436" t="s">
        <v>429</v>
      </c>
    </row>
    <row r="190" spans="1:10">
      <c r="A190" s="2410"/>
      <c r="B190" s="2403"/>
      <c r="C190" s="2403"/>
      <c r="D190" s="2410"/>
      <c r="E190" s="2410"/>
      <c r="F190" s="2403"/>
      <c r="G190" s="2398"/>
      <c r="H190" s="2398"/>
      <c r="I190" s="2398"/>
      <c r="J190" s="2436" t="s">
        <v>429</v>
      </c>
    </row>
    <row r="191" spans="1:10">
      <c r="A191" s="2410"/>
      <c r="B191" s="2403"/>
      <c r="C191" s="2403"/>
      <c r="D191" s="2410"/>
      <c r="E191" s="2410"/>
      <c r="F191" s="2403"/>
      <c r="G191" s="2398"/>
      <c r="H191" s="2398"/>
      <c r="I191" s="2398"/>
      <c r="J191" s="2436" t="s">
        <v>429</v>
      </c>
    </row>
    <row r="192" spans="1:10">
      <c r="A192" s="2410"/>
      <c r="B192" s="2403"/>
      <c r="C192" s="2403"/>
      <c r="D192" s="2410"/>
      <c r="E192" s="2410"/>
      <c r="F192" s="2403"/>
      <c r="G192" s="2398"/>
      <c r="H192" s="2398"/>
      <c r="I192" s="2398"/>
      <c r="J192" s="2436" t="s">
        <v>429</v>
      </c>
    </row>
    <row r="193" spans="1:10">
      <c r="A193" s="2410"/>
      <c r="B193" s="2403"/>
      <c r="C193" s="2403"/>
      <c r="D193" s="2410"/>
      <c r="E193" s="2410"/>
      <c r="F193" s="2403"/>
      <c r="G193" s="2398"/>
      <c r="H193" s="2398"/>
      <c r="I193" s="2398"/>
      <c r="J193" s="2436" t="s">
        <v>429</v>
      </c>
    </row>
    <row r="194" spans="1:10">
      <c r="A194" s="2410"/>
      <c r="B194" s="2403"/>
      <c r="C194" s="2403"/>
      <c r="D194" s="2410"/>
      <c r="E194" s="2410"/>
      <c r="F194" s="2403"/>
      <c r="G194" s="2398"/>
      <c r="H194" s="2398"/>
      <c r="I194" s="2398"/>
      <c r="J194" s="2436" t="s">
        <v>429</v>
      </c>
    </row>
    <row r="195" spans="1:10">
      <c r="A195" s="2410"/>
      <c r="B195" s="2403"/>
      <c r="C195" s="2403"/>
      <c r="D195" s="2410"/>
      <c r="E195" s="2410"/>
      <c r="F195" s="2403"/>
      <c r="G195" s="2398"/>
      <c r="H195" s="2398"/>
      <c r="I195" s="2398"/>
      <c r="J195" s="2436" t="s">
        <v>429</v>
      </c>
    </row>
    <row r="196" spans="1:10">
      <c r="A196" s="2410"/>
      <c r="B196" s="2403"/>
      <c r="C196" s="2403"/>
      <c r="D196" s="2410"/>
      <c r="E196" s="2410"/>
      <c r="F196" s="2403"/>
      <c r="G196" s="2398"/>
      <c r="H196" s="2398"/>
      <c r="I196" s="2398"/>
      <c r="J196" s="2436" t="s">
        <v>429</v>
      </c>
    </row>
    <row r="197" spans="1:10">
      <c r="A197" s="2410"/>
      <c r="B197" s="2403"/>
      <c r="C197" s="2403"/>
      <c r="D197" s="2410"/>
      <c r="E197" s="2410"/>
      <c r="F197" s="2403"/>
      <c r="G197" s="2398"/>
      <c r="H197" s="2398"/>
      <c r="I197" s="2398"/>
      <c r="J197" s="2436" t="s">
        <v>429</v>
      </c>
    </row>
    <row r="198" spans="1:10">
      <c r="A198" s="2400" t="s">
        <v>426</v>
      </c>
      <c r="B198" s="2369">
        <f>ROUND(SUM(B188:B197),2)</f>
        <v>0</v>
      </c>
      <c r="C198" s="2369">
        <f>ROUND(SUM(C188:C197),2)</f>
        <v>0</v>
      </c>
      <c r="D198" s="2416"/>
      <c r="E198" s="2369"/>
      <c r="F198" s="2369">
        <f>ROUND(SUM(F188:F197),2)</f>
        <v>0</v>
      </c>
      <c r="G198" s="2398"/>
      <c r="H198" s="2398"/>
      <c r="I198" s="2398"/>
      <c r="J198" s="2436" t="s">
        <v>430</v>
      </c>
    </row>
    <row r="199" spans="1:10">
      <c r="A199" s="2405"/>
      <c r="B199" s="2416"/>
      <c r="C199" s="2416"/>
      <c r="D199" s="2416"/>
      <c r="E199" s="2416"/>
      <c r="F199" s="2416"/>
      <c r="G199" s="2398"/>
      <c r="H199" s="2398"/>
      <c r="I199" s="2398"/>
      <c r="J199" s="2460"/>
    </row>
    <row r="200" spans="1:10">
      <c r="A200" s="2400" t="s">
        <v>347</v>
      </c>
      <c r="B200" s="2369">
        <f>ROUND(B185+B198,2)</f>
        <v>0</v>
      </c>
      <c r="C200" s="2369">
        <f>ROUND(C185+C198,2)</f>
        <v>0</v>
      </c>
      <c r="D200" s="2416"/>
      <c r="E200" s="2369"/>
      <c r="F200" s="2369">
        <f>ROUND(F185+F198,2)</f>
        <v>0</v>
      </c>
      <c r="G200" s="2398"/>
      <c r="H200" s="2398"/>
      <c r="I200" s="2398"/>
      <c r="J200" s="2436" t="s">
        <v>431</v>
      </c>
    </row>
    <row r="201" spans="1:10">
      <c r="A201" s="2421"/>
      <c r="B201" s="2398"/>
      <c r="C201" s="2398"/>
      <c r="D201" s="2398"/>
      <c r="E201" s="2398"/>
      <c r="F201" s="2398"/>
      <c r="G201" s="2398"/>
      <c r="H201" s="2398"/>
      <c r="I201" s="2398"/>
      <c r="J201" s="2460"/>
    </row>
    <row r="202" spans="1:10">
      <c r="A202" s="2421"/>
      <c r="B202" s="2398"/>
      <c r="C202" s="2398"/>
      <c r="D202" s="2398"/>
      <c r="E202" s="2398"/>
      <c r="F202" s="2398"/>
      <c r="G202" s="2398"/>
      <c r="H202" s="2398"/>
      <c r="I202" s="2398"/>
      <c r="J202" s="2460"/>
    </row>
    <row r="203" spans="1:10">
      <c r="A203" s="2399" t="s">
        <v>432</v>
      </c>
      <c r="B203" s="2398"/>
      <c r="C203" s="2398"/>
      <c r="D203" s="2398"/>
      <c r="E203" s="2398"/>
      <c r="F203" s="2398"/>
      <c r="G203" s="2398"/>
      <c r="H203" s="2398"/>
      <c r="I203" s="2398"/>
      <c r="J203" s="2460"/>
    </row>
    <row r="204" spans="1:10">
      <c r="A204" s="2400" t="s">
        <v>433</v>
      </c>
      <c r="B204" s="2400" t="s">
        <v>316</v>
      </c>
      <c r="C204" s="2400" t="s">
        <v>317</v>
      </c>
      <c r="D204" s="2426" t="s">
        <v>421</v>
      </c>
      <c r="E204" s="2426" t="s">
        <v>422</v>
      </c>
      <c r="F204" s="2426" t="s">
        <v>423</v>
      </c>
      <c r="G204" s="2398"/>
      <c r="H204" s="2398"/>
      <c r="I204" s="2398"/>
      <c r="J204" s="2460"/>
    </row>
    <row r="205" spans="1:10">
      <c r="A205" s="2447" t="s">
        <v>434</v>
      </c>
      <c r="B205" s="2400"/>
      <c r="C205" s="2400"/>
      <c r="D205" s="2442"/>
      <c r="E205" s="2426"/>
      <c r="F205" s="2400"/>
      <c r="G205" s="2398"/>
      <c r="H205" s="2398"/>
      <c r="I205" s="2398"/>
      <c r="J205" s="2460"/>
    </row>
    <row r="206" spans="1:10">
      <c r="A206" s="2410"/>
      <c r="B206" s="2403"/>
      <c r="C206" s="2403"/>
      <c r="D206" s="2410"/>
      <c r="E206" s="2410"/>
      <c r="F206" s="2403"/>
      <c r="G206" s="2398"/>
      <c r="H206" s="2398"/>
      <c r="I206" s="2398"/>
      <c r="J206" s="2436" t="s">
        <v>435</v>
      </c>
    </row>
    <row r="207" spans="1:10">
      <c r="A207" s="2410"/>
      <c r="B207" s="2403"/>
      <c r="C207" s="2403"/>
      <c r="D207" s="2410"/>
      <c r="E207" s="2410"/>
      <c r="F207" s="2403"/>
      <c r="G207" s="2398"/>
      <c r="H207" s="2398"/>
      <c r="I207" s="2398"/>
      <c r="J207" s="2436" t="s">
        <v>435</v>
      </c>
    </row>
    <row r="208" spans="1:10">
      <c r="A208" s="2410"/>
      <c r="B208" s="2403"/>
      <c r="C208" s="2403"/>
      <c r="D208" s="2410"/>
      <c r="E208" s="2410"/>
      <c r="F208" s="2403"/>
      <c r="G208" s="2398"/>
      <c r="H208" s="2398"/>
      <c r="I208" s="2398"/>
      <c r="J208" s="2436" t="s">
        <v>435</v>
      </c>
    </row>
    <row r="209" spans="1:10">
      <c r="A209" s="2410"/>
      <c r="B209" s="2403"/>
      <c r="C209" s="2403"/>
      <c r="D209" s="2410"/>
      <c r="E209" s="2410"/>
      <c r="F209" s="2403"/>
      <c r="G209" s="2398"/>
      <c r="H209" s="2398"/>
      <c r="I209" s="2398"/>
      <c r="J209" s="2436" t="s">
        <v>435</v>
      </c>
    </row>
    <row r="210" spans="1:10">
      <c r="A210" s="2410"/>
      <c r="B210" s="2403"/>
      <c r="C210" s="2403"/>
      <c r="D210" s="2410"/>
      <c r="E210" s="2410"/>
      <c r="F210" s="2403"/>
      <c r="G210" s="2398"/>
      <c r="H210" s="2398"/>
      <c r="I210" s="2398"/>
      <c r="J210" s="2436" t="s">
        <v>435</v>
      </c>
    </row>
    <row r="211" spans="1:10">
      <c r="A211" s="2410"/>
      <c r="B211" s="2403"/>
      <c r="C211" s="2403"/>
      <c r="D211" s="2410"/>
      <c r="E211" s="2410"/>
      <c r="F211" s="2403"/>
      <c r="G211" s="2398"/>
      <c r="H211" s="2398"/>
      <c r="I211" s="2398"/>
      <c r="J211" s="2436" t="s">
        <v>435</v>
      </c>
    </row>
    <row r="212" spans="1:10">
      <c r="A212" s="2410"/>
      <c r="B212" s="2403"/>
      <c r="C212" s="2403"/>
      <c r="D212" s="2410"/>
      <c r="E212" s="2410"/>
      <c r="F212" s="2403"/>
      <c r="G212" s="2398"/>
      <c r="H212" s="2398"/>
      <c r="I212" s="2398"/>
      <c r="J212" s="2436" t="s">
        <v>435</v>
      </c>
    </row>
    <row r="213" spans="1:10">
      <c r="A213" s="2410"/>
      <c r="B213" s="2403"/>
      <c r="C213" s="2403"/>
      <c r="D213" s="2410"/>
      <c r="E213" s="2410"/>
      <c r="F213" s="2403"/>
      <c r="G213" s="2398"/>
      <c r="H213" s="2398"/>
      <c r="I213" s="2398"/>
      <c r="J213" s="2436" t="s">
        <v>435</v>
      </c>
    </row>
    <row r="214" spans="1:10">
      <c r="A214" s="2410"/>
      <c r="B214" s="2403"/>
      <c r="C214" s="2403"/>
      <c r="D214" s="2410"/>
      <c r="E214" s="2410"/>
      <c r="F214" s="2403"/>
      <c r="G214" s="2398"/>
      <c r="H214" s="2398"/>
      <c r="I214" s="2398"/>
      <c r="J214" s="2436" t="s">
        <v>435</v>
      </c>
    </row>
    <row r="215" spans="1:10">
      <c r="A215" s="2410"/>
      <c r="B215" s="2403"/>
      <c r="C215" s="2403"/>
      <c r="D215" s="2410"/>
      <c r="E215" s="2410"/>
      <c r="F215" s="2403"/>
      <c r="G215" s="2398"/>
      <c r="H215" s="2398"/>
      <c r="I215" s="2398"/>
      <c r="J215" s="2436" t="s">
        <v>435</v>
      </c>
    </row>
    <row r="216" spans="1:10">
      <c r="A216" s="2400" t="s">
        <v>426</v>
      </c>
      <c r="B216" s="2369">
        <f>ROUND(SUM(B206:B215),2)</f>
        <v>0</v>
      </c>
      <c r="C216" s="2369">
        <f>ROUND(SUM(C206:C215),2)</f>
        <v>0</v>
      </c>
      <c r="D216" s="2416"/>
      <c r="E216" s="2369"/>
      <c r="F216" s="2369">
        <f>ROUND(SUM(F206:F215),2)</f>
        <v>0</v>
      </c>
      <c r="G216" s="2398"/>
      <c r="H216" s="2398"/>
      <c r="I216" s="2398"/>
      <c r="J216" s="2436" t="s">
        <v>436</v>
      </c>
    </row>
    <row r="217" spans="1:10">
      <c r="A217" s="2405"/>
      <c r="B217" s="2416"/>
      <c r="C217" s="2416"/>
      <c r="D217" s="2416"/>
      <c r="E217" s="2416"/>
      <c r="F217" s="2416"/>
      <c r="G217" s="2398"/>
      <c r="H217" s="2398"/>
      <c r="I217" s="2398"/>
      <c r="J217" s="2460"/>
    </row>
    <row r="218" spans="1:10">
      <c r="A218" s="2447" t="s">
        <v>437</v>
      </c>
      <c r="B218" s="2400"/>
      <c r="C218" s="2400"/>
      <c r="D218" s="2442"/>
      <c r="E218" s="2426"/>
      <c r="F218" s="2442"/>
      <c r="G218" s="2398"/>
      <c r="H218" s="2398"/>
      <c r="I218" s="2398"/>
      <c r="J218" s="2460"/>
    </row>
    <row r="219" spans="1:10">
      <c r="A219" s="2410"/>
      <c r="B219" s="2403"/>
      <c r="C219" s="2403"/>
      <c r="D219" s="2410"/>
      <c r="E219" s="2410"/>
      <c r="F219" s="2403"/>
      <c r="G219" s="2398"/>
      <c r="H219" s="2398"/>
      <c r="I219" s="2398"/>
      <c r="J219" s="2436" t="s">
        <v>438</v>
      </c>
    </row>
    <row r="220" spans="1:10">
      <c r="A220" s="2410"/>
      <c r="B220" s="2403"/>
      <c r="C220" s="2403"/>
      <c r="D220" s="2410"/>
      <c r="E220" s="2410"/>
      <c r="F220" s="2403"/>
      <c r="G220" s="2398"/>
      <c r="H220" s="2398"/>
      <c r="I220" s="2398"/>
      <c r="J220" s="2436" t="s">
        <v>438</v>
      </c>
    </row>
    <row r="221" spans="1:10">
      <c r="A221" s="2410"/>
      <c r="B221" s="2403"/>
      <c r="C221" s="2403"/>
      <c r="D221" s="2410"/>
      <c r="E221" s="2410"/>
      <c r="F221" s="2403"/>
      <c r="G221" s="2398"/>
      <c r="H221" s="2398"/>
      <c r="I221" s="2398"/>
      <c r="J221" s="2436" t="s">
        <v>438</v>
      </c>
    </row>
    <row r="222" spans="1:10">
      <c r="A222" s="2410"/>
      <c r="B222" s="2403"/>
      <c r="C222" s="2403"/>
      <c r="D222" s="2410"/>
      <c r="E222" s="2410"/>
      <c r="F222" s="2403"/>
      <c r="G222" s="2398"/>
      <c r="H222" s="2398"/>
      <c r="I222" s="2398"/>
      <c r="J222" s="2436" t="s">
        <v>438</v>
      </c>
    </row>
    <row r="223" spans="1:10">
      <c r="A223" s="2410"/>
      <c r="B223" s="2403"/>
      <c r="C223" s="2403"/>
      <c r="D223" s="2410"/>
      <c r="E223" s="2410"/>
      <c r="F223" s="2403"/>
      <c r="G223" s="2398"/>
      <c r="H223" s="2398"/>
      <c r="I223" s="2398"/>
      <c r="J223" s="2436" t="s">
        <v>438</v>
      </c>
    </row>
    <row r="224" spans="1:10">
      <c r="A224" s="2410"/>
      <c r="B224" s="2403"/>
      <c r="C224" s="2403"/>
      <c r="D224" s="2410"/>
      <c r="E224" s="2410"/>
      <c r="F224" s="2403"/>
      <c r="G224" s="2398"/>
      <c r="H224" s="2398"/>
      <c r="I224" s="2398"/>
      <c r="J224" s="2436" t="s">
        <v>438</v>
      </c>
    </row>
    <row r="225" spans="1:10">
      <c r="A225" s="2410"/>
      <c r="B225" s="2403"/>
      <c r="C225" s="2403"/>
      <c r="D225" s="2410"/>
      <c r="E225" s="2410"/>
      <c r="F225" s="2403"/>
      <c r="G225" s="2398"/>
      <c r="H225" s="2398"/>
      <c r="I225" s="2398"/>
      <c r="J225" s="2436" t="s">
        <v>438</v>
      </c>
    </row>
    <row r="226" spans="1:10">
      <c r="A226" s="2410"/>
      <c r="B226" s="2403"/>
      <c r="C226" s="2403"/>
      <c r="D226" s="2410"/>
      <c r="E226" s="2410"/>
      <c r="F226" s="2403"/>
      <c r="G226" s="2398"/>
      <c r="H226" s="2398"/>
      <c r="I226" s="2398"/>
      <c r="J226" s="2436" t="s">
        <v>438</v>
      </c>
    </row>
    <row r="227" spans="1:10">
      <c r="A227" s="2410"/>
      <c r="B227" s="2403"/>
      <c r="C227" s="2403"/>
      <c r="D227" s="2410"/>
      <c r="E227" s="2410"/>
      <c r="F227" s="2403"/>
      <c r="G227" s="2398"/>
      <c r="H227" s="2398"/>
      <c r="I227" s="2398"/>
      <c r="J227" s="2436" t="s">
        <v>438</v>
      </c>
    </row>
    <row r="228" spans="1:10">
      <c r="A228" s="2410"/>
      <c r="B228" s="2403"/>
      <c r="C228" s="2403"/>
      <c r="D228" s="2410"/>
      <c r="E228" s="2410"/>
      <c r="F228" s="2403"/>
      <c r="G228" s="2398"/>
      <c r="H228" s="2398"/>
      <c r="I228" s="2398"/>
      <c r="J228" s="2436" t="s">
        <v>438</v>
      </c>
    </row>
    <row r="229" spans="1:10">
      <c r="A229" s="2400" t="s">
        <v>426</v>
      </c>
      <c r="B229" s="2369">
        <f>ROUND(SUM(B219:B228),2)</f>
        <v>0</v>
      </c>
      <c r="C229" s="2369">
        <f>ROUND(SUM(C219:C228),2)</f>
        <v>0</v>
      </c>
      <c r="D229" s="2416"/>
      <c r="E229" s="2369"/>
      <c r="F229" s="2369">
        <f>ROUND(SUM(F219:F228),2)</f>
        <v>0</v>
      </c>
      <c r="G229" s="2398"/>
      <c r="H229" s="2398"/>
      <c r="I229" s="2398"/>
      <c r="J229" s="2436" t="s">
        <v>439</v>
      </c>
    </row>
    <row r="230" spans="1:10">
      <c r="A230" s="2405"/>
      <c r="B230" s="2416"/>
      <c r="C230" s="2416"/>
      <c r="D230" s="2416"/>
      <c r="E230" s="2416"/>
      <c r="F230" s="2416"/>
      <c r="G230" s="2398"/>
      <c r="H230" s="2398"/>
      <c r="I230" s="2398"/>
      <c r="J230" s="2460"/>
    </row>
    <row r="231" spans="1:10">
      <c r="A231" s="2400" t="s">
        <v>347</v>
      </c>
      <c r="B231" s="2369">
        <f>ROUND(B216+B229,2)</f>
        <v>0</v>
      </c>
      <c r="C231" s="2369">
        <f>ROUND(C216+C229,2)</f>
        <v>0</v>
      </c>
      <c r="D231" s="2416"/>
      <c r="E231" s="2369"/>
      <c r="F231" s="2369">
        <f>ROUND(F216+F229,2)</f>
        <v>0</v>
      </c>
      <c r="G231" s="2398"/>
      <c r="H231" s="2398"/>
      <c r="I231" s="2398"/>
      <c r="J231" s="2436" t="s">
        <v>440</v>
      </c>
    </row>
    <row r="232" spans="1:10">
      <c r="A232" s="2421"/>
      <c r="B232" s="2398"/>
      <c r="C232" s="2398"/>
      <c r="D232" s="2398"/>
      <c r="E232" s="2398"/>
      <c r="F232" s="2398"/>
      <c r="G232" s="2398"/>
      <c r="H232" s="2398"/>
      <c r="I232" s="2398"/>
      <c r="J232" s="2460"/>
    </row>
    <row r="233" spans="1:10">
      <c r="A233" s="2421"/>
      <c r="B233" s="2398"/>
      <c r="C233" s="2398"/>
      <c r="D233" s="2398"/>
      <c r="E233" s="2398"/>
      <c r="F233" s="2398"/>
      <c r="G233" s="2398"/>
      <c r="H233" s="2398"/>
      <c r="I233" s="2398"/>
      <c r="J233" s="2460"/>
    </row>
    <row r="234" spans="1:10">
      <c r="A234" s="2397" t="s">
        <v>441</v>
      </c>
      <c r="B234" s="2398"/>
      <c r="C234" s="2398"/>
      <c r="D234" s="2398"/>
      <c r="E234" s="2398"/>
      <c r="F234" s="2398"/>
      <c r="G234" s="2398"/>
      <c r="H234" s="2398"/>
      <c r="I234" s="2398"/>
      <c r="J234" s="2460"/>
    </row>
    <row r="235" spans="1:10">
      <c r="A235" s="2399" t="s">
        <v>442</v>
      </c>
      <c r="B235" s="2398"/>
      <c r="C235" s="2398"/>
      <c r="D235" s="2398"/>
      <c r="E235" s="2398"/>
      <c r="F235" s="2398"/>
      <c r="G235" s="2398"/>
      <c r="H235" s="2398"/>
      <c r="I235" s="2398"/>
      <c r="J235" s="2460"/>
    </row>
    <row r="236" spans="1:10">
      <c r="A236" s="2400" t="s">
        <v>443</v>
      </c>
      <c r="B236" s="2432" t="s">
        <v>316</v>
      </c>
      <c r="C236" s="2473"/>
      <c r="D236" s="2473"/>
      <c r="E236" s="2474"/>
      <c r="F236" s="2432" t="s">
        <v>317</v>
      </c>
      <c r="G236" s="2473"/>
      <c r="H236" s="2473"/>
      <c r="I236" s="2474"/>
      <c r="J236" s="2460"/>
    </row>
    <row r="237" spans="1:10">
      <c r="A237" s="2400"/>
      <c r="B237" s="2400" t="s">
        <v>444</v>
      </c>
      <c r="C237" s="2400" t="s">
        <v>445</v>
      </c>
      <c r="D237" s="2426" t="s">
        <v>446</v>
      </c>
      <c r="E237" s="2400" t="s">
        <v>447</v>
      </c>
      <c r="F237" s="2400" t="s">
        <v>444</v>
      </c>
      <c r="G237" s="2400" t="s">
        <v>445</v>
      </c>
      <c r="H237" s="2426" t="s">
        <v>446</v>
      </c>
      <c r="I237" s="2400" t="s">
        <v>447</v>
      </c>
      <c r="J237" s="2460"/>
    </row>
    <row r="238" spans="1:10">
      <c r="A238" s="2405" t="s">
        <v>448</v>
      </c>
      <c r="B238" s="2403"/>
      <c r="C238" s="2435">
        <f>IF(B238=0,0,1-C239-C240-C241-C242-C243)</f>
        <v>0</v>
      </c>
      <c r="D238" s="2403"/>
      <c r="E238" s="2435">
        <f t="shared" ref="E238:E244" si="0">IF(B238=0,0,ROUND(D238/B238,4))</f>
        <v>0</v>
      </c>
      <c r="F238" s="2403"/>
      <c r="G238" s="2435">
        <f>IF(F238=0,0,1-G239-G240-G241-G242-G243)</f>
        <v>0</v>
      </c>
      <c r="H238" s="2403"/>
      <c r="I238" s="2435">
        <f t="shared" ref="I238:I244" si="1">IF(F238=0,0,ROUND(H238/F238,4))</f>
        <v>0</v>
      </c>
      <c r="J238" s="2436" t="s">
        <v>449</v>
      </c>
    </row>
    <row r="239" spans="1:10">
      <c r="A239" s="2405" t="s">
        <v>450</v>
      </c>
      <c r="B239" s="2403"/>
      <c r="C239" s="2435">
        <f>IF(B239=0,0,IF(B238=0,ROUND(1-C240-C241-C242-C243,4),ROUND(B239/B244,4)))</f>
        <v>0</v>
      </c>
      <c r="D239" s="2403"/>
      <c r="E239" s="2435">
        <f t="shared" si="0"/>
        <v>0</v>
      </c>
      <c r="F239" s="2403"/>
      <c r="G239" s="2435">
        <f>IF(F239=0,0,IF(F238=0,ROUND(1-G240-G241-G242-G243,4),ROUND(F239/F244,4)))</f>
        <v>0</v>
      </c>
      <c r="H239" s="2403"/>
      <c r="I239" s="2435">
        <f t="shared" si="1"/>
        <v>0</v>
      </c>
      <c r="J239" s="2436" t="s">
        <v>451</v>
      </c>
    </row>
    <row r="240" spans="1:10">
      <c r="A240" s="2405" t="s">
        <v>452</v>
      </c>
      <c r="B240" s="2403"/>
      <c r="C240" s="2435">
        <f>IF(B240=0,0,IF(AND(B238=0,B239=0),ROUND(1-C241-C242-C243,4),ROUND(B240/B244,4)))</f>
        <v>0</v>
      </c>
      <c r="D240" s="2403"/>
      <c r="E240" s="2435">
        <f t="shared" si="0"/>
        <v>0</v>
      </c>
      <c r="F240" s="2403"/>
      <c r="G240" s="2435">
        <f>IF(F240=0,0,IF(AND(F238=0,F239=0),ROUND(1-G241-G242-G243,4),ROUND(F240/F244,4)))</f>
        <v>0</v>
      </c>
      <c r="H240" s="2403"/>
      <c r="I240" s="2435">
        <f t="shared" si="1"/>
        <v>0</v>
      </c>
      <c r="J240" s="2436" t="s">
        <v>453</v>
      </c>
    </row>
    <row r="241" spans="1:10">
      <c r="A241" s="2405" t="s">
        <v>454</v>
      </c>
      <c r="B241" s="2403"/>
      <c r="C241" s="2435">
        <f>IF(B241=0,0,IF(AND(B238=0,B239=0,B240=0),ROUND(1-C242-C243,4),ROUND(B241/B244,4)))</f>
        <v>0</v>
      </c>
      <c r="D241" s="2403"/>
      <c r="E241" s="2435">
        <f t="shared" si="0"/>
        <v>0</v>
      </c>
      <c r="F241" s="2403"/>
      <c r="G241" s="2435">
        <f>IF(F241=0,0,IF(AND(F238=0,F239=0,F240=0),ROUND(1-G242-G243,4),ROUND(F241/F244,4)))</f>
        <v>0</v>
      </c>
      <c r="H241" s="2403"/>
      <c r="I241" s="2435">
        <f t="shared" si="1"/>
        <v>0</v>
      </c>
      <c r="J241" s="2436" t="s">
        <v>455</v>
      </c>
    </row>
    <row r="242" spans="1:10">
      <c r="A242" s="2405" t="s">
        <v>456</v>
      </c>
      <c r="B242" s="2403"/>
      <c r="C242" s="2435">
        <f>IF(B242=0,0,IF(AND(B238=0,B239=0,B240=0,B241=0),ROUND(1-C243,4),ROUND(B242/B244,4)))</f>
        <v>0</v>
      </c>
      <c r="D242" s="2403"/>
      <c r="E242" s="2435">
        <f t="shared" si="0"/>
        <v>0</v>
      </c>
      <c r="F242" s="2403"/>
      <c r="G242" s="2435">
        <f>IF(F242=0,0,IF(AND(F238=0,F239=0,F240=0,F241=0),ROUND(1-G243,4),ROUND(F242/F244,4)))</f>
        <v>0</v>
      </c>
      <c r="H242" s="2403"/>
      <c r="I242" s="2435">
        <f t="shared" si="1"/>
        <v>0</v>
      </c>
      <c r="J242" s="2436" t="s">
        <v>457</v>
      </c>
    </row>
    <row r="243" spans="1:10">
      <c r="A243" s="2405" t="s">
        <v>458</v>
      </c>
      <c r="B243" s="2403"/>
      <c r="C243" s="2435">
        <f>IF(B243=0,0,ROUND(B243/B244,4))</f>
        <v>0</v>
      </c>
      <c r="D243" s="2403"/>
      <c r="E243" s="2435">
        <f t="shared" si="0"/>
        <v>0</v>
      </c>
      <c r="F243" s="2403"/>
      <c r="G243" s="2435">
        <f>IF(F243=0,0,ROUND(F243/F244,4))</f>
        <v>0</v>
      </c>
      <c r="H243" s="2403"/>
      <c r="I243" s="2435">
        <f t="shared" si="1"/>
        <v>0</v>
      </c>
      <c r="J243" s="2436" t="s">
        <v>459</v>
      </c>
    </row>
    <row r="244" spans="1:10">
      <c r="A244" s="2400" t="s">
        <v>385</v>
      </c>
      <c r="B244" s="2369">
        <f>ROUND(SUM(B238:B243),2)</f>
        <v>0</v>
      </c>
      <c r="C244" s="2411">
        <f>IF(B244=0,0,1)</f>
        <v>0</v>
      </c>
      <c r="D244" s="2369">
        <f>ROUND(SUM(D238:D243),2)</f>
        <v>0</v>
      </c>
      <c r="E244" s="2411">
        <f t="shared" si="0"/>
        <v>0</v>
      </c>
      <c r="F244" s="2369">
        <f>ROUND(SUM(F238:F243),2)</f>
        <v>0</v>
      </c>
      <c r="G244" s="2411">
        <f>IF(F244=0,0,1)</f>
        <v>0</v>
      </c>
      <c r="H244" s="2369">
        <f>ROUND(SUM(H238:H243),2)</f>
        <v>0</v>
      </c>
      <c r="I244" s="2411">
        <f t="shared" si="1"/>
        <v>0</v>
      </c>
      <c r="J244" s="2436" t="s">
        <v>460</v>
      </c>
    </row>
    <row r="245" spans="1:10">
      <c r="A245" s="2421"/>
      <c r="B245" s="2398"/>
      <c r="C245" s="2398"/>
      <c r="D245" s="2398"/>
      <c r="E245" s="2398"/>
      <c r="F245" s="2398"/>
      <c r="G245" s="2398"/>
      <c r="H245" s="2398"/>
      <c r="I245" s="2398"/>
      <c r="J245" s="2460"/>
    </row>
    <row r="246" spans="1:10">
      <c r="A246" s="2399" t="s">
        <v>461</v>
      </c>
      <c r="B246" s="2398"/>
      <c r="C246" s="2398"/>
      <c r="D246" s="2398"/>
      <c r="E246" s="2398"/>
      <c r="F246" s="2398"/>
      <c r="G246" s="2398"/>
      <c r="H246" s="2398"/>
      <c r="I246" s="2398"/>
      <c r="J246" s="2460"/>
    </row>
    <row r="247" spans="1:10">
      <c r="A247" s="2407" t="s">
        <v>373</v>
      </c>
      <c r="B247" s="2432" t="s">
        <v>316</v>
      </c>
      <c r="C247" s="2473"/>
      <c r="D247" s="2473"/>
      <c r="E247" s="2474"/>
      <c r="F247" s="2432" t="s">
        <v>317</v>
      </c>
      <c r="G247" s="2473"/>
      <c r="H247" s="2473"/>
      <c r="I247" s="2474"/>
      <c r="J247" s="2460"/>
    </row>
    <row r="248" spans="1:10">
      <c r="A248" s="2408"/>
      <c r="B248" s="2400" t="s">
        <v>444</v>
      </c>
      <c r="C248" s="2400" t="s">
        <v>445</v>
      </c>
      <c r="D248" s="2426" t="s">
        <v>446</v>
      </c>
      <c r="E248" s="2400" t="s">
        <v>447</v>
      </c>
      <c r="F248" s="2400" t="s">
        <v>444</v>
      </c>
      <c r="G248" s="2400" t="s">
        <v>445</v>
      </c>
      <c r="H248" s="2426" t="s">
        <v>446</v>
      </c>
      <c r="I248" s="2400" t="s">
        <v>447</v>
      </c>
      <c r="J248" s="2460"/>
    </row>
    <row r="249" spans="1:10">
      <c r="A249" s="2402" t="s">
        <v>462</v>
      </c>
      <c r="B249" s="2403"/>
      <c r="C249" s="2435">
        <f>IF(B249=0,0,1-C250-C251)</f>
        <v>0</v>
      </c>
      <c r="D249" s="2403"/>
      <c r="E249" s="2435">
        <f>IF(B249=0,0,ROUND(D249/B249,4))</f>
        <v>0</v>
      </c>
      <c r="F249" s="2403"/>
      <c r="G249" s="2435">
        <f>IF(F249=0,0,1-G250-G251)</f>
        <v>0</v>
      </c>
      <c r="H249" s="2403"/>
      <c r="I249" s="2435">
        <f>IF(F249=0,0,ROUND(H249/F249,4))</f>
        <v>0</v>
      </c>
      <c r="J249" s="2436" t="s">
        <v>463</v>
      </c>
    </row>
    <row r="250" spans="1:10">
      <c r="A250" s="2402" t="s">
        <v>464</v>
      </c>
      <c r="B250" s="2403"/>
      <c r="C250" s="2435">
        <f>IF(B250=0,0,IF(B249=0,ROUND(1-C251,4),ROUND(B250/B$252,4)))</f>
        <v>0</v>
      </c>
      <c r="D250" s="2403"/>
      <c r="E250" s="2435">
        <f>IF(B250=0,0,ROUND(D250/B250,4))</f>
        <v>0</v>
      </c>
      <c r="F250" s="2403"/>
      <c r="G250" s="2435">
        <f>IF(F250=0,0,IF(F249=0,ROUND(1-G251,4),ROUND(F250/F$252,4)))</f>
        <v>0</v>
      </c>
      <c r="H250" s="2403"/>
      <c r="I250" s="2435">
        <f>IF(F250=0,0,ROUND(H250/F250,4))</f>
        <v>0</v>
      </c>
      <c r="J250" s="2436" t="s">
        <v>465</v>
      </c>
    </row>
    <row r="251" spans="1:10">
      <c r="A251" s="2402" t="s">
        <v>466</v>
      </c>
      <c r="B251" s="2438">
        <f>ROUND(B252-B249-B250,2)</f>
        <v>0</v>
      </c>
      <c r="C251" s="2435">
        <f>IF(B251=0,0,ROUND(B251/B$252,4))</f>
        <v>0</v>
      </c>
      <c r="D251" s="2438">
        <f>ROUND(D252-D249-D250,2)</f>
        <v>0</v>
      </c>
      <c r="E251" s="2435">
        <f>IF(B251=0,0,ROUND(D251/B251,4))</f>
        <v>0</v>
      </c>
      <c r="F251" s="2438">
        <f>ROUND(F252-F249-F250,2)</f>
        <v>0</v>
      </c>
      <c r="G251" s="2435">
        <f>IF(F251=0,0,ROUND(F251/F$252,4))</f>
        <v>0</v>
      </c>
      <c r="H251" s="2438">
        <f>ROUND(H252-H249-H250,2)</f>
        <v>0</v>
      </c>
      <c r="I251" s="2435">
        <f>IF(F251=0,0,ROUND(H251/F251,4))</f>
        <v>0</v>
      </c>
      <c r="J251" s="2436" t="s">
        <v>467</v>
      </c>
    </row>
    <row r="252" spans="1:10">
      <c r="A252" s="2400" t="s">
        <v>385</v>
      </c>
      <c r="B252" s="2369">
        <f>B244</f>
        <v>0</v>
      </c>
      <c r="C252" s="2411">
        <f>IF(B252=0,0,1)</f>
        <v>0</v>
      </c>
      <c r="D252" s="2369">
        <f>D244</f>
        <v>0</v>
      </c>
      <c r="E252" s="2411">
        <f>IF(B252=0,0,ROUND(D252/B252,4))</f>
        <v>0</v>
      </c>
      <c r="F252" s="2369">
        <f>F244</f>
        <v>0</v>
      </c>
      <c r="G252" s="2411">
        <f>IF(F252=0,0,1)</f>
        <v>0</v>
      </c>
      <c r="H252" s="2369">
        <f>H244</f>
        <v>0</v>
      </c>
      <c r="I252" s="2411">
        <f>IF(F252=0,0,ROUND(H252/F252,4))</f>
        <v>0</v>
      </c>
      <c r="J252" s="2436" t="s">
        <v>468</v>
      </c>
    </row>
    <row r="253" spans="1:10">
      <c r="A253" s="2421"/>
      <c r="B253" s="2398"/>
      <c r="C253" s="2398"/>
      <c r="D253" s="2398"/>
      <c r="E253" s="2398"/>
      <c r="F253" s="2398"/>
      <c r="G253" s="2398"/>
      <c r="H253" s="2398"/>
      <c r="I253" s="2398"/>
      <c r="J253" s="2460"/>
    </row>
    <row r="254" spans="1:10">
      <c r="A254" s="2399" t="s">
        <v>469</v>
      </c>
      <c r="B254" s="2398"/>
      <c r="C254" s="2398"/>
      <c r="D254" s="2398"/>
      <c r="E254" s="2398"/>
      <c r="F254" s="2398"/>
      <c r="G254" s="2398"/>
      <c r="H254" s="2398"/>
      <c r="I254" s="2398"/>
      <c r="J254" s="2460"/>
    </row>
    <row r="255" spans="1:10">
      <c r="A255" s="2400" t="s">
        <v>470</v>
      </c>
      <c r="B255" s="2400" t="s">
        <v>316</v>
      </c>
      <c r="C255" s="2400" t="s">
        <v>471</v>
      </c>
      <c r="D255" s="2400" t="s">
        <v>447</v>
      </c>
      <c r="E255" s="2400" t="s">
        <v>472</v>
      </c>
      <c r="F255" s="2398"/>
      <c r="G255" s="2398"/>
      <c r="H255" s="2398"/>
      <c r="I255" s="2398"/>
      <c r="J255" s="2460"/>
    </row>
    <row r="256" spans="1:10">
      <c r="A256" s="2410"/>
      <c r="B256" s="2403"/>
      <c r="C256" s="2403"/>
      <c r="D256" s="2435">
        <f>IF(B256=0,0,ROUND(C256/B256,4))</f>
        <v>0</v>
      </c>
      <c r="E256" s="2410"/>
      <c r="F256" s="2398"/>
      <c r="G256" s="2398"/>
      <c r="H256" s="2398"/>
      <c r="I256" s="2398"/>
      <c r="J256" s="2436" t="s">
        <v>473</v>
      </c>
    </row>
    <row r="257" spans="1:10">
      <c r="A257" s="2410"/>
      <c r="B257" s="2403"/>
      <c r="C257" s="2403"/>
      <c r="D257" s="2435">
        <f t="shared" ref="D257:D266" si="2">IF(B257=0,0,ROUND(C257/B257,4))</f>
        <v>0</v>
      </c>
      <c r="E257" s="2410"/>
      <c r="F257" s="2398"/>
      <c r="G257" s="2398"/>
      <c r="H257" s="2398"/>
      <c r="I257" s="2398"/>
      <c r="J257" s="2436" t="s">
        <v>473</v>
      </c>
    </row>
    <row r="258" spans="1:10">
      <c r="A258" s="2410"/>
      <c r="B258" s="2403"/>
      <c r="C258" s="2403"/>
      <c r="D258" s="2435">
        <f t="shared" si="2"/>
        <v>0</v>
      </c>
      <c r="E258" s="2410"/>
      <c r="F258" s="2398"/>
      <c r="G258" s="2398"/>
      <c r="H258" s="2398"/>
      <c r="I258" s="2398"/>
      <c r="J258" s="2436" t="s">
        <v>473</v>
      </c>
    </row>
    <row r="259" spans="1:10">
      <c r="A259" s="2410"/>
      <c r="B259" s="2403"/>
      <c r="C259" s="2403"/>
      <c r="D259" s="2435">
        <f t="shared" si="2"/>
        <v>0</v>
      </c>
      <c r="E259" s="2410"/>
      <c r="F259" s="2398"/>
      <c r="G259" s="2398"/>
      <c r="H259" s="2398"/>
      <c r="I259" s="2398"/>
      <c r="J259" s="2436" t="s">
        <v>473</v>
      </c>
    </row>
    <row r="260" spans="1:10">
      <c r="A260" s="2410"/>
      <c r="B260" s="2403"/>
      <c r="C260" s="2403"/>
      <c r="D260" s="2435">
        <f t="shared" si="2"/>
        <v>0</v>
      </c>
      <c r="E260" s="2410"/>
      <c r="F260" s="2398"/>
      <c r="G260" s="2398"/>
      <c r="H260" s="2398"/>
      <c r="I260" s="2398"/>
      <c r="J260" s="2436" t="s">
        <v>473</v>
      </c>
    </row>
    <row r="261" spans="1:10">
      <c r="A261" s="2410"/>
      <c r="B261" s="2403"/>
      <c r="C261" s="2403"/>
      <c r="D261" s="2435">
        <f t="shared" si="2"/>
        <v>0</v>
      </c>
      <c r="E261" s="2410"/>
      <c r="F261" s="2398"/>
      <c r="G261" s="2398"/>
      <c r="H261" s="2398"/>
      <c r="I261" s="2398"/>
      <c r="J261" s="2436" t="s">
        <v>473</v>
      </c>
    </row>
    <row r="262" spans="1:10">
      <c r="A262" s="2410"/>
      <c r="B262" s="2403"/>
      <c r="C262" s="2403"/>
      <c r="D262" s="2435">
        <f t="shared" si="2"/>
        <v>0</v>
      </c>
      <c r="E262" s="2410"/>
      <c r="F262" s="2398"/>
      <c r="G262" s="2398"/>
      <c r="H262" s="2398"/>
      <c r="I262" s="2398"/>
      <c r="J262" s="2436" t="s">
        <v>473</v>
      </c>
    </row>
    <row r="263" spans="1:10">
      <c r="A263" s="2410"/>
      <c r="B263" s="2403"/>
      <c r="C263" s="2403"/>
      <c r="D263" s="2435">
        <f t="shared" si="2"/>
        <v>0</v>
      </c>
      <c r="E263" s="2410"/>
      <c r="F263" s="2398"/>
      <c r="G263" s="2398"/>
      <c r="H263" s="2398"/>
      <c r="I263" s="2398"/>
      <c r="J263" s="2436" t="s">
        <v>473</v>
      </c>
    </row>
    <row r="264" spans="1:10">
      <c r="A264" s="2410"/>
      <c r="B264" s="2403"/>
      <c r="C264" s="2403"/>
      <c r="D264" s="2435">
        <f t="shared" si="2"/>
        <v>0</v>
      </c>
      <c r="E264" s="2410"/>
      <c r="F264" s="2398"/>
      <c r="G264" s="2398"/>
      <c r="H264" s="2398"/>
      <c r="I264" s="2398"/>
      <c r="J264" s="2436" t="s">
        <v>473</v>
      </c>
    </row>
    <row r="265" spans="1:10">
      <c r="A265" s="2410"/>
      <c r="B265" s="2403"/>
      <c r="C265" s="2403"/>
      <c r="D265" s="2435">
        <f t="shared" si="2"/>
        <v>0</v>
      </c>
      <c r="E265" s="2410"/>
      <c r="F265" s="2398"/>
      <c r="G265" s="2398"/>
      <c r="H265" s="2398"/>
      <c r="I265" s="2398"/>
      <c r="J265" s="2436" t="s">
        <v>473</v>
      </c>
    </row>
    <row r="266" spans="1:10">
      <c r="A266" s="2400" t="s">
        <v>385</v>
      </c>
      <c r="B266" s="2369">
        <f>ROUND(SUM(B256:B265),2)</f>
        <v>0</v>
      </c>
      <c r="C266" s="2369">
        <f>ROUND(SUM(C256:C265),2)</f>
        <v>0</v>
      </c>
      <c r="D266" s="2411">
        <f t="shared" si="2"/>
        <v>0</v>
      </c>
      <c r="E266" s="2369"/>
      <c r="F266" s="2398"/>
      <c r="G266" s="2398"/>
      <c r="H266" s="2398"/>
      <c r="I266" s="2398"/>
      <c r="J266" s="2436" t="s">
        <v>474</v>
      </c>
    </row>
    <row r="267" spans="1:10">
      <c r="A267" s="2421"/>
      <c r="B267" s="2398"/>
      <c r="C267" s="2398"/>
      <c r="D267" s="2398"/>
      <c r="E267" s="2398"/>
      <c r="F267" s="2398"/>
      <c r="G267" s="2398"/>
      <c r="H267" s="2398"/>
      <c r="I267" s="2398"/>
      <c r="J267" s="2460"/>
    </row>
    <row r="268" spans="1:10">
      <c r="A268" s="2414" t="s">
        <v>475</v>
      </c>
      <c r="B268" s="2398"/>
      <c r="C268" s="2398"/>
      <c r="D268" s="2398"/>
      <c r="E268" s="2398"/>
      <c r="F268" s="2398"/>
      <c r="G268" s="2398"/>
      <c r="H268" s="2398"/>
      <c r="I268" s="2398"/>
      <c r="J268" s="2460"/>
    </row>
    <row r="269" spans="1:10">
      <c r="A269" s="2400" t="s">
        <v>315</v>
      </c>
      <c r="B269" s="2400" t="s">
        <v>316</v>
      </c>
      <c r="C269" s="2400" t="s">
        <v>476</v>
      </c>
      <c r="D269" s="2398"/>
      <c r="E269" s="2398"/>
      <c r="F269" s="2398"/>
      <c r="G269" s="2398"/>
      <c r="H269" s="2398"/>
      <c r="I269" s="2398"/>
      <c r="J269" s="2460"/>
    </row>
    <row r="270" spans="1:10">
      <c r="A270" s="2410"/>
      <c r="B270" s="2403"/>
      <c r="C270" s="2410"/>
      <c r="D270" s="2398"/>
      <c r="E270" s="2398"/>
      <c r="F270" s="2398"/>
      <c r="G270" s="2398"/>
      <c r="H270" s="2398"/>
      <c r="I270" s="2398"/>
      <c r="J270" s="2436" t="s">
        <v>477</v>
      </c>
    </row>
    <row r="271" spans="1:10">
      <c r="A271" s="2410"/>
      <c r="B271" s="2403"/>
      <c r="C271" s="2410"/>
      <c r="D271" s="2398"/>
      <c r="E271" s="2398"/>
      <c r="F271" s="2398"/>
      <c r="G271" s="2398"/>
      <c r="H271" s="2398"/>
      <c r="I271" s="2398"/>
      <c r="J271" s="2436" t="s">
        <v>477</v>
      </c>
    </row>
    <row r="272" spans="1:10">
      <c r="A272" s="2410"/>
      <c r="B272" s="2403"/>
      <c r="C272" s="2410"/>
      <c r="D272" s="2398"/>
      <c r="E272" s="2398"/>
      <c r="F272" s="2398"/>
      <c r="G272" s="2398"/>
      <c r="H272" s="2398"/>
      <c r="I272" s="2398"/>
      <c r="J272" s="2436" t="s">
        <v>477</v>
      </c>
    </row>
    <row r="273" spans="1:10">
      <c r="A273" s="2410"/>
      <c r="B273" s="2403"/>
      <c r="C273" s="2410"/>
      <c r="D273" s="2398"/>
      <c r="E273" s="2398"/>
      <c r="F273" s="2398"/>
      <c r="G273" s="2398"/>
      <c r="H273" s="2398"/>
      <c r="I273" s="2398"/>
      <c r="J273" s="2436" t="s">
        <v>477</v>
      </c>
    </row>
    <row r="274" spans="1:10">
      <c r="A274" s="2410"/>
      <c r="B274" s="2403"/>
      <c r="C274" s="2410"/>
      <c r="D274" s="2398"/>
      <c r="E274" s="2398"/>
      <c r="F274" s="2398"/>
      <c r="G274" s="2398"/>
      <c r="H274" s="2398"/>
      <c r="I274" s="2398"/>
      <c r="J274" s="2436" t="s">
        <v>477</v>
      </c>
    </row>
    <row r="275" spans="1:10">
      <c r="A275" s="2410"/>
      <c r="B275" s="2403"/>
      <c r="C275" s="2410"/>
      <c r="D275" s="2398"/>
      <c r="E275" s="2398"/>
      <c r="F275" s="2398"/>
      <c r="G275" s="2398"/>
      <c r="H275" s="2398"/>
      <c r="I275" s="2398"/>
      <c r="J275" s="2436" t="s">
        <v>477</v>
      </c>
    </row>
    <row r="276" spans="1:10">
      <c r="A276" s="2410"/>
      <c r="B276" s="2403"/>
      <c r="C276" s="2410"/>
      <c r="D276" s="2398"/>
      <c r="E276" s="2398"/>
      <c r="F276" s="2398"/>
      <c r="G276" s="2398"/>
      <c r="H276" s="2398"/>
      <c r="I276" s="2398"/>
      <c r="J276" s="2436" t="s">
        <v>477</v>
      </c>
    </row>
    <row r="277" spans="1:10">
      <c r="A277" s="2410"/>
      <c r="B277" s="2403"/>
      <c r="C277" s="2410"/>
      <c r="D277" s="2398"/>
      <c r="E277" s="2398"/>
      <c r="F277" s="2398"/>
      <c r="G277" s="2398"/>
      <c r="H277" s="2398"/>
      <c r="I277" s="2398"/>
      <c r="J277" s="2436" t="s">
        <v>477</v>
      </c>
    </row>
    <row r="278" spans="1:10">
      <c r="A278" s="2410"/>
      <c r="B278" s="2403"/>
      <c r="C278" s="2410"/>
      <c r="D278" s="2398"/>
      <c r="E278" s="2398"/>
      <c r="F278" s="2398"/>
      <c r="G278" s="2398"/>
      <c r="H278" s="2398"/>
      <c r="I278" s="2398"/>
      <c r="J278" s="2436" t="s">
        <v>477</v>
      </c>
    </row>
    <row r="279" spans="1:10">
      <c r="A279" s="2410"/>
      <c r="B279" s="2403"/>
      <c r="C279" s="2410"/>
      <c r="D279" s="2398"/>
      <c r="E279" s="2398"/>
      <c r="F279" s="2398"/>
      <c r="G279" s="2398"/>
      <c r="H279" s="2398"/>
      <c r="I279" s="2398"/>
      <c r="J279" s="2436" t="s">
        <v>477</v>
      </c>
    </row>
    <row r="280" spans="1:10">
      <c r="A280" s="2400" t="s">
        <v>385</v>
      </c>
      <c r="B280" s="2369">
        <f>ROUND(SUM(B270:B279),2)</f>
        <v>0</v>
      </c>
      <c r="C280" s="2369"/>
      <c r="D280" s="2398"/>
      <c r="E280" s="2398"/>
      <c r="F280" s="2398"/>
      <c r="G280" s="2398"/>
      <c r="H280" s="2398"/>
      <c r="I280" s="2398"/>
      <c r="J280" s="2436" t="s">
        <v>478</v>
      </c>
    </row>
    <row r="281" spans="1:10">
      <c r="A281" s="2421"/>
      <c r="B281" s="2398"/>
      <c r="C281" s="2398"/>
      <c r="D281" s="2398"/>
      <c r="E281" s="2398"/>
      <c r="F281" s="2398"/>
      <c r="G281" s="2398"/>
      <c r="H281" s="2398"/>
      <c r="I281" s="2398"/>
      <c r="J281" s="2460"/>
    </row>
    <row r="282" spans="1:10">
      <c r="A282" s="2414" t="s">
        <v>479</v>
      </c>
      <c r="B282" s="2398"/>
      <c r="C282" s="2398"/>
      <c r="D282" s="2398"/>
      <c r="E282" s="2398"/>
      <c r="F282" s="2398"/>
      <c r="G282" s="2398"/>
      <c r="H282" s="2398"/>
      <c r="I282" s="2398"/>
      <c r="J282" s="2460"/>
    </row>
    <row r="283" spans="1:10">
      <c r="A283" s="2400" t="s">
        <v>315</v>
      </c>
      <c r="B283" s="2400" t="s">
        <v>480</v>
      </c>
      <c r="C283" s="2400" t="s">
        <v>481</v>
      </c>
      <c r="D283" s="2400" t="s">
        <v>482</v>
      </c>
      <c r="E283" s="2400" t="s">
        <v>483</v>
      </c>
      <c r="F283" s="2400" t="s">
        <v>484</v>
      </c>
      <c r="G283" s="2398"/>
      <c r="H283" s="2398"/>
      <c r="I283" s="2398"/>
      <c r="J283" s="2460"/>
    </row>
    <row r="284" spans="1:10">
      <c r="A284" s="2410"/>
      <c r="B284" s="2403"/>
      <c r="C284" s="2403"/>
      <c r="D284" s="2410"/>
      <c r="E284" s="2410"/>
      <c r="F284" s="2410"/>
      <c r="G284" s="2398"/>
      <c r="H284" s="2398"/>
      <c r="I284" s="2398"/>
      <c r="J284" s="2436" t="s">
        <v>485</v>
      </c>
    </row>
    <row r="285" spans="1:10">
      <c r="A285" s="2410"/>
      <c r="B285" s="2403"/>
      <c r="C285" s="2403"/>
      <c r="D285" s="2410"/>
      <c r="E285" s="2410"/>
      <c r="F285" s="2410"/>
      <c r="G285" s="2398"/>
      <c r="H285" s="2398"/>
      <c r="I285" s="2398"/>
      <c r="J285" s="2436" t="s">
        <v>485</v>
      </c>
    </row>
    <row r="286" spans="1:10">
      <c r="A286" s="2410"/>
      <c r="B286" s="2403"/>
      <c r="C286" s="2403"/>
      <c r="D286" s="2410"/>
      <c r="E286" s="2410"/>
      <c r="F286" s="2410"/>
      <c r="G286" s="2398"/>
      <c r="H286" s="2398"/>
      <c r="I286" s="2398"/>
      <c r="J286" s="2436" t="s">
        <v>485</v>
      </c>
    </row>
    <row r="287" spans="1:10">
      <c r="A287" s="2410"/>
      <c r="B287" s="2403"/>
      <c r="C287" s="2403"/>
      <c r="D287" s="2410"/>
      <c r="E287" s="2410"/>
      <c r="F287" s="2410"/>
      <c r="G287" s="2398"/>
      <c r="H287" s="2398"/>
      <c r="I287" s="2398"/>
      <c r="J287" s="2436" t="s">
        <v>485</v>
      </c>
    </row>
    <row r="288" spans="1:10">
      <c r="A288" s="2410"/>
      <c r="B288" s="2403"/>
      <c r="C288" s="2403"/>
      <c r="D288" s="2410"/>
      <c r="E288" s="2410"/>
      <c r="F288" s="2410"/>
      <c r="G288" s="2398"/>
      <c r="H288" s="2398"/>
      <c r="I288" s="2398"/>
      <c r="J288" s="2436" t="s">
        <v>485</v>
      </c>
    </row>
    <row r="289" spans="1:10">
      <c r="A289" s="2410"/>
      <c r="B289" s="2403"/>
      <c r="C289" s="2403"/>
      <c r="D289" s="2410"/>
      <c r="E289" s="2410"/>
      <c r="F289" s="2410"/>
      <c r="G289" s="2398"/>
      <c r="H289" s="2398"/>
      <c r="I289" s="2398"/>
      <c r="J289" s="2436" t="s">
        <v>485</v>
      </c>
    </row>
    <row r="290" spans="1:10">
      <c r="A290" s="2410"/>
      <c r="B290" s="2403"/>
      <c r="C290" s="2403"/>
      <c r="D290" s="2410"/>
      <c r="E290" s="2410"/>
      <c r="F290" s="2410"/>
      <c r="G290" s="2398"/>
      <c r="H290" s="2398"/>
      <c r="I290" s="2398"/>
      <c r="J290" s="2436" t="s">
        <v>485</v>
      </c>
    </row>
    <row r="291" spans="1:10">
      <c r="A291" s="2410"/>
      <c r="B291" s="2403"/>
      <c r="C291" s="2403"/>
      <c r="D291" s="2410"/>
      <c r="E291" s="2410"/>
      <c r="F291" s="2410"/>
      <c r="G291" s="2398"/>
      <c r="H291" s="2398"/>
      <c r="I291" s="2398"/>
      <c r="J291" s="2436" t="s">
        <v>485</v>
      </c>
    </row>
    <row r="292" spans="1:10">
      <c r="A292" s="2410"/>
      <c r="B292" s="2403"/>
      <c r="C292" s="2403"/>
      <c r="D292" s="2410"/>
      <c r="E292" s="2410"/>
      <c r="F292" s="2410"/>
      <c r="G292" s="2398"/>
      <c r="H292" s="2398"/>
      <c r="I292" s="2398"/>
      <c r="J292" s="2436" t="s">
        <v>485</v>
      </c>
    </row>
    <row r="293" spans="1:10">
      <c r="A293" s="2410"/>
      <c r="B293" s="2403"/>
      <c r="C293" s="2403"/>
      <c r="D293" s="2410"/>
      <c r="E293" s="2410"/>
      <c r="F293" s="2410"/>
      <c r="G293" s="2398"/>
      <c r="H293" s="2398"/>
      <c r="I293" s="2398"/>
      <c r="J293" s="2436" t="s">
        <v>485</v>
      </c>
    </row>
    <row r="294" spans="1:10">
      <c r="A294" s="2400" t="s">
        <v>385</v>
      </c>
      <c r="B294" s="2369">
        <f>ROUND(SUM(B284:B293),2)</f>
        <v>0</v>
      </c>
      <c r="C294" s="2369">
        <f>ROUND(SUM(C284:C293),2)</f>
        <v>0</v>
      </c>
      <c r="D294" s="2411"/>
      <c r="E294" s="2369"/>
      <c r="F294" s="2369"/>
      <c r="G294" s="2398"/>
      <c r="H294" s="2398"/>
      <c r="I294" s="2398"/>
      <c r="J294" s="2436" t="s">
        <v>486</v>
      </c>
    </row>
    <row r="295" spans="1:10">
      <c r="A295" s="2421"/>
      <c r="B295" s="2398"/>
      <c r="C295" s="2398"/>
      <c r="D295" s="2398"/>
      <c r="E295" s="2398"/>
      <c r="F295" s="2398"/>
      <c r="G295" s="2398"/>
      <c r="H295" s="2398"/>
      <c r="I295" s="2398"/>
      <c r="J295" s="2460"/>
    </row>
    <row r="296" spans="1:10">
      <c r="A296" s="2414" t="s">
        <v>487</v>
      </c>
      <c r="B296" s="2398"/>
      <c r="C296" s="2398"/>
      <c r="D296" s="2398"/>
      <c r="E296" s="2398"/>
      <c r="F296" s="2398"/>
      <c r="G296" s="2398"/>
      <c r="H296" s="2398"/>
      <c r="I296" s="2398"/>
      <c r="J296" s="2460"/>
    </row>
    <row r="297" spans="1:10">
      <c r="A297" s="2400" t="s">
        <v>315</v>
      </c>
      <c r="B297" s="2400" t="s">
        <v>488</v>
      </c>
      <c r="C297" s="2400" t="s">
        <v>489</v>
      </c>
      <c r="D297" s="2400" t="s">
        <v>490</v>
      </c>
      <c r="E297" s="2400" t="s">
        <v>483</v>
      </c>
      <c r="F297" s="2400" t="s">
        <v>491</v>
      </c>
      <c r="G297" s="2398"/>
      <c r="H297" s="2398"/>
      <c r="I297" s="2398"/>
      <c r="J297" s="2460"/>
    </row>
    <row r="298" spans="1:10">
      <c r="A298" s="2410"/>
      <c r="B298" s="2403"/>
      <c r="C298" s="2410"/>
      <c r="D298" s="2410"/>
      <c r="E298" s="2410"/>
      <c r="F298" s="2410"/>
      <c r="G298" s="2398"/>
      <c r="H298" s="2398"/>
      <c r="I298" s="2398"/>
      <c r="J298" s="2436" t="s">
        <v>492</v>
      </c>
    </row>
    <row r="299" spans="1:10">
      <c r="A299" s="2410"/>
      <c r="B299" s="2403"/>
      <c r="C299" s="2410"/>
      <c r="D299" s="2410"/>
      <c r="E299" s="2410"/>
      <c r="F299" s="2410"/>
      <c r="G299" s="2398"/>
      <c r="H299" s="2398"/>
      <c r="I299" s="2398"/>
      <c r="J299" s="2436" t="s">
        <v>492</v>
      </c>
    </row>
    <row r="300" spans="1:10">
      <c r="A300" s="2410"/>
      <c r="B300" s="2403"/>
      <c r="C300" s="2410"/>
      <c r="D300" s="2410"/>
      <c r="E300" s="2410"/>
      <c r="F300" s="2410"/>
      <c r="G300" s="2398"/>
      <c r="H300" s="2398"/>
      <c r="I300" s="2398"/>
      <c r="J300" s="2436" t="s">
        <v>492</v>
      </c>
    </row>
    <row r="301" spans="1:10">
      <c r="A301" s="2410"/>
      <c r="B301" s="2403"/>
      <c r="C301" s="2410"/>
      <c r="D301" s="2410"/>
      <c r="E301" s="2410"/>
      <c r="F301" s="2410"/>
      <c r="G301" s="2398"/>
      <c r="H301" s="2398"/>
      <c r="I301" s="2398"/>
      <c r="J301" s="2436" t="s">
        <v>492</v>
      </c>
    </row>
    <row r="302" spans="1:10">
      <c r="A302" s="2410"/>
      <c r="B302" s="2403"/>
      <c r="C302" s="2410"/>
      <c r="D302" s="2410"/>
      <c r="E302" s="2410"/>
      <c r="F302" s="2410"/>
      <c r="G302" s="2398"/>
      <c r="H302" s="2398"/>
      <c r="I302" s="2398"/>
      <c r="J302" s="2436" t="s">
        <v>492</v>
      </c>
    </row>
    <row r="303" spans="1:10">
      <c r="A303" s="2410"/>
      <c r="B303" s="2403"/>
      <c r="C303" s="2410"/>
      <c r="D303" s="2410"/>
      <c r="E303" s="2410"/>
      <c r="F303" s="2410"/>
      <c r="G303" s="2398"/>
      <c r="H303" s="2398"/>
      <c r="I303" s="2398"/>
      <c r="J303" s="2436" t="s">
        <v>492</v>
      </c>
    </row>
    <row r="304" spans="1:10">
      <c r="A304" s="2410"/>
      <c r="B304" s="2403"/>
      <c r="C304" s="2410"/>
      <c r="D304" s="2410"/>
      <c r="E304" s="2410"/>
      <c r="F304" s="2410"/>
      <c r="G304" s="2398"/>
      <c r="H304" s="2398"/>
      <c r="I304" s="2398"/>
      <c r="J304" s="2436" t="s">
        <v>492</v>
      </c>
    </row>
    <row r="305" spans="1:10">
      <c r="A305" s="2410"/>
      <c r="B305" s="2403"/>
      <c r="C305" s="2410"/>
      <c r="D305" s="2410"/>
      <c r="E305" s="2410"/>
      <c r="F305" s="2410"/>
      <c r="G305" s="2398"/>
      <c r="H305" s="2398"/>
      <c r="I305" s="2398"/>
      <c r="J305" s="2436" t="s">
        <v>492</v>
      </c>
    </row>
    <row r="306" spans="1:10">
      <c r="A306" s="2410"/>
      <c r="B306" s="2403"/>
      <c r="C306" s="2410"/>
      <c r="D306" s="2410"/>
      <c r="E306" s="2410"/>
      <c r="F306" s="2410"/>
      <c r="G306" s="2398"/>
      <c r="H306" s="2398"/>
      <c r="I306" s="2398"/>
      <c r="J306" s="2436" t="s">
        <v>492</v>
      </c>
    </row>
    <row r="307" spans="1:10">
      <c r="A307" s="2410"/>
      <c r="B307" s="2403"/>
      <c r="C307" s="2410"/>
      <c r="D307" s="2410"/>
      <c r="E307" s="2410"/>
      <c r="F307" s="2410"/>
      <c r="G307" s="2398"/>
      <c r="H307" s="2398"/>
      <c r="I307" s="2398"/>
      <c r="J307" s="2436" t="s">
        <v>492</v>
      </c>
    </row>
    <row r="308" spans="1:10">
      <c r="A308" s="2400" t="s">
        <v>385</v>
      </c>
      <c r="B308" s="2369">
        <f>ROUND(SUM(B298:B307),2)</f>
        <v>0</v>
      </c>
      <c r="C308" s="2369"/>
      <c r="D308" s="2411">
        <f>IF(B308=0,0,ROUND(C308/B308,4))</f>
        <v>0</v>
      </c>
      <c r="E308" s="2369"/>
      <c r="F308" s="2369"/>
      <c r="G308" s="2398"/>
      <c r="H308" s="2398"/>
      <c r="I308" s="2398"/>
      <c r="J308" s="2436" t="s">
        <v>493</v>
      </c>
    </row>
    <row r="309" spans="1:10">
      <c r="A309" s="2421"/>
      <c r="B309" s="2398"/>
      <c r="C309" s="2398"/>
      <c r="D309" s="2398"/>
      <c r="E309" s="2398"/>
      <c r="F309" s="2398"/>
      <c r="G309" s="2398"/>
      <c r="H309" s="2398"/>
      <c r="I309" s="2398"/>
      <c r="J309" s="2460"/>
    </row>
    <row r="310" spans="1:10">
      <c r="A310" s="2414" t="s">
        <v>494</v>
      </c>
      <c r="B310" s="2398"/>
      <c r="C310" s="2398"/>
      <c r="D310" s="2398"/>
      <c r="E310" s="2398"/>
      <c r="F310" s="2398"/>
      <c r="G310" s="2398"/>
      <c r="H310" s="2398"/>
      <c r="I310" s="2398"/>
      <c r="J310" s="2460"/>
    </row>
    <row r="311" spans="1:10">
      <c r="A311" s="2400" t="s">
        <v>495</v>
      </c>
      <c r="B311" s="2400" t="s">
        <v>316</v>
      </c>
      <c r="C311" s="2400" t="s">
        <v>317</v>
      </c>
      <c r="D311" s="2400" t="s">
        <v>496</v>
      </c>
      <c r="E311" s="2398"/>
      <c r="F311" s="2398"/>
      <c r="G311" s="2398"/>
      <c r="H311" s="2398"/>
      <c r="I311" s="2398"/>
      <c r="J311" s="2475"/>
    </row>
    <row r="312" spans="1:10">
      <c r="A312" s="2410"/>
      <c r="B312" s="2403"/>
      <c r="C312" s="2403"/>
      <c r="D312" s="2410"/>
      <c r="E312" s="2398"/>
      <c r="F312" s="2398"/>
      <c r="G312" s="2398"/>
      <c r="H312" s="2398"/>
      <c r="I312" s="2398"/>
      <c r="J312" s="2436" t="s">
        <v>497</v>
      </c>
    </row>
    <row r="313" spans="1:10">
      <c r="A313" s="2410"/>
      <c r="B313" s="2403"/>
      <c r="C313" s="2403"/>
      <c r="D313" s="2410"/>
      <c r="E313" s="2398"/>
      <c r="F313" s="2398"/>
      <c r="G313" s="2398"/>
      <c r="H313" s="2398"/>
      <c r="I313" s="2398"/>
      <c r="J313" s="2436" t="s">
        <v>497</v>
      </c>
    </row>
    <row r="314" spans="1:10">
      <c r="A314" s="2410"/>
      <c r="B314" s="2403"/>
      <c r="C314" s="2403"/>
      <c r="D314" s="2410"/>
      <c r="E314" s="2398"/>
      <c r="F314" s="2398"/>
      <c r="G314" s="2398"/>
      <c r="H314" s="2398"/>
      <c r="I314" s="2398"/>
      <c r="J314" s="2436" t="s">
        <v>497</v>
      </c>
    </row>
    <row r="315" spans="1:10">
      <c r="A315" s="2410"/>
      <c r="B315" s="2403"/>
      <c r="C315" s="2403"/>
      <c r="D315" s="2410"/>
      <c r="E315" s="2398"/>
      <c r="F315" s="2398"/>
      <c r="G315" s="2398"/>
      <c r="H315" s="2398"/>
      <c r="I315" s="2398"/>
      <c r="J315" s="2436" t="s">
        <v>497</v>
      </c>
    </row>
    <row r="316" spans="1:10">
      <c r="A316" s="2410"/>
      <c r="B316" s="2403"/>
      <c r="C316" s="2403"/>
      <c r="D316" s="2410"/>
      <c r="E316" s="2398"/>
      <c r="F316" s="2398"/>
      <c r="G316" s="2398"/>
      <c r="H316" s="2398"/>
      <c r="I316" s="2398"/>
      <c r="J316" s="2436" t="s">
        <v>497</v>
      </c>
    </row>
    <row r="317" spans="1:10">
      <c r="A317" s="2410"/>
      <c r="B317" s="2403"/>
      <c r="C317" s="2403"/>
      <c r="D317" s="2410"/>
      <c r="E317" s="2398"/>
      <c r="F317" s="2398"/>
      <c r="G317" s="2398"/>
      <c r="H317" s="2398"/>
      <c r="I317" s="2398"/>
      <c r="J317" s="2436" t="s">
        <v>497</v>
      </c>
    </row>
    <row r="318" spans="1:10">
      <c r="A318" s="2410"/>
      <c r="B318" s="2403"/>
      <c r="C318" s="2403"/>
      <c r="D318" s="2410"/>
      <c r="E318" s="2398"/>
      <c r="F318" s="2398"/>
      <c r="G318" s="2398"/>
      <c r="H318" s="2398"/>
      <c r="I318" s="2398"/>
      <c r="J318" s="2436" t="s">
        <v>497</v>
      </c>
    </row>
    <row r="319" spans="1:10">
      <c r="A319" s="2410"/>
      <c r="B319" s="2403"/>
      <c r="C319" s="2403"/>
      <c r="D319" s="2410"/>
      <c r="E319" s="2398"/>
      <c r="F319" s="2398"/>
      <c r="G319" s="2398"/>
      <c r="H319" s="2398"/>
      <c r="I319" s="2398"/>
      <c r="J319" s="2436" t="s">
        <v>497</v>
      </c>
    </row>
    <row r="320" spans="1:10">
      <c r="A320" s="2410"/>
      <c r="B320" s="2403"/>
      <c r="C320" s="2403"/>
      <c r="D320" s="2410"/>
      <c r="E320" s="2398"/>
      <c r="F320" s="2398"/>
      <c r="G320" s="2398"/>
      <c r="H320" s="2398"/>
      <c r="I320" s="2398"/>
      <c r="J320" s="2436" t="s">
        <v>497</v>
      </c>
    </row>
    <row r="321" spans="1:10">
      <c r="A321" s="2410"/>
      <c r="B321" s="2403"/>
      <c r="C321" s="2403"/>
      <c r="D321" s="2410"/>
      <c r="E321" s="2398"/>
      <c r="F321" s="2398"/>
      <c r="G321" s="2398"/>
      <c r="H321" s="2398"/>
      <c r="I321" s="2398"/>
      <c r="J321" s="2436" t="s">
        <v>497</v>
      </c>
    </row>
    <row r="322" spans="1:10">
      <c r="A322" s="2400" t="s">
        <v>385</v>
      </c>
      <c r="B322" s="2369">
        <f>ROUND(SUM(B312:B321),2)</f>
        <v>0</v>
      </c>
      <c r="C322" s="2369">
        <f>ROUND(SUM(C312:C321),2)</f>
        <v>0</v>
      </c>
      <c r="D322" s="2369"/>
      <c r="E322" s="2398"/>
      <c r="F322" s="2398"/>
      <c r="G322" s="2398"/>
      <c r="H322" s="2398"/>
      <c r="I322" s="2398"/>
      <c r="J322" s="2436" t="s">
        <v>498</v>
      </c>
    </row>
    <row r="323" spans="1:10">
      <c r="A323" s="2421"/>
      <c r="B323" s="2398"/>
      <c r="C323" s="2398"/>
      <c r="D323" s="2398"/>
      <c r="E323" s="2398"/>
      <c r="F323" s="2398"/>
      <c r="G323" s="2398"/>
      <c r="H323" s="2398"/>
      <c r="I323" s="2398"/>
      <c r="J323" s="2460"/>
    </row>
    <row r="324" spans="1:10">
      <c r="A324" s="2414" t="s">
        <v>499</v>
      </c>
      <c r="B324" s="2398"/>
      <c r="C324" s="2398"/>
      <c r="D324" s="2398"/>
      <c r="E324" s="2398"/>
      <c r="F324" s="2398"/>
      <c r="G324" s="2398"/>
      <c r="H324" s="2398"/>
      <c r="I324" s="2398"/>
      <c r="J324" s="2460"/>
    </row>
    <row r="325" spans="1:10">
      <c r="A325" s="2400" t="s">
        <v>470</v>
      </c>
      <c r="B325" s="2400" t="s">
        <v>316</v>
      </c>
      <c r="C325" s="2400" t="s">
        <v>500</v>
      </c>
      <c r="D325" s="2400" t="s">
        <v>501</v>
      </c>
      <c r="E325" s="2400" t="s">
        <v>502</v>
      </c>
      <c r="F325" s="2398"/>
      <c r="G325" s="2398"/>
      <c r="H325" s="2398"/>
      <c r="I325" s="2398"/>
      <c r="J325" s="2460"/>
    </row>
    <row r="326" spans="1:10">
      <c r="A326" s="2410"/>
      <c r="B326" s="2403"/>
      <c r="C326" s="2410"/>
      <c r="D326" s="2476"/>
      <c r="E326" s="2435">
        <f t="shared" ref="E326:E331" si="3">IF(B326=0,0,ROUND(B326/B$244,4))</f>
        <v>0</v>
      </c>
      <c r="F326" s="2398"/>
      <c r="G326" s="2398"/>
      <c r="H326" s="2398"/>
      <c r="I326" s="2398"/>
      <c r="J326" s="2436" t="s">
        <v>503</v>
      </c>
    </row>
    <row r="327" spans="1:10">
      <c r="A327" s="2410"/>
      <c r="B327" s="2403"/>
      <c r="C327" s="2410"/>
      <c r="D327" s="2476"/>
      <c r="E327" s="2435">
        <f t="shared" si="3"/>
        <v>0</v>
      </c>
      <c r="F327" s="2398"/>
      <c r="G327" s="2398"/>
      <c r="H327" s="2398"/>
      <c r="I327" s="2398"/>
      <c r="J327" s="2436" t="s">
        <v>503</v>
      </c>
    </row>
    <row r="328" spans="1:10">
      <c r="A328" s="2410"/>
      <c r="B328" s="2403"/>
      <c r="C328" s="2410"/>
      <c r="D328" s="2476"/>
      <c r="E328" s="2435">
        <f t="shared" si="3"/>
        <v>0</v>
      </c>
      <c r="F328" s="2398"/>
      <c r="G328" s="2398"/>
      <c r="H328" s="2398"/>
      <c r="I328" s="2398"/>
      <c r="J328" s="2436" t="s">
        <v>503</v>
      </c>
    </row>
    <row r="329" spans="1:10">
      <c r="A329" s="2410"/>
      <c r="B329" s="2403"/>
      <c r="C329" s="2410"/>
      <c r="D329" s="2476"/>
      <c r="E329" s="2435">
        <f t="shared" si="3"/>
        <v>0</v>
      </c>
      <c r="F329" s="2398"/>
      <c r="G329" s="2398"/>
      <c r="H329" s="2398"/>
      <c r="I329" s="2398"/>
      <c r="J329" s="2436" t="s">
        <v>503</v>
      </c>
    </row>
    <row r="330" spans="1:10">
      <c r="A330" s="2410"/>
      <c r="B330" s="2403"/>
      <c r="C330" s="2410"/>
      <c r="D330" s="2476"/>
      <c r="E330" s="2435">
        <f t="shared" si="3"/>
        <v>0</v>
      </c>
      <c r="F330" s="2398"/>
      <c r="G330" s="2398"/>
      <c r="H330" s="2398"/>
      <c r="I330" s="2398"/>
      <c r="J330" s="2436" t="s">
        <v>503</v>
      </c>
    </row>
    <row r="331" spans="1:10">
      <c r="A331" s="2400" t="s">
        <v>385</v>
      </c>
      <c r="B331" s="2369">
        <f>ROUND(SUM(B326:B330),2)</f>
        <v>0</v>
      </c>
      <c r="C331" s="2369"/>
      <c r="D331" s="2369"/>
      <c r="E331" s="2411">
        <f t="shared" si="3"/>
        <v>0</v>
      </c>
      <c r="F331" s="2398"/>
      <c r="G331" s="2398"/>
      <c r="H331" s="2398"/>
      <c r="I331" s="2398"/>
      <c r="J331" s="2436" t="s">
        <v>504</v>
      </c>
    </row>
    <row r="332" spans="1:10">
      <c r="A332" s="2421"/>
      <c r="B332" s="2398"/>
      <c r="C332" s="2398"/>
      <c r="D332" s="2398"/>
      <c r="E332" s="2398"/>
      <c r="F332" s="2398"/>
      <c r="G332" s="2398"/>
      <c r="H332" s="2398"/>
      <c r="I332" s="2398"/>
      <c r="J332" s="2460"/>
    </row>
    <row r="333" spans="1:10">
      <c r="A333" s="2414" t="s">
        <v>505</v>
      </c>
      <c r="B333" s="2398"/>
      <c r="C333" s="2398"/>
      <c r="D333" s="2398"/>
      <c r="E333" s="2398"/>
      <c r="F333" s="2398"/>
      <c r="G333" s="2398"/>
      <c r="H333" s="2398"/>
      <c r="I333" s="2398"/>
      <c r="J333" s="2460"/>
    </row>
    <row r="334" spans="1:9">
      <c r="A334" s="2400" t="s">
        <v>506</v>
      </c>
      <c r="B334" s="2400" t="s">
        <v>316</v>
      </c>
      <c r="C334" s="2400" t="s">
        <v>317</v>
      </c>
      <c r="D334" s="2400" t="s">
        <v>500</v>
      </c>
      <c r="E334" s="2400" t="s">
        <v>502</v>
      </c>
      <c r="F334" s="2398"/>
      <c r="G334" s="2398"/>
      <c r="H334" s="2398"/>
      <c r="I334" s="2398"/>
    </row>
    <row r="335" spans="1:10">
      <c r="A335" s="2410"/>
      <c r="B335" s="2403"/>
      <c r="C335" s="2403"/>
      <c r="D335" s="2410"/>
      <c r="E335" s="2435">
        <f t="shared" ref="E335:E345" si="4">IF(B335=0,0,ROUND(B335/B$244,4))</f>
        <v>0</v>
      </c>
      <c r="F335" s="2398"/>
      <c r="G335" s="2398"/>
      <c r="H335" s="2398"/>
      <c r="I335" s="2398"/>
      <c r="J335" s="2436" t="s">
        <v>507</v>
      </c>
    </row>
    <row r="336" spans="1:10">
      <c r="A336" s="2410"/>
      <c r="B336" s="2403"/>
      <c r="C336" s="2403"/>
      <c r="D336" s="2410"/>
      <c r="E336" s="2435">
        <f t="shared" si="4"/>
        <v>0</v>
      </c>
      <c r="F336" s="2398"/>
      <c r="G336" s="2398"/>
      <c r="H336" s="2398"/>
      <c r="I336" s="2398"/>
      <c r="J336" s="2436" t="s">
        <v>507</v>
      </c>
    </row>
    <row r="337" spans="1:10">
      <c r="A337" s="2410"/>
      <c r="B337" s="2403"/>
      <c r="C337" s="2403"/>
      <c r="D337" s="2410"/>
      <c r="E337" s="2435">
        <f t="shared" si="4"/>
        <v>0</v>
      </c>
      <c r="F337" s="2398"/>
      <c r="G337" s="2398"/>
      <c r="H337" s="2398"/>
      <c r="I337" s="2398"/>
      <c r="J337" s="2436" t="s">
        <v>507</v>
      </c>
    </row>
    <row r="338" spans="1:10">
      <c r="A338" s="2410"/>
      <c r="B338" s="2403"/>
      <c r="C338" s="2403"/>
      <c r="D338" s="2410"/>
      <c r="E338" s="2435">
        <f t="shared" si="4"/>
        <v>0</v>
      </c>
      <c r="F338" s="2398"/>
      <c r="G338" s="2398"/>
      <c r="H338" s="2398"/>
      <c r="I338" s="2398"/>
      <c r="J338" s="2436" t="s">
        <v>507</v>
      </c>
    </row>
    <row r="339" spans="1:10">
      <c r="A339" s="2410"/>
      <c r="B339" s="2403"/>
      <c r="C339" s="2403"/>
      <c r="D339" s="2410"/>
      <c r="E339" s="2435">
        <f t="shared" si="4"/>
        <v>0</v>
      </c>
      <c r="F339" s="2398"/>
      <c r="G339" s="2398"/>
      <c r="H339" s="2398"/>
      <c r="I339" s="2398"/>
      <c r="J339" s="2436" t="s">
        <v>507</v>
      </c>
    </row>
    <row r="340" spans="1:10">
      <c r="A340" s="2410"/>
      <c r="B340" s="2403"/>
      <c r="C340" s="2403"/>
      <c r="D340" s="2410"/>
      <c r="E340" s="2435">
        <f t="shared" si="4"/>
        <v>0</v>
      </c>
      <c r="F340" s="2398"/>
      <c r="G340" s="2398"/>
      <c r="H340" s="2398"/>
      <c r="I340" s="2398"/>
      <c r="J340" s="2436" t="s">
        <v>507</v>
      </c>
    </row>
    <row r="341" spans="1:10">
      <c r="A341" s="2410"/>
      <c r="B341" s="2403"/>
      <c r="C341" s="2403"/>
      <c r="D341" s="2410"/>
      <c r="E341" s="2435">
        <f t="shared" si="4"/>
        <v>0</v>
      </c>
      <c r="F341" s="2398"/>
      <c r="G341" s="2398"/>
      <c r="H341" s="2398"/>
      <c r="I341" s="2398"/>
      <c r="J341" s="2436" t="s">
        <v>507</v>
      </c>
    </row>
    <row r="342" spans="1:10">
      <c r="A342" s="2410"/>
      <c r="B342" s="2403"/>
      <c r="C342" s="2403"/>
      <c r="D342" s="2410"/>
      <c r="E342" s="2435">
        <f t="shared" si="4"/>
        <v>0</v>
      </c>
      <c r="F342" s="2398"/>
      <c r="G342" s="2398"/>
      <c r="H342" s="2398"/>
      <c r="I342" s="2398"/>
      <c r="J342" s="2436" t="s">
        <v>507</v>
      </c>
    </row>
    <row r="343" spans="1:10">
      <c r="A343" s="2410"/>
      <c r="B343" s="2403"/>
      <c r="C343" s="2403"/>
      <c r="D343" s="2410"/>
      <c r="E343" s="2435">
        <f t="shared" si="4"/>
        <v>0</v>
      </c>
      <c r="F343" s="2398"/>
      <c r="G343" s="2398"/>
      <c r="H343" s="2398"/>
      <c r="I343" s="2398"/>
      <c r="J343" s="2436" t="s">
        <v>507</v>
      </c>
    </row>
    <row r="344" spans="1:10">
      <c r="A344" s="2410"/>
      <c r="B344" s="2403"/>
      <c r="C344" s="2403"/>
      <c r="D344" s="2410"/>
      <c r="E344" s="2435">
        <f t="shared" si="4"/>
        <v>0</v>
      </c>
      <c r="F344" s="2398"/>
      <c r="G344" s="2398"/>
      <c r="H344" s="2398"/>
      <c r="I344" s="2398"/>
      <c r="J344" s="2436" t="s">
        <v>507</v>
      </c>
    </row>
    <row r="345" spans="1:10">
      <c r="A345" s="2400" t="s">
        <v>385</v>
      </c>
      <c r="B345" s="2369">
        <f>ROUND(SUM(B335:B344),2)</f>
        <v>0</v>
      </c>
      <c r="C345" s="2369">
        <f>ROUND(SUM(C335:C344),2)</f>
        <v>0</v>
      </c>
      <c r="D345" s="2369"/>
      <c r="E345" s="2411">
        <f t="shared" si="4"/>
        <v>0</v>
      </c>
      <c r="F345" s="2398"/>
      <c r="G345" s="2398"/>
      <c r="H345" s="2398"/>
      <c r="I345" s="2398"/>
      <c r="J345" s="2436" t="s">
        <v>508</v>
      </c>
    </row>
    <row r="346" spans="1:10">
      <c r="A346" s="2421"/>
      <c r="B346" s="2398"/>
      <c r="C346" s="2398"/>
      <c r="D346" s="2398"/>
      <c r="E346" s="2398"/>
      <c r="F346" s="2398"/>
      <c r="G346" s="2398"/>
      <c r="H346" s="2398"/>
      <c r="I346" s="2398"/>
      <c r="J346" s="2460"/>
    </row>
    <row r="347" spans="1:10">
      <c r="A347" s="2414" t="s">
        <v>509</v>
      </c>
      <c r="B347" s="2398"/>
      <c r="C347" s="2398"/>
      <c r="D347" s="2398"/>
      <c r="E347" s="2398"/>
      <c r="F347" s="2398"/>
      <c r="G347" s="2398"/>
      <c r="H347" s="2398"/>
      <c r="I347" s="2398"/>
      <c r="J347" s="2460"/>
    </row>
    <row r="348" spans="1:10">
      <c r="A348" s="2400" t="s">
        <v>315</v>
      </c>
      <c r="B348" s="2400" t="s">
        <v>510</v>
      </c>
      <c r="C348" s="2400" t="s">
        <v>511</v>
      </c>
      <c r="D348" s="2400" t="s">
        <v>489</v>
      </c>
      <c r="E348" s="2400" t="s">
        <v>512</v>
      </c>
      <c r="F348" s="2398"/>
      <c r="G348" s="2398"/>
      <c r="H348" s="2398"/>
      <c r="I348" s="2398"/>
      <c r="J348" s="2460"/>
    </row>
    <row r="349" spans="1:10">
      <c r="A349" s="2410"/>
      <c r="B349" s="2403"/>
      <c r="C349" s="2403"/>
      <c r="D349" s="2410"/>
      <c r="E349" s="2410"/>
      <c r="F349" s="2398"/>
      <c r="G349" s="2398"/>
      <c r="H349" s="2398"/>
      <c r="I349" s="2398"/>
      <c r="J349" s="2436" t="s">
        <v>513</v>
      </c>
    </row>
    <row r="350" spans="1:10">
      <c r="A350" s="2410"/>
      <c r="B350" s="2403"/>
      <c r="C350" s="2403"/>
      <c r="D350" s="2410"/>
      <c r="E350" s="2410"/>
      <c r="F350" s="2398"/>
      <c r="G350" s="2398"/>
      <c r="H350" s="2398"/>
      <c r="I350" s="2398"/>
      <c r="J350" s="2436" t="s">
        <v>513</v>
      </c>
    </row>
    <row r="351" spans="1:10">
      <c r="A351" s="2410"/>
      <c r="B351" s="2403"/>
      <c r="C351" s="2403"/>
      <c r="D351" s="2410"/>
      <c r="E351" s="2410"/>
      <c r="F351" s="2398"/>
      <c r="G351" s="2398"/>
      <c r="H351" s="2398"/>
      <c r="I351" s="2398"/>
      <c r="J351" s="2436" t="s">
        <v>513</v>
      </c>
    </row>
    <row r="352" spans="1:10">
      <c r="A352" s="2410"/>
      <c r="B352" s="2403"/>
      <c r="C352" s="2403"/>
      <c r="D352" s="2410"/>
      <c r="E352" s="2410"/>
      <c r="F352" s="2398"/>
      <c r="G352" s="2398"/>
      <c r="H352" s="2398"/>
      <c r="I352" s="2398"/>
      <c r="J352" s="2436" t="s">
        <v>513</v>
      </c>
    </row>
    <row r="353" spans="1:10">
      <c r="A353" s="2410"/>
      <c r="B353" s="2403"/>
      <c r="C353" s="2403"/>
      <c r="D353" s="2410"/>
      <c r="E353" s="2410"/>
      <c r="F353" s="2398"/>
      <c r="G353" s="2398"/>
      <c r="H353" s="2398"/>
      <c r="I353" s="2398"/>
      <c r="J353" s="2436" t="s">
        <v>513</v>
      </c>
    </row>
    <row r="354" spans="1:10">
      <c r="A354" s="2410"/>
      <c r="B354" s="2403"/>
      <c r="C354" s="2403"/>
      <c r="D354" s="2410"/>
      <c r="E354" s="2410"/>
      <c r="F354" s="2398"/>
      <c r="G354" s="2398"/>
      <c r="H354" s="2398"/>
      <c r="I354" s="2398"/>
      <c r="J354" s="2436" t="s">
        <v>513</v>
      </c>
    </row>
    <row r="355" spans="1:10">
      <c r="A355" s="2410"/>
      <c r="B355" s="2403"/>
      <c r="C355" s="2403"/>
      <c r="D355" s="2410"/>
      <c r="E355" s="2410"/>
      <c r="F355" s="2398"/>
      <c r="G355" s="2398"/>
      <c r="H355" s="2398"/>
      <c r="I355" s="2398"/>
      <c r="J355" s="2436" t="s">
        <v>513</v>
      </c>
    </row>
    <row r="356" spans="1:10">
      <c r="A356" s="2410"/>
      <c r="B356" s="2403"/>
      <c r="C356" s="2403"/>
      <c r="D356" s="2410"/>
      <c r="E356" s="2410"/>
      <c r="F356" s="2398"/>
      <c r="G356" s="2398"/>
      <c r="H356" s="2398"/>
      <c r="I356" s="2398"/>
      <c r="J356" s="2436" t="s">
        <v>513</v>
      </c>
    </row>
    <row r="357" spans="1:10">
      <c r="A357" s="2410"/>
      <c r="B357" s="2403"/>
      <c r="C357" s="2403"/>
      <c r="D357" s="2410"/>
      <c r="E357" s="2410"/>
      <c r="F357" s="2398"/>
      <c r="G357" s="2398"/>
      <c r="H357" s="2398"/>
      <c r="I357" s="2398"/>
      <c r="J357" s="2436" t="s">
        <v>513</v>
      </c>
    </row>
    <row r="358" spans="1:10">
      <c r="A358" s="2410"/>
      <c r="B358" s="2403"/>
      <c r="C358" s="2403"/>
      <c r="D358" s="2410"/>
      <c r="E358" s="2410"/>
      <c r="F358" s="2398"/>
      <c r="G358" s="2398"/>
      <c r="H358" s="2398"/>
      <c r="I358" s="2398"/>
      <c r="J358" s="2436" t="s">
        <v>513</v>
      </c>
    </row>
    <row r="359" spans="1:10">
      <c r="A359" s="2400" t="s">
        <v>385</v>
      </c>
      <c r="B359" s="2369">
        <f>ROUND(SUM(B349:B358),2)</f>
        <v>0</v>
      </c>
      <c r="C359" s="2369">
        <f>ROUND(SUM(C349:C358),2)</f>
        <v>0</v>
      </c>
      <c r="D359" s="2369"/>
      <c r="E359" s="2369"/>
      <c r="F359" s="2398"/>
      <c r="G359" s="2398"/>
      <c r="H359" s="2398"/>
      <c r="I359" s="2398"/>
      <c r="J359" s="2436" t="s">
        <v>514</v>
      </c>
    </row>
    <row r="360" spans="1:10">
      <c r="A360" s="2421"/>
      <c r="B360" s="2398"/>
      <c r="C360" s="2398"/>
      <c r="D360" s="2398"/>
      <c r="E360" s="2398"/>
      <c r="F360" s="2398"/>
      <c r="G360" s="2398"/>
      <c r="H360" s="2398"/>
      <c r="I360" s="2398"/>
      <c r="J360" s="2460"/>
    </row>
    <row r="361" spans="1:10">
      <c r="A361" s="2414" t="s">
        <v>515</v>
      </c>
      <c r="B361" s="2398"/>
      <c r="C361" s="2398"/>
      <c r="D361" s="2398"/>
      <c r="E361" s="2398"/>
      <c r="F361" s="2398"/>
      <c r="G361" s="2398"/>
      <c r="H361" s="2398"/>
      <c r="I361" s="2398"/>
      <c r="J361" s="2460"/>
    </row>
    <row r="362" spans="1:10">
      <c r="A362" s="2400" t="s">
        <v>315</v>
      </c>
      <c r="B362" s="2400" t="s">
        <v>516</v>
      </c>
      <c r="C362" s="2400" t="s">
        <v>517</v>
      </c>
      <c r="D362" s="2398"/>
      <c r="E362" s="2398"/>
      <c r="F362" s="2398"/>
      <c r="G362" s="2398"/>
      <c r="H362" s="2398"/>
      <c r="I362" s="2398"/>
      <c r="J362" s="2460"/>
    </row>
    <row r="363" spans="1:10">
      <c r="A363" s="2410"/>
      <c r="B363" s="2403"/>
      <c r="C363" s="2410"/>
      <c r="D363" s="2398"/>
      <c r="E363" s="2398"/>
      <c r="F363" s="2398"/>
      <c r="G363" s="2398"/>
      <c r="H363" s="2398"/>
      <c r="I363" s="2398"/>
      <c r="J363" s="2436" t="s">
        <v>518</v>
      </c>
    </row>
    <row r="364" spans="1:10">
      <c r="A364" s="2410"/>
      <c r="B364" s="2403"/>
      <c r="C364" s="2410"/>
      <c r="D364" s="2398"/>
      <c r="E364" s="2398"/>
      <c r="F364" s="2398"/>
      <c r="G364" s="2398"/>
      <c r="H364" s="2398"/>
      <c r="I364" s="2398"/>
      <c r="J364" s="2436" t="s">
        <v>518</v>
      </c>
    </row>
    <row r="365" spans="1:10">
      <c r="A365" s="2410"/>
      <c r="B365" s="2403"/>
      <c r="C365" s="2410"/>
      <c r="D365" s="2398"/>
      <c r="E365" s="2398"/>
      <c r="F365" s="2398"/>
      <c r="G365" s="2398"/>
      <c r="H365" s="2398"/>
      <c r="I365" s="2398"/>
      <c r="J365" s="2436" t="s">
        <v>518</v>
      </c>
    </row>
    <row r="366" spans="1:10">
      <c r="A366" s="2410"/>
      <c r="B366" s="2403"/>
      <c r="C366" s="2410"/>
      <c r="D366" s="2398"/>
      <c r="E366" s="2398"/>
      <c r="F366" s="2398"/>
      <c r="G366" s="2398"/>
      <c r="H366" s="2398"/>
      <c r="I366" s="2398"/>
      <c r="J366" s="2436" t="s">
        <v>518</v>
      </c>
    </row>
    <row r="367" spans="1:10">
      <c r="A367" s="2410"/>
      <c r="B367" s="2403"/>
      <c r="C367" s="2410"/>
      <c r="D367" s="2398"/>
      <c r="E367" s="2398"/>
      <c r="F367" s="2398"/>
      <c r="G367" s="2398"/>
      <c r="H367" s="2398"/>
      <c r="I367" s="2398"/>
      <c r="J367" s="2436" t="s">
        <v>518</v>
      </c>
    </row>
    <row r="368" spans="1:10">
      <c r="A368" s="2410"/>
      <c r="B368" s="2403"/>
      <c r="C368" s="2410"/>
      <c r="D368" s="2398"/>
      <c r="E368" s="2398"/>
      <c r="F368" s="2398"/>
      <c r="G368" s="2398"/>
      <c r="H368" s="2398"/>
      <c r="I368" s="2398"/>
      <c r="J368" s="2436" t="s">
        <v>518</v>
      </c>
    </row>
    <row r="369" spans="1:10">
      <c r="A369" s="2410"/>
      <c r="B369" s="2403"/>
      <c r="C369" s="2410"/>
      <c r="D369" s="2398"/>
      <c r="E369" s="2398"/>
      <c r="F369" s="2398"/>
      <c r="G369" s="2398"/>
      <c r="H369" s="2398"/>
      <c r="I369" s="2398"/>
      <c r="J369" s="2436" t="s">
        <v>518</v>
      </c>
    </row>
    <row r="370" spans="1:10">
      <c r="A370" s="2410"/>
      <c r="B370" s="2403"/>
      <c r="C370" s="2410"/>
      <c r="D370" s="2398"/>
      <c r="E370" s="2398"/>
      <c r="F370" s="2398"/>
      <c r="G370" s="2398"/>
      <c r="H370" s="2398"/>
      <c r="I370" s="2398"/>
      <c r="J370" s="2436" t="s">
        <v>518</v>
      </c>
    </row>
    <row r="371" spans="1:10">
      <c r="A371" s="2410"/>
      <c r="B371" s="2403"/>
      <c r="C371" s="2410"/>
      <c r="D371" s="2398"/>
      <c r="E371" s="2398"/>
      <c r="F371" s="2398"/>
      <c r="G371" s="2398"/>
      <c r="H371" s="2398"/>
      <c r="I371" s="2398"/>
      <c r="J371" s="2436" t="s">
        <v>518</v>
      </c>
    </row>
    <row r="372" spans="1:10">
      <c r="A372" s="2410"/>
      <c r="B372" s="2403"/>
      <c r="C372" s="2410"/>
      <c r="D372" s="2398"/>
      <c r="E372" s="2398"/>
      <c r="F372" s="2398"/>
      <c r="G372" s="2398"/>
      <c r="H372" s="2398"/>
      <c r="I372" s="2398"/>
      <c r="J372" s="2436" t="s">
        <v>518</v>
      </c>
    </row>
    <row r="373" spans="1:10">
      <c r="A373" s="2400" t="s">
        <v>385</v>
      </c>
      <c r="B373" s="2369">
        <f>ROUND(SUM(B363:B372),2)</f>
        <v>0</v>
      </c>
      <c r="C373" s="2369"/>
      <c r="D373" s="2398"/>
      <c r="E373" s="2398"/>
      <c r="F373" s="2398"/>
      <c r="G373" s="2398"/>
      <c r="H373" s="2398"/>
      <c r="I373" s="2398"/>
      <c r="J373" s="2436" t="s">
        <v>519</v>
      </c>
    </row>
    <row r="374" spans="1:10">
      <c r="A374" s="2421"/>
      <c r="B374" s="2398"/>
      <c r="C374" s="2398"/>
      <c r="D374" s="2398"/>
      <c r="E374" s="2398"/>
      <c r="F374" s="2398"/>
      <c r="G374" s="2398"/>
      <c r="H374" s="2398"/>
      <c r="I374" s="2398"/>
      <c r="J374" s="2460"/>
    </row>
    <row r="375" spans="1:10">
      <c r="A375" s="2421"/>
      <c r="B375" s="2398"/>
      <c r="C375" s="2398"/>
      <c r="D375" s="2398"/>
      <c r="E375" s="2398"/>
      <c r="F375" s="2398"/>
      <c r="G375" s="2398"/>
      <c r="H375" s="2398"/>
      <c r="I375" s="2398"/>
      <c r="J375" s="2460"/>
    </row>
    <row r="376" spans="1:10">
      <c r="A376" s="2397" t="s">
        <v>520</v>
      </c>
      <c r="B376" s="2398"/>
      <c r="C376" s="2398"/>
      <c r="D376" s="2398"/>
      <c r="E376" s="2398"/>
      <c r="F376" s="2398"/>
      <c r="G376" s="2398"/>
      <c r="H376" s="2398"/>
      <c r="I376" s="2398"/>
      <c r="J376" s="2460"/>
    </row>
    <row r="377" spans="1:10">
      <c r="A377" s="2399" t="s">
        <v>521</v>
      </c>
      <c r="B377" s="2398"/>
      <c r="C377" s="2398"/>
      <c r="D377" s="2398"/>
      <c r="E377" s="2398"/>
      <c r="F377" s="2398"/>
      <c r="G377" s="2398"/>
      <c r="H377" s="2398"/>
      <c r="I377" s="2398"/>
      <c r="J377" s="2460"/>
    </row>
    <row r="378" spans="1:10">
      <c r="A378" s="2400" t="s">
        <v>443</v>
      </c>
      <c r="B378" s="2432" t="s">
        <v>316</v>
      </c>
      <c r="C378" s="2473"/>
      <c r="D378" s="2473"/>
      <c r="E378" s="2474"/>
      <c r="F378" s="2432" t="s">
        <v>317</v>
      </c>
      <c r="G378" s="2473"/>
      <c r="H378" s="2473"/>
      <c r="I378" s="2474"/>
      <c r="J378" s="2460"/>
    </row>
    <row r="379" spans="1:10">
      <c r="A379" s="2400"/>
      <c r="B379" s="2400" t="s">
        <v>444</v>
      </c>
      <c r="C379" s="2400" t="s">
        <v>445</v>
      </c>
      <c r="D379" s="2426" t="s">
        <v>446</v>
      </c>
      <c r="E379" s="2400" t="s">
        <v>447</v>
      </c>
      <c r="F379" s="2400" t="s">
        <v>444</v>
      </c>
      <c r="G379" s="2400" t="s">
        <v>445</v>
      </c>
      <c r="H379" s="2426" t="s">
        <v>446</v>
      </c>
      <c r="I379" s="2400" t="s">
        <v>447</v>
      </c>
      <c r="J379" s="2460"/>
    </row>
    <row r="380" spans="1:10">
      <c r="A380" s="2405" t="s">
        <v>448</v>
      </c>
      <c r="B380" s="2403"/>
      <c r="C380" s="2435">
        <f>IF(B380=0,0,1-C381-C382-C383-C384-C385)</f>
        <v>0</v>
      </c>
      <c r="D380" s="2403"/>
      <c r="E380" s="2435">
        <f t="shared" ref="E380:E386" si="5">IF(B380=0,0,ROUND(D380/B380,4))</f>
        <v>0</v>
      </c>
      <c r="F380" s="2403"/>
      <c r="G380" s="2435">
        <f>IF(F380=0,0,1-G381-G382-G383-G384-G385)</f>
        <v>0</v>
      </c>
      <c r="H380" s="2403"/>
      <c r="I380" s="2435">
        <f t="shared" ref="I380:I386" si="6">IF(F380=0,0,ROUND(H380/F380,4))</f>
        <v>0</v>
      </c>
      <c r="J380" s="2436" t="s">
        <v>522</v>
      </c>
    </row>
    <row r="381" spans="1:10">
      <c r="A381" s="2405" t="s">
        <v>450</v>
      </c>
      <c r="B381" s="2403"/>
      <c r="C381" s="2435">
        <f>IF(B381=0,0,IF(B380=0,ROUND(1-C382-C383-C384-C385,4),ROUND(B381/B386,4)))</f>
        <v>0</v>
      </c>
      <c r="D381" s="2403"/>
      <c r="E381" s="2435">
        <f t="shared" si="5"/>
        <v>0</v>
      </c>
      <c r="F381" s="2403"/>
      <c r="G381" s="2435">
        <f>IF(F381=0,0,IF(F380=0,ROUND(1-G382-G383-G384-G385,4),ROUND(F381/F386,4)))</f>
        <v>0</v>
      </c>
      <c r="H381" s="2403"/>
      <c r="I381" s="2435">
        <f t="shared" si="6"/>
        <v>0</v>
      </c>
      <c r="J381" s="2436" t="s">
        <v>523</v>
      </c>
    </row>
    <row r="382" spans="1:10">
      <c r="A382" s="2405" t="s">
        <v>452</v>
      </c>
      <c r="B382" s="2403"/>
      <c r="C382" s="2435">
        <f>IF(B382=0,0,IF(AND(B380=0,B381=0),ROUND(1-C383-C384-C385,4),ROUND(B382/B386,4)))</f>
        <v>0</v>
      </c>
      <c r="D382" s="2403"/>
      <c r="E382" s="2435">
        <f t="shared" si="5"/>
        <v>0</v>
      </c>
      <c r="F382" s="2403"/>
      <c r="G382" s="2435">
        <f>IF(F382=0,0,IF(AND(F380=0,F381=0),ROUND(1-G383-G384-G385,4),ROUND(F382/F386,4)))</f>
        <v>0</v>
      </c>
      <c r="H382" s="2403"/>
      <c r="I382" s="2435">
        <f t="shared" si="6"/>
        <v>0</v>
      </c>
      <c r="J382" s="2436" t="s">
        <v>524</v>
      </c>
    </row>
    <row r="383" spans="1:10">
      <c r="A383" s="2405" t="s">
        <v>454</v>
      </c>
      <c r="B383" s="2403"/>
      <c r="C383" s="2435">
        <f>IF(B383=0,0,IF(AND(B380=0,B381=0,B382=0),ROUND(1-C384-C385,4),ROUND(B383/B386,4)))</f>
        <v>0</v>
      </c>
      <c r="D383" s="2403"/>
      <c r="E383" s="2435">
        <f t="shared" si="5"/>
        <v>0</v>
      </c>
      <c r="F383" s="2403"/>
      <c r="G383" s="2435">
        <f>IF(F383=0,0,IF(AND(F380=0,F381=0,F382=0),ROUND(1-G384-G385,4),ROUND(F383/F386,4)))</f>
        <v>0</v>
      </c>
      <c r="H383" s="2403"/>
      <c r="I383" s="2435">
        <f t="shared" si="6"/>
        <v>0</v>
      </c>
      <c r="J383" s="2436" t="s">
        <v>525</v>
      </c>
    </row>
    <row r="384" spans="1:10">
      <c r="A384" s="2405" t="s">
        <v>456</v>
      </c>
      <c r="B384" s="2403"/>
      <c r="C384" s="2435">
        <f>IF(B384=0,0,IF(AND(B380=0,B381=0,B382=0,B383=0),ROUND(1-C385,4),ROUND(B384/B386,4)))</f>
        <v>0</v>
      </c>
      <c r="D384" s="2403"/>
      <c r="E384" s="2435">
        <f t="shared" si="5"/>
        <v>0</v>
      </c>
      <c r="F384" s="2403"/>
      <c r="G384" s="2435">
        <f>IF(F384=0,0,IF(AND(F380=0,F381=0,F382=0,F383=0),ROUND(1-G385,4),ROUND(F384/F386,4)))</f>
        <v>0</v>
      </c>
      <c r="H384" s="2403"/>
      <c r="I384" s="2435">
        <f t="shared" si="6"/>
        <v>0</v>
      </c>
      <c r="J384" s="2436" t="s">
        <v>526</v>
      </c>
    </row>
    <row r="385" spans="1:10">
      <c r="A385" s="2405" t="s">
        <v>458</v>
      </c>
      <c r="B385" s="2403"/>
      <c r="C385" s="2435">
        <f>IF(B385=0,0,ROUND(B385/B386,4))</f>
        <v>0</v>
      </c>
      <c r="D385" s="2403"/>
      <c r="E385" s="2435">
        <f t="shared" si="5"/>
        <v>0</v>
      </c>
      <c r="F385" s="2403"/>
      <c r="G385" s="2435">
        <f>IF(F385=0,0,ROUND(F385/F386,4))</f>
        <v>0</v>
      </c>
      <c r="H385" s="2403"/>
      <c r="I385" s="2435">
        <f t="shared" si="6"/>
        <v>0</v>
      </c>
      <c r="J385" s="2436" t="s">
        <v>527</v>
      </c>
    </row>
    <row r="386" spans="1:10">
      <c r="A386" s="2400" t="s">
        <v>385</v>
      </c>
      <c r="B386" s="2369">
        <f>ROUND(SUM(B380:B385),2)</f>
        <v>0</v>
      </c>
      <c r="C386" s="2411">
        <f>IF(B386=0,0,1)</f>
        <v>0</v>
      </c>
      <c r="D386" s="2369">
        <f>ROUND(SUM(D380:D385),2)</f>
        <v>0</v>
      </c>
      <c r="E386" s="2411">
        <f t="shared" si="5"/>
        <v>0</v>
      </c>
      <c r="F386" s="2369">
        <f>ROUND(SUM(F380:F385),2)</f>
        <v>0</v>
      </c>
      <c r="G386" s="2411">
        <f>IF(F386=0,0,1)</f>
        <v>0</v>
      </c>
      <c r="H386" s="2369">
        <f>ROUND(SUM(H380:H385),2)</f>
        <v>0</v>
      </c>
      <c r="I386" s="2411">
        <f t="shared" si="6"/>
        <v>0</v>
      </c>
      <c r="J386" s="2436" t="s">
        <v>528</v>
      </c>
    </row>
    <row r="387" spans="1:10">
      <c r="A387" s="2421"/>
      <c r="B387" s="2398"/>
      <c r="C387" s="2398"/>
      <c r="D387" s="2398"/>
      <c r="E387" s="2398"/>
      <c r="F387" s="2398"/>
      <c r="G387" s="2398"/>
      <c r="H387" s="2398"/>
      <c r="I387" s="2398"/>
      <c r="J387" s="2460"/>
    </row>
    <row r="388" spans="1:10">
      <c r="A388" s="2399" t="s">
        <v>461</v>
      </c>
      <c r="B388" s="2398"/>
      <c r="C388" s="2398"/>
      <c r="D388" s="2398"/>
      <c r="E388" s="2398"/>
      <c r="F388" s="2398"/>
      <c r="G388" s="2398"/>
      <c r="H388" s="2398"/>
      <c r="I388" s="2398"/>
      <c r="J388" s="2460"/>
    </row>
    <row r="389" spans="1:10">
      <c r="A389" s="2407" t="s">
        <v>373</v>
      </c>
      <c r="B389" s="2432" t="s">
        <v>316</v>
      </c>
      <c r="C389" s="2473"/>
      <c r="D389" s="2473"/>
      <c r="E389" s="2474"/>
      <c r="F389" s="2432" t="s">
        <v>317</v>
      </c>
      <c r="G389" s="2473"/>
      <c r="H389" s="2473"/>
      <c r="I389" s="2474"/>
      <c r="J389" s="2460"/>
    </row>
    <row r="390" spans="1:10">
      <c r="A390" s="2408"/>
      <c r="B390" s="2400" t="s">
        <v>444</v>
      </c>
      <c r="C390" s="2400" t="s">
        <v>445</v>
      </c>
      <c r="D390" s="2426" t="s">
        <v>446</v>
      </c>
      <c r="E390" s="2400" t="s">
        <v>447</v>
      </c>
      <c r="F390" s="2400" t="s">
        <v>444</v>
      </c>
      <c r="G390" s="2400" t="s">
        <v>445</v>
      </c>
      <c r="H390" s="2426" t="s">
        <v>446</v>
      </c>
      <c r="I390" s="2400" t="s">
        <v>447</v>
      </c>
      <c r="J390" s="2460"/>
    </row>
    <row r="391" spans="1:10">
      <c r="A391" s="2402" t="s">
        <v>462</v>
      </c>
      <c r="B391" s="2403"/>
      <c r="C391" s="2435">
        <f>IF(B391=0,0,1-C392-C393)</f>
        <v>0</v>
      </c>
      <c r="D391" s="2403"/>
      <c r="E391" s="2435">
        <f>IF(B391=0,0,ROUND(D391/B391,4))</f>
        <v>0</v>
      </c>
      <c r="F391" s="2403"/>
      <c r="G391" s="2435">
        <f>IF(F391=0,0,1-G392-G393)</f>
        <v>0</v>
      </c>
      <c r="H391" s="2403"/>
      <c r="I391" s="2435">
        <f>IF(F391=0,0,ROUND(H391/F391,4))</f>
        <v>0</v>
      </c>
      <c r="J391" s="2436" t="s">
        <v>529</v>
      </c>
    </row>
    <row r="392" spans="1:10">
      <c r="A392" s="2402" t="s">
        <v>464</v>
      </c>
      <c r="B392" s="2403"/>
      <c r="C392" s="2435">
        <f>IF(B392=0,0,IF(B391=0,ROUND(1-C393,4),ROUND(B392/B$394,4)))</f>
        <v>0</v>
      </c>
      <c r="D392" s="2403"/>
      <c r="E392" s="2435">
        <f>IF(B392=0,0,ROUND(D392/B392,4))</f>
        <v>0</v>
      </c>
      <c r="F392" s="2403"/>
      <c r="G392" s="2435">
        <f>IF(F392=0,0,IF(F391=0,ROUND(1-G393,4),ROUND(F392/F$394,4)))</f>
        <v>0</v>
      </c>
      <c r="H392" s="2403"/>
      <c r="I392" s="2435">
        <f>IF(F392=0,0,ROUND(H392/F392,4))</f>
        <v>0</v>
      </c>
      <c r="J392" s="2436" t="s">
        <v>530</v>
      </c>
    </row>
    <row r="393" spans="1:10">
      <c r="A393" s="2402" t="s">
        <v>466</v>
      </c>
      <c r="B393" s="2438">
        <f>ROUND(B394-B391-B392,2)</f>
        <v>0</v>
      </c>
      <c r="C393" s="2435">
        <f>IF(B393=0,0,ROUND(B393/B$394,4))</f>
        <v>0</v>
      </c>
      <c r="D393" s="2438">
        <f>ROUND(D394-D391-D392,2)</f>
        <v>0</v>
      </c>
      <c r="E393" s="2435">
        <f>IF(B393=0,0,ROUND(D393/B393,4))</f>
        <v>0</v>
      </c>
      <c r="F393" s="2438">
        <f>ROUND(F394-F391-F392,2)</f>
        <v>0</v>
      </c>
      <c r="G393" s="2435">
        <f>IF(F393=0,0,ROUND(F393/F$394,4))</f>
        <v>0</v>
      </c>
      <c r="H393" s="2438">
        <f>ROUND(H394-H391-H392,2)</f>
        <v>0</v>
      </c>
      <c r="I393" s="2435">
        <f>IF(F393=0,0,ROUND(H393/F393,4))</f>
        <v>0</v>
      </c>
      <c r="J393" s="2436" t="s">
        <v>531</v>
      </c>
    </row>
    <row r="394" spans="1:10">
      <c r="A394" s="2400" t="s">
        <v>385</v>
      </c>
      <c r="B394" s="2369">
        <f>B386</f>
        <v>0</v>
      </c>
      <c r="C394" s="2411">
        <f>IF(B394=0,0,1)</f>
        <v>0</v>
      </c>
      <c r="D394" s="2369">
        <f>D386</f>
        <v>0</v>
      </c>
      <c r="E394" s="2411">
        <f>IF(B394=0,0,ROUND(D394/B394,4))</f>
        <v>0</v>
      </c>
      <c r="F394" s="2369">
        <f>F386</f>
        <v>0</v>
      </c>
      <c r="G394" s="2411">
        <f>IF(F394=0,0,1)</f>
        <v>0</v>
      </c>
      <c r="H394" s="2369">
        <f>H386</f>
        <v>0</v>
      </c>
      <c r="I394" s="2411">
        <f>IF(F394=0,0,ROUND(H394/F394,4))</f>
        <v>0</v>
      </c>
      <c r="J394" s="2436" t="s">
        <v>532</v>
      </c>
    </row>
    <row r="395" spans="1:10">
      <c r="A395" s="2421"/>
      <c r="B395" s="2398"/>
      <c r="C395" s="2398"/>
      <c r="D395" s="2398"/>
      <c r="E395" s="2398"/>
      <c r="F395" s="2398"/>
      <c r="G395" s="2398"/>
      <c r="H395" s="2398"/>
      <c r="I395" s="2398"/>
      <c r="J395" s="2460"/>
    </row>
    <row r="396" spans="1:10">
      <c r="A396" s="2399" t="s">
        <v>469</v>
      </c>
      <c r="B396" s="2398"/>
      <c r="C396" s="2398"/>
      <c r="D396" s="2398"/>
      <c r="E396" s="2398"/>
      <c r="F396" s="2398"/>
      <c r="G396" s="2398"/>
      <c r="H396" s="2398"/>
      <c r="I396" s="2398"/>
      <c r="J396" s="2460"/>
    </row>
    <row r="397" spans="1:10">
      <c r="A397" s="2400" t="s">
        <v>470</v>
      </c>
      <c r="B397" s="2400" t="s">
        <v>316</v>
      </c>
      <c r="C397" s="2400" t="s">
        <v>471</v>
      </c>
      <c r="D397" s="2400" t="s">
        <v>447</v>
      </c>
      <c r="E397" s="2400" t="s">
        <v>472</v>
      </c>
      <c r="F397" s="2398"/>
      <c r="G397" s="2398"/>
      <c r="H397" s="2398"/>
      <c r="I397" s="2398"/>
      <c r="J397" s="2460"/>
    </row>
    <row r="398" spans="1:10">
      <c r="A398" s="2410"/>
      <c r="B398" s="2403"/>
      <c r="C398" s="2403"/>
      <c r="D398" s="2435">
        <f>IF(B398=0,0,ROUND(C398/B398,4))</f>
        <v>0</v>
      </c>
      <c r="E398" s="2410"/>
      <c r="F398" s="2398"/>
      <c r="G398" s="2398"/>
      <c r="H398" s="2398"/>
      <c r="I398" s="2398"/>
      <c r="J398" s="2436" t="s">
        <v>533</v>
      </c>
    </row>
    <row r="399" spans="1:10">
      <c r="A399" s="2410"/>
      <c r="B399" s="2403"/>
      <c r="C399" s="2403"/>
      <c r="D399" s="2435">
        <f t="shared" ref="D399:D408" si="7">IF(B399=0,0,ROUND(C399/B399,4))</f>
        <v>0</v>
      </c>
      <c r="E399" s="2410"/>
      <c r="F399" s="2398"/>
      <c r="G399" s="2398"/>
      <c r="H399" s="2398"/>
      <c r="I399" s="2398"/>
      <c r="J399" s="2436" t="s">
        <v>533</v>
      </c>
    </row>
    <row r="400" spans="1:10">
      <c r="A400" s="2410"/>
      <c r="B400" s="2403"/>
      <c r="C400" s="2403"/>
      <c r="D400" s="2435">
        <f t="shared" si="7"/>
        <v>0</v>
      </c>
      <c r="E400" s="2410"/>
      <c r="F400" s="2398"/>
      <c r="G400" s="2398"/>
      <c r="H400" s="2398"/>
      <c r="I400" s="2398"/>
      <c r="J400" s="2436" t="s">
        <v>533</v>
      </c>
    </row>
    <row r="401" spans="1:10">
      <c r="A401" s="2410"/>
      <c r="B401" s="2403"/>
      <c r="C401" s="2403"/>
      <c r="D401" s="2435">
        <f t="shared" si="7"/>
        <v>0</v>
      </c>
      <c r="E401" s="2410"/>
      <c r="F401" s="2398"/>
      <c r="G401" s="2398"/>
      <c r="H401" s="2398"/>
      <c r="I401" s="2398"/>
      <c r="J401" s="2436" t="s">
        <v>533</v>
      </c>
    </row>
    <row r="402" spans="1:10">
      <c r="A402" s="2410"/>
      <c r="B402" s="2403"/>
      <c r="C402" s="2403"/>
      <c r="D402" s="2435">
        <f t="shared" si="7"/>
        <v>0</v>
      </c>
      <c r="E402" s="2410"/>
      <c r="F402" s="2398"/>
      <c r="G402" s="2398"/>
      <c r="H402" s="2398"/>
      <c r="I402" s="2398"/>
      <c r="J402" s="2436" t="s">
        <v>533</v>
      </c>
    </row>
    <row r="403" spans="1:10">
      <c r="A403" s="2410"/>
      <c r="B403" s="2403"/>
      <c r="C403" s="2403"/>
      <c r="D403" s="2435">
        <f t="shared" si="7"/>
        <v>0</v>
      </c>
      <c r="E403" s="2410"/>
      <c r="F403" s="2398"/>
      <c r="G403" s="2398"/>
      <c r="H403" s="2398"/>
      <c r="I403" s="2398"/>
      <c r="J403" s="2436" t="s">
        <v>533</v>
      </c>
    </row>
    <row r="404" spans="1:10">
      <c r="A404" s="2410"/>
      <c r="B404" s="2403"/>
      <c r="C404" s="2403"/>
      <c r="D404" s="2435">
        <f t="shared" si="7"/>
        <v>0</v>
      </c>
      <c r="E404" s="2410"/>
      <c r="F404" s="2398"/>
      <c r="G404" s="2398"/>
      <c r="H404" s="2398"/>
      <c r="I404" s="2398"/>
      <c r="J404" s="2436" t="s">
        <v>533</v>
      </c>
    </row>
    <row r="405" spans="1:10">
      <c r="A405" s="2410"/>
      <c r="B405" s="2403"/>
      <c r="C405" s="2403"/>
      <c r="D405" s="2435">
        <f t="shared" si="7"/>
        <v>0</v>
      </c>
      <c r="E405" s="2410"/>
      <c r="F405" s="2398"/>
      <c r="G405" s="2398"/>
      <c r="H405" s="2398"/>
      <c r="I405" s="2398"/>
      <c r="J405" s="2436" t="s">
        <v>533</v>
      </c>
    </row>
    <row r="406" spans="1:10">
      <c r="A406" s="2410"/>
      <c r="B406" s="2403"/>
      <c r="C406" s="2403"/>
      <c r="D406" s="2435">
        <f t="shared" si="7"/>
        <v>0</v>
      </c>
      <c r="E406" s="2410"/>
      <c r="F406" s="2398"/>
      <c r="G406" s="2398"/>
      <c r="H406" s="2398"/>
      <c r="I406" s="2398"/>
      <c r="J406" s="2436" t="s">
        <v>533</v>
      </c>
    </row>
    <row r="407" spans="1:10">
      <c r="A407" s="2410"/>
      <c r="B407" s="2403"/>
      <c r="C407" s="2403"/>
      <c r="D407" s="2435">
        <f t="shared" si="7"/>
        <v>0</v>
      </c>
      <c r="E407" s="2410"/>
      <c r="F407" s="2398"/>
      <c r="G407" s="2398"/>
      <c r="H407" s="2398"/>
      <c r="I407" s="2398"/>
      <c r="J407" s="2436" t="s">
        <v>533</v>
      </c>
    </row>
    <row r="408" spans="1:10">
      <c r="A408" s="2400" t="s">
        <v>385</v>
      </c>
      <c r="B408" s="2369">
        <f>ROUND(SUM(B398:B407),2)</f>
        <v>0</v>
      </c>
      <c r="C408" s="2369">
        <f>ROUND(SUM(C398:C407),2)</f>
        <v>0</v>
      </c>
      <c r="D408" s="2411">
        <f t="shared" si="7"/>
        <v>0</v>
      </c>
      <c r="E408" s="2369"/>
      <c r="F408" s="2398"/>
      <c r="G408" s="2398"/>
      <c r="H408" s="2398"/>
      <c r="I408" s="2398"/>
      <c r="J408" s="2436" t="s">
        <v>534</v>
      </c>
    </row>
    <row r="409" spans="1:10">
      <c r="A409" s="2421"/>
      <c r="B409" s="2398"/>
      <c r="C409" s="2398"/>
      <c r="D409" s="2398"/>
      <c r="E409" s="2398"/>
      <c r="F409" s="2398"/>
      <c r="G409" s="2398"/>
      <c r="H409" s="2398"/>
      <c r="I409" s="2398"/>
      <c r="J409" s="2460"/>
    </row>
    <row r="410" spans="1:10">
      <c r="A410" s="2414" t="s">
        <v>475</v>
      </c>
      <c r="B410" s="2398"/>
      <c r="C410" s="2398"/>
      <c r="D410" s="2398"/>
      <c r="E410" s="2398"/>
      <c r="F410" s="2398"/>
      <c r="G410" s="2398"/>
      <c r="H410" s="2398"/>
      <c r="I410" s="2398"/>
      <c r="J410" s="2460"/>
    </row>
    <row r="411" spans="1:10">
      <c r="A411" s="2400" t="s">
        <v>315</v>
      </c>
      <c r="B411" s="2400" t="s">
        <v>316</v>
      </c>
      <c r="C411" s="2400" t="s">
        <v>476</v>
      </c>
      <c r="D411" s="2398"/>
      <c r="E411" s="2398"/>
      <c r="F411" s="2398"/>
      <c r="G411" s="2398"/>
      <c r="H411" s="2398"/>
      <c r="I411" s="2398"/>
      <c r="J411" s="2460"/>
    </row>
    <row r="412" spans="1:10">
      <c r="A412" s="2410"/>
      <c r="B412" s="2403"/>
      <c r="C412" s="2410"/>
      <c r="D412" s="2398"/>
      <c r="E412" s="2398"/>
      <c r="F412" s="2398"/>
      <c r="G412" s="2398"/>
      <c r="H412" s="2398"/>
      <c r="I412" s="2398"/>
      <c r="J412" s="2436" t="s">
        <v>535</v>
      </c>
    </row>
    <row r="413" spans="1:10">
      <c r="A413" s="2410"/>
      <c r="B413" s="2403"/>
      <c r="C413" s="2410"/>
      <c r="D413" s="2398"/>
      <c r="E413" s="2398"/>
      <c r="F413" s="2398"/>
      <c r="G413" s="2398"/>
      <c r="H413" s="2398"/>
      <c r="I413" s="2398"/>
      <c r="J413" s="2436" t="s">
        <v>535</v>
      </c>
    </row>
    <row r="414" spans="1:10">
      <c r="A414" s="2410"/>
      <c r="B414" s="2403"/>
      <c r="C414" s="2410"/>
      <c r="D414" s="2398"/>
      <c r="E414" s="2398"/>
      <c r="F414" s="2398"/>
      <c r="G414" s="2398"/>
      <c r="H414" s="2398"/>
      <c r="I414" s="2398"/>
      <c r="J414" s="2436" t="s">
        <v>535</v>
      </c>
    </row>
    <row r="415" spans="1:10">
      <c r="A415" s="2410"/>
      <c r="B415" s="2403"/>
      <c r="C415" s="2410"/>
      <c r="D415" s="2398"/>
      <c r="E415" s="2398"/>
      <c r="F415" s="2398"/>
      <c r="G415" s="2398"/>
      <c r="H415" s="2398"/>
      <c r="I415" s="2398"/>
      <c r="J415" s="2436" t="s">
        <v>535</v>
      </c>
    </row>
    <row r="416" spans="1:10">
      <c r="A416" s="2410"/>
      <c r="B416" s="2403"/>
      <c r="C416" s="2410"/>
      <c r="D416" s="2398"/>
      <c r="E416" s="2398"/>
      <c r="F416" s="2398"/>
      <c r="G416" s="2398"/>
      <c r="H416" s="2398"/>
      <c r="I416" s="2398"/>
      <c r="J416" s="2436" t="s">
        <v>535</v>
      </c>
    </row>
    <row r="417" spans="1:10">
      <c r="A417" s="2410"/>
      <c r="B417" s="2403"/>
      <c r="C417" s="2410"/>
      <c r="D417" s="2398"/>
      <c r="E417" s="2398"/>
      <c r="F417" s="2398"/>
      <c r="G417" s="2398"/>
      <c r="H417" s="2398"/>
      <c r="I417" s="2398"/>
      <c r="J417" s="2436" t="s">
        <v>535</v>
      </c>
    </row>
    <row r="418" spans="1:10">
      <c r="A418" s="2410"/>
      <c r="B418" s="2403"/>
      <c r="C418" s="2410"/>
      <c r="D418" s="2398"/>
      <c r="E418" s="2398"/>
      <c r="F418" s="2398"/>
      <c r="G418" s="2398"/>
      <c r="H418" s="2398"/>
      <c r="I418" s="2398"/>
      <c r="J418" s="2436" t="s">
        <v>535</v>
      </c>
    </row>
    <row r="419" spans="1:10">
      <c r="A419" s="2410"/>
      <c r="B419" s="2403"/>
      <c r="C419" s="2410"/>
      <c r="D419" s="2398"/>
      <c r="E419" s="2398"/>
      <c r="F419" s="2398"/>
      <c r="G419" s="2398"/>
      <c r="H419" s="2398"/>
      <c r="I419" s="2398"/>
      <c r="J419" s="2436" t="s">
        <v>535</v>
      </c>
    </row>
    <row r="420" spans="1:10">
      <c r="A420" s="2410"/>
      <c r="B420" s="2403"/>
      <c r="C420" s="2410"/>
      <c r="D420" s="2398"/>
      <c r="E420" s="2398"/>
      <c r="F420" s="2398"/>
      <c r="G420" s="2398"/>
      <c r="H420" s="2398"/>
      <c r="I420" s="2398"/>
      <c r="J420" s="2436" t="s">
        <v>535</v>
      </c>
    </row>
    <row r="421" spans="1:10">
      <c r="A421" s="2410"/>
      <c r="B421" s="2403"/>
      <c r="C421" s="2410"/>
      <c r="D421" s="2398"/>
      <c r="E421" s="2398"/>
      <c r="F421" s="2398"/>
      <c r="G421" s="2398"/>
      <c r="H421" s="2398"/>
      <c r="I421" s="2398"/>
      <c r="J421" s="2436" t="s">
        <v>535</v>
      </c>
    </row>
    <row r="422" spans="1:10">
      <c r="A422" s="2400" t="s">
        <v>385</v>
      </c>
      <c r="B422" s="2369">
        <f>ROUND(SUM(B412:B421),2)</f>
        <v>0</v>
      </c>
      <c r="C422" s="2369"/>
      <c r="D422" s="2398"/>
      <c r="E422" s="2398"/>
      <c r="F422" s="2398"/>
      <c r="G422" s="2398"/>
      <c r="H422" s="2398"/>
      <c r="I422" s="2398"/>
      <c r="J422" s="2436" t="s">
        <v>536</v>
      </c>
    </row>
    <row r="423" spans="1:10">
      <c r="A423" s="2421"/>
      <c r="B423" s="2398"/>
      <c r="C423" s="2398"/>
      <c r="D423" s="2398"/>
      <c r="E423" s="2398"/>
      <c r="F423" s="2398"/>
      <c r="G423" s="2398"/>
      <c r="H423" s="2398"/>
      <c r="I423" s="2398"/>
      <c r="J423" s="2460"/>
    </row>
    <row r="424" spans="1:10">
      <c r="A424" s="2414" t="s">
        <v>479</v>
      </c>
      <c r="B424" s="2398"/>
      <c r="C424" s="2398"/>
      <c r="D424" s="2398"/>
      <c r="E424" s="2398"/>
      <c r="F424" s="2398"/>
      <c r="G424" s="2398"/>
      <c r="H424" s="2398"/>
      <c r="I424" s="2398"/>
      <c r="J424" s="2460"/>
    </row>
    <row r="425" spans="1:10">
      <c r="A425" s="2400" t="s">
        <v>315</v>
      </c>
      <c r="B425" s="2400" t="s">
        <v>480</v>
      </c>
      <c r="C425" s="2400" t="s">
        <v>481</v>
      </c>
      <c r="D425" s="2400" t="s">
        <v>482</v>
      </c>
      <c r="E425" s="2400" t="s">
        <v>483</v>
      </c>
      <c r="F425" s="2400" t="s">
        <v>484</v>
      </c>
      <c r="G425" s="2398"/>
      <c r="H425" s="2398"/>
      <c r="I425" s="2398"/>
      <c r="J425" s="2460"/>
    </row>
    <row r="426" spans="1:10">
      <c r="A426" s="2410"/>
      <c r="B426" s="2403"/>
      <c r="C426" s="2403"/>
      <c r="D426" s="2410"/>
      <c r="E426" s="2410"/>
      <c r="F426" s="2410"/>
      <c r="G426" s="2398"/>
      <c r="H426" s="2398"/>
      <c r="I426" s="2398"/>
      <c r="J426" s="2436" t="s">
        <v>537</v>
      </c>
    </row>
    <row r="427" spans="1:10">
      <c r="A427" s="2410"/>
      <c r="B427" s="2403"/>
      <c r="C427" s="2403"/>
      <c r="D427" s="2410"/>
      <c r="E427" s="2410"/>
      <c r="F427" s="2410"/>
      <c r="G427" s="2398"/>
      <c r="H427" s="2398"/>
      <c r="I427" s="2398"/>
      <c r="J427" s="2436" t="s">
        <v>537</v>
      </c>
    </row>
    <row r="428" spans="1:10">
      <c r="A428" s="2410"/>
      <c r="B428" s="2403"/>
      <c r="C428" s="2403"/>
      <c r="D428" s="2410"/>
      <c r="E428" s="2410"/>
      <c r="F428" s="2410"/>
      <c r="G428" s="2398"/>
      <c r="H428" s="2398"/>
      <c r="I428" s="2398"/>
      <c r="J428" s="2436" t="s">
        <v>537</v>
      </c>
    </row>
    <row r="429" spans="1:10">
      <c r="A429" s="2410"/>
      <c r="B429" s="2403"/>
      <c r="C429" s="2403"/>
      <c r="D429" s="2410"/>
      <c r="E429" s="2410"/>
      <c r="F429" s="2410"/>
      <c r="G429" s="2398"/>
      <c r="H429" s="2398"/>
      <c r="I429" s="2398"/>
      <c r="J429" s="2436" t="s">
        <v>537</v>
      </c>
    </row>
    <row r="430" spans="1:10">
      <c r="A430" s="2410"/>
      <c r="B430" s="2403"/>
      <c r="C430" s="2403"/>
      <c r="D430" s="2410"/>
      <c r="E430" s="2410"/>
      <c r="F430" s="2410"/>
      <c r="G430" s="2398"/>
      <c r="H430" s="2398"/>
      <c r="I430" s="2398"/>
      <c r="J430" s="2436" t="s">
        <v>537</v>
      </c>
    </row>
    <row r="431" spans="1:10">
      <c r="A431" s="2410"/>
      <c r="B431" s="2403"/>
      <c r="C431" s="2403"/>
      <c r="D431" s="2410"/>
      <c r="E431" s="2410"/>
      <c r="F431" s="2410"/>
      <c r="G431" s="2398"/>
      <c r="H431" s="2398"/>
      <c r="I431" s="2398"/>
      <c r="J431" s="2436" t="s">
        <v>537</v>
      </c>
    </row>
    <row r="432" spans="1:10">
      <c r="A432" s="2410"/>
      <c r="B432" s="2403"/>
      <c r="C432" s="2403"/>
      <c r="D432" s="2410"/>
      <c r="E432" s="2410"/>
      <c r="F432" s="2410"/>
      <c r="G432" s="2398"/>
      <c r="H432" s="2398"/>
      <c r="I432" s="2398"/>
      <c r="J432" s="2436" t="s">
        <v>537</v>
      </c>
    </row>
    <row r="433" spans="1:10">
      <c r="A433" s="2410"/>
      <c r="B433" s="2403"/>
      <c r="C433" s="2403"/>
      <c r="D433" s="2410"/>
      <c r="E433" s="2410"/>
      <c r="F433" s="2410"/>
      <c r="G433" s="2398"/>
      <c r="H433" s="2398"/>
      <c r="I433" s="2398"/>
      <c r="J433" s="2436" t="s">
        <v>537</v>
      </c>
    </row>
    <row r="434" spans="1:10">
      <c r="A434" s="2410"/>
      <c r="B434" s="2403"/>
      <c r="C434" s="2403"/>
      <c r="D434" s="2410"/>
      <c r="E434" s="2410"/>
      <c r="F434" s="2410"/>
      <c r="G434" s="2398"/>
      <c r="H434" s="2398"/>
      <c r="I434" s="2398"/>
      <c r="J434" s="2436" t="s">
        <v>537</v>
      </c>
    </row>
    <row r="435" spans="1:10">
      <c r="A435" s="2410"/>
      <c r="B435" s="2403"/>
      <c r="C435" s="2403"/>
      <c r="D435" s="2410"/>
      <c r="E435" s="2410"/>
      <c r="F435" s="2410"/>
      <c r="G435" s="2398"/>
      <c r="H435" s="2398"/>
      <c r="I435" s="2398"/>
      <c r="J435" s="2436" t="s">
        <v>537</v>
      </c>
    </row>
    <row r="436" spans="1:10">
      <c r="A436" s="2400" t="s">
        <v>385</v>
      </c>
      <c r="B436" s="2369">
        <f>ROUND(SUM(B426:B435),2)</f>
        <v>0</v>
      </c>
      <c r="C436" s="2369">
        <f>ROUND(SUM(C426:C435),2)</f>
        <v>0</v>
      </c>
      <c r="D436" s="2411"/>
      <c r="E436" s="2369"/>
      <c r="F436" s="2369"/>
      <c r="G436" s="2398"/>
      <c r="H436" s="2398"/>
      <c r="I436" s="2398"/>
      <c r="J436" s="2436" t="s">
        <v>538</v>
      </c>
    </row>
    <row r="437" spans="1:10">
      <c r="A437" s="2421"/>
      <c r="B437" s="2398"/>
      <c r="C437" s="2398"/>
      <c r="D437" s="2398"/>
      <c r="E437" s="2398"/>
      <c r="F437" s="2398"/>
      <c r="G437" s="2398"/>
      <c r="H437" s="2398"/>
      <c r="I437" s="2398"/>
      <c r="J437" s="2460"/>
    </row>
    <row r="438" spans="1:10">
      <c r="A438" s="2414" t="s">
        <v>487</v>
      </c>
      <c r="B438" s="2398"/>
      <c r="C438" s="2398"/>
      <c r="D438" s="2398"/>
      <c r="E438" s="2398"/>
      <c r="F438" s="2398"/>
      <c r="G438" s="2398"/>
      <c r="H438" s="2398"/>
      <c r="I438" s="2398"/>
      <c r="J438" s="2460"/>
    </row>
    <row r="439" spans="1:10">
      <c r="A439" s="2400" t="s">
        <v>315</v>
      </c>
      <c r="B439" s="2400" t="s">
        <v>488</v>
      </c>
      <c r="C439" s="2400" t="s">
        <v>489</v>
      </c>
      <c r="D439" s="2400" t="s">
        <v>490</v>
      </c>
      <c r="E439" s="2400" t="s">
        <v>483</v>
      </c>
      <c r="F439" s="2400" t="s">
        <v>491</v>
      </c>
      <c r="G439" s="2398"/>
      <c r="H439" s="2398"/>
      <c r="I439" s="2398"/>
      <c r="J439" s="2460"/>
    </row>
    <row r="440" spans="1:10">
      <c r="A440" s="2410"/>
      <c r="B440" s="2403"/>
      <c r="C440" s="2410"/>
      <c r="D440" s="2410"/>
      <c r="E440" s="2410"/>
      <c r="F440" s="2410"/>
      <c r="G440" s="2398"/>
      <c r="H440" s="2398"/>
      <c r="I440" s="2398"/>
      <c r="J440" s="2436" t="s">
        <v>539</v>
      </c>
    </row>
    <row r="441" spans="1:10">
      <c r="A441" s="2410"/>
      <c r="B441" s="2403"/>
      <c r="C441" s="2410"/>
      <c r="D441" s="2410"/>
      <c r="E441" s="2410"/>
      <c r="F441" s="2410"/>
      <c r="G441" s="2398"/>
      <c r="H441" s="2398"/>
      <c r="I441" s="2398"/>
      <c r="J441" s="2436" t="s">
        <v>539</v>
      </c>
    </row>
    <row r="442" spans="1:10">
      <c r="A442" s="2410"/>
      <c r="B442" s="2403"/>
      <c r="C442" s="2410"/>
      <c r="D442" s="2410"/>
      <c r="E442" s="2410"/>
      <c r="F442" s="2410"/>
      <c r="G442" s="2398"/>
      <c r="H442" s="2398"/>
      <c r="I442" s="2398"/>
      <c r="J442" s="2436" t="s">
        <v>539</v>
      </c>
    </row>
    <row r="443" spans="1:10">
      <c r="A443" s="2410"/>
      <c r="B443" s="2403"/>
      <c r="C443" s="2410"/>
      <c r="D443" s="2410"/>
      <c r="E443" s="2410"/>
      <c r="F443" s="2410"/>
      <c r="G443" s="2398"/>
      <c r="H443" s="2398"/>
      <c r="I443" s="2398"/>
      <c r="J443" s="2436" t="s">
        <v>539</v>
      </c>
    </row>
    <row r="444" spans="1:10">
      <c r="A444" s="2410"/>
      <c r="B444" s="2403"/>
      <c r="C444" s="2410"/>
      <c r="D444" s="2410"/>
      <c r="E444" s="2410"/>
      <c r="F444" s="2410"/>
      <c r="G444" s="2398"/>
      <c r="H444" s="2398"/>
      <c r="I444" s="2398"/>
      <c r="J444" s="2436" t="s">
        <v>539</v>
      </c>
    </row>
    <row r="445" spans="1:10">
      <c r="A445" s="2410"/>
      <c r="B445" s="2403"/>
      <c r="C445" s="2410"/>
      <c r="D445" s="2410"/>
      <c r="E445" s="2410"/>
      <c r="F445" s="2410"/>
      <c r="G445" s="2398"/>
      <c r="H445" s="2398"/>
      <c r="I445" s="2398"/>
      <c r="J445" s="2436" t="s">
        <v>539</v>
      </c>
    </row>
    <row r="446" spans="1:10">
      <c r="A446" s="2410"/>
      <c r="B446" s="2403"/>
      <c r="C446" s="2410"/>
      <c r="D446" s="2410"/>
      <c r="E446" s="2410"/>
      <c r="F446" s="2410"/>
      <c r="G446" s="2398"/>
      <c r="H446" s="2398"/>
      <c r="I446" s="2398"/>
      <c r="J446" s="2436" t="s">
        <v>539</v>
      </c>
    </row>
    <row r="447" spans="1:10">
      <c r="A447" s="2410"/>
      <c r="B447" s="2403"/>
      <c r="C447" s="2410"/>
      <c r="D447" s="2410"/>
      <c r="E447" s="2410"/>
      <c r="F447" s="2410"/>
      <c r="G447" s="2398"/>
      <c r="H447" s="2398"/>
      <c r="I447" s="2398"/>
      <c r="J447" s="2436" t="s">
        <v>539</v>
      </c>
    </row>
    <row r="448" spans="1:10">
      <c r="A448" s="2410"/>
      <c r="B448" s="2403"/>
      <c r="C448" s="2410"/>
      <c r="D448" s="2410"/>
      <c r="E448" s="2410"/>
      <c r="F448" s="2410"/>
      <c r="G448" s="2398"/>
      <c r="H448" s="2398"/>
      <c r="I448" s="2398"/>
      <c r="J448" s="2436" t="s">
        <v>539</v>
      </c>
    </row>
    <row r="449" spans="1:10">
      <c r="A449" s="2410"/>
      <c r="B449" s="2403"/>
      <c r="C449" s="2410"/>
      <c r="D449" s="2410"/>
      <c r="E449" s="2410"/>
      <c r="F449" s="2410"/>
      <c r="G449" s="2398"/>
      <c r="H449" s="2398"/>
      <c r="I449" s="2398"/>
      <c r="J449" s="2436" t="s">
        <v>539</v>
      </c>
    </row>
    <row r="450" spans="1:10">
      <c r="A450" s="2400" t="s">
        <v>385</v>
      </c>
      <c r="B450" s="2369">
        <f>ROUND(SUM(B440:B449),2)</f>
        <v>0</v>
      </c>
      <c r="C450" s="2369"/>
      <c r="D450" s="2411">
        <f>IF(B450=0,0,ROUND(C450/B450,4))</f>
        <v>0</v>
      </c>
      <c r="E450" s="2369"/>
      <c r="F450" s="2369"/>
      <c r="G450" s="2398"/>
      <c r="H450" s="2398"/>
      <c r="I450" s="2398"/>
      <c r="J450" s="2436" t="s">
        <v>540</v>
      </c>
    </row>
    <row r="451" spans="1:10">
      <c r="A451" s="2421"/>
      <c r="B451" s="2398"/>
      <c r="C451" s="2398"/>
      <c r="D451" s="2398"/>
      <c r="E451" s="2398"/>
      <c r="F451" s="2398"/>
      <c r="G451" s="2398"/>
      <c r="H451" s="2398"/>
      <c r="I451" s="2398"/>
      <c r="J451" s="2460"/>
    </row>
    <row r="452" spans="1:10">
      <c r="A452" s="2414" t="s">
        <v>494</v>
      </c>
      <c r="B452" s="2398"/>
      <c r="C452" s="2398"/>
      <c r="D452" s="2398"/>
      <c r="E452" s="2398"/>
      <c r="F452" s="2398"/>
      <c r="G452" s="2398"/>
      <c r="H452" s="2398"/>
      <c r="I452" s="2398"/>
      <c r="J452" s="2460"/>
    </row>
    <row r="453" spans="1:10">
      <c r="A453" s="2400" t="s">
        <v>495</v>
      </c>
      <c r="B453" s="2400" t="s">
        <v>316</v>
      </c>
      <c r="C453" s="2400" t="s">
        <v>317</v>
      </c>
      <c r="D453" s="2400" t="s">
        <v>496</v>
      </c>
      <c r="E453" s="2398"/>
      <c r="F453" s="2398"/>
      <c r="G453" s="2398"/>
      <c r="H453" s="2398"/>
      <c r="I453" s="2398"/>
      <c r="J453" s="2475"/>
    </row>
    <row r="454" spans="1:10">
      <c r="A454" s="2410"/>
      <c r="B454" s="2403"/>
      <c r="C454" s="2403"/>
      <c r="D454" s="2410"/>
      <c r="E454" s="2398"/>
      <c r="F454" s="2398"/>
      <c r="G454" s="2398"/>
      <c r="H454" s="2398"/>
      <c r="I454" s="2398"/>
      <c r="J454" s="2436" t="s">
        <v>541</v>
      </c>
    </row>
    <row r="455" spans="1:10">
      <c r="A455" s="2410"/>
      <c r="B455" s="2403"/>
      <c r="C455" s="2403"/>
      <c r="D455" s="2410"/>
      <c r="E455" s="2398"/>
      <c r="F455" s="2398"/>
      <c r="G455" s="2398"/>
      <c r="H455" s="2398"/>
      <c r="I455" s="2398"/>
      <c r="J455" s="2436" t="s">
        <v>541</v>
      </c>
    </row>
    <row r="456" spans="1:10">
      <c r="A456" s="2410"/>
      <c r="B456" s="2403"/>
      <c r="C456" s="2403"/>
      <c r="D456" s="2410"/>
      <c r="E456" s="2398"/>
      <c r="F456" s="2398"/>
      <c r="G456" s="2398"/>
      <c r="H456" s="2398"/>
      <c r="I456" s="2398"/>
      <c r="J456" s="2436" t="s">
        <v>541</v>
      </c>
    </row>
    <row r="457" spans="1:10">
      <c r="A457" s="2410"/>
      <c r="B457" s="2403"/>
      <c r="C457" s="2403"/>
      <c r="D457" s="2410"/>
      <c r="E457" s="2398"/>
      <c r="F457" s="2398"/>
      <c r="G457" s="2398"/>
      <c r="H457" s="2398"/>
      <c r="I457" s="2398"/>
      <c r="J457" s="2436" t="s">
        <v>541</v>
      </c>
    </row>
    <row r="458" spans="1:10">
      <c r="A458" s="2410"/>
      <c r="B458" s="2403"/>
      <c r="C458" s="2403"/>
      <c r="D458" s="2410"/>
      <c r="E458" s="2398"/>
      <c r="F458" s="2398"/>
      <c r="G458" s="2398"/>
      <c r="H458" s="2398"/>
      <c r="I458" s="2398"/>
      <c r="J458" s="2436" t="s">
        <v>541</v>
      </c>
    </row>
    <row r="459" spans="1:10">
      <c r="A459" s="2410"/>
      <c r="B459" s="2403"/>
      <c r="C459" s="2403"/>
      <c r="D459" s="2410"/>
      <c r="E459" s="2398"/>
      <c r="F459" s="2398"/>
      <c r="G459" s="2398"/>
      <c r="H459" s="2398"/>
      <c r="I459" s="2398"/>
      <c r="J459" s="2436" t="s">
        <v>541</v>
      </c>
    </row>
    <row r="460" spans="1:10">
      <c r="A460" s="2410"/>
      <c r="B460" s="2403"/>
      <c r="C460" s="2403"/>
      <c r="D460" s="2410"/>
      <c r="E460" s="2398"/>
      <c r="F460" s="2398"/>
      <c r="G460" s="2398"/>
      <c r="H460" s="2398"/>
      <c r="I460" s="2398"/>
      <c r="J460" s="2436" t="s">
        <v>541</v>
      </c>
    </row>
    <row r="461" spans="1:10">
      <c r="A461" s="2410"/>
      <c r="B461" s="2403"/>
      <c r="C461" s="2403"/>
      <c r="D461" s="2410"/>
      <c r="E461" s="2398"/>
      <c r="F461" s="2398"/>
      <c r="G461" s="2398"/>
      <c r="H461" s="2398"/>
      <c r="I461" s="2398"/>
      <c r="J461" s="2436" t="s">
        <v>541</v>
      </c>
    </row>
    <row r="462" spans="1:10">
      <c r="A462" s="2410"/>
      <c r="B462" s="2403"/>
      <c r="C462" s="2403"/>
      <c r="D462" s="2410"/>
      <c r="E462" s="2398"/>
      <c r="F462" s="2398"/>
      <c r="G462" s="2398"/>
      <c r="H462" s="2398"/>
      <c r="I462" s="2398"/>
      <c r="J462" s="2436" t="s">
        <v>541</v>
      </c>
    </row>
    <row r="463" spans="1:10">
      <c r="A463" s="2410"/>
      <c r="B463" s="2403"/>
      <c r="C463" s="2403"/>
      <c r="D463" s="2410"/>
      <c r="E463" s="2398"/>
      <c r="F463" s="2398"/>
      <c r="G463" s="2398"/>
      <c r="H463" s="2398"/>
      <c r="I463" s="2398"/>
      <c r="J463" s="2436" t="s">
        <v>541</v>
      </c>
    </row>
    <row r="464" spans="1:10">
      <c r="A464" s="2400" t="s">
        <v>385</v>
      </c>
      <c r="B464" s="2369">
        <f>ROUND(SUM(B454:B463),2)</f>
        <v>0</v>
      </c>
      <c r="C464" s="2369">
        <f>ROUND(SUM(C454:C463),2)</f>
        <v>0</v>
      </c>
      <c r="D464" s="2369"/>
      <c r="E464" s="2398"/>
      <c r="F464" s="2398"/>
      <c r="G464" s="2398"/>
      <c r="H464" s="2398"/>
      <c r="I464" s="2398"/>
      <c r="J464" s="2436" t="s">
        <v>542</v>
      </c>
    </row>
    <row r="465" spans="1:10">
      <c r="A465" s="2421"/>
      <c r="B465" s="2398"/>
      <c r="C465" s="2398"/>
      <c r="D465" s="2398"/>
      <c r="E465" s="2398"/>
      <c r="F465" s="2398"/>
      <c r="G465" s="2398"/>
      <c r="H465" s="2398"/>
      <c r="I465" s="2398"/>
      <c r="J465" s="2460"/>
    </row>
    <row r="466" spans="1:10">
      <c r="A466" s="2414" t="s">
        <v>543</v>
      </c>
      <c r="B466" s="2398"/>
      <c r="C466" s="2398"/>
      <c r="D466" s="2398"/>
      <c r="E466" s="2398"/>
      <c r="F466" s="2398"/>
      <c r="G466" s="2398"/>
      <c r="H466" s="2398"/>
      <c r="I466" s="2398"/>
      <c r="J466" s="2460"/>
    </row>
    <row r="467" spans="1:10">
      <c r="A467" s="2400" t="s">
        <v>470</v>
      </c>
      <c r="B467" s="2400" t="s">
        <v>316</v>
      </c>
      <c r="C467" s="2400" t="s">
        <v>500</v>
      </c>
      <c r="D467" s="2400" t="s">
        <v>501</v>
      </c>
      <c r="E467" s="2400" t="s">
        <v>502</v>
      </c>
      <c r="F467" s="2398"/>
      <c r="G467" s="2398"/>
      <c r="H467" s="2398"/>
      <c r="I467" s="2398"/>
      <c r="J467" s="2460"/>
    </row>
    <row r="468" spans="1:10">
      <c r="A468" s="2410"/>
      <c r="B468" s="2403"/>
      <c r="C468" s="2410"/>
      <c r="D468" s="2476"/>
      <c r="E468" s="2435">
        <f t="shared" ref="E468:E473" si="8">IF(B468=0,0,ROUND(B468/B$386,4))</f>
        <v>0</v>
      </c>
      <c r="F468" s="2398"/>
      <c r="G468" s="2398"/>
      <c r="H468" s="2398"/>
      <c r="I468" s="2398"/>
      <c r="J468" s="2436" t="s">
        <v>544</v>
      </c>
    </row>
    <row r="469" spans="1:10">
      <c r="A469" s="2410"/>
      <c r="B469" s="2403"/>
      <c r="C469" s="2410"/>
      <c r="D469" s="2476"/>
      <c r="E469" s="2435">
        <f t="shared" si="8"/>
        <v>0</v>
      </c>
      <c r="F469" s="2398"/>
      <c r="G469" s="2398"/>
      <c r="H469" s="2398"/>
      <c r="I469" s="2398"/>
      <c r="J469" s="2436" t="s">
        <v>544</v>
      </c>
    </row>
    <row r="470" spans="1:10">
      <c r="A470" s="2410"/>
      <c r="B470" s="2403"/>
      <c r="C470" s="2410"/>
      <c r="D470" s="2476"/>
      <c r="E470" s="2435">
        <f t="shared" si="8"/>
        <v>0</v>
      </c>
      <c r="F470" s="2398"/>
      <c r="G470" s="2398"/>
      <c r="H470" s="2398"/>
      <c r="I470" s="2398"/>
      <c r="J470" s="2436" t="s">
        <v>544</v>
      </c>
    </row>
    <row r="471" spans="1:10">
      <c r="A471" s="2410"/>
      <c r="B471" s="2403"/>
      <c r="C471" s="2410"/>
      <c r="D471" s="2476"/>
      <c r="E471" s="2435">
        <f t="shared" si="8"/>
        <v>0</v>
      </c>
      <c r="F471" s="2398"/>
      <c r="G471" s="2398"/>
      <c r="H471" s="2398"/>
      <c r="I471" s="2398"/>
      <c r="J471" s="2436" t="s">
        <v>544</v>
      </c>
    </row>
    <row r="472" spans="1:10">
      <c r="A472" s="2410"/>
      <c r="B472" s="2403"/>
      <c r="C472" s="2410"/>
      <c r="D472" s="2476"/>
      <c r="E472" s="2435">
        <f t="shared" si="8"/>
        <v>0</v>
      </c>
      <c r="F472" s="2398"/>
      <c r="G472" s="2398"/>
      <c r="H472" s="2398"/>
      <c r="I472" s="2398"/>
      <c r="J472" s="2436" t="s">
        <v>544</v>
      </c>
    </row>
    <row r="473" spans="1:10">
      <c r="A473" s="2400" t="s">
        <v>385</v>
      </c>
      <c r="B473" s="2369">
        <f>ROUND(SUM(B468:B472),2)</f>
        <v>0</v>
      </c>
      <c r="C473" s="2369"/>
      <c r="D473" s="2369"/>
      <c r="E473" s="2411">
        <f t="shared" si="8"/>
        <v>0</v>
      </c>
      <c r="F473" s="2398"/>
      <c r="G473" s="2398"/>
      <c r="H473" s="2398"/>
      <c r="I473" s="2398"/>
      <c r="J473" s="2436" t="s">
        <v>545</v>
      </c>
    </row>
    <row r="474" spans="1:10">
      <c r="A474" s="2421"/>
      <c r="B474" s="2398"/>
      <c r="C474" s="2398"/>
      <c r="D474" s="2398"/>
      <c r="E474" s="2398"/>
      <c r="F474" s="2398"/>
      <c r="G474" s="2398"/>
      <c r="H474" s="2398"/>
      <c r="I474" s="2398"/>
      <c r="J474" s="2460"/>
    </row>
    <row r="475" spans="1:10">
      <c r="A475" s="2414" t="s">
        <v>505</v>
      </c>
      <c r="B475" s="2398"/>
      <c r="C475" s="2398"/>
      <c r="D475" s="2398"/>
      <c r="E475" s="2398"/>
      <c r="F475" s="2398"/>
      <c r="G475" s="2398"/>
      <c r="H475" s="2398"/>
      <c r="I475" s="2398"/>
      <c r="J475" s="2460"/>
    </row>
    <row r="476" spans="1:9">
      <c r="A476" s="2400" t="s">
        <v>506</v>
      </c>
      <c r="B476" s="2400" t="s">
        <v>316</v>
      </c>
      <c r="C476" s="2400" t="s">
        <v>317</v>
      </c>
      <c r="D476" s="2400" t="s">
        <v>500</v>
      </c>
      <c r="E476" s="2400" t="s">
        <v>502</v>
      </c>
      <c r="F476" s="2398"/>
      <c r="G476" s="2398"/>
      <c r="H476" s="2398"/>
      <c r="I476" s="2398"/>
    </row>
    <row r="477" spans="1:10">
      <c r="A477" s="2410"/>
      <c r="B477" s="2403"/>
      <c r="C477" s="2403"/>
      <c r="D477" s="2410"/>
      <c r="E477" s="2435">
        <f t="shared" ref="E477:E487" si="9">IF(B477=0,0,ROUND(B477/B$386,4))</f>
        <v>0</v>
      </c>
      <c r="F477" s="2398"/>
      <c r="G477" s="2398"/>
      <c r="H477" s="2398"/>
      <c r="I477" s="2398"/>
      <c r="J477" s="2436" t="s">
        <v>546</v>
      </c>
    </row>
    <row r="478" spans="1:10">
      <c r="A478" s="2410"/>
      <c r="B478" s="2403"/>
      <c r="C478" s="2403"/>
      <c r="D478" s="2410"/>
      <c r="E478" s="2435">
        <f t="shared" si="9"/>
        <v>0</v>
      </c>
      <c r="F478" s="2398"/>
      <c r="G478" s="2398"/>
      <c r="H478" s="2398"/>
      <c r="I478" s="2398"/>
      <c r="J478" s="2436" t="s">
        <v>546</v>
      </c>
    </row>
    <row r="479" spans="1:10">
      <c r="A479" s="2410"/>
      <c r="B479" s="2403"/>
      <c r="C479" s="2403"/>
      <c r="D479" s="2410"/>
      <c r="E479" s="2435">
        <f t="shared" si="9"/>
        <v>0</v>
      </c>
      <c r="F479" s="2398"/>
      <c r="G479" s="2398"/>
      <c r="H479" s="2398"/>
      <c r="I479" s="2398"/>
      <c r="J479" s="2436" t="s">
        <v>546</v>
      </c>
    </row>
    <row r="480" spans="1:10">
      <c r="A480" s="2410"/>
      <c r="B480" s="2403"/>
      <c r="C480" s="2403"/>
      <c r="D480" s="2410"/>
      <c r="E480" s="2435">
        <f t="shared" si="9"/>
        <v>0</v>
      </c>
      <c r="F480" s="2398"/>
      <c r="G480" s="2398"/>
      <c r="H480" s="2398"/>
      <c r="I480" s="2398"/>
      <c r="J480" s="2436" t="s">
        <v>546</v>
      </c>
    </row>
    <row r="481" spans="1:10">
      <c r="A481" s="2410"/>
      <c r="B481" s="2403"/>
      <c r="C481" s="2403"/>
      <c r="D481" s="2410"/>
      <c r="E481" s="2435">
        <f t="shared" si="9"/>
        <v>0</v>
      </c>
      <c r="F481" s="2398"/>
      <c r="G481" s="2398"/>
      <c r="H481" s="2398"/>
      <c r="I481" s="2398"/>
      <c r="J481" s="2436" t="s">
        <v>546</v>
      </c>
    </row>
    <row r="482" spans="1:10">
      <c r="A482" s="2410"/>
      <c r="B482" s="2403"/>
      <c r="C482" s="2403"/>
      <c r="D482" s="2410"/>
      <c r="E482" s="2435">
        <f t="shared" si="9"/>
        <v>0</v>
      </c>
      <c r="F482" s="2398"/>
      <c r="G482" s="2398"/>
      <c r="H482" s="2398"/>
      <c r="I482" s="2398"/>
      <c r="J482" s="2436" t="s">
        <v>546</v>
      </c>
    </row>
    <row r="483" spans="1:10">
      <c r="A483" s="2410"/>
      <c r="B483" s="2403"/>
      <c r="C483" s="2403"/>
      <c r="D483" s="2410"/>
      <c r="E483" s="2435">
        <f t="shared" si="9"/>
        <v>0</v>
      </c>
      <c r="F483" s="2398"/>
      <c r="G483" s="2398"/>
      <c r="H483" s="2398"/>
      <c r="I483" s="2398"/>
      <c r="J483" s="2436" t="s">
        <v>546</v>
      </c>
    </row>
    <row r="484" spans="1:10">
      <c r="A484" s="2410"/>
      <c r="B484" s="2403"/>
      <c r="C484" s="2403"/>
      <c r="D484" s="2410"/>
      <c r="E484" s="2435">
        <f t="shared" si="9"/>
        <v>0</v>
      </c>
      <c r="F484" s="2398"/>
      <c r="G484" s="2398"/>
      <c r="H484" s="2398"/>
      <c r="I484" s="2398"/>
      <c r="J484" s="2436" t="s">
        <v>546</v>
      </c>
    </row>
    <row r="485" spans="1:10">
      <c r="A485" s="2410"/>
      <c r="B485" s="2403"/>
      <c r="C485" s="2403"/>
      <c r="D485" s="2410"/>
      <c r="E485" s="2435">
        <f t="shared" si="9"/>
        <v>0</v>
      </c>
      <c r="F485" s="2398"/>
      <c r="G485" s="2398"/>
      <c r="H485" s="2398"/>
      <c r="I485" s="2398"/>
      <c r="J485" s="2436" t="s">
        <v>546</v>
      </c>
    </row>
    <row r="486" spans="1:10">
      <c r="A486" s="2410"/>
      <c r="B486" s="2403"/>
      <c r="C486" s="2403"/>
      <c r="D486" s="2410"/>
      <c r="E486" s="2435">
        <f t="shared" si="9"/>
        <v>0</v>
      </c>
      <c r="F486" s="2398"/>
      <c r="G486" s="2398"/>
      <c r="H486" s="2398"/>
      <c r="I486" s="2398"/>
      <c r="J486" s="2436" t="s">
        <v>546</v>
      </c>
    </row>
    <row r="487" spans="1:10">
      <c r="A487" s="2400" t="s">
        <v>385</v>
      </c>
      <c r="B487" s="2369">
        <f>ROUND(SUM(B477:B486),2)</f>
        <v>0</v>
      </c>
      <c r="C487" s="2369">
        <f>ROUND(SUM(C477:C486),2)</f>
        <v>0</v>
      </c>
      <c r="D487" s="2369"/>
      <c r="E487" s="2411">
        <f t="shared" si="9"/>
        <v>0</v>
      </c>
      <c r="F487" s="2398"/>
      <c r="G487" s="2398"/>
      <c r="H487" s="2398"/>
      <c r="I487" s="2398"/>
      <c r="J487" s="2436" t="s">
        <v>547</v>
      </c>
    </row>
    <row r="488" spans="1:10">
      <c r="A488" s="2421"/>
      <c r="B488" s="2398"/>
      <c r="C488" s="2398"/>
      <c r="D488" s="2398"/>
      <c r="E488" s="2398"/>
      <c r="F488" s="2398"/>
      <c r="G488" s="2398"/>
      <c r="H488" s="2398"/>
      <c r="I488" s="2398"/>
      <c r="J488" s="2460"/>
    </row>
    <row r="489" spans="1:10">
      <c r="A489" s="2414" t="s">
        <v>509</v>
      </c>
      <c r="B489" s="2398"/>
      <c r="C489" s="2398"/>
      <c r="D489" s="2398"/>
      <c r="E489" s="2398"/>
      <c r="F489" s="2398"/>
      <c r="G489" s="2398"/>
      <c r="H489" s="2398"/>
      <c r="I489" s="2398"/>
      <c r="J489" s="2460"/>
    </row>
    <row r="490" spans="1:10">
      <c r="A490" s="2400" t="s">
        <v>315</v>
      </c>
      <c r="B490" s="2400" t="s">
        <v>510</v>
      </c>
      <c r="C490" s="2400" t="s">
        <v>511</v>
      </c>
      <c r="D490" s="2400" t="s">
        <v>489</v>
      </c>
      <c r="E490" s="2400" t="s">
        <v>512</v>
      </c>
      <c r="F490" s="2398"/>
      <c r="G490" s="2398"/>
      <c r="H490" s="2398"/>
      <c r="I490" s="2398"/>
      <c r="J490" s="2460"/>
    </row>
    <row r="491" spans="1:10">
      <c r="A491" s="2410"/>
      <c r="B491" s="2403"/>
      <c r="C491" s="2403"/>
      <c r="D491" s="2410"/>
      <c r="E491" s="2410"/>
      <c r="F491" s="2398"/>
      <c r="G491" s="2398"/>
      <c r="H491" s="2398"/>
      <c r="I491" s="2398"/>
      <c r="J491" s="2436" t="s">
        <v>548</v>
      </c>
    </row>
    <row r="492" spans="1:10">
      <c r="A492" s="2410"/>
      <c r="B492" s="2403"/>
      <c r="C492" s="2403"/>
      <c r="D492" s="2410"/>
      <c r="E492" s="2410"/>
      <c r="F492" s="2398"/>
      <c r="G492" s="2398"/>
      <c r="H492" s="2398"/>
      <c r="I492" s="2398"/>
      <c r="J492" s="2436" t="s">
        <v>548</v>
      </c>
    </row>
    <row r="493" spans="1:10">
      <c r="A493" s="2410"/>
      <c r="B493" s="2403"/>
      <c r="C493" s="2403"/>
      <c r="D493" s="2410"/>
      <c r="E493" s="2410"/>
      <c r="F493" s="2398"/>
      <c r="G493" s="2398"/>
      <c r="H493" s="2398"/>
      <c r="I493" s="2398"/>
      <c r="J493" s="2436" t="s">
        <v>548</v>
      </c>
    </row>
    <row r="494" spans="1:10">
      <c r="A494" s="2410"/>
      <c r="B494" s="2403"/>
      <c r="C494" s="2403"/>
      <c r="D494" s="2410"/>
      <c r="E494" s="2410"/>
      <c r="F494" s="2398"/>
      <c r="G494" s="2398"/>
      <c r="H494" s="2398"/>
      <c r="I494" s="2398"/>
      <c r="J494" s="2436" t="s">
        <v>548</v>
      </c>
    </row>
    <row r="495" spans="1:10">
      <c r="A495" s="2410"/>
      <c r="B495" s="2403"/>
      <c r="C495" s="2403"/>
      <c r="D495" s="2410"/>
      <c r="E495" s="2410"/>
      <c r="F495" s="2398"/>
      <c r="G495" s="2398"/>
      <c r="H495" s="2398"/>
      <c r="I495" s="2398"/>
      <c r="J495" s="2436" t="s">
        <v>548</v>
      </c>
    </row>
    <row r="496" spans="1:10">
      <c r="A496" s="2410"/>
      <c r="B496" s="2403"/>
      <c r="C496" s="2403"/>
      <c r="D496" s="2410"/>
      <c r="E496" s="2410"/>
      <c r="F496" s="2398"/>
      <c r="G496" s="2398"/>
      <c r="H496" s="2398"/>
      <c r="I496" s="2398"/>
      <c r="J496" s="2436" t="s">
        <v>548</v>
      </c>
    </row>
    <row r="497" spans="1:10">
      <c r="A497" s="2410"/>
      <c r="B497" s="2403"/>
      <c r="C497" s="2403"/>
      <c r="D497" s="2410"/>
      <c r="E497" s="2410"/>
      <c r="F497" s="2398"/>
      <c r="G497" s="2398"/>
      <c r="H497" s="2398"/>
      <c r="I497" s="2398"/>
      <c r="J497" s="2436" t="s">
        <v>548</v>
      </c>
    </row>
    <row r="498" spans="1:10">
      <c r="A498" s="2410"/>
      <c r="B498" s="2403"/>
      <c r="C498" s="2403"/>
      <c r="D498" s="2410"/>
      <c r="E498" s="2410"/>
      <c r="F498" s="2398"/>
      <c r="G498" s="2398"/>
      <c r="H498" s="2398"/>
      <c r="I498" s="2398"/>
      <c r="J498" s="2436" t="s">
        <v>548</v>
      </c>
    </row>
    <row r="499" spans="1:10">
      <c r="A499" s="2410"/>
      <c r="B499" s="2403"/>
      <c r="C499" s="2403"/>
      <c r="D499" s="2410"/>
      <c r="E499" s="2410"/>
      <c r="F499" s="2398"/>
      <c r="G499" s="2398"/>
      <c r="H499" s="2398"/>
      <c r="I499" s="2398"/>
      <c r="J499" s="2436" t="s">
        <v>548</v>
      </c>
    </row>
    <row r="500" spans="1:10">
      <c r="A500" s="2410"/>
      <c r="B500" s="2403"/>
      <c r="C500" s="2403"/>
      <c r="D500" s="2410"/>
      <c r="E500" s="2410"/>
      <c r="F500" s="2398"/>
      <c r="G500" s="2398"/>
      <c r="H500" s="2398"/>
      <c r="I500" s="2398"/>
      <c r="J500" s="2436" t="s">
        <v>548</v>
      </c>
    </row>
    <row r="501" spans="1:10">
      <c r="A501" s="2400" t="s">
        <v>385</v>
      </c>
      <c r="B501" s="2369">
        <f>ROUND(SUM(B491:B500),2)</f>
        <v>0</v>
      </c>
      <c r="C501" s="2369">
        <f>ROUND(SUM(C491:C500),2)</f>
        <v>0</v>
      </c>
      <c r="D501" s="2369"/>
      <c r="E501" s="2369"/>
      <c r="F501" s="2398"/>
      <c r="G501" s="2398"/>
      <c r="H501" s="2398"/>
      <c r="I501" s="2398"/>
      <c r="J501" s="2436" t="s">
        <v>549</v>
      </c>
    </row>
    <row r="502" spans="1:10">
      <c r="A502" s="2421"/>
      <c r="B502" s="2398"/>
      <c r="C502" s="2398"/>
      <c r="D502" s="2398"/>
      <c r="E502" s="2398"/>
      <c r="F502" s="2398"/>
      <c r="G502" s="2398"/>
      <c r="H502" s="2398"/>
      <c r="I502" s="2398"/>
      <c r="J502" s="2460"/>
    </row>
    <row r="503" spans="1:10">
      <c r="A503" s="2414" t="s">
        <v>515</v>
      </c>
      <c r="B503" s="2398"/>
      <c r="C503" s="2398"/>
      <c r="D503" s="2398"/>
      <c r="E503" s="2398"/>
      <c r="F503" s="2398"/>
      <c r="G503" s="2398"/>
      <c r="H503" s="2398"/>
      <c r="I503" s="2398"/>
      <c r="J503" s="2460"/>
    </row>
    <row r="504" spans="1:10">
      <c r="A504" s="2400" t="s">
        <v>315</v>
      </c>
      <c r="B504" s="2400" t="s">
        <v>316</v>
      </c>
      <c r="C504" s="2400" t="s">
        <v>517</v>
      </c>
      <c r="D504" s="2398"/>
      <c r="E504" s="2398"/>
      <c r="F504" s="2398"/>
      <c r="G504" s="2398"/>
      <c r="H504" s="2398"/>
      <c r="I504" s="2398"/>
      <c r="J504" s="2460"/>
    </row>
    <row r="505" spans="1:10">
      <c r="A505" s="2410"/>
      <c r="B505" s="2403"/>
      <c r="C505" s="2410"/>
      <c r="D505" s="2398"/>
      <c r="E505" s="2398"/>
      <c r="F505" s="2398"/>
      <c r="G505" s="2398"/>
      <c r="H505" s="2398"/>
      <c r="I505" s="2398"/>
      <c r="J505" s="2436" t="s">
        <v>550</v>
      </c>
    </row>
    <row r="506" spans="1:10">
      <c r="A506" s="2410"/>
      <c r="B506" s="2403"/>
      <c r="C506" s="2410"/>
      <c r="D506" s="2398"/>
      <c r="E506" s="2398"/>
      <c r="F506" s="2398"/>
      <c r="G506" s="2398"/>
      <c r="H506" s="2398"/>
      <c r="I506" s="2398"/>
      <c r="J506" s="2436" t="s">
        <v>550</v>
      </c>
    </row>
    <row r="507" spans="1:10">
      <c r="A507" s="2410"/>
      <c r="B507" s="2403"/>
      <c r="C507" s="2410"/>
      <c r="D507" s="2398"/>
      <c r="E507" s="2398"/>
      <c r="F507" s="2398"/>
      <c r="G507" s="2398"/>
      <c r="H507" s="2398"/>
      <c r="I507" s="2398"/>
      <c r="J507" s="2436" t="s">
        <v>550</v>
      </c>
    </row>
    <row r="508" spans="1:10">
      <c r="A508" s="2410"/>
      <c r="B508" s="2403"/>
      <c r="C508" s="2410"/>
      <c r="D508" s="2398"/>
      <c r="E508" s="2398"/>
      <c r="F508" s="2398"/>
      <c r="G508" s="2398"/>
      <c r="H508" s="2398"/>
      <c r="I508" s="2398"/>
      <c r="J508" s="2436" t="s">
        <v>550</v>
      </c>
    </row>
    <row r="509" spans="1:10">
      <c r="A509" s="2410"/>
      <c r="B509" s="2403"/>
      <c r="C509" s="2410"/>
      <c r="D509" s="2398"/>
      <c r="E509" s="2398"/>
      <c r="F509" s="2398"/>
      <c r="G509" s="2398"/>
      <c r="H509" s="2398"/>
      <c r="I509" s="2398"/>
      <c r="J509" s="2436" t="s">
        <v>550</v>
      </c>
    </row>
    <row r="510" spans="1:10">
      <c r="A510" s="2410"/>
      <c r="B510" s="2403"/>
      <c r="C510" s="2410"/>
      <c r="D510" s="2398"/>
      <c r="E510" s="2398"/>
      <c r="F510" s="2398"/>
      <c r="G510" s="2398"/>
      <c r="H510" s="2398"/>
      <c r="I510" s="2398"/>
      <c r="J510" s="2436" t="s">
        <v>550</v>
      </c>
    </row>
    <row r="511" spans="1:10">
      <c r="A511" s="2410"/>
      <c r="B511" s="2403"/>
      <c r="C511" s="2410"/>
      <c r="D511" s="2398"/>
      <c r="E511" s="2398"/>
      <c r="F511" s="2398"/>
      <c r="G511" s="2398"/>
      <c r="H511" s="2398"/>
      <c r="I511" s="2398"/>
      <c r="J511" s="2436" t="s">
        <v>550</v>
      </c>
    </row>
    <row r="512" spans="1:10">
      <c r="A512" s="2410"/>
      <c r="B512" s="2403"/>
      <c r="C512" s="2410"/>
      <c r="D512" s="2398"/>
      <c r="E512" s="2398"/>
      <c r="F512" s="2398"/>
      <c r="G512" s="2398"/>
      <c r="H512" s="2398"/>
      <c r="I512" s="2398"/>
      <c r="J512" s="2436" t="s">
        <v>550</v>
      </c>
    </row>
    <row r="513" spans="1:10">
      <c r="A513" s="2410"/>
      <c r="B513" s="2403"/>
      <c r="C513" s="2410"/>
      <c r="D513" s="2398"/>
      <c r="E513" s="2398"/>
      <c r="F513" s="2398"/>
      <c r="G513" s="2398"/>
      <c r="H513" s="2398"/>
      <c r="I513" s="2398"/>
      <c r="J513" s="2436" t="s">
        <v>550</v>
      </c>
    </row>
    <row r="514" spans="1:10">
      <c r="A514" s="2410"/>
      <c r="B514" s="2403"/>
      <c r="C514" s="2410"/>
      <c r="D514" s="2398"/>
      <c r="E514" s="2398"/>
      <c r="F514" s="2398"/>
      <c r="G514" s="2398"/>
      <c r="H514" s="2398"/>
      <c r="I514" s="2398"/>
      <c r="J514" s="2436" t="s">
        <v>550</v>
      </c>
    </row>
    <row r="515" spans="1:10">
      <c r="A515" s="2400" t="s">
        <v>385</v>
      </c>
      <c r="B515" s="2369">
        <f>ROUND(SUM(B505:B514),2)</f>
        <v>0</v>
      </c>
      <c r="C515" s="2369"/>
      <c r="D515" s="2398"/>
      <c r="E515" s="2398"/>
      <c r="F515" s="2398"/>
      <c r="G515" s="2398"/>
      <c r="H515" s="2398"/>
      <c r="I515" s="2398"/>
      <c r="J515" s="2436" t="s">
        <v>551</v>
      </c>
    </row>
    <row r="516" spans="1:10">
      <c r="A516" s="2421"/>
      <c r="B516" s="2398"/>
      <c r="C516" s="2398"/>
      <c r="D516" s="2398"/>
      <c r="E516" s="2398"/>
      <c r="F516" s="2398"/>
      <c r="G516" s="2398"/>
      <c r="H516" s="2398"/>
      <c r="I516" s="2398"/>
      <c r="J516" s="2460"/>
    </row>
    <row r="517" spans="1:10">
      <c r="A517" s="2421"/>
      <c r="B517" s="2398"/>
      <c r="C517" s="2398"/>
      <c r="D517" s="2398"/>
      <c r="E517" s="2398"/>
      <c r="F517" s="2398"/>
      <c r="G517" s="2398"/>
      <c r="H517" s="2398"/>
      <c r="I517" s="2398"/>
      <c r="J517" s="2460"/>
    </row>
    <row r="518" spans="1:10">
      <c r="A518" s="2397" t="s">
        <v>552</v>
      </c>
      <c r="B518" s="2398"/>
      <c r="C518" s="2398"/>
      <c r="D518" s="2398"/>
      <c r="E518" s="2398"/>
      <c r="F518" s="2398"/>
      <c r="G518" s="2398"/>
      <c r="H518" s="2398"/>
      <c r="I518" s="2398"/>
      <c r="J518" s="2460"/>
    </row>
    <row r="519" spans="1:10">
      <c r="A519" s="2399" t="s">
        <v>553</v>
      </c>
      <c r="B519" s="2398"/>
      <c r="C519" s="2398"/>
      <c r="D519" s="2398"/>
      <c r="E519" s="2398"/>
      <c r="F519" s="2398"/>
      <c r="G519" s="2398"/>
      <c r="H519" s="2398"/>
      <c r="I519" s="2398"/>
      <c r="J519" s="2475"/>
    </row>
    <row r="520" spans="1:10">
      <c r="A520" s="2407" t="s">
        <v>443</v>
      </c>
      <c r="B520" s="2432" t="s">
        <v>316</v>
      </c>
      <c r="C520" s="2474"/>
      <c r="D520" s="2400" t="s">
        <v>317</v>
      </c>
      <c r="E520" s="2400"/>
      <c r="F520" s="2398"/>
      <c r="G520" s="2398"/>
      <c r="H520" s="2398"/>
      <c r="I520" s="2398"/>
      <c r="J520" s="2475"/>
    </row>
    <row r="521" spans="1:10">
      <c r="A521" s="2408"/>
      <c r="B521" s="2400" t="s">
        <v>444</v>
      </c>
      <c r="C521" s="2400" t="s">
        <v>445</v>
      </c>
      <c r="D521" s="2400" t="s">
        <v>444</v>
      </c>
      <c r="E521" s="2400" t="s">
        <v>445</v>
      </c>
      <c r="F521" s="2398"/>
      <c r="G521" s="2398"/>
      <c r="H521" s="2398"/>
      <c r="I521" s="2398"/>
      <c r="J521" s="2475"/>
    </row>
    <row r="522" spans="1:10">
      <c r="A522" s="2405" t="s">
        <v>448</v>
      </c>
      <c r="B522" s="2403"/>
      <c r="C522" s="2435">
        <f>IF(B522=0,0,1-C523-C524-C525)</f>
        <v>0</v>
      </c>
      <c r="D522" s="2403"/>
      <c r="E522" s="2435">
        <f>IF(D522=0,0,1-E523-E524-E525)</f>
        <v>0</v>
      </c>
      <c r="F522" s="2398"/>
      <c r="G522" s="2398"/>
      <c r="H522" s="2398"/>
      <c r="I522" s="2398"/>
      <c r="J522" s="2436" t="s">
        <v>554</v>
      </c>
    </row>
    <row r="523" spans="1:10">
      <c r="A523" s="2405" t="s">
        <v>450</v>
      </c>
      <c r="B523" s="2403"/>
      <c r="C523" s="2435">
        <f>IF(B523=0,0,IF(B522=0,ROUND(1-C524-C525,4),ROUND(B523/B$526,4)))</f>
        <v>0</v>
      </c>
      <c r="D523" s="2403"/>
      <c r="E523" s="2435">
        <f>IF(D523=0,0,IF(D522=0,ROUND(1-E524-E525,4),ROUND(D523/D$526,4)))</f>
        <v>0</v>
      </c>
      <c r="F523" s="2398"/>
      <c r="G523" s="2398"/>
      <c r="H523" s="2398"/>
      <c r="I523" s="2398"/>
      <c r="J523" s="2436" t="s">
        <v>555</v>
      </c>
    </row>
    <row r="524" spans="1:10">
      <c r="A524" s="2405" t="s">
        <v>452</v>
      </c>
      <c r="B524" s="2403"/>
      <c r="C524" s="2435">
        <f>IF(B524=0,0,IF(AND(B522=0,B523=0),ROUND(1-C525,4),ROUND(B524/B$526,4)))</f>
        <v>0</v>
      </c>
      <c r="D524" s="2403"/>
      <c r="E524" s="2435">
        <f>IF(D524=0,0,IF(AND(D522=0,D523=0),ROUND(1-E525,4),ROUND(D524/D$526,4)))</f>
        <v>0</v>
      </c>
      <c r="F524" s="2398"/>
      <c r="G524" s="2398"/>
      <c r="H524" s="2398"/>
      <c r="I524" s="2398"/>
      <c r="J524" s="2436" t="s">
        <v>556</v>
      </c>
    </row>
    <row r="525" spans="1:10">
      <c r="A525" s="2405" t="s">
        <v>557</v>
      </c>
      <c r="B525" s="2403"/>
      <c r="C525" s="2435">
        <f>IF(B525=0,0,ROUND(B525/B$526,4))</f>
        <v>0</v>
      </c>
      <c r="D525" s="2403"/>
      <c r="E525" s="2435">
        <f>IF(D525=0,0,ROUND(D525/D$526,4))</f>
        <v>0</v>
      </c>
      <c r="F525" s="2398"/>
      <c r="G525" s="2398"/>
      <c r="H525" s="2398"/>
      <c r="I525" s="2398"/>
      <c r="J525" s="2436" t="s">
        <v>558</v>
      </c>
    </row>
    <row r="526" spans="1:10">
      <c r="A526" s="2400" t="s">
        <v>385</v>
      </c>
      <c r="B526" s="2369">
        <f>ROUND(SUM(B522:B525),2)</f>
        <v>0</v>
      </c>
      <c r="C526" s="2411">
        <f>IF(B526=0,0,1)</f>
        <v>0</v>
      </c>
      <c r="D526" s="2369">
        <f>ROUND(SUM(D522:D525),2)</f>
        <v>0</v>
      </c>
      <c r="E526" s="2411">
        <f>IF(D526=0,0,1)</f>
        <v>0</v>
      </c>
      <c r="F526" s="2398"/>
      <c r="G526" s="2398"/>
      <c r="H526" s="2398"/>
      <c r="I526" s="2398"/>
      <c r="J526" s="2436" t="s">
        <v>559</v>
      </c>
    </row>
    <row r="527" spans="1:10">
      <c r="A527" s="2421"/>
      <c r="B527" s="2398"/>
      <c r="C527" s="2398"/>
      <c r="D527" s="2398"/>
      <c r="E527" s="2398"/>
      <c r="F527" s="2398"/>
      <c r="G527" s="2398"/>
      <c r="H527" s="2398"/>
      <c r="I527" s="2398"/>
      <c r="J527" s="2460"/>
    </row>
    <row r="528" spans="1:10">
      <c r="A528" s="2399" t="s">
        <v>560</v>
      </c>
      <c r="B528" s="2398"/>
      <c r="C528" s="2398"/>
      <c r="D528" s="2398"/>
      <c r="E528" s="2398"/>
      <c r="F528" s="2398"/>
      <c r="G528" s="2398"/>
      <c r="H528" s="2398"/>
      <c r="I528" s="2398"/>
      <c r="J528" s="2460"/>
    </row>
    <row r="529" spans="1:10">
      <c r="A529" s="2400" t="s">
        <v>315</v>
      </c>
      <c r="B529" s="2400" t="s">
        <v>316</v>
      </c>
      <c r="C529" s="2400" t="s">
        <v>561</v>
      </c>
      <c r="D529" s="2400" t="s">
        <v>562</v>
      </c>
      <c r="E529" s="2398"/>
      <c r="F529" s="2398"/>
      <c r="G529" s="2398"/>
      <c r="H529" s="2398"/>
      <c r="I529" s="2398"/>
      <c r="J529" s="2460"/>
    </row>
    <row r="530" spans="1:10">
      <c r="A530" s="2410"/>
      <c r="B530" s="2403"/>
      <c r="C530" s="2410"/>
      <c r="D530" s="2410"/>
      <c r="E530" s="2398"/>
      <c r="F530" s="2398"/>
      <c r="G530" s="2398"/>
      <c r="H530" s="2398"/>
      <c r="I530" s="2398"/>
      <c r="J530" s="2436" t="s">
        <v>563</v>
      </c>
    </row>
    <row r="531" spans="1:10">
      <c r="A531" s="2410"/>
      <c r="B531" s="2403"/>
      <c r="C531" s="2410"/>
      <c r="D531" s="2410"/>
      <c r="E531" s="2398"/>
      <c r="F531" s="2398"/>
      <c r="G531" s="2398"/>
      <c r="H531" s="2398"/>
      <c r="I531" s="2398"/>
      <c r="J531" s="2436" t="s">
        <v>563</v>
      </c>
    </row>
    <row r="532" spans="1:10">
      <c r="A532" s="2410"/>
      <c r="B532" s="2403"/>
      <c r="C532" s="2410"/>
      <c r="D532" s="2410"/>
      <c r="E532" s="2398"/>
      <c r="F532" s="2398"/>
      <c r="G532" s="2398"/>
      <c r="H532" s="2398"/>
      <c r="I532" s="2398"/>
      <c r="J532" s="2436" t="s">
        <v>563</v>
      </c>
    </row>
    <row r="533" spans="1:10">
      <c r="A533" s="2410"/>
      <c r="B533" s="2403"/>
      <c r="C533" s="2410"/>
      <c r="D533" s="2410"/>
      <c r="E533" s="2398"/>
      <c r="F533" s="2398"/>
      <c r="G533" s="2398"/>
      <c r="H533" s="2398"/>
      <c r="I533" s="2398"/>
      <c r="J533" s="2436" t="s">
        <v>563</v>
      </c>
    </row>
    <row r="534" spans="1:10">
      <c r="A534" s="2410"/>
      <c r="B534" s="2403"/>
      <c r="C534" s="2410"/>
      <c r="D534" s="2410"/>
      <c r="E534" s="2398"/>
      <c r="F534" s="2398"/>
      <c r="G534" s="2398"/>
      <c r="H534" s="2398"/>
      <c r="I534" s="2398"/>
      <c r="J534" s="2436" t="s">
        <v>563</v>
      </c>
    </row>
    <row r="535" spans="1:10">
      <c r="A535" s="2410"/>
      <c r="B535" s="2403"/>
      <c r="C535" s="2410"/>
      <c r="D535" s="2410"/>
      <c r="E535" s="2398"/>
      <c r="F535" s="2398"/>
      <c r="G535" s="2398"/>
      <c r="H535" s="2398"/>
      <c r="I535" s="2398"/>
      <c r="J535" s="2436" t="s">
        <v>563</v>
      </c>
    </row>
    <row r="536" spans="1:10">
      <c r="A536" s="2410"/>
      <c r="B536" s="2403"/>
      <c r="C536" s="2410"/>
      <c r="D536" s="2410"/>
      <c r="E536" s="2398"/>
      <c r="F536" s="2398"/>
      <c r="G536" s="2398"/>
      <c r="H536" s="2398"/>
      <c r="I536" s="2398"/>
      <c r="J536" s="2436" t="s">
        <v>563</v>
      </c>
    </row>
    <row r="537" spans="1:10">
      <c r="A537" s="2410"/>
      <c r="B537" s="2403"/>
      <c r="C537" s="2410"/>
      <c r="D537" s="2410"/>
      <c r="E537" s="2398"/>
      <c r="F537" s="2398"/>
      <c r="G537" s="2398"/>
      <c r="H537" s="2398"/>
      <c r="I537" s="2398"/>
      <c r="J537" s="2436" t="s">
        <v>563</v>
      </c>
    </row>
    <row r="538" spans="1:10">
      <c r="A538" s="2410"/>
      <c r="B538" s="2403"/>
      <c r="C538" s="2410"/>
      <c r="D538" s="2410"/>
      <c r="E538" s="2398"/>
      <c r="F538" s="2398"/>
      <c r="G538" s="2398"/>
      <c r="H538" s="2398"/>
      <c r="I538" s="2398"/>
      <c r="J538" s="2436" t="s">
        <v>563</v>
      </c>
    </row>
    <row r="539" spans="1:10">
      <c r="A539" s="2410"/>
      <c r="B539" s="2403"/>
      <c r="C539" s="2410"/>
      <c r="D539" s="2410"/>
      <c r="E539" s="2398"/>
      <c r="F539" s="2398"/>
      <c r="G539" s="2398"/>
      <c r="H539" s="2398"/>
      <c r="I539" s="2398"/>
      <c r="J539" s="2436" t="s">
        <v>563</v>
      </c>
    </row>
    <row r="540" spans="1:10">
      <c r="A540" s="2400" t="s">
        <v>385</v>
      </c>
      <c r="B540" s="2369">
        <f>ROUND(SUM(B530:B539),2)</f>
        <v>0</v>
      </c>
      <c r="C540" s="2369"/>
      <c r="D540" s="2369"/>
      <c r="E540" s="2398"/>
      <c r="F540" s="2398"/>
      <c r="G540" s="2398"/>
      <c r="H540" s="2398"/>
      <c r="I540" s="2398"/>
      <c r="J540" s="2436" t="s">
        <v>564</v>
      </c>
    </row>
    <row r="541" spans="1:10">
      <c r="A541" s="2421"/>
      <c r="B541" s="2398"/>
      <c r="C541" s="2398"/>
      <c r="D541" s="2398"/>
      <c r="E541" s="2398"/>
      <c r="F541" s="2398"/>
      <c r="G541" s="2398"/>
      <c r="H541" s="2398"/>
      <c r="I541" s="2398"/>
      <c r="J541" s="2460"/>
    </row>
    <row r="542" spans="1:10">
      <c r="A542" s="2414" t="s">
        <v>565</v>
      </c>
      <c r="B542" s="2398"/>
      <c r="C542" s="2398"/>
      <c r="D542" s="2398"/>
      <c r="E542" s="2398"/>
      <c r="F542" s="2398"/>
      <c r="G542" s="2398"/>
      <c r="H542" s="2398"/>
      <c r="I542" s="2398"/>
      <c r="J542" s="2460"/>
    </row>
    <row r="543" spans="1:10">
      <c r="A543" s="2400" t="s">
        <v>495</v>
      </c>
      <c r="B543" s="2400" t="s">
        <v>316</v>
      </c>
      <c r="C543" s="2400" t="s">
        <v>317</v>
      </c>
      <c r="D543" s="2400" t="s">
        <v>496</v>
      </c>
      <c r="E543" s="2398"/>
      <c r="F543" s="2398"/>
      <c r="G543" s="2398"/>
      <c r="H543" s="2398"/>
      <c r="I543" s="2398"/>
      <c r="J543" s="2460"/>
    </row>
    <row r="544" spans="1:10">
      <c r="A544" s="2410"/>
      <c r="B544" s="2403"/>
      <c r="C544" s="2403"/>
      <c r="D544" s="2410"/>
      <c r="E544" s="2398"/>
      <c r="F544" s="2398"/>
      <c r="G544" s="2398"/>
      <c r="H544" s="2398"/>
      <c r="I544" s="2398"/>
      <c r="J544" s="2436" t="s">
        <v>566</v>
      </c>
    </row>
    <row r="545" spans="1:10">
      <c r="A545" s="2410"/>
      <c r="B545" s="2403"/>
      <c r="C545" s="2403"/>
      <c r="D545" s="2410"/>
      <c r="E545" s="2398"/>
      <c r="F545" s="2398"/>
      <c r="G545" s="2398"/>
      <c r="H545" s="2398"/>
      <c r="I545" s="2398"/>
      <c r="J545" s="2436" t="s">
        <v>566</v>
      </c>
    </row>
    <row r="546" spans="1:10">
      <c r="A546" s="2410"/>
      <c r="B546" s="2403"/>
      <c r="C546" s="2403"/>
      <c r="D546" s="2410"/>
      <c r="E546" s="2398"/>
      <c r="F546" s="2398"/>
      <c r="G546" s="2398"/>
      <c r="H546" s="2398"/>
      <c r="I546" s="2398"/>
      <c r="J546" s="2436" t="s">
        <v>566</v>
      </c>
    </row>
    <row r="547" spans="1:10">
      <c r="A547" s="2410"/>
      <c r="B547" s="2403"/>
      <c r="C547" s="2403"/>
      <c r="D547" s="2410"/>
      <c r="E547" s="2398"/>
      <c r="F547" s="2398"/>
      <c r="G547" s="2398"/>
      <c r="H547" s="2398"/>
      <c r="I547" s="2398"/>
      <c r="J547" s="2436" t="s">
        <v>566</v>
      </c>
    </row>
    <row r="548" spans="1:10">
      <c r="A548" s="2410"/>
      <c r="B548" s="2403"/>
      <c r="C548" s="2403"/>
      <c r="D548" s="2410"/>
      <c r="E548" s="2398"/>
      <c r="F548" s="2398"/>
      <c r="G548" s="2398"/>
      <c r="H548" s="2398"/>
      <c r="I548" s="2398"/>
      <c r="J548" s="2436" t="s">
        <v>566</v>
      </c>
    </row>
    <row r="549" spans="1:10">
      <c r="A549" s="2410"/>
      <c r="B549" s="2403"/>
      <c r="C549" s="2403"/>
      <c r="D549" s="2410"/>
      <c r="E549" s="2398"/>
      <c r="F549" s="2398"/>
      <c r="G549" s="2398"/>
      <c r="H549" s="2398"/>
      <c r="I549" s="2398"/>
      <c r="J549" s="2436" t="s">
        <v>566</v>
      </c>
    </row>
    <row r="550" spans="1:10">
      <c r="A550" s="2410"/>
      <c r="B550" s="2403"/>
      <c r="C550" s="2403"/>
      <c r="D550" s="2410"/>
      <c r="E550" s="2398"/>
      <c r="F550" s="2398"/>
      <c r="G550" s="2398"/>
      <c r="H550" s="2398"/>
      <c r="I550" s="2398"/>
      <c r="J550" s="2436" t="s">
        <v>566</v>
      </c>
    </row>
    <row r="551" spans="1:10">
      <c r="A551" s="2410"/>
      <c r="B551" s="2403"/>
      <c r="C551" s="2403"/>
      <c r="D551" s="2410"/>
      <c r="E551" s="2398"/>
      <c r="F551" s="2398"/>
      <c r="G551" s="2398"/>
      <c r="H551" s="2398"/>
      <c r="I551" s="2398"/>
      <c r="J551" s="2436" t="s">
        <v>566</v>
      </c>
    </row>
    <row r="552" spans="1:10">
      <c r="A552" s="2410"/>
      <c r="B552" s="2403"/>
      <c r="C552" s="2403"/>
      <c r="D552" s="2410"/>
      <c r="E552" s="2398"/>
      <c r="F552" s="2398"/>
      <c r="G552" s="2398"/>
      <c r="H552" s="2398"/>
      <c r="I552" s="2398"/>
      <c r="J552" s="2436" t="s">
        <v>566</v>
      </c>
    </row>
    <row r="553" spans="1:10">
      <c r="A553" s="2410"/>
      <c r="B553" s="2403"/>
      <c r="C553" s="2403"/>
      <c r="D553" s="2410"/>
      <c r="E553" s="2398"/>
      <c r="F553" s="2398"/>
      <c r="G553" s="2398"/>
      <c r="H553" s="2398"/>
      <c r="I553" s="2398"/>
      <c r="J553" s="2436" t="s">
        <v>566</v>
      </c>
    </row>
    <row r="554" spans="1:10">
      <c r="A554" s="2400" t="s">
        <v>385</v>
      </c>
      <c r="B554" s="2369">
        <f>ROUND(SUM(B544:B553),2)</f>
        <v>0</v>
      </c>
      <c r="C554" s="2369">
        <f>ROUND(SUM(C544:C553),2)</f>
        <v>0</v>
      </c>
      <c r="D554" s="2369"/>
      <c r="E554" s="2398"/>
      <c r="F554" s="2398"/>
      <c r="G554" s="2398"/>
      <c r="H554" s="2398"/>
      <c r="I554" s="2398"/>
      <c r="J554" s="2436" t="s">
        <v>567</v>
      </c>
    </row>
    <row r="555" spans="1:10">
      <c r="A555" s="2421"/>
      <c r="B555" s="2398"/>
      <c r="C555" s="2398"/>
      <c r="D555" s="2398"/>
      <c r="E555" s="2398"/>
      <c r="F555" s="2398"/>
      <c r="G555" s="2398"/>
      <c r="H555" s="2398"/>
      <c r="I555" s="2398"/>
      <c r="J555" s="2460"/>
    </row>
    <row r="556" spans="1:10">
      <c r="A556" s="2414" t="s">
        <v>568</v>
      </c>
      <c r="B556" s="2398"/>
      <c r="C556" s="2398"/>
      <c r="D556" s="2398"/>
      <c r="E556" s="2398"/>
      <c r="F556" s="2398"/>
      <c r="G556" s="2398"/>
      <c r="H556" s="2398"/>
      <c r="I556" s="2398"/>
      <c r="J556" s="2460"/>
    </row>
    <row r="557" spans="1:10">
      <c r="A557" s="2400" t="s">
        <v>569</v>
      </c>
      <c r="B557" s="2400" t="s">
        <v>316</v>
      </c>
      <c r="C557" s="2400" t="s">
        <v>317</v>
      </c>
      <c r="D557" s="2400" t="s">
        <v>496</v>
      </c>
      <c r="E557" s="2398"/>
      <c r="F557" s="2398"/>
      <c r="G557" s="2398"/>
      <c r="H557" s="2398"/>
      <c r="I557" s="2398"/>
      <c r="J557" s="2460"/>
    </row>
    <row r="558" spans="1:10">
      <c r="A558" s="2410"/>
      <c r="B558" s="2403"/>
      <c r="C558" s="2403"/>
      <c r="D558" s="2410"/>
      <c r="E558" s="2398"/>
      <c r="F558" s="2398"/>
      <c r="G558" s="2398"/>
      <c r="H558" s="2398"/>
      <c r="I558" s="2398"/>
      <c r="J558" s="2436" t="s">
        <v>570</v>
      </c>
    </row>
    <row r="559" spans="1:10">
      <c r="A559" s="2410"/>
      <c r="B559" s="2403"/>
      <c r="C559" s="2403"/>
      <c r="D559" s="2410"/>
      <c r="E559" s="2398"/>
      <c r="F559" s="2398"/>
      <c r="G559" s="2398"/>
      <c r="H559" s="2398"/>
      <c r="I559" s="2398"/>
      <c r="J559" s="2436" t="s">
        <v>570</v>
      </c>
    </row>
    <row r="560" spans="1:10">
      <c r="A560" s="2410"/>
      <c r="B560" s="2403"/>
      <c r="C560" s="2403"/>
      <c r="D560" s="2410"/>
      <c r="E560" s="2398"/>
      <c r="F560" s="2398"/>
      <c r="G560" s="2398"/>
      <c r="H560" s="2398"/>
      <c r="I560" s="2398"/>
      <c r="J560" s="2436" t="s">
        <v>570</v>
      </c>
    </row>
    <row r="561" spans="1:10">
      <c r="A561" s="2410"/>
      <c r="B561" s="2403"/>
      <c r="C561" s="2403"/>
      <c r="D561" s="2410"/>
      <c r="E561" s="2398"/>
      <c r="F561" s="2398"/>
      <c r="G561" s="2398"/>
      <c r="H561" s="2398"/>
      <c r="I561" s="2398"/>
      <c r="J561" s="2436" t="s">
        <v>570</v>
      </c>
    </row>
    <row r="562" spans="1:10">
      <c r="A562" s="2410"/>
      <c r="B562" s="2403"/>
      <c r="C562" s="2403"/>
      <c r="D562" s="2410"/>
      <c r="E562" s="2398"/>
      <c r="F562" s="2398"/>
      <c r="G562" s="2398"/>
      <c r="H562" s="2398"/>
      <c r="I562" s="2398"/>
      <c r="J562" s="2436" t="s">
        <v>570</v>
      </c>
    </row>
    <row r="563" spans="1:10">
      <c r="A563" s="2410"/>
      <c r="B563" s="2403"/>
      <c r="C563" s="2403"/>
      <c r="D563" s="2410"/>
      <c r="E563" s="2398"/>
      <c r="F563" s="2398"/>
      <c r="G563" s="2398"/>
      <c r="H563" s="2398"/>
      <c r="I563" s="2398"/>
      <c r="J563" s="2436" t="s">
        <v>570</v>
      </c>
    </row>
    <row r="564" spans="1:10">
      <c r="A564" s="2410"/>
      <c r="B564" s="2403"/>
      <c r="C564" s="2403"/>
      <c r="D564" s="2410"/>
      <c r="E564" s="2398"/>
      <c r="F564" s="2398"/>
      <c r="G564" s="2398"/>
      <c r="H564" s="2398"/>
      <c r="I564" s="2398"/>
      <c r="J564" s="2436" t="s">
        <v>570</v>
      </c>
    </row>
    <row r="565" spans="1:10">
      <c r="A565" s="2410"/>
      <c r="B565" s="2403"/>
      <c r="C565" s="2403"/>
      <c r="D565" s="2410"/>
      <c r="E565" s="2398"/>
      <c r="F565" s="2398"/>
      <c r="G565" s="2398"/>
      <c r="H565" s="2398"/>
      <c r="I565" s="2398"/>
      <c r="J565" s="2436" t="s">
        <v>570</v>
      </c>
    </row>
    <row r="566" spans="1:10">
      <c r="A566" s="2410"/>
      <c r="B566" s="2403"/>
      <c r="C566" s="2403"/>
      <c r="D566" s="2410"/>
      <c r="E566" s="2398"/>
      <c r="F566" s="2398"/>
      <c r="G566" s="2398"/>
      <c r="H566" s="2398"/>
      <c r="I566" s="2398"/>
      <c r="J566" s="2436" t="s">
        <v>570</v>
      </c>
    </row>
    <row r="567" spans="1:10">
      <c r="A567" s="2410"/>
      <c r="B567" s="2403"/>
      <c r="C567" s="2403"/>
      <c r="D567" s="2410"/>
      <c r="E567" s="2398"/>
      <c r="F567" s="2398"/>
      <c r="G567" s="2398"/>
      <c r="H567" s="2398"/>
      <c r="I567" s="2398"/>
      <c r="J567" s="2436" t="s">
        <v>570</v>
      </c>
    </row>
    <row r="568" spans="1:10">
      <c r="A568" s="2400" t="s">
        <v>385</v>
      </c>
      <c r="B568" s="2369">
        <f>ROUND(SUM(B558:B567),2)</f>
        <v>0</v>
      </c>
      <c r="C568" s="2369">
        <f>ROUND(SUM(C558:C567),2)</f>
        <v>0</v>
      </c>
      <c r="D568" s="2369"/>
      <c r="E568" s="2398"/>
      <c r="F568" s="2398"/>
      <c r="G568" s="2398"/>
      <c r="H568" s="2398"/>
      <c r="I568" s="2398"/>
      <c r="J568" s="2436" t="s">
        <v>571</v>
      </c>
    </row>
    <row r="569" spans="1:10">
      <c r="A569" s="2421"/>
      <c r="B569" s="2398"/>
      <c r="C569" s="2398"/>
      <c r="D569" s="2398"/>
      <c r="E569" s="2398"/>
      <c r="F569" s="2398"/>
      <c r="G569" s="2398"/>
      <c r="H569" s="2398"/>
      <c r="I569" s="2398"/>
      <c r="J569" s="2460"/>
    </row>
    <row r="570" spans="1:10">
      <c r="A570" s="2414" t="s">
        <v>572</v>
      </c>
      <c r="B570" s="2398"/>
      <c r="C570" s="2398"/>
      <c r="D570" s="2398"/>
      <c r="E570" s="2398"/>
      <c r="F570" s="2398"/>
      <c r="G570" s="2398"/>
      <c r="H570" s="2398"/>
      <c r="I570" s="2398"/>
      <c r="J570" s="2460"/>
    </row>
    <row r="571" spans="1:10">
      <c r="A571" s="2400" t="s">
        <v>315</v>
      </c>
      <c r="B571" s="2400" t="s">
        <v>316</v>
      </c>
      <c r="C571" s="2400" t="s">
        <v>489</v>
      </c>
      <c r="D571" s="2400" t="s">
        <v>573</v>
      </c>
      <c r="E571" s="2398"/>
      <c r="F571" s="2398"/>
      <c r="G571" s="2398"/>
      <c r="H571" s="2398"/>
      <c r="I571" s="2398"/>
      <c r="J571" s="2460"/>
    </row>
    <row r="572" spans="1:10">
      <c r="A572" s="2410"/>
      <c r="B572" s="2403"/>
      <c r="C572" s="2410"/>
      <c r="D572" s="2410"/>
      <c r="E572" s="2398"/>
      <c r="F572" s="2398"/>
      <c r="G572" s="2398"/>
      <c r="H572" s="2398"/>
      <c r="I572" s="2398"/>
      <c r="J572" s="2436" t="s">
        <v>574</v>
      </c>
    </row>
    <row r="573" spans="1:10">
      <c r="A573" s="2410"/>
      <c r="B573" s="2403"/>
      <c r="C573" s="2410"/>
      <c r="D573" s="2410"/>
      <c r="E573" s="2398"/>
      <c r="F573" s="2398"/>
      <c r="G573" s="2398"/>
      <c r="H573" s="2398"/>
      <c r="I573" s="2398"/>
      <c r="J573" s="2436" t="s">
        <v>574</v>
      </c>
    </row>
    <row r="574" spans="1:10">
      <c r="A574" s="2410"/>
      <c r="B574" s="2403"/>
      <c r="C574" s="2410"/>
      <c r="D574" s="2410"/>
      <c r="E574" s="2398"/>
      <c r="F574" s="2398"/>
      <c r="G574" s="2398"/>
      <c r="H574" s="2398"/>
      <c r="I574" s="2398"/>
      <c r="J574" s="2436" t="s">
        <v>574</v>
      </c>
    </row>
    <row r="575" spans="1:10">
      <c r="A575" s="2410"/>
      <c r="B575" s="2403"/>
      <c r="C575" s="2410"/>
      <c r="D575" s="2410"/>
      <c r="E575" s="2398"/>
      <c r="F575" s="2398"/>
      <c r="G575" s="2398"/>
      <c r="H575" s="2398"/>
      <c r="I575" s="2398"/>
      <c r="J575" s="2436" t="s">
        <v>574</v>
      </c>
    </row>
    <row r="576" spans="1:10">
      <c r="A576" s="2410"/>
      <c r="B576" s="2403"/>
      <c r="C576" s="2410"/>
      <c r="D576" s="2410"/>
      <c r="E576" s="2398"/>
      <c r="F576" s="2398"/>
      <c r="G576" s="2398"/>
      <c r="H576" s="2398"/>
      <c r="I576" s="2398"/>
      <c r="J576" s="2436" t="s">
        <v>574</v>
      </c>
    </row>
    <row r="577" spans="1:10">
      <c r="A577" s="2410"/>
      <c r="B577" s="2403"/>
      <c r="C577" s="2410"/>
      <c r="D577" s="2410"/>
      <c r="E577" s="2398"/>
      <c r="F577" s="2398"/>
      <c r="G577" s="2398"/>
      <c r="H577" s="2398"/>
      <c r="I577" s="2398"/>
      <c r="J577" s="2436" t="s">
        <v>574</v>
      </c>
    </row>
    <row r="578" spans="1:10">
      <c r="A578" s="2410"/>
      <c r="B578" s="2403"/>
      <c r="C578" s="2410"/>
      <c r="D578" s="2410"/>
      <c r="E578" s="2398"/>
      <c r="F578" s="2398"/>
      <c r="G578" s="2398"/>
      <c r="H578" s="2398"/>
      <c r="I578" s="2398"/>
      <c r="J578" s="2436" t="s">
        <v>574</v>
      </c>
    </row>
    <row r="579" spans="1:10">
      <c r="A579" s="2410"/>
      <c r="B579" s="2403"/>
      <c r="C579" s="2410"/>
      <c r="D579" s="2410"/>
      <c r="E579" s="2398"/>
      <c r="F579" s="2398"/>
      <c r="G579" s="2398"/>
      <c r="H579" s="2398"/>
      <c r="I579" s="2398"/>
      <c r="J579" s="2436" t="s">
        <v>574</v>
      </c>
    </row>
    <row r="580" spans="1:10">
      <c r="A580" s="2410"/>
      <c r="B580" s="2403"/>
      <c r="C580" s="2410"/>
      <c r="D580" s="2410"/>
      <c r="E580" s="2398"/>
      <c r="F580" s="2398"/>
      <c r="G580" s="2398"/>
      <c r="H580" s="2398"/>
      <c r="I580" s="2398"/>
      <c r="J580" s="2436" t="s">
        <v>574</v>
      </c>
    </row>
    <row r="581" spans="1:10">
      <c r="A581" s="2410"/>
      <c r="B581" s="2403"/>
      <c r="C581" s="2410"/>
      <c r="D581" s="2410"/>
      <c r="E581" s="2398"/>
      <c r="F581" s="2398"/>
      <c r="G581" s="2398"/>
      <c r="H581" s="2398"/>
      <c r="I581" s="2398"/>
      <c r="J581" s="2436" t="s">
        <v>574</v>
      </c>
    </row>
    <row r="582" spans="1:10">
      <c r="A582" s="2400" t="s">
        <v>385</v>
      </c>
      <c r="B582" s="2369">
        <f>ROUND(SUM(B572:B581),2)</f>
        <v>0</v>
      </c>
      <c r="C582" s="2369"/>
      <c r="D582" s="2369"/>
      <c r="E582" s="2398"/>
      <c r="F582" s="2398"/>
      <c r="G582" s="2398"/>
      <c r="H582" s="2398"/>
      <c r="I582" s="2398"/>
      <c r="J582" s="2436" t="s">
        <v>575</v>
      </c>
    </row>
    <row r="583" spans="1:10">
      <c r="A583" s="2421"/>
      <c r="B583" s="2398"/>
      <c r="C583" s="2398"/>
      <c r="D583" s="2398"/>
      <c r="E583" s="2398"/>
      <c r="F583" s="2398"/>
      <c r="G583" s="2398"/>
      <c r="H583" s="2398"/>
      <c r="I583" s="2398"/>
      <c r="J583" s="2460"/>
    </row>
    <row r="584" spans="1:10">
      <c r="A584" s="2414" t="s">
        <v>576</v>
      </c>
      <c r="B584" s="2398"/>
      <c r="C584" s="2398"/>
      <c r="D584" s="2398"/>
      <c r="E584" s="2398"/>
      <c r="F584" s="2398"/>
      <c r="G584" s="2398"/>
      <c r="H584" s="2398"/>
      <c r="I584" s="2398"/>
      <c r="J584" s="2460"/>
    </row>
    <row r="585" spans="1:10">
      <c r="A585" s="2400" t="s">
        <v>577</v>
      </c>
      <c r="B585" s="2398"/>
      <c r="C585" s="2398"/>
      <c r="D585" s="2398"/>
      <c r="E585" s="2398"/>
      <c r="F585" s="2398"/>
      <c r="G585" s="2398"/>
      <c r="H585" s="2398"/>
      <c r="I585" s="2398"/>
      <c r="J585" s="2460"/>
    </row>
    <row r="586" spans="1:10">
      <c r="A586" s="2410"/>
      <c r="B586" s="2398"/>
      <c r="C586" s="2398"/>
      <c r="D586" s="2398"/>
      <c r="E586" s="2398"/>
      <c r="F586" s="2398"/>
      <c r="G586" s="2398"/>
      <c r="H586" s="2398"/>
      <c r="I586" s="2398"/>
      <c r="J586" s="2436" t="s">
        <v>578</v>
      </c>
    </row>
    <row r="587" spans="1:10">
      <c r="A587" s="2421"/>
      <c r="B587" s="2398"/>
      <c r="C587" s="2398"/>
      <c r="D587" s="2398"/>
      <c r="E587" s="2398"/>
      <c r="F587" s="2398"/>
      <c r="G587" s="2398"/>
      <c r="H587" s="2398"/>
      <c r="I587" s="2398"/>
      <c r="J587" s="2460"/>
    </row>
    <row r="588" spans="1:10">
      <c r="A588" s="2421"/>
      <c r="B588" s="2398"/>
      <c r="C588" s="2398"/>
      <c r="D588" s="2398"/>
      <c r="E588" s="2398"/>
      <c r="F588" s="2398"/>
      <c r="G588" s="2398"/>
      <c r="H588" s="2398"/>
      <c r="I588" s="2398"/>
      <c r="J588" s="2460"/>
    </row>
    <row r="589" spans="1:10">
      <c r="A589" s="2397" t="s">
        <v>579</v>
      </c>
      <c r="B589" s="2398"/>
      <c r="C589" s="2398"/>
      <c r="D589" s="2398"/>
      <c r="E589" s="2398"/>
      <c r="F589" s="2398"/>
      <c r="G589" s="2398"/>
      <c r="H589" s="2398"/>
      <c r="I589" s="2398"/>
      <c r="J589" s="2460"/>
    </row>
    <row r="590" spans="1:10">
      <c r="A590" s="2399" t="s">
        <v>580</v>
      </c>
      <c r="B590" s="2398"/>
      <c r="C590" s="2398"/>
      <c r="D590" s="2398"/>
      <c r="E590" s="2398"/>
      <c r="F590" s="2398"/>
      <c r="G590" s="2398"/>
      <c r="H590" s="2398"/>
      <c r="I590" s="2398"/>
      <c r="J590" s="2460"/>
    </row>
    <row r="591" spans="1:11">
      <c r="A591" s="2400" t="s">
        <v>581</v>
      </c>
      <c r="B591" s="2432" t="s">
        <v>317</v>
      </c>
      <c r="C591" s="2474"/>
      <c r="D591" s="2407" t="s">
        <v>582</v>
      </c>
      <c r="E591" s="2407" t="s">
        <v>583</v>
      </c>
      <c r="F591" s="2432" t="s">
        <v>316</v>
      </c>
      <c r="G591" s="2474"/>
      <c r="H591" s="2398"/>
      <c r="I591" s="2398"/>
      <c r="J591" s="2460"/>
      <c r="K591" s="2460"/>
    </row>
    <row r="592" spans="1:11">
      <c r="A592" s="2400"/>
      <c r="B592" s="2400" t="s">
        <v>444</v>
      </c>
      <c r="C592" s="2400" t="s">
        <v>584</v>
      </c>
      <c r="D592" s="2408"/>
      <c r="E592" s="2408"/>
      <c r="F592" s="2400" t="s">
        <v>444</v>
      </c>
      <c r="G592" s="2400" t="s">
        <v>584</v>
      </c>
      <c r="H592" s="2398"/>
      <c r="I592" s="2398"/>
      <c r="J592" s="2460"/>
      <c r="K592" s="2460"/>
    </row>
    <row r="593" spans="1:11">
      <c r="A593" s="2447" t="s">
        <v>585</v>
      </c>
      <c r="B593" s="2403"/>
      <c r="C593" s="2403"/>
      <c r="D593" s="2403"/>
      <c r="E593" s="2403"/>
      <c r="F593" s="2369">
        <f t="shared" ref="F593:F603" si="10">ROUND(B593+D593-E593,2)</f>
        <v>0</v>
      </c>
      <c r="G593" s="2403"/>
      <c r="H593" s="2398"/>
      <c r="I593" s="2398"/>
      <c r="J593" s="2436" t="s">
        <v>586</v>
      </c>
      <c r="K593" s="2460"/>
    </row>
    <row r="594" spans="1:11">
      <c r="A594" s="2447" t="s">
        <v>587</v>
      </c>
      <c r="B594" s="2403"/>
      <c r="C594" s="2403"/>
      <c r="D594" s="2403"/>
      <c r="E594" s="2403"/>
      <c r="F594" s="2369">
        <f t="shared" si="10"/>
        <v>0</v>
      </c>
      <c r="G594" s="2403"/>
      <c r="H594" s="2398"/>
      <c r="I594" s="2398"/>
      <c r="J594" s="2436" t="s">
        <v>588</v>
      </c>
      <c r="K594" s="2460"/>
    </row>
    <row r="595" spans="1:11">
      <c r="A595" s="2402" t="s">
        <v>589</v>
      </c>
      <c r="B595" s="2403"/>
      <c r="C595" s="2403"/>
      <c r="D595" s="2403"/>
      <c r="E595" s="2403"/>
      <c r="F595" s="2369">
        <f t="shared" si="10"/>
        <v>0</v>
      </c>
      <c r="G595" s="2403"/>
      <c r="H595" s="2398"/>
      <c r="I595" s="2398"/>
      <c r="J595" s="2436" t="s">
        <v>590</v>
      </c>
      <c r="K595" s="2460"/>
    </row>
    <row r="596" spans="1:11">
      <c r="A596" s="2402" t="s">
        <v>591</v>
      </c>
      <c r="B596" s="2403"/>
      <c r="C596" s="2403"/>
      <c r="D596" s="2403"/>
      <c r="E596" s="2403"/>
      <c r="F596" s="2369">
        <f t="shared" si="10"/>
        <v>0</v>
      </c>
      <c r="G596" s="2403"/>
      <c r="H596" s="2398"/>
      <c r="I596" s="2398"/>
      <c r="J596" s="2436" t="s">
        <v>592</v>
      </c>
      <c r="K596" s="2460"/>
    </row>
    <row r="597" spans="1:11">
      <c r="A597" s="2402" t="s">
        <v>593</v>
      </c>
      <c r="B597" s="2403"/>
      <c r="C597" s="2403"/>
      <c r="D597" s="2403"/>
      <c r="E597" s="2403"/>
      <c r="F597" s="2369">
        <f t="shared" si="10"/>
        <v>0</v>
      </c>
      <c r="G597" s="2403"/>
      <c r="H597" s="2398"/>
      <c r="I597" s="2398"/>
      <c r="J597" s="2436" t="s">
        <v>594</v>
      </c>
      <c r="K597" s="2460"/>
    </row>
    <row r="598" spans="1:11">
      <c r="A598" s="2402" t="s">
        <v>595</v>
      </c>
      <c r="B598" s="2403"/>
      <c r="C598" s="2403"/>
      <c r="D598" s="2403"/>
      <c r="E598" s="2403"/>
      <c r="F598" s="2369">
        <f t="shared" si="10"/>
        <v>0</v>
      </c>
      <c r="G598" s="2403"/>
      <c r="H598" s="2398"/>
      <c r="I598" s="2398"/>
      <c r="J598" s="2436" t="s">
        <v>596</v>
      </c>
      <c r="K598" s="2460"/>
    </row>
    <row r="599" spans="1:11">
      <c r="A599" s="2402" t="s">
        <v>597</v>
      </c>
      <c r="B599" s="2403"/>
      <c r="C599" s="2403"/>
      <c r="D599" s="2403"/>
      <c r="E599" s="2403"/>
      <c r="F599" s="2369">
        <f t="shared" si="10"/>
        <v>0</v>
      </c>
      <c r="G599" s="2403"/>
      <c r="H599" s="2398"/>
      <c r="I599" s="2398"/>
      <c r="J599" s="2436" t="s">
        <v>598</v>
      </c>
      <c r="K599" s="2460"/>
    </row>
    <row r="600" spans="1:11">
      <c r="A600" s="2402" t="s">
        <v>599</v>
      </c>
      <c r="B600" s="2403"/>
      <c r="C600" s="2403"/>
      <c r="D600" s="2403"/>
      <c r="E600" s="2403"/>
      <c r="F600" s="2369">
        <f t="shared" si="10"/>
        <v>0</v>
      </c>
      <c r="G600" s="2403"/>
      <c r="H600" s="2398"/>
      <c r="I600" s="2398"/>
      <c r="J600" s="2436" t="s">
        <v>600</v>
      </c>
      <c r="K600" s="2460"/>
    </row>
    <row r="601" spans="1:11">
      <c r="A601" s="2402" t="s">
        <v>601</v>
      </c>
      <c r="B601" s="2403"/>
      <c r="C601" s="2403"/>
      <c r="D601" s="2403"/>
      <c r="E601" s="2403"/>
      <c r="F601" s="2369">
        <f t="shared" si="10"/>
        <v>0</v>
      </c>
      <c r="G601" s="2403"/>
      <c r="H601" s="2398"/>
      <c r="I601" s="2398"/>
      <c r="J601" s="2436" t="s">
        <v>602</v>
      </c>
      <c r="K601" s="2460"/>
    </row>
    <row r="602" spans="1:11">
      <c r="A602" s="2402" t="s">
        <v>603</v>
      </c>
      <c r="B602" s="2403"/>
      <c r="C602" s="2403"/>
      <c r="D602" s="2403"/>
      <c r="E602" s="2403"/>
      <c r="F602" s="2369">
        <f t="shared" si="10"/>
        <v>0</v>
      </c>
      <c r="G602" s="2403"/>
      <c r="H602" s="2398"/>
      <c r="I602" s="2398"/>
      <c r="J602" s="2436" t="s">
        <v>604</v>
      </c>
      <c r="K602" s="2460"/>
    </row>
    <row r="603" spans="1:11">
      <c r="A603" s="2402" t="s">
        <v>280</v>
      </c>
      <c r="B603" s="2403"/>
      <c r="C603" s="2403"/>
      <c r="D603" s="2403"/>
      <c r="E603" s="2403"/>
      <c r="F603" s="2369">
        <f t="shared" si="10"/>
        <v>0</v>
      </c>
      <c r="G603" s="2403"/>
      <c r="H603" s="2398"/>
      <c r="I603" s="2398"/>
      <c r="J603" s="2436" t="s">
        <v>605</v>
      </c>
      <c r="K603" s="2460"/>
    </row>
    <row r="604" spans="1:11">
      <c r="A604" s="2400" t="s">
        <v>385</v>
      </c>
      <c r="B604" s="2369">
        <f t="shared" ref="B604:G604" si="11">ROUND(SUM(B593:B603),2)</f>
        <v>0</v>
      </c>
      <c r="C604" s="2369">
        <f t="shared" si="11"/>
        <v>0</v>
      </c>
      <c r="D604" s="2369">
        <f t="shared" si="11"/>
        <v>0</v>
      </c>
      <c r="E604" s="2369">
        <f t="shared" si="11"/>
        <v>0</v>
      </c>
      <c r="F604" s="2369">
        <f t="shared" si="11"/>
        <v>0</v>
      </c>
      <c r="G604" s="2369">
        <f t="shared" si="11"/>
        <v>0</v>
      </c>
      <c r="H604" s="2398"/>
      <c r="I604" s="2398"/>
      <c r="J604" s="2436" t="s">
        <v>606</v>
      </c>
      <c r="K604" s="2460"/>
    </row>
    <row r="605" spans="1:10">
      <c r="A605" s="2421"/>
      <c r="B605" s="2398"/>
      <c r="C605" s="2398"/>
      <c r="D605" s="2398"/>
      <c r="E605" s="2398"/>
      <c r="F605" s="2398"/>
      <c r="G605" s="2398"/>
      <c r="H605" s="2398"/>
      <c r="I605" s="2398"/>
      <c r="J605" s="2460"/>
    </row>
    <row r="606" spans="1:10">
      <c r="A606" s="2399" t="s">
        <v>607</v>
      </c>
      <c r="B606" s="2398"/>
      <c r="C606" s="2398"/>
      <c r="D606" s="2398"/>
      <c r="E606" s="2398"/>
      <c r="F606" s="2398"/>
      <c r="G606" s="2398"/>
      <c r="H606" s="2398"/>
      <c r="I606" s="2398"/>
      <c r="J606" s="2460"/>
    </row>
    <row r="607" spans="1:10">
      <c r="A607" s="2407" t="s">
        <v>581</v>
      </c>
      <c r="B607" s="2400" t="s">
        <v>317</v>
      </c>
      <c r="C607" s="2400" t="s">
        <v>608</v>
      </c>
      <c r="D607" s="2432" t="s">
        <v>583</v>
      </c>
      <c r="E607" s="2433"/>
      <c r="F607" s="2400" t="s">
        <v>316</v>
      </c>
      <c r="G607" s="2400" t="s">
        <v>609</v>
      </c>
      <c r="H607" s="2400" t="s">
        <v>610</v>
      </c>
      <c r="I607" s="2400" t="s">
        <v>611</v>
      </c>
      <c r="J607" s="2460"/>
    </row>
    <row r="608" spans="1:10">
      <c r="A608" s="2434"/>
      <c r="B608" s="2401"/>
      <c r="C608" s="2401"/>
      <c r="D608" s="2400" t="s">
        <v>612</v>
      </c>
      <c r="E608" s="2400" t="s">
        <v>613</v>
      </c>
      <c r="F608" s="2401"/>
      <c r="G608" s="2401"/>
      <c r="H608" s="2401"/>
      <c r="I608" s="2401"/>
      <c r="J608" s="2460"/>
    </row>
    <row r="609" spans="1:10">
      <c r="A609" s="2447" t="s">
        <v>585</v>
      </c>
      <c r="B609" s="2403"/>
      <c r="C609" s="2403"/>
      <c r="D609" s="2403"/>
      <c r="E609" s="2403"/>
      <c r="F609" s="2369">
        <f>ROUND(B609+C609-D609-E609,2)</f>
        <v>0</v>
      </c>
      <c r="G609" s="2410"/>
      <c r="H609" s="2410"/>
      <c r="I609" s="2435">
        <f>IF(F593=0,0,ROUND(D609/F593,4))</f>
        <v>0</v>
      </c>
      <c r="J609" s="2436" t="s">
        <v>614</v>
      </c>
    </row>
    <row r="610" spans="1:10">
      <c r="A610" s="2447" t="s">
        <v>587</v>
      </c>
      <c r="B610" s="2403"/>
      <c r="C610" s="2403"/>
      <c r="D610" s="2403"/>
      <c r="E610" s="2403"/>
      <c r="F610" s="2369">
        <f t="shared" ref="F610:F619" si="12">ROUND(B610+C610-D610-E610,2)</f>
        <v>0</v>
      </c>
      <c r="G610" s="2410"/>
      <c r="H610" s="2410"/>
      <c r="I610" s="2435">
        <f t="shared" ref="I610:I620" si="13">IF(F594=0,0,ROUND(D610/F594,4))</f>
        <v>0</v>
      </c>
      <c r="J610" s="2436" t="s">
        <v>615</v>
      </c>
    </row>
    <row r="611" spans="1:10">
      <c r="A611" s="2402" t="s">
        <v>589</v>
      </c>
      <c r="B611" s="2403"/>
      <c r="C611" s="2403"/>
      <c r="D611" s="2403"/>
      <c r="E611" s="2403"/>
      <c r="F611" s="2369">
        <f t="shared" si="12"/>
        <v>0</v>
      </c>
      <c r="G611" s="2410"/>
      <c r="H611" s="2410"/>
      <c r="I611" s="2435">
        <f t="shared" si="13"/>
        <v>0</v>
      </c>
      <c r="J611" s="2436" t="s">
        <v>616</v>
      </c>
    </row>
    <row r="612" spans="1:10">
      <c r="A612" s="2402" t="s">
        <v>591</v>
      </c>
      <c r="B612" s="2403"/>
      <c r="C612" s="2403"/>
      <c r="D612" s="2403"/>
      <c r="E612" s="2403"/>
      <c r="F612" s="2369">
        <f t="shared" si="12"/>
        <v>0</v>
      </c>
      <c r="G612" s="2410"/>
      <c r="H612" s="2410"/>
      <c r="I612" s="2435">
        <f t="shared" si="13"/>
        <v>0</v>
      </c>
      <c r="J612" s="2436" t="s">
        <v>617</v>
      </c>
    </row>
    <row r="613" spans="1:10">
      <c r="A613" s="2402" t="s">
        <v>593</v>
      </c>
      <c r="B613" s="2403"/>
      <c r="C613" s="2403"/>
      <c r="D613" s="2403"/>
      <c r="E613" s="2403"/>
      <c r="F613" s="2369">
        <f t="shared" si="12"/>
        <v>0</v>
      </c>
      <c r="G613" s="2410"/>
      <c r="H613" s="2410"/>
      <c r="I613" s="2435">
        <f t="shared" si="13"/>
        <v>0</v>
      </c>
      <c r="J613" s="2436" t="s">
        <v>618</v>
      </c>
    </row>
    <row r="614" spans="1:10">
      <c r="A614" s="2402" t="s">
        <v>595</v>
      </c>
      <c r="B614" s="2403"/>
      <c r="C614" s="2403"/>
      <c r="D614" s="2403"/>
      <c r="E614" s="2403"/>
      <c r="F614" s="2369">
        <f t="shared" si="12"/>
        <v>0</v>
      </c>
      <c r="G614" s="2410"/>
      <c r="H614" s="2410"/>
      <c r="I614" s="2435">
        <f t="shared" si="13"/>
        <v>0</v>
      </c>
      <c r="J614" s="2436" t="s">
        <v>619</v>
      </c>
    </row>
    <row r="615" spans="1:10">
      <c r="A615" s="2402" t="s">
        <v>597</v>
      </c>
      <c r="B615" s="2403"/>
      <c r="C615" s="2403"/>
      <c r="D615" s="2403"/>
      <c r="E615" s="2403"/>
      <c r="F615" s="2369">
        <f t="shared" si="12"/>
        <v>0</v>
      </c>
      <c r="G615" s="2410"/>
      <c r="H615" s="2410"/>
      <c r="I615" s="2435">
        <f t="shared" si="13"/>
        <v>0</v>
      </c>
      <c r="J615" s="2436" t="s">
        <v>620</v>
      </c>
    </row>
    <row r="616" spans="1:10">
      <c r="A616" s="2402" t="s">
        <v>599</v>
      </c>
      <c r="B616" s="2403"/>
      <c r="C616" s="2403"/>
      <c r="D616" s="2403"/>
      <c r="E616" s="2403"/>
      <c r="F616" s="2369">
        <f t="shared" si="12"/>
        <v>0</v>
      </c>
      <c r="G616" s="2410"/>
      <c r="H616" s="2410"/>
      <c r="I616" s="2435">
        <f t="shared" si="13"/>
        <v>0</v>
      </c>
      <c r="J616" s="2436" t="s">
        <v>621</v>
      </c>
    </row>
    <row r="617" spans="1:10">
      <c r="A617" s="2402" t="s">
        <v>601</v>
      </c>
      <c r="B617" s="2403"/>
      <c r="C617" s="2403"/>
      <c r="D617" s="2403"/>
      <c r="E617" s="2403"/>
      <c r="F617" s="2369">
        <f t="shared" si="12"/>
        <v>0</v>
      </c>
      <c r="G617" s="2410"/>
      <c r="H617" s="2410"/>
      <c r="I617" s="2435">
        <f t="shared" si="13"/>
        <v>0</v>
      </c>
      <c r="J617" s="2436" t="s">
        <v>622</v>
      </c>
    </row>
    <row r="618" spans="1:10">
      <c r="A618" s="2402" t="s">
        <v>603</v>
      </c>
      <c r="B618" s="2403"/>
      <c r="C618" s="2403"/>
      <c r="D618" s="2403"/>
      <c r="E618" s="2403"/>
      <c r="F618" s="2369">
        <f t="shared" si="12"/>
        <v>0</v>
      </c>
      <c r="G618" s="2410"/>
      <c r="H618" s="2410"/>
      <c r="I618" s="2435">
        <f t="shared" si="13"/>
        <v>0</v>
      </c>
      <c r="J618" s="2436" t="s">
        <v>623</v>
      </c>
    </row>
    <row r="619" spans="1:10">
      <c r="A619" s="2402" t="s">
        <v>280</v>
      </c>
      <c r="B619" s="2403"/>
      <c r="C619" s="2403"/>
      <c r="D619" s="2403"/>
      <c r="E619" s="2403"/>
      <c r="F619" s="2369">
        <f t="shared" si="12"/>
        <v>0</v>
      </c>
      <c r="G619" s="2410"/>
      <c r="H619" s="2410"/>
      <c r="I619" s="2435">
        <f t="shared" si="13"/>
        <v>0</v>
      </c>
      <c r="J619" s="2436" t="s">
        <v>624</v>
      </c>
    </row>
    <row r="620" spans="1:10">
      <c r="A620" s="2400" t="s">
        <v>385</v>
      </c>
      <c r="B620" s="2369">
        <f>ROUND(SUM(B609:B619),2)</f>
        <v>0</v>
      </c>
      <c r="C620" s="2369">
        <f>ROUND(SUM(C609:C619),2)</f>
        <v>0</v>
      </c>
      <c r="D620" s="2369">
        <f>ROUND(SUM(D609:D619),2)</f>
        <v>0</v>
      </c>
      <c r="E620" s="2369">
        <f>ROUND(SUM(E609:E619),2)</f>
        <v>0</v>
      </c>
      <c r="F620" s="2369">
        <f>ROUND(SUM(F609:F619),2)</f>
        <v>0</v>
      </c>
      <c r="G620" s="2369"/>
      <c r="H620" s="2369"/>
      <c r="I620" s="2411">
        <f t="shared" si="13"/>
        <v>0</v>
      </c>
      <c r="J620" s="2436" t="s">
        <v>625</v>
      </c>
    </row>
    <row r="621" spans="1:10">
      <c r="A621" s="2437"/>
      <c r="B621" s="2437"/>
      <c r="C621" s="2437"/>
      <c r="D621" s="2437"/>
      <c r="E621" s="2437"/>
      <c r="F621" s="2437"/>
      <c r="G621" s="2437"/>
      <c r="H621" s="2437"/>
      <c r="I621" s="2437"/>
      <c r="J621" s="2460"/>
    </row>
    <row r="622" spans="1:10">
      <c r="A622" s="2421"/>
      <c r="B622" s="2398"/>
      <c r="C622" s="2398"/>
      <c r="D622" s="2398"/>
      <c r="E622" s="2398"/>
      <c r="F622" s="2398"/>
      <c r="G622" s="2398"/>
      <c r="H622" s="2398"/>
      <c r="I622" s="2398"/>
      <c r="J622" s="2460"/>
    </row>
    <row r="623" spans="1:10">
      <c r="A623" s="2397" t="s">
        <v>626</v>
      </c>
      <c r="B623" s="2398"/>
      <c r="C623" s="2398"/>
      <c r="D623" s="2398"/>
      <c r="E623" s="2398"/>
      <c r="F623" s="2398"/>
      <c r="G623" s="2398"/>
      <c r="H623" s="2398"/>
      <c r="I623" s="2398"/>
      <c r="J623" s="2460"/>
    </row>
    <row r="624" spans="1:10">
      <c r="A624" s="2400" t="s">
        <v>373</v>
      </c>
      <c r="B624" s="2400" t="s">
        <v>627</v>
      </c>
      <c r="C624" s="2400" t="s">
        <v>628</v>
      </c>
      <c r="D624" s="2400" t="s">
        <v>573</v>
      </c>
      <c r="E624" s="2400" t="s">
        <v>489</v>
      </c>
      <c r="F624" s="2398"/>
      <c r="G624" s="2398"/>
      <c r="H624" s="2398"/>
      <c r="I624" s="2398"/>
      <c r="J624" s="2460"/>
    </row>
    <row r="625" spans="1:10">
      <c r="A625" s="2410"/>
      <c r="B625" s="2403"/>
      <c r="C625" s="2403"/>
      <c r="D625" s="2410"/>
      <c r="E625" s="2410"/>
      <c r="F625" s="2398"/>
      <c r="G625" s="2398"/>
      <c r="H625" s="2398"/>
      <c r="I625" s="2398"/>
      <c r="J625" s="2436" t="s">
        <v>216</v>
      </c>
    </row>
    <row r="626" spans="1:10">
      <c r="A626" s="2410"/>
      <c r="B626" s="2403"/>
      <c r="C626" s="2403"/>
      <c r="D626" s="2410"/>
      <c r="E626" s="2410"/>
      <c r="F626" s="2398"/>
      <c r="G626" s="2398"/>
      <c r="H626" s="2398"/>
      <c r="I626" s="2398"/>
      <c r="J626" s="2436" t="s">
        <v>216</v>
      </c>
    </row>
    <row r="627" spans="1:10">
      <c r="A627" s="2410"/>
      <c r="B627" s="2403"/>
      <c r="C627" s="2403"/>
      <c r="D627" s="2410"/>
      <c r="E627" s="2410"/>
      <c r="F627" s="2398"/>
      <c r="G627" s="2398"/>
      <c r="H627" s="2398"/>
      <c r="I627" s="2398"/>
      <c r="J627" s="2436" t="s">
        <v>216</v>
      </c>
    </row>
    <row r="628" spans="1:10">
      <c r="A628" s="2410"/>
      <c r="B628" s="2403"/>
      <c r="C628" s="2403"/>
      <c r="D628" s="2410"/>
      <c r="E628" s="2410"/>
      <c r="F628" s="2398"/>
      <c r="G628" s="2398"/>
      <c r="H628" s="2398"/>
      <c r="I628" s="2398"/>
      <c r="J628" s="2436" t="s">
        <v>216</v>
      </c>
    </row>
    <row r="629" spans="1:10">
      <c r="A629" s="2410"/>
      <c r="B629" s="2403"/>
      <c r="C629" s="2403"/>
      <c r="D629" s="2410"/>
      <c r="E629" s="2410"/>
      <c r="F629" s="2398"/>
      <c r="G629" s="2398"/>
      <c r="H629" s="2398"/>
      <c r="I629" s="2398"/>
      <c r="J629" s="2436" t="s">
        <v>216</v>
      </c>
    </row>
    <row r="630" spans="1:10">
      <c r="A630" s="2410"/>
      <c r="B630" s="2403"/>
      <c r="C630" s="2403"/>
      <c r="D630" s="2410"/>
      <c r="E630" s="2410"/>
      <c r="F630" s="2398"/>
      <c r="G630" s="2398"/>
      <c r="H630" s="2398"/>
      <c r="I630" s="2398"/>
      <c r="J630" s="2436" t="s">
        <v>216</v>
      </c>
    </row>
    <row r="631" spans="1:10">
      <c r="A631" s="2410"/>
      <c r="B631" s="2403"/>
      <c r="C631" s="2403"/>
      <c r="D631" s="2410"/>
      <c r="E631" s="2410"/>
      <c r="F631" s="2398"/>
      <c r="G631" s="2398"/>
      <c r="H631" s="2398"/>
      <c r="I631" s="2398"/>
      <c r="J631" s="2436" t="s">
        <v>216</v>
      </c>
    </row>
    <row r="632" spans="1:10">
      <c r="A632" s="2410"/>
      <c r="B632" s="2403"/>
      <c r="C632" s="2403"/>
      <c r="D632" s="2410"/>
      <c r="E632" s="2410"/>
      <c r="F632" s="2398"/>
      <c r="G632" s="2398"/>
      <c r="H632" s="2398"/>
      <c r="I632" s="2398"/>
      <c r="J632" s="2436" t="s">
        <v>216</v>
      </c>
    </row>
    <row r="633" spans="1:10">
      <c r="A633" s="2410"/>
      <c r="B633" s="2403"/>
      <c r="C633" s="2403"/>
      <c r="D633" s="2410"/>
      <c r="E633" s="2410"/>
      <c r="F633" s="2398"/>
      <c r="G633" s="2398"/>
      <c r="H633" s="2398"/>
      <c r="I633" s="2398"/>
      <c r="J633" s="2436" t="s">
        <v>216</v>
      </c>
    </row>
    <row r="634" spans="1:10">
      <c r="A634" s="2410"/>
      <c r="B634" s="2403"/>
      <c r="C634" s="2403"/>
      <c r="D634" s="2410"/>
      <c r="E634" s="2410"/>
      <c r="F634" s="2398"/>
      <c r="G634" s="2398"/>
      <c r="H634" s="2398"/>
      <c r="I634" s="2398"/>
      <c r="J634" s="2436" t="s">
        <v>216</v>
      </c>
    </row>
    <row r="635" spans="1:10">
      <c r="A635" s="2400" t="s">
        <v>385</v>
      </c>
      <c r="B635" s="2369">
        <f>ROUND(SUM(B625:B634),2)</f>
        <v>0</v>
      </c>
      <c r="C635" s="2369">
        <f>ROUND(SUM(C625:C634),2)</f>
        <v>0</v>
      </c>
      <c r="D635" s="2369"/>
      <c r="E635" s="2369"/>
      <c r="F635" s="2398"/>
      <c r="G635" s="2398"/>
      <c r="H635" s="2398"/>
      <c r="I635" s="2398"/>
      <c r="J635" s="2436" t="s">
        <v>629</v>
      </c>
    </row>
    <row r="636" spans="1:10">
      <c r="A636" s="2456"/>
      <c r="B636" s="2398"/>
      <c r="C636" s="2398"/>
      <c r="D636" s="2398"/>
      <c r="E636" s="2398"/>
      <c r="F636" s="2398"/>
      <c r="G636" s="2398"/>
      <c r="H636" s="2398"/>
      <c r="I636" s="2398"/>
      <c r="J636" s="2436" t="s">
        <v>630</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4.25"/>
  <cols>
    <col min="1" max="1" width="37.75" customWidth="1"/>
    <col min="2" max="9" width="12.25" customWidth="1"/>
    <col min="10" max="10" width="31.25" hidden="1" customWidth="1"/>
  </cols>
  <sheetData>
    <row r="1" ht="25.5" spans="1:10">
      <c r="A1" s="2395" t="s">
        <v>312</v>
      </c>
      <c r="B1" s="2395"/>
      <c r="C1" s="2395"/>
      <c r="D1" s="2395"/>
      <c r="E1" s="2395"/>
      <c r="F1" s="2395"/>
      <c r="G1" s="2395"/>
      <c r="H1" s="2395"/>
      <c r="I1" s="2395"/>
      <c r="J1" s="2396"/>
    </row>
    <row r="2" spans="1:10">
      <c r="A2" s="2443" t="s">
        <v>631</v>
      </c>
      <c r="B2" s="2444"/>
      <c r="C2" s="2444"/>
      <c r="D2" s="2444"/>
      <c r="E2" s="2444"/>
      <c r="F2" s="2444"/>
      <c r="G2" s="2444"/>
      <c r="H2" s="2444"/>
      <c r="I2" s="2444"/>
      <c r="J2" s="2396"/>
    </row>
    <row r="3" spans="1:10">
      <c r="A3" s="2445" t="s">
        <v>314</v>
      </c>
      <c r="B3" s="2444"/>
      <c r="C3" s="2444"/>
      <c r="D3" s="2444"/>
      <c r="E3" s="2444"/>
      <c r="F3" s="2444"/>
      <c r="G3" s="2444"/>
      <c r="H3" s="2444"/>
      <c r="I3" s="2444"/>
      <c r="J3" s="2396"/>
    </row>
    <row r="4" spans="1:10">
      <c r="A4" s="2407" t="s">
        <v>373</v>
      </c>
      <c r="B4" s="2400" t="s">
        <v>316</v>
      </c>
      <c r="C4" s="2400"/>
      <c r="D4" s="2400"/>
      <c r="E4" s="2400" t="s">
        <v>317</v>
      </c>
      <c r="F4" s="2400"/>
      <c r="G4" s="2400"/>
      <c r="H4" s="2417"/>
      <c r="I4" s="2417"/>
      <c r="J4" s="2396"/>
    </row>
    <row r="5" spans="1:10">
      <c r="A5" s="2408"/>
      <c r="B5" s="2400" t="s">
        <v>444</v>
      </c>
      <c r="C5" s="2400" t="s">
        <v>632</v>
      </c>
      <c r="D5" s="2426" t="s">
        <v>633</v>
      </c>
      <c r="E5" s="2400" t="s">
        <v>444</v>
      </c>
      <c r="F5" s="2400" t="s">
        <v>632</v>
      </c>
      <c r="G5" s="2426" t="s">
        <v>633</v>
      </c>
      <c r="H5" s="2446"/>
      <c r="I5" s="2446"/>
      <c r="J5" s="2396"/>
    </row>
    <row r="6" spans="1:10">
      <c r="A6" s="2447" t="s">
        <v>634</v>
      </c>
      <c r="B6" s="2403"/>
      <c r="C6" s="2403"/>
      <c r="D6" s="2435">
        <f>IF(B6=0,0,ROUND(C6/B6,4))</f>
        <v>0</v>
      </c>
      <c r="E6" s="2403"/>
      <c r="F6" s="2403"/>
      <c r="G6" s="2435">
        <f>IF(E6=0,0,ROUND(F6/E6,4))</f>
        <v>0</v>
      </c>
      <c r="H6" s="2448"/>
      <c r="I6" s="2448"/>
      <c r="J6" s="2453" t="s">
        <v>635</v>
      </c>
    </row>
    <row r="7" spans="1:10">
      <c r="A7" s="2447" t="s">
        <v>636</v>
      </c>
      <c r="B7" s="2403"/>
      <c r="C7" s="2403"/>
      <c r="D7" s="2435">
        <f>IF(B7=0,0,ROUND(C7/B7,4))</f>
        <v>0</v>
      </c>
      <c r="E7" s="2403"/>
      <c r="F7" s="2403"/>
      <c r="G7" s="2435">
        <f>IF(E7=0,0,ROUND(F7/E7,4))</f>
        <v>0</v>
      </c>
      <c r="H7" s="2448"/>
      <c r="I7" s="2448"/>
      <c r="J7" s="2453" t="s">
        <v>637</v>
      </c>
    </row>
    <row r="8" spans="1:10">
      <c r="A8" s="2447" t="s">
        <v>280</v>
      </c>
      <c r="B8" s="2403"/>
      <c r="C8" s="2403"/>
      <c r="D8" s="2435">
        <f>IF(B8=0,0,ROUND(C8/B8,4))</f>
        <v>0</v>
      </c>
      <c r="E8" s="2403"/>
      <c r="F8" s="2403"/>
      <c r="G8" s="2435">
        <f>IF(E8=0,0,ROUND(F8/E8,4))</f>
        <v>0</v>
      </c>
      <c r="H8" s="2448"/>
      <c r="I8" s="2448"/>
      <c r="J8" s="2453" t="s">
        <v>638</v>
      </c>
    </row>
    <row r="9" spans="1:10">
      <c r="A9" s="2400" t="s">
        <v>385</v>
      </c>
      <c r="B9" s="2449">
        <f>ROUND(SUM(B6:B8),2)</f>
        <v>0</v>
      </c>
      <c r="C9" s="2449">
        <f>ROUND(SUM(C6:C8),2)</f>
        <v>0</v>
      </c>
      <c r="D9" s="2411">
        <f>IF(B9=0,0,ROUND(C9/B9,4))</f>
        <v>0</v>
      </c>
      <c r="E9" s="2449">
        <f>ROUND(SUM(E6:E8),2)</f>
        <v>0</v>
      </c>
      <c r="F9" s="2449">
        <f>ROUND(SUM(F6:F8),2)</f>
        <v>0</v>
      </c>
      <c r="G9" s="2411">
        <f>IF(E9=0,0,ROUND(F9/E9,4))</f>
        <v>0</v>
      </c>
      <c r="H9" s="2440"/>
      <c r="I9" s="2440"/>
      <c r="J9" s="2453" t="s">
        <v>639</v>
      </c>
    </row>
    <row r="10" spans="1:10">
      <c r="A10" s="2450"/>
      <c r="B10" s="2412"/>
      <c r="C10" s="2412"/>
      <c r="D10" s="2444"/>
      <c r="E10" s="2444"/>
      <c r="F10" s="2444"/>
      <c r="G10" s="2444"/>
      <c r="H10" s="2444"/>
      <c r="I10" s="2444"/>
      <c r="J10" s="2396"/>
    </row>
    <row r="11" spans="1:10">
      <c r="A11" s="2451" t="s">
        <v>640</v>
      </c>
      <c r="B11" s="2444"/>
      <c r="C11" s="2444"/>
      <c r="D11" s="2444"/>
      <c r="E11" s="2444"/>
      <c r="F11" s="2444"/>
      <c r="G11" s="2444"/>
      <c r="H11" s="2444"/>
      <c r="I11" s="2444"/>
      <c r="J11" s="2396"/>
    </row>
    <row r="12" spans="1:10">
      <c r="A12" s="2400" t="s">
        <v>373</v>
      </c>
      <c r="B12" s="2400" t="s">
        <v>641</v>
      </c>
      <c r="C12" s="2400" t="s">
        <v>642</v>
      </c>
      <c r="D12" s="2400" t="s">
        <v>643</v>
      </c>
      <c r="E12" s="2400" t="s">
        <v>644</v>
      </c>
      <c r="F12" s="2400" t="s">
        <v>645</v>
      </c>
      <c r="G12" s="2400" t="s">
        <v>646</v>
      </c>
      <c r="H12" s="2400" t="s">
        <v>516</v>
      </c>
      <c r="I12" s="2417"/>
      <c r="J12" s="2396"/>
    </row>
    <row r="13" spans="1:10">
      <c r="A13" s="2410"/>
      <c r="B13" s="2403"/>
      <c r="C13" s="2429"/>
      <c r="D13" s="2403"/>
      <c r="E13" s="2431"/>
      <c r="F13" s="2403"/>
      <c r="G13" s="2403"/>
      <c r="H13" s="2403"/>
      <c r="I13" s="2417"/>
      <c r="J13" s="2453" t="s">
        <v>647</v>
      </c>
    </row>
    <row r="14" spans="1:10">
      <c r="A14" s="2410"/>
      <c r="B14" s="2403"/>
      <c r="C14" s="2429"/>
      <c r="D14" s="2403"/>
      <c r="E14" s="2431"/>
      <c r="F14" s="2403"/>
      <c r="G14" s="2403"/>
      <c r="H14" s="2403"/>
      <c r="I14" s="2417"/>
      <c r="J14" s="2453" t="s">
        <v>647</v>
      </c>
    </row>
    <row r="15" spans="1:10">
      <c r="A15" s="2410"/>
      <c r="B15" s="2403"/>
      <c r="C15" s="2429"/>
      <c r="D15" s="2403"/>
      <c r="E15" s="2431"/>
      <c r="F15" s="2403"/>
      <c r="G15" s="2403"/>
      <c r="H15" s="2403"/>
      <c r="I15" s="2417"/>
      <c r="J15" s="2453" t="s">
        <v>647</v>
      </c>
    </row>
    <row r="16" spans="1:10">
      <c r="A16" s="2410"/>
      <c r="B16" s="2403"/>
      <c r="C16" s="2429"/>
      <c r="D16" s="2403"/>
      <c r="E16" s="2431"/>
      <c r="F16" s="2403"/>
      <c r="G16" s="2403"/>
      <c r="H16" s="2403"/>
      <c r="I16" s="2417"/>
      <c r="J16" s="2453" t="s">
        <v>647</v>
      </c>
    </row>
    <row r="17" spans="1:10">
      <c r="A17" s="2410"/>
      <c r="B17" s="2403"/>
      <c r="C17" s="2429"/>
      <c r="D17" s="2403"/>
      <c r="E17" s="2431"/>
      <c r="F17" s="2403"/>
      <c r="G17" s="2403"/>
      <c r="H17" s="2403"/>
      <c r="I17" s="2417"/>
      <c r="J17" s="2453" t="s">
        <v>647</v>
      </c>
    </row>
    <row r="18" spans="1:10">
      <c r="A18" s="2410"/>
      <c r="B18" s="2403"/>
      <c r="C18" s="2429"/>
      <c r="D18" s="2403"/>
      <c r="E18" s="2431"/>
      <c r="F18" s="2403"/>
      <c r="G18" s="2403"/>
      <c r="H18" s="2403"/>
      <c r="I18" s="2417"/>
      <c r="J18" s="2453" t="s">
        <v>647</v>
      </c>
    </row>
    <row r="19" spans="1:10">
      <c r="A19" s="2410"/>
      <c r="B19" s="2403"/>
      <c r="C19" s="2429"/>
      <c r="D19" s="2403"/>
      <c r="E19" s="2431"/>
      <c r="F19" s="2403"/>
      <c r="G19" s="2403"/>
      <c r="H19" s="2403"/>
      <c r="I19" s="2417"/>
      <c r="J19" s="2453" t="s">
        <v>647</v>
      </c>
    </row>
    <row r="20" spans="1:10">
      <c r="A20" s="2410"/>
      <c r="B20" s="2403"/>
      <c r="C20" s="2429"/>
      <c r="D20" s="2403"/>
      <c r="E20" s="2431"/>
      <c r="F20" s="2403"/>
      <c r="G20" s="2403"/>
      <c r="H20" s="2403"/>
      <c r="I20" s="2417"/>
      <c r="J20" s="2453" t="s">
        <v>647</v>
      </c>
    </row>
    <row r="21" spans="1:10">
      <c r="A21" s="2410"/>
      <c r="B21" s="2403"/>
      <c r="C21" s="2429"/>
      <c r="D21" s="2403"/>
      <c r="E21" s="2431"/>
      <c r="F21" s="2403"/>
      <c r="G21" s="2403"/>
      <c r="H21" s="2403"/>
      <c r="I21" s="2417"/>
      <c r="J21" s="2453" t="s">
        <v>647</v>
      </c>
    </row>
    <row r="22" spans="1:10">
      <c r="A22" s="2410"/>
      <c r="B22" s="2403"/>
      <c r="C22" s="2429"/>
      <c r="D22" s="2403"/>
      <c r="E22" s="2431"/>
      <c r="F22" s="2403"/>
      <c r="G22" s="2403"/>
      <c r="H22" s="2403"/>
      <c r="I22" s="2417"/>
      <c r="J22" s="2453" t="s">
        <v>647</v>
      </c>
    </row>
    <row r="23" spans="1:10">
      <c r="A23" s="2400" t="s">
        <v>385</v>
      </c>
      <c r="B23" s="2369">
        <f>ROUND(SUM(B13:B22),2)</f>
        <v>0</v>
      </c>
      <c r="C23" s="2369"/>
      <c r="D23" s="2369">
        <f>ROUND(SUM(D13:D22),2)</f>
        <v>0</v>
      </c>
      <c r="E23" s="2369"/>
      <c r="F23" s="2369">
        <f>ROUND(SUM(F13:F22),2)</f>
        <v>0</v>
      </c>
      <c r="G23" s="2369">
        <f>ROUND(SUM(G13:G22),2)</f>
        <v>0</v>
      </c>
      <c r="H23" s="2369">
        <f>ROUND(SUM(H13:H22),2)</f>
        <v>0</v>
      </c>
      <c r="I23" s="2417"/>
      <c r="J23" s="2453" t="s">
        <v>648</v>
      </c>
    </row>
    <row r="24" spans="1:10">
      <c r="A24" s="2450"/>
      <c r="B24" s="2412"/>
      <c r="C24" s="2412"/>
      <c r="D24" s="2444"/>
      <c r="E24" s="2444"/>
      <c r="F24" s="2444"/>
      <c r="G24" s="2444"/>
      <c r="H24" s="2444"/>
      <c r="I24" s="2417"/>
      <c r="J24" s="2396"/>
    </row>
    <row r="25" spans="1:10">
      <c r="A25" s="2450"/>
      <c r="B25" s="2412"/>
      <c r="C25" s="2412"/>
      <c r="D25" s="2444"/>
      <c r="E25" s="2444"/>
      <c r="F25" s="2444"/>
      <c r="G25" s="2444"/>
      <c r="H25" s="2444"/>
      <c r="I25" s="2444"/>
      <c r="J25" s="2396"/>
    </row>
    <row r="26" spans="1:10">
      <c r="A26" s="2452" t="s">
        <v>649</v>
      </c>
      <c r="B26" s="2444"/>
      <c r="C26" s="2444"/>
      <c r="D26" s="2444"/>
      <c r="E26" s="2444"/>
      <c r="F26" s="2444"/>
      <c r="G26" s="2444"/>
      <c r="H26" s="2444"/>
      <c r="I26" s="2444"/>
      <c r="J26" s="2396"/>
    </row>
    <row r="27" spans="1:10">
      <c r="A27" s="2451" t="s">
        <v>650</v>
      </c>
      <c r="B27" s="2444"/>
      <c r="C27" s="2444"/>
      <c r="D27" s="2444"/>
      <c r="E27" s="2444"/>
      <c r="F27" s="2444"/>
      <c r="G27" s="2444"/>
      <c r="H27" s="2444"/>
      <c r="I27" s="2444"/>
      <c r="J27" s="2396"/>
    </row>
    <row r="28" spans="1:10">
      <c r="A28" s="2400" t="s">
        <v>373</v>
      </c>
      <c r="B28" s="2400" t="s">
        <v>316</v>
      </c>
      <c r="C28" s="2400" t="s">
        <v>317</v>
      </c>
      <c r="D28" s="2444"/>
      <c r="E28" s="2444"/>
      <c r="F28" s="2444"/>
      <c r="G28" s="2444"/>
      <c r="H28" s="2444"/>
      <c r="I28" s="2444"/>
      <c r="J28" s="2396"/>
    </row>
    <row r="29" spans="1:10">
      <c r="A29" s="2410"/>
      <c r="B29" s="2403"/>
      <c r="C29" s="2403"/>
      <c r="D29" s="2444"/>
      <c r="E29" s="2444"/>
      <c r="F29" s="2444"/>
      <c r="G29" s="2444"/>
      <c r="H29" s="2444"/>
      <c r="I29" s="2444"/>
      <c r="J29" s="2453" t="s">
        <v>651</v>
      </c>
    </row>
    <row r="30" spans="1:10">
      <c r="A30" s="2410"/>
      <c r="B30" s="2403"/>
      <c r="C30" s="2403"/>
      <c r="D30" s="2444"/>
      <c r="E30" s="2444"/>
      <c r="F30" s="2444"/>
      <c r="G30" s="2444"/>
      <c r="H30" s="2444"/>
      <c r="I30" s="2444"/>
      <c r="J30" s="2453" t="s">
        <v>651</v>
      </c>
    </row>
    <row r="31" spans="1:10">
      <c r="A31" s="2410"/>
      <c r="B31" s="2403"/>
      <c r="C31" s="2403"/>
      <c r="D31" s="2444"/>
      <c r="E31" s="2444"/>
      <c r="F31" s="2444"/>
      <c r="G31" s="2444"/>
      <c r="H31" s="2444"/>
      <c r="I31" s="2444"/>
      <c r="J31" s="2453" t="s">
        <v>651</v>
      </c>
    </row>
    <row r="32" spans="1:10">
      <c r="A32" s="2410"/>
      <c r="B32" s="2403"/>
      <c r="C32" s="2403"/>
      <c r="D32" s="2444"/>
      <c r="E32" s="2444"/>
      <c r="F32" s="2444"/>
      <c r="G32" s="2444"/>
      <c r="H32" s="2444"/>
      <c r="I32" s="2444"/>
      <c r="J32" s="2453" t="s">
        <v>651</v>
      </c>
    </row>
    <row r="33" spans="1:10">
      <c r="A33" s="2410"/>
      <c r="B33" s="2403"/>
      <c r="C33" s="2403"/>
      <c r="D33" s="2444"/>
      <c r="E33" s="2444"/>
      <c r="F33" s="2444"/>
      <c r="G33" s="2444"/>
      <c r="H33" s="2444"/>
      <c r="I33" s="2444"/>
      <c r="J33" s="2453" t="s">
        <v>651</v>
      </c>
    </row>
    <row r="34" spans="1:10">
      <c r="A34" s="2410"/>
      <c r="B34" s="2403"/>
      <c r="C34" s="2403"/>
      <c r="D34" s="2444"/>
      <c r="E34" s="2444"/>
      <c r="F34" s="2444"/>
      <c r="G34" s="2444"/>
      <c r="H34" s="2444"/>
      <c r="I34" s="2444"/>
      <c r="J34" s="2453" t="s">
        <v>651</v>
      </c>
    </row>
    <row r="35" spans="1:10">
      <c r="A35" s="2410"/>
      <c r="B35" s="2403"/>
      <c r="C35" s="2403"/>
      <c r="D35" s="2444"/>
      <c r="E35" s="2444"/>
      <c r="F35" s="2444"/>
      <c r="G35" s="2444"/>
      <c r="H35" s="2444"/>
      <c r="I35" s="2444"/>
      <c r="J35" s="2453" t="s">
        <v>651</v>
      </c>
    </row>
    <row r="36" spans="1:10">
      <c r="A36" s="2410"/>
      <c r="B36" s="2403"/>
      <c r="C36" s="2403"/>
      <c r="D36" s="2444"/>
      <c r="E36" s="2444"/>
      <c r="F36" s="2444"/>
      <c r="G36" s="2444"/>
      <c r="H36" s="2444"/>
      <c r="I36" s="2444"/>
      <c r="J36" s="2453" t="s">
        <v>651</v>
      </c>
    </row>
    <row r="37" spans="1:10">
      <c r="A37" s="2410"/>
      <c r="B37" s="2403"/>
      <c r="C37" s="2403"/>
      <c r="D37" s="2444"/>
      <c r="E37" s="2444"/>
      <c r="F37" s="2444"/>
      <c r="G37" s="2444"/>
      <c r="H37" s="2444"/>
      <c r="I37" s="2444"/>
      <c r="J37" s="2453" t="s">
        <v>651</v>
      </c>
    </row>
    <row r="38" spans="1:10">
      <c r="A38" s="2410"/>
      <c r="B38" s="2403"/>
      <c r="C38" s="2403"/>
      <c r="D38" s="2444"/>
      <c r="E38" s="2444"/>
      <c r="F38" s="2444"/>
      <c r="G38" s="2444"/>
      <c r="H38" s="2444"/>
      <c r="I38" s="2444"/>
      <c r="J38" s="2453" t="s">
        <v>651</v>
      </c>
    </row>
    <row r="39" spans="1:10">
      <c r="A39" s="2400" t="s">
        <v>385</v>
      </c>
      <c r="B39" s="2369">
        <f>ROUND(SUM(B29:B38),2)</f>
        <v>0</v>
      </c>
      <c r="C39" s="2369">
        <f>ROUND(SUM(C29:C38),2)</f>
        <v>0</v>
      </c>
      <c r="D39" s="2444"/>
      <c r="E39" s="2444"/>
      <c r="F39" s="2444"/>
      <c r="G39" s="2444"/>
      <c r="H39" s="2444"/>
      <c r="I39" s="2444"/>
      <c r="J39" s="2453" t="s">
        <v>652</v>
      </c>
    </row>
    <row r="40" spans="1:10">
      <c r="A40" s="2412"/>
      <c r="B40" s="2412"/>
      <c r="C40" s="2412"/>
      <c r="D40" s="2444"/>
      <c r="E40" s="2444"/>
      <c r="F40" s="2444"/>
      <c r="G40" s="2444"/>
      <c r="H40" s="2444"/>
      <c r="I40" s="2444"/>
      <c r="J40" s="2396"/>
    </row>
    <row r="41" spans="1:10">
      <c r="A41" s="2445" t="s">
        <v>653</v>
      </c>
      <c r="B41" s="2444"/>
      <c r="C41" s="2444"/>
      <c r="D41" s="2444"/>
      <c r="E41" s="2444"/>
      <c r="F41" s="2444"/>
      <c r="G41" s="2444"/>
      <c r="H41" s="2444"/>
      <c r="I41" s="2444"/>
      <c r="J41" s="2396"/>
    </row>
    <row r="42" spans="1:10">
      <c r="A42" s="2400" t="s">
        <v>373</v>
      </c>
      <c r="B42" s="2400" t="s">
        <v>654</v>
      </c>
      <c r="C42" s="2400" t="s">
        <v>655</v>
      </c>
      <c r="D42" s="2400" t="s">
        <v>445</v>
      </c>
      <c r="E42" s="2444"/>
      <c r="F42" s="2444"/>
      <c r="G42" s="2444"/>
      <c r="H42" s="2444"/>
      <c r="I42" s="2444"/>
      <c r="J42" s="2396"/>
    </row>
    <row r="43" spans="1:10">
      <c r="A43" s="2410"/>
      <c r="B43" s="2403"/>
      <c r="C43" s="2403"/>
      <c r="D43" s="2435">
        <f>IF(C43=0,0,ROUND(B43/C43,4))</f>
        <v>0</v>
      </c>
      <c r="E43" s="2444"/>
      <c r="F43" s="2444"/>
      <c r="G43" s="2444"/>
      <c r="H43" s="2444"/>
      <c r="I43" s="2444"/>
      <c r="J43" s="2453" t="s">
        <v>656</v>
      </c>
    </row>
    <row r="44" spans="1:10">
      <c r="A44" s="2410"/>
      <c r="B44" s="2403"/>
      <c r="C44" s="2403"/>
      <c r="D44" s="2435">
        <f t="shared" ref="D44:D53" si="0">IF(C44=0,0,ROUND(B44/C44,4))</f>
        <v>0</v>
      </c>
      <c r="E44" s="2444"/>
      <c r="F44" s="2444"/>
      <c r="G44" s="2444"/>
      <c r="H44" s="2444"/>
      <c r="I44" s="2444"/>
      <c r="J44" s="2453" t="s">
        <v>656</v>
      </c>
    </row>
    <row r="45" spans="1:10">
      <c r="A45" s="2410"/>
      <c r="B45" s="2403"/>
      <c r="C45" s="2403"/>
      <c r="D45" s="2435">
        <f t="shared" si="0"/>
        <v>0</v>
      </c>
      <c r="E45" s="2444"/>
      <c r="F45" s="2444"/>
      <c r="G45" s="2444"/>
      <c r="H45" s="2444"/>
      <c r="I45" s="2444"/>
      <c r="J45" s="2453" t="s">
        <v>656</v>
      </c>
    </row>
    <row r="46" spans="1:10">
      <c r="A46" s="2410"/>
      <c r="B46" s="2403"/>
      <c r="C46" s="2403"/>
      <c r="D46" s="2435">
        <f t="shared" si="0"/>
        <v>0</v>
      </c>
      <c r="E46" s="2444"/>
      <c r="F46" s="2444"/>
      <c r="G46" s="2444"/>
      <c r="H46" s="2444"/>
      <c r="I46" s="2444"/>
      <c r="J46" s="2453" t="s">
        <v>656</v>
      </c>
    </row>
    <row r="47" spans="1:10">
      <c r="A47" s="2410"/>
      <c r="B47" s="2403"/>
      <c r="C47" s="2403"/>
      <c r="D47" s="2435">
        <f t="shared" si="0"/>
        <v>0</v>
      </c>
      <c r="E47" s="2444"/>
      <c r="F47" s="2444"/>
      <c r="G47" s="2444"/>
      <c r="H47" s="2444"/>
      <c r="I47" s="2444"/>
      <c r="J47" s="2453" t="s">
        <v>656</v>
      </c>
    </row>
    <row r="48" spans="1:10">
      <c r="A48" s="2410"/>
      <c r="B48" s="2403"/>
      <c r="C48" s="2403"/>
      <c r="D48" s="2435">
        <f t="shared" si="0"/>
        <v>0</v>
      </c>
      <c r="E48" s="2444"/>
      <c r="F48" s="2444"/>
      <c r="G48" s="2444"/>
      <c r="H48" s="2444"/>
      <c r="I48" s="2444"/>
      <c r="J48" s="2453" t="s">
        <v>656</v>
      </c>
    </row>
    <row r="49" spans="1:10">
      <c r="A49" s="2410"/>
      <c r="B49" s="2403"/>
      <c r="C49" s="2403"/>
      <c r="D49" s="2435">
        <f t="shared" si="0"/>
        <v>0</v>
      </c>
      <c r="E49" s="2444"/>
      <c r="F49" s="2444"/>
      <c r="G49" s="2444"/>
      <c r="H49" s="2444"/>
      <c r="I49" s="2444"/>
      <c r="J49" s="2453" t="s">
        <v>656</v>
      </c>
    </row>
    <row r="50" spans="1:10">
      <c r="A50" s="2410"/>
      <c r="B50" s="2403"/>
      <c r="C50" s="2403"/>
      <c r="D50" s="2435">
        <f t="shared" si="0"/>
        <v>0</v>
      </c>
      <c r="E50" s="2444"/>
      <c r="F50" s="2444"/>
      <c r="G50" s="2444"/>
      <c r="H50" s="2444"/>
      <c r="I50" s="2444"/>
      <c r="J50" s="2453" t="s">
        <v>656</v>
      </c>
    </row>
    <row r="51" spans="1:10">
      <c r="A51" s="2410"/>
      <c r="B51" s="2403"/>
      <c r="C51" s="2403"/>
      <c r="D51" s="2435">
        <f t="shared" si="0"/>
        <v>0</v>
      </c>
      <c r="E51" s="2444"/>
      <c r="F51" s="2444"/>
      <c r="G51" s="2444"/>
      <c r="H51" s="2444"/>
      <c r="I51" s="2444"/>
      <c r="J51" s="2453" t="s">
        <v>656</v>
      </c>
    </row>
    <row r="52" spans="1:10">
      <c r="A52" s="2410"/>
      <c r="B52" s="2403"/>
      <c r="C52" s="2403"/>
      <c r="D52" s="2435">
        <f t="shared" si="0"/>
        <v>0</v>
      </c>
      <c r="E52" s="2444"/>
      <c r="F52" s="2444"/>
      <c r="G52" s="2444"/>
      <c r="H52" s="2444"/>
      <c r="I52" s="2444"/>
      <c r="J52" s="2453" t="s">
        <v>656</v>
      </c>
    </row>
    <row r="53" spans="1:10">
      <c r="A53" s="2400" t="s">
        <v>385</v>
      </c>
      <c r="B53" s="2369">
        <f>ROUND(SUM(B43:B52),2)</f>
        <v>0</v>
      </c>
      <c r="C53" s="2369">
        <f>ROUND(SUM(C43:C52),2)</f>
        <v>0</v>
      </c>
      <c r="D53" s="2411">
        <f t="shared" si="0"/>
        <v>0</v>
      </c>
      <c r="E53" s="2444"/>
      <c r="F53" s="2444"/>
      <c r="G53" s="2444"/>
      <c r="H53" s="2444"/>
      <c r="I53" s="2444"/>
      <c r="J53" s="2453" t="s">
        <v>657</v>
      </c>
    </row>
    <row r="54" spans="1:10">
      <c r="A54" s="2450"/>
      <c r="B54" s="2412"/>
      <c r="C54" s="2412"/>
      <c r="D54" s="2444"/>
      <c r="E54" s="2444"/>
      <c r="F54" s="2444"/>
      <c r="G54" s="2444"/>
      <c r="H54" s="2444"/>
      <c r="I54" s="2444"/>
      <c r="J54" s="2396"/>
    </row>
    <row r="55" spans="1:10">
      <c r="A55" s="2450"/>
      <c r="B55" s="2412"/>
      <c r="C55" s="2412"/>
      <c r="D55" s="2444"/>
      <c r="E55" s="2444"/>
      <c r="F55" s="2444"/>
      <c r="G55" s="2444"/>
      <c r="H55" s="2444"/>
      <c r="I55" s="2444"/>
      <c r="J55" s="2396"/>
    </row>
    <row r="56" spans="1:10">
      <c r="A56" s="2452" t="s">
        <v>658</v>
      </c>
      <c r="B56" s="2444"/>
      <c r="C56" s="2444"/>
      <c r="D56" s="2444"/>
      <c r="E56" s="2444"/>
      <c r="F56" s="2444"/>
      <c r="G56" s="2444"/>
      <c r="H56" s="2444"/>
      <c r="I56" s="2444"/>
      <c r="J56" s="2396"/>
    </row>
    <row r="57" spans="1:10">
      <c r="A57" s="2400" t="s">
        <v>373</v>
      </c>
      <c r="B57" s="2400" t="s">
        <v>316</v>
      </c>
      <c r="C57" s="2400" t="s">
        <v>317</v>
      </c>
      <c r="D57" s="2444"/>
      <c r="E57" s="2444"/>
      <c r="F57" s="2444"/>
      <c r="G57" s="2444"/>
      <c r="H57" s="2444"/>
      <c r="I57" s="2444"/>
      <c r="J57" s="2396"/>
    </row>
    <row r="58" spans="1:10">
      <c r="A58" s="2402" t="s">
        <v>659</v>
      </c>
      <c r="B58" s="2403"/>
      <c r="C58" s="2403"/>
      <c r="D58" s="2444"/>
      <c r="E58" s="2444"/>
      <c r="F58" s="2444"/>
      <c r="G58" s="2444"/>
      <c r="H58" s="2444"/>
      <c r="I58" s="2444"/>
      <c r="J58" s="2453" t="s">
        <v>660</v>
      </c>
    </row>
    <row r="59" spans="1:10">
      <c r="A59" s="2402" t="s">
        <v>661</v>
      </c>
      <c r="B59" s="2403"/>
      <c r="C59" s="2403"/>
      <c r="D59" s="2444"/>
      <c r="E59" s="2444"/>
      <c r="F59" s="2444"/>
      <c r="G59" s="2444"/>
      <c r="H59" s="2444"/>
      <c r="I59" s="2444"/>
      <c r="J59" s="2453" t="s">
        <v>662</v>
      </c>
    </row>
    <row r="60" spans="1:10">
      <c r="A60" s="2402" t="s">
        <v>663</v>
      </c>
      <c r="B60" s="2403"/>
      <c r="C60" s="2403"/>
      <c r="D60" s="2444"/>
      <c r="E60" s="2444"/>
      <c r="F60" s="2444"/>
      <c r="G60" s="2444"/>
      <c r="H60" s="2444"/>
      <c r="I60" s="2444"/>
      <c r="J60" s="2453" t="s">
        <v>664</v>
      </c>
    </row>
    <row r="61" spans="1:10">
      <c r="A61" s="2402" t="s">
        <v>280</v>
      </c>
      <c r="B61" s="2403"/>
      <c r="C61" s="2403"/>
      <c r="D61" s="2444"/>
      <c r="E61" s="2444"/>
      <c r="F61" s="2444"/>
      <c r="G61" s="2444"/>
      <c r="H61" s="2444"/>
      <c r="I61" s="2444"/>
      <c r="J61" s="2453" t="s">
        <v>665</v>
      </c>
    </row>
    <row r="62" spans="1:10">
      <c r="A62" s="2400" t="s">
        <v>385</v>
      </c>
      <c r="B62" s="2369">
        <f>ROUND(SUM(B58:B61),2)</f>
        <v>0</v>
      </c>
      <c r="C62" s="2369">
        <f>ROUND(SUM(C58:C61),2)</f>
        <v>0</v>
      </c>
      <c r="D62" s="2444"/>
      <c r="E62" s="2444"/>
      <c r="F62" s="2444"/>
      <c r="G62" s="2444"/>
      <c r="H62" s="2444"/>
      <c r="I62" s="2444"/>
      <c r="J62" s="2453" t="s">
        <v>666</v>
      </c>
    </row>
    <row r="63" spans="1:10">
      <c r="A63" s="2417"/>
      <c r="B63" s="2418"/>
      <c r="C63" s="2418"/>
      <c r="D63" s="2444"/>
      <c r="E63" s="2444"/>
      <c r="F63" s="2444"/>
      <c r="G63" s="2444"/>
      <c r="H63" s="2444"/>
      <c r="I63" s="2444"/>
      <c r="J63" s="2453"/>
    </row>
    <row r="64" spans="1:10">
      <c r="A64" s="2412"/>
      <c r="B64" s="2412"/>
      <c r="C64" s="2412"/>
      <c r="D64" s="2444"/>
      <c r="E64" s="2444"/>
      <c r="F64" s="2444"/>
      <c r="G64" s="2444"/>
      <c r="H64" s="2444"/>
      <c r="I64" s="2444"/>
      <c r="J64" s="2396"/>
    </row>
    <row r="65" spans="1:10">
      <c r="A65" s="2452" t="s">
        <v>667</v>
      </c>
      <c r="B65" s="2444"/>
      <c r="C65" s="2444"/>
      <c r="D65" s="2444"/>
      <c r="E65" s="2444"/>
      <c r="F65" s="2444"/>
      <c r="G65" s="2444"/>
      <c r="H65" s="2444"/>
      <c r="I65" s="2444"/>
      <c r="J65" s="2396"/>
    </row>
    <row r="66" spans="1:10">
      <c r="A66" s="2451" t="s">
        <v>668</v>
      </c>
      <c r="B66" s="2444"/>
      <c r="C66" s="2444"/>
      <c r="D66" s="2444"/>
      <c r="E66" s="2444"/>
      <c r="F66" s="2444"/>
      <c r="G66" s="2444"/>
      <c r="H66" s="2444"/>
      <c r="I66" s="2444"/>
      <c r="J66" s="2396"/>
    </row>
    <row r="67" spans="1:10">
      <c r="A67" s="2400" t="s">
        <v>669</v>
      </c>
      <c r="B67" s="2400" t="s">
        <v>670</v>
      </c>
      <c r="C67" s="2400" t="s">
        <v>671</v>
      </c>
      <c r="D67" s="2400" t="s">
        <v>672</v>
      </c>
      <c r="E67" s="2400" t="s">
        <v>673</v>
      </c>
      <c r="F67" s="2400" t="s">
        <v>516</v>
      </c>
      <c r="G67" s="2400" t="s">
        <v>674</v>
      </c>
      <c r="H67" s="2444"/>
      <c r="I67" s="2444"/>
      <c r="J67" s="2396"/>
    </row>
    <row r="68" spans="1:10">
      <c r="A68" s="2402" t="s">
        <v>675</v>
      </c>
      <c r="B68" s="2442"/>
      <c r="C68" s="2442"/>
      <c r="D68" s="2442"/>
      <c r="E68" s="2442"/>
      <c r="F68" s="2442"/>
      <c r="G68" s="2442"/>
      <c r="H68" s="2444"/>
      <c r="I68" s="2444"/>
      <c r="J68" s="2453"/>
    </row>
    <row r="69" spans="1:10">
      <c r="A69" s="2410"/>
      <c r="B69" s="2403"/>
      <c r="C69" s="2403"/>
      <c r="D69" s="2403"/>
      <c r="E69" s="2403"/>
      <c r="F69" s="2369">
        <f>ROUND(C69+D69-E69,2)</f>
        <v>0</v>
      </c>
      <c r="G69" s="2403"/>
      <c r="H69" s="2444"/>
      <c r="I69" s="2444"/>
      <c r="J69" s="2453" t="s">
        <v>676</v>
      </c>
    </row>
    <row r="70" spans="1:10">
      <c r="A70" s="2410"/>
      <c r="B70" s="2403"/>
      <c r="C70" s="2403"/>
      <c r="D70" s="2403"/>
      <c r="E70" s="2403"/>
      <c r="F70" s="2369">
        <f t="shared" ref="F70:F78" si="1">ROUND(C70+D70-E70,2)</f>
        <v>0</v>
      </c>
      <c r="G70" s="2403"/>
      <c r="H70" s="2444"/>
      <c r="I70" s="2444"/>
      <c r="J70" s="2453" t="s">
        <v>676</v>
      </c>
    </row>
    <row r="71" spans="1:10">
      <c r="A71" s="2410"/>
      <c r="B71" s="2403"/>
      <c r="C71" s="2403"/>
      <c r="D71" s="2403"/>
      <c r="E71" s="2403"/>
      <c r="F71" s="2369">
        <f t="shared" si="1"/>
        <v>0</v>
      </c>
      <c r="G71" s="2403"/>
      <c r="H71" s="2444"/>
      <c r="I71" s="2444"/>
      <c r="J71" s="2453" t="s">
        <v>676</v>
      </c>
    </row>
    <row r="72" spans="1:10">
      <c r="A72" s="2410"/>
      <c r="B72" s="2403"/>
      <c r="C72" s="2403"/>
      <c r="D72" s="2403"/>
      <c r="E72" s="2403"/>
      <c r="F72" s="2369">
        <f t="shared" si="1"/>
        <v>0</v>
      </c>
      <c r="G72" s="2403"/>
      <c r="H72" s="2444"/>
      <c r="I72" s="2444"/>
      <c r="J72" s="2453" t="s">
        <v>676</v>
      </c>
    </row>
    <row r="73" spans="1:10">
      <c r="A73" s="2410"/>
      <c r="B73" s="2403"/>
      <c r="C73" s="2403"/>
      <c r="D73" s="2403"/>
      <c r="E73" s="2403"/>
      <c r="F73" s="2369">
        <f t="shared" si="1"/>
        <v>0</v>
      </c>
      <c r="G73" s="2403"/>
      <c r="H73" s="2444"/>
      <c r="I73" s="2444"/>
      <c r="J73" s="2453" t="s">
        <v>676</v>
      </c>
    </row>
    <row r="74" spans="1:10">
      <c r="A74" s="2410"/>
      <c r="B74" s="2403"/>
      <c r="C74" s="2403"/>
      <c r="D74" s="2403"/>
      <c r="E74" s="2403"/>
      <c r="F74" s="2369">
        <f t="shared" si="1"/>
        <v>0</v>
      </c>
      <c r="G74" s="2403"/>
      <c r="H74" s="2444"/>
      <c r="I74" s="2444"/>
      <c r="J74" s="2453" t="s">
        <v>676</v>
      </c>
    </row>
    <row r="75" spans="1:10">
      <c r="A75" s="2410"/>
      <c r="B75" s="2403"/>
      <c r="C75" s="2403"/>
      <c r="D75" s="2403"/>
      <c r="E75" s="2403"/>
      <c r="F75" s="2369">
        <f t="shared" si="1"/>
        <v>0</v>
      </c>
      <c r="G75" s="2403"/>
      <c r="H75" s="2444"/>
      <c r="I75" s="2444"/>
      <c r="J75" s="2453" t="s">
        <v>676</v>
      </c>
    </row>
    <row r="76" spans="1:10">
      <c r="A76" s="2410"/>
      <c r="B76" s="2403"/>
      <c r="C76" s="2403"/>
      <c r="D76" s="2403"/>
      <c r="E76" s="2403"/>
      <c r="F76" s="2369">
        <f t="shared" si="1"/>
        <v>0</v>
      </c>
      <c r="G76" s="2403"/>
      <c r="H76" s="2444"/>
      <c r="I76" s="2444"/>
      <c r="J76" s="2453" t="s">
        <v>676</v>
      </c>
    </row>
    <row r="77" spans="1:10">
      <c r="A77" s="2410"/>
      <c r="B77" s="2403"/>
      <c r="C77" s="2403"/>
      <c r="D77" s="2403"/>
      <c r="E77" s="2403"/>
      <c r="F77" s="2369">
        <f t="shared" si="1"/>
        <v>0</v>
      </c>
      <c r="G77" s="2403"/>
      <c r="H77" s="2444"/>
      <c r="I77" s="2444"/>
      <c r="J77" s="2453" t="s">
        <v>676</v>
      </c>
    </row>
    <row r="78" spans="1:10">
      <c r="A78" s="2410"/>
      <c r="B78" s="2403"/>
      <c r="C78" s="2403"/>
      <c r="D78" s="2403"/>
      <c r="E78" s="2403"/>
      <c r="F78" s="2369">
        <f t="shared" si="1"/>
        <v>0</v>
      </c>
      <c r="G78" s="2403"/>
      <c r="H78" s="2444"/>
      <c r="I78" s="2444"/>
      <c r="J78" s="2453" t="s">
        <v>676</v>
      </c>
    </row>
    <row r="79" spans="1:10">
      <c r="A79" s="2400" t="s">
        <v>677</v>
      </c>
      <c r="B79" s="2369">
        <f t="shared" ref="B79:G79" si="2">ROUND(SUM(B69:B78),2)</f>
        <v>0</v>
      </c>
      <c r="C79" s="2369">
        <f t="shared" si="2"/>
        <v>0</v>
      </c>
      <c r="D79" s="2369">
        <f t="shared" si="2"/>
        <v>0</v>
      </c>
      <c r="E79" s="2369">
        <f t="shared" si="2"/>
        <v>0</v>
      </c>
      <c r="F79" s="2369">
        <f t="shared" si="2"/>
        <v>0</v>
      </c>
      <c r="G79" s="2369">
        <f t="shared" si="2"/>
        <v>0</v>
      </c>
      <c r="H79" s="2444"/>
      <c r="I79" s="2444"/>
      <c r="J79" s="2453" t="s">
        <v>678</v>
      </c>
    </row>
    <row r="80" spans="1:10">
      <c r="A80" s="2405"/>
      <c r="B80" s="2405"/>
      <c r="C80" s="2405"/>
      <c r="D80" s="2442"/>
      <c r="E80" s="2442"/>
      <c r="F80" s="2442"/>
      <c r="G80" s="2442"/>
      <c r="H80" s="2444"/>
      <c r="I80" s="2444"/>
      <c r="J80" s="2453"/>
    </row>
    <row r="81" spans="1:10">
      <c r="A81" s="2402" t="s">
        <v>679</v>
      </c>
      <c r="B81" s="2442"/>
      <c r="C81" s="2442"/>
      <c r="D81" s="2442"/>
      <c r="E81" s="2442"/>
      <c r="F81" s="2442"/>
      <c r="G81" s="2442"/>
      <c r="H81" s="2444"/>
      <c r="I81" s="2444"/>
      <c r="J81" s="2453"/>
    </row>
    <row r="82" spans="1:10">
      <c r="A82" s="2410"/>
      <c r="B82" s="2403"/>
      <c r="C82" s="2403"/>
      <c r="D82" s="2403"/>
      <c r="E82" s="2403"/>
      <c r="F82" s="2369">
        <f>ROUND(C82+D82-E82,2)</f>
        <v>0</v>
      </c>
      <c r="G82" s="2403"/>
      <c r="H82" s="2444"/>
      <c r="I82" s="2444"/>
      <c r="J82" s="2453" t="s">
        <v>680</v>
      </c>
    </row>
    <row r="83" spans="1:10">
      <c r="A83" s="2410"/>
      <c r="B83" s="2403"/>
      <c r="C83" s="2403"/>
      <c r="D83" s="2403"/>
      <c r="E83" s="2403"/>
      <c r="F83" s="2369">
        <f t="shared" ref="F83:F91" si="3">ROUND(C83+D83-E83,2)</f>
        <v>0</v>
      </c>
      <c r="G83" s="2403"/>
      <c r="H83" s="2444"/>
      <c r="I83" s="2444"/>
      <c r="J83" s="2453" t="s">
        <v>680</v>
      </c>
    </row>
    <row r="84" spans="1:10">
      <c r="A84" s="2410"/>
      <c r="B84" s="2403"/>
      <c r="C84" s="2403"/>
      <c r="D84" s="2403"/>
      <c r="E84" s="2403"/>
      <c r="F84" s="2369">
        <f t="shared" si="3"/>
        <v>0</v>
      </c>
      <c r="G84" s="2403"/>
      <c r="H84" s="2444"/>
      <c r="I84" s="2444"/>
      <c r="J84" s="2453" t="s">
        <v>680</v>
      </c>
    </row>
    <row r="85" spans="1:10">
      <c r="A85" s="2410"/>
      <c r="B85" s="2403"/>
      <c r="C85" s="2403"/>
      <c r="D85" s="2403"/>
      <c r="E85" s="2403"/>
      <c r="F85" s="2369">
        <f t="shared" si="3"/>
        <v>0</v>
      </c>
      <c r="G85" s="2403"/>
      <c r="H85" s="2444"/>
      <c r="I85" s="2444"/>
      <c r="J85" s="2453" t="s">
        <v>680</v>
      </c>
    </row>
    <row r="86" spans="1:10">
      <c r="A86" s="2410"/>
      <c r="B86" s="2403"/>
      <c r="C86" s="2403"/>
      <c r="D86" s="2403"/>
      <c r="E86" s="2403"/>
      <c r="F86" s="2369">
        <f t="shared" si="3"/>
        <v>0</v>
      </c>
      <c r="G86" s="2403"/>
      <c r="H86" s="2444"/>
      <c r="I86" s="2444"/>
      <c r="J86" s="2453" t="s">
        <v>680</v>
      </c>
    </row>
    <row r="87" spans="1:10">
      <c r="A87" s="2410"/>
      <c r="B87" s="2403"/>
      <c r="C87" s="2403"/>
      <c r="D87" s="2403"/>
      <c r="E87" s="2403"/>
      <c r="F87" s="2369">
        <f t="shared" si="3"/>
        <v>0</v>
      </c>
      <c r="G87" s="2403"/>
      <c r="H87" s="2444"/>
      <c r="I87" s="2444"/>
      <c r="J87" s="2453" t="s">
        <v>680</v>
      </c>
    </row>
    <row r="88" spans="1:10">
      <c r="A88" s="2410"/>
      <c r="B88" s="2403"/>
      <c r="C88" s="2403"/>
      <c r="D88" s="2403"/>
      <c r="E88" s="2403"/>
      <c r="F88" s="2369">
        <f t="shared" si="3"/>
        <v>0</v>
      </c>
      <c r="G88" s="2403"/>
      <c r="H88" s="2444"/>
      <c r="I88" s="2444"/>
      <c r="J88" s="2453" t="s">
        <v>680</v>
      </c>
    </row>
    <row r="89" spans="1:10">
      <c r="A89" s="2410"/>
      <c r="B89" s="2403"/>
      <c r="C89" s="2403"/>
      <c r="D89" s="2403"/>
      <c r="E89" s="2403"/>
      <c r="F89" s="2369">
        <f t="shared" si="3"/>
        <v>0</v>
      </c>
      <c r="G89" s="2403"/>
      <c r="H89" s="2444"/>
      <c r="I89" s="2444"/>
      <c r="J89" s="2453" t="s">
        <v>680</v>
      </c>
    </row>
    <row r="90" spans="1:10">
      <c r="A90" s="2410"/>
      <c r="B90" s="2403"/>
      <c r="C90" s="2403"/>
      <c r="D90" s="2403"/>
      <c r="E90" s="2403"/>
      <c r="F90" s="2369">
        <f t="shared" si="3"/>
        <v>0</v>
      </c>
      <c r="G90" s="2403"/>
      <c r="H90" s="2444"/>
      <c r="I90" s="2444"/>
      <c r="J90" s="2453" t="s">
        <v>680</v>
      </c>
    </row>
    <row r="91" spans="1:10">
      <c r="A91" s="2410"/>
      <c r="B91" s="2403"/>
      <c r="C91" s="2403"/>
      <c r="D91" s="2403"/>
      <c r="E91" s="2403"/>
      <c r="F91" s="2369">
        <f t="shared" si="3"/>
        <v>0</v>
      </c>
      <c r="G91" s="2403"/>
      <c r="H91" s="2444"/>
      <c r="I91" s="2444"/>
      <c r="J91" s="2453" t="s">
        <v>680</v>
      </c>
    </row>
    <row r="92" spans="1:10">
      <c r="A92" s="2400" t="s">
        <v>677</v>
      </c>
      <c r="B92" s="2369">
        <f t="shared" ref="B92:G92" si="4">ROUND(SUM(B82:B91),2)</f>
        <v>0</v>
      </c>
      <c r="C92" s="2369">
        <f t="shared" si="4"/>
        <v>0</v>
      </c>
      <c r="D92" s="2369">
        <f t="shared" si="4"/>
        <v>0</v>
      </c>
      <c r="E92" s="2369">
        <f t="shared" si="4"/>
        <v>0</v>
      </c>
      <c r="F92" s="2369">
        <f t="shared" si="4"/>
        <v>0</v>
      </c>
      <c r="G92" s="2369">
        <f t="shared" si="4"/>
        <v>0</v>
      </c>
      <c r="H92" s="2444"/>
      <c r="I92" s="2444"/>
      <c r="J92" s="2453" t="s">
        <v>681</v>
      </c>
    </row>
    <row r="93" spans="1:10">
      <c r="A93" s="2405"/>
      <c r="B93" s="2405"/>
      <c r="C93" s="2405"/>
      <c r="D93" s="2442"/>
      <c r="E93" s="2442"/>
      <c r="F93" s="2442"/>
      <c r="G93" s="2442"/>
      <c r="H93" s="2444"/>
      <c r="I93" s="2444"/>
      <c r="J93" s="2453"/>
    </row>
    <row r="94" spans="1:10">
      <c r="A94" s="2400" t="s">
        <v>385</v>
      </c>
      <c r="B94" s="2369">
        <f t="shared" ref="B94:G94" si="5">ROUND(B79+B92,2)</f>
        <v>0</v>
      </c>
      <c r="C94" s="2369">
        <f t="shared" si="5"/>
        <v>0</v>
      </c>
      <c r="D94" s="2369">
        <f t="shared" si="5"/>
        <v>0</v>
      </c>
      <c r="E94" s="2369">
        <f t="shared" si="5"/>
        <v>0</v>
      </c>
      <c r="F94" s="2369">
        <f t="shared" si="5"/>
        <v>0</v>
      </c>
      <c r="G94" s="2369">
        <f t="shared" si="5"/>
        <v>0</v>
      </c>
      <c r="H94" s="2444"/>
      <c r="I94" s="2444"/>
      <c r="J94" s="2453" t="s">
        <v>682</v>
      </c>
    </row>
    <row r="95" spans="1:10">
      <c r="A95" s="2450"/>
      <c r="B95" s="2418"/>
      <c r="C95" s="2418"/>
      <c r="D95" s="2444"/>
      <c r="E95" s="2444"/>
      <c r="F95" s="2444"/>
      <c r="G95" s="2444"/>
      <c r="H95" s="2444"/>
      <c r="I95" s="2444"/>
      <c r="J95" s="2396"/>
    </row>
    <row r="96" spans="1:10">
      <c r="A96" s="2451" t="s">
        <v>683</v>
      </c>
      <c r="B96" s="2444"/>
      <c r="C96" s="2444"/>
      <c r="D96" s="2444"/>
      <c r="E96" s="2444"/>
      <c r="F96" s="2444"/>
      <c r="G96" s="2444"/>
      <c r="H96" s="2444"/>
      <c r="I96" s="2444"/>
      <c r="J96" s="2396"/>
    </row>
    <row r="97" spans="1:10">
      <c r="A97" s="2400" t="s">
        <v>669</v>
      </c>
      <c r="B97" s="2400" t="s">
        <v>684</v>
      </c>
      <c r="C97" s="2400" t="s">
        <v>671</v>
      </c>
      <c r="D97" s="2400" t="s">
        <v>672</v>
      </c>
      <c r="E97" s="2400" t="s">
        <v>673</v>
      </c>
      <c r="F97" s="2400" t="s">
        <v>516</v>
      </c>
      <c r="G97" s="2444"/>
      <c r="H97" s="2444"/>
      <c r="I97" s="2444"/>
      <c r="J97" s="2396"/>
    </row>
    <row r="98" spans="1:10">
      <c r="A98" s="2402" t="s">
        <v>675</v>
      </c>
      <c r="B98" s="2442"/>
      <c r="C98" s="2442"/>
      <c r="D98" s="2442"/>
      <c r="E98" s="2442"/>
      <c r="F98" s="2442"/>
      <c r="G98" s="2444"/>
      <c r="H98" s="2444"/>
      <c r="I98" s="2444"/>
      <c r="J98" s="2453"/>
    </row>
    <row r="99" spans="1:10">
      <c r="A99" s="2410"/>
      <c r="B99" s="2410"/>
      <c r="C99" s="2403"/>
      <c r="D99" s="2403"/>
      <c r="E99" s="2403"/>
      <c r="F99" s="2369">
        <f>ROUND(C99+D99-E99,2)</f>
        <v>0</v>
      </c>
      <c r="G99" s="2444"/>
      <c r="H99" s="2444"/>
      <c r="I99" s="2444"/>
      <c r="J99" s="2453" t="s">
        <v>685</v>
      </c>
    </row>
    <row r="100" spans="1:10">
      <c r="A100" s="2410"/>
      <c r="B100" s="2410"/>
      <c r="C100" s="2403"/>
      <c r="D100" s="2403"/>
      <c r="E100" s="2403"/>
      <c r="F100" s="2369">
        <f t="shared" ref="F100:F108" si="6">ROUND(C100+D100-E100,2)</f>
        <v>0</v>
      </c>
      <c r="G100" s="2444"/>
      <c r="H100" s="2444"/>
      <c r="I100" s="2444"/>
      <c r="J100" s="2453" t="s">
        <v>685</v>
      </c>
    </row>
    <row r="101" spans="1:10">
      <c r="A101" s="2410"/>
      <c r="B101" s="2410"/>
      <c r="C101" s="2403"/>
      <c r="D101" s="2403"/>
      <c r="E101" s="2403"/>
      <c r="F101" s="2369">
        <f t="shared" si="6"/>
        <v>0</v>
      </c>
      <c r="G101" s="2444"/>
      <c r="H101" s="2444"/>
      <c r="I101" s="2444"/>
      <c r="J101" s="2453" t="s">
        <v>685</v>
      </c>
    </row>
    <row r="102" spans="1:10">
      <c r="A102" s="2410"/>
      <c r="B102" s="2410"/>
      <c r="C102" s="2403"/>
      <c r="D102" s="2403"/>
      <c r="E102" s="2403"/>
      <c r="F102" s="2369">
        <f t="shared" si="6"/>
        <v>0</v>
      </c>
      <c r="G102" s="2444"/>
      <c r="H102" s="2444"/>
      <c r="I102" s="2444"/>
      <c r="J102" s="2453" t="s">
        <v>685</v>
      </c>
    </row>
    <row r="103" spans="1:10">
      <c r="A103" s="2410"/>
      <c r="B103" s="2410"/>
      <c r="C103" s="2403"/>
      <c r="D103" s="2403"/>
      <c r="E103" s="2403"/>
      <c r="F103" s="2369">
        <f t="shared" si="6"/>
        <v>0</v>
      </c>
      <c r="G103" s="2444"/>
      <c r="H103" s="2444"/>
      <c r="I103" s="2444"/>
      <c r="J103" s="2453" t="s">
        <v>685</v>
      </c>
    </row>
    <row r="104" spans="1:10">
      <c r="A104" s="2410"/>
      <c r="B104" s="2410"/>
      <c r="C104" s="2403"/>
      <c r="D104" s="2403"/>
      <c r="E104" s="2403"/>
      <c r="F104" s="2369">
        <f t="shared" si="6"/>
        <v>0</v>
      </c>
      <c r="G104" s="2444"/>
      <c r="H104" s="2444"/>
      <c r="I104" s="2444"/>
      <c r="J104" s="2453" t="s">
        <v>685</v>
      </c>
    </row>
    <row r="105" spans="1:10">
      <c r="A105" s="2410"/>
      <c r="B105" s="2410"/>
      <c r="C105" s="2403"/>
      <c r="D105" s="2403"/>
      <c r="E105" s="2403"/>
      <c r="F105" s="2369">
        <f t="shared" si="6"/>
        <v>0</v>
      </c>
      <c r="G105" s="2444"/>
      <c r="H105" s="2444"/>
      <c r="I105" s="2444"/>
      <c r="J105" s="2453" t="s">
        <v>685</v>
      </c>
    </row>
    <row r="106" spans="1:10">
      <c r="A106" s="2410"/>
      <c r="B106" s="2410"/>
      <c r="C106" s="2403"/>
      <c r="D106" s="2403"/>
      <c r="E106" s="2403"/>
      <c r="F106" s="2369">
        <f t="shared" si="6"/>
        <v>0</v>
      </c>
      <c r="G106" s="2444"/>
      <c r="H106" s="2444"/>
      <c r="I106" s="2444"/>
      <c r="J106" s="2453" t="s">
        <v>685</v>
      </c>
    </row>
    <row r="107" spans="1:10">
      <c r="A107" s="2410"/>
      <c r="B107" s="2410"/>
      <c r="C107" s="2403"/>
      <c r="D107" s="2403"/>
      <c r="E107" s="2403"/>
      <c r="F107" s="2369">
        <f t="shared" si="6"/>
        <v>0</v>
      </c>
      <c r="G107" s="2444"/>
      <c r="H107" s="2444"/>
      <c r="I107" s="2444"/>
      <c r="J107" s="2453" t="s">
        <v>685</v>
      </c>
    </row>
    <row r="108" spans="1:10">
      <c r="A108" s="2410"/>
      <c r="B108" s="2410"/>
      <c r="C108" s="2403"/>
      <c r="D108" s="2403"/>
      <c r="E108" s="2403"/>
      <c r="F108" s="2369">
        <f t="shared" si="6"/>
        <v>0</v>
      </c>
      <c r="G108" s="2444"/>
      <c r="H108" s="2444"/>
      <c r="I108" s="2444"/>
      <c r="J108" s="2453" t="s">
        <v>685</v>
      </c>
    </row>
    <row r="109" spans="1:10">
      <c r="A109" s="2400" t="s">
        <v>677</v>
      </c>
      <c r="B109" s="2369"/>
      <c r="C109" s="2369">
        <f>ROUND(SUM(C99:C108),2)</f>
        <v>0</v>
      </c>
      <c r="D109" s="2369">
        <f>ROUND(SUM(D99:D108),2)</f>
        <v>0</v>
      </c>
      <c r="E109" s="2369">
        <f>ROUND(SUM(E99:E108),2)</f>
        <v>0</v>
      </c>
      <c r="F109" s="2369">
        <f>ROUND(SUM(F99:F108),2)</f>
        <v>0</v>
      </c>
      <c r="G109" s="2444"/>
      <c r="H109" s="2444"/>
      <c r="I109" s="2444"/>
      <c r="J109" s="2453" t="s">
        <v>686</v>
      </c>
    </row>
    <row r="110" spans="1:10">
      <c r="A110" s="2405"/>
      <c r="B110" s="2405"/>
      <c r="C110" s="2405"/>
      <c r="D110" s="2442"/>
      <c r="E110" s="2442"/>
      <c r="F110" s="2442"/>
      <c r="G110" s="2444"/>
      <c r="H110" s="2444"/>
      <c r="I110" s="2444"/>
      <c r="J110" s="2453"/>
    </row>
    <row r="111" spans="1:10">
      <c r="A111" s="2402" t="s">
        <v>679</v>
      </c>
      <c r="B111" s="2442"/>
      <c r="C111" s="2442"/>
      <c r="D111" s="2442"/>
      <c r="E111" s="2442"/>
      <c r="F111" s="2442"/>
      <c r="G111" s="2444"/>
      <c r="H111" s="2444"/>
      <c r="I111" s="2444"/>
      <c r="J111" s="2453"/>
    </row>
    <row r="112" spans="1:10">
      <c r="A112" s="2410"/>
      <c r="B112" s="2410"/>
      <c r="C112" s="2403"/>
      <c r="D112" s="2403"/>
      <c r="E112" s="2403"/>
      <c r="F112" s="2369">
        <f>ROUND(C112+D112-E112,2)</f>
        <v>0</v>
      </c>
      <c r="G112" s="2444"/>
      <c r="H112" s="2444"/>
      <c r="I112" s="2444"/>
      <c r="J112" s="2453" t="s">
        <v>687</v>
      </c>
    </row>
    <row r="113" spans="1:10">
      <c r="A113" s="2410"/>
      <c r="B113" s="2410"/>
      <c r="C113" s="2403"/>
      <c r="D113" s="2403"/>
      <c r="E113" s="2403"/>
      <c r="F113" s="2369">
        <f t="shared" ref="F113:F121" si="7">ROUND(C113+D113-E113,2)</f>
        <v>0</v>
      </c>
      <c r="G113" s="2444"/>
      <c r="H113" s="2444"/>
      <c r="I113" s="2444"/>
      <c r="J113" s="2453" t="s">
        <v>687</v>
      </c>
    </row>
    <row r="114" spans="1:10">
      <c r="A114" s="2410"/>
      <c r="B114" s="2410"/>
      <c r="C114" s="2403"/>
      <c r="D114" s="2403"/>
      <c r="E114" s="2403"/>
      <c r="F114" s="2369">
        <f t="shared" si="7"/>
        <v>0</v>
      </c>
      <c r="G114" s="2444"/>
      <c r="H114" s="2444"/>
      <c r="I114" s="2444"/>
      <c r="J114" s="2453" t="s">
        <v>687</v>
      </c>
    </row>
    <row r="115" spans="1:10">
      <c r="A115" s="2410"/>
      <c r="B115" s="2410"/>
      <c r="C115" s="2403"/>
      <c r="D115" s="2403"/>
      <c r="E115" s="2403"/>
      <c r="F115" s="2369">
        <f t="shared" si="7"/>
        <v>0</v>
      </c>
      <c r="G115" s="2444"/>
      <c r="H115" s="2444"/>
      <c r="I115" s="2444"/>
      <c r="J115" s="2453" t="s">
        <v>687</v>
      </c>
    </row>
    <row r="116" spans="1:10">
      <c r="A116" s="2410"/>
      <c r="B116" s="2410"/>
      <c r="C116" s="2403"/>
      <c r="D116" s="2403"/>
      <c r="E116" s="2403"/>
      <c r="F116" s="2369">
        <f t="shared" si="7"/>
        <v>0</v>
      </c>
      <c r="G116" s="2444"/>
      <c r="H116" s="2444"/>
      <c r="I116" s="2444"/>
      <c r="J116" s="2453" t="s">
        <v>687</v>
      </c>
    </row>
    <row r="117" spans="1:10">
      <c r="A117" s="2410"/>
      <c r="B117" s="2410"/>
      <c r="C117" s="2403"/>
      <c r="D117" s="2403"/>
      <c r="E117" s="2403"/>
      <c r="F117" s="2369">
        <f t="shared" si="7"/>
        <v>0</v>
      </c>
      <c r="G117" s="2444"/>
      <c r="H117" s="2444"/>
      <c r="I117" s="2444"/>
      <c r="J117" s="2453" t="s">
        <v>687</v>
      </c>
    </row>
    <row r="118" spans="1:10">
      <c r="A118" s="2410"/>
      <c r="B118" s="2410"/>
      <c r="C118" s="2403"/>
      <c r="D118" s="2403"/>
      <c r="E118" s="2403"/>
      <c r="F118" s="2369">
        <f t="shared" si="7"/>
        <v>0</v>
      </c>
      <c r="G118" s="2444"/>
      <c r="H118" s="2444"/>
      <c r="I118" s="2444"/>
      <c r="J118" s="2453" t="s">
        <v>687</v>
      </c>
    </row>
    <row r="119" spans="1:10">
      <c r="A119" s="2410"/>
      <c r="B119" s="2410"/>
      <c r="C119" s="2403"/>
      <c r="D119" s="2403"/>
      <c r="E119" s="2403"/>
      <c r="F119" s="2369">
        <f t="shared" si="7"/>
        <v>0</v>
      </c>
      <c r="G119" s="2444"/>
      <c r="H119" s="2444"/>
      <c r="I119" s="2444"/>
      <c r="J119" s="2453" t="s">
        <v>687</v>
      </c>
    </row>
    <row r="120" spans="1:10">
      <c r="A120" s="2410"/>
      <c r="B120" s="2410"/>
      <c r="C120" s="2403"/>
      <c r="D120" s="2403"/>
      <c r="E120" s="2403"/>
      <c r="F120" s="2369">
        <f t="shared" si="7"/>
        <v>0</v>
      </c>
      <c r="G120" s="2444"/>
      <c r="H120" s="2444"/>
      <c r="I120" s="2444"/>
      <c r="J120" s="2453" t="s">
        <v>687</v>
      </c>
    </row>
    <row r="121" spans="1:10">
      <c r="A121" s="2410"/>
      <c r="B121" s="2410"/>
      <c r="C121" s="2403"/>
      <c r="D121" s="2403"/>
      <c r="E121" s="2403"/>
      <c r="F121" s="2369">
        <f t="shared" si="7"/>
        <v>0</v>
      </c>
      <c r="G121" s="2444"/>
      <c r="H121" s="2444"/>
      <c r="I121" s="2444"/>
      <c r="J121" s="2453" t="s">
        <v>687</v>
      </c>
    </row>
    <row r="122" spans="1:10">
      <c r="A122" s="2400" t="s">
        <v>677</v>
      </c>
      <c r="B122" s="2369"/>
      <c r="C122" s="2369">
        <f>ROUND(SUM(C112:C121),2)</f>
        <v>0</v>
      </c>
      <c r="D122" s="2369">
        <f>ROUND(SUM(D112:D121),2)</f>
        <v>0</v>
      </c>
      <c r="E122" s="2369">
        <f>ROUND(SUM(E112:E121),2)</f>
        <v>0</v>
      </c>
      <c r="F122" s="2369">
        <f>ROUND(SUM(F112:F121),2)</f>
        <v>0</v>
      </c>
      <c r="G122" s="2444"/>
      <c r="H122" s="2444"/>
      <c r="I122" s="2444"/>
      <c r="J122" s="2453" t="s">
        <v>688</v>
      </c>
    </row>
    <row r="123" spans="1:10">
      <c r="A123" s="2405"/>
      <c r="B123" s="2405"/>
      <c r="C123" s="2405"/>
      <c r="D123" s="2442"/>
      <c r="E123" s="2442"/>
      <c r="F123" s="2442"/>
      <c r="G123" s="2444"/>
      <c r="H123" s="2444"/>
      <c r="I123" s="2444"/>
      <c r="J123" s="2453"/>
    </row>
    <row r="124" spans="1:10">
      <c r="A124" s="2400" t="s">
        <v>385</v>
      </c>
      <c r="B124" s="2369"/>
      <c r="C124" s="2369">
        <f>ROUND(C109+C122,2)</f>
        <v>0</v>
      </c>
      <c r="D124" s="2369">
        <f>ROUND(D109+D122,2)</f>
        <v>0</v>
      </c>
      <c r="E124" s="2369">
        <f>ROUND(E109+E122,2)</f>
        <v>0</v>
      </c>
      <c r="F124" s="2369">
        <f>ROUND(F109+F122,2)</f>
        <v>0</v>
      </c>
      <c r="G124" s="2444"/>
      <c r="H124" s="2444"/>
      <c r="I124" s="2444"/>
      <c r="J124" s="2453" t="s">
        <v>689</v>
      </c>
    </row>
    <row r="125" spans="1:10">
      <c r="A125" s="2417"/>
      <c r="B125" s="2418"/>
      <c r="C125" s="2418"/>
      <c r="D125" s="2418"/>
      <c r="E125" s="2418"/>
      <c r="F125" s="2418"/>
      <c r="G125" s="2418"/>
      <c r="H125" s="2444"/>
      <c r="I125" s="2444"/>
      <c r="J125" s="2453"/>
    </row>
    <row r="126" spans="1:10">
      <c r="A126" s="2414" t="s">
        <v>690</v>
      </c>
      <c r="B126" s="2444"/>
      <c r="C126" s="2444"/>
      <c r="D126" s="2444"/>
      <c r="E126" s="2444"/>
      <c r="F126" s="2444"/>
      <c r="G126" s="2444"/>
      <c r="H126" s="2444"/>
      <c r="I126" s="2444"/>
      <c r="J126" s="2396"/>
    </row>
    <row r="127" spans="1:10">
      <c r="A127" s="2400" t="s">
        <v>420</v>
      </c>
      <c r="B127" s="2400" t="s">
        <v>691</v>
      </c>
      <c r="C127" s="2400" t="s">
        <v>350</v>
      </c>
      <c r="D127" s="2444"/>
      <c r="E127" s="2444"/>
      <c r="F127" s="2444"/>
      <c r="G127" s="2444"/>
      <c r="H127" s="2444"/>
      <c r="I127" s="2444"/>
      <c r="J127" s="2396"/>
    </row>
    <row r="128" spans="1:10">
      <c r="A128" s="2410"/>
      <c r="B128" s="2410"/>
      <c r="C128" s="2410"/>
      <c r="D128" s="2444"/>
      <c r="E128" s="2444"/>
      <c r="F128" s="2444"/>
      <c r="G128" s="2444"/>
      <c r="H128" s="2444"/>
      <c r="I128" s="2444"/>
      <c r="J128" s="2453" t="s">
        <v>692</v>
      </c>
    </row>
    <row r="129" spans="1:10">
      <c r="A129" s="2410"/>
      <c r="B129" s="2410"/>
      <c r="C129" s="2410"/>
      <c r="D129" s="2444"/>
      <c r="E129" s="2444"/>
      <c r="F129" s="2444"/>
      <c r="G129" s="2444"/>
      <c r="H129" s="2444"/>
      <c r="I129" s="2444"/>
      <c r="J129" s="2453" t="s">
        <v>692</v>
      </c>
    </row>
    <row r="130" spans="1:10">
      <c r="A130" s="2410"/>
      <c r="B130" s="2410"/>
      <c r="C130" s="2410"/>
      <c r="D130" s="2444"/>
      <c r="E130" s="2444"/>
      <c r="F130" s="2444"/>
      <c r="G130" s="2444"/>
      <c r="H130" s="2444"/>
      <c r="I130" s="2444"/>
      <c r="J130" s="2453" t="s">
        <v>692</v>
      </c>
    </row>
    <row r="131" spans="1:10">
      <c r="A131" s="2410"/>
      <c r="B131" s="2410"/>
      <c r="C131" s="2410"/>
      <c r="D131" s="2444"/>
      <c r="E131" s="2444"/>
      <c r="F131" s="2444"/>
      <c r="G131" s="2444"/>
      <c r="H131" s="2444"/>
      <c r="I131" s="2444"/>
      <c r="J131" s="2453" t="s">
        <v>692</v>
      </c>
    </row>
    <row r="132" spans="1:10">
      <c r="A132" s="2410"/>
      <c r="B132" s="2410"/>
      <c r="C132" s="2410"/>
      <c r="D132" s="2444"/>
      <c r="E132" s="2444"/>
      <c r="F132" s="2444"/>
      <c r="G132" s="2444"/>
      <c r="H132" s="2444"/>
      <c r="I132" s="2444"/>
      <c r="J132" s="2453" t="s">
        <v>692</v>
      </c>
    </row>
    <row r="133" spans="1:10">
      <c r="A133" s="2410"/>
      <c r="B133" s="2410"/>
      <c r="C133" s="2410"/>
      <c r="D133" s="2444"/>
      <c r="E133" s="2444"/>
      <c r="F133" s="2444"/>
      <c r="G133" s="2444"/>
      <c r="H133" s="2444"/>
      <c r="I133" s="2444"/>
      <c r="J133" s="2453" t="s">
        <v>692</v>
      </c>
    </row>
    <row r="134" spans="1:10">
      <c r="A134" s="2410"/>
      <c r="B134" s="2410"/>
      <c r="C134" s="2410"/>
      <c r="D134" s="2444"/>
      <c r="E134" s="2444"/>
      <c r="F134" s="2444"/>
      <c r="G134" s="2444"/>
      <c r="H134" s="2444"/>
      <c r="I134" s="2444"/>
      <c r="J134" s="2453" t="s">
        <v>692</v>
      </c>
    </row>
    <row r="135" spans="1:10">
      <c r="A135" s="2410"/>
      <c r="B135" s="2410"/>
      <c r="C135" s="2410"/>
      <c r="D135" s="2444"/>
      <c r="E135" s="2444"/>
      <c r="F135" s="2444"/>
      <c r="G135" s="2444"/>
      <c r="H135" s="2444"/>
      <c r="I135" s="2444"/>
      <c r="J135" s="2453" t="s">
        <v>692</v>
      </c>
    </row>
    <row r="136" spans="1:10">
      <c r="A136" s="2410"/>
      <c r="B136" s="2410"/>
      <c r="C136" s="2410"/>
      <c r="D136" s="2444"/>
      <c r="E136" s="2444"/>
      <c r="F136" s="2444"/>
      <c r="G136" s="2444"/>
      <c r="H136" s="2444"/>
      <c r="I136" s="2444"/>
      <c r="J136" s="2453" t="s">
        <v>692</v>
      </c>
    </row>
    <row r="137" spans="1:10">
      <c r="A137" s="2410"/>
      <c r="B137" s="2410"/>
      <c r="C137" s="2410"/>
      <c r="D137" s="2444"/>
      <c r="E137" s="2444"/>
      <c r="F137" s="2444"/>
      <c r="G137" s="2444"/>
      <c r="H137" s="2444"/>
      <c r="I137" s="2444"/>
      <c r="J137" s="2453" t="s">
        <v>692</v>
      </c>
    </row>
    <row r="138" spans="1:10">
      <c r="A138" s="2450"/>
      <c r="B138" s="2418"/>
      <c r="C138" s="2418"/>
      <c r="D138" s="2444"/>
      <c r="E138" s="2444"/>
      <c r="F138" s="2444"/>
      <c r="G138" s="2444"/>
      <c r="H138" s="2444"/>
      <c r="I138" s="2444"/>
      <c r="J138" s="2396"/>
    </row>
    <row r="139" spans="1:10">
      <c r="A139" s="2399" t="s">
        <v>693</v>
      </c>
      <c r="B139" s="2444"/>
      <c r="C139" s="2444"/>
      <c r="D139" s="2444"/>
      <c r="E139" s="2444"/>
      <c r="F139" s="2444"/>
      <c r="G139" s="2444"/>
      <c r="H139" s="2444"/>
      <c r="I139" s="2444"/>
      <c r="J139" s="2396"/>
    </row>
    <row r="140" spans="1:10">
      <c r="A140" s="2400" t="s">
        <v>420</v>
      </c>
      <c r="B140" s="2400" t="s">
        <v>694</v>
      </c>
      <c r="C140" s="2400" t="s">
        <v>695</v>
      </c>
      <c r="D140" s="2444"/>
      <c r="E140" s="2444"/>
      <c r="F140" s="2444"/>
      <c r="G140" s="2444"/>
      <c r="H140" s="2444"/>
      <c r="I140" s="2444"/>
      <c r="J140" s="2396"/>
    </row>
    <row r="141" spans="1:10">
      <c r="A141" s="2410"/>
      <c r="B141" s="2403"/>
      <c r="C141" s="2403"/>
      <c r="D141" s="2444"/>
      <c r="E141" s="2444"/>
      <c r="F141" s="2444"/>
      <c r="G141" s="2444"/>
      <c r="H141" s="2444"/>
      <c r="I141" s="2444"/>
      <c r="J141" s="2453" t="s">
        <v>696</v>
      </c>
    </row>
    <row r="142" spans="1:10">
      <c r="A142" s="2410"/>
      <c r="B142" s="2403"/>
      <c r="C142" s="2403"/>
      <c r="D142" s="2444"/>
      <c r="E142" s="2444"/>
      <c r="F142" s="2444"/>
      <c r="G142" s="2444"/>
      <c r="H142" s="2444"/>
      <c r="I142" s="2444"/>
      <c r="J142" s="2453" t="s">
        <v>696</v>
      </c>
    </row>
    <row r="143" spans="1:10">
      <c r="A143" s="2410"/>
      <c r="B143" s="2403"/>
      <c r="C143" s="2403"/>
      <c r="D143" s="2444"/>
      <c r="E143" s="2444"/>
      <c r="F143" s="2444"/>
      <c r="G143" s="2444"/>
      <c r="H143" s="2444"/>
      <c r="I143" s="2444"/>
      <c r="J143" s="2453" t="s">
        <v>696</v>
      </c>
    </row>
    <row r="144" spans="1:10">
      <c r="A144" s="2410"/>
      <c r="B144" s="2403"/>
      <c r="C144" s="2403"/>
      <c r="D144" s="2444"/>
      <c r="E144" s="2444"/>
      <c r="F144" s="2444"/>
      <c r="G144" s="2444"/>
      <c r="H144" s="2444"/>
      <c r="I144" s="2444"/>
      <c r="J144" s="2453" t="s">
        <v>696</v>
      </c>
    </row>
    <row r="145" spans="1:10">
      <c r="A145" s="2410"/>
      <c r="B145" s="2403"/>
      <c r="C145" s="2403"/>
      <c r="D145" s="2444"/>
      <c r="E145" s="2444"/>
      <c r="F145" s="2444"/>
      <c r="G145" s="2444"/>
      <c r="H145" s="2444"/>
      <c r="I145" s="2444"/>
      <c r="J145" s="2453" t="s">
        <v>696</v>
      </c>
    </row>
    <row r="146" spans="1:10">
      <c r="A146" s="2410"/>
      <c r="B146" s="2403"/>
      <c r="C146" s="2403"/>
      <c r="D146" s="2444"/>
      <c r="E146" s="2444"/>
      <c r="F146" s="2444"/>
      <c r="G146" s="2444"/>
      <c r="H146" s="2444"/>
      <c r="I146" s="2444"/>
      <c r="J146" s="2453" t="s">
        <v>696</v>
      </c>
    </row>
    <row r="147" spans="1:10">
      <c r="A147" s="2410"/>
      <c r="B147" s="2403"/>
      <c r="C147" s="2403"/>
      <c r="D147" s="2444"/>
      <c r="E147" s="2444"/>
      <c r="F147" s="2444"/>
      <c r="G147" s="2444"/>
      <c r="H147" s="2444"/>
      <c r="I147" s="2444"/>
      <c r="J147" s="2453" t="s">
        <v>696</v>
      </c>
    </row>
    <row r="148" spans="1:10">
      <c r="A148" s="2410"/>
      <c r="B148" s="2403"/>
      <c r="C148" s="2403"/>
      <c r="D148" s="2444"/>
      <c r="E148" s="2444"/>
      <c r="F148" s="2444"/>
      <c r="G148" s="2444"/>
      <c r="H148" s="2444"/>
      <c r="I148" s="2444"/>
      <c r="J148" s="2453" t="s">
        <v>696</v>
      </c>
    </row>
    <row r="149" spans="1:10">
      <c r="A149" s="2410"/>
      <c r="B149" s="2403"/>
      <c r="C149" s="2403"/>
      <c r="D149" s="2444"/>
      <c r="E149" s="2444"/>
      <c r="F149" s="2444"/>
      <c r="G149" s="2444"/>
      <c r="H149" s="2444"/>
      <c r="I149" s="2444"/>
      <c r="J149" s="2453" t="s">
        <v>696</v>
      </c>
    </row>
    <row r="150" spans="1:10">
      <c r="A150" s="2410"/>
      <c r="B150" s="2403"/>
      <c r="C150" s="2403"/>
      <c r="D150" s="2444"/>
      <c r="E150" s="2444"/>
      <c r="F150" s="2444"/>
      <c r="G150" s="2444"/>
      <c r="H150" s="2444"/>
      <c r="I150" s="2444"/>
      <c r="J150" s="2453" t="s">
        <v>696</v>
      </c>
    </row>
    <row r="151" spans="1:10">
      <c r="A151" s="2400" t="s">
        <v>385</v>
      </c>
      <c r="B151" s="2369">
        <f>ROUND(SUM(B141:B150),2)</f>
        <v>0</v>
      </c>
      <c r="C151" s="2369">
        <f>ROUND(SUM(C141:C150),2)</f>
        <v>0</v>
      </c>
      <c r="D151" s="2444"/>
      <c r="E151" s="2444"/>
      <c r="F151" s="2444"/>
      <c r="G151" s="2444"/>
      <c r="H151" s="2444"/>
      <c r="I151" s="2444"/>
      <c r="J151" s="2453" t="s">
        <v>697</v>
      </c>
    </row>
    <row r="152" spans="1:10">
      <c r="A152" s="2450"/>
      <c r="B152" s="2418"/>
      <c r="C152" s="2418"/>
      <c r="D152" s="2444"/>
      <c r="E152" s="2444"/>
      <c r="F152" s="2444"/>
      <c r="G152" s="2444"/>
      <c r="H152" s="2444"/>
      <c r="I152" s="2444"/>
      <c r="J152" s="2396"/>
    </row>
    <row r="153" spans="1:10">
      <c r="A153" s="2399" t="s">
        <v>698</v>
      </c>
      <c r="B153" s="2444"/>
      <c r="C153" s="2444"/>
      <c r="D153" s="2444"/>
      <c r="E153" s="2444"/>
      <c r="F153" s="2444"/>
      <c r="G153" s="2444"/>
      <c r="H153" s="2444"/>
      <c r="I153" s="2444"/>
      <c r="J153" s="2396"/>
    </row>
    <row r="154" spans="1:10">
      <c r="A154" s="2400" t="s">
        <v>669</v>
      </c>
      <c r="B154" s="2400" t="s">
        <v>699</v>
      </c>
      <c r="C154" s="2400" t="s">
        <v>700</v>
      </c>
      <c r="D154" s="2400" t="s">
        <v>701</v>
      </c>
      <c r="E154" s="2400" t="s">
        <v>702</v>
      </c>
      <c r="F154" s="2400" t="s">
        <v>703</v>
      </c>
      <c r="G154" s="2400" t="s">
        <v>704</v>
      </c>
      <c r="H154" s="2400" t="s">
        <v>705</v>
      </c>
      <c r="I154" s="2417"/>
      <c r="J154" s="2396"/>
    </row>
    <row r="155" spans="1:10">
      <c r="A155" s="2402" t="s">
        <v>706</v>
      </c>
      <c r="B155" s="2442"/>
      <c r="C155" s="2442"/>
      <c r="D155" s="2442"/>
      <c r="E155" s="2442"/>
      <c r="F155" s="2442"/>
      <c r="G155" s="2442"/>
      <c r="H155" s="2442"/>
      <c r="I155" s="2420"/>
      <c r="J155" s="2453"/>
    </row>
    <row r="156" spans="1:10">
      <c r="A156" s="2410"/>
      <c r="B156" s="2410"/>
      <c r="C156" s="2410"/>
      <c r="D156" s="2429"/>
      <c r="E156" s="2429"/>
      <c r="F156" s="2403"/>
      <c r="G156" s="2403"/>
      <c r="H156" s="2403"/>
      <c r="I156" s="2420"/>
      <c r="J156" s="2453" t="s">
        <v>707</v>
      </c>
    </row>
    <row r="157" spans="1:10">
      <c r="A157" s="2410"/>
      <c r="B157" s="2410"/>
      <c r="C157" s="2410"/>
      <c r="D157" s="2429"/>
      <c r="E157" s="2429"/>
      <c r="F157" s="2403"/>
      <c r="G157" s="2403"/>
      <c r="H157" s="2403"/>
      <c r="I157" s="2420"/>
      <c r="J157" s="2453" t="s">
        <v>707</v>
      </c>
    </row>
    <row r="158" spans="1:10">
      <c r="A158" s="2410"/>
      <c r="B158" s="2410"/>
      <c r="C158" s="2410"/>
      <c r="D158" s="2429"/>
      <c r="E158" s="2429"/>
      <c r="F158" s="2403"/>
      <c r="G158" s="2403"/>
      <c r="H158" s="2403"/>
      <c r="I158" s="2420"/>
      <c r="J158" s="2453" t="s">
        <v>707</v>
      </c>
    </row>
    <row r="159" spans="1:10">
      <c r="A159" s="2410"/>
      <c r="B159" s="2410"/>
      <c r="C159" s="2410"/>
      <c r="D159" s="2429"/>
      <c r="E159" s="2429"/>
      <c r="F159" s="2403"/>
      <c r="G159" s="2403"/>
      <c r="H159" s="2403"/>
      <c r="I159" s="2420"/>
      <c r="J159" s="2453" t="s">
        <v>707</v>
      </c>
    </row>
    <row r="160" spans="1:10">
      <c r="A160" s="2410"/>
      <c r="B160" s="2410"/>
      <c r="C160" s="2410"/>
      <c r="D160" s="2429"/>
      <c r="E160" s="2429"/>
      <c r="F160" s="2403"/>
      <c r="G160" s="2403"/>
      <c r="H160" s="2403"/>
      <c r="I160" s="2420"/>
      <c r="J160" s="2453" t="s">
        <v>707</v>
      </c>
    </row>
    <row r="161" spans="1:10">
      <c r="A161" s="2410"/>
      <c r="B161" s="2410"/>
      <c r="C161" s="2410"/>
      <c r="D161" s="2429"/>
      <c r="E161" s="2429"/>
      <c r="F161" s="2403"/>
      <c r="G161" s="2403"/>
      <c r="H161" s="2403"/>
      <c r="I161" s="2420"/>
      <c r="J161" s="2453" t="s">
        <v>707</v>
      </c>
    </row>
    <row r="162" spans="1:10">
      <c r="A162" s="2410"/>
      <c r="B162" s="2410"/>
      <c r="C162" s="2410"/>
      <c r="D162" s="2429"/>
      <c r="E162" s="2429"/>
      <c r="F162" s="2403"/>
      <c r="G162" s="2403"/>
      <c r="H162" s="2403"/>
      <c r="I162" s="2420"/>
      <c r="J162" s="2453" t="s">
        <v>707</v>
      </c>
    </row>
    <row r="163" spans="1:10">
      <c r="A163" s="2410"/>
      <c r="B163" s="2410"/>
      <c r="C163" s="2410"/>
      <c r="D163" s="2429"/>
      <c r="E163" s="2429"/>
      <c r="F163" s="2403"/>
      <c r="G163" s="2403"/>
      <c r="H163" s="2403"/>
      <c r="I163" s="2420"/>
      <c r="J163" s="2453" t="s">
        <v>707</v>
      </c>
    </row>
    <row r="164" spans="1:10">
      <c r="A164" s="2410"/>
      <c r="B164" s="2410"/>
      <c r="C164" s="2410"/>
      <c r="D164" s="2429"/>
      <c r="E164" s="2429"/>
      <c r="F164" s="2403"/>
      <c r="G164" s="2403"/>
      <c r="H164" s="2403"/>
      <c r="I164" s="2420"/>
      <c r="J164" s="2453" t="s">
        <v>707</v>
      </c>
    </row>
    <row r="165" spans="1:10">
      <c r="A165" s="2410"/>
      <c r="B165" s="2410"/>
      <c r="C165" s="2410"/>
      <c r="D165" s="2429"/>
      <c r="E165" s="2429"/>
      <c r="F165" s="2403"/>
      <c r="G165" s="2403"/>
      <c r="H165" s="2403"/>
      <c r="I165" s="2420"/>
      <c r="J165" s="2453" t="s">
        <v>707</v>
      </c>
    </row>
    <row r="166" spans="1:10">
      <c r="A166" s="2400" t="s">
        <v>677</v>
      </c>
      <c r="B166" s="2405"/>
      <c r="C166" s="2405"/>
      <c r="D166" s="2442"/>
      <c r="E166" s="2442"/>
      <c r="F166" s="2369">
        <f>ROUND(SUM(F156:F165),2)</f>
        <v>0</v>
      </c>
      <c r="G166" s="2369">
        <f>ROUND(SUM(G156:G165),2)</f>
        <v>0</v>
      </c>
      <c r="H166" s="2369">
        <f>ROUND(SUM(H156:H165),2)</f>
        <v>0</v>
      </c>
      <c r="I166" s="2420"/>
      <c r="J166" s="2453" t="s">
        <v>708</v>
      </c>
    </row>
    <row r="167" spans="1:10">
      <c r="A167" s="2405"/>
      <c r="B167" s="2405"/>
      <c r="C167" s="2405"/>
      <c r="D167" s="2442"/>
      <c r="E167" s="2442"/>
      <c r="F167" s="2442"/>
      <c r="G167" s="2442"/>
      <c r="H167" s="2442"/>
      <c r="I167" s="2420"/>
      <c r="J167" s="2453"/>
    </row>
    <row r="168" spans="1:10">
      <c r="A168" s="2402" t="s">
        <v>709</v>
      </c>
      <c r="B168" s="2442"/>
      <c r="C168" s="2442"/>
      <c r="D168" s="2442"/>
      <c r="E168" s="2442"/>
      <c r="F168" s="2442"/>
      <c r="G168" s="2442"/>
      <c r="H168" s="2442"/>
      <c r="I168" s="2420"/>
      <c r="J168" s="2453"/>
    </row>
    <row r="169" spans="1:10">
      <c r="A169" s="2410"/>
      <c r="B169" s="2410"/>
      <c r="C169" s="2410"/>
      <c r="D169" s="2429"/>
      <c r="E169" s="2429"/>
      <c r="F169" s="2403"/>
      <c r="G169" s="2403"/>
      <c r="H169" s="2403"/>
      <c r="I169" s="2420"/>
      <c r="J169" s="2453" t="s">
        <v>710</v>
      </c>
    </row>
    <row r="170" spans="1:10">
      <c r="A170" s="2410"/>
      <c r="B170" s="2410"/>
      <c r="C170" s="2410"/>
      <c r="D170" s="2429"/>
      <c r="E170" s="2429"/>
      <c r="F170" s="2403"/>
      <c r="G170" s="2403"/>
      <c r="H170" s="2403"/>
      <c r="I170" s="2420"/>
      <c r="J170" s="2453" t="s">
        <v>710</v>
      </c>
    </row>
    <row r="171" spans="1:10">
      <c r="A171" s="2410"/>
      <c r="B171" s="2410"/>
      <c r="C171" s="2410"/>
      <c r="D171" s="2429"/>
      <c r="E171" s="2429"/>
      <c r="F171" s="2403"/>
      <c r="G171" s="2403"/>
      <c r="H171" s="2403"/>
      <c r="I171" s="2420"/>
      <c r="J171" s="2453" t="s">
        <v>710</v>
      </c>
    </row>
    <row r="172" spans="1:10">
      <c r="A172" s="2410"/>
      <c r="B172" s="2410"/>
      <c r="C172" s="2410"/>
      <c r="D172" s="2429"/>
      <c r="E172" s="2429"/>
      <c r="F172" s="2403"/>
      <c r="G172" s="2403"/>
      <c r="H172" s="2403"/>
      <c r="I172" s="2420"/>
      <c r="J172" s="2453" t="s">
        <v>710</v>
      </c>
    </row>
    <row r="173" spans="1:10">
      <c r="A173" s="2410"/>
      <c r="B173" s="2410"/>
      <c r="C173" s="2410"/>
      <c r="D173" s="2429"/>
      <c r="E173" s="2429"/>
      <c r="F173" s="2403"/>
      <c r="G173" s="2403"/>
      <c r="H173" s="2403"/>
      <c r="I173" s="2420"/>
      <c r="J173" s="2453" t="s">
        <v>710</v>
      </c>
    </row>
    <row r="174" spans="1:10">
      <c r="A174" s="2410"/>
      <c r="B174" s="2410"/>
      <c r="C174" s="2410"/>
      <c r="D174" s="2429"/>
      <c r="E174" s="2429"/>
      <c r="F174" s="2403"/>
      <c r="G174" s="2403"/>
      <c r="H174" s="2403"/>
      <c r="I174" s="2420"/>
      <c r="J174" s="2453" t="s">
        <v>710</v>
      </c>
    </row>
    <row r="175" spans="1:10">
      <c r="A175" s="2410"/>
      <c r="B175" s="2410"/>
      <c r="C175" s="2410"/>
      <c r="D175" s="2429"/>
      <c r="E175" s="2429"/>
      <c r="F175" s="2403"/>
      <c r="G175" s="2403"/>
      <c r="H175" s="2403"/>
      <c r="I175" s="2420"/>
      <c r="J175" s="2453" t="s">
        <v>710</v>
      </c>
    </row>
    <row r="176" spans="1:10">
      <c r="A176" s="2410"/>
      <c r="B176" s="2410"/>
      <c r="C176" s="2410"/>
      <c r="D176" s="2429"/>
      <c r="E176" s="2429"/>
      <c r="F176" s="2403"/>
      <c r="G176" s="2403"/>
      <c r="H176" s="2403"/>
      <c r="I176" s="2420"/>
      <c r="J176" s="2453" t="s">
        <v>710</v>
      </c>
    </row>
    <row r="177" spans="1:10">
      <c r="A177" s="2410"/>
      <c r="B177" s="2410"/>
      <c r="C177" s="2410"/>
      <c r="D177" s="2429"/>
      <c r="E177" s="2429"/>
      <c r="F177" s="2403"/>
      <c r="G177" s="2403"/>
      <c r="H177" s="2403"/>
      <c r="I177" s="2420"/>
      <c r="J177" s="2453" t="s">
        <v>710</v>
      </c>
    </row>
    <row r="178" spans="1:10">
      <c r="A178" s="2410"/>
      <c r="B178" s="2410"/>
      <c r="C178" s="2410"/>
      <c r="D178" s="2429"/>
      <c r="E178" s="2429"/>
      <c r="F178" s="2403"/>
      <c r="G178" s="2403"/>
      <c r="H178" s="2403"/>
      <c r="I178" s="2420"/>
      <c r="J178" s="2453" t="s">
        <v>710</v>
      </c>
    </row>
    <row r="179" spans="1:10">
      <c r="A179" s="2400" t="s">
        <v>677</v>
      </c>
      <c r="B179" s="2405"/>
      <c r="C179" s="2405"/>
      <c r="D179" s="2442"/>
      <c r="E179" s="2442"/>
      <c r="F179" s="2369">
        <f>ROUND(SUM(F169:F178),2)</f>
        <v>0</v>
      </c>
      <c r="G179" s="2369">
        <f>ROUND(SUM(G169:G178),2)</f>
        <v>0</v>
      </c>
      <c r="H179" s="2369">
        <f>ROUND(SUM(H169:H178),2)</f>
        <v>0</v>
      </c>
      <c r="I179" s="2420"/>
      <c r="J179" s="2453" t="s">
        <v>711</v>
      </c>
    </row>
    <row r="180" spans="1:10">
      <c r="A180" s="2405"/>
      <c r="B180" s="2405"/>
      <c r="C180" s="2405"/>
      <c r="D180" s="2442"/>
      <c r="E180" s="2442"/>
      <c r="F180" s="2442"/>
      <c r="G180" s="2442"/>
      <c r="H180" s="2442"/>
      <c r="I180" s="2420"/>
      <c r="J180" s="2453"/>
    </row>
    <row r="181" spans="1:10">
      <c r="A181" s="2400" t="s">
        <v>385</v>
      </c>
      <c r="B181" s="2369"/>
      <c r="C181" s="2369"/>
      <c r="D181" s="2369"/>
      <c r="E181" s="2369"/>
      <c r="F181" s="2369">
        <f>ROUND(F166+F179,2)</f>
        <v>0</v>
      </c>
      <c r="G181" s="2369">
        <f>ROUND(G166+G179,2)</f>
        <v>0</v>
      </c>
      <c r="H181" s="2369">
        <f>ROUND(H166+H179,2)</f>
        <v>0</v>
      </c>
      <c r="I181" s="2418"/>
      <c r="J181" s="2453" t="s">
        <v>712</v>
      </c>
    </row>
    <row r="182" spans="1:10">
      <c r="A182" s="2454"/>
      <c r="B182" s="2444"/>
      <c r="C182" s="2444"/>
      <c r="D182" s="2444"/>
      <c r="E182" s="2444"/>
      <c r="F182" s="2444"/>
      <c r="G182" s="2444"/>
      <c r="H182" s="2444"/>
      <c r="I182" s="2444"/>
      <c r="J182" s="2396"/>
    </row>
    <row r="183" spans="1:10">
      <c r="A183" s="2454"/>
      <c r="B183" s="2444"/>
      <c r="C183" s="2444"/>
      <c r="D183" s="2444"/>
      <c r="E183" s="2444"/>
      <c r="F183" s="2444"/>
      <c r="G183" s="2444"/>
      <c r="H183" s="2444"/>
      <c r="I183" s="2444"/>
      <c r="J183" s="2396"/>
    </row>
    <row r="184" spans="1:10">
      <c r="A184" s="2452" t="s">
        <v>713</v>
      </c>
      <c r="B184" s="2444"/>
      <c r="C184" s="2444"/>
      <c r="D184" s="2444"/>
      <c r="E184" s="2444"/>
      <c r="F184" s="2444"/>
      <c r="G184" s="2444"/>
      <c r="H184" s="2444"/>
      <c r="I184" s="2444"/>
      <c r="J184" s="2396"/>
    </row>
    <row r="185" spans="1:10">
      <c r="A185" s="2445" t="s">
        <v>714</v>
      </c>
      <c r="B185" s="2444"/>
      <c r="C185" s="2444"/>
      <c r="D185" s="2444"/>
      <c r="E185" s="2444"/>
      <c r="F185" s="2444"/>
      <c r="G185" s="2444"/>
      <c r="H185" s="2444"/>
      <c r="I185" s="2444"/>
      <c r="J185" s="2396"/>
    </row>
    <row r="186" spans="1:10">
      <c r="A186" s="2400" t="s">
        <v>373</v>
      </c>
      <c r="B186" s="2400" t="s">
        <v>317</v>
      </c>
      <c r="C186" s="2400" t="s">
        <v>582</v>
      </c>
      <c r="D186" s="2400" t="s">
        <v>583</v>
      </c>
      <c r="E186" s="2400" t="s">
        <v>316</v>
      </c>
      <c r="F186" s="2444"/>
      <c r="G186" s="2444"/>
      <c r="H186" s="2444"/>
      <c r="I186" s="2444"/>
      <c r="J186" s="2396"/>
    </row>
    <row r="187" spans="1:10">
      <c r="A187" s="2447" t="s">
        <v>715</v>
      </c>
      <c r="B187" s="2369">
        <f>ROUND(B188+B189,2)</f>
        <v>0</v>
      </c>
      <c r="C187" s="2369">
        <f>ROUND(C188+C189,2)</f>
        <v>0</v>
      </c>
      <c r="D187" s="2369">
        <f>ROUND(D188+D189,2)</f>
        <v>0</v>
      </c>
      <c r="E187" s="2369">
        <f>ROUND(E188+E189,2)</f>
        <v>0</v>
      </c>
      <c r="F187" s="2444"/>
      <c r="G187" s="2444"/>
      <c r="H187" s="2444"/>
      <c r="I187" s="2444"/>
      <c r="J187" s="2453" t="s">
        <v>716</v>
      </c>
    </row>
    <row r="188" spans="1:10">
      <c r="A188" s="2455" t="s">
        <v>717</v>
      </c>
      <c r="B188" s="2403"/>
      <c r="C188" s="2403"/>
      <c r="D188" s="2403"/>
      <c r="E188" s="2369">
        <f>ROUND(B188+C188-D188,2)</f>
        <v>0</v>
      </c>
      <c r="F188" s="2444"/>
      <c r="G188" s="2444"/>
      <c r="H188" s="2444"/>
      <c r="I188" s="2444"/>
      <c r="J188" s="2453" t="s">
        <v>718</v>
      </c>
    </row>
    <row r="189" spans="1:10">
      <c r="A189" s="2455" t="s">
        <v>719</v>
      </c>
      <c r="B189" s="2403"/>
      <c r="C189" s="2403"/>
      <c r="D189" s="2403"/>
      <c r="E189" s="2369">
        <f>ROUND(B189+C189-D189,2)</f>
        <v>0</v>
      </c>
      <c r="F189" s="2444"/>
      <c r="G189" s="2444"/>
      <c r="H189" s="2444"/>
      <c r="I189" s="2444"/>
      <c r="J189" s="2453" t="s">
        <v>720</v>
      </c>
    </row>
    <row r="190" spans="1:10">
      <c r="A190" s="2455"/>
      <c r="B190" s="2455"/>
      <c r="C190" s="2455"/>
      <c r="D190" s="2455"/>
      <c r="E190" s="2455"/>
      <c r="F190" s="2444"/>
      <c r="G190" s="2444"/>
      <c r="H190" s="2444"/>
      <c r="I190" s="2444"/>
      <c r="J190" s="2396"/>
    </row>
    <row r="191" spans="1:10">
      <c r="A191" s="2447" t="s">
        <v>721</v>
      </c>
      <c r="B191" s="2369">
        <f>ROUND(B192+B193,2)</f>
        <v>0</v>
      </c>
      <c r="C191" s="2369">
        <f>ROUND(C192+C193,2)</f>
        <v>0</v>
      </c>
      <c r="D191" s="2369">
        <f>ROUND(D192+D193,2)</f>
        <v>0</v>
      </c>
      <c r="E191" s="2369">
        <f>ROUND(E192+E193,2)</f>
        <v>0</v>
      </c>
      <c r="F191" s="2444"/>
      <c r="G191" s="2444"/>
      <c r="H191" s="2444"/>
      <c r="I191" s="2444"/>
      <c r="J191" s="2453" t="s">
        <v>722</v>
      </c>
    </row>
    <row r="192" spans="1:10">
      <c r="A192" s="2455" t="s">
        <v>717</v>
      </c>
      <c r="B192" s="2403"/>
      <c r="C192" s="2403"/>
      <c r="D192" s="2403"/>
      <c r="E192" s="2369">
        <f>ROUND(B192+C192-D192,2)</f>
        <v>0</v>
      </c>
      <c r="F192" s="2444"/>
      <c r="G192" s="2444"/>
      <c r="H192" s="2444"/>
      <c r="I192" s="2444"/>
      <c r="J192" s="2453" t="s">
        <v>723</v>
      </c>
    </row>
    <row r="193" spans="1:10">
      <c r="A193" s="2455" t="s">
        <v>719</v>
      </c>
      <c r="B193" s="2403"/>
      <c r="C193" s="2403"/>
      <c r="D193" s="2403"/>
      <c r="E193" s="2369">
        <f>ROUND(B193+C193-D193,2)</f>
        <v>0</v>
      </c>
      <c r="F193" s="2444"/>
      <c r="G193" s="2444"/>
      <c r="H193" s="2444"/>
      <c r="I193" s="2444"/>
      <c r="J193" s="2453" t="s">
        <v>724</v>
      </c>
    </row>
    <row r="194" spans="1:10">
      <c r="A194" s="2455"/>
      <c r="B194" s="2455"/>
      <c r="C194" s="2455"/>
      <c r="D194" s="2455"/>
      <c r="E194" s="2455"/>
      <c r="F194" s="2444"/>
      <c r="G194" s="2444"/>
      <c r="H194" s="2444"/>
      <c r="I194" s="2444"/>
      <c r="J194" s="2396"/>
    </row>
    <row r="195" spans="1:10">
      <c r="A195" s="2447" t="s">
        <v>725</v>
      </c>
      <c r="B195" s="2369">
        <f>ROUND(B196+B197,2)</f>
        <v>0</v>
      </c>
      <c r="C195" s="2369">
        <f>ROUND(C196+C197,2)</f>
        <v>0</v>
      </c>
      <c r="D195" s="2369">
        <f>ROUND(D196+D197,2)</f>
        <v>0</v>
      </c>
      <c r="E195" s="2369">
        <f>ROUND(E196+E197,2)</f>
        <v>0</v>
      </c>
      <c r="F195" s="2444"/>
      <c r="G195" s="2444"/>
      <c r="H195" s="2444"/>
      <c r="I195" s="2444"/>
      <c r="J195" s="2453" t="s">
        <v>726</v>
      </c>
    </row>
    <row r="196" spans="1:10">
      <c r="A196" s="2455" t="s">
        <v>717</v>
      </c>
      <c r="B196" s="2403"/>
      <c r="C196" s="2403"/>
      <c r="D196" s="2403"/>
      <c r="E196" s="2369">
        <f>ROUND(B196+C196-D196,2)</f>
        <v>0</v>
      </c>
      <c r="F196" s="2444"/>
      <c r="G196" s="2444"/>
      <c r="H196" s="2444"/>
      <c r="I196" s="2444"/>
      <c r="J196" s="2453" t="s">
        <v>727</v>
      </c>
    </row>
    <row r="197" spans="1:10">
      <c r="A197" s="2455" t="s">
        <v>719</v>
      </c>
      <c r="B197" s="2403"/>
      <c r="C197" s="2403"/>
      <c r="D197" s="2403"/>
      <c r="E197" s="2369">
        <f>ROUND(B197+C197-D197,2)</f>
        <v>0</v>
      </c>
      <c r="F197" s="2444"/>
      <c r="G197" s="2444"/>
      <c r="H197" s="2444"/>
      <c r="I197" s="2444"/>
      <c r="J197" s="2453" t="s">
        <v>728</v>
      </c>
    </row>
    <row r="198" spans="1:10">
      <c r="A198" s="2455"/>
      <c r="B198" s="2455"/>
      <c r="C198" s="2455"/>
      <c r="D198" s="2455"/>
      <c r="E198" s="2455"/>
      <c r="F198" s="2444"/>
      <c r="G198" s="2444"/>
      <c r="H198" s="2444"/>
      <c r="I198" s="2444"/>
      <c r="J198" s="2396"/>
    </row>
    <row r="199" spans="1:10">
      <c r="A199" s="2447" t="s">
        <v>729</v>
      </c>
      <c r="B199" s="2369">
        <f>ROUND(B187-B191-B195,2)</f>
        <v>0</v>
      </c>
      <c r="C199" s="2369">
        <f>ROUND(C187-C191-C195,2)</f>
        <v>0</v>
      </c>
      <c r="D199" s="2369">
        <f>ROUND(D187-D191-D195,2)</f>
        <v>0</v>
      </c>
      <c r="E199" s="2369">
        <f>ROUND(E187-E191-E195,2)</f>
        <v>0</v>
      </c>
      <c r="F199" s="2444"/>
      <c r="G199" s="2444"/>
      <c r="H199" s="2444"/>
      <c r="I199" s="2444"/>
      <c r="J199" s="2396"/>
    </row>
    <row r="200" spans="1:10">
      <c r="A200" s="2455" t="s">
        <v>717</v>
      </c>
      <c r="B200" s="2156">
        <f t="shared" ref="B200:D201" si="8">ROUND(B188-B192-B196,2)</f>
        <v>0</v>
      </c>
      <c r="C200" s="2156">
        <f t="shared" si="8"/>
        <v>0</v>
      </c>
      <c r="D200" s="2156">
        <f t="shared" si="8"/>
        <v>0</v>
      </c>
      <c r="E200" s="2369">
        <f>ROUND(B200+C200-D200,2)</f>
        <v>0</v>
      </c>
      <c r="F200" s="2444"/>
      <c r="G200" s="2444"/>
      <c r="H200" s="2444"/>
      <c r="I200" s="2444"/>
      <c r="J200" s="2396"/>
    </row>
    <row r="201" spans="1:10">
      <c r="A201" s="2455" t="s">
        <v>719</v>
      </c>
      <c r="B201" s="2156">
        <f t="shared" si="8"/>
        <v>0</v>
      </c>
      <c r="C201" s="2156">
        <f t="shared" si="8"/>
        <v>0</v>
      </c>
      <c r="D201" s="2156">
        <f t="shared" si="8"/>
        <v>0</v>
      </c>
      <c r="E201" s="2369">
        <f>ROUND(B201+C201-D201,2)</f>
        <v>0</v>
      </c>
      <c r="F201" s="2444"/>
      <c r="G201" s="2444"/>
      <c r="H201" s="2444"/>
      <c r="I201" s="2444"/>
      <c r="J201" s="2396"/>
    </row>
    <row r="202" spans="1:10">
      <c r="A202" s="2450"/>
      <c r="B202" s="2412"/>
      <c r="C202" s="2412"/>
      <c r="D202" s="2412"/>
      <c r="E202" s="2412"/>
      <c r="F202" s="2444"/>
      <c r="G202" s="2444"/>
      <c r="H202" s="2444"/>
      <c r="I202" s="2444"/>
      <c r="J202" s="2396"/>
    </row>
    <row r="203" spans="1:10">
      <c r="A203" s="2414" t="s">
        <v>730</v>
      </c>
      <c r="B203" s="2444"/>
      <c r="C203" s="2444"/>
      <c r="D203" s="2444"/>
      <c r="E203" s="2444"/>
      <c r="F203" s="2444"/>
      <c r="G203" s="2444"/>
      <c r="H203" s="2444"/>
      <c r="I203" s="2444"/>
      <c r="J203" s="2396"/>
    </row>
    <row r="204" spans="1:10">
      <c r="A204" s="2400" t="s">
        <v>373</v>
      </c>
      <c r="B204" s="2400" t="s">
        <v>375</v>
      </c>
      <c r="C204" s="2400" t="s">
        <v>582</v>
      </c>
      <c r="D204" s="2400" t="s">
        <v>583</v>
      </c>
      <c r="E204" s="2400" t="s">
        <v>374</v>
      </c>
      <c r="F204" s="2426" t="s">
        <v>731</v>
      </c>
      <c r="G204" s="2446"/>
      <c r="H204" s="2446"/>
      <c r="I204" s="2446"/>
      <c r="J204" s="2396"/>
    </row>
    <row r="205" spans="1:10">
      <c r="A205" s="2447" t="s">
        <v>715</v>
      </c>
      <c r="B205" s="2369">
        <f>ROUND(B206+B207,2)</f>
        <v>0</v>
      </c>
      <c r="C205" s="2369">
        <f>ROUND(C206+C207,2)</f>
        <v>0</v>
      </c>
      <c r="D205" s="2369">
        <f>ROUND(D206+D207,2)</f>
        <v>0</v>
      </c>
      <c r="E205" s="2369">
        <f>ROUND(E206+E207,2)</f>
        <v>0</v>
      </c>
      <c r="F205" s="2442"/>
      <c r="G205" s="2420"/>
      <c r="H205" s="2420"/>
      <c r="I205" s="2420"/>
      <c r="J205" s="2453" t="s">
        <v>732</v>
      </c>
    </row>
    <row r="206" spans="1:10">
      <c r="A206" s="2455" t="s">
        <v>717</v>
      </c>
      <c r="B206" s="2403"/>
      <c r="C206" s="2403"/>
      <c r="D206" s="2403"/>
      <c r="E206" s="2369">
        <f>ROUND(B206+C206-D206,2)</f>
        <v>0</v>
      </c>
      <c r="F206" s="2410"/>
      <c r="G206" s="2420"/>
      <c r="H206" s="2420"/>
      <c r="I206" s="2420"/>
      <c r="J206" s="2453" t="s">
        <v>733</v>
      </c>
    </row>
    <row r="207" spans="1:10">
      <c r="A207" s="2455" t="s">
        <v>719</v>
      </c>
      <c r="B207" s="2403"/>
      <c r="C207" s="2403"/>
      <c r="D207" s="2403"/>
      <c r="E207" s="2369">
        <f>ROUND(B207+C207-D207,2)</f>
        <v>0</v>
      </c>
      <c r="F207" s="2410"/>
      <c r="G207" s="2420"/>
      <c r="H207" s="2420"/>
      <c r="I207" s="2420"/>
      <c r="J207" s="2453" t="s">
        <v>734</v>
      </c>
    </row>
    <row r="208" spans="1:10">
      <c r="A208" s="2455"/>
      <c r="B208" s="2455"/>
      <c r="C208" s="2455"/>
      <c r="D208" s="2455"/>
      <c r="E208" s="2455"/>
      <c r="F208" s="2455"/>
      <c r="G208" s="2420"/>
      <c r="H208" s="2420"/>
      <c r="I208" s="2420"/>
      <c r="J208" s="2396"/>
    </row>
    <row r="209" spans="1:10">
      <c r="A209" s="2447" t="s">
        <v>721</v>
      </c>
      <c r="B209" s="2369">
        <f>ROUND(B210+B211,2)</f>
        <v>0</v>
      </c>
      <c r="C209" s="2369">
        <f>ROUND(C210+C211,2)</f>
        <v>0</v>
      </c>
      <c r="D209" s="2369">
        <f>ROUND(D210+D211,2)</f>
        <v>0</v>
      </c>
      <c r="E209" s="2369">
        <f>ROUND(E210+E211,2)</f>
        <v>0</v>
      </c>
      <c r="F209" s="2442"/>
      <c r="G209" s="2420"/>
      <c r="H209" s="2420"/>
      <c r="I209" s="2420"/>
      <c r="J209" s="2453" t="s">
        <v>735</v>
      </c>
    </row>
    <row r="210" spans="1:10">
      <c r="A210" s="2455" t="s">
        <v>717</v>
      </c>
      <c r="B210" s="2403"/>
      <c r="C210" s="2403"/>
      <c r="D210" s="2403"/>
      <c r="E210" s="2369">
        <f>ROUND(B210+C210-D210,2)</f>
        <v>0</v>
      </c>
      <c r="F210" s="2442"/>
      <c r="G210" s="2420"/>
      <c r="H210" s="2420"/>
      <c r="I210" s="2420"/>
      <c r="J210" s="2453" t="s">
        <v>736</v>
      </c>
    </row>
    <row r="211" spans="1:10">
      <c r="A211" s="2455" t="s">
        <v>719</v>
      </c>
      <c r="B211" s="2403"/>
      <c r="C211" s="2403"/>
      <c r="D211" s="2403"/>
      <c r="E211" s="2369">
        <f>ROUND(B211+C211-D211,2)</f>
        <v>0</v>
      </c>
      <c r="F211" s="2442"/>
      <c r="G211" s="2420"/>
      <c r="H211" s="2420"/>
      <c r="I211" s="2420"/>
      <c r="J211" s="2453" t="s">
        <v>737</v>
      </c>
    </row>
    <row r="212" spans="1:10">
      <c r="A212" s="2455"/>
      <c r="B212" s="2455"/>
      <c r="C212" s="2455"/>
      <c r="D212" s="2455"/>
      <c r="E212" s="2455"/>
      <c r="F212" s="2455"/>
      <c r="G212" s="2420"/>
      <c r="H212" s="2420"/>
      <c r="I212" s="2420"/>
      <c r="J212" s="2396"/>
    </row>
    <row r="213" spans="1:10">
      <c r="A213" s="2447" t="s">
        <v>725</v>
      </c>
      <c r="B213" s="2369">
        <f>ROUND(B214+B215,2)</f>
        <v>0</v>
      </c>
      <c r="C213" s="2369">
        <f>ROUND(C214+C215,2)</f>
        <v>0</v>
      </c>
      <c r="D213" s="2369">
        <f>ROUND(D214+D215,2)</f>
        <v>0</v>
      </c>
      <c r="E213" s="2369">
        <f>ROUND(E214+E215,2)</f>
        <v>0</v>
      </c>
      <c r="F213" s="2442"/>
      <c r="G213" s="2420"/>
      <c r="H213" s="2420"/>
      <c r="I213" s="2420"/>
      <c r="J213" s="2453" t="s">
        <v>738</v>
      </c>
    </row>
    <row r="214" spans="1:10">
      <c r="A214" s="2455" t="s">
        <v>717</v>
      </c>
      <c r="B214" s="2403"/>
      <c r="C214" s="2403"/>
      <c r="D214" s="2403"/>
      <c r="E214" s="2369">
        <f>ROUND(B214+C214-D214,2)</f>
        <v>0</v>
      </c>
      <c r="F214" s="2442"/>
      <c r="G214" s="2420"/>
      <c r="H214" s="2420"/>
      <c r="I214" s="2420"/>
      <c r="J214" s="2453" t="s">
        <v>739</v>
      </c>
    </row>
    <row r="215" spans="1:10">
      <c r="A215" s="2455" t="s">
        <v>719</v>
      </c>
      <c r="B215" s="2403"/>
      <c r="C215" s="2403"/>
      <c r="D215" s="2403"/>
      <c r="E215" s="2369">
        <f>ROUND(B215+C215-D215,2)</f>
        <v>0</v>
      </c>
      <c r="F215" s="2442"/>
      <c r="G215" s="2420"/>
      <c r="H215" s="2420"/>
      <c r="I215" s="2420"/>
      <c r="J215" s="2453" t="s">
        <v>740</v>
      </c>
    </row>
    <row r="216" spans="1:10">
      <c r="A216" s="2455"/>
      <c r="B216" s="2455"/>
      <c r="C216" s="2455"/>
      <c r="D216" s="2455"/>
      <c r="E216" s="2455"/>
      <c r="F216" s="2455"/>
      <c r="G216" s="2450"/>
      <c r="H216" s="2450"/>
      <c r="I216" s="2450"/>
      <c r="J216" s="2396"/>
    </row>
    <row r="217" spans="1:10">
      <c r="A217" s="2447" t="s">
        <v>729</v>
      </c>
      <c r="B217" s="2369">
        <f>ROUND(B205-B209-B213,2)</f>
        <v>0</v>
      </c>
      <c r="C217" s="2369">
        <f>ROUND(C205-C209-C213,2)</f>
        <v>0</v>
      </c>
      <c r="D217" s="2369">
        <f>ROUND(D205-D209-D213,2)</f>
        <v>0</v>
      </c>
      <c r="E217" s="2369">
        <f>ROUND(E205-E209-E213,2)</f>
        <v>0</v>
      </c>
      <c r="F217" s="2442"/>
      <c r="G217" s="2420"/>
      <c r="H217" s="2420"/>
      <c r="I217" s="2420"/>
      <c r="J217" s="2396"/>
    </row>
    <row r="218" spans="1:10">
      <c r="A218" s="2455" t="s">
        <v>717</v>
      </c>
      <c r="B218" s="2156">
        <f t="shared" ref="B218:D219" si="9">ROUND(B206-B210-B214,2)</f>
        <v>0</v>
      </c>
      <c r="C218" s="2156">
        <f t="shared" si="9"/>
        <v>0</v>
      </c>
      <c r="D218" s="2156">
        <f t="shared" si="9"/>
        <v>0</v>
      </c>
      <c r="E218" s="2369">
        <f>ROUND(B218+C218-D218,2)</f>
        <v>0</v>
      </c>
      <c r="F218" s="2442"/>
      <c r="G218" s="2420"/>
      <c r="H218" s="2420"/>
      <c r="I218" s="2420"/>
      <c r="J218" s="2396"/>
    </row>
    <row r="219" spans="1:10">
      <c r="A219" s="2455" t="s">
        <v>719</v>
      </c>
      <c r="B219" s="2156">
        <f t="shared" si="9"/>
        <v>0</v>
      </c>
      <c r="C219" s="2156">
        <f t="shared" si="9"/>
        <v>0</v>
      </c>
      <c r="D219" s="2156">
        <f t="shared" si="9"/>
        <v>0</v>
      </c>
      <c r="E219" s="2369">
        <f>ROUND(B219+C219-D219,2)</f>
        <v>0</v>
      </c>
      <c r="F219" s="2442"/>
      <c r="G219" s="2420"/>
      <c r="H219" s="2420"/>
      <c r="I219" s="2420"/>
      <c r="J219" s="2396"/>
    </row>
    <row r="220" spans="1:10">
      <c r="A220" s="2456"/>
      <c r="B220" s="2444"/>
      <c r="C220" s="2444"/>
      <c r="D220" s="2444"/>
      <c r="E220" s="2444"/>
      <c r="F220" s="2444"/>
      <c r="G220" s="2444"/>
      <c r="H220" s="2444"/>
      <c r="I220" s="2444"/>
      <c r="J220" s="2396"/>
    </row>
    <row r="221" spans="1:10">
      <c r="A221" s="2414" t="s">
        <v>741</v>
      </c>
      <c r="B221" s="2444"/>
      <c r="C221" s="2444"/>
      <c r="D221" s="2444"/>
      <c r="E221" s="2444"/>
      <c r="F221" s="2444"/>
      <c r="G221" s="2444"/>
      <c r="H221" s="2444"/>
      <c r="I221" s="2444"/>
      <c r="J221" s="2396"/>
    </row>
    <row r="222" spans="1:10">
      <c r="A222" s="2400" t="s">
        <v>742</v>
      </c>
      <c r="B222" s="2400" t="s">
        <v>743</v>
      </c>
      <c r="C222" s="2400" t="s">
        <v>744</v>
      </c>
      <c r="D222" s="2400" t="s">
        <v>745</v>
      </c>
      <c r="E222" s="2400" t="s">
        <v>746</v>
      </c>
      <c r="F222" s="2400" t="s">
        <v>747</v>
      </c>
      <c r="G222" s="2417"/>
      <c r="H222" s="2417"/>
      <c r="I222" s="2417"/>
      <c r="J222" s="2396"/>
    </row>
    <row r="223" spans="1:10">
      <c r="A223" s="2410"/>
      <c r="B223" s="2410"/>
      <c r="C223" s="2403"/>
      <c r="D223" s="2403"/>
      <c r="E223" s="2403"/>
      <c r="F223" s="2410"/>
      <c r="G223" s="2417"/>
      <c r="H223" s="2417"/>
      <c r="I223" s="2417"/>
      <c r="J223" s="2453" t="s">
        <v>748</v>
      </c>
    </row>
    <row r="224" spans="1:10">
      <c r="A224" s="2410"/>
      <c r="B224" s="2410"/>
      <c r="C224" s="2403"/>
      <c r="D224" s="2403"/>
      <c r="E224" s="2403"/>
      <c r="F224" s="2410"/>
      <c r="G224" s="2417"/>
      <c r="H224" s="2417"/>
      <c r="I224" s="2417"/>
      <c r="J224" s="2453" t="s">
        <v>748</v>
      </c>
    </row>
    <row r="225" spans="1:10">
      <c r="A225" s="2410"/>
      <c r="B225" s="2410"/>
      <c r="C225" s="2403"/>
      <c r="D225" s="2403"/>
      <c r="E225" s="2403"/>
      <c r="F225" s="2410"/>
      <c r="G225" s="2417"/>
      <c r="H225" s="2417"/>
      <c r="I225" s="2417"/>
      <c r="J225" s="2453" t="s">
        <v>748</v>
      </c>
    </row>
    <row r="226" spans="1:10">
      <c r="A226" s="2410"/>
      <c r="B226" s="2410"/>
      <c r="C226" s="2403"/>
      <c r="D226" s="2403"/>
      <c r="E226" s="2403"/>
      <c r="F226" s="2410"/>
      <c r="G226" s="2417"/>
      <c r="H226" s="2417"/>
      <c r="I226" s="2417"/>
      <c r="J226" s="2453" t="s">
        <v>748</v>
      </c>
    </row>
    <row r="227" spans="1:10">
      <c r="A227" s="2410"/>
      <c r="B227" s="2410"/>
      <c r="C227" s="2403"/>
      <c r="D227" s="2403"/>
      <c r="E227" s="2403"/>
      <c r="F227" s="2410"/>
      <c r="G227" s="2417"/>
      <c r="H227" s="2417"/>
      <c r="I227" s="2417"/>
      <c r="J227" s="2453" t="s">
        <v>748</v>
      </c>
    </row>
    <row r="228" spans="1:10">
      <c r="A228" s="2410"/>
      <c r="B228" s="2410"/>
      <c r="C228" s="2403"/>
      <c r="D228" s="2403"/>
      <c r="E228" s="2403"/>
      <c r="F228" s="2410"/>
      <c r="G228" s="2417"/>
      <c r="H228" s="2417"/>
      <c r="I228" s="2417"/>
      <c r="J228" s="2453" t="s">
        <v>748</v>
      </c>
    </row>
    <row r="229" spans="1:10">
      <c r="A229" s="2410"/>
      <c r="B229" s="2410"/>
      <c r="C229" s="2403"/>
      <c r="D229" s="2403"/>
      <c r="E229" s="2403"/>
      <c r="F229" s="2410"/>
      <c r="G229" s="2417"/>
      <c r="H229" s="2417"/>
      <c r="I229" s="2417"/>
      <c r="J229" s="2453" t="s">
        <v>748</v>
      </c>
    </row>
    <row r="230" spans="1:10">
      <c r="A230" s="2410"/>
      <c r="B230" s="2410"/>
      <c r="C230" s="2403"/>
      <c r="D230" s="2403"/>
      <c r="E230" s="2403"/>
      <c r="F230" s="2410"/>
      <c r="G230" s="2417"/>
      <c r="H230" s="2417"/>
      <c r="I230" s="2417"/>
      <c r="J230" s="2453" t="s">
        <v>748</v>
      </c>
    </row>
    <row r="231" spans="1:10">
      <c r="A231" s="2410"/>
      <c r="B231" s="2410"/>
      <c r="C231" s="2403"/>
      <c r="D231" s="2403"/>
      <c r="E231" s="2403"/>
      <c r="F231" s="2410"/>
      <c r="G231" s="2417"/>
      <c r="H231" s="2417"/>
      <c r="I231" s="2417"/>
      <c r="J231" s="2453" t="s">
        <v>748</v>
      </c>
    </row>
    <row r="232" spans="1:10">
      <c r="A232" s="2410"/>
      <c r="B232" s="2410"/>
      <c r="C232" s="2403"/>
      <c r="D232" s="2403"/>
      <c r="E232" s="2403"/>
      <c r="F232" s="2410"/>
      <c r="G232" s="2417"/>
      <c r="H232" s="2417"/>
      <c r="I232" s="2417"/>
      <c r="J232" s="2453" t="s">
        <v>748</v>
      </c>
    </row>
    <row r="233" spans="1:10">
      <c r="A233" s="2400" t="s">
        <v>385</v>
      </c>
      <c r="B233" s="2455"/>
      <c r="C233" s="2369">
        <f>ROUND(SUM(C223:C232),2)</f>
        <v>0</v>
      </c>
      <c r="D233" s="2369">
        <f>ROUND(SUM(D223:D232),2)</f>
        <v>0</v>
      </c>
      <c r="E233" s="2369">
        <f>ROUND(SUM(E223:E232),2)</f>
        <v>0</v>
      </c>
      <c r="F233" s="2369"/>
      <c r="G233" s="2418"/>
      <c r="H233" s="2418"/>
      <c r="I233" s="2418"/>
      <c r="J233" s="2453" t="s">
        <v>749</v>
      </c>
    </row>
    <row r="234" spans="1:10">
      <c r="A234" s="2456"/>
      <c r="B234" s="2444"/>
      <c r="C234" s="2444"/>
      <c r="D234" s="2444"/>
      <c r="E234" s="2444"/>
      <c r="F234" s="2444"/>
      <c r="G234" s="2444"/>
      <c r="H234" s="2444"/>
      <c r="I234" s="2444"/>
      <c r="J234" s="2396"/>
    </row>
    <row r="235" spans="1:10">
      <c r="A235" s="2456"/>
      <c r="B235" s="2444"/>
      <c r="C235" s="2444"/>
      <c r="D235" s="2444"/>
      <c r="E235" s="2444"/>
      <c r="F235" s="2444"/>
      <c r="G235" s="2444"/>
      <c r="H235" s="2444"/>
      <c r="I235" s="2444"/>
      <c r="J235" s="2396"/>
    </row>
    <row r="236" spans="1:10">
      <c r="A236" s="2452" t="s">
        <v>750</v>
      </c>
      <c r="B236" s="2444"/>
      <c r="C236" s="2444"/>
      <c r="D236" s="2444"/>
      <c r="E236" s="2444"/>
      <c r="F236" s="2444"/>
      <c r="G236" s="2444"/>
      <c r="H236" s="2444"/>
      <c r="I236" s="2444"/>
      <c r="J236" s="2396"/>
    </row>
    <row r="237" spans="1:10">
      <c r="A237" s="2451" t="s">
        <v>751</v>
      </c>
      <c r="B237" s="2444"/>
      <c r="C237" s="2444"/>
      <c r="D237" s="2444"/>
      <c r="E237" s="2444"/>
      <c r="F237" s="2444"/>
      <c r="G237" s="2444"/>
      <c r="H237" s="2444"/>
      <c r="I237" s="2444"/>
      <c r="J237" s="2396"/>
    </row>
    <row r="238" spans="1:10">
      <c r="A238" s="2400" t="s">
        <v>373</v>
      </c>
      <c r="B238" s="2400" t="s">
        <v>317</v>
      </c>
      <c r="C238" s="2400" t="s">
        <v>582</v>
      </c>
      <c r="D238" s="2400" t="s">
        <v>583</v>
      </c>
      <c r="E238" s="2400" t="s">
        <v>316</v>
      </c>
      <c r="F238" s="2444"/>
      <c r="G238" s="2444"/>
      <c r="H238" s="2444"/>
      <c r="I238" s="2444"/>
      <c r="J238" s="2396"/>
    </row>
    <row r="239" spans="1:10">
      <c r="A239" s="2447" t="s">
        <v>715</v>
      </c>
      <c r="B239" s="2369">
        <f>ROUND(SUM(B240:B243),2)</f>
        <v>0</v>
      </c>
      <c r="C239" s="2369">
        <f>ROUND(SUM(C240:C243),2)</f>
        <v>0</v>
      </c>
      <c r="D239" s="2369">
        <f>ROUND(SUM(D240:D243),2)</f>
        <v>0</v>
      </c>
      <c r="E239" s="2369">
        <f>ROUND(SUM(E240:E243),2)</f>
        <v>0</v>
      </c>
      <c r="F239" s="2444"/>
      <c r="G239" s="2444"/>
      <c r="H239" s="2444"/>
      <c r="I239" s="2444"/>
      <c r="J239" s="2453" t="s">
        <v>752</v>
      </c>
    </row>
    <row r="240" spans="1:10">
      <c r="A240" s="2455" t="s">
        <v>717</v>
      </c>
      <c r="B240" s="2403"/>
      <c r="C240" s="2403"/>
      <c r="D240" s="2403"/>
      <c r="E240" s="2369">
        <f>ROUND(B240+C240-D240,2)</f>
        <v>0</v>
      </c>
      <c r="F240" s="2444"/>
      <c r="G240" s="2444"/>
      <c r="H240" s="2444"/>
      <c r="I240" s="2444"/>
      <c r="J240" s="2453" t="s">
        <v>753</v>
      </c>
    </row>
    <row r="241" spans="1:10">
      <c r="A241" s="2455" t="s">
        <v>754</v>
      </c>
      <c r="B241" s="2403"/>
      <c r="C241" s="2403"/>
      <c r="D241" s="2403"/>
      <c r="E241" s="2369">
        <f>ROUND(B241+C241-D241,2)</f>
        <v>0</v>
      </c>
      <c r="F241" s="2444"/>
      <c r="G241" s="2444"/>
      <c r="H241" s="2444"/>
      <c r="I241" s="2444"/>
      <c r="J241" s="2453" t="s">
        <v>755</v>
      </c>
    </row>
    <row r="242" spans="1:10">
      <c r="A242" s="2455" t="s">
        <v>756</v>
      </c>
      <c r="B242" s="2403"/>
      <c r="C242" s="2403"/>
      <c r="D242" s="2403"/>
      <c r="E242" s="2369">
        <f>ROUND(B242+C242-D242,2)</f>
        <v>0</v>
      </c>
      <c r="F242" s="2444"/>
      <c r="G242" s="2444"/>
      <c r="H242" s="2444"/>
      <c r="I242" s="2444"/>
      <c r="J242" s="2453" t="s">
        <v>757</v>
      </c>
    </row>
    <row r="243" spans="1:10">
      <c r="A243" s="2455" t="s">
        <v>758</v>
      </c>
      <c r="B243" s="2403"/>
      <c r="C243" s="2403"/>
      <c r="D243" s="2403"/>
      <c r="E243" s="2369">
        <f>ROUND(B243+C243-D243,2)</f>
        <v>0</v>
      </c>
      <c r="F243" s="2444"/>
      <c r="G243" s="2444"/>
      <c r="H243" s="2444"/>
      <c r="I243" s="2444"/>
      <c r="J243" s="2453" t="s">
        <v>759</v>
      </c>
    </row>
    <row r="244" spans="1:10">
      <c r="A244" s="2455"/>
      <c r="B244" s="2455"/>
      <c r="C244" s="2455"/>
      <c r="D244" s="2455"/>
      <c r="E244" s="2455"/>
      <c r="F244" s="2444"/>
      <c r="G244" s="2444"/>
      <c r="H244" s="2444"/>
      <c r="I244" s="2444"/>
      <c r="J244" s="2396"/>
    </row>
    <row r="245" spans="1:10">
      <c r="A245" s="2447" t="s">
        <v>760</v>
      </c>
      <c r="B245" s="2369">
        <f>ROUND(SUM(B246:B249),2)</f>
        <v>0</v>
      </c>
      <c r="C245" s="2369">
        <f>ROUND(SUM(C246:C249),2)</f>
        <v>0</v>
      </c>
      <c r="D245" s="2369">
        <f>ROUND(SUM(D246:D249),2)</f>
        <v>0</v>
      </c>
      <c r="E245" s="2369">
        <f>ROUND(SUM(E246:E249),2)</f>
        <v>0</v>
      </c>
      <c r="F245" s="2444"/>
      <c r="G245" s="2444"/>
      <c r="H245" s="2444"/>
      <c r="I245" s="2444"/>
      <c r="J245" s="2453" t="s">
        <v>761</v>
      </c>
    </row>
    <row r="246" spans="1:10">
      <c r="A246" s="2455" t="s">
        <v>717</v>
      </c>
      <c r="B246" s="2403"/>
      <c r="C246" s="2403"/>
      <c r="D246" s="2403"/>
      <c r="E246" s="2369">
        <f>ROUND(B246+C246-D246,2)</f>
        <v>0</v>
      </c>
      <c r="F246" s="2444"/>
      <c r="G246" s="2444"/>
      <c r="H246" s="2444"/>
      <c r="I246" s="2444"/>
      <c r="J246" s="2453" t="s">
        <v>762</v>
      </c>
    </row>
    <row r="247" spans="1:10">
      <c r="A247" s="2455" t="s">
        <v>754</v>
      </c>
      <c r="B247" s="2403"/>
      <c r="C247" s="2403"/>
      <c r="D247" s="2403"/>
      <c r="E247" s="2369">
        <f>ROUND(B247+C247-D247,2)</f>
        <v>0</v>
      </c>
      <c r="F247" s="2444"/>
      <c r="G247" s="2444"/>
      <c r="H247" s="2444"/>
      <c r="I247" s="2444"/>
      <c r="J247" s="2453" t="s">
        <v>763</v>
      </c>
    </row>
    <row r="248" spans="1:10">
      <c r="A248" s="2455" t="s">
        <v>756</v>
      </c>
      <c r="B248" s="2403"/>
      <c r="C248" s="2403"/>
      <c r="D248" s="2403"/>
      <c r="E248" s="2369">
        <f>ROUND(B248+C248-D248,2)</f>
        <v>0</v>
      </c>
      <c r="F248" s="2444"/>
      <c r="G248" s="2444"/>
      <c r="H248" s="2444"/>
      <c r="I248" s="2444"/>
      <c r="J248" s="2453" t="s">
        <v>764</v>
      </c>
    </row>
    <row r="249" spans="1:10">
      <c r="A249" s="2455" t="s">
        <v>758</v>
      </c>
      <c r="B249" s="2403"/>
      <c r="C249" s="2403"/>
      <c r="D249" s="2403"/>
      <c r="E249" s="2369">
        <f>ROUND(B249+C249-D249,2)</f>
        <v>0</v>
      </c>
      <c r="F249" s="2444"/>
      <c r="G249" s="2444"/>
      <c r="H249" s="2444"/>
      <c r="I249" s="2444"/>
      <c r="J249" s="2453" t="s">
        <v>765</v>
      </c>
    </row>
    <row r="250" spans="1:10">
      <c r="A250" s="2455"/>
      <c r="B250" s="2401"/>
      <c r="C250" s="2401"/>
      <c r="D250" s="2401"/>
      <c r="E250" s="2401"/>
      <c r="F250" s="2444"/>
      <c r="G250" s="2444"/>
      <c r="H250" s="2444"/>
      <c r="I250" s="2444"/>
      <c r="J250" s="2396"/>
    </row>
    <row r="251" spans="1:10">
      <c r="A251" s="2447" t="s">
        <v>766</v>
      </c>
      <c r="B251" s="2369">
        <f>ROUND(SUM(B252:B255),2)</f>
        <v>0</v>
      </c>
      <c r="C251" s="2369">
        <f>ROUND(SUM(C252:C255),2)</f>
        <v>0</v>
      </c>
      <c r="D251" s="2369">
        <f>ROUND(SUM(D252:D255),2)</f>
        <v>0</v>
      </c>
      <c r="E251" s="2369">
        <f>ROUND(SUM(E252:E255),2)</f>
        <v>0</v>
      </c>
      <c r="F251" s="2444"/>
      <c r="G251" s="2444"/>
      <c r="H251" s="2444"/>
      <c r="I251" s="2444"/>
      <c r="J251" s="2453" t="s">
        <v>767</v>
      </c>
    </row>
    <row r="252" spans="1:10">
      <c r="A252" s="2455" t="s">
        <v>717</v>
      </c>
      <c r="B252" s="2403"/>
      <c r="C252" s="2403"/>
      <c r="D252" s="2403"/>
      <c r="E252" s="2369">
        <f>ROUND(B252+C252-D252,2)</f>
        <v>0</v>
      </c>
      <c r="F252" s="2444"/>
      <c r="G252" s="2444"/>
      <c r="H252" s="2444"/>
      <c r="I252" s="2444"/>
      <c r="J252" s="2453" t="s">
        <v>768</v>
      </c>
    </row>
    <row r="253" spans="1:10">
      <c r="A253" s="2455" t="s">
        <v>754</v>
      </c>
      <c r="B253" s="2403"/>
      <c r="C253" s="2403"/>
      <c r="D253" s="2403"/>
      <c r="E253" s="2369">
        <f>ROUND(B253+C253-D253,2)</f>
        <v>0</v>
      </c>
      <c r="F253" s="2444"/>
      <c r="G253" s="2444"/>
      <c r="H253" s="2444"/>
      <c r="I253" s="2444"/>
      <c r="J253" s="2453" t="s">
        <v>769</v>
      </c>
    </row>
    <row r="254" spans="1:10">
      <c r="A254" s="2455" t="s">
        <v>756</v>
      </c>
      <c r="B254" s="2403"/>
      <c r="C254" s="2403"/>
      <c r="D254" s="2403"/>
      <c r="E254" s="2369">
        <f>ROUND(B254+C254-D254,2)</f>
        <v>0</v>
      </c>
      <c r="F254" s="2444"/>
      <c r="G254" s="2444"/>
      <c r="H254" s="2444"/>
      <c r="I254" s="2444"/>
      <c r="J254" s="2453" t="s">
        <v>770</v>
      </c>
    </row>
    <row r="255" spans="1:10">
      <c r="A255" s="2455" t="s">
        <v>758</v>
      </c>
      <c r="B255" s="2403"/>
      <c r="C255" s="2403"/>
      <c r="D255" s="2403"/>
      <c r="E255" s="2369">
        <f>ROUND(B255+C255-D255,2)</f>
        <v>0</v>
      </c>
      <c r="F255" s="2444"/>
      <c r="G255" s="2444"/>
      <c r="H255" s="2444"/>
      <c r="I255" s="2444"/>
      <c r="J255" s="2453" t="s">
        <v>771</v>
      </c>
    </row>
    <row r="256" spans="1:10">
      <c r="A256" s="2455"/>
      <c r="B256" s="2401"/>
      <c r="C256" s="2401"/>
      <c r="D256" s="2401"/>
      <c r="E256" s="2401"/>
      <c r="F256" s="2444"/>
      <c r="G256" s="2444"/>
      <c r="H256" s="2444"/>
      <c r="I256" s="2444"/>
      <c r="J256" s="2396"/>
    </row>
    <row r="257" spans="1:10">
      <c r="A257" s="2447" t="s">
        <v>772</v>
      </c>
      <c r="B257" s="2369">
        <f>ROUND(SUM(B258:B261),2)</f>
        <v>0</v>
      </c>
      <c r="C257" s="2369">
        <f>ROUND(SUM(C258:C261),2)</f>
        <v>0</v>
      </c>
      <c r="D257" s="2369">
        <f>ROUND(SUM(D258:D261),2)</f>
        <v>0</v>
      </c>
      <c r="E257" s="2369">
        <f>ROUND(SUM(E258:E261),2)</f>
        <v>0</v>
      </c>
      <c r="F257" s="2444"/>
      <c r="G257" s="2444"/>
      <c r="H257" s="2444"/>
      <c r="I257" s="2444"/>
      <c r="J257" s="2396"/>
    </row>
    <row r="258" spans="1:10">
      <c r="A258" s="2455" t="s">
        <v>717</v>
      </c>
      <c r="B258" s="2457">
        <f>ROUND(B240-B246-B252,2)</f>
        <v>0</v>
      </c>
      <c r="C258" s="2457">
        <f>ROUND(C240-C246-C252,2)</f>
        <v>0</v>
      </c>
      <c r="D258" s="2457">
        <f>ROUND(D240-D246-D252,2)</f>
        <v>0</v>
      </c>
      <c r="E258" s="2369">
        <f>ROUND(B258+C258-D258,2)</f>
        <v>0</v>
      </c>
      <c r="F258" s="2444"/>
      <c r="G258" s="2444"/>
      <c r="H258" s="2444"/>
      <c r="I258" s="2444"/>
      <c r="J258" s="2396"/>
    </row>
    <row r="259" spans="1:10">
      <c r="A259" s="2455" t="s">
        <v>754</v>
      </c>
      <c r="B259" s="2457">
        <f t="shared" ref="B259:D261" si="10">ROUND(B241-B247-B253,2)</f>
        <v>0</v>
      </c>
      <c r="C259" s="2457">
        <f t="shared" si="10"/>
        <v>0</v>
      </c>
      <c r="D259" s="2457">
        <f t="shared" si="10"/>
        <v>0</v>
      </c>
      <c r="E259" s="2369">
        <f>ROUND(B259+C259-D259,2)</f>
        <v>0</v>
      </c>
      <c r="F259" s="2444"/>
      <c r="G259" s="2444"/>
      <c r="H259" s="2444"/>
      <c r="I259" s="2444"/>
      <c r="J259" s="2396"/>
    </row>
    <row r="260" spans="1:10">
      <c r="A260" s="2455" t="s">
        <v>756</v>
      </c>
      <c r="B260" s="2457">
        <f t="shared" si="10"/>
        <v>0</v>
      </c>
      <c r="C260" s="2457">
        <f t="shared" si="10"/>
        <v>0</v>
      </c>
      <c r="D260" s="2457">
        <f t="shared" si="10"/>
        <v>0</v>
      </c>
      <c r="E260" s="2369">
        <f>ROUND(B260+C260-D260,2)</f>
        <v>0</v>
      </c>
      <c r="F260" s="2444"/>
      <c r="G260" s="2444"/>
      <c r="H260" s="2444"/>
      <c r="I260" s="2444"/>
      <c r="J260" s="2396"/>
    </row>
    <row r="261" spans="1:10">
      <c r="A261" s="2455" t="s">
        <v>758</v>
      </c>
      <c r="B261" s="2457">
        <f t="shared" si="10"/>
        <v>0</v>
      </c>
      <c r="C261" s="2457">
        <f t="shared" si="10"/>
        <v>0</v>
      </c>
      <c r="D261" s="2457">
        <f t="shared" si="10"/>
        <v>0</v>
      </c>
      <c r="E261" s="2369">
        <f>ROUND(B261+C261-D261,2)</f>
        <v>0</v>
      </c>
      <c r="F261" s="2444"/>
      <c r="G261" s="2444"/>
      <c r="H261" s="2444"/>
      <c r="I261" s="2444"/>
      <c r="J261" s="2396"/>
    </row>
    <row r="262" spans="1:10">
      <c r="A262" s="2450"/>
      <c r="B262" s="2412"/>
      <c r="C262" s="2412"/>
      <c r="D262" s="2412"/>
      <c r="E262" s="2412"/>
      <c r="F262" s="2444"/>
      <c r="G262" s="2444"/>
      <c r="H262" s="2444"/>
      <c r="I262" s="2444"/>
      <c r="J262" s="2396"/>
    </row>
    <row r="263" spans="1:10">
      <c r="A263" s="2451" t="s">
        <v>773</v>
      </c>
      <c r="B263" s="2444"/>
      <c r="C263" s="2444"/>
      <c r="D263" s="2444"/>
      <c r="E263" s="2444"/>
      <c r="F263" s="2444"/>
      <c r="G263" s="2444"/>
      <c r="H263" s="2444"/>
      <c r="I263" s="2444"/>
      <c r="J263" s="2396"/>
    </row>
    <row r="264" spans="1:10">
      <c r="A264" s="2400" t="s">
        <v>373</v>
      </c>
      <c r="B264" s="2400" t="s">
        <v>774</v>
      </c>
      <c r="C264" s="2400" t="s">
        <v>775</v>
      </c>
      <c r="D264" s="2400" t="s">
        <v>776</v>
      </c>
      <c r="E264" s="2400" t="s">
        <v>777</v>
      </c>
      <c r="F264" s="2444"/>
      <c r="G264" s="2444"/>
      <c r="H264" s="2444"/>
      <c r="I264" s="2444"/>
      <c r="J264" s="2396"/>
    </row>
    <row r="265" spans="1:10">
      <c r="A265" s="2447" t="s">
        <v>778</v>
      </c>
      <c r="B265" s="2369">
        <f>ROUND(SUM(B266:B269),2)</f>
        <v>0</v>
      </c>
      <c r="C265" s="2369">
        <f>ROUND(SUM(C266:C269),2)</f>
        <v>0</v>
      </c>
      <c r="D265" s="2369">
        <f>ROUND(SUM(D266:D269),2)</f>
        <v>0</v>
      </c>
      <c r="E265" s="2369">
        <f>ROUND(SUM(E266:E269),2)</f>
        <v>0</v>
      </c>
      <c r="F265" s="2444"/>
      <c r="G265" s="2444"/>
      <c r="H265" s="2444"/>
      <c r="I265" s="2444"/>
      <c r="J265" s="2453" t="s">
        <v>779</v>
      </c>
    </row>
    <row r="266" spans="1:10">
      <c r="A266" s="2455" t="s">
        <v>717</v>
      </c>
      <c r="B266" s="2403"/>
      <c r="C266" s="2403"/>
      <c r="D266" s="2403"/>
      <c r="E266" s="2369">
        <f>ROUND(B266-C266-D266,2)</f>
        <v>0</v>
      </c>
      <c r="F266" s="2444"/>
      <c r="G266" s="2444"/>
      <c r="H266" s="2444"/>
      <c r="I266" s="2444"/>
      <c r="J266" s="2453" t="s">
        <v>780</v>
      </c>
    </row>
    <row r="267" spans="1:10">
      <c r="A267" s="2455" t="s">
        <v>754</v>
      </c>
      <c r="B267" s="2403"/>
      <c r="C267" s="2403"/>
      <c r="D267" s="2403"/>
      <c r="E267" s="2369">
        <f>ROUND(B267-C267-D267,2)</f>
        <v>0</v>
      </c>
      <c r="F267" s="2444"/>
      <c r="G267" s="2444"/>
      <c r="H267" s="2444"/>
      <c r="I267" s="2444"/>
      <c r="J267" s="2453" t="s">
        <v>781</v>
      </c>
    </row>
    <row r="268" spans="1:10">
      <c r="A268" s="2455" t="s">
        <v>756</v>
      </c>
      <c r="B268" s="2403"/>
      <c r="C268" s="2403"/>
      <c r="D268" s="2403"/>
      <c r="E268" s="2369">
        <f>ROUND(B268-C268-D268,2)</f>
        <v>0</v>
      </c>
      <c r="F268" s="2444"/>
      <c r="G268" s="2444"/>
      <c r="H268" s="2444"/>
      <c r="I268" s="2444"/>
      <c r="J268" s="2453" t="s">
        <v>782</v>
      </c>
    </row>
    <row r="269" spans="1:10">
      <c r="A269" s="2455" t="s">
        <v>758</v>
      </c>
      <c r="B269" s="2403"/>
      <c r="C269" s="2403"/>
      <c r="D269" s="2403"/>
      <c r="E269" s="2369">
        <f>ROUND(B269-C269-D269,2)</f>
        <v>0</v>
      </c>
      <c r="F269" s="2444"/>
      <c r="G269" s="2444"/>
      <c r="H269" s="2444"/>
      <c r="I269" s="2444"/>
      <c r="J269" s="2453" t="s">
        <v>783</v>
      </c>
    </row>
    <row r="270" spans="1:10">
      <c r="A270" s="2455"/>
      <c r="B270" s="2455"/>
      <c r="C270" s="2455"/>
      <c r="D270" s="2455"/>
      <c r="E270" s="2455"/>
      <c r="F270" s="2444"/>
      <c r="G270" s="2444"/>
      <c r="H270" s="2444"/>
      <c r="I270" s="2444"/>
      <c r="J270" s="2396"/>
    </row>
    <row r="271" spans="1:10">
      <c r="A271" s="2447" t="s">
        <v>784</v>
      </c>
      <c r="B271" s="2369">
        <f>ROUND(SUM(B272:B275),2)</f>
        <v>0</v>
      </c>
      <c r="C271" s="2369">
        <f>ROUND(SUM(C272:C275),2)</f>
        <v>0</v>
      </c>
      <c r="D271" s="2369">
        <f>ROUND(SUM(D272:D275),2)</f>
        <v>0</v>
      </c>
      <c r="E271" s="2369">
        <f>ROUND(SUM(E272:E275),2)</f>
        <v>0</v>
      </c>
      <c r="F271" s="2444"/>
      <c r="G271" s="2444"/>
      <c r="H271" s="2444"/>
      <c r="I271" s="2444"/>
      <c r="J271" s="2453" t="s">
        <v>785</v>
      </c>
    </row>
    <row r="272" spans="1:10">
      <c r="A272" s="2455" t="s">
        <v>717</v>
      </c>
      <c r="B272" s="2403"/>
      <c r="C272" s="2403"/>
      <c r="D272" s="2403"/>
      <c r="E272" s="2369">
        <f>ROUND(B272-C272-D272,2)</f>
        <v>0</v>
      </c>
      <c r="F272" s="2444"/>
      <c r="G272" s="2444"/>
      <c r="H272" s="2444"/>
      <c r="I272" s="2444"/>
      <c r="J272" s="2453" t="s">
        <v>786</v>
      </c>
    </row>
    <row r="273" spans="1:10">
      <c r="A273" s="2455" t="s">
        <v>754</v>
      </c>
      <c r="B273" s="2403"/>
      <c r="C273" s="2403"/>
      <c r="D273" s="2403"/>
      <c r="E273" s="2369">
        <f>ROUND(B273-C273-D273,2)</f>
        <v>0</v>
      </c>
      <c r="F273" s="2444"/>
      <c r="G273" s="2444"/>
      <c r="H273" s="2444"/>
      <c r="I273" s="2444"/>
      <c r="J273" s="2453" t="s">
        <v>787</v>
      </c>
    </row>
    <row r="274" spans="1:10">
      <c r="A274" s="2455" t="s">
        <v>756</v>
      </c>
      <c r="B274" s="2403"/>
      <c r="C274" s="2403"/>
      <c r="D274" s="2403"/>
      <c r="E274" s="2369">
        <f>ROUND(B274-C274-D274,2)</f>
        <v>0</v>
      </c>
      <c r="F274" s="2444"/>
      <c r="G274" s="2444"/>
      <c r="H274" s="2444"/>
      <c r="I274" s="2444"/>
      <c r="J274" s="2453" t="s">
        <v>788</v>
      </c>
    </row>
    <row r="275" spans="1:10">
      <c r="A275" s="2455" t="s">
        <v>758</v>
      </c>
      <c r="B275" s="2403"/>
      <c r="C275" s="2403"/>
      <c r="D275" s="2403"/>
      <c r="E275" s="2369">
        <f>ROUND(B275-C275-D275,2)</f>
        <v>0</v>
      </c>
      <c r="F275" s="2444"/>
      <c r="G275" s="2444"/>
      <c r="H275" s="2444"/>
      <c r="I275" s="2444"/>
      <c r="J275" s="2453" t="s">
        <v>789</v>
      </c>
    </row>
    <row r="276" spans="1:10">
      <c r="A276" s="2455"/>
      <c r="B276" s="2401"/>
      <c r="C276" s="2401"/>
      <c r="D276" s="2401"/>
      <c r="E276" s="2401"/>
      <c r="F276" s="2444"/>
      <c r="G276" s="2444"/>
      <c r="H276" s="2444"/>
      <c r="I276" s="2444"/>
      <c r="J276" s="2396"/>
    </row>
    <row r="277" spans="1:10">
      <c r="A277" s="2447" t="s">
        <v>790</v>
      </c>
      <c r="B277" s="2369">
        <f>ROUND(SUM(B278:B281),2)</f>
        <v>0</v>
      </c>
      <c r="C277" s="2369">
        <f>ROUND(SUM(C278:C281),2)</f>
        <v>0</v>
      </c>
      <c r="D277" s="2369">
        <f>ROUND(SUM(D278:D281),2)</f>
        <v>0</v>
      </c>
      <c r="E277" s="2369">
        <f>ROUND(SUM(E278:E281),2)</f>
        <v>0</v>
      </c>
      <c r="F277" s="2444"/>
      <c r="G277" s="2444"/>
      <c r="H277" s="2444"/>
      <c r="I277" s="2444"/>
      <c r="J277" s="2453" t="s">
        <v>791</v>
      </c>
    </row>
    <row r="278" spans="1:10">
      <c r="A278" s="2455" t="s">
        <v>717</v>
      </c>
      <c r="B278" s="2403"/>
      <c r="C278" s="2403"/>
      <c r="D278" s="2403"/>
      <c r="E278" s="2369">
        <f>ROUND(B278-C278-D278,2)</f>
        <v>0</v>
      </c>
      <c r="F278" s="2444"/>
      <c r="G278" s="2444"/>
      <c r="H278" s="2444"/>
      <c r="I278" s="2444"/>
      <c r="J278" s="2453" t="s">
        <v>792</v>
      </c>
    </row>
    <row r="279" spans="1:10">
      <c r="A279" s="2455" t="s">
        <v>754</v>
      </c>
      <c r="B279" s="2403"/>
      <c r="C279" s="2403"/>
      <c r="D279" s="2403"/>
      <c r="E279" s="2369">
        <f>ROUND(B279-C279-D279,2)</f>
        <v>0</v>
      </c>
      <c r="F279" s="2444"/>
      <c r="G279" s="2444"/>
      <c r="H279" s="2444"/>
      <c r="I279" s="2444"/>
      <c r="J279" s="2453" t="s">
        <v>793</v>
      </c>
    </row>
    <row r="280" spans="1:10">
      <c r="A280" s="2455" t="s">
        <v>756</v>
      </c>
      <c r="B280" s="2403"/>
      <c r="C280" s="2403"/>
      <c r="D280" s="2403"/>
      <c r="E280" s="2369">
        <f>ROUND(B280-C280-D280,2)</f>
        <v>0</v>
      </c>
      <c r="F280" s="2444"/>
      <c r="G280" s="2444"/>
      <c r="H280" s="2444"/>
      <c r="I280" s="2444"/>
      <c r="J280" s="2453" t="s">
        <v>794</v>
      </c>
    </row>
    <row r="281" spans="1:10">
      <c r="A281" s="2455" t="s">
        <v>758</v>
      </c>
      <c r="B281" s="2403"/>
      <c r="C281" s="2403"/>
      <c r="D281" s="2403"/>
      <c r="E281" s="2369">
        <f>ROUND(B281-C281-D281,2)</f>
        <v>0</v>
      </c>
      <c r="F281" s="2444"/>
      <c r="G281" s="2444"/>
      <c r="H281" s="2444"/>
      <c r="I281" s="2444"/>
      <c r="J281" s="2453" t="s">
        <v>795</v>
      </c>
    </row>
    <row r="282" spans="1:10">
      <c r="A282" s="2455"/>
      <c r="B282" s="2401"/>
      <c r="C282" s="2401"/>
      <c r="D282" s="2401"/>
      <c r="E282" s="2401"/>
      <c r="F282" s="2444"/>
      <c r="G282" s="2444"/>
      <c r="H282" s="2444"/>
      <c r="I282" s="2444"/>
      <c r="J282" s="2396"/>
    </row>
    <row r="283" spans="1:10">
      <c r="A283" s="2447" t="s">
        <v>796</v>
      </c>
      <c r="B283" s="2369">
        <f>ROUND(SUM(B284:B287),2)</f>
        <v>0</v>
      </c>
      <c r="C283" s="2369">
        <f>ROUND(SUM(C284:C287),2)</f>
        <v>0</v>
      </c>
      <c r="D283" s="2369">
        <f>ROUND(SUM(D284:D287),2)</f>
        <v>0</v>
      </c>
      <c r="E283" s="2369">
        <f>ROUND(SUM(E284:E287),2)</f>
        <v>0</v>
      </c>
      <c r="F283" s="2444"/>
      <c r="G283" s="2444"/>
      <c r="H283" s="2444"/>
      <c r="I283" s="2444"/>
      <c r="J283" s="2453" t="s">
        <v>797</v>
      </c>
    </row>
    <row r="284" spans="1:10">
      <c r="A284" s="2455" t="s">
        <v>717</v>
      </c>
      <c r="B284" s="2403"/>
      <c r="C284" s="2403"/>
      <c r="D284" s="2403"/>
      <c r="E284" s="2369">
        <f>ROUND(B284-C284-D284,2)</f>
        <v>0</v>
      </c>
      <c r="F284" s="2444"/>
      <c r="G284" s="2444"/>
      <c r="H284" s="2444"/>
      <c r="I284" s="2444"/>
      <c r="J284" s="2453" t="s">
        <v>798</v>
      </c>
    </row>
    <row r="285" spans="1:10">
      <c r="A285" s="2455" t="s">
        <v>754</v>
      </c>
      <c r="B285" s="2403"/>
      <c r="C285" s="2403"/>
      <c r="D285" s="2403"/>
      <c r="E285" s="2369">
        <f>ROUND(B285-C285-D285,2)</f>
        <v>0</v>
      </c>
      <c r="F285" s="2444"/>
      <c r="G285" s="2444"/>
      <c r="H285" s="2444"/>
      <c r="I285" s="2444"/>
      <c r="J285" s="2453" t="s">
        <v>799</v>
      </c>
    </row>
    <row r="286" spans="1:10">
      <c r="A286" s="2455" t="s">
        <v>756</v>
      </c>
      <c r="B286" s="2403"/>
      <c r="C286" s="2403"/>
      <c r="D286" s="2403"/>
      <c r="E286" s="2369">
        <f>ROUND(B286-C286-D286,2)</f>
        <v>0</v>
      </c>
      <c r="F286" s="2444"/>
      <c r="G286" s="2444"/>
      <c r="H286" s="2444"/>
      <c r="I286" s="2444"/>
      <c r="J286" s="2453" t="s">
        <v>800</v>
      </c>
    </row>
    <row r="287" spans="1:10">
      <c r="A287" s="2455" t="s">
        <v>758</v>
      </c>
      <c r="B287" s="2403"/>
      <c r="C287" s="2403"/>
      <c r="D287" s="2403"/>
      <c r="E287" s="2369">
        <f>ROUND(B287-C287-D287,2)</f>
        <v>0</v>
      </c>
      <c r="F287" s="2444"/>
      <c r="G287" s="2444"/>
      <c r="H287" s="2444"/>
      <c r="I287" s="2444"/>
      <c r="J287" s="2453" t="s">
        <v>801</v>
      </c>
    </row>
    <row r="288" spans="1:10">
      <c r="A288" s="2450"/>
      <c r="B288" s="2412"/>
      <c r="C288" s="2412"/>
      <c r="D288" s="2412"/>
      <c r="E288" s="2412"/>
      <c r="F288" s="2444"/>
      <c r="G288" s="2444"/>
      <c r="H288" s="2444"/>
      <c r="I288" s="2444"/>
      <c r="J288" s="2396"/>
    </row>
    <row r="289" spans="1:10">
      <c r="A289" s="2445" t="s">
        <v>802</v>
      </c>
      <c r="B289" s="2444"/>
      <c r="C289" s="2444"/>
      <c r="D289" s="2444"/>
      <c r="E289" s="2444"/>
      <c r="F289" s="2444"/>
      <c r="G289" s="2444"/>
      <c r="H289" s="2444"/>
      <c r="I289" s="2444"/>
      <c r="J289" s="2396"/>
    </row>
    <row r="290" spans="1:10">
      <c r="A290" s="2400" t="s">
        <v>803</v>
      </c>
      <c r="B290" s="2400" t="s">
        <v>774</v>
      </c>
      <c r="C290" s="2400" t="s">
        <v>775</v>
      </c>
      <c r="D290" s="2400" t="s">
        <v>777</v>
      </c>
      <c r="E290" s="2400" t="s">
        <v>804</v>
      </c>
      <c r="F290" s="2400" t="s">
        <v>805</v>
      </c>
      <c r="G290" s="2444"/>
      <c r="H290" s="2444"/>
      <c r="I290" s="2444"/>
      <c r="J290" s="2396"/>
    </row>
    <row r="291" spans="1:10">
      <c r="A291" s="2410"/>
      <c r="B291" s="2403"/>
      <c r="C291" s="2403"/>
      <c r="D291" s="2369">
        <f>ROUND(B291-C291,2)</f>
        <v>0</v>
      </c>
      <c r="E291" s="2410"/>
      <c r="F291" s="2403"/>
      <c r="G291" s="2444"/>
      <c r="H291" s="2444"/>
      <c r="I291" s="2444"/>
      <c r="J291" s="2453" t="s">
        <v>806</v>
      </c>
    </row>
    <row r="292" spans="1:10">
      <c r="A292" s="2410"/>
      <c r="B292" s="2403"/>
      <c r="C292" s="2403"/>
      <c r="D292" s="2369">
        <f t="shared" ref="D292:D300" si="11">ROUND(B292-C292,2)</f>
        <v>0</v>
      </c>
      <c r="E292" s="2410"/>
      <c r="F292" s="2403"/>
      <c r="G292" s="2444"/>
      <c r="H292" s="2444"/>
      <c r="I292" s="2444"/>
      <c r="J292" s="2453" t="s">
        <v>806</v>
      </c>
    </row>
    <row r="293" spans="1:10">
      <c r="A293" s="2410"/>
      <c r="B293" s="2403"/>
      <c r="C293" s="2403"/>
      <c r="D293" s="2369">
        <f t="shared" si="11"/>
        <v>0</v>
      </c>
      <c r="E293" s="2410"/>
      <c r="F293" s="2403"/>
      <c r="G293" s="2444"/>
      <c r="H293" s="2444"/>
      <c r="I293" s="2444"/>
      <c r="J293" s="2453" t="s">
        <v>806</v>
      </c>
    </row>
    <row r="294" spans="1:10">
      <c r="A294" s="2410"/>
      <c r="B294" s="2403"/>
      <c r="C294" s="2403"/>
      <c r="D294" s="2369">
        <f t="shared" si="11"/>
        <v>0</v>
      </c>
      <c r="E294" s="2410"/>
      <c r="F294" s="2403"/>
      <c r="G294" s="2444"/>
      <c r="H294" s="2444"/>
      <c r="I294" s="2444"/>
      <c r="J294" s="2453" t="s">
        <v>806</v>
      </c>
    </row>
    <row r="295" spans="1:10">
      <c r="A295" s="2410"/>
      <c r="B295" s="2403"/>
      <c r="C295" s="2403"/>
      <c r="D295" s="2369">
        <f t="shared" si="11"/>
        <v>0</v>
      </c>
      <c r="E295" s="2410"/>
      <c r="F295" s="2403"/>
      <c r="G295" s="2444"/>
      <c r="H295" s="2444"/>
      <c r="I295" s="2444"/>
      <c r="J295" s="2453" t="s">
        <v>806</v>
      </c>
    </row>
    <row r="296" spans="1:10">
      <c r="A296" s="2410"/>
      <c r="B296" s="2403"/>
      <c r="C296" s="2403"/>
      <c r="D296" s="2369">
        <f t="shared" si="11"/>
        <v>0</v>
      </c>
      <c r="E296" s="2410"/>
      <c r="F296" s="2403"/>
      <c r="G296" s="2444"/>
      <c r="H296" s="2444"/>
      <c r="I296" s="2444"/>
      <c r="J296" s="2453" t="s">
        <v>806</v>
      </c>
    </row>
    <row r="297" spans="1:10">
      <c r="A297" s="2410"/>
      <c r="B297" s="2403"/>
      <c r="C297" s="2403"/>
      <c r="D297" s="2369">
        <f t="shared" si="11"/>
        <v>0</v>
      </c>
      <c r="E297" s="2410"/>
      <c r="F297" s="2403"/>
      <c r="G297" s="2444"/>
      <c r="H297" s="2444"/>
      <c r="I297" s="2444"/>
      <c r="J297" s="2453" t="s">
        <v>806</v>
      </c>
    </row>
    <row r="298" spans="1:10">
      <c r="A298" s="2410"/>
      <c r="B298" s="2403"/>
      <c r="C298" s="2403"/>
      <c r="D298" s="2369">
        <f t="shared" si="11"/>
        <v>0</v>
      </c>
      <c r="E298" s="2410"/>
      <c r="F298" s="2403"/>
      <c r="G298" s="2444"/>
      <c r="H298" s="2444"/>
      <c r="I298" s="2444"/>
      <c r="J298" s="2453" t="s">
        <v>806</v>
      </c>
    </row>
    <row r="299" spans="1:10">
      <c r="A299" s="2410"/>
      <c r="B299" s="2403"/>
      <c r="C299" s="2403"/>
      <c r="D299" s="2369">
        <f t="shared" si="11"/>
        <v>0</v>
      </c>
      <c r="E299" s="2410"/>
      <c r="F299" s="2403"/>
      <c r="G299" s="2444"/>
      <c r="H299" s="2444"/>
      <c r="I299" s="2444"/>
      <c r="J299" s="2453" t="s">
        <v>806</v>
      </c>
    </row>
    <row r="300" spans="1:10">
      <c r="A300" s="2410"/>
      <c r="B300" s="2403"/>
      <c r="C300" s="2403"/>
      <c r="D300" s="2369">
        <f t="shared" si="11"/>
        <v>0</v>
      </c>
      <c r="E300" s="2410"/>
      <c r="F300" s="2403"/>
      <c r="G300" s="2444"/>
      <c r="H300" s="2444"/>
      <c r="I300" s="2444"/>
      <c r="J300" s="2453" t="s">
        <v>806</v>
      </c>
    </row>
    <row r="301" spans="1:10">
      <c r="A301" s="2400" t="s">
        <v>385</v>
      </c>
      <c r="B301" s="2369">
        <f>ROUND(SUM(B291:B300),2)</f>
        <v>0</v>
      </c>
      <c r="C301" s="2369">
        <f>ROUND(SUM(C291:C300),2)</f>
        <v>0</v>
      </c>
      <c r="D301" s="2369">
        <f>ROUND(SUM(D291:D300),2)</f>
        <v>0</v>
      </c>
      <c r="E301" s="2369"/>
      <c r="F301" s="2369"/>
      <c r="G301" s="2444"/>
      <c r="H301" s="2444"/>
      <c r="I301" s="2444"/>
      <c r="J301" s="2453" t="s">
        <v>807</v>
      </c>
    </row>
    <row r="302" spans="1:10">
      <c r="A302" s="2450"/>
      <c r="B302" s="2412"/>
      <c r="C302" s="2412"/>
      <c r="D302" s="2412"/>
      <c r="E302" s="2412"/>
      <c r="F302" s="2444"/>
      <c r="G302" s="2444"/>
      <c r="H302" s="2444"/>
      <c r="I302" s="2444"/>
      <c r="J302" s="2396"/>
    </row>
    <row r="303" spans="1:9">
      <c r="A303" s="2445" t="s">
        <v>808</v>
      </c>
      <c r="B303" s="2444"/>
      <c r="C303" s="2444"/>
      <c r="D303" s="2444"/>
      <c r="E303" s="2444"/>
      <c r="F303" s="2444"/>
      <c r="G303" s="2444"/>
      <c r="H303" s="2444"/>
      <c r="I303" s="2444"/>
    </row>
    <row r="304" spans="1:11">
      <c r="A304" s="2400" t="s">
        <v>803</v>
      </c>
      <c r="B304" s="2400" t="s">
        <v>774</v>
      </c>
      <c r="C304" s="2400" t="s">
        <v>775</v>
      </c>
      <c r="D304" s="2400" t="s">
        <v>776</v>
      </c>
      <c r="E304" s="2400" t="s">
        <v>777</v>
      </c>
      <c r="F304" s="2400" t="s">
        <v>809</v>
      </c>
      <c r="G304" s="2400" t="s">
        <v>810</v>
      </c>
      <c r="H304" s="2444"/>
      <c r="I304" s="2444"/>
      <c r="J304" s="2396"/>
      <c r="K304" s="2396"/>
    </row>
    <row r="305" spans="1:11">
      <c r="A305" s="2410"/>
      <c r="B305" s="2403"/>
      <c r="C305" s="2403"/>
      <c r="D305" s="2403"/>
      <c r="E305" s="2369">
        <f t="shared" ref="E305:E314" si="12">ROUND(B305-C305-D305,2)</f>
        <v>0</v>
      </c>
      <c r="F305" s="2410"/>
      <c r="G305" s="2403"/>
      <c r="H305" s="2444"/>
      <c r="I305" s="2444"/>
      <c r="J305" s="2453" t="s">
        <v>811</v>
      </c>
      <c r="K305" s="2453"/>
    </row>
    <row r="306" spans="1:11">
      <c r="A306" s="2410"/>
      <c r="B306" s="2403"/>
      <c r="C306" s="2403"/>
      <c r="D306" s="2403"/>
      <c r="E306" s="2369">
        <f t="shared" si="12"/>
        <v>0</v>
      </c>
      <c r="F306" s="2410"/>
      <c r="G306" s="2403"/>
      <c r="H306" s="2444"/>
      <c r="I306" s="2444"/>
      <c r="J306" s="2453" t="s">
        <v>811</v>
      </c>
      <c r="K306" s="2453"/>
    </row>
    <row r="307" spans="1:11">
      <c r="A307" s="2410"/>
      <c r="B307" s="2403"/>
      <c r="C307" s="2403"/>
      <c r="D307" s="2403"/>
      <c r="E307" s="2369">
        <f t="shared" si="12"/>
        <v>0</v>
      </c>
      <c r="F307" s="2410"/>
      <c r="G307" s="2403"/>
      <c r="H307" s="2444"/>
      <c r="I307" s="2444"/>
      <c r="J307" s="2453" t="s">
        <v>811</v>
      </c>
      <c r="K307" s="2453"/>
    </row>
    <row r="308" spans="1:11">
      <c r="A308" s="2410"/>
      <c r="B308" s="2403"/>
      <c r="C308" s="2403"/>
      <c r="D308" s="2403"/>
      <c r="E308" s="2369">
        <f t="shared" si="12"/>
        <v>0</v>
      </c>
      <c r="F308" s="2410"/>
      <c r="G308" s="2403"/>
      <c r="H308" s="2444"/>
      <c r="I308" s="2444"/>
      <c r="J308" s="2453" t="s">
        <v>811</v>
      </c>
      <c r="K308" s="2453"/>
    </row>
    <row r="309" spans="1:11">
      <c r="A309" s="2410"/>
      <c r="B309" s="2403"/>
      <c r="C309" s="2403"/>
      <c r="D309" s="2403"/>
      <c r="E309" s="2369">
        <f t="shared" si="12"/>
        <v>0</v>
      </c>
      <c r="F309" s="2410"/>
      <c r="G309" s="2403"/>
      <c r="H309" s="2444"/>
      <c r="I309" s="2444"/>
      <c r="J309" s="2453" t="s">
        <v>811</v>
      </c>
      <c r="K309" s="2453"/>
    </row>
    <row r="310" spans="1:11">
      <c r="A310" s="2410"/>
      <c r="B310" s="2403"/>
      <c r="C310" s="2403"/>
      <c r="D310" s="2403"/>
      <c r="E310" s="2369">
        <f t="shared" si="12"/>
        <v>0</v>
      </c>
      <c r="F310" s="2410"/>
      <c r="G310" s="2403"/>
      <c r="H310" s="2444"/>
      <c r="I310" s="2444"/>
      <c r="J310" s="2453" t="s">
        <v>811</v>
      </c>
      <c r="K310" s="2453"/>
    </row>
    <row r="311" spans="1:11">
      <c r="A311" s="2410"/>
      <c r="B311" s="2403"/>
      <c r="C311" s="2403"/>
      <c r="D311" s="2403"/>
      <c r="E311" s="2369">
        <f t="shared" si="12"/>
        <v>0</v>
      </c>
      <c r="F311" s="2410"/>
      <c r="G311" s="2403"/>
      <c r="H311" s="2444"/>
      <c r="I311" s="2444"/>
      <c r="J311" s="2453" t="s">
        <v>811</v>
      </c>
      <c r="K311" s="2453"/>
    </row>
    <row r="312" spans="1:11">
      <c r="A312" s="2410"/>
      <c r="B312" s="2403"/>
      <c r="C312" s="2403"/>
      <c r="D312" s="2403"/>
      <c r="E312" s="2369">
        <f t="shared" si="12"/>
        <v>0</v>
      </c>
      <c r="F312" s="2410"/>
      <c r="G312" s="2403"/>
      <c r="H312" s="2444"/>
      <c r="I312" s="2444"/>
      <c r="J312" s="2453" t="s">
        <v>811</v>
      </c>
      <c r="K312" s="2453"/>
    </row>
    <row r="313" spans="1:11">
      <c r="A313" s="2410"/>
      <c r="B313" s="2403"/>
      <c r="C313" s="2403"/>
      <c r="D313" s="2403"/>
      <c r="E313" s="2369">
        <f t="shared" si="12"/>
        <v>0</v>
      </c>
      <c r="F313" s="2410"/>
      <c r="G313" s="2403"/>
      <c r="H313" s="2444"/>
      <c r="I313" s="2444"/>
      <c r="J313" s="2453" t="s">
        <v>811</v>
      </c>
      <c r="K313" s="2453"/>
    </row>
    <row r="314" spans="1:11">
      <c r="A314" s="2410"/>
      <c r="B314" s="2403"/>
      <c r="C314" s="2403"/>
      <c r="D314" s="2403"/>
      <c r="E314" s="2369">
        <f t="shared" si="12"/>
        <v>0</v>
      </c>
      <c r="F314" s="2410"/>
      <c r="G314" s="2403"/>
      <c r="H314" s="2444"/>
      <c r="I314" s="2444"/>
      <c r="J314" s="2453" t="s">
        <v>811</v>
      </c>
      <c r="K314" s="2453"/>
    </row>
    <row r="315" spans="1:11">
      <c r="A315" s="2400" t="s">
        <v>385</v>
      </c>
      <c r="B315" s="2369">
        <f>ROUND(SUM(B305:B314),2)</f>
        <v>0</v>
      </c>
      <c r="C315" s="2369">
        <f>ROUND(SUM(C305:C314),2)</f>
        <v>0</v>
      </c>
      <c r="D315" s="2369">
        <f>ROUND(SUM(D305:D314),2)</f>
        <v>0</v>
      </c>
      <c r="E315" s="2369">
        <f>ROUND(SUM(E305:E314),2)</f>
        <v>0</v>
      </c>
      <c r="F315" s="2369"/>
      <c r="G315" s="2369"/>
      <c r="H315" s="2444"/>
      <c r="I315" s="2444"/>
      <c r="J315" s="2453" t="s">
        <v>812</v>
      </c>
      <c r="K315" s="2453"/>
    </row>
    <row r="316" spans="1:10">
      <c r="A316" s="2458"/>
      <c r="B316" s="2444"/>
      <c r="C316" s="2444"/>
      <c r="D316" s="2444"/>
      <c r="E316" s="2444"/>
      <c r="F316" s="2444"/>
      <c r="G316" s="2444"/>
      <c r="H316" s="2444"/>
      <c r="I316" s="2444"/>
      <c r="J316" s="2396"/>
    </row>
    <row r="317" spans="1:10">
      <c r="A317" s="2456"/>
      <c r="B317" s="2444"/>
      <c r="C317" s="2444"/>
      <c r="D317" s="2444"/>
      <c r="E317" s="2444"/>
      <c r="F317" s="2444"/>
      <c r="G317" s="2444"/>
      <c r="H317" s="2444"/>
      <c r="I317" s="2444"/>
      <c r="J317" s="2396"/>
    </row>
    <row r="318" spans="1:10">
      <c r="A318" s="2425" t="s">
        <v>813</v>
      </c>
      <c r="B318" s="2444"/>
      <c r="C318" s="2444"/>
      <c r="D318" s="2444"/>
      <c r="E318" s="2444"/>
      <c r="F318" s="2444"/>
      <c r="G318" s="2444"/>
      <c r="H318" s="2444"/>
      <c r="I318" s="2444"/>
      <c r="J318" s="2396"/>
    </row>
    <row r="319" spans="1:10">
      <c r="A319" s="2414" t="s">
        <v>814</v>
      </c>
      <c r="B319" s="2444"/>
      <c r="C319" s="2444"/>
      <c r="D319" s="2444"/>
      <c r="E319" s="2444"/>
      <c r="F319" s="2444"/>
      <c r="G319" s="2444"/>
      <c r="H319" s="2444"/>
      <c r="I319" s="2444"/>
      <c r="J319" s="2396"/>
    </row>
    <row r="320" spans="1:10">
      <c r="A320" s="2400" t="s">
        <v>815</v>
      </c>
      <c r="B320" s="2400" t="s">
        <v>816</v>
      </c>
      <c r="C320" s="2400" t="s">
        <v>671</v>
      </c>
      <c r="D320" s="2400" t="s">
        <v>582</v>
      </c>
      <c r="E320" s="2400" t="s">
        <v>817</v>
      </c>
      <c r="F320" s="2400" t="s">
        <v>818</v>
      </c>
      <c r="G320" s="2400" t="s">
        <v>516</v>
      </c>
      <c r="H320" s="2400" t="s">
        <v>819</v>
      </c>
      <c r="I320" s="2400" t="s">
        <v>820</v>
      </c>
      <c r="J320" s="2396"/>
    </row>
    <row r="321" spans="1:10">
      <c r="A321" s="2410"/>
      <c r="B321" s="2403"/>
      <c r="C321" s="2403"/>
      <c r="D321" s="2403"/>
      <c r="E321" s="2403"/>
      <c r="F321" s="2403"/>
      <c r="G321" s="2369">
        <f>ROUND(C321+D321-E321-F321,2)</f>
        <v>0</v>
      </c>
      <c r="H321" s="2410"/>
      <c r="I321" s="2429"/>
      <c r="J321" s="2453" t="s">
        <v>821</v>
      </c>
    </row>
    <row r="322" spans="1:10">
      <c r="A322" s="2410"/>
      <c r="B322" s="2403"/>
      <c r="C322" s="2403"/>
      <c r="D322" s="2403"/>
      <c r="E322" s="2403"/>
      <c r="F322" s="2403"/>
      <c r="G322" s="2369">
        <f t="shared" ref="G322:G330" si="13">ROUND(C322+D322-E322-F322,2)</f>
        <v>0</v>
      </c>
      <c r="H322" s="2410"/>
      <c r="I322" s="2429"/>
      <c r="J322" s="2453" t="s">
        <v>821</v>
      </c>
    </row>
    <row r="323" spans="1:10">
      <c r="A323" s="2410"/>
      <c r="B323" s="2403"/>
      <c r="C323" s="2403"/>
      <c r="D323" s="2403"/>
      <c r="E323" s="2403"/>
      <c r="F323" s="2403"/>
      <c r="G323" s="2369">
        <f t="shared" si="13"/>
        <v>0</v>
      </c>
      <c r="H323" s="2410"/>
      <c r="I323" s="2429"/>
      <c r="J323" s="2453" t="s">
        <v>821</v>
      </c>
    </row>
    <row r="324" spans="1:10">
      <c r="A324" s="2410"/>
      <c r="B324" s="2403"/>
      <c r="C324" s="2403"/>
      <c r="D324" s="2403"/>
      <c r="E324" s="2403"/>
      <c r="F324" s="2403"/>
      <c r="G324" s="2369">
        <f t="shared" si="13"/>
        <v>0</v>
      </c>
      <c r="H324" s="2410"/>
      <c r="I324" s="2429"/>
      <c r="J324" s="2453" t="s">
        <v>821</v>
      </c>
    </row>
    <row r="325" spans="1:10">
      <c r="A325" s="2410"/>
      <c r="B325" s="2403"/>
      <c r="C325" s="2403"/>
      <c r="D325" s="2403"/>
      <c r="E325" s="2403"/>
      <c r="F325" s="2403"/>
      <c r="G325" s="2369">
        <f t="shared" si="13"/>
        <v>0</v>
      </c>
      <c r="H325" s="2410"/>
      <c r="I325" s="2429"/>
      <c r="J325" s="2453" t="s">
        <v>821</v>
      </c>
    </row>
    <row r="326" spans="1:10">
      <c r="A326" s="2410"/>
      <c r="B326" s="2403"/>
      <c r="C326" s="2403"/>
      <c r="D326" s="2403"/>
      <c r="E326" s="2403"/>
      <c r="F326" s="2403"/>
      <c r="G326" s="2369">
        <f t="shared" si="13"/>
        <v>0</v>
      </c>
      <c r="H326" s="2410"/>
      <c r="I326" s="2429"/>
      <c r="J326" s="2453" t="s">
        <v>821</v>
      </c>
    </row>
    <row r="327" spans="1:10">
      <c r="A327" s="2410"/>
      <c r="B327" s="2403"/>
      <c r="C327" s="2403"/>
      <c r="D327" s="2403"/>
      <c r="E327" s="2403"/>
      <c r="F327" s="2403"/>
      <c r="G327" s="2369">
        <f t="shared" si="13"/>
        <v>0</v>
      </c>
      <c r="H327" s="2410"/>
      <c r="I327" s="2429"/>
      <c r="J327" s="2453" t="s">
        <v>821</v>
      </c>
    </row>
    <row r="328" spans="1:10">
      <c r="A328" s="2410"/>
      <c r="B328" s="2403"/>
      <c r="C328" s="2403"/>
      <c r="D328" s="2403"/>
      <c r="E328" s="2403"/>
      <c r="F328" s="2403"/>
      <c r="G328" s="2369">
        <f t="shared" si="13"/>
        <v>0</v>
      </c>
      <c r="H328" s="2410"/>
      <c r="I328" s="2429"/>
      <c r="J328" s="2453" t="s">
        <v>821</v>
      </c>
    </row>
    <row r="329" spans="1:10">
      <c r="A329" s="2410"/>
      <c r="B329" s="2403"/>
      <c r="C329" s="2403"/>
      <c r="D329" s="2403"/>
      <c r="E329" s="2403"/>
      <c r="F329" s="2403"/>
      <c r="G329" s="2369">
        <f t="shared" si="13"/>
        <v>0</v>
      </c>
      <c r="H329" s="2410"/>
      <c r="I329" s="2429"/>
      <c r="J329" s="2453" t="s">
        <v>821</v>
      </c>
    </row>
    <row r="330" spans="1:10">
      <c r="A330" s="2410"/>
      <c r="B330" s="2403"/>
      <c r="C330" s="2403"/>
      <c r="D330" s="2403"/>
      <c r="E330" s="2403"/>
      <c r="F330" s="2403"/>
      <c r="G330" s="2369">
        <f t="shared" si="13"/>
        <v>0</v>
      </c>
      <c r="H330" s="2410"/>
      <c r="I330" s="2429"/>
      <c r="J330" s="2453" t="s">
        <v>821</v>
      </c>
    </row>
    <row r="331" spans="1:10">
      <c r="A331" s="2400" t="s">
        <v>385</v>
      </c>
      <c r="B331" s="2369">
        <f t="shared" ref="B331:G331" si="14">ROUND(SUM(B321:B330),2)</f>
        <v>0</v>
      </c>
      <c r="C331" s="2369">
        <f t="shared" si="14"/>
        <v>0</v>
      </c>
      <c r="D331" s="2369">
        <f t="shared" si="14"/>
        <v>0</v>
      </c>
      <c r="E331" s="2369">
        <f t="shared" si="14"/>
        <v>0</v>
      </c>
      <c r="F331" s="2369">
        <f t="shared" si="14"/>
        <v>0</v>
      </c>
      <c r="G331" s="2369">
        <f t="shared" si="14"/>
        <v>0</v>
      </c>
      <c r="H331" s="2369"/>
      <c r="I331" s="2369"/>
      <c r="J331" s="2453" t="s">
        <v>822</v>
      </c>
    </row>
    <row r="332" spans="1:10">
      <c r="A332" s="2417"/>
      <c r="B332" s="2450"/>
      <c r="C332" s="2418"/>
      <c r="D332" s="2418"/>
      <c r="E332" s="2418"/>
      <c r="F332" s="2418"/>
      <c r="G332" s="2418"/>
      <c r="H332" s="2418"/>
      <c r="I332" s="2418"/>
      <c r="J332" s="2453"/>
    </row>
    <row r="333" spans="1:10">
      <c r="A333" s="2414" t="s">
        <v>823</v>
      </c>
      <c r="B333" s="2444"/>
      <c r="C333" s="2444"/>
      <c r="D333" s="2444"/>
      <c r="E333" s="2444"/>
      <c r="F333" s="2444"/>
      <c r="G333" s="2444"/>
      <c r="H333" s="2444"/>
      <c r="I333" s="2444"/>
      <c r="J333" s="2396"/>
    </row>
    <row r="334" spans="1:9">
      <c r="A334" s="2400" t="s">
        <v>815</v>
      </c>
      <c r="B334" s="2400" t="s">
        <v>671</v>
      </c>
      <c r="C334" s="2400" t="s">
        <v>582</v>
      </c>
      <c r="D334" s="2400" t="s">
        <v>817</v>
      </c>
      <c r="E334" s="2400" t="s">
        <v>818</v>
      </c>
      <c r="F334" s="2400" t="s">
        <v>516</v>
      </c>
      <c r="G334" s="2444"/>
      <c r="H334" s="2444"/>
      <c r="I334" s="2444"/>
    </row>
    <row r="335" spans="1:10">
      <c r="A335" s="2410"/>
      <c r="B335" s="2403"/>
      <c r="C335" s="2403"/>
      <c r="D335" s="2403"/>
      <c r="E335" s="2403"/>
      <c r="F335" s="2369">
        <f>ROUND(B335+C335-D335-E335,2)</f>
        <v>0</v>
      </c>
      <c r="G335" s="2444"/>
      <c r="H335" s="2444"/>
      <c r="I335" s="2444"/>
      <c r="J335" s="2453" t="s">
        <v>824</v>
      </c>
    </row>
    <row r="336" spans="1:10">
      <c r="A336" s="2410"/>
      <c r="B336" s="2403"/>
      <c r="C336" s="2403"/>
      <c r="D336" s="2403"/>
      <c r="E336" s="2403"/>
      <c r="F336" s="2369">
        <f t="shared" ref="F336:F344" si="15">ROUND(B336+C336-D336-E336,2)</f>
        <v>0</v>
      </c>
      <c r="G336" s="2444"/>
      <c r="H336" s="2444"/>
      <c r="I336" s="2444"/>
      <c r="J336" s="2453" t="s">
        <v>824</v>
      </c>
    </row>
    <row r="337" spans="1:10">
      <c r="A337" s="2410"/>
      <c r="B337" s="2403"/>
      <c r="C337" s="2403"/>
      <c r="D337" s="2403"/>
      <c r="E337" s="2403"/>
      <c r="F337" s="2369">
        <f t="shared" si="15"/>
        <v>0</v>
      </c>
      <c r="G337" s="2444"/>
      <c r="H337" s="2444"/>
      <c r="I337" s="2444"/>
      <c r="J337" s="2453" t="s">
        <v>824</v>
      </c>
    </row>
    <row r="338" spans="1:10">
      <c r="A338" s="2410"/>
      <c r="B338" s="2403"/>
      <c r="C338" s="2403"/>
      <c r="D338" s="2403"/>
      <c r="E338" s="2403"/>
      <c r="F338" s="2369">
        <f t="shared" si="15"/>
        <v>0</v>
      </c>
      <c r="G338" s="2444"/>
      <c r="H338" s="2444"/>
      <c r="I338" s="2444"/>
      <c r="J338" s="2453" t="s">
        <v>824</v>
      </c>
    </row>
    <row r="339" spans="1:10">
      <c r="A339" s="2410"/>
      <c r="B339" s="2403"/>
      <c r="C339" s="2403"/>
      <c r="D339" s="2403"/>
      <c r="E339" s="2403"/>
      <c r="F339" s="2369">
        <f t="shared" si="15"/>
        <v>0</v>
      </c>
      <c r="G339" s="2444"/>
      <c r="H339" s="2444"/>
      <c r="I339" s="2444"/>
      <c r="J339" s="2453" t="s">
        <v>824</v>
      </c>
    </row>
    <row r="340" spans="1:10">
      <c r="A340" s="2410"/>
      <c r="B340" s="2403"/>
      <c r="C340" s="2403"/>
      <c r="D340" s="2403"/>
      <c r="E340" s="2403"/>
      <c r="F340" s="2369">
        <f t="shared" si="15"/>
        <v>0</v>
      </c>
      <c r="G340" s="2444"/>
      <c r="H340" s="2444"/>
      <c r="I340" s="2444"/>
      <c r="J340" s="2453" t="s">
        <v>824</v>
      </c>
    </row>
    <row r="341" spans="1:10">
      <c r="A341" s="2410"/>
      <c r="B341" s="2403"/>
      <c r="C341" s="2403"/>
      <c r="D341" s="2403"/>
      <c r="E341" s="2403"/>
      <c r="F341" s="2369">
        <f t="shared" si="15"/>
        <v>0</v>
      </c>
      <c r="G341" s="2444"/>
      <c r="H341" s="2444"/>
      <c r="I341" s="2444"/>
      <c r="J341" s="2453" t="s">
        <v>824</v>
      </c>
    </row>
    <row r="342" spans="1:10">
      <c r="A342" s="2410"/>
      <c r="B342" s="2403"/>
      <c r="C342" s="2403"/>
      <c r="D342" s="2403"/>
      <c r="E342" s="2403"/>
      <c r="F342" s="2369">
        <f t="shared" si="15"/>
        <v>0</v>
      </c>
      <c r="G342" s="2444"/>
      <c r="H342" s="2444"/>
      <c r="I342" s="2444"/>
      <c r="J342" s="2453" t="s">
        <v>824</v>
      </c>
    </row>
    <row r="343" spans="1:10">
      <c r="A343" s="2410"/>
      <c r="B343" s="2403"/>
      <c r="C343" s="2403"/>
      <c r="D343" s="2403"/>
      <c r="E343" s="2403"/>
      <c r="F343" s="2369">
        <f t="shared" si="15"/>
        <v>0</v>
      </c>
      <c r="G343" s="2444"/>
      <c r="H343" s="2444"/>
      <c r="I343" s="2444"/>
      <c r="J343" s="2453" t="s">
        <v>824</v>
      </c>
    </row>
    <row r="344" spans="1:10">
      <c r="A344" s="2410"/>
      <c r="B344" s="2403"/>
      <c r="C344" s="2403"/>
      <c r="D344" s="2403"/>
      <c r="E344" s="2403"/>
      <c r="F344" s="2369">
        <f t="shared" si="15"/>
        <v>0</v>
      </c>
      <c r="G344" s="2444"/>
      <c r="H344" s="2444"/>
      <c r="I344" s="2444"/>
      <c r="J344" s="2453" t="s">
        <v>824</v>
      </c>
    </row>
    <row r="345" spans="1:10">
      <c r="A345" s="2400" t="s">
        <v>385</v>
      </c>
      <c r="B345" s="2369">
        <f>ROUND(SUM(B335:B344),2)</f>
        <v>0</v>
      </c>
      <c r="C345" s="2369">
        <f>ROUND(SUM(C335:C344),2)</f>
        <v>0</v>
      </c>
      <c r="D345" s="2369">
        <f>ROUND(SUM(D335:D344),2)</f>
        <v>0</v>
      </c>
      <c r="E345" s="2369">
        <f>ROUND(SUM(E335:E344),2)</f>
        <v>0</v>
      </c>
      <c r="F345" s="2369">
        <f>ROUND(SUM(F335:F344),2)</f>
        <v>0</v>
      </c>
      <c r="G345" s="2444"/>
      <c r="H345" s="2444"/>
      <c r="I345" s="2444"/>
      <c r="J345" s="2453" t="s">
        <v>825</v>
      </c>
    </row>
    <row r="346" spans="1:10">
      <c r="A346" s="2417"/>
      <c r="B346" s="2450"/>
      <c r="C346" s="2418"/>
      <c r="D346" s="2418"/>
      <c r="E346" s="2418"/>
      <c r="F346" s="2418"/>
      <c r="G346" s="2418"/>
      <c r="H346" s="2418"/>
      <c r="I346" s="2418"/>
      <c r="J346" s="2453"/>
    </row>
    <row r="347" spans="1:10">
      <c r="A347" s="2414" t="s">
        <v>826</v>
      </c>
      <c r="B347" s="2444"/>
      <c r="C347" s="2444"/>
      <c r="D347" s="2444"/>
      <c r="E347" s="2444"/>
      <c r="F347" s="2444"/>
      <c r="G347" s="2444"/>
      <c r="H347" s="2444"/>
      <c r="I347" s="2444"/>
      <c r="J347" s="2396"/>
    </row>
    <row r="348" spans="1:9">
      <c r="A348" s="2400" t="s">
        <v>815</v>
      </c>
      <c r="B348" s="2400" t="s">
        <v>671</v>
      </c>
      <c r="C348" s="2400" t="s">
        <v>582</v>
      </c>
      <c r="D348" s="2400" t="s">
        <v>817</v>
      </c>
      <c r="E348" s="2400" t="s">
        <v>818</v>
      </c>
      <c r="F348" s="2400" t="s">
        <v>516</v>
      </c>
      <c r="G348" s="2400" t="s">
        <v>827</v>
      </c>
      <c r="H348" s="2444"/>
      <c r="I348" s="2444"/>
    </row>
    <row r="349" spans="1:10">
      <c r="A349" s="2410"/>
      <c r="B349" s="2403"/>
      <c r="C349" s="2403"/>
      <c r="D349" s="2403"/>
      <c r="E349" s="2403"/>
      <c r="F349" s="2369">
        <f>ROUND(B349+C349-D349-E349,2)</f>
        <v>0</v>
      </c>
      <c r="G349" s="2410"/>
      <c r="H349" s="2444"/>
      <c r="I349" s="2444"/>
      <c r="J349" s="2453" t="s">
        <v>828</v>
      </c>
    </row>
    <row r="350" spans="1:10">
      <c r="A350" s="2410"/>
      <c r="B350" s="2403"/>
      <c r="C350" s="2403"/>
      <c r="D350" s="2403"/>
      <c r="E350" s="2403"/>
      <c r="F350" s="2369">
        <f t="shared" ref="F350:F358" si="16">ROUND(B350+C350-D350-E350,2)</f>
        <v>0</v>
      </c>
      <c r="G350" s="2410"/>
      <c r="H350" s="2444"/>
      <c r="I350" s="2444"/>
      <c r="J350" s="2453" t="s">
        <v>828</v>
      </c>
    </row>
    <row r="351" spans="1:10">
      <c r="A351" s="2410"/>
      <c r="B351" s="2403"/>
      <c r="C351" s="2403"/>
      <c r="D351" s="2403"/>
      <c r="E351" s="2403"/>
      <c r="F351" s="2369">
        <f t="shared" si="16"/>
        <v>0</v>
      </c>
      <c r="G351" s="2410"/>
      <c r="H351" s="2444"/>
      <c r="I351" s="2444"/>
      <c r="J351" s="2453" t="s">
        <v>828</v>
      </c>
    </row>
    <row r="352" spans="1:10">
      <c r="A352" s="2410"/>
      <c r="B352" s="2403"/>
      <c r="C352" s="2403"/>
      <c r="D352" s="2403"/>
      <c r="E352" s="2403"/>
      <c r="F352" s="2369">
        <f t="shared" si="16"/>
        <v>0</v>
      </c>
      <c r="G352" s="2410"/>
      <c r="H352" s="2444"/>
      <c r="I352" s="2444"/>
      <c r="J352" s="2453" t="s">
        <v>828</v>
      </c>
    </row>
    <row r="353" spans="1:10">
      <c r="A353" s="2410"/>
      <c r="B353" s="2403"/>
      <c r="C353" s="2403"/>
      <c r="D353" s="2403"/>
      <c r="E353" s="2403"/>
      <c r="F353" s="2369">
        <f t="shared" si="16"/>
        <v>0</v>
      </c>
      <c r="G353" s="2410"/>
      <c r="H353" s="2444"/>
      <c r="I353" s="2444"/>
      <c r="J353" s="2453" t="s">
        <v>828</v>
      </c>
    </row>
    <row r="354" spans="1:10">
      <c r="A354" s="2410"/>
      <c r="B354" s="2403"/>
      <c r="C354" s="2403"/>
      <c r="D354" s="2403"/>
      <c r="E354" s="2403"/>
      <c r="F354" s="2369">
        <f t="shared" si="16"/>
        <v>0</v>
      </c>
      <c r="G354" s="2410"/>
      <c r="H354" s="2444"/>
      <c r="I354" s="2444"/>
      <c r="J354" s="2453" t="s">
        <v>828</v>
      </c>
    </row>
    <row r="355" spans="1:10">
      <c r="A355" s="2410"/>
      <c r="B355" s="2403"/>
      <c r="C355" s="2403"/>
      <c r="D355" s="2403"/>
      <c r="E355" s="2403"/>
      <c r="F355" s="2369">
        <f t="shared" si="16"/>
        <v>0</v>
      </c>
      <c r="G355" s="2410"/>
      <c r="H355" s="2444"/>
      <c r="I355" s="2444"/>
      <c r="J355" s="2453" t="s">
        <v>828</v>
      </c>
    </row>
    <row r="356" spans="1:10">
      <c r="A356" s="2410"/>
      <c r="B356" s="2403"/>
      <c r="C356" s="2403"/>
      <c r="D356" s="2403"/>
      <c r="E356" s="2403"/>
      <c r="F356" s="2369">
        <f t="shared" si="16"/>
        <v>0</v>
      </c>
      <c r="G356" s="2410"/>
      <c r="H356" s="2444"/>
      <c r="I356" s="2444"/>
      <c r="J356" s="2453" t="s">
        <v>828</v>
      </c>
    </row>
    <row r="357" spans="1:10">
      <c r="A357" s="2410"/>
      <c r="B357" s="2403"/>
      <c r="C357" s="2403"/>
      <c r="D357" s="2403"/>
      <c r="E357" s="2403"/>
      <c r="F357" s="2369">
        <f t="shared" si="16"/>
        <v>0</v>
      </c>
      <c r="G357" s="2410"/>
      <c r="H357" s="2444"/>
      <c r="I357" s="2444"/>
      <c r="J357" s="2453" t="s">
        <v>828</v>
      </c>
    </row>
    <row r="358" spans="1:10">
      <c r="A358" s="2410"/>
      <c r="B358" s="2403"/>
      <c r="C358" s="2403"/>
      <c r="D358" s="2403"/>
      <c r="E358" s="2403"/>
      <c r="F358" s="2369">
        <f t="shared" si="16"/>
        <v>0</v>
      </c>
      <c r="G358" s="2410"/>
      <c r="H358" s="2444"/>
      <c r="I358" s="2444"/>
      <c r="J358" s="2453" t="s">
        <v>828</v>
      </c>
    </row>
    <row r="359" spans="1:10">
      <c r="A359" s="2400" t="s">
        <v>385</v>
      </c>
      <c r="B359" s="2369">
        <f>ROUND(SUM(B349:B358),2)</f>
        <v>0</v>
      </c>
      <c r="C359" s="2369">
        <f>ROUND(SUM(C349:C358),2)</f>
        <v>0</v>
      </c>
      <c r="D359" s="2369">
        <f>ROUND(SUM(D349:D358),2)</f>
        <v>0</v>
      </c>
      <c r="E359" s="2369">
        <f>ROUND(SUM(E349:E358),2)</f>
        <v>0</v>
      </c>
      <c r="F359" s="2369">
        <f>ROUND(SUM(F349:F358),2)</f>
        <v>0</v>
      </c>
      <c r="G359" s="2369"/>
      <c r="H359" s="2444"/>
      <c r="I359" s="2444"/>
      <c r="J359" s="2453" t="s">
        <v>829</v>
      </c>
    </row>
    <row r="360" spans="1:10">
      <c r="A360" s="2437"/>
      <c r="B360" s="2437"/>
      <c r="C360" s="2437"/>
      <c r="D360" s="2437"/>
      <c r="E360" s="2437"/>
      <c r="F360" s="2437"/>
      <c r="G360" s="2437"/>
      <c r="H360" s="2437"/>
      <c r="I360" s="2437"/>
      <c r="J360" s="2460"/>
    </row>
    <row r="361" spans="1:10">
      <c r="A361" s="2421"/>
      <c r="B361" s="2398"/>
      <c r="C361" s="2398"/>
      <c r="D361" s="2398"/>
      <c r="E361" s="2398"/>
      <c r="F361" s="2398"/>
      <c r="G361" s="2398"/>
      <c r="H361" s="2398"/>
      <c r="I361" s="2398"/>
      <c r="J361" s="2460"/>
    </row>
    <row r="362" spans="1:10">
      <c r="A362" s="2397" t="s">
        <v>830</v>
      </c>
      <c r="B362" s="2398"/>
      <c r="C362" s="2398"/>
      <c r="D362" s="2398"/>
      <c r="E362" s="2398"/>
      <c r="F362" s="2398"/>
      <c r="G362" s="2398"/>
      <c r="H362" s="2398"/>
      <c r="I362" s="2398"/>
      <c r="J362" s="2460"/>
    </row>
    <row r="363" spans="1:10">
      <c r="A363" s="2400" t="s">
        <v>373</v>
      </c>
      <c r="B363" s="2400" t="s">
        <v>627</v>
      </c>
      <c r="C363" s="2400" t="s">
        <v>628</v>
      </c>
      <c r="D363" s="2398"/>
      <c r="E363" s="2398"/>
      <c r="F363" s="2398"/>
      <c r="G363" s="2398"/>
      <c r="H363" s="2398"/>
      <c r="I363" s="2398"/>
      <c r="J363" s="2460"/>
    </row>
    <row r="364" spans="1:10">
      <c r="A364" s="2410"/>
      <c r="B364" s="2403"/>
      <c r="C364" s="2403"/>
      <c r="D364" s="2398"/>
      <c r="E364" s="2398"/>
      <c r="F364" s="2398"/>
      <c r="G364" s="2398"/>
      <c r="H364" s="2398"/>
      <c r="I364" s="2398"/>
      <c r="J364" s="2436" t="s">
        <v>238</v>
      </c>
    </row>
    <row r="365" spans="1:10">
      <c r="A365" s="2410"/>
      <c r="B365" s="2403"/>
      <c r="C365" s="2403"/>
      <c r="D365" s="2398"/>
      <c r="E365" s="2398"/>
      <c r="F365" s="2398"/>
      <c r="G365" s="2398"/>
      <c r="H365" s="2398"/>
      <c r="I365" s="2398"/>
      <c r="J365" s="2436" t="s">
        <v>238</v>
      </c>
    </row>
    <row r="366" spans="1:10">
      <c r="A366" s="2410"/>
      <c r="B366" s="2403"/>
      <c r="C366" s="2403"/>
      <c r="D366" s="2398"/>
      <c r="E366" s="2398"/>
      <c r="F366" s="2398"/>
      <c r="G366" s="2398"/>
      <c r="H366" s="2398"/>
      <c r="I366" s="2398"/>
      <c r="J366" s="2436" t="s">
        <v>238</v>
      </c>
    </row>
    <row r="367" spans="1:10">
      <c r="A367" s="2410"/>
      <c r="B367" s="2403"/>
      <c r="C367" s="2403"/>
      <c r="D367" s="2398"/>
      <c r="E367" s="2398"/>
      <c r="F367" s="2398"/>
      <c r="G367" s="2398"/>
      <c r="H367" s="2398"/>
      <c r="I367" s="2398"/>
      <c r="J367" s="2436" t="s">
        <v>238</v>
      </c>
    </row>
    <row r="368" spans="1:10">
      <c r="A368" s="2410"/>
      <c r="B368" s="2403"/>
      <c r="C368" s="2403"/>
      <c r="D368" s="2398"/>
      <c r="E368" s="2398"/>
      <c r="F368" s="2398"/>
      <c r="G368" s="2398"/>
      <c r="H368" s="2398"/>
      <c r="I368" s="2398"/>
      <c r="J368" s="2436" t="s">
        <v>238</v>
      </c>
    </row>
    <row r="369" spans="1:10">
      <c r="A369" s="2410"/>
      <c r="B369" s="2403"/>
      <c r="C369" s="2403"/>
      <c r="D369" s="2398"/>
      <c r="E369" s="2398"/>
      <c r="F369" s="2398"/>
      <c r="G369" s="2398"/>
      <c r="H369" s="2398"/>
      <c r="I369" s="2398"/>
      <c r="J369" s="2436" t="s">
        <v>238</v>
      </c>
    </row>
    <row r="370" spans="1:10">
      <c r="A370" s="2410"/>
      <c r="B370" s="2403"/>
      <c r="C370" s="2403"/>
      <c r="D370" s="2398"/>
      <c r="E370" s="2398"/>
      <c r="F370" s="2398"/>
      <c r="G370" s="2398"/>
      <c r="H370" s="2398"/>
      <c r="I370" s="2398"/>
      <c r="J370" s="2436" t="s">
        <v>238</v>
      </c>
    </row>
    <row r="371" spans="1:10">
      <c r="A371" s="2410"/>
      <c r="B371" s="2403"/>
      <c r="C371" s="2403"/>
      <c r="D371" s="2398"/>
      <c r="E371" s="2398"/>
      <c r="F371" s="2398"/>
      <c r="G371" s="2398"/>
      <c r="H371" s="2398"/>
      <c r="I371" s="2398"/>
      <c r="J371" s="2436" t="s">
        <v>238</v>
      </c>
    </row>
    <row r="372" spans="1:10">
      <c r="A372" s="2410"/>
      <c r="B372" s="2403"/>
      <c r="C372" s="2403"/>
      <c r="D372" s="2398"/>
      <c r="E372" s="2398"/>
      <c r="F372" s="2398"/>
      <c r="G372" s="2398"/>
      <c r="H372" s="2398"/>
      <c r="I372" s="2398"/>
      <c r="J372" s="2436" t="s">
        <v>238</v>
      </c>
    </row>
    <row r="373" spans="1:10">
      <c r="A373" s="2410"/>
      <c r="B373" s="2403"/>
      <c r="C373" s="2403"/>
      <c r="D373" s="2398"/>
      <c r="E373" s="2398"/>
      <c r="F373" s="2398"/>
      <c r="G373" s="2398"/>
      <c r="H373" s="2398"/>
      <c r="I373" s="2398"/>
      <c r="J373" s="2436" t="s">
        <v>238</v>
      </c>
    </row>
    <row r="374" spans="1:10">
      <c r="A374" s="2400" t="s">
        <v>385</v>
      </c>
      <c r="B374" s="2369">
        <f>ROUND(SUM(B364:B373),2)</f>
        <v>0</v>
      </c>
      <c r="C374" s="2369">
        <f>ROUND(SUM(C364:C373),2)</f>
        <v>0</v>
      </c>
      <c r="D374" s="2398"/>
      <c r="E374" s="2398"/>
      <c r="F374" s="2398"/>
      <c r="G374" s="2398"/>
      <c r="H374" s="2398"/>
      <c r="I374" s="2398"/>
      <c r="J374" s="2436" t="s">
        <v>831</v>
      </c>
    </row>
    <row r="375" spans="1:10">
      <c r="A375" s="2437"/>
      <c r="B375" s="2437"/>
      <c r="C375" s="2437"/>
      <c r="D375" s="2437"/>
      <c r="E375" s="2437"/>
      <c r="F375" s="2437"/>
      <c r="G375" s="2437"/>
      <c r="H375" s="2437"/>
      <c r="I375" s="2437"/>
      <c r="J375" s="2460"/>
    </row>
    <row r="376" spans="1:10">
      <c r="A376" s="2421"/>
      <c r="B376" s="2398"/>
      <c r="C376" s="2398"/>
      <c r="D376" s="2398"/>
      <c r="E376" s="2398"/>
      <c r="F376" s="2398"/>
      <c r="G376" s="2398"/>
      <c r="H376" s="2398"/>
      <c r="I376" s="2398"/>
      <c r="J376" s="2460"/>
    </row>
    <row r="377" spans="1:10">
      <c r="A377" s="2397" t="s">
        <v>832</v>
      </c>
      <c r="B377" s="2398"/>
      <c r="C377" s="2398"/>
      <c r="D377" s="2398"/>
      <c r="E377" s="2398"/>
      <c r="F377" s="2398"/>
      <c r="G377" s="2398"/>
      <c r="H377" s="2398"/>
      <c r="I377" s="2398"/>
      <c r="J377" s="2460"/>
    </row>
    <row r="378" spans="1:10">
      <c r="A378" s="2400" t="s">
        <v>373</v>
      </c>
      <c r="B378" s="2400" t="s">
        <v>627</v>
      </c>
      <c r="C378" s="2400" t="s">
        <v>628</v>
      </c>
      <c r="D378" s="2400" t="s">
        <v>833</v>
      </c>
      <c r="E378" s="2398"/>
      <c r="F378" s="2398"/>
      <c r="G378" s="2398"/>
      <c r="H378" s="2398"/>
      <c r="I378" s="2398"/>
      <c r="J378" s="2460"/>
    </row>
    <row r="379" spans="1:10">
      <c r="A379" s="2410"/>
      <c r="B379" s="2403"/>
      <c r="C379" s="2403"/>
      <c r="D379" s="2410"/>
      <c r="E379" s="2398"/>
      <c r="F379" s="2398"/>
      <c r="G379" s="2398"/>
      <c r="H379" s="2398"/>
      <c r="I379" s="2398"/>
      <c r="J379" s="2436" t="s">
        <v>240</v>
      </c>
    </row>
    <row r="380" spans="1:10">
      <c r="A380" s="2410"/>
      <c r="B380" s="2403"/>
      <c r="C380" s="2403"/>
      <c r="D380" s="2410"/>
      <c r="E380" s="2398"/>
      <c r="F380" s="2398"/>
      <c r="G380" s="2398"/>
      <c r="H380" s="2398"/>
      <c r="I380" s="2398"/>
      <c r="J380" s="2436" t="s">
        <v>240</v>
      </c>
    </row>
    <row r="381" spans="1:10">
      <c r="A381" s="2410"/>
      <c r="B381" s="2403"/>
      <c r="C381" s="2403"/>
      <c r="D381" s="2410"/>
      <c r="E381" s="2398"/>
      <c r="F381" s="2398"/>
      <c r="G381" s="2398"/>
      <c r="H381" s="2398"/>
      <c r="I381" s="2398"/>
      <c r="J381" s="2436" t="s">
        <v>240</v>
      </c>
    </row>
    <row r="382" spans="1:10">
      <c r="A382" s="2410"/>
      <c r="B382" s="2403"/>
      <c r="C382" s="2403"/>
      <c r="D382" s="2410"/>
      <c r="E382" s="2398"/>
      <c r="F382" s="2398"/>
      <c r="G382" s="2398"/>
      <c r="H382" s="2398"/>
      <c r="I382" s="2398"/>
      <c r="J382" s="2436" t="s">
        <v>240</v>
      </c>
    </row>
    <row r="383" spans="1:10">
      <c r="A383" s="2410"/>
      <c r="B383" s="2403"/>
      <c r="C383" s="2403"/>
      <c r="D383" s="2410"/>
      <c r="E383" s="2398"/>
      <c r="F383" s="2398"/>
      <c r="G383" s="2398"/>
      <c r="H383" s="2398"/>
      <c r="I383" s="2398"/>
      <c r="J383" s="2436" t="s">
        <v>240</v>
      </c>
    </row>
    <row r="384" spans="1:10">
      <c r="A384" s="2410"/>
      <c r="B384" s="2403"/>
      <c r="C384" s="2403"/>
      <c r="D384" s="2410"/>
      <c r="E384" s="2398"/>
      <c r="F384" s="2398"/>
      <c r="G384" s="2398"/>
      <c r="H384" s="2398"/>
      <c r="I384" s="2398"/>
      <c r="J384" s="2436" t="s">
        <v>240</v>
      </c>
    </row>
    <row r="385" spans="1:10">
      <c r="A385" s="2410"/>
      <c r="B385" s="2403"/>
      <c r="C385" s="2403"/>
      <c r="D385" s="2410"/>
      <c r="E385" s="2398"/>
      <c r="F385" s="2398"/>
      <c r="G385" s="2398"/>
      <c r="H385" s="2398"/>
      <c r="I385" s="2398"/>
      <c r="J385" s="2436" t="s">
        <v>240</v>
      </c>
    </row>
    <row r="386" spans="1:10">
      <c r="A386" s="2410"/>
      <c r="B386" s="2403"/>
      <c r="C386" s="2403"/>
      <c r="D386" s="2410"/>
      <c r="E386" s="2398"/>
      <c r="F386" s="2398"/>
      <c r="G386" s="2398"/>
      <c r="H386" s="2398"/>
      <c r="I386" s="2398"/>
      <c r="J386" s="2436" t="s">
        <v>240</v>
      </c>
    </row>
    <row r="387" spans="1:10">
      <c r="A387" s="2410"/>
      <c r="B387" s="2403"/>
      <c r="C387" s="2403"/>
      <c r="D387" s="2410"/>
      <c r="E387" s="2398"/>
      <c r="F387" s="2398"/>
      <c r="G387" s="2398"/>
      <c r="H387" s="2398"/>
      <c r="I387" s="2398"/>
      <c r="J387" s="2436" t="s">
        <v>240</v>
      </c>
    </row>
    <row r="388" spans="1:10">
      <c r="A388" s="2410"/>
      <c r="B388" s="2403"/>
      <c r="C388" s="2403"/>
      <c r="D388" s="2410"/>
      <c r="E388" s="2398"/>
      <c r="F388" s="2398"/>
      <c r="G388" s="2398"/>
      <c r="H388" s="2398"/>
      <c r="I388" s="2398"/>
      <c r="J388" s="2436" t="s">
        <v>240</v>
      </c>
    </row>
    <row r="389" spans="1:10">
      <c r="A389" s="2400" t="s">
        <v>385</v>
      </c>
      <c r="B389" s="2369">
        <f>ROUND(SUM(B379:B388),2)</f>
        <v>0</v>
      </c>
      <c r="C389" s="2369">
        <f>ROUND(SUM(C379:C388),2)</f>
        <v>0</v>
      </c>
      <c r="D389" s="2369"/>
      <c r="E389" s="2398"/>
      <c r="F389" s="2398"/>
      <c r="G389" s="2398"/>
      <c r="H389" s="2398"/>
      <c r="I389" s="2398"/>
      <c r="J389" s="2436" t="s">
        <v>834</v>
      </c>
    </row>
    <row r="390" spans="1:10">
      <c r="A390" s="2458"/>
      <c r="B390" s="2444"/>
      <c r="C390" s="2444"/>
      <c r="D390" s="2444"/>
      <c r="E390" s="2444"/>
      <c r="F390" s="2444"/>
      <c r="G390" s="2444"/>
      <c r="H390" s="2444"/>
      <c r="I390" s="2444"/>
      <c r="J390" s="2396"/>
    </row>
    <row r="391" spans="1:10">
      <c r="A391" s="2458"/>
      <c r="B391" s="2444"/>
      <c r="C391" s="2444"/>
      <c r="D391" s="2444"/>
      <c r="E391" s="2444"/>
      <c r="F391" s="2444"/>
      <c r="G391" s="2444"/>
      <c r="H391" s="2444"/>
      <c r="I391" s="2444"/>
      <c r="J391" s="2396"/>
    </row>
    <row r="392" spans="1:10">
      <c r="A392" s="2443" t="s">
        <v>835</v>
      </c>
      <c r="B392" s="2444"/>
      <c r="C392" s="2444"/>
      <c r="D392" s="2444"/>
      <c r="E392" s="2444"/>
      <c r="F392" s="2444"/>
      <c r="G392" s="2444"/>
      <c r="H392" s="2444"/>
      <c r="I392" s="2444"/>
      <c r="J392" s="2396"/>
    </row>
    <row r="393" spans="1:10">
      <c r="A393" s="2445" t="s">
        <v>836</v>
      </c>
      <c r="B393" s="2444"/>
      <c r="C393" s="2444"/>
      <c r="D393" s="2444"/>
      <c r="E393" s="2444"/>
      <c r="F393" s="2444"/>
      <c r="G393" s="2444"/>
      <c r="H393" s="2444"/>
      <c r="I393" s="2444"/>
      <c r="J393" s="2396"/>
    </row>
    <row r="394" spans="1:10">
      <c r="A394" s="2400" t="s">
        <v>373</v>
      </c>
      <c r="B394" s="2400" t="s">
        <v>317</v>
      </c>
      <c r="C394" s="2400" t="s">
        <v>582</v>
      </c>
      <c r="D394" s="2400" t="s">
        <v>583</v>
      </c>
      <c r="E394" s="2400" t="s">
        <v>316</v>
      </c>
      <c r="F394" s="2426" t="s">
        <v>837</v>
      </c>
      <c r="G394" s="2446"/>
      <c r="H394" s="2446"/>
      <c r="I394" s="2446"/>
      <c r="J394" s="2460"/>
    </row>
    <row r="395" spans="1:10">
      <c r="A395" s="2402" t="s">
        <v>838</v>
      </c>
      <c r="B395" s="2405"/>
      <c r="C395" s="2405"/>
      <c r="D395" s="2405"/>
      <c r="E395" s="2405"/>
      <c r="F395" s="2416"/>
      <c r="G395" s="2413"/>
      <c r="H395" s="2413"/>
      <c r="I395" s="2413"/>
      <c r="J395" s="2460"/>
    </row>
    <row r="396" spans="1:10">
      <c r="A396" s="2410"/>
      <c r="B396" s="2403"/>
      <c r="C396" s="2403"/>
      <c r="D396" s="2403"/>
      <c r="E396" s="2369">
        <f>ROUND(B396+C396-D396,2)</f>
        <v>0</v>
      </c>
      <c r="F396" s="2461"/>
      <c r="G396" s="2413"/>
      <c r="H396" s="2413"/>
      <c r="I396" s="2413"/>
      <c r="J396" s="2436" t="s">
        <v>839</v>
      </c>
    </row>
    <row r="397" spans="1:10">
      <c r="A397" s="2410"/>
      <c r="B397" s="2403"/>
      <c r="C397" s="2403"/>
      <c r="D397" s="2403"/>
      <c r="E397" s="2369">
        <f t="shared" ref="E397:E405" si="17">ROUND(B397+C397-D397,2)</f>
        <v>0</v>
      </c>
      <c r="F397" s="2461"/>
      <c r="G397" s="2413"/>
      <c r="H397" s="2413"/>
      <c r="I397" s="2413"/>
      <c r="J397" s="2436" t="s">
        <v>839</v>
      </c>
    </row>
    <row r="398" spans="1:10">
      <c r="A398" s="2410"/>
      <c r="B398" s="2403"/>
      <c r="C398" s="2403"/>
      <c r="D398" s="2403"/>
      <c r="E398" s="2369">
        <f t="shared" si="17"/>
        <v>0</v>
      </c>
      <c r="F398" s="2461"/>
      <c r="G398" s="2413"/>
      <c r="H398" s="2413"/>
      <c r="I398" s="2413"/>
      <c r="J398" s="2436" t="s">
        <v>839</v>
      </c>
    </row>
    <row r="399" spans="1:10">
      <c r="A399" s="2410"/>
      <c r="B399" s="2403"/>
      <c r="C399" s="2403"/>
      <c r="D399" s="2403"/>
      <c r="E399" s="2369">
        <f t="shared" si="17"/>
        <v>0</v>
      </c>
      <c r="F399" s="2461"/>
      <c r="G399" s="2413"/>
      <c r="H399" s="2413"/>
      <c r="I399" s="2413"/>
      <c r="J399" s="2436" t="s">
        <v>839</v>
      </c>
    </row>
    <row r="400" spans="1:10">
      <c r="A400" s="2410"/>
      <c r="B400" s="2403"/>
      <c r="C400" s="2403"/>
      <c r="D400" s="2403"/>
      <c r="E400" s="2369">
        <f t="shared" si="17"/>
        <v>0</v>
      </c>
      <c r="F400" s="2461"/>
      <c r="G400" s="2413"/>
      <c r="H400" s="2413"/>
      <c r="I400" s="2413"/>
      <c r="J400" s="2436" t="s">
        <v>839</v>
      </c>
    </row>
    <row r="401" spans="1:10">
      <c r="A401" s="2410"/>
      <c r="B401" s="2403"/>
      <c r="C401" s="2403"/>
      <c r="D401" s="2403"/>
      <c r="E401" s="2369">
        <f t="shared" si="17"/>
        <v>0</v>
      </c>
      <c r="F401" s="2461"/>
      <c r="G401" s="2413"/>
      <c r="H401" s="2413"/>
      <c r="I401" s="2413"/>
      <c r="J401" s="2436" t="s">
        <v>839</v>
      </c>
    </row>
    <row r="402" spans="1:10">
      <c r="A402" s="2410"/>
      <c r="B402" s="2403"/>
      <c r="C402" s="2403"/>
      <c r="D402" s="2403"/>
      <c r="E402" s="2369">
        <f t="shared" si="17"/>
        <v>0</v>
      </c>
      <c r="F402" s="2461"/>
      <c r="G402" s="2413"/>
      <c r="H402" s="2413"/>
      <c r="I402" s="2413"/>
      <c r="J402" s="2436" t="s">
        <v>839</v>
      </c>
    </row>
    <row r="403" spans="1:10">
      <c r="A403" s="2410"/>
      <c r="B403" s="2403"/>
      <c r="C403" s="2403"/>
      <c r="D403" s="2403"/>
      <c r="E403" s="2369">
        <f t="shared" si="17"/>
        <v>0</v>
      </c>
      <c r="F403" s="2461"/>
      <c r="G403" s="2413"/>
      <c r="H403" s="2413"/>
      <c r="I403" s="2413"/>
      <c r="J403" s="2436" t="s">
        <v>839</v>
      </c>
    </row>
    <row r="404" spans="1:10">
      <c r="A404" s="2410"/>
      <c r="B404" s="2403"/>
      <c r="C404" s="2403"/>
      <c r="D404" s="2403"/>
      <c r="E404" s="2369">
        <f t="shared" si="17"/>
        <v>0</v>
      </c>
      <c r="F404" s="2461"/>
      <c r="G404" s="2413"/>
      <c r="H404" s="2413"/>
      <c r="I404" s="2413"/>
      <c r="J404" s="2436" t="s">
        <v>839</v>
      </c>
    </row>
    <row r="405" spans="1:10">
      <c r="A405" s="2410"/>
      <c r="B405" s="2403"/>
      <c r="C405" s="2403"/>
      <c r="D405" s="2403"/>
      <c r="E405" s="2369">
        <f t="shared" si="17"/>
        <v>0</v>
      </c>
      <c r="F405" s="2461"/>
      <c r="G405" s="2413"/>
      <c r="H405" s="2413"/>
      <c r="I405" s="2413"/>
      <c r="J405" s="2436" t="s">
        <v>839</v>
      </c>
    </row>
    <row r="406" spans="1:10">
      <c r="A406" s="2400" t="s">
        <v>677</v>
      </c>
      <c r="B406" s="2369">
        <f>ROUND(SUM(B396:B405),2)</f>
        <v>0</v>
      </c>
      <c r="C406" s="2369">
        <f>ROUND(SUM(C396:C405),2)</f>
        <v>0</v>
      </c>
      <c r="D406" s="2369">
        <f>ROUND(SUM(D396:D405),2)</f>
        <v>0</v>
      </c>
      <c r="E406" s="2369">
        <f>ROUND(SUM(E396:E405),2)</f>
        <v>0</v>
      </c>
      <c r="F406" s="2416"/>
      <c r="G406" s="2413"/>
      <c r="H406" s="2413"/>
      <c r="I406" s="2413"/>
      <c r="J406" s="2436" t="s">
        <v>840</v>
      </c>
    </row>
    <row r="407" spans="1:10">
      <c r="A407" s="2405"/>
      <c r="B407" s="2405"/>
      <c r="C407" s="2405"/>
      <c r="D407" s="2405"/>
      <c r="E407" s="2405"/>
      <c r="F407" s="2416"/>
      <c r="G407" s="2413"/>
      <c r="H407" s="2413"/>
      <c r="I407" s="2413"/>
      <c r="J407" s="2460"/>
    </row>
    <row r="408" spans="1:10">
      <c r="A408" s="2402" t="s">
        <v>841</v>
      </c>
      <c r="B408" s="2405"/>
      <c r="C408" s="2405"/>
      <c r="D408" s="2405"/>
      <c r="E408" s="2405"/>
      <c r="F408" s="2416"/>
      <c r="G408" s="2413"/>
      <c r="H408" s="2413"/>
      <c r="I408" s="2413"/>
      <c r="J408" s="2460"/>
    </row>
    <row r="409" spans="1:10">
      <c r="A409" s="2410"/>
      <c r="B409" s="2403"/>
      <c r="C409" s="2403"/>
      <c r="D409" s="2403"/>
      <c r="E409" s="2369">
        <f>ROUND(B409+C409-D409,2)</f>
        <v>0</v>
      </c>
      <c r="F409" s="2461"/>
      <c r="G409" s="2413"/>
      <c r="H409" s="2413"/>
      <c r="I409" s="2413"/>
      <c r="J409" s="2436" t="s">
        <v>842</v>
      </c>
    </row>
    <row r="410" spans="1:10">
      <c r="A410" s="2410"/>
      <c r="B410" s="2403"/>
      <c r="C410" s="2403"/>
      <c r="D410" s="2403"/>
      <c r="E410" s="2369">
        <f t="shared" ref="E410:E418" si="18">ROUND(B410+C410-D410,2)</f>
        <v>0</v>
      </c>
      <c r="F410" s="2461"/>
      <c r="G410" s="2413"/>
      <c r="H410" s="2413"/>
      <c r="I410" s="2413"/>
      <c r="J410" s="2436" t="s">
        <v>842</v>
      </c>
    </row>
    <row r="411" spans="1:10">
      <c r="A411" s="2410"/>
      <c r="B411" s="2403"/>
      <c r="C411" s="2403"/>
      <c r="D411" s="2403"/>
      <c r="E411" s="2369">
        <f t="shared" si="18"/>
        <v>0</v>
      </c>
      <c r="F411" s="2461"/>
      <c r="G411" s="2413"/>
      <c r="H411" s="2413"/>
      <c r="I411" s="2413"/>
      <c r="J411" s="2436" t="s">
        <v>842</v>
      </c>
    </row>
    <row r="412" spans="1:10">
      <c r="A412" s="2410"/>
      <c r="B412" s="2403"/>
      <c r="C412" s="2403"/>
      <c r="D412" s="2403"/>
      <c r="E412" s="2369">
        <f t="shared" si="18"/>
        <v>0</v>
      </c>
      <c r="F412" s="2461"/>
      <c r="G412" s="2413"/>
      <c r="H412" s="2413"/>
      <c r="I412" s="2413"/>
      <c r="J412" s="2436" t="s">
        <v>842</v>
      </c>
    </row>
    <row r="413" spans="1:10">
      <c r="A413" s="2410"/>
      <c r="B413" s="2403"/>
      <c r="C413" s="2403"/>
      <c r="D413" s="2403"/>
      <c r="E413" s="2369">
        <f t="shared" si="18"/>
        <v>0</v>
      </c>
      <c r="F413" s="2461"/>
      <c r="G413" s="2413"/>
      <c r="H413" s="2413"/>
      <c r="I413" s="2413"/>
      <c r="J413" s="2436" t="s">
        <v>842</v>
      </c>
    </row>
    <row r="414" spans="1:10">
      <c r="A414" s="2410"/>
      <c r="B414" s="2403"/>
      <c r="C414" s="2403"/>
      <c r="D414" s="2403"/>
      <c r="E414" s="2369">
        <f t="shared" si="18"/>
        <v>0</v>
      </c>
      <c r="F414" s="2461"/>
      <c r="G414" s="2413"/>
      <c r="H414" s="2413"/>
      <c r="I414" s="2413"/>
      <c r="J414" s="2436" t="s">
        <v>842</v>
      </c>
    </row>
    <row r="415" spans="1:10">
      <c r="A415" s="2410"/>
      <c r="B415" s="2403"/>
      <c r="C415" s="2403"/>
      <c r="D415" s="2403"/>
      <c r="E415" s="2369">
        <f t="shared" si="18"/>
        <v>0</v>
      </c>
      <c r="F415" s="2461"/>
      <c r="G415" s="2413"/>
      <c r="H415" s="2413"/>
      <c r="I415" s="2413"/>
      <c r="J415" s="2436" t="s">
        <v>842</v>
      </c>
    </row>
    <row r="416" spans="1:10">
      <c r="A416" s="2410"/>
      <c r="B416" s="2403"/>
      <c r="C416" s="2403"/>
      <c r="D416" s="2403"/>
      <c r="E416" s="2369">
        <f t="shared" si="18"/>
        <v>0</v>
      </c>
      <c r="F416" s="2461"/>
      <c r="G416" s="2413"/>
      <c r="H416" s="2413"/>
      <c r="I416" s="2413"/>
      <c r="J416" s="2436" t="s">
        <v>842</v>
      </c>
    </row>
    <row r="417" spans="1:10">
      <c r="A417" s="2410"/>
      <c r="B417" s="2403"/>
      <c r="C417" s="2403"/>
      <c r="D417" s="2403"/>
      <c r="E417" s="2369">
        <f t="shared" si="18"/>
        <v>0</v>
      </c>
      <c r="F417" s="2461"/>
      <c r="G417" s="2413"/>
      <c r="H417" s="2413"/>
      <c r="I417" s="2413"/>
      <c r="J417" s="2436" t="s">
        <v>842</v>
      </c>
    </row>
    <row r="418" spans="1:10">
      <c r="A418" s="2410"/>
      <c r="B418" s="2403"/>
      <c r="C418" s="2403"/>
      <c r="D418" s="2403"/>
      <c r="E418" s="2369">
        <f t="shared" si="18"/>
        <v>0</v>
      </c>
      <c r="F418" s="2461"/>
      <c r="G418" s="2413"/>
      <c r="H418" s="2413"/>
      <c r="I418" s="2413"/>
      <c r="J418" s="2436" t="s">
        <v>842</v>
      </c>
    </row>
    <row r="419" spans="1:10">
      <c r="A419" s="2400" t="s">
        <v>677</v>
      </c>
      <c r="B419" s="2369">
        <f>ROUND(SUM(B409:B418),2)</f>
        <v>0</v>
      </c>
      <c r="C419" s="2369">
        <f>ROUND(SUM(C409:C418),2)</f>
        <v>0</v>
      </c>
      <c r="D419" s="2369">
        <f>ROUND(SUM(D409:D418),2)</f>
        <v>0</v>
      </c>
      <c r="E419" s="2369">
        <f>ROUND(SUM(E409:E418),2)</f>
        <v>0</v>
      </c>
      <c r="F419" s="2416"/>
      <c r="G419" s="2413"/>
      <c r="H419" s="2413"/>
      <c r="I419" s="2413"/>
      <c r="J419" s="2436" t="s">
        <v>843</v>
      </c>
    </row>
    <row r="420" spans="1:10">
      <c r="A420" s="2405"/>
      <c r="B420" s="2405"/>
      <c r="C420" s="2405"/>
      <c r="D420" s="2405"/>
      <c r="E420" s="2405"/>
      <c r="F420" s="2416"/>
      <c r="G420" s="2413"/>
      <c r="H420" s="2413"/>
      <c r="I420" s="2413"/>
      <c r="J420" s="2460"/>
    </row>
    <row r="421" spans="1:10">
      <c r="A421" s="2402" t="s">
        <v>844</v>
      </c>
      <c r="B421" s="2405"/>
      <c r="C421" s="2405"/>
      <c r="D421" s="2405"/>
      <c r="E421" s="2405"/>
      <c r="F421" s="2416"/>
      <c r="G421" s="2413"/>
      <c r="H421" s="2413"/>
      <c r="I421" s="2413"/>
      <c r="J421" s="2460"/>
    </row>
    <row r="422" spans="1:10">
      <c r="A422" s="2410"/>
      <c r="B422" s="2403"/>
      <c r="C422" s="2403"/>
      <c r="D422" s="2403"/>
      <c r="E422" s="2369">
        <f>ROUND(B422+C422-D422,2)</f>
        <v>0</v>
      </c>
      <c r="F422" s="2461"/>
      <c r="G422" s="2413"/>
      <c r="H422" s="2413"/>
      <c r="I422" s="2413"/>
      <c r="J422" s="2436" t="s">
        <v>845</v>
      </c>
    </row>
    <row r="423" spans="1:10">
      <c r="A423" s="2410"/>
      <c r="B423" s="2403"/>
      <c r="C423" s="2403"/>
      <c r="D423" s="2403"/>
      <c r="E423" s="2369">
        <f t="shared" ref="E423:E431" si="19">ROUND(B423+C423-D423,2)</f>
        <v>0</v>
      </c>
      <c r="F423" s="2461"/>
      <c r="G423" s="2413"/>
      <c r="H423" s="2413"/>
      <c r="I423" s="2413"/>
      <c r="J423" s="2436" t="s">
        <v>845</v>
      </c>
    </row>
    <row r="424" spans="1:10">
      <c r="A424" s="2410"/>
      <c r="B424" s="2403"/>
      <c r="C424" s="2403"/>
      <c r="D424" s="2403"/>
      <c r="E424" s="2369">
        <f t="shared" si="19"/>
        <v>0</v>
      </c>
      <c r="F424" s="2461"/>
      <c r="G424" s="2413"/>
      <c r="H424" s="2413"/>
      <c r="I424" s="2413"/>
      <c r="J424" s="2436" t="s">
        <v>845</v>
      </c>
    </row>
    <row r="425" spans="1:10">
      <c r="A425" s="2410"/>
      <c r="B425" s="2403"/>
      <c r="C425" s="2403"/>
      <c r="D425" s="2403"/>
      <c r="E425" s="2369">
        <f t="shared" si="19"/>
        <v>0</v>
      </c>
      <c r="F425" s="2461"/>
      <c r="G425" s="2413"/>
      <c r="H425" s="2413"/>
      <c r="I425" s="2413"/>
      <c r="J425" s="2436" t="s">
        <v>845</v>
      </c>
    </row>
    <row r="426" spans="1:10">
      <c r="A426" s="2410"/>
      <c r="B426" s="2403"/>
      <c r="C426" s="2403"/>
      <c r="D426" s="2403"/>
      <c r="E426" s="2369">
        <f t="shared" si="19"/>
        <v>0</v>
      </c>
      <c r="F426" s="2461"/>
      <c r="G426" s="2413"/>
      <c r="H426" s="2413"/>
      <c r="I426" s="2413"/>
      <c r="J426" s="2436" t="s">
        <v>845</v>
      </c>
    </row>
    <row r="427" spans="1:10">
      <c r="A427" s="2410"/>
      <c r="B427" s="2403"/>
      <c r="C427" s="2403"/>
      <c r="D427" s="2403"/>
      <c r="E427" s="2369">
        <f t="shared" si="19"/>
        <v>0</v>
      </c>
      <c r="F427" s="2461"/>
      <c r="G427" s="2413"/>
      <c r="H427" s="2413"/>
      <c r="I427" s="2413"/>
      <c r="J427" s="2436" t="s">
        <v>845</v>
      </c>
    </row>
    <row r="428" spans="1:10">
      <c r="A428" s="2410"/>
      <c r="B428" s="2403"/>
      <c r="C428" s="2403"/>
      <c r="D428" s="2403"/>
      <c r="E428" s="2369">
        <f t="shared" si="19"/>
        <v>0</v>
      </c>
      <c r="F428" s="2461"/>
      <c r="G428" s="2413"/>
      <c r="H428" s="2413"/>
      <c r="I428" s="2413"/>
      <c r="J428" s="2436" t="s">
        <v>845</v>
      </c>
    </row>
    <row r="429" spans="1:10">
      <c r="A429" s="2410"/>
      <c r="B429" s="2403"/>
      <c r="C429" s="2403"/>
      <c r="D429" s="2403"/>
      <c r="E429" s="2369">
        <f t="shared" si="19"/>
        <v>0</v>
      </c>
      <c r="F429" s="2461"/>
      <c r="G429" s="2413"/>
      <c r="H429" s="2413"/>
      <c r="I429" s="2413"/>
      <c r="J429" s="2436" t="s">
        <v>845</v>
      </c>
    </row>
    <row r="430" spans="1:10">
      <c r="A430" s="2410"/>
      <c r="B430" s="2403"/>
      <c r="C430" s="2403"/>
      <c r="D430" s="2403"/>
      <c r="E430" s="2369">
        <f t="shared" si="19"/>
        <v>0</v>
      </c>
      <c r="F430" s="2461"/>
      <c r="G430" s="2413"/>
      <c r="H430" s="2413"/>
      <c r="I430" s="2413"/>
      <c r="J430" s="2436" t="s">
        <v>845</v>
      </c>
    </row>
    <row r="431" spans="1:10">
      <c r="A431" s="2410"/>
      <c r="B431" s="2403"/>
      <c r="C431" s="2403"/>
      <c r="D431" s="2403"/>
      <c r="E431" s="2369">
        <f t="shared" si="19"/>
        <v>0</v>
      </c>
      <c r="F431" s="2461"/>
      <c r="G431" s="2413"/>
      <c r="H431" s="2413"/>
      <c r="I431" s="2413"/>
      <c r="J431" s="2436" t="s">
        <v>845</v>
      </c>
    </row>
    <row r="432" spans="1:10">
      <c r="A432" s="2400" t="s">
        <v>677</v>
      </c>
      <c r="B432" s="2369">
        <f>ROUND(SUM(B422:B431),2)</f>
        <v>0</v>
      </c>
      <c r="C432" s="2369">
        <f>ROUND(SUM(C422:C431),2)</f>
        <v>0</v>
      </c>
      <c r="D432" s="2369">
        <f>ROUND(SUM(D422:D431),2)</f>
        <v>0</v>
      </c>
      <c r="E432" s="2369">
        <f>ROUND(SUM(E422:E431),2)</f>
        <v>0</v>
      </c>
      <c r="F432" s="2416"/>
      <c r="G432" s="2413"/>
      <c r="H432" s="2413"/>
      <c r="I432" s="2413"/>
      <c r="J432" s="2436" t="s">
        <v>846</v>
      </c>
    </row>
    <row r="433" spans="1:10">
      <c r="A433" s="2405"/>
      <c r="B433" s="2405"/>
      <c r="C433" s="2405"/>
      <c r="D433" s="2405"/>
      <c r="E433" s="2405"/>
      <c r="F433" s="2416"/>
      <c r="G433" s="2413"/>
      <c r="H433" s="2413"/>
      <c r="I433" s="2413"/>
      <c r="J433" s="2460"/>
    </row>
    <row r="434" spans="1:10">
      <c r="A434" s="2402" t="s">
        <v>847</v>
      </c>
      <c r="B434" s="2405"/>
      <c r="C434" s="2405"/>
      <c r="D434" s="2405"/>
      <c r="E434" s="2405"/>
      <c r="F434" s="2416"/>
      <c r="G434" s="2413"/>
      <c r="H434" s="2413"/>
      <c r="I434" s="2413"/>
      <c r="J434" s="2460"/>
    </row>
    <row r="435" spans="1:10">
      <c r="A435" s="2410"/>
      <c r="B435" s="2403"/>
      <c r="C435" s="2403"/>
      <c r="D435" s="2403"/>
      <c r="E435" s="2369">
        <f>ROUND(B435+C435-D435,2)</f>
        <v>0</v>
      </c>
      <c r="F435" s="2461"/>
      <c r="G435" s="2413"/>
      <c r="H435" s="2413"/>
      <c r="I435" s="2413"/>
      <c r="J435" s="2436" t="s">
        <v>848</v>
      </c>
    </row>
    <row r="436" spans="1:10">
      <c r="A436" s="2410"/>
      <c r="B436" s="2403"/>
      <c r="C436" s="2403"/>
      <c r="D436" s="2403"/>
      <c r="E436" s="2369">
        <f t="shared" ref="E436:E444" si="20">ROUND(B436+C436-D436,2)</f>
        <v>0</v>
      </c>
      <c r="F436" s="2461"/>
      <c r="G436" s="2413"/>
      <c r="H436" s="2413"/>
      <c r="I436" s="2413"/>
      <c r="J436" s="2436" t="s">
        <v>848</v>
      </c>
    </row>
    <row r="437" spans="1:10">
      <c r="A437" s="2410"/>
      <c r="B437" s="2403"/>
      <c r="C437" s="2403"/>
      <c r="D437" s="2403"/>
      <c r="E437" s="2369">
        <f t="shared" si="20"/>
        <v>0</v>
      </c>
      <c r="F437" s="2461"/>
      <c r="G437" s="2413"/>
      <c r="H437" s="2413"/>
      <c r="I437" s="2413"/>
      <c r="J437" s="2436" t="s">
        <v>848</v>
      </c>
    </row>
    <row r="438" spans="1:10">
      <c r="A438" s="2410"/>
      <c r="B438" s="2403"/>
      <c r="C438" s="2403"/>
      <c r="D438" s="2403"/>
      <c r="E438" s="2369">
        <f t="shared" si="20"/>
        <v>0</v>
      </c>
      <c r="F438" s="2461"/>
      <c r="G438" s="2413"/>
      <c r="H438" s="2413"/>
      <c r="I438" s="2413"/>
      <c r="J438" s="2436" t="s">
        <v>848</v>
      </c>
    </row>
    <row r="439" spans="1:10">
      <c r="A439" s="2410"/>
      <c r="B439" s="2403"/>
      <c r="C439" s="2403"/>
      <c r="D439" s="2403"/>
      <c r="E439" s="2369">
        <f t="shared" si="20"/>
        <v>0</v>
      </c>
      <c r="F439" s="2461"/>
      <c r="G439" s="2413"/>
      <c r="H439" s="2413"/>
      <c r="I439" s="2413"/>
      <c r="J439" s="2436" t="s">
        <v>848</v>
      </c>
    </row>
    <row r="440" spans="1:10">
      <c r="A440" s="2410"/>
      <c r="B440" s="2403"/>
      <c r="C440" s="2403"/>
      <c r="D440" s="2403"/>
      <c r="E440" s="2369">
        <f t="shared" si="20"/>
        <v>0</v>
      </c>
      <c r="F440" s="2461"/>
      <c r="G440" s="2413"/>
      <c r="H440" s="2413"/>
      <c r="I440" s="2413"/>
      <c r="J440" s="2436" t="s">
        <v>848</v>
      </c>
    </row>
    <row r="441" spans="1:10">
      <c r="A441" s="2410"/>
      <c r="B441" s="2403"/>
      <c r="C441" s="2403"/>
      <c r="D441" s="2403"/>
      <c r="E441" s="2369">
        <f t="shared" si="20"/>
        <v>0</v>
      </c>
      <c r="F441" s="2461"/>
      <c r="G441" s="2413"/>
      <c r="H441" s="2413"/>
      <c r="I441" s="2413"/>
      <c r="J441" s="2436" t="s">
        <v>848</v>
      </c>
    </row>
    <row r="442" spans="1:10">
      <c r="A442" s="2410"/>
      <c r="B442" s="2403"/>
      <c r="C442" s="2403"/>
      <c r="D442" s="2403"/>
      <c r="E442" s="2369">
        <f t="shared" si="20"/>
        <v>0</v>
      </c>
      <c r="F442" s="2461"/>
      <c r="G442" s="2413"/>
      <c r="H442" s="2413"/>
      <c r="I442" s="2413"/>
      <c r="J442" s="2436" t="s">
        <v>848</v>
      </c>
    </row>
    <row r="443" spans="1:10">
      <c r="A443" s="2410"/>
      <c r="B443" s="2403"/>
      <c r="C443" s="2403"/>
      <c r="D443" s="2403"/>
      <c r="E443" s="2369">
        <f t="shared" si="20"/>
        <v>0</v>
      </c>
      <c r="F443" s="2461"/>
      <c r="G443" s="2413"/>
      <c r="H443" s="2413"/>
      <c r="I443" s="2413"/>
      <c r="J443" s="2436" t="s">
        <v>848</v>
      </c>
    </row>
    <row r="444" spans="1:10">
      <c r="A444" s="2410"/>
      <c r="B444" s="2403"/>
      <c r="C444" s="2403"/>
      <c r="D444" s="2403"/>
      <c r="E444" s="2369">
        <f t="shared" si="20"/>
        <v>0</v>
      </c>
      <c r="F444" s="2461"/>
      <c r="G444" s="2413"/>
      <c r="H444" s="2413"/>
      <c r="I444" s="2413"/>
      <c r="J444" s="2436" t="s">
        <v>848</v>
      </c>
    </row>
    <row r="445" spans="1:10">
      <c r="A445" s="2400" t="s">
        <v>677</v>
      </c>
      <c r="B445" s="2369">
        <f>ROUND(SUM(B435:B444),2)</f>
        <v>0</v>
      </c>
      <c r="C445" s="2369">
        <f>ROUND(SUM(C435:C444),2)</f>
        <v>0</v>
      </c>
      <c r="D445" s="2369">
        <f>ROUND(SUM(D435:D444),2)</f>
        <v>0</v>
      </c>
      <c r="E445" s="2369">
        <f>ROUND(SUM(E435:E444),2)</f>
        <v>0</v>
      </c>
      <c r="F445" s="2416"/>
      <c r="G445" s="2413"/>
      <c r="H445" s="2413"/>
      <c r="I445" s="2413"/>
      <c r="J445" s="2436" t="s">
        <v>849</v>
      </c>
    </row>
    <row r="446" spans="1:10">
      <c r="A446" s="2405"/>
      <c r="B446" s="2405"/>
      <c r="C446" s="2405"/>
      <c r="D446" s="2405"/>
      <c r="E446" s="2405"/>
      <c r="F446" s="2416"/>
      <c r="G446" s="2413"/>
      <c r="H446" s="2413"/>
      <c r="I446" s="2413"/>
      <c r="J446" s="2460"/>
    </row>
    <row r="447" spans="1:10">
      <c r="A447" s="2400" t="s">
        <v>385</v>
      </c>
      <c r="B447" s="2369">
        <f>ROUND(B406+B419+B432+B445,2)</f>
        <v>0</v>
      </c>
      <c r="C447" s="2369">
        <f>ROUND(C406+C419+C432+C445,2)</f>
        <v>0</v>
      </c>
      <c r="D447" s="2369">
        <f>ROUND(D406+D419+D432+D445,2)</f>
        <v>0</v>
      </c>
      <c r="E447" s="2369">
        <f>ROUND(E406+E419+E432+E445,2)</f>
        <v>0</v>
      </c>
      <c r="F447" s="2416"/>
      <c r="G447" s="2413"/>
      <c r="H447" s="2413"/>
      <c r="I447" s="2413"/>
      <c r="J447" s="2460"/>
    </row>
    <row r="448" spans="1:10">
      <c r="A448" s="2423"/>
      <c r="B448" s="2418"/>
      <c r="C448" s="2418"/>
      <c r="D448" s="2418"/>
      <c r="E448" s="2418"/>
      <c r="F448" s="2413"/>
      <c r="G448" s="2413"/>
      <c r="H448" s="2413"/>
      <c r="I448" s="2413"/>
      <c r="J448" s="2460"/>
    </row>
    <row r="449" spans="1:10">
      <c r="A449" s="2445" t="s">
        <v>850</v>
      </c>
      <c r="B449" s="2444"/>
      <c r="C449" s="2444"/>
      <c r="D449" s="2444"/>
      <c r="E449" s="2444"/>
      <c r="F449" s="2444"/>
      <c r="G449" s="2444"/>
      <c r="H449" s="2444"/>
      <c r="I449" s="2444"/>
      <c r="J449" s="2396"/>
    </row>
    <row r="450" spans="1:10">
      <c r="A450" s="2400" t="s">
        <v>851</v>
      </c>
      <c r="B450" s="2400" t="s">
        <v>852</v>
      </c>
      <c r="C450" s="2400" t="s">
        <v>853</v>
      </c>
      <c r="D450" s="2400" t="s">
        <v>854</v>
      </c>
      <c r="E450" s="2400" t="s">
        <v>354</v>
      </c>
      <c r="F450" s="2444"/>
      <c r="G450" s="2444"/>
      <c r="H450" s="2444"/>
      <c r="I450" s="2444"/>
      <c r="J450" s="2396"/>
    </row>
    <row r="451" spans="1:10">
      <c r="A451" s="2410"/>
      <c r="B451" s="2410"/>
      <c r="C451" s="2410"/>
      <c r="D451" s="2461"/>
      <c r="E451" s="2410"/>
      <c r="F451" s="2444"/>
      <c r="G451" s="2444"/>
      <c r="H451" s="2444"/>
      <c r="I451" s="2444"/>
      <c r="J451" s="2436" t="s">
        <v>855</v>
      </c>
    </row>
    <row r="452" spans="1:10">
      <c r="A452" s="2410"/>
      <c r="B452" s="2410"/>
      <c r="C452" s="2410"/>
      <c r="D452" s="2461"/>
      <c r="E452" s="2410"/>
      <c r="F452" s="2444"/>
      <c r="G452" s="2444"/>
      <c r="H452" s="2444"/>
      <c r="I452" s="2444"/>
      <c r="J452" s="2436" t="s">
        <v>855</v>
      </c>
    </row>
    <row r="453" spans="1:10">
      <c r="A453" s="2410"/>
      <c r="B453" s="2410"/>
      <c r="C453" s="2410"/>
      <c r="D453" s="2461"/>
      <c r="E453" s="2410"/>
      <c r="F453" s="2444"/>
      <c r="G453" s="2444"/>
      <c r="H453" s="2444"/>
      <c r="I453" s="2444"/>
      <c r="J453" s="2436" t="s">
        <v>855</v>
      </c>
    </row>
    <row r="454" spans="1:10">
      <c r="A454" s="2410"/>
      <c r="B454" s="2410"/>
      <c r="C454" s="2410"/>
      <c r="D454" s="2461"/>
      <c r="E454" s="2410"/>
      <c r="F454" s="2444"/>
      <c r="G454" s="2444"/>
      <c r="H454" s="2444"/>
      <c r="I454" s="2444"/>
      <c r="J454" s="2436" t="s">
        <v>855</v>
      </c>
    </row>
    <row r="455" spans="1:10">
      <c r="A455" s="2410"/>
      <c r="B455" s="2410"/>
      <c r="C455" s="2410"/>
      <c r="D455" s="2461"/>
      <c r="E455" s="2410"/>
      <c r="F455" s="2444"/>
      <c r="G455" s="2444"/>
      <c r="H455" s="2444"/>
      <c r="I455" s="2444"/>
      <c r="J455" s="2436" t="s">
        <v>855</v>
      </c>
    </row>
    <row r="456" spans="1:10">
      <c r="A456" s="2410"/>
      <c r="B456" s="2410"/>
      <c r="C456" s="2410"/>
      <c r="D456" s="2461"/>
      <c r="E456" s="2410"/>
      <c r="F456" s="2444"/>
      <c r="G456" s="2444"/>
      <c r="H456" s="2444"/>
      <c r="I456" s="2444"/>
      <c r="J456" s="2436" t="s">
        <v>855</v>
      </c>
    </row>
    <row r="457" spans="1:10">
      <c r="A457" s="2410"/>
      <c r="B457" s="2410"/>
      <c r="C457" s="2410"/>
      <c r="D457" s="2461"/>
      <c r="E457" s="2410"/>
      <c r="F457" s="2444"/>
      <c r="G457" s="2444"/>
      <c r="H457" s="2444"/>
      <c r="I457" s="2444"/>
      <c r="J457" s="2436" t="s">
        <v>855</v>
      </c>
    </row>
    <row r="458" spans="1:10">
      <c r="A458" s="2410"/>
      <c r="B458" s="2410"/>
      <c r="C458" s="2410"/>
      <c r="D458" s="2461"/>
      <c r="E458" s="2410"/>
      <c r="F458" s="2444"/>
      <c r="G458" s="2444"/>
      <c r="H458" s="2444"/>
      <c r="I458" s="2444"/>
      <c r="J458" s="2436" t="s">
        <v>855</v>
      </c>
    </row>
    <row r="459" spans="1:10">
      <c r="A459" s="2410"/>
      <c r="B459" s="2410"/>
      <c r="C459" s="2410"/>
      <c r="D459" s="2461"/>
      <c r="E459" s="2410"/>
      <c r="F459" s="2444"/>
      <c r="G459" s="2444"/>
      <c r="H459" s="2444"/>
      <c r="I459" s="2444"/>
      <c r="J459" s="2436" t="s">
        <v>855</v>
      </c>
    </row>
    <row r="460" spans="1:10">
      <c r="A460" s="2410"/>
      <c r="B460" s="2410"/>
      <c r="C460" s="2410"/>
      <c r="D460" s="2461"/>
      <c r="E460" s="2410"/>
      <c r="F460" s="2444"/>
      <c r="G460" s="2444"/>
      <c r="H460" s="2444"/>
      <c r="I460" s="2444"/>
      <c r="J460" s="2436" t="s">
        <v>855</v>
      </c>
    </row>
    <row r="461" spans="1:10">
      <c r="A461" s="2462"/>
      <c r="B461" s="2444"/>
      <c r="C461" s="2444"/>
      <c r="D461" s="2444"/>
      <c r="E461" s="2444"/>
      <c r="F461" s="2444"/>
      <c r="G461" s="2444"/>
      <c r="H461" s="2444"/>
      <c r="I461" s="2444"/>
      <c r="J461" s="2396"/>
    </row>
    <row r="462" spans="1:10">
      <c r="A462" s="2445" t="s">
        <v>856</v>
      </c>
      <c r="B462" s="2444"/>
      <c r="C462" s="2444"/>
      <c r="D462" s="2444"/>
      <c r="E462" s="2444"/>
      <c r="F462" s="2444"/>
      <c r="G462" s="2444"/>
      <c r="H462" s="2444"/>
      <c r="I462" s="2444"/>
      <c r="J462" s="2396"/>
    </row>
    <row r="463" spans="1:10">
      <c r="A463" s="2400" t="s">
        <v>852</v>
      </c>
      <c r="B463" s="2400" t="s">
        <v>857</v>
      </c>
      <c r="C463" s="2400" t="s">
        <v>858</v>
      </c>
      <c r="D463" s="2400" t="s">
        <v>859</v>
      </c>
      <c r="E463" s="2400" t="s">
        <v>860</v>
      </c>
      <c r="F463" s="2400" t="s">
        <v>776</v>
      </c>
      <c r="G463" s="2417"/>
      <c r="H463" s="2417"/>
      <c r="I463" s="2417"/>
      <c r="J463" s="2396"/>
    </row>
    <row r="464" spans="1:10">
      <c r="A464" s="2402" t="s">
        <v>861</v>
      </c>
      <c r="B464" s="2403"/>
      <c r="C464" s="2429"/>
      <c r="D464" s="2463"/>
      <c r="E464" s="2403"/>
      <c r="F464" s="2403"/>
      <c r="G464" s="2417"/>
      <c r="H464" s="2417"/>
      <c r="I464" s="2417"/>
      <c r="J464" s="2453" t="s">
        <v>862</v>
      </c>
    </row>
    <row r="465" spans="1:10">
      <c r="A465" s="2402" t="s">
        <v>863</v>
      </c>
      <c r="B465" s="2403"/>
      <c r="C465" s="2429"/>
      <c r="D465" s="2463"/>
      <c r="E465" s="2403"/>
      <c r="F465" s="2403"/>
      <c r="G465" s="2417"/>
      <c r="H465" s="2417"/>
      <c r="I465" s="2417"/>
      <c r="J465" s="2453" t="s">
        <v>864</v>
      </c>
    </row>
    <row r="466" spans="1:10">
      <c r="A466" s="2402" t="s">
        <v>865</v>
      </c>
      <c r="B466" s="2403"/>
      <c r="C466" s="2429"/>
      <c r="D466" s="2463"/>
      <c r="E466" s="2403"/>
      <c r="F466" s="2403"/>
      <c r="G466" s="2417"/>
      <c r="H466" s="2417"/>
      <c r="I466" s="2417"/>
      <c r="J466" s="2453" t="s">
        <v>866</v>
      </c>
    </row>
    <row r="467" spans="1:10">
      <c r="A467" s="2402" t="s">
        <v>867</v>
      </c>
      <c r="B467" s="2403"/>
      <c r="C467" s="2429"/>
      <c r="D467" s="2463"/>
      <c r="E467" s="2403"/>
      <c r="F467" s="2403"/>
      <c r="G467" s="2417"/>
      <c r="H467" s="2417"/>
      <c r="I467" s="2417"/>
      <c r="J467" s="2453" t="s">
        <v>868</v>
      </c>
    </row>
    <row r="468" spans="1:10">
      <c r="A468" s="2462"/>
      <c r="B468" s="2444"/>
      <c r="C468" s="2444"/>
      <c r="D468" s="2444"/>
      <c r="E468" s="2444"/>
      <c r="F468" s="2444"/>
      <c r="G468" s="2417"/>
      <c r="H468" s="2417"/>
      <c r="I468" s="2417"/>
      <c r="J468" s="2396"/>
    </row>
    <row r="469" spans="1:10">
      <c r="A469" s="2445" t="s">
        <v>869</v>
      </c>
      <c r="B469" s="2444"/>
      <c r="C469" s="2444"/>
      <c r="D469" s="2444"/>
      <c r="E469" s="2444"/>
      <c r="F469" s="2444"/>
      <c r="G469" s="2417"/>
      <c r="H469" s="2417"/>
      <c r="I469" s="2417"/>
      <c r="J469" s="2396"/>
    </row>
    <row r="470" spans="1:10">
      <c r="A470" s="2400" t="s">
        <v>851</v>
      </c>
      <c r="B470" s="2400" t="s">
        <v>852</v>
      </c>
      <c r="C470" s="2400" t="s">
        <v>870</v>
      </c>
      <c r="D470" s="2400" t="s">
        <v>871</v>
      </c>
      <c r="E470" s="2400" t="s">
        <v>872</v>
      </c>
      <c r="F470" s="2444"/>
      <c r="G470" s="2417"/>
      <c r="H470" s="2417"/>
      <c r="I470" s="2417"/>
      <c r="J470" s="2396"/>
    </row>
    <row r="471" spans="1:10">
      <c r="A471" s="2410"/>
      <c r="B471" s="2410"/>
      <c r="C471" s="2403"/>
      <c r="D471" s="2410"/>
      <c r="E471" s="2410"/>
      <c r="F471" s="2444"/>
      <c r="G471" s="2417"/>
      <c r="H471" s="2417"/>
      <c r="I471" s="2417"/>
      <c r="J471" s="2453" t="s">
        <v>873</v>
      </c>
    </row>
    <row r="472" spans="1:10">
      <c r="A472" s="2410"/>
      <c r="B472" s="2410"/>
      <c r="C472" s="2403"/>
      <c r="D472" s="2410"/>
      <c r="E472" s="2410"/>
      <c r="F472" s="2444"/>
      <c r="G472" s="2417"/>
      <c r="H472" s="2417"/>
      <c r="I472" s="2417"/>
      <c r="J472" s="2453" t="s">
        <v>873</v>
      </c>
    </row>
    <row r="473" spans="1:10">
      <c r="A473" s="2410"/>
      <c r="B473" s="2410"/>
      <c r="C473" s="2403"/>
      <c r="D473" s="2410"/>
      <c r="E473" s="2410"/>
      <c r="F473" s="2444"/>
      <c r="G473" s="2417"/>
      <c r="H473" s="2417"/>
      <c r="I473" s="2417"/>
      <c r="J473" s="2453" t="s">
        <v>873</v>
      </c>
    </row>
    <row r="474" spans="1:10">
      <c r="A474" s="2410"/>
      <c r="B474" s="2410"/>
      <c r="C474" s="2403"/>
      <c r="D474" s="2410"/>
      <c r="E474" s="2410"/>
      <c r="F474" s="2444"/>
      <c r="G474" s="2444"/>
      <c r="H474" s="2444"/>
      <c r="I474" s="2444"/>
      <c r="J474" s="2453" t="s">
        <v>873</v>
      </c>
    </row>
    <row r="475" spans="1:10">
      <c r="A475" s="2410"/>
      <c r="B475" s="2410"/>
      <c r="C475" s="2403"/>
      <c r="D475" s="2410"/>
      <c r="E475" s="2410"/>
      <c r="F475" s="2444"/>
      <c r="G475" s="2444"/>
      <c r="H475" s="2444"/>
      <c r="I475" s="2444"/>
      <c r="J475" s="2453" t="s">
        <v>873</v>
      </c>
    </row>
    <row r="476" spans="1:10">
      <c r="A476" s="2410"/>
      <c r="B476" s="2410"/>
      <c r="C476" s="2403"/>
      <c r="D476" s="2410"/>
      <c r="E476" s="2410"/>
      <c r="F476" s="2444"/>
      <c r="G476" s="2444"/>
      <c r="H476" s="2444"/>
      <c r="I476" s="2444"/>
      <c r="J476" s="2453" t="s">
        <v>873</v>
      </c>
    </row>
    <row r="477" spans="1:10">
      <c r="A477" s="2410"/>
      <c r="B477" s="2410"/>
      <c r="C477" s="2403"/>
      <c r="D477" s="2410"/>
      <c r="E477" s="2410"/>
      <c r="F477" s="2444"/>
      <c r="G477" s="2444"/>
      <c r="H477" s="2444"/>
      <c r="I477" s="2444"/>
      <c r="J477" s="2453" t="s">
        <v>873</v>
      </c>
    </row>
    <row r="478" spans="1:10">
      <c r="A478" s="2410"/>
      <c r="B478" s="2410"/>
      <c r="C478" s="2403"/>
      <c r="D478" s="2410"/>
      <c r="E478" s="2410"/>
      <c r="F478" s="2444"/>
      <c r="G478" s="2444"/>
      <c r="H478" s="2444"/>
      <c r="I478" s="2444"/>
      <c r="J478" s="2453" t="s">
        <v>873</v>
      </c>
    </row>
    <row r="479" spans="1:10">
      <c r="A479" s="2410"/>
      <c r="B479" s="2410"/>
      <c r="C479" s="2403"/>
      <c r="D479" s="2410"/>
      <c r="E479" s="2410"/>
      <c r="F479" s="2444"/>
      <c r="G479" s="2444"/>
      <c r="H479" s="2444"/>
      <c r="I479" s="2444"/>
      <c r="J479" s="2453" t="s">
        <v>873</v>
      </c>
    </row>
    <row r="480" spans="1:10">
      <c r="A480" s="2410"/>
      <c r="B480" s="2410"/>
      <c r="C480" s="2403"/>
      <c r="D480" s="2410"/>
      <c r="E480" s="2410"/>
      <c r="F480" s="2444"/>
      <c r="G480" s="2444"/>
      <c r="H480" s="2444"/>
      <c r="I480" s="2444"/>
      <c r="J480" s="2453" t="s">
        <v>873</v>
      </c>
    </row>
    <row r="481" spans="1:10">
      <c r="A481" s="2400" t="s">
        <v>385</v>
      </c>
      <c r="B481" s="2369"/>
      <c r="C481" s="2369">
        <f>ROUND(SUM(C471:C480),2)</f>
        <v>0</v>
      </c>
      <c r="D481" s="2369"/>
      <c r="E481" s="2369"/>
      <c r="F481" s="2444"/>
      <c r="G481" s="2444"/>
      <c r="H481" s="2444"/>
      <c r="I481" s="2444"/>
      <c r="J481" s="2453" t="s">
        <v>873</v>
      </c>
    </row>
    <row r="482" spans="1:10">
      <c r="A482" s="2462"/>
      <c r="B482" s="2444"/>
      <c r="C482" s="2444"/>
      <c r="D482" s="2444"/>
      <c r="E482" s="2444"/>
      <c r="F482" s="2444"/>
      <c r="G482" s="2444"/>
      <c r="H482" s="2444"/>
      <c r="I482" s="2444"/>
      <c r="J482" s="2396"/>
    </row>
    <row r="483" spans="1:10">
      <c r="A483" s="2462"/>
      <c r="B483" s="2444"/>
      <c r="C483" s="2444"/>
      <c r="D483" s="2444"/>
      <c r="E483" s="2444"/>
      <c r="F483" s="2444"/>
      <c r="G483" s="2444"/>
      <c r="H483" s="2444"/>
      <c r="I483" s="2444"/>
      <c r="J483" s="2396"/>
    </row>
    <row r="484" spans="1:10">
      <c r="A484" s="2443" t="s">
        <v>874</v>
      </c>
      <c r="B484" s="2444"/>
      <c r="C484" s="2444"/>
      <c r="D484" s="2444"/>
      <c r="E484" s="2444"/>
      <c r="F484" s="2444"/>
      <c r="G484" s="2444"/>
      <c r="H484" s="2444"/>
      <c r="I484" s="2444"/>
      <c r="J484" s="2396"/>
    </row>
    <row r="485" spans="1:10">
      <c r="A485" s="2445" t="s">
        <v>875</v>
      </c>
      <c r="B485" s="2444"/>
      <c r="C485" s="2444"/>
      <c r="D485" s="2444"/>
      <c r="E485" s="2444"/>
      <c r="F485" s="2444"/>
      <c r="G485" s="2444"/>
      <c r="H485" s="2444"/>
      <c r="I485" s="2444"/>
      <c r="J485" s="2396"/>
    </row>
    <row r="486" spans="1:10">
      <c r="A486" s="2400" t="s">
        <v>876</v>
      </c>
      <c r="B486" s="2400" t="s">
        <v>877</v>
      </c>
      <c r="C486" s="2400" t="s">
        <v>878</v>
      </c>
      <c r="D486" s="2400" t="s">
        <v>879</v>
      </c>
      <c r="E486" s="2400" t="s">
        <v>880</v>
      </c>
      <c r="F486" s="2444"/>
      <c r="G486" s="2444"/>
      <c r="H486" s="2444"/>
      <c r="I486" s="2444"/>
      <c r="J486" s="2396"/>
    </row>
    <row r="487" spans="1:10">
      <c r="A487" s="2410"/>
      <c r="B487" s="2431"/>
      <c r="C487" s="2403"/>
      <c r="D487" s="2403"/>
      <c r="E487" s="2403"/>
      <c r="F487" s="2444"/>
      <c r="G487" s="2444"/>
      <c r="H487" s="2444"/>
      <c r="I487" s="2444"/>
      <c r="J487" s="2453" t="s">
        <v>881</v>
      </c>
    </row>
    <row r="488" spans="1:10">
      <c r="A488" s="2410"/>
      <c r="B488" s="2431"/>
      <c r="C488" s="2403"/>
      <c r="D488" s="2403"/>
      <c r="E488" s="2403"/>
      <c r="F488" s="2444"/>
      <c r="G488" s="2444"/>
      <c r="H488" s="2444"/>
      <c r="I488" s="2444"/>
      <c r="J488" s="2453" t="s">
        <v>881</v>
      </c>
    </row>
    <row r="489" spans="1:10">
      <c r="A489" s="2410"/>
      <c r="B489" s="2431"/>
      <c r="C489" s="2403"/>
      <c r="D489" s="2403"/>
      <c r="E489" s="2403"/>
      <c r="F489" s="2444"/>
      <c r="G489" s="2444"/>
      <c r="H489" s="2444"/>
      <c r="I489" s="2444"/>
      <c r="J489" s="2453" t="s">
        <v>881</v>
      </c>
    </row>
    <row r="490" spans="1:10">
      <c r="A490" s="2410"/>
      <c r="B490" s="2431"/>
      <c r="C490" s="2403"/>
      <c r="D490" s="2403"/>
      <c r="E490" s="2403"/>
      <c r="F490" s="2444"/>
      <c r="G490" s="2444"/>
      <c r="H490" s="2444"/>
      <c r="I490" s="2444"/>
      <c r="J490" s="2453" t="s">
        <v>881</v>
      </c>
    </row>
    <row r="491" spans="1:10">
      <c r="A491" s="2410"/>
      <c r="B491" s="2431"/>
      <c r="C491" s="2403"/>
      <c r="D491" s="2403"/>
      <c r="E491" s="2403"/>
      <c r="F491" s="2444"/>
      <c r="G491" s="2444"/>
      <c r="H491" s="2444"/>
      <c r="I491" s="2444"/>
      <c r="J491" s="2453" t="s">
        <v>881</v>
      </c>
    </row>
    <row r="492" spans="1:10">
      <c r="A492" s="2410"/>
      <c r="B492" s="2431"/>
      <c r="C492" s="2403"/>
      <c r="D492" s="2403"/>
      <c r="E492" s="2403"/>
      <c r="F492" s="2444"/>
      <c r="G492" s="2444"/>
      <c r="H492" s="2444"/>
      <c r="I492" s="2444"/>
      <c r="J492" s="2453" t="s">
        <v>881</v>
      </c>
    </row>
    <row r="493" spans="1:10">
      <c r="A493" s="2410"/>
      <c r="B493" s="2431"/>
      <c r="C493" s="2403"/>
      <c r="D493" s="2403"/>
      <c r="E493" s="2403"/>
      <c r="F493" s="2444"/>
      <c r="G493" s="2444"/>
      <c r="H493" s="2444"/>
      <c r="I493" s="2444"/>
      <c r="J493" s="2453" t="s">
        <v>881</v>
      </c>
    </row>
    <row r="494" spans="1:10">
      <c r="A494" s="2410"/>
      <c r="B494" s="2431"/>
      <c r="C494" s="2403"/>
      <c r="D494" s="2403"/>
      <c r="E494" s="2403"/>
      <c r="F494" s="2444"/>
      <c r="G494" s="2444"/>
      <c r="H494" s="2444"/>
      <c r="I494" s="2444"/>
      <c r="J494" s="2453" t="s">
        <v>881</v>
      </c>
    </row>
    <row r="495" spans="1:10">
      <c r="A495" s="2410"/>
      <c r="B495" s="2431"/>
      <c r="C495" s="2403"/>
      <c r="D495" s="2403"/>
      <c r="E495" s="2403"/>
      <c r="F495" s="2444"/>
      <c r="G495" s="2444"/>
      <c r="H495" s="2444"/>
      <c r="I495" s="2444"/>
      <c r="J495" s="2453" t="s">
        <v>881</v>
      </c>
    </row>
    <row r="496" spans="1:10">
      <c r="A496" s="2410"/>
      <c r="B496" s="2431"/>
      <c r="C496" s="2403"/>
      <c r="D496" s="2403"/>
      <c r="E496" s="2403"/>
      <c r="F496" s="2444"/>
      <c r="G496" s="2444"/>
      <c r="H496" s="2444"/>
      <c r="I496" s="2444"/>
      <c r="J496" s="2453" t="s">
        <v>881</v>
      </c>
    </row>
    <row r="497" spans="1:10">
      <c r="A497" s="2400" t="s">
        <v>385</v>
      </c>
      <c r="B497" s="2369"/>
      <c r="C497" s="2369">
        <f>ROUND(SUM(C487:C496),2)</f>
        <v>0</v>
      </c>
      <c r="D497" s="2369">
        <f>ROUND(SUM(D487:D496),2)</f>
        <v>0</v>
      </c>
      <c r="E497" s="2369">
        <f>ROUND(SUM(E487:E496),2)</f>
        <v>0</v>
      </c>
      <c r="F497" s="2444"/>
      <c r="G497" s="2444"/>
      <c r="H497" s="2444"/>
      <c r="I497" s="2444"/>
      <c r="J497" s="2453" t="s">
        <v>881</v>
      </c>
    </row>
    <row r="498" spans="1:10">
      <c r="A498" s="2445"/>
      <c r="B498" s="2444"/>
      <c r="C498" s="2444"/>
      <c r="D498" s="2444"/>
      <c r="E498" s="2444"/>
      <c r="F498" s="2444"/>
      <c r="G498" s="2444"/>
      <c r="H498" s="2444"/>
      <c r="I498" s="2444"/>
      <c r="J498" s="2396"/>
    </row>
    <row r="499" spans="1:10">
      <c r="A499" s="2445" t="s">
        <v>882</v>
      </c>
      <c r="B499" s="2444"/>
      <c r="C499" s="2444"/>
      <c r="D499" s="2444"/>
      <c r="E499" s="2444"/>
      <c r="F499" s="2444"/>
      <c r="G499" s="2444"/>
      <c r="H499" s="2444"/>
      <c r="I499" s="2444"/>
      <c r="J499" s="2396"/>
    </row>
    <row r="500" spans="1:10">
      <c r="A500" s="2400" t="s">
        <v>373</v>
      </c>
      <c r="B500" s="2400" t="s">
        <v>317</v>
      </c>
      <c r="C500" s="2400" t="s">
        <v>582</v>
      </c>
      <c r="D500" s="2400" t="s">
        <v>583</v>
      </c>
      <c r="E500" s="2400" t="s">
        <v>316</v>
      </c>
      <c r="F500" s="2444"/>
      <c r="G500" s="2444"/>
      <c r="H500" s="2444"/>
      <c r="I500" s="2444"/>
      <c r="J500" s="2396"/>
    </row>
    <row r="501" spans="1:10">
      <c r="A501" s="2447" t="s">
        <v>715</v>
      </c>
      <c r="B501" s="2369">
        <f>ROUND(SUM(B502:B504),2)</f>
        <v>0</v>
      </c>
      <c r="C501" s="2369">
        <f>ROUND(SUM(C502:C504),2)</f>
        <v>0</v>
      </c>
      <c r="D501" s="2369">
        <f>ROUND(SUM(D502:D504),2)</f>
        <v>0</v>
      </c>
      <c r="E501" s="2369">
        <f>ROUND(SUM(E502:E504),2)</f>
        <v>0</v>
      </c>
      <c r="F501" s="2444"/>
      <c r="G501" s="2444"/>
      <c r="H501" s="2444"/>
      <c r="I501" s="2444"/>
      <c r="J501" s="2453" t="s">
        <v>883</v>
      </c>
    </row>
    <row r="502" spans="1:10">
      <c r="A502" s="2455" t="s">
        <v>884</v>
      </c>
      <c r="B502" s="2403"/>
      <c r="C502" s="2403"/>
      <c r="D502" s="2403"/>
      <c r="E502" s="2369">
        <f>ROUND(B502+C502-D502,2)</f>
        <v>0</v>
      </c>
      <c r="F502" s="2444"/>
      <c r="G502" s="2444"/>
      <c r="H502" s="2444"/>
      <c r="I502" s="2444"/>
      <c r="J502" s="2453" t="s">
        <v>885</v>
      </c>
    </row>
    <row r="503" spans="1:10">
      <c r="A503" s="2455" t="s">
        <v>886</v>
      </c>
      <c r="B503" s="2403"/>
      <c r="C503" s="2403"/>
      <c r="D503" s="2403"/>
      <c r="E503" s="2369">
        <f>ROUND(B503+C503-D503,2)</f>
        <v>0</v>
      </c>
      <c r="F503" s="2444"/>
      <c r="G503" s="2444"/>
      <c r="H503" s="2444"/>
      <c r="I503" s="2444"/>
      <c r="J503" s="2453" t="s">
        <v>887</v>
      </c>
    </row>
    <row r="504" spans="1:10">
      <c r="A504" s="2455" t="s">
        <v>888</v>
      </c>
      <c r="B504" s="2403"/>
      <c r="C504" s="2403"/>
      <c r="D504" s="2403"/>
      <c r="E504" s="2369">
        <f>ROUND(B504+C504-D504,2)</f>
        <v>0</v>
      </c>
      <c r="F504" s="2444"/>
      <c r="G504" s="2444"/>
      <c r="H504" s="2444"/>
      <c r="I504" s="2444"/>
      <c r="J504" s="2453" t="s">
        <v>889</v>
      </c>
    </row>
    <row r="505" spans="1:10">
      <c r="A505" s="2455"/>
      <c r="B505" s="2401"/>
      <c r="C505" s="2401"/>
      <c r="D505" s="2401"/>
      <c r="E505" s="2401"/>
      <c r="F505" s="2444"/>
      <c r="G505" s="2444"/>
      <c r="H505" s="2444"/>
      <c r="I505" s="2444"/>
      <c r="J505" s="2396"/>
    </row>
    <row r="506" spans="1:10">
      <c r="A506" s="2447" t="s">
        <v>890</v>
      </c>
      <c r="B506" s="2369">
        <f>ROUND(SUM(B507:B509),2)</f>
        <v>0</v>
      </c>
      <c r="C506" s="2369">
        <f>ROUND(SUM(C507:C509),2)</f>
        <v>0</v>
      </c>
      <c r="D506" s="2369">
        <f>ROUND(SUM(D507:D509),2)</f>
        <v>0</v>
      </c>
      <c r="E506" s="2369">
        <f>ROUND(SUM(E507:E509),2)</f>
        <v>0</v>
      </c>
      <c r="F506" s="2444"/>
      <c r="G506" s="2444"/>
      <c r="H506" s="2444"/>
      <c r="I506" s="2444"/>
      <c r="J506" s="2453" t="s">
        <v>891</v>
      </c>
    </row>
    <row r="507" spans="1:10">
      <c r="A507" s="2455" t="s">
        <v>884</v>
      </c>
      <c r="B507" s="2403"/>
      <c r="C507" s="2403"/>
      <c r="D507" s="2403"/>
      <c r="E507" s="2369">
        <f>ROUND(B507+C507-D507,2)</f>
        <v>0</v>
      </c>
      <c r="F507" s="2444"/>
      <c r="G507" s="2444"/>
      <c r="H507" s="2444"/>
      <c r="I507" s="2444"/>
      <c r="J507" s="2453" t="s">
        <v>892</v>
      </c>
    </row>
    <row r="508" spans="1:10">
      <c r="A508" s="2455" t="s">
        <v>886</v>
      </c>
      <c r="B508" s="2403"/>
      <c r="C508" s="2403"/>
      <c r="D508" s="2403"/>
      <c r="E508" s="2369">
        <f>ROUND(B508+C508-D508,2)</f>
        <v>0</v>
      </c>
      <c r="F508" s="2444"/>
      <c r="G508" s="2444"/>
      <c r="H508" s="2444"/>
      <c r="I508" s="2444"/>
      <c r="J508" s="2453" t="s">
        <v>893</v>
      </c>
    </row>
    <row r="509" spans="1:10">
      <c r="A509" s="2455" t="s">
        <v>888</v>
      </c>
      <c r="B509" s="2403"/>
      <c r="C509" s="2403"/>
      <c r="D509" s="2403"/>
      <c r="E509" s="2369">
        <f>ROUND(B509+C509-D509,2)</f>
        <v>0</v>
      </c>
      <c r="F509" s="2444"/>
      <c r="G509" s="2444"/>
      <c r="H509" s="2444"/>
      <c r="I509" s="2444"/>
      <c r="J509" s="2453" t="s">
        <v>894</v>
      </c>
    </row>
    <row r="510" spans="1:10">
      <c r="A510" s="2455"/>
      <c r="B510" s="2401"/>
      <c r="C510" s="2401"/>
      <c r="D510" s="2401"/>
      <c r="E510" s="2401"/>
      <c r="F510" s="2444"/>
      <c r="G510" s="2444"/>
      <c r="H510" s="2444"/>
      <c r="I510" s="2444"/>
      <c r="J510" s="2396"/>
    </row>
    <row r="511" spans="1:10">
      <c r="A511" s="2447" t="s">
        <v>895</v>
      </c>
      <c r="B511" s="2369">
        <f>ROUND(SUM(B512:B514),2)</f>
        <v>0</v>
      </c>
      <c r="C511" s="2369">
        <f>ROUND(SUM(C512:C514),2)</f>
        <v>0</v>
      </c>
      <c r="D511" s="2369">
        <f>ROUND(SUM(D512:D514),2)</f>
        <v>0</v>
      </c>
      <c r="E511" s="2369">
        <f>ROUND(SUM(E512:E514),2)</f>
        <v>0</v>
      </c>
      <c r="F511" s="2444"/>
      <c r="G511" s="2444"/>
      <c r="H511" s="2444"/>
      <c r="I511" s="2444"/>
      <c r="J511" s="2453" t="s">
        <v>896</v>
      </c>
    </row>
    <row r="512" spans="1:10">
      <c r="A512" s="2455" t="s">
        <v>884</v>
      </c>
      <c r="B512" s="2403"/>
      <c r="C512" s="2403"/>
      <c r="D512" s="2403"/>
      <c r="E512" s="2369">
        <f>ROUND(B512+C512-D512,2)</f>
        <v>0</v>
      </c>
      <c r="F512" s="2444"/>
      <c r="G512" s="2444"/>
      <c r="H512" s="2444"/>
      <c r="I512" s="2444"/>
      <c r="J512" s="2453" t="s">
        <v>897</v>
      </c>
    </row>
    <row r="513" spans="1:10">
      <c r="A513" s="2455" t="s">
        <v>886</v>
      </c>
      <c r="B513" s="2403"/>
      <c r="C513" s="2403"/>
      <c r="D513" s="2403"/>
      <c r="E513" s="2369">
        <f>ROUND(B513+C513-D513,2)</f>
        <v>0</v>
      </c>
      <c r="F513" s="2444"/>
      <c r="G513" s="2444"/>
      <c r="H513" s="2444"/>
      <c r="I513" s="2444"/>
      <c r="J513" s="2453" t="s">
        <v>898</v>
      </c>
    </row>
    <row r="514" spans="1:10">
      <c r="A514" s="2455" t="s">
        <v>888</v>
      </c>
      <c r="B514" s="2403"/>
      <c r="C514" s="2403"/>
      <c r="D514" s="2403"/>
      <c r="E514" s="2369">
        <f>ROUND(B514+C514-D514,2)</f>
        <v>0</v>
      </c>
      <c r="F514" s="2444"/>
      <c r="G514" s="2444"/>
      <c r="H514" s="2444"/>
      <c r="I514" s="2444"/>
      <c r="J514" s="2453" t="s">
        <v>899</v>
      </c>
    </row>
    <row r="515" spans="1:10">
      <c r="A515" s="2455"/>
      <c r="B515" s="2401"/>
      <c r="C515" s="2401"/>
      <c r="D515" s="2401"/>
      <c r="E515" s="2401"/>
      <c r="F515" s="2444"/>
      <c r="G515" s="2444"/>
      <c r="H515" s="2444"/>
      <c r="I515" s="2444"/>
      <c r="J515" s="2396"/>
    </row>
    <row r="516" spans="1:10">
      <c r="A516" s="2447" t="s">
        <v>900</v>
      </c>
      <c r="B516" s="2369">
        <f>ROUND(SUM(B517:B519),2)</f>
        <v>0</v>
      </c>
      <c r="C516" s="2369">
        <f>ROUND(SUM(C517:C519),2)</f>
        <v>0</v>
      </c>
      <c r="D516" s="2369">
        <f>ROUND(SUM(D517:D519),2)</f>
        <v>0</v>
      </c>
      <c r="E516" s="2369">
        <f>ROUND(SUM(E517:E519),2)</f>
        <v>0</v>
      </c>
      <c r="F516" s="2444"/>
      <c r="G516" s="2444"/>
      <c r="H516" s="2444"/>
      <c r="I516" s="2444"/>
      <c r="J516" s="2396"/>
    </row>
    <row r="517" spans="1:10">
      <c r="A517" s="2455" t="s">
        <v>884</v>
      </c>
      <c r="B517" s="2156">
        <f t="shared" ref="B517:D519" si="21">ROUND(B502-B507-B512,2)</f>
        <v>0</v>
      </c>
      <c r="C517" s="2156">
        <f t="shared" si="21"/>
        <v>0</v>
      </c>
      <c r="D517" s="2156">
        <f t="shared" si="21"/>
        <v>0</v>
      </c>
      <c r="E517" s="2369">
        <f>ROUND(B517+C517-D517,2)</f>
        <v>0</v>
      </c>
      <c r="F517" s="2444"/>
      <c r="G517" s="2444"/>
      <c r="H517" s="2444"/>
      <c r="I517" s="2444"/>
      <c r="J517" s="2396"/>
    </row>
    <row r="518" spans="1:10">
      <c r="A518" s="2455" t="s">
        <v>886</v>
      </c>
      <c r="B518" s="2156">
        <f t="shared" si="21"/>
        <v>0</v>
      </c>
      <c r="C518" s="2156">
        <f t="shared" si="21"/>
        <v>0</v>
      </c>
      <c r="D518" s="2156">
        <f t="shared" si="21"/>
        <v>0</v>
      </c>
      <c r="E518" s="2369">
        <f>ROUND(B518+C518-D518,2)</f>
        <v>0</v>
      </c>
      <c r="F518" s="2444"/>
      <c r="G518" s="2444"/>
      <c r="H518" s="2444"/>
      <c r="I518" s="2444"/>
      <c r="J518" s="2396"/>
    </row>
    <row r="519" spans="1:10">
      <c r="A519" s="2455" t="s">
        <v>888</v>
      </c>
      <c r="B519" s="2156">
        <f t="shared" si="21"/>
        <v>0</v>
      </c>
      <c r="C519" s="2156">
        <f t="shared" si="21"/>
        <v>0</v>
      </c>
      <c r="D519" s="2156">
        <f t="shared" si="21"/>
        <v>0</v>
      </c>
      <c r="E519" s="2369">
        <f>ROUND(B519+C519-D519,2)</f>
        <v>0</v>
      </c>
      <c r="F519" s="2444"/>
      <c r="G519" s="2444"/>
      <c r="H519" s="2444"/>
      <c r="I519" s="2444"/>
      <c r="J519" s="2396"/>
    </row>
    <row r="520" spans="1:10">
      <c r="A520" s="2444"/>
      <c r="B520" s="2444"/>
      <c r="C520" s="2444"/>
      <c r="D520" s="2444"/>
      <c r="E520" s="2444"/>
      <c r="F520" s="2444"/>
      <c r="G520" s="2444"/>
      <c r="H520" s="2444"/>
      <c r="I520" s="2444"/>
      <c r="J520" s="2396"/>
    </row>
    <row r="521" spans="1:10">
      <c r="A521" s="2454"/>
      <c r="B521" s="2444"/>
      <c r="C521" s="2444"/>
      <c r="D521" s="2444"/>
      <c r="E521" s="2444"/>
      <c r="F521" s="2444"/>
      <c r="G521" s="2444"/>
      <c r="H521" s="2444"/>
      <c r="I521" s="2444"/>
      <c r="J521" s="2396"/>
    </row>
    <row r="522" spans="1:10">
      <c r="A522" s="2452" t="s">
        <v>901</v>
      </c>
      <c r="B522" s="2444"/>
      <c r="C522" s="2444"/>
      <c r="D522" s="2444"/>
      <c r="E522" s="2444"/>
      <c r="F522" s="2444"/>
      <c r="G522" s="2444"/>
      <c r="H522" s="2444"/>
      <c r="I522" s="2444"/>
      <c r="J522" s="2396"/>
    </row>
    <row r="523" spans="1:10">
      <c r="A523" s="2451" t="s">
        <v>902</v>
      </c>
      <c r="B523" s="2444"/>
      <c r="C523" s="2444"/>
      <c r="D523" s="2444"/>
      <c r="E523" s="2444"/>
      <c r="F523" s="2444"/>
      <c r="G523" s="2444"/>
      <c r="H523" s="2444"/>
      <c r="I523" s="2444"/>
      <c r="J523" s="2396"/>
    </row>
    <row r="524" spans="1:10">
      <c r="A524" s="2400" t="s">
        <v>373</v>
      </c>
      <c r="B524" s="2400" t="s">
        <v>317</v>
      </c>
      <c r="C524" s="2400" t="s">
        <v>582</v>
      </c>
      <c r="D524" s="2400" t="s">
        <v>583</v>
      </c>
      <c r="E524" s="2400" t="s">
        <v>316</v>
      </c>
      <c r="F524" s="2444"/>
      <c r="G524" s="2444"/>
      <c r="H524" s="2444"/>
      <c r="I524" s="2444"/>
      <c r="J524" s="2396"/>
    </row>
    <row r="525" spans="1:10">
      <c r="A525" s="2447" t="s">
        <v>715</v>
      </c>
      <c r="B525" s="2369">
        <f>ROUND(SUM(B526:B535),2)</f>
        <v>0</v>
      </c>
      <c r="C525" s="2369">
        <f>ROUND(SUM(C526:C535),2)</f>
        <v>0</v>
      </c>
      <c r="D525" s="2369">
        <f>ROUND(SUM(D526:D535),2)</f>
        <v>0</v>
      </c>
      <c r="E525" s="2369">
        <f>ROUND(SUM(E526:E535),2)</f>
        <v>0</v>
      </c>
      <c r="F525" s="2444"/>
      <c r="G525" s="2444"/>
      <c r="H525" s="2444"/>
      <c r="I525" s="2444"/>
      <c r="J525" s="2436" t="s">
        <v>903</v>
      </c>
    </row>
    <row r="526" spans="1:10">
      <c r="A526" s="2410"/>
      <c r="B526" s="2403"/>
      <c r="C526" s="2403"/>
      <c r="D526" s="2403"/>
      <c r="E526" s="2369">
        <f>ROUND(B526+C526-D526,2)</f>
        <v>0</v>
      </c>
      <c r="F526" s="2398"/>
      <c r="G526" s="2398"/>
      <c r="H526" s="2398"/>
      <c r="I526" s="2398"/>
      <c r="J526" s="2436" t="s">
        <v>904</v>
      </c>
    </row>
    <row r="527" spans="1:10">
      <c r="A527" s="2410"/>
      <c r="B527" s="2403"/>
      <c r="C527" s="2403"/>
      <c r="D527" s="2403"/>
      <c r="E527" s="2369">
        <f t="shared" ref="E527:E535" si="22">ROUND(B527+C527-D527,2)</f>
        <v>0</v>
      </c>
      <c r="F527" s="2398"/>
      <c r="G527" s="2398"/>
      <c r="H527" s="2398"/>
      <c r="I527" s="2398"/>
      <c r="J527" s="2436" t="s">
        <v>904</v>
      </c>
    </row>
    <row r="528" spans="1:10">
      <c r="A528" s="2410"/>
      <c r="B528" s="2403"/>
      <c r="C528" s="2403"/>
      <c r="D528" s="2403"/>
      <c r="E528" s="2369">
        <f t="shared" si="22"/>
        <v>0</v>
      </c>
      <c r="F528" s="2398"/>
      <c r="G528" s="2398"/>
      <c r="H528" s="2398"/>
      <c r="I528" s="2398"/>
      <c r="J528" s="2436" t="s">
        <v>904</v>
      </c>
    </row>
    <row r="529" spans="1:10">
      <c r="A529" s="2410"/>
      <c r="B529" s="2403"/>
      <c r="C529" s="2403"/>
      <c r="D529" s="2403"/>
      <c r="E529" s="2369">
        <f t="shared" si="22"/>
        <v>0</v>
      </c>
      <c r="F529" s="2398"/>
      <c r="G529" s="2398"/>
      <c r="H529" s="2398"/>
      <c r="I529" s="2398"/>
      <c r="J529" s="2436" t="s">
        <v>904</v>
      </c>
    </row>
    <row r="530" spans="1:10">
      <c r="A530" s="2410"/>
      <c r="B530" s="2403"/>
      <c r="C530" s="2403"/>
      <c r="D530" s="2403"/>
      <c r="E530" s="2369">
        <f t="shared" si="22"/>
        <v>0</v>
      </c>
      <c r="F530" s="2398"/>
      <c r="G530" s="2398"/>
      <c r="H530" s="2398"/>
      <c r="I530" s="2398"/>
      <c r="J530" s="2436" t="s">
        <v>904</v>
      </c>
    </row>
    <row r="531" spans="1:10">
      <c r="A531" s="2410"/>
      <c r="B531" s="2403"/>
      <c r="C531" s="2403"/>
      <c r="D531" s="2403"/>
      <c r="E531" s="2369">
        <f t="shared" si="22"/>
        <v>0</v>
      </c>
      <c r="F531" s="2398"/>
      <c r="G531" s="2398"/>
      <c r="H531" s="2398"/>
      <c r="I531" s="2398"/>
      <c r="J531" s="2436" t="s">
        <v>904</v>
      </c>
    </row>
    <row r="532" spans="1:10">
      <c r="A532" s="2410"/>
      <c r="B532" s="2403"/>
      <c r="C532" s="2403"/>
      <c r="D532" s="2403"/>
      <c r="E532" s="2369">
        <f t="shared" si="22"/>
        <v>0</v>
      </c>
      <c r="F532" s="2398"/>
      <c r="G532" s="2398"/>
      <c r="H532" s="2398"/>
      <c r="I532" s="2398"/>
      <c r="J532" s="2436" t="s">
        <v>904</v>
      </c>
    </row>
    <row r="533" spans="1:10">
      <c r="A533" s="2410"/>
      <c r="B533" s="2403"/>
      <c r="C533" s="2403"/>
      <c r="D533" s="2403"/>
      <c r="E533" s="2369">
        <f t="shared" si="22"/>
        <v>0</v>
      </c>
      <c r="F533" s="2398"/>
      <c r="G533" s="2398"/>
      <c r="H533" s="2398"/>
      <c r="I533" s="2398"/>
      <c r="J533" s="2436" t="s">
        <v>904</v>
      </c>
    </row>
    <row r="534" spans="1:10">
      <c r="A534" s="2410"/>
      <c r="B534" s="2403"/>
      <c r="C534" s="2403"/>
      <c r="D534" s="2403"/>
      <c r="E534" s="2369">
        <f t="shared" si="22"/>
        <v>0</v>
      </c>
      <c r="F534" s="2398"/>
      <c r="G534" s="2398"/>
      <c r="H534" s="2398"/>
      <c r="I534" s="2398"/>
      <c r="J534" s="2436" t="s">
        <v>904</v>
      </c>
    </row>
    <row r="535" spans="1:10">
      <c r="A535" s="2410"/>
      <c r="B535" s="2403"/>
      <c r="C535" s="2403"/>
      <c r="D535" s="2403"/>
      <c r="E535" s="2369">
        <f t="shared" si="22"/>
        <v>0</v>
      </c>
      <c r="F535" s="2398"/>
      <c r="G535" s="2398"/>
      <c r="H535" s="2398"/>
      <c r="I535" s="2398"/>
      <c r="J535" s="2436" t="s">
        <v>904</v>
      </c>
    </row>
    <row r="536" spans="1:10">
      <c r="A536" s="2455"/>
      <c r="B536" s="2401"/>
      <c r="C536" s="2401"/>
      <c r="D536" s="2401"/>
      <c r="E536" s="2401"/>
      <c r="F536" s="2444"/>
      <c r="G536" s="2444"/>
      <c r="H536" s="2444"/>
      <c r="I536" s="2444"/>
      <c r="J536" s="2396"/>
    </row>
    <row r="537" spans="1:10">
      <c r="A537" s="2447" t="s">
        <v>905</v>
      </c>
      <c r="B537" s="2369">
        <f>ROUND(SUM(B538:B547),2)</f>
        <v>0</v>
      </c>
      <c r="C537" s="2369">
        <f>ROUND(SUM(C538:C547),2)</f>
        <v>0</v>
      </c>
      <c r="D537" s="2369">
        <f>ROUND(SUM(D538:D547),2)</f>
        <v>0</v>
      </c>
      <c r="E537" s="2369">
        <f>ROUND(SUM(E538:E547),2)</f>
        <v>0</v>
      </c>
      <c r="F537" s="2444"/>
      <c r="G537" s="2444"/>
      <c r="H537" s="2444"/>
      <c r="I537" s="2444"/>
      <c r="J537" s="2436" t="s">
        <v>906</v>
      </c>
    </row>
    <row r="538" spans="1:10">
      <c r="A538" s="2405" t="str">
        <f>IF(A526="","",A526)</f>
        <v/>
      </c>
      <c r="B538" s="2403"/>
      <c r="C538" s="2403"/>
      <c r="D538" s="2403"/>
      <c r="E538" s="2369">
        <f>ROUND(B538+C538-D538,2)</f>
        <v>0</v>
      </c>
      <c r="F538" s="2398"/>
      <c r="G538" s="2398"/>
      <c r="H538" s="2398"/>
      <c r="I538" s="2398"/>
      <c r="J538" s="2436" t="s">
        <v>907</v>
      </c>
    </row>
    <row r="539" spans="1:10">
      <c r="A539" s="2405" t="str">
        <f t="shared" ref="A539:A547" si="23">IF(A527="","",A527)</f>
        <v/>
      </c>
      <c r="B539" s="2403"/>
      <c r="C539" s="2403"/>
      <c r="D539" s="2403"/>
      <c r="E539" s="2369">
        <f t="shared" ref="E539:E547" si="24">ROUND(B539+C539-D539,2)</f>
        <v>0</v>
      </c>
      <c r="F539" s="2398"/>
      <c r="G539" s="2398"/>
      <c r="H539" s="2398"/>
      <c r="I539" s="2398"/>
      <c r="J539" s="2436" t="s">
        <v>907</v>
      </c>
    </row>
    <row r="540" spans="1:10">
      <c r="A540" s="2405" t="str">
        <f t="shared" si="23"/>
        <v/>
      </c>
      <c r="B540" s="2403"/>
      <c r="C540" s="2403"/>
      <c r="D540" s="2403"/>
      <c r="E540" s="2369">
        <f t="shared" si="24"/>
        <v>0</v>
      </c>
      <c r="F540" s="2398"/>
      <c r="G540" s="2398"/>
      <c r="H540" s="2398"/>
      <c r="I540" s="2398"/>
      <c r="J540" s="2436" t="s">
        <v>907</v>
      </c>
    </row>
    <row r="541" spans="1:10">
      <c r="A541" s="2405" t="str">
        <f t="shared" si="23"/>
        <v/>
      </c>
      <c r="B541" s="2403"/>
      <c r="C541" s="2403"/>
      <c r="D541" s="2403"/>
      <c r="E541" s="2369">
        <f t="shared" si="24"/>
        <v>0</v>
      </c>
      <c r="F541" s="2398"/>
      <c r="G541" s="2398"/>
      <c r="H541" s="2398"/>
      <c r="I541" s="2398"/>
      <c r="J541" s="2436" t="s">
        <v>907</v>
      </c>
    </row>
    <row r="542" spans="1:10">
      <c r="A542" s="2405" t="str">
        <f t="shared" si="23"/>
        <v/>
      </c>
      <c r="B542" s="2403"/>
      <c r="C542" s="2403"/>
      <c r="D542" s="2403"/>
      <c r="E542" s="2369">
        <f t="shared" si="24"/>
        <v>0</v>
      </c>
      <c r="F542" s="2398"/>
      <c r="G542" s="2398"/>
      <c r="H542" s="2398"/>
      <c r="I542" s="2398"/>
      <c r="J542" s="2436" t="s">
        <v>907</v>
      </c>
    </row>
    <row r="543" spans="1:10">
      <c r="A543" s="2405" t="str">
        <f t="shared" si="23"/>
        <v/>
      </c>
      <c r="B543" s="2403"/>
      <c r="C543" s="2403"/>
      <c r="D543" s="2403"/>
      <c r="E543" s="2369">
        <f t="shared" si="24"/>
        <v>0</v>
      </c>
      <c r="F543" s="2398"/>
      <c r="G543" s="2398"/>
      <c r="H543" s="2398"/>
      <c r="I543" s="2398"/>
      <c r="J543" s="2436" t="s">
        <v>907</v>
      </c>
    </row>
    <row r="544" spans="1:10">
      <c r="A544" s="2405" t="str">
        <f t="shared" si="23"/>
        <v/>
      </c>
      <c r="B544" s="2403"/>
      <c r="C544" s="2403"/>
      <c r="D544" s="2403"/>
      <c r="E544" s="2369">
        <f t="shared" si="24"/>
        <v>0</v>
      </c>
      <c r="F544" s="2398"/>
      <c r="G544" s="2398"/>
      <c r="H544" s="2398"/>
      <c r="I544" s="2398"/>
      <c r="J544" s="2436" t="s">
        <v>907</v>
      </c>
    </row>
    <row r="545" spans="1:10">
      <c r="A545" s="2405" t="str">
        <f t="shared" si="23"/>
        <v/>
      </c>
      <c r="B545" s="2403"/>
      <c r="C545" s="2403"/>
      <c r="D545" s="2403"/>
      <c r="E545" s="2369">
        <f t="shared" si="24"/>
        <v>0</v>
      </c>
      <c r="F545" s="2398"/>
      <c r="G545" s="2398"/>
      <c r="H545" s="2398"/>
      <c r="I545" s="2398"/>
      <c r="J545" s="2436" t="s">
        <v>907</v>
      </c>
    </row>
    <row r="546" spans="1:10">
      <c r="A546" s="2405" t="str">
        <f t="shared" si="23"/>
        <v/>
      </c>
      <c r="B546" s="2403"/>
      <c r="C546" s="2403"/>
      <c r="D546" s="2403"/>
      <c r="E546" s="2369">
        <f t="shared" si="24"/>
        <v>0</v>
      </c>
      <c r="F546" s="2398"/>
      <c r="G546" s="2398"/>
      <c r="H546" s="2398"/>
      <c r="I546" s="2398"/>
      <c r="J546" s="2436" t="s">
        <v>907</v>
      </c>
    </row>
    <row r="547" spans="1:10">
      <c r="A547" s="2405" t="str">
        <f t="shared" si="23"/>
        <v/>
      </c>
      <c r="B547" s="2403"/>
      <c r="C547" s="2403"/>
      <c r="D547" s="2403"/>
      <c r="E547" s="2369">
        <f t="shared" si="24"/>
        <v>0</v>
      </c>
      <c r="F547" s="2398"/>
      <c r="G547" s="2398"/>
      <c r="H547" s="2398"/>
      <c r="I547" s="2398"/>
      <c r="J547" s="2436" t="s">
        <v>907</v>
      </c>
    </row>
    <row r="548" spans="1:10">
      <c r="A548" s="2455"/>
      <c r="B548" s="2401"/>
      <c r="C548" s="2401"/>
      <c r="D548" s="2401"/>
      <c r="E548" s="2401"/>
      <c r="F548" s="2444"/>
      <c r="G548" s="2444"/>
      <c r="H548" s="2444"/>
      <c r="I548" s="2444"/>
      <c r="J548" s="2396"/>
    </row>
    <row r="549" spans="1:10">
      <c r="A549" s="2447" t="s">
        <v>908</v>
      </c>
      <c r="B549" s="2369">
        <f>ROUND(SUM(B550:B559),2)</f>
        <v>0</v>
      </c>
      <c r="C549" s="2369">
        <f>ROUND(SUM(C550:C559),2)</f>
        <v>0</v>
      </c>
      <c r="D549" s="2369">
        <f>ROUND(SUM(D550:D559),2)</f>
        <v>0</v>
      </c>
      <c r="E549" s="2369">
        <f>ROUND(SUM(E550:E559),2)</f>
        <v>0</v>
      </c>
      <c r="F549" s="2444"/>
      <c r="G549" s="2444"/>
      <c r="H549" s="2444"/>
      <c r="I549" s="2444"/>
      <c r="J549" s="2436" t="s">
        <v>909</v>
      </c>
    </row>
    <row r="550" spans="1:10">
      <c r="A550" s="2405" t="str">
        <f>IF(A526="","",A526)</f>
        <v/>
      </c>
      <c r="B550" s="2403"/>
      <c r="C550" s="2403"/>
      <c r="D550" s="2403"/>
      <c r="E550" s="2369">
        <f>ROUND(B550+C550-D550,2)</f>
        <v>0</v>
      </c>
      <c r="F550" s="2398"/>
      <c r="G550" s="2398"/>
      <c r="H550" s="2398"/>
      <c r="I550" s="2398"/>
      <c r="J550" s="2436" t="s">
        <v>910</v>
      </c>
    </row>
    <row r="551" spans="1:10">
      <c r="A551" s="2405" t="str">
        <f t="shared" ref="A551:A559" si="25">IF(A527="","",A527)</f>
        <v/>
      </c>
      <c r="B551" s="2403"/>
      <c r="C551" s="2403"/>
      <c r="D551" s="2403"/>
      <c r="E551" s="2369">
        <f t="shared" ref="E551:E559" si="26">ROUND(B551+C551-D551,2)</f>
        <v>0</v>
      </c>
      <c r="F551" s="2398"/>
      <c r="G551" s="2398"/>
      <c r="H551" s="2398"/>
      <c r="I551" s="2398"/>
      <c r="J551" s="2436" t="s">
        <v>910</v>
      </c>
    </row>
    <row r="552" spans="1:10">
      <c r="A552" s="2405" t="str">
        <f t="shared" si="25"/>
        <v/>
      </c>
      <c r="B552" s="2403"/>
      <c r="C552" s="2403"/>
      <c r="D552" s="2403"/>
      <c r="E552" s="2369">
        <f t="shared" si="26"/>
        <v>0</v>
      </c>
      <c r="F552" s="2398"/>
      <c r="G552" s="2398"/>
      <c r="H552" s="2398"/>
      <c r="I552" s="2398"/>
      <c r="J552" s="2436" t="s">
        <v>910</v>
      </c>
    </row>
    <row r="553" spans="1:10">
      <c r="A553" s="2405" t="str">
        <f t="shared" si="25"/>
        <v/>
      </c>
      <c r="B553" s="2403"/>
      <c r="C553" s="2403"/>
      <c r="D553" s="2403"/>
      <c r="E553" s="2369">
        <f t="shared" si="26"/>
        <v>0</v>
      </c>
      <c r="F553" s="2398"/>
      <c r="G553" s="2398"/>
      <c r="H553" s="2398"/>
      <c r="I553" s="2398"/>
      <c r="J553" s="2436" t="s">
        <v>910</v>
      </c>
    </row>
    <row r="554" spans="1:10">
      <c r="A554" s="2405" t="str">
        <f t="shared" si="25"/>
        <v/>
      </c>
      <c r="B554" s="2403"/>
      <c r="C554" s="2403"/>
      <c r="D554" s="2403"/>
      <c r="E554" s="2369">
        <f t="shared" si="26"/>
        <v>0</v>
      </c>
      <c r="F554" s="2398"/>
      <c r="G554" s="2398"/>
      <c r="H554" s="2398"/>
      <c r="I554" s="2398"/>
      <c r="J554" s="2436" t="s">
        <v>910</v>
      </c>
    </row>
    <row r="555" spans="1:10">
      <c r="A555" s="2405" t="str">
        <f t="shared" si="25"/>
        <v/>
      </c>
      <c r="B555" s="2403"/>
      <c r="C555" s="2403"/>
      <c r="D555" s="2403"/>
      <c r="E555" s="2369">
        <f t="shared" si="26"/>
        <v>0</v>
      </c>
      <c r="F555" s="2398"/>
      <c r="G555" s="2398"/>
      <c r="H555" s="2398"/>
      <c r="I555" s="2398"/>
      <c r="J555" s="2436" t="s">
        <v>910</v>
      </c>
    </row>
    <row r="556" spans="1:10">
      <c r="A556" s="2405" t="str">
        <f t="shared" si="25"/>
        <v/>
      </c>
      <c r="B556" s="2403"/>
      <c r="C556" s="2403"/>
      <c r="D556" s="2403"/>
      <c r="E556" s="2369">
        <f t="shared" si="26"/>
        <v>0</v>
      </c>
      <c r="F556" s="2398"/>
      <c r="G556" s="2398"/>
      <c r="H556" s="2398"/>
      <c r="I556" s="2398"/>
      <c r="J556" s="2436" t="s">
        <v>910</v>
      </c>
    </row>
    <row r="557" spans="1:10">
      <c r="A557" s="2405" t="str">
        <f t="shared" si="25"/>
        <v/>
      </c>
      <c r="B557" s="2403"/>
      <c r="C557" s="2403"/>
      <c r="D557" s="2403"/>
      <c r="E557" s="2369">
        <f t="shared" si="26"/>
        <v>0</v>
      </c>
      <c r="F557" s="2398"/>
      <c r="G557" s="2398"/>
      <c r="H557" s="2398"/>
      <c r="I557" s="2398"/>
      <c r="J557" s="2436" t="s">
        <v>910</v>
      </c>
    </row>
    <row r="558" spans="1:10">
      <c r="A558" s="2405" t="str">
        <f t="shared" si="25"/>
        <v/>
      </c>
      <c r="B558" s="2403"/>
      <c r="C558" s="2403"/>
      <c r="D558" s="2403"/>
      <c r="E558" s="2369">
        <f t="shared" si="26"/>
        <v>0</v>
      </c>
      <c r="F558" s="2398"/>
      <c r="G558" s="2398"/>
      <c r="H558" s="2398"/>
      <c r="I558" s="2398"/>
      <c r="J558" s="2436" t="s">
        <v>910</v>
      </c>
    </row>
    <row r="559" spans="1:10">
      <c r="A559" s="2405" t="str">
        <f t="shared" si="25"/>
        <v/>
      </c>
      <c r="B559" s="2403"/>
      <c r="C559" s="2403"/>
      <c r="D559" s="2403"/>
      <c r="E559" s="2369">
        <f t="shared" si="26"/>
        <v>0</v>
      </c>
      <c r="F559" s="2398"/>
      <c r="G559" s="2398"/>
      <c r="H559" s="2398"/>
      <c r="I559" s="2398"/>
      <c r="J559" s="2436" t="s">
        <v>910</v>
      </c>
    </row>
    <row r="560" spans="1:10">
      <c r="A560" s="2455"/>
      <c r="B560" s="2401"/>
      <c r="C560" s="2401"/>
      <c r="D560" s="2401"/>
      <c r="E560" s="2401"/>
      <c r="F560" s="2444"/>
      <c r="G560" s="2444"/>
      <c r="H560" s="2444"/>
      <c r="I560" s="2444"/>
      <c r="J560" s="2396"/>
    </row>
    <row r="561" spans="1:10">
      <c r="A561" s="2447" t="s">
        <v>911</v>
      </c>
      <c r="B561" s="2369">
        <f>ROUND(SUM(B562:B571),2)</f>
        <v>0</v>
      </c>
      <c r="C561" s="2369">
        <f>ROUND(SUM(C562:C571),2)</f>
        <v>0</v>
      </c>
      <c r="D561" s="2369">
        <f>ROUND(SUM(D562:D571),2)</f>
        <v>0</v>
      </c>
      <c r="E561" s="2369">
        <f>ROUND(SUM(E562:E571),2)</f>
        <v>0</v>
      </c>
      <c r="F561" s="2444"/>
      <c r="G561" s="2444"/>
      <c r="H561" s="2444"/>
      <c r="I561" s="2444"/>
      <c r="J561" s="2396"/>
    </row>
    <row r="562" spans="1:10">
      <c r="A562" s="2405" t="str">
        <f>IF(A526="","",A526)</f>
        <v/>
      </c>
      <c r="B562" s="2156">
        <f t="shared" ref="B562:D571" si="27">ROUND(B526-B538-B550,2)</f>
        <v>0</v>
      </c>
      <c r="C562" s="2156">
        <f t="shared" si="27"/>
        <v>0</v>
      </c>
      <c r="D562" s="2156">
        <f t="shared" si="27"/>
        <v>0</v>
      </c>
      <c r="E562" s="2369">
        <f>ROUND(B562+C562-D562,2)</f>
        <v>0</v>
      </c>
      <c r="F562" s="2398"/>
      <c r="G562" s="2398"/>
      <c r="H562" s="2398"/>
      <c r="I562" s="2398"/>
      <c r="J562" s="2460"/>
    </row>
    <row r="563" spans="1:10">
      <c r="A563" s="2405" t="str">
        <f t="shared" ref="A563:A571" si="28">IF(A527="","",A527)</f>
        <v/>
      </c>
      <c r="B563" s="2156">
        <f t="shared" si="27"/>
        <v>0</v>
      </c>
      <c r="C563" s="2156">
        <f t="shared" si="27"/>
        <v>0</v>
      </c>
      <c r="D563" s="2156">
        <f t="shared" si="27"/>
        <v>0</v>
      </c>
      <c r="E563" s="2369">
        <f t="shared" ref="E563:E571" si="29">ROUND(B563+C563-D563,2)</f>
        <v>0</v>
      </c>
      <c r="F563" s="2398"/>
      <c r="G563" s="2398"/>
      <c r="H563" s="2398"/>
      <c r="I563" s="2398"/>
      <c r="J563" s="2460"/>
    </row>
    <row r="564" spans="1:10">
      <c r="A564" s="2405" t="str">
        <f t="shared" si="28"/>
        <v/>
      </c>
      <c r="B564" s="2156">
        <f t="shared" si="27"/>
        <v>0</v>
      </c>
      <c r="C564" s="2156">
        <f t="shared" si="27"/>
        <v>0</v>
      </c>
      <c r="D564" s="2156">
        <f t="shared" si="27"/>
        <v>0</v>
      </c>
      <c r="E564" s="2369">
        <f t="shared" si="29"/>
        <v>0</v>
      </c>
      <c r="F564" s="2398"/>
      <c r="G564" s="2398"/>
      <c r="H564" s="2398"/>
      <c r="I564" s="2398"/>
      <c r="J564" s="2460"/>
    </row>
    <row r="565" spans="1:10">
      <c r="A565" s="2405" t="str">
        <f t="shared" si="28"/>
        <v/>
      </c>
      <c r="B565" s="2156">
        <f t="shared" si="27"/>
        <v>0</v>
      </c>
      <c r="C565" s="2156">
        <f t="shared" si="27"/>
        <v>0</v>
      </c>
      <c r="D565" s="2156">
        <f t="shared" si="27"/>
        <v>0</v>
      </c>
      <c r="E565" s="2369">
        <f t="shared" si="29"/>
        <v>0</v>
      </c>
      <c r="F565" s="2398"/>
      <c r="G565" s="2398"/>
      <c r="H565" s="2398"/>
      <c r="I565" s="2398"/>
      <c r="J565" s="2460"/>
    </row>
    <row r="566" spans="1:10">
      <c r="A566" s="2405" t="str">
        <f t="shared" si="28"/>
        <v/>
      </c>
      <c r="B566" s="2156">
        <f t="shared" si="27"/>
        <v>0</v>
      </c>
      <c r="C566" s="2156">
        <f t="shared" si="27"/>
        <v>0</v>
      </c>
      <c r="D566" s="2156">
        <f t="shared" si="27"/>
        <v>0</v>
      </c>
      <c r="E566" s="2369">
        <f t="shared" si="29"/>
        <v>0</v>
      </c>
      <c r="F566" s="2398"/>
      <c r="G566" s="2398"/>
      <c r="H566" s="2398"/>
      <c r="I566" s="2398"/>
      <c r="J566" s="2460"/>
    </row>
    <row r="567" spans="1:10">
      <c r="A567" s="2405" t="str">
        <f t="shared" si="28"/>
        <v/>
      </c>
      <c r="B567" s="2156">
        <f t="shared" si="27"/>
        <v>0</v>
      </c>
      <c r="C567" s="2156">
        <f t="shared" si="27"/>
        <v>0</v>
      </c>
      <c r="D567" s="2156">
        <f t="shared" si="27"/>
        <v>0</v>
      </c>
      <c r="E567" s="2369">
        <f t="shared" si="29"/>
        <v>0</v>
      </c>
      <c r="F567" s="2398"/>
      <c r="G567" s="2398"/>
      <c r="H567" s="2398"/>
      <c r="I567" s="2398"/>
      <c r="J567" s="2460"/>
    </row>
    <row r="568" spans="1:10">
      <c r="A568" s="2405" t="str">
        <f t="shared" si="28"/>
        <v/>
      </c>
      <c r="B568" s="2156">
        <f t="shared" si="27"/>
        <v>0</v>
      </c>
      <c r="C568" s="2156">
        <f t="shared" si="27"/>
        <v>0</v>
      </c>
      <c r="D568" s="2156">
        <f t="shared" si="27"/>
        <v>0</v>
      </c>
      <c r="E568" s="2369">
        <f t="shared" si="29"/>
        <v>0</v>
      </c>
      <c r="F568" s="2398"/>
      <c r="G568" s="2398"/>
      <c r="H568" s="2398"/>
      <c r="I568" s="2398"/>
      <c r="J568" s="2460"/>
    </row>
    <row r="569" spans="1:10">
      <c r="A569" s="2405" t="str">
        <f t="shared" si="28"/>
        <v/>
      </c>
      <c r="B569" s="2156">
        <f t="shared" si="27"/>
        <v>0</v>
      </c>
      <c r="C569" s="2156">
        <f t="shared" si="27"/>
        <v>0</v>
      </c>
      <c r="D569" s="2156">
        <f t="shared" si="27"/>
        <v>0</v>
      </c>
      <c r="E569" s="2369">
        <f t="shared" si="29"/>
        <v>0</v>
      </c>
      <c r="F569" s="2398"/>
      <c r="G569" s="2398"/>
      <c r="H569" s="2398"/>
      <c r="I569" s="2398"/>
      <c r="J569" s="2460"/>
    </row>
    <row r="570" spans="1:10">
      <c r="A570" s="2405" t="str">
        <f t="shared" si="28"/>
        <v/>
      </c>
      <c r="B570" s="2156">
        <f t="shared" si="27"/>
        <v>0</v>
      </c>
      <c r="C570" s="2156">
        <f t="shared" si="27"/>
        <v>0</v>
      </c>
      <c r="D570" s="2156">
        <f t="shared" si="27"/>
        <v>0</v>
      </c>
      <c r="E570" s="2369">
        <f t="shared" si="29"/>
        <v>0</v>
      </c>
      <c r="F570" s="2398"/>
      <c r="G570" s="2398"/>
      <c r="H570" s="2398"/>
      <c r="I570" s="2398"/>
      <c r="J570" s="2460"/>
    </row>
    <row r="571" spans="1:10">
      <c r="A571" s="2405" t="str">
        <f t="shared" si="28"/>
        <v/>
      </c>
      <c r="B571" s="2156">
        <f t="shared" si="27"/>
        <v>0</v>
      </c>
      <c r="C571" s="2156">
        <f t="shared" si="27"/>
        <v>0</v>
      </c>
      <c r="D571" s="2156">
        <f t="shared" si="27"/>
        <v>0</v>
      </c>
      <c r="E571" s="2369">
        <f t="shared" si="29"/>
        <v>0</v>
      </c>
      <c r="F571" s="2398"/>
      <c r="G571" s="2398"/>
      <c r="H571" s="2398"/>
      <c r="I571" s="2398"/>
      <c r="J571" s="2460"/>
    </row>
    <row r="572" spans="1:10">
      <c r="A572" s="2462"/>
      <c r="B572" s="2444"/>
      <c r="C572" s="2444"/>
      <c r="D572" s="2444"/>
      <c r="E572" s="2444"/>
      <c r="F572" s="2444"/>
      <c r="G572" s="2444"/>
      <c r="H572" s="2444"/>
      <c r="I572" s="2444"/>
      <c r="J572" s="2396"/>
    </row>
    <row r="573" spans="1:10">
      <c r="A573" s="2445" t="s">
        <v>912</v>
      </c>
      <c r="B573" s="2444"/>
      <c r="C573" s="2444"/>
      <c r="D573" s="2444"/>
      <c r="E573" s="2444"/>
      <c r="F573" s="2444"/>
      <c r="G573" s="2444"/>
      <c r="H573" s="2444"/>
      <c r="I573" s="2444"/>
      <c r="J573" s="2396"/>
    </row>
    <row r="574" spans="1:10">
      <c r="A574" s="2400" t="s">
        <v>373</v>
      </c>
      <c r="B574" s="2400" t="s">
        <v>913</v>
      </c>
      <c r="C574" s="2400" t="s">
        <v>914</v>
      </c>
      <c r="D574" s="2400" t="s">
        <v>915</v>
      </c>
      <c r="E574" s="2444"/>
      <c r="F574" s="2444"/>
      <c r="G574" s="2444"/>
      <c r="H574" s="2444"/>
      <c r="I574" s="2444"/>
      <c r="J574" s="2396"/>
    </row>
    <row r="575" spans="1:10">
      <c r="A575" s="2410"/>
      <c r="B575" s="2403"/>
      <c r="C575" s="2403"/>
      <c r="D575" s="2369">
        <f>ROUND(B575+C575,2)</f>
        <v>0</v>
      </c>
      <c r="E575" s="2444"/>
      <c r="F575" s="2398"/>
      <c r="G575" s="2398"/>
      <c r="H575" s="2398"/>
      <c r="I575" s="2398"/>
      <c r="J575" s="2436" t="s">
        <v>916</v>
      </c>
    </row>
    <row r="576" spans="1:10">
      <c r="A576" s="2410"/>
      <c r="B576" s="2403"/>
      <c r="C576" s="2403"/>
      <c r="D576" s="2369">
        <f t="shared" ref="D576:D584" si="30">ROUND(B576+C576,2)</f>
        <v>0</v>
      </c>
      <c r="E576" s="2444"/>
      <c r="F576" s="2398"/>
      <c r="G576" s="2398"/>
      <c r="H576" s="2398"/>
      <c r="I576" s="2398"/>
      <c r="J576" s="2436" t="s">
        <v>916</v>
      </c>
    </row>
    <row r="577" spans="1:10">
      <c r="A577" s="2410"/>
      <c r="B577" s="2403"/>
      <c r="C577" s="2403"/>
      <c r="D577" s="2369">
        <f t="shared" si="30"/>
        <v>0</v>
      </c>
      <c r="E577" s="2444"/>
      <c r="F577" s="2398"/>
      <c r="G577" s="2398"/>
      <c r="H577" s="2398"/>
      <c r="I577" s="2398"/>
      <c r="J577" s="2436" t="s">
        <v>916</v>
      </c>
    </row>
    <row r="578" spans="1:10">
      <c r="A578" s="2410"/>
      <c r="B578" s="2403"/>
      <c r="C578" s="2403"/>
      <c r="D578" s="2369">
        <f t="shared" si="30"/>
        <v>0</v>
      </c>
      <c r="E578" s="2444"/>
      <c r="F578" s="2398"/>
      <c r="G578" s="2398"/>
      <c r="H578" s="2398"/>
      <c r="I578" s="2398"/>
      <c r="J578" s="2436" t="s">
        <v>916</v>
      </c>
    </row>
    <row r="579" spans="1:10">
      <c r="A579" s="2410"/>
      <c r="B579" s="2403"/>
      <c r="C579" s="2403"/>
      <c r="D579" s="2369">
        <f t="shared" si="30"/>
        <v>0</v>
      </c>
      <c r="E579" s="2444"/>
      <c r="F579" s="2398"/>
      <c r="G579" s="2398"/>
      <c r="H579" s="2398"/>
      <c r="I579" s="2398"/>
      <c r="J579" s="2436" t="s">
        <v>916</v>
      </c>
    </row>
    <row r="580" spans="1:10">
      <c r="A580" s="2410"/>
      <c r="B580" s="2403"/>
      <c r="C580" s="2403"/>
      <c r="D580" s="2369">
        <f t="shared" si="30"/>
        <v>0</v>
      </c>
      <c r="E580" s="2444"/>
      <c r="F580" s="2398"/>
      <c r="G580" s="2398"/>
      <c r="H580" s="2398"/>
      <c r="I580" s="2398"/>
      <c r="J580" s="2436" t="s">
        <v>916</v>
      </c>
    </row>
    <row r="581" spans="1:10">
      <c r="A581" s="2410"/>
      <c r="B581" s="2403"/>
      <c r="C581" s="2403"/>
      <c r="D581" s="2369">
        <f t="shared" si="30"/>
        <v>0</v>
      </c>
      <c r="E581" s="2444"/>
      <c r="F581" s="2398"/>
      <c r="G581" s="2398"/>
      <c r="H581" s="2398"/>
      <c r="I581" s="2398"/>
      <c r="J581" s="2436" t="s">
        <v>916</v>
      </c>
    </row>
    <row r="582" spans="1:10">
      <c r="A582" s="2410"/>
      <c r="B582" s="2403"/>
      <c r="C582" s="2403"/>
      <c r="D582" s="2369">
        <f t="shared" si="30"/>
        <v>0</v>
      </c>
      <c r="E582" s="2444"/>
      <c r="F582" s="2398"/>
      <c r="G582" s="2398"/>
      <c r="H582" s="2398"/>
      <c r="I582" s="2398"/>
      <c r="J582" s="2436" t="s">
        <v>916</v>
      </c>
    </row>
    <row r="583" spans="1:10">
      <c r="A583" s="2410"/>
      <c r="B583" s="2403"/>
      <c r="C583" s="2403"/>
      <c r="D583" s="2369">
        <f t="shared" si="30"/>
        <v>0</v>
      </c>
      <c r="E583" s="2444"/>
      <c r="F583" s="2398"/>
      <c r="G583" s="2398"/>
      <c r="H583" s="2398"/>
      <c r="I583" s="2398"/>
      <c r="J583" s="2436" t="s">
        <v>916</v>
      </c>
    </row>
    <row r="584" spans="1:10">
      <c r="A584" s="2410"/>
      <c r="B584" s="2403"/>
      <c r="C584" s="2403"/>
      <c r="D584" s="2369">
        <f t="shared" si="30"/>
        <v>0</v>
      </c>
      <c r="E584" s="2444"/>
      <c r="F584" s="2398"/>
      <c r="G584" s="2398"/>
      <c r="H584" s="2398"/>
      <c r="I584" s="2398"/>
      <c r="J584" s="2436" t="s">
        <v>916</v>
      </c>
    </row>
    <row r="585" spans="1:10">
      <c r="A585" s="2400" t="s">
        <v>385</v>
      </c>
      <c r="B585" s="2369">
        <f>ROUND(SUM(B575:B584),2)</f>
        <v>0</v>
      </c>
      <c r="C585" s="2369">
        <f>ROUND(SUM(C575:C584),2)</f>
        <v>0</v>
      </c>
      <c r="D585" s="2369">
        <f>ROUND(SUM(D575:D584),2)</f>
        <v>0</v>
      </c>
      <c r="E585" s="2444"/>
      <c r="F585" s="2444"/>
      <c r="G585" s="2444"/>
      <c r="H585" s="2444"/>
      <c r="I585" s="2444"/>
      <c r="J585" s="2436" t="s">
        <v>917</v>
      </c>
    </row>
    <row r="586" spans="1:10">
      <c r="A586" s="2462"/>
      <c r="B586" s="2444"/>
      <c r="C586" s="2444"/>
      <c r="D586" s="2444"/>
      <c r="E586" s="2444"/>
      <c r="F586" s="2444"/>
      <c r="G586" s="2444"/>
      <c r="H586" s="2444"/>
      <c r="I586" s="2444"/>
      <c r="J586" s="2396"/>
    </row>
    <row r="587" spans="1:10">
      <c r="A587" s="2445" t="s">
        <v>918</v>
      </c>
      <c r="B587" s="2444"/>
      <c r="C587" s="2444"/>
      <c r="D587" s="2444"/>
      <c r="E587" s="2444"/>
      <c r="F587" s="2444"/>
      <c r="G587" s="2444"/>
      <c r="H587" s="2444"/>
      <c r="I587" s="2444"/>
      <c r="J587" s="2396"/>
    </row>
    <row r="588" spans="1:10">
      <c r="A588" s="2400" t="s">
        <v>373</v>
      </c>
      <c r="B588" s="2400" t="s">
        <v>919</v>
      </c>
      <c r="C588" s="2400" t="s">
        <v>920</v>
      </c>
      <c r="D588" s="2400" t="s">
        <v>921</v>
      </c>
      <c r="E588" s="2400" t="s">
        <v>922</v>
      </c>
      <c r="F588" s="2444"/>
      <c r="G588" s="2444"/>
      <c r="H588" s="2444"/>
      <c r="I588" s="2444"/>
      <c r="J588" s="2396"/>
    </row>
    <row r="589" spans="1:10">
      <c r="A589" s="2410"/>
      <c r="B589" s="2403"/>
      <c r="C589" s="2403"/>
      <c r="D589" s="2410"/>
      <c r="E589" s="2410"/>
      <c r="F589" s="2398"/>
      <c r="G589" s="2398"/>
      <c r="H589" s="2398"/>
      <c r="I589" s="2398"/>
      <c r="J589" s="2436" t="s">
        <v>923</v>
      </c>
    </row>
    <row r="590" spans="1:10">
      <c r="A590" s="2410"/>
      <c r="B590" s="2403"/>
      <c r="C590" s="2403"/>
      <c r="D590" s="2410"/>
      <c r="E590" s="2410"/>
      <c r="F590" s="2398"/>
      <c r="G590" s="2398"/>
      <c r="H590" s="2398"/>
      <c r="I590" s="2398"/>
      <c r="J590" s="2436" t="s">
        <v>923</v>
      </c>
    </row>
    <row r="591" spans="1:10">
      <c r="A591" s="2410"/>
      <c r="B591" s="2403"/>
      <c r="C591" s="2403"/>
      <c r="D591" s="2410"/>
      <c r="E591" s="2410"/>
      <c r="F591" s="2398"/>
      <c r="G591" s="2398"/>
      <c r="H591" s="2398"/>
      <c r="I591" s="2398"/>
      <c r="J591" s="2436" t="s">
        <v>923</v>
      </c>
    </row>
    <row r="592" spans="1:10">
      <c r="A592" s="2410"/>
      <c r="B592" s="2403"/>
      <c r="C592" s="2403"/>
      <c r="D592" s="2410"/>
      <c r="E592" s="2410"/>
      <c r="F592" s="2398"/>
      <c r="G592" s="2398"/>
      <c r="H592" s="2398"/>
      <c r="I592" s="2398"/>
      <c r="J592" s="2436" t="s">
        <v>923</v>
      </c>
    </row>
    <row r="593" spans="1:10">
      <c r="A593" s="2410"/>
      <c r="B593" s="2403"/>
      <c r="C593" s="2403"/>
      <c r="D593" s="2410"/>
      <c r="E593" s="2410"/>
      <c r="F593" s="2398"/>
      <c r="G593" s="2398"/>
      <c r="H593" s="2398"/>
      <c r="I593" s="2398"/>
      <c r="J593" s="2436" t="s">
        <v>923</v>
      </c>
    </row>
    <row r="594" spans="1:10">
      <c r="A594" s="2410"/>
      <c r="B594" s="2403"/>
      <c r="C594" s="2403"/>
      <c r="D594" s="2410"/>
      <c r="E594" s="2410"/>
      <c r="F594" s="2398"/>
      <c r="G594" s="2398"/>
      <c r="H594" s="2398"/>
      <c r="I594" s="2398"/>
      <c r="J594" s="2436" t="s">
        <v>923</v>
      </c>
    </row>
    <row r="595" spans="1:10">
      <c r="A595" s="2410"/>
      <c r="B595" s="2403"/>
      <c r="C595" s="2403"/>
      <c r="D595" s="2410"/>
      <c r="E595" s="2410"/>
      <c r="F595" s="2398"/>
      <c r="G595" s="2398"/>
      <c r="H595" s="2398"/>
      <c r="I595" s="2398"/>
      <c r="J595" s="2436" t="s">
        <v>923</v>
      </c>
    </row>
    <row r="596" spans="1:10">
      <c r="A596" s="2410"/>
      <c r="B596" s="2403"/>
      <c r="C596" s="2403"/>
      <c r="D596" s="2410"/>
      <c r="E596" s="2410"/>
      <c r="F596" s="2398"/>
      <c r="G596" s="2398"/>
      <c r="H596" s="2398"/>
      <c r="I596" s="2398"/>
      <c r="J596" s="2436" t="s">
        <v>923</v>
      </c>
    </row>
    <row r="597" spans="1:10">
      <c r="A597" s="2410"/>
      <c r="B597" s="2403"/>
      <c r="C597" s="2403"/>
      <c r="D597" s="2410"/>
      <c r="E597" s="2410"/>
      <c r="F597" s="2398"/>
      <c r="G597" s="2398"/>
      <c r="H597" s="2398"/>
      <c r="I597" s="2398"/>
      <c r="J597" s="2436" t="s">
        <v>923</v>
      </c>
    </row>
    <row r="598" spans="1:10">
      <c r="A598" s="2410"/>
      <c r="B598" s="2403"/>
      <c r="C598" s="2403"/>
      <c r="D598" s="2410"/>
      <c r="E598" s="2410"/>
      <c r="F598" s="2398"/>
      <c r="G598" s="2398"/>
      <c r="H598" s="2398"/>
      <c r="I598" s="2398"/>
      <c r="J598" s="2436" t="s">
        <v>923</v>
      </c>
    </row>
    <row r="599" spans="1:10">
      <c r="A599" s="2400" t="s">
        <v>385</v>
      </c>
      <c r="B599" s="2369">
        <f>ROUND(SUM(B589:B598),2)</f>
        <v>0</v>
      </c>
      <c r="C599" s="2369">
        <f>ROUND(SUM(C589:C598),2)</f>
        <v>0</v>
      </c>
      <c r="D599" s="2369"/>
      <c r="E599" s="2369"/>
      <c r="F599" s="2444"/>
      <c r="G599" s="2444"/>
      <c r="H599" s="2444"/>
      <c r="I599" s="2444"/>
      <c r="J599" s="2436" t="s">
        <v>924</v>
      </c>
    </row>
    <row r="600" spans="1:10">
      <c r="A600" s="2464"/>
      <c r="B600" s="2418"/>
      <c r="C600" s="2444"/>
      <c r="D600" s="2444"/>
      <c r="E600" s="2444"/>
      <c r="F600" s="2444"/>
      <c r="G600" s="2444"/>
      <c r="H600" s="2444"/>
      <c r="I600" s="2444"/>
      <c r="J600" s="2396"/>
    </row>
    <row r="601" spans="1:10">
      <c r="A601" s="2462"/>
      <c r="B601" s="2444"/>
      <c r="C601" s="2444"/>
      <c r="D601" s="2444"/>
      <c r="E601" s="2444"/>
      <c r="F601" s="2444"/>
      <c r="G601" s="2444"/>
      <c r="H601" s="2444"/>
      <c r="I601" s="2444"/>
      <c r="J601" s="2396"/>
    </row>
    <row r="602" spans="1:10">
      <c r="A602" s="2443" t="s">
        <v>925</v>
      </c>
      <c r="B602" s="2444"/>
      <c r="C602" s="2444"/>
      <c r="D602" s="2444"/>
      <c r="E602" s="2444"/>
      <c r="F602" s="2444"/>
      <c r="G602" s="2444"/>
      <c r="H602" s="2444"/>
      <c r="I602" s="2444"/>
      <c r="J602" s="2396"/>
    </row>
    <row r="603" spans="1:10">
      <c r="A603" s="2400" t="s">
        <v>373</v>
      </c>
      <c r="B603" s="2400" t="s">
        <v>317</v>
      </c>
      <c r="C603" s="2400" t="s">
        <v>582</v>
      </c>
      <c r="D603" s="2400" t="s">
        <v>583</v>
      </c>
      <c r="E603" s="2400" t="s">
        <v>316</v>
      </c>
      <c r="F603" s="2400" t="s">
        <v>926</v>
      </c>
      <c r="G603" s="2417"/>
      <c r="H603" s="2417"/>
      <c r="I603" s="2417"/>
      <c r="J603" s="2396"/>
    </row>
    <row r="604" spans="1:10">
      <c r="A604" s="2410"/>
      <c r="B604" s="2403"/>
      <c r="C604" s="2403"/>
      <c r="D604" s="2403"/>
      <c r="E604" s="2369">
        <f>ROUND(B604+C604-D604,2)</f>
        <v>0</v>
      </c>
      <c r="F604" s="2410"/>
      <c r="G604" s="2417"/>
      <c r="H604" s="2417"/>
      <c r="I604" s="2417"/>
      <c r="J604" s="2436" t="s">
        <v>248</v>
      </c>
    </row>
    <row r="605" spans="1:10">
      <c r="A605" s="2410"/>
      <c r="B605" s="2403"/>
      <c r="C605" s="2403"/>
      <c r="D605" s="2403"/>
      <c r="E605" s="2369">
        <f t="shared" ref="E605:E613" si="31">ROUND(B605+C605-D605,2)</f>
        <v>0</v>
      </c>
      <c r="F605" s="2410"/>
      <c r="G605" s="2417"/>
      <c r="H605" s="2417"/>
      <c r="I605" s="2417"/>
      <c r="J605" s="2436" t="s">
        <v>248</v>
      </c>
    </row>
    <row r="606" spans="1:10">
      <c r="A606" s="2410"/>
      <c r="B606" s="2403"/>
      <c r="C606" s="2403"/>
      <c r="D606" s="2403"/>
      <c r="E606" s="2369">
        <f t="shared" si="31"/>
        <v>0</v>
      </c>
      <c r="F606" s="2410"/>
      <c r="G606" s="2417"/>
      <c r="H606" s="2417"/>
      <c r="I606" s="2417"/>
      <c r="J606" s="2436" t="s">
        <v>248</v>
      </c>
    </row>
    <row r="607" spans="1:10">
      <c r="A607" s="2410"/>
      <c r="B607" s="2403"/>
      <c r="C607" s="2403"/>
      <c r="D607" s="2403"/>
      <c r="E607" s="2369">
        <f t="shared" si="31"/>
        <v>0</v>
      </c>
      <c r="F607" s="2410"/>
      <c r="G607" s="2417"/>
      <c r="H607" s="2417"/>
      <c r="I607" s="2417"/>
      <c r="J607" s="2436" t="s">
        <v>248</v>
      </c>
    </row>
    <row r="608" spans="1:10">
      <c r="A608" s="2410"/>
      <c r="B608" s="2403"/>
      <c r="C608" s="2403"/>
      <c r="D608" s="2403"/>
      <c r="E608" s="2369">
        <f t="shared" si="31"/>
        <v>0</v>
      </c>
      <c r="F608" s="2410"/>
      <c r="G608" s="2417"/>
      <c r="H608" s="2417"/>
      <c r="I608" s="2417"/>
      <c r="J608" s="2436" t="s">
        <v>248</v>
      </c>
    </row>
    <row r="609" spans="1:10">
      <c r="A609" s="2410"/>
      <c r="B609" s="2403"/>
      <c r="C609" s="2403"/>
      <c r="D609" s="2403"/>
      <c r="E609" s="2369">
        <f t="shared" si="31"/>
        <v>0</v>
      </c>
      <c r="F609" s="2410"/>
      <c r="G609" s="2417"/>
      <c r="H609" s="2417"/>
      <c r="I609" s="2417"/>
      <c r="J609" s="2436" t="s">
        <v>248</v>
      </c>
    </row>
    <row r="610" spans="1:10">
      <c r="A610" s="2410"/>
      <c r="B610" s="2403"/>
      <c r="C610" s="2403"/>
      <c r="D610" s="2403"/>
      <c r="E610" s="2369">
        <f t="shared" si="31"/>
        <v>0</v>
      </c>
      <c r="F610" s="2410"/>
      <c r="G610" s="2417"/>
      <c r="H610" s="2417"/>
      <c r="I610" s="2417"/>
      <c r="J610" s="2436" t="s">
        <v>248</v>
      </c>
    </row>
    <row r="611" spans="1:10">
      <c r="A611" s="2410"/>
      <c r="B611" s="2403"/>
      <c r="C611" s="2403"/>
      <c r="D611" s="2403"/>
      <c r="E611" s="2369">
        <f t="shared" si="31"/>
        <v>0</v>
      </c>
      <c r="F611" s="2410"/>
      <c r="G611" s="2417"/>
      <c r="H611" s="2417"/>
      <c r="I611" s="2417"/>
      <c r="J611" s="2436" t="s">
        <v>248</v>
      </c>
    </row>
    <row r="612" spans="1:10">
      <c r="A612" s="2410"/>
      <c r="B612" s="2403"/>
      <c r="C612" s="2403"/>
      <c r="D612" s="2403"/>
      <c r="E612" s="2369">
        <f t="shared" si="31"/>
        <v>0</v>
      </c>
      <c r="F612" s="2410"/>
      <c r="G612" s="2417"/>
      <c r="H612" s="2417"/>
      <c r="I612" s="2417"/>
      <c r="J612" s="2436" t="s">
        <v>248</v>
      </c>
    </row>
    <row r="613" spans="1:10">
      <c r="A613" s="2410"/>
      <c r="B613" s="2403"/>
      <c r="C613" s="2403"/>
      <c r="D613" s="2403"/>
      <c r="E613" s="2369">
        <f t="shared" si="31"/>
        <v>0</v>
      </c>
      <c r="F613" s="2410"/>
      <c r="G613" s="2417"/>
      <c r="H613" s="2417"/>
      <c r="I613" s="2417"/>
      <c r="J613" s="2436" t="s">
        <v>248</v>
      </c>
    </row>
    <row r="614" spans="1:10">
      <c r="A614" s="2400" t="s">
        <v>385</v>
      </c>
      <c r="B614" s="2369">
        <f>ROUND(SUM(B604:B613),2)</f>
        <v>0</v>
      </c>
      <c r="C614" s="2369">
        <f>ROUND(SUM(C604:C613),2)</f>
        <v>0</v>
      </c>
      <c r="D614" s="2369">
        <f>ROUND(SUM(D604:D613),2)</f>
        <v>0</v>
      </c>
      <c r="E614" s="2369">
        <f>ROUND(SUM(E604:E613),2)</f>
        <v>0</v>
      </c>
      <c r="F614" s="2369"/>
      <c r="G614" s="2417"/>
      <c r="H614" s="2417"/>
      <c r="I614" s="2417"/>
      <c r="J614" s="2436" t="s">
        <v>927</v>
      </c>
    </row>
    <row r="615" spans="1:10">
      <c r="A615" s="2437"/>
      <c r="B615" s="2437"/>
      <c r="C615" s="2437"/>
      <c r="D615" s="2437"/>
      <c r="E615" s="2437"/>
      <c r="F615" s="2437"/>
      <c r="G615" s="2437"/>
      <c r="H615" s="2437"/>
      <c r="I615" s="2437"/>
      <c r="J615" s="2460"/>
    </row>
    <row r="616" spans="1:10">
      <c r="A616" s="2421"/>
      <c r="B616" s="2398"/>
      <c r="C616" s="2398"/>
      <c r="D616" s="2398"/>
      <c r="E616" s="2398"/>
      <c r="F616" s="2398"/>
      <c r="G616" s="2398"/>
      <c r="H616" s="2398"/>
      <c r="I616" s="2398"/>
      <c r="J616" s="2460"/>
    </row>
    <row r="617" spans="1:10">
      <c r="A617" s="2397" t="s">
        <v>928</v>
      </c>
      <c r="B617" s="2398"/>
      <c r="C617" s="2398"/>
      <c r="D617" s="2398"/>
      <c r="E617" s="2398"/>
      <c r="F617" s="2398"/>
      <c r="G617" s="2398"/>
      <c r="H617" s="2398"/>
      <c r="I617" s="2398"/>
      <c r="J617" s="2460"/>
    </row>
    <row r="618" spans="1:10">
      <c r="A618" s="2400" t="s">
        <v>373</v>
      </c>
      <c r="B618" s="2400" t="s">
        <v>929</v>
      </c>
      <c r="C618" s="2400" t="s">
        <v>628</v>
      </c>
      <c r="D618" s="2400" t="s">
        <v>582</v>
      </c>
      <c r="E618" s="2400" t="s">
        <v>583</v>
      </c>
      <c r="F618" s="2400" t="s">
        <v>316</v>
      </c>
      <c r="G618" s="2400" t="s">
        <v>930</v>
      </c>
      <c r="H618" s="2398"/>
      <c r="I618" s="2398"/>
      <c r="J618" s="2460"/>
    </row>
    <row r="619" spans="1:10">
      <c r="A619" s="2410"/>
      <c r="B619" s="2403"/>
      <c r="C619" s="2403"/>
      <c r="D619" s="2403"/>
      <c r="E619" s="2403"/>
      <c r="F619" s="2369">
        <f>ROUND(C619+D619-E619,2)</f>
        <v>0</v>
      </c>
      <c r="G619" s="2410"/>
      <c r="H619" s="2398"/>
      <c r="I619" s="2398"/>
      <c r="J619" s="2436" t="s">
        <v>250</v>
      </c>
    </row>
    <row r="620" spans="1:10">
      <c r="A620" s="2410"/>
      <c r="B620" s="2403"/>
      <c r="C620" s="2403"/>
      <c r="D620" s="2403"/>
      <c r="E620" s="2403"/>
      <c r="F620" s="2369">
        <f t="shared" ref="F620:F628" si="32">ROUND(C620+D620-E620,2)</f>
        <v>0</v>
      </c>
      <c r="G620" s="2410"/>
      <c r="H620" s="2398"/>
      <c r="I620" s="2398"/>
      <c r="J620" s="2436" t="s">
        <v>250</v>
      </c>
    </row>
    <row r="621" spans="1:10">
      <c r="A621" s="2410"/>
      <c r="B621" s="2403"/>
      <c r="C621" s="2403"/>
      <c r="D621" s="2403"/>
      <c r="E621" s="2403"/>
      <c r="F621" s="2369">
        <f t="shared" si="32"/>
        <v>0</v>
      </c>
      <c r="G621" s="2410"/>
      <c r="H621" s="2398"/>
      <c r="I621" s="2398"/>
      <c r="J621" s="2436" t="s">
        <v>250</v>
      </c>
    </row>
    <row r="622" spans="1:10">
      <c r="A622" s="2410"/>
      <c r="B622" s="2403"/>
      <c r="C622" s="2403"/>
      <c r="D622" s="2403"/>
      <c r="E622" s="2403"/>
      <c r="F622" s="2369">
        <f t="shared" si="32"/>
        <v>0</v>
      </c>
      <c r="G622" s="2410"/>
      <c r="H622" s="2398"/>
      <c r="I622" s="2398"/>
      <c r="J622" s="2436" t="s">
        <v>250</v>
      </c>
    </row>
    <row r="623" spans="1:10">
      <c r="A623" s="2410"/>
      <c r="B623" s="2403"/>
      <c r="C623" s="2403"/>
      <c r="D623" s="2403"/>
      <c r="E623" s="2403"/>
      <c r="F623" s="2369">
        <f t="shared" si="32"/>
        <v>0</v>
      </c>
      <c r="G623" s="2410"/>
      <c r="H623" s="2398"/>
      <c r="I623" s="2398"/>
      <c r="J623" s="2436" t="s">
        <v>250</v>
      </c>
    </row>
    <row r="624" spans="1:10">
      <c r="A624" s="2410"/>
      <c r="B624" s="2403"/>
      <c r="C624" s="2403"/>
      <c r="D624" s="2403"/>
      <c r="E624" s="2403"/>
      <c r="F624" s="2369">
        <f t="shared" si="32"/>
        <v>0</v>
      </c>
      <c r="G624" s="2410"/>
      <c r="H624" s="2398"/>
      <c r="I624" s="2398"/>
      <c r="J624" s="2436" t="s">
        <v>250</v>
      </c>
    </row>
    <row r="625" spans="1:10">
      <c r="A625" s="2410"/>
      <c r="B625" s="2403"/>
      <c r="C625" s="2403"/>
      <c r="D625" s="2403"/>
      <c r="E625" s="2403"/>
      <c r="F625" s="2369">
        <f t="shared" si="32"/>
        <v>0</v>
      </c>
      <c r="G625" s="2410"/>
      <c r="H625" s="2398"/>
      <c r="I625" s="2398"/>
      <c r="J625" s="2436" t="s">
        <v>250</v>
      </c>
    </row>
    <row r="626" spans="1:10">
      <c r="A626" s="2410"/>
      <c r="B626" s="2403"/>
      <c r="C626" s="2403"/>
      <c r="D626" s="2403"/>
      <c r="E626" s="2403"/>
      <c r="F626" s="2369">
        <f t="shared" si="32"/>
        <v>0</v>
      </c>
      <c r="G626" s="2410"/>
      <c r="H626" s="2398"/>
      <c r="I626" s="2398"/>
      <c r="J626" s="2436" t="s">
        <v>250</v>
      </c>
    </row>
    <row r="627" spans="1:10">
      <c r="A627" s="2410"/>
      <c r="B627" s="2403"/>
      <c r="C627" s="2403"/>
      <c r="D627" s="2403"/>
      <c r="E627" s="2403"/>
      <c r="F627" s="2369">
        <f t="shared" si="32"/>
        <v>0</v>
      </c>
      <c r="G627" s="2410"/>
      <c r="H627" s="2398"/>
      <c r="I627" s="2398"/>
      <c r="J627" s="2436" t="s">
        <v>250</v>
      </c>
    </row>
    <row r="628" spans="1:10">
      <c r="A628" s="2410"/>
      <c r="B628" s="2403"/>
      <c r="C628" s="2403"/>
      <c r="D628" s="2403"/>
      <c r="E628" s="2403"/>
      <c r="F628" s="2369">
        <f t="shared" si="32"/>
        <v>0</v>
      </c>
      <c r="G628" s="2410"/>
      <c r="H628" s="2398"/>
      <c r="I628" s="2398"/>
      <c r="J628" s="2436" t="s">
        <v>250</v>
      </c>
    </row>
    <row r="629" spans="1:10">
      <c r="A629" s="2400" t="s">
        <v>385</v>
      </c>
      <c r="B629" s="2369">
        <f>ROUND(SUM(B619:B628),2)</f>
        <v>0</v>
      </c>
      <c r="C629" s="2369">
        <f>ROUND(SUM(C619:C628),2)</f>
        <v>0</v>
      </c>
      <c r="D629" s="2369">
        <f>ROUND(SUM(D619:D628),2)</f>
        <v>0</v>
      </c>
      <c r="E629" s="2369">
        <f>ROUND(SUM(E619:E628),2)</f>
        <v>0</v>
      </c>
      <c r="F629" s="2369">
        <f>ROUND(SUM(F619:F628),2)</f>
        <v>0</v>
      </c>
      <c r="G629" s="2369"/>
      <c r="H629" s="2398"/>
      <c r="I629" s="2398"/>
      <c r="J629" s="2436" t="s">
        <v>931</v>
      </c>
    </row>
    <row r="630" spans="1:10">
      <c r="A630" s="2437"/>
      <c r="B630" s="2437"/>
      <c r="C630" s="2437"/>
      <c r="D630" s="2437"/>
      <c r="E630" s="2437"/>
      <c r="F630" s="2437"/>
      <c r="G630" s="2437"/>
      <c r="H630" s="2437"/>
      <c r="I630" s="2437"/>
      <c r="J630" s="2460"/>
    </row>
    <row r="631" spans="1:10">
      <c r="A631" s="2421"/>
      <c r="B631" s="2398"/>
      <c r="C631" s="2398"/>
      <c r="D631" s="2398"/>
      <c r="E631" s="2398"/>
      <c r="F631" s="2398"/>
      <c r="G631" s="2398"/>
      <c r="H631" s="2398"/>
      <c r="I631" s="2398"/>
      <c r="J631" s="2460"/>
    </row>
    <row r="632" spans="1:10">
      <c r="A632" s="2397" t="s">
        <v>932</v>
      </c>
      <c r="B632" s="2398"/>
      <c r="C632" s="2398"/>
      <c r="D632" s="2398"/>
      <c r="E632" s="2398"/>
      <c r="F632" s="2398"/>
      <c r="G632" s="2398"/>
      <c r="H632" s="2398"/>
      <c r="I632" s="2398"/>
      <c r="J632" s="2460"/>
    </row>
    <row r="633" spans="1:10">
      <c r="A633" s="2400" t="s">
        <v>373</v>
      </c>
      <c r="B633" s="2400" t="s">
        <v>627</v>
      </c>
      <c r="C633" s="2400" t="s">
        <v>628</v>
      </c>
      <c r="D633" s="2400" t="s">
        <v>573</v>
      </c>
      <c r="E633" s="2400" t="s">
        <v>489</v>
      </c>
      <c r="F633" s="2398"/>
      <c r="G633" s="2398"/>
      <c r="H633" s="2398"/>
      <c r="I633" s="2398"/>
      <c r="J633" s="2460"/>
    </row>
    <row r="634" spans="1:10">
      <c r="A634" s="2410"/>
      <c r="B634" s="2403"/>
      <c r="C634" s="2403"/>
      <c r="D634" s="2410"/>
      <c r="E634" s="2410"/>
      <c r="F634" s="2398"/>
      <c r="G634" s="2398"/>
      <c r="H634" s="2398"/>
      <c r="I634" s="2398"/>
      <c r="J634" s="2436" t="s">
        <v>254</v>
      </c>
    </row>
    <row r="635" spans="1:10">
      <c r="A635" s="2410"/>
      <c r="B635" s="2403"/>
      <c r="C635" s="2403"/>
      <c r="D635" s="2410"/>
      <c r="E635" s="2410"/>
      <c r="F635" s="2398"/>
      <c r="G635" s="2398"/>
      <c r="H635" s="2398"/>
      <c r="I635" s="2398"/>
      <c r="J635" s="2436" t="s">
        <v>254</v>
      </c>
    </row>
    <row r="636" spans="1:10">
      <c r="A636" s="2410"/>
      <c r="B636" s="2403"/>
      <c r="C636" s="2403"/>
      <c r="D636" s="2410"/>
      <c r="E636" s="2410"/>
      <c r="F636" s="2398"/>
      <c r="G636" s="2398"/>
      <c r="H636" s="2398"/>
      <c r="I636" s="2398"/>
      <c r="J636" s="2436" t="s">
        <v>254</v>
      </c>
    </row>
    <row r="637" spans="1:10">
      <c r="A637" s="2410"/>
      <c r="B637" s="2403"/>
      <c r="C637" s="2403"/>
      <c r="D637" s="2410"/>
      <c r="E637" s="2410"/>
      <c r="F637" s="2398"/>
      <c r="G637" s="2398"/>
      <c r="H637" s="2398"/>
      <c r="I637" s="2398"/>
      <c r="J637" s="2436" t="s">
        <v>254</v>
      </c>
    </row>
    <row r="638" spans="1:10">
      <c r="A638" s="2410"/>
      <c r="B638" s="2403"/>
      <c r="C638" s="2403"/>
      <c r="D638" s="2410"/>
      <c r="E638" s="2410"/>
      <c r="F638" s="2398"/>
      <c r="G638" s="2398"/>
      <c r="H638" s="2398"/>
      <c r="I638" s="2398"/>
      <c r="J638" s="2436" t="s">
        <v>254</v>
      </c>
    </row>
    <row r="639" spans="1:10">
      <c r="A639" s="2410"/>
      <c r="B639" s="2403"/>
      <c r="C639" s="2403"/>
      <c r="D639" s="2410"/>
      <c r="E639" s="2410"/>
      <c r="F639" s="2398"/>
      <c r="G639" s="2398"/>
      <c r="H639" s="2398"/>
      <c r="I639" s="2398"/>
      <c r="J639" s="2436" t="s">
        <v>254</v>
      </c>
    </row>
    <row r="640" spans="1:10">
      <c r="A640" s="2410"/>
      <c r="B640" s="2403"/>
      <c r="C640" s="2403"/>
      <c r="D640" s="2410"/>
      <c r="E640" s="2410"/>
      <c r="F640" s="2398"/>
      <c r="G640" s="2398"/>
      <c r="H640" s="2398"/>
      <c r="I640" s="2398"/>
      <c r="J640" s="2436" t="s">
        <v>254</v>
      </c>
    </row>
    <row r="641" spans="1:10">
      <c r="A641" s="2410"/>
      <c r="B641" s="2403"/>
      <c r="C641" s="2403"/>
      <c r="D641" s="2410"/>
      <c r="E641" s="2410"/>
      <c r="F641" s="2398"/>
      <c r="G641" s="2398"/>
      <c r="H641" s="2398"/>
      <c r="I641" s="2398"/>
      <c r="J641" s="2436" t="s">
        <v>254</v>
      </c>
    </row>
    <row r="642" spans="1:10">
      <c r="A642" s="2410"/>
      <c r="B642" s="2403"/>
      <c r="C642" s="2403"/>
      <c r="D642" s="2410"/>
      <c r="E642" s="2410"/>
      <c r="F642" s="2398"/>
      <c r="G642" s="2398"/>
      <c r="H642" s="2398"/>
      <c r="I642" s="2398"/>
      <c r="J642" s="2436" t="s">
        <v>254</v>
      </c>
    </row>
    <row r="643" spans="1:10">
      <c r="A643" s="2410"/>
      <c r="B643" s="2403"/>
      <c r="C643" s="2403"/>
      <c r="D643" s="2410"/>
      <c r="E643" s="2410"/>
      <c r="F643" s="2398"/>
      <c r="G643" s="2398"/>
      <c r="H643" s="2398"/>
      <c r="I643" s="2398"/>
      <c r="J643" s="2436" t="s">
        <v>254</v>
      </c>
    </row>
    <row r="644" spans="1:10">
      <c r="A644" s="2400" t="s">
        <v>385</v>
      </c>
      <c r="B644" s="2369">
        <f>ROUND(SUM(B634:B643),2)</f>
        <v>0</v>
      </c>
      <c r="C644" s="2369">
        <f>ROUND(SUM(C634:C643),2)</f>
        <v>0</v>
      </c>
      <c r="D644" s="2369"/>
      <c r="E644" s="2369"/>
      <c r="F644" s="2398"/>
      <c r="G644" s="2398"/>
      <c r="H644" s="2398"/>
      <c r="I644" s="2398"/>
      <c r="J644" s="2436" t="s">
        <v>933</v>
      </c>
    </row>
    <row r="645" spans="1:10">
      <c r="A645" s="2454"/>
      <c r="B645" s="2444"/>
      <c r="C645" s="2444"/>
      <c r="D645" s="2444"/>
      <c r="E645" s="2444"/>
      <c r="F645" s="2444"/>
      <c r="G645" s="2417"/>
      <c r="H645" s="2417"/>
      <c r="I645" s="2417"/>
      <c r="J645" s="2396"/>
    </row>
    <row r="646" spans="1:10">
      <c r="A646" s="2454"/>
      <c r="B646" s="2444"/>
      <c r="C646" s="2444"/>
      <c r="D646" s="2444"/>
      <c r="E646" s="2444"/>
      <c r="F646" s="2444"/>
      <c r="G646" s="2417"/>
      <c r="H646" s="2417"/>
      <c r="I646" s="2417"/>
      <c r="J646" s="2396"/>
    </row>
    <row r="647" spans="1:10">
      <c r="A647" s="2443" t="s">
        <v>934</v>
      </c>
      <c r="B647" s="2444"/>
      <c r="C647" s="2444"/>
      <c r="D647" s="2444"/>
      <c r="E647" s="2444"/>
      <c r="F647" s="2444"/>
      <c r="G647" s="2417"/>
      <c r="H647" s="2417"/>
      <c r="I647" s="2417"/>
      <c r="J647" s="2396"/>
    </row>
    <row r="648" spans="1:10">
      <c r="A648" s="2400" t="s">
        <v>373</v>
      </c>
      <c r="B648" s="2400" t="s">
        <v>316</v>
      </c>
      <c r="C648" s="2400" t="s">
        <v>317</v>
      </c>
      <c r="D648" s="2444"/>
      <c r="E648" s="2444"/>
      <c r="F648" s="2444"/>
      <c r="G648" s="2417"/>
      <c r="H648" s="2417"/>
      <c r="I648" s="2417"/>
      <c r="J648" s="2396"/>
    </row>
    <row r="649" spans="1:10">
      <c r="A649" s="2447" t="s">
        <v>935</v>
      </c>
      <c r="B649" s="2401"/>
      <c r="C649" s="2401"/>
      <c r="D649" s="2444"/>
      <c r="E649" s="2444"/>
      <c r="F649" s="2444"/>
      <c r="G649" s="2444"/>
      <c r="H649" s="2444"/>
      <c r="I649" s="2444"/>
      <c r="J649" s="2396"/>
    </row>
    <row r="650" spans="1:10">
      <c r="A650" s="2410"/>
      <c r="B650" s="2403"/>
      <c r="C650" s="2403"/>
      <c r="D650" s="2444"/>
      <c r="E650" s="2444"/>
      <c r="F650" s="2444"/>
      <c r="G650" s="2444"/>
      <c r="H650" s="2444"/>
      <c r="I650" s="2444"/>
      <c r="J650" s="2436" t="s">
        <v>252</v>
      </c>
    </row>
    <row r="651" spans="1:10">
      <c r="A651" s="2410"/>
      <c r="B651" s="2403"/>
      <c r="C651" s="2403"/>
      <c r="D651" s="2444"/>
      <c r="E651" s="2444"/>
      <c r="F651" s="2444"/>
      <c r="G651" s="2444"/>
      <c r="H651" s="2444"/>
      <c r="I651" s="2444"/>
      <c r="J651" s="2436" t="s">
        <v>252</v>
      </c>
    </row>
    <row r="652" spans="1:10">
      <c r="A652" s="2410"/>
      <c r="B652" s="2403"/>
      <c r="C652" s="2403"/>
      <c r="D652" s="2444"/>
      <c r="E652" s="2444"/>
      <c r="F652" s="2444"/>
      <c r="G652" s="2444"/>
      <c r="H652" s="2444"/>
      <c r="I652" s="2444"/>
      <c r="J652" s="2436" t="s">
        <v>252</v>
      </c>
    </row>
    <row r="653" spans="1:10">
      <c r="A653" s="2410"/>
      <c r="B653" s="2403"/>
      <c r="C653" s="2403"/>
      <c r="D653" s="2444"/>
      <c r="E653" s="2444"/>
      <c r="F653" s="2444"/>
      <c r="G653" s="2444"/>
      <c r="H653" s="2444"/>
      <c r="I653" s="2444"/>
      <c r="J653" s="2436" t="s">
        <v>252</v>
      </c>
    </row>
    <row r="654" spans="1:10">
      <c r="A654" s="2410"/>
      <c r="B654" s="2403"/>
      <c r="C654" s="2403"/>
      <c r="D654" s="2444"/>
      <c r="E654" s="2444"/>
      <c r="F654" s="2444"/>
      <c r="G654" s="2444"/>
      <c r="H654" s="2444"/>
      <c r="I654" s="2444"/>
      <c r="J654" s="2436" t="s">
        <v>252</v>
      </c>
    </row>
    <row r="655" spans="1:10">
      <c r="A655" s="2410"/>
      <c r="B655" s="2403"/>
      <c r="C655" s="2403"/>
      <c r="D655" s="2444"/>
      <c r="E655" s="2444"/>
      <c r="F655" s="2444"/>
      <c r="G655" s="2444"/>
      <c r="H655" s="2444"/>
      <c r="I655" s="2444"/>
      <c r="J655" s="2436" t="s">
        <v>252</v>
      </c>
    </row>
    <row r="656" spans="1:10">
      <c r="A656" s="2410"/>
      <c r="B656" s="2403"/>
      <c r="C656" s="2403"/>
      <c r="D656" s="2444"/>
      <c r="E656" s="2444"/>
      <c r="F656" s="2444"/>
      <c r="G656" s="2444"/>
      <c r="H656" s="2444"/>
      <c r="I656" s="2444"/>
      <c r="J656" s="2436" t="s">
        <v>252</v>
      </c>
    </row>
    <row r="657" spans="1:10">
      <c r="A657" s="2410"/>
      <c r="B657" s="2403"/>
      <c r="C657" s="2403"/>
      <c r="D657" s="2444"/>
      <c r="E657" s="2444"/>
      <c r="F657" s="2444"/>
      <c r="G657" s="2444"/>
      <c r="H657" s="2444"/>
      <c r="I657" s="2444"/>
      <c r="J657" s="2436" t="s">
        <v>252</v>
      </c>
    </row>
    <row r="658" spans="1:10">
      <c r="A658" s="2410"/>
      <c r="B658" s="2403"/>
      <c r="C658" s="2403"/>
      <c r="D658" s="2444"/>
      <c r="E658" s="2444"/>
      <c r="F658" s="2444"/>
      <c r="G658" s="2444"/>
      <c r="H658" s="2444"/>
      <c r="I658" s="2444"/>
      <c r="J658" s="2436" t="s">
        <v>252</v>
      </c>
    </row>
    <row r="659" spans="1:10">
      <c r="A659" s="2410"/>
      <c r="B659" s="2403"/>
      <c r="C659" s="2403"/>
      <c r="D659" s="2444"/>
      <c r="E659" s="2444"/>
      <c r="F659" s="2444"/>
      <c r="G659" s="2444"/>
      <c r="H659" s="2444"/>
      <c r="I659" s="2444"/>
      <c r="J659" s="2436" t="s">
        <v>252</v>
      </c>
    </row>
    <row r="660" spans="1:10">
      <c r="A660" s="2400" t="s">
        <v>385</v>
      </c>
      <c r="B660" s="2369">
        <f>ROUND(SUM(B650:B659),2)</f>
        <v>0</v>
      </c>
      <c r="C660" s="2369">
        <f>ROUND(SUM(C650:C659),2)</f>
        <v>0</v>
      </c>
      <c r="D660" s="2444"/>
      <c r="E660" s="2444"/>
      <c r="F660" s="2444"/>
      <c r="G660" s="2444"/>
      <c r="H660" s="2444"/>
      <c r="I660" s="2444"/>
      <c r="J660" s="2436" t="s">
        <v>936</v>
      </c>
    </row>
    <row r="661" spans="1:10">
      <c r="A661" s="2400"/>
      <c r="B661" s="2401"/>
      <c r="C661" s="2401"/>
      <c r="D661" s="2444"/>
      <c r="E661" s="2444"/>
      <c r="F661" s="2444"/>
      <c r="G661" s="2444"/>
      <c r="H661" s="2444"/>
      <c r="I661" s="2444"/>
      <c r="J661" s="2396"/>
    </row>
    <row r="662" spans="1:10">
      <c r="A662" s="2447" t="s">
        <v>937</v>
      </c>
      <c r="B662" s="2401"/>
      <c r="C662" s="2401"/>
      <c r="D662" s="2444"/>
      <c r="E662" s="2444"/>
      <c r="F662" s="2444"/>
      <c r="G662" s="2444"/>
      <c r="H662" s="2444"/>
      <c r="I662" s="2444"/>
      <c r="J662" s="2396"/>
    </row>
    <row r="663" spans="1:10">
      <c r="A663" s="2410"/>
      <c r="B663" s="2403"/>
      <c r="C663" s="2403"/>
      <c r="D663" s="2444"/>
      <c r="E663" s="2444"/>
      <c r="F663" s="2444"/>
      <c r="G663" s="2444"/>
      <c r="H663" s="2444"/>
      <c r="I663" s="2444"/>
      <c r="J663" s="2436" t="s">
        <v>237</v>
      </c>
    </row>
    <row r="664" spans="1:10">
      <c r="A664" s="2410"/>
      <c r="B664" s="2403"/>
      <c r="C664" s="2403"/>
      <c r="D664" s="2444"/>
      <c r="E664" s="2444"/>
      <c r="F664" s="2444"/>
      <c r="G664" s="2444"/>
      <c r="H664" s="2444"/>
      <c r="I664" s="2444"/>
      <c r="J664" s="2436" t="s">
        <v>237</v>
      </c>
    </row>
    <row r="665" spans="1:10">
      <c r="A665" s="2410"/>
      <c r="B665" s="2403"/>
      <c r="C665" s="2403"/>
      <c r="D665" s="2444"/>
      <c r="E665" s="2444"/>
      <c r="F665" s="2444"/>
      <c r="G665" s="2444"/>
      <c r="H665" s="2444"/>
      <c r="I665" s="2444"/>
      <c r="J665" s="2436" t="s">
        <v>237</v>
      </c>
    </row>
    <row r="666" spans="1:10">
      <c r="A666" s="2410"/>
      <c r="B666" s="2403"/>
      <c r="C666" s="2403"/>
      <c r="D666" s="2444"/>
      <c r="E666" s="2444"/>
      <c r="F666" s="2444"/>
      <c r="G666" s="2444"/>
      <c r="H666" s="2444"/>
      <c r="I666" s="2444"/>
      <c r="J666" s="2436" t="s">
        <v>237</v>
      </c>
    </row>
    <row r="667" spans="1:10">
      <c r="A667" s="2410"/>
      <c r="B667" s="2403"/>
      <c r="C667" s="2403"/>
      <c r="D667" s="2444"/>
      <c r="E667" s="2444"/>
      <c r="F667" s="2444"/>
      <c r="G667" s="2444"/>
      <c r="H667" s="2444"/>
      <c r="I667" s="2444"/>
      <c r="J667" s="2436" t="s">
        <v>237</v>
      </c>
    </row>
    <row r="668" spans="1:10">
      <c r="A668" s="2410"/>
      <c r="B668" s="2403"/>
      <c r="C668" s="2403"/>
      <c r="D668" s="2444"/>
      <c r="E668" s="2444"/>
      <c r="F668" s="2444"/>
      <c r="G668" s="2444"/>
      <c r="H668" s="2444"/>
      <c r="I668" s="2444"/>
      <c r="J668" s="2436" t="s">
        <v>237</v>
      </c>
    </row>
    <row r="669" spans="1:10">
      <c r="A669" s="2410"/>
      <c r="B669" s="2403"/>
      <c r="C669" s="2403"/>
      <c r="D669" s="2444"/>
      <c r="E669" s="2444"/>
      <c r="F669" s="2444"/>
      <c r="G669" s="2444"/>
      <c r="H669" s="2444"/>
      <c r="I669" s="2444"/>
      <c r="J669" s="2436" t="s">
        <v>237</v>
      </c>
    </row>
    <row r="670" spans="1:10">
      <c r="A670" s="2410"/>
      <c r="B670" s="2403"/>
      <c r="C670" s="2403"/>
      <c r="D670" s="2444"/>
      <c r="E670" s="2444"/>
      <c r="F670" s="2444"/>
      <c r="G670" s="2444"/>
      <c r="H670" s="2444"/>
      <c r="I670" s="2444"/>
      <c r="J670" s="2436" t="s">
        <v>237</v>
      </c>
    </row>
    <row r="671" spans="1:10">
      <c r="A671" s="2410"/>
      <c r="B671" s="2403"/>
      <c r="C671" s="2403"/>
      <c r="D671" s="2444"/>
      <c r="E671" s="2444"/>
      <c r="F671" s="2444"/>
      <c r="G671" s="2444"/>
      <c r="H671" s="2444"/>
      <c r="I671" s="2444"/>
      <c r="J671" s="2436" t="s">
        <v>237</v>
      </c>
    </row>
    <row r="672" spans="1:10">
      <c r="A672" s="2410"/>
      <c r="B672" s="2403"/>
      <c r="C672" s="2403"/>
      <c r="D672" s="2444"/>
      <c r="E672" s="2444"/>
      <c r="F672" s="2444"/>
      <c r="G672" s="2444"/>
      <c r="H672" s="2444"/>
      <c r="I672" s="2444"/>
      <c r="J672" s="2436" t="s">
        <v>237</v>
      </c>
    </row>
    <row r="673" spans="1:10">
      <c r="A673" s="2400" t="s">
        <v>385</v>
      </c>
      <c r="B673" s="2369">
        <f>ROUND(SUM(B663:B672),2)</f>
        <v>0</v>
      </c>
      <c r="C673" s="2369">
        <f>ROUND(SUM(C663:C672),2)</f>
        <v>0</v>
      </c>
      <c r="D673" s="2444"/>
      <c r="E673" s="2444"/>
      <c r="F673" s="2444"/>
      <c r="G673" s="2444"/>
      <c r="H673" s="2444"/>
      <c r="I673" s="2444"/>
      <c r="J673" s="2436" t="s">
        <v>938</v>
      </c>
    </row>
    <row r="674" spans="1:10">
      <c r="A674" s="2462"/>
      <c r="B674" s="2444"/>
      <c r="C674" s="2444"/>
      <c r="D674" s="2444"/>
      <c r="E674" s="2444"/>
      <c r="F674" s="2444"/>
      <c r="G674" s="2444"/>
      <c r="H674" s="2444"/>
      <c r="I674" s="2444"/>
      <c r="J674" s="2396"/>
    </row>
    <row r="675" spans="1:10">
      <c r="A675" s="2462"/>
      <c r="B675" s="2444"/>
      <c r="C675" s="2444"/>
      <c r="D675" s="2444"/>
      <c r="E675" s="2444"/>
      <c r="F675" s="2444"/>
      <c r="G675" s="2444"/>
      <c r="H675" s="2444"/>
      <c r="I675" s="2444"/>
      <c r="J675" s="2396"/>
    </row>
    <row r="676" spans="1:10">
      <c r="A676" s="2452" t="s">
        <v>939</v>
      </c>
      <c r="B676" s="2444"/>
      <c r="C676" s="2444"/>
      <c r="D676" s="2444"/>
      <c r="E676" s="2444"/>
      <c r="F676" s="2444"/>
      <c r="G676" s="2444"/>
      <c r="H676" s="2444"/>
      <c r="I676" s="2444"/>
      <c r="J676" s="2396"/>
    </row>
    <row r="677" spans="1:10">
      <c r="A677" s="2400" t="s">
        <v>373</v>
      </c>
      <c r="B677" s="2400" t="s">
        <v>317</v>
      </c>
      <c r="C677" s="2400" t="s">
        <v>608</v>
      </c>
      <c r="D677" s="2400" t="s">
        <v>583</v>
      </c>
      <c r="E677" s="2401"/>
      <c r="F677" s="2400" t="s">
        <v>316</v>
      </c>
      <c r="G677" s="2417"/>
      <c r="H677" s="2417"/>
      <c r="I677" s="2417"/>
      <c r="J677" s="2396"/>
    </row>
    <row r="678" spans="1:10">
      <c r="A678" s="2401"/>
      <c r="B678" s="2401"/>
      <c r="C678" s="2401"/>
      <c r="D678" s="2400" t="s">
        <v>612</v>
      </c>
      <c r="E678" s="2400" t="s">
        <v>613</v>
      </c>
      <c r="F678" s="2401"/>
      <c r="G678" s="2412"/>
      <c r="H678" s="2412"/>
      <c r="I678" s="2412"/>
      <c r="J678" s="2396"/>
    </row>
    <row r="679" spans="1:10">
      <c r="A679" s="2447" t="s">
        <v>940</v>
      </c>
      <c r="B679" s="2403"/>
      <c r="C679" s="2403"/>
      <c r="D679" s="2403"/>
      <c r="E679" s="2403"/>
      <c r="F679" s="2369">
        <f>ROUND(B679+C679-D679-E679,2)</f>
        <v>0</v>
      </c>
      <c r="G679" s="2418"/>
      <c r="H679" s="2418"/>
      <c r="I679" s="2418"/>
      <c r="J679" s="2453" t="s">
        <v>941</v>
      </c>
    </row>
    <row r="680" spans="1:10">
      <c r="A680" s="2447" t="s">
        <v>942</v>
      </c>
      <c r="B680" s="2403"/>
      <c r="C680" s="2403"/>
      <c r="D680" s="2403"/>
      <c r="E680" s="2403"/>
      <c r="F680" s="2369">
        <f t="shared" ref="F680:F693" si="33">ROUND(B680+C680-D680-E680,2)</f>
        <v>0</v>
      </c>
      <c r="G680" s="2418"/>
      <c r="H680" s="2418"/>
      <c r="I680" s="2418"/>
      <c r="J680" s="2453" t="s">
        <v>943</v>
      </c>
    </row>
    <row r="681" spans="1:10">
      <c r="A681" s="2447" t="s">
        <v>944</v>
      </c>
      <c r="B681" s="2403"/>
      <c r="C681" s="2403"/>
      <c r="D681" s="2403"/>
      <c r="E681" s="2403"/>
      <c r="F681" s="2369">
        <f t="shared" si="33"/>
        <v>0</v>
      </c>
      <c r="G681" s="2418"/>
      <c r="H681" s="2418"/>
      <c r="I681" s="2418"/>
      <c r="J681" s="2453" t="s">
        <v>945</v>
      </c>
    </row>
    <row r="682" spans="1:10">
      <c r="A682" s="2447" t="s">
        <v>946</v>
      </c>
      <c r="B682" s="2403"/>
      <c r="C682" s="2403"/>
      <c r="D682" s="2403"/>
      <c r="E682" s="2403"/>
      <c r="F682" s="2369">
        <f t="shared" si="33"/>
        <v>0</v>
      </c>
      <c r="G682" s="2418"/>
      <c r="H682" s="2418"/>
      <c r="I682" s="2418"/>
      <c r="J682" s="2453" t="s">
        <v>947</v>
      </c>
    </row>
    <row r="683" spans="1:10">
      <c r="A683" s="2447" t="s">
        <v>948</v>
      </c>
      <c r="B683" s="2403"/>
      <c r="C683" s="2403"/>
      <c r="D683" s="2403"/>
      <c r="E683" s="2403"/>
      <c r="F683" s="2369">
        <f t="shared" si="33"/>
        <v>0</v>
      </c>
      <c r="G683" s="2418"/>
      <c r="H683" s="2418"/>
      <c r="I683" s="2418"/>
      <c r="J683" s="2453" t="s">
        <v>949</v>
      </c>
    </row>
    <row r="684" spans="1:10">
      <c r="A684" s="2447" t="s">
        <v>950</v>
      </c>
      <c r="B684" s="2403"/>
      <c r="C684" s="2403"/>
      <c r="D684" s="2403"/>
      <c r="E684" s="2403"/>
      <c r="F684" s="2369">
        <f t="shared" si="33"/>
        <v>0</v>
      </c>
      <c r="G684" s="2418"/>
      <c r="H684" s="2418"/>
      <c r="I684" s="2418"/>
      <c r="J684" s="2453" t="s">
        <v>951</v>
      </c>
    </row>
    <row r="685" spans="1:10">
      <c r="A685" s="2447" t="s">
        <v>952</v>
      </c>
      <c r="B685" s="2403"/>
      <c r="C685" s="2403"/>
      <c r="D685" s="2403"/>
      <c r="E685" s="2403"/>
      <c r="F685" s="2369">
        <f t="shared" si="33"/>
        <v>0</v>
      </c>
      <c r="G685" s="2418"/>
      <c r="H685" s="2418"/>
      <c r="I685" s="2418"/>
      <c r="J685" s="2453" t="s">
        <v>953</v>
      </c>
    </row>
    <row r="686" spans="1:10">
      <c r="A686" s="2447" t="s">
        <v>954</v>
      </c>
      <c r="B686" s="2403"/>
      <c r="C686" s="2403"/>
      <c r="D686" s="2403"/>
      <c r="E686" s="2403"/>
      <c r="F686" s="2369">
        <f t="shared" si="33"/>
        <v>0</v>
      </c>
      <c r="G686" s="2418"/>
      <c r="H686" s="2418"/>
      <c r="I686" s="2418"/>
      <c r="J686" s="2453" t="s">
        <v>955</v>
      </c>
    </row>
    <row r="687" spans="1:10">
      <c r="A687" s="2447" t="s">
        <v>956</v>
      </c>
      <c r="B687" s="2403"/>
      <c r="C687" s="2403"/>
      <c r="D687" s="2403"/>
      <c r="E687" s="2403"/>
      <c r="F687" s="2369">
        <f t="shared" si="33"/>
        <v>0</v>
      </c>
      <c r="G687" s="2418"/>
      <c r="H687" s="2418"/>
      <c r="I687" s="2418"/>
      <c r="J687" s="2453" t="s">
        <v>957</v>
      </c>
    </row>
    <row r="688" spans="1:10">
      <c r="A688" s="2447" t="s">
        <v>958</v>
      </c>
      <c r="B688" s="2403"/>
      <c r="C688" s="2403"/>
      <c r="D688" s="2403"/>
      <c r="E688" s="2403"/>
      <c r="F688" s="2369">
        <f t="shared" si="33"/>
        <v>0</v>
      </c>
      <c r="G688" s="2418"/>
      <c r="H688" s="2418"/>
      <c r="I688" s="2418"/>
      <c r="J688" s="2453" t="s">
        <v>959</v>
      </c>
    </row>
    <row r="689" spans="1:10">
      <c r="A689" s="2447" t="s">
        <v>960</v>
      </c>
      <c r="B689" s="2403"/>
      <c r="C689" s="2403"/>
      <c r="D689" s="2403"/>
      <c r="E689" s="2403"/>
      <c r="F689" s="2369">
        <f t="shared" si="33"/>
        <v>0</v>
      </c>
      <c r="G689" s="2418"/>
      <c r="H689" s="2418"/>
      <c r="I689" s="2418"/>
      <c r="J689" s="2453" t="s">
        <v>961</v>
      </c>
    </row>
    <row r="690" spans="1:10">
      <c r="A690" s="2447" t="s">
        <v>962</v>
      </c>
      <c r="B690" s="2403"/>
      <c r="C690" s="2403"/>
      <c r="D690" s="2403"/>
      <c r="E690" s="2403"/>
      <c r="F690" s="2369">
        <f t="shared" si="33"/>
        <v>0</v>
      </c>
      <c r="G690" s="2418"/>
      <c r="H690" s="2418"/>
      <c r="I690" s="2418"/>
      <c r="J690" s="2453" t="s">
        <v>963</v>
      </c>
    </row>
    <row r="691" spans="1:10">
      <c r="A691" s="2447" t="s">
        <v>964</v>
      </c>
      <c r="B691" s="2403"/>
      <c r="C691" s="2403"/>
      <c r="D691" s="2403"/>
      <c r="E691" s="2403"/>
      <c r="F691" s="2369">
        <f t="shared" si="33"/>
        <v>0</v>
      </c>
      <c r="G691" s="2418"/>
      <c r="H691" s="2418"/>
      <c r="I691" s="2418"/>
      <c r="J691" s="2453" t="s">
        <v>965</v>
      </c>
    </row>
    <row r="692" spans="1:10">
      <c r="A692" s="2447" t="s">
        <v>966</v>
      </c>
      <c r="B692" s="2403"/>
      <c r="C692" s="2403"/>
      <c r="D692" s="2403"/>
      <c r="E692" s="2403"/>
      <c r="F692" s="2369">
        <f t="shared" si="33"/>
        <v>0</v>
      </c>
      <c r="G692" s="2418"/>
      <c r="H692" s="2418"/>
      <c r="I692" s="2418"/>
      <c r="J692" s="2453" t="s">
        <v>967</v>
      </c>
    </row>
    <row r="693" spans="1:10">
      <c r="A693" s="2447" t="s">
        <v>968</v>
      </c>
      <c r="B693" s="2403"/>
      <c r="C693" s="2403"/>
      <c r="D693" s="2403"/>
      <c r="E693" s="2403"/>
      <c r="F693" s="2369">
        <f t="shared" si="33"/>
        <v>0</v>
      </c>
      <c r="G693" s="2418"/>
      <c r="H693" s="2418"/>
      <c r="I693" s="2418"/>
      <c r="J693" s="2453" t="s">
        <v>969</v>
      </c>
    </row>
    <row r="694" spans="1:10">
      <c r="A694" s="2400" t="s">
        <v>385</v>
      </c>
      <c r="B694" s="2369">
        <f>ROUND(SUM(B679:B693),2)</f>
        <v>0</v>
      </c>
      <c r="C694" s="2369">
        <f>ROUND(SUM(C679:C693),2)</f>
        <v>0</v>
      </c>
      <c r="D694" s="2369">
        <f>ROUND(SUM(D679:D693),2)</f>
        <v>0</v>
      </c>
      <c r="E694" s="2369">
        <f>ROUND(SUM(E679:E693),2)</f>
        <v>0</v>
      </c>
      <c r="F694" s="2369">
        <f>ROUND(SUM(F679:F693),2)</f>
        <v>0</v>
      </c>
      <c r="G694" s="2418"/>
      <c r="H694" s="2418"/>
      <c r="I694" s="2418"/>
      <c r="J694" s="2453" t="s">
        <v>970</v>
      </c>
    </row>
    <row r="695" spans="1:10">
      <c r="A695" s="2454"/>
      <c r="B695" s="2444"/>
      <c r="C695" s="2444"/>
      <c r="D695" s="2444"/>
      <c r="E695" s="2444"/>
      <c r="F695" s="2444"/>
      <c r="G695" s="2444"/>
      <c r="H695" s="2444"/>
      <c r="I695" s="2444"/>
      <c r="J695" s="2396"/>
    </row>
    <row r="696" spans="1:10">
      <c r="A696" s="2454"/>
      <c r="B696" s="2444"/>
      <c r="C696" s="2444"/>
      <c r="D696" s="2444"/>
      <c r="E696" s="2444"/>
      <c r="F696" s="2444"/>
      <c r="G696" s="2444"/>
      <c r="H696" s="2444"/>
      <c r="I696" s="2444"/>
      <c r="J696" s="2396"/>
    </row>
    <row r="697" spans="1:10">
      <c r="A697" s="2443" t="s">
        <v>971</v>
      </c>
      <c r="B697" s="2444"/>
      <c r="C697" s="2444"/>
      <c r="D697" s="2444"/>
      <c r="E697" s="2444"/>
      <c r="F697" s="2444"/>
      <c r="G697" s="2444"/>
      <c r="H697" s="2444"/>
      <c r="I697" s="2444"/>
      <c r="J697" s="2396"/>
    </row>
    <row r="698" spans="1:10">
      <c r="A698" s="2400" t="s">
        <v>972</v>
      </c>
      <c r="B698" s="2400" t="s">
        <v>628</v>
      </c>
      <c r="C698" s="2400" t="s">
        <v>582</v>
      </c>
      <c r="D698" s="2400" t="s">
        <v>583</v>
      </c>
      <c r="E698" s="2400" t="s">
        <v>627</v>
      </c>
      <c r="F698" s="2400" t="s">
        <v>973</v>
      </c>
      <c r="G698" s="2444"/>
      <c r="H698" s="2444"/>
      <c r="I698" s="2444"/>
      <c r="J698" s="2396"/>
    </row>
    <row r="699" spans="1:10">
      <c r="A699" s="2447" t="s">
        <v>974</v>
      </c>
      <c r="B699" s="2401"/>
      <c r="C699" s="2401"/>
      <c r="D699" s="2401"/>
      <c r="E699" s="2401"/>
      <c r="F699" s="2401"/>
      <c r="G699" s="2444"/>
      <c r="H699" s="2444"/>
      <c r="I699" s="2444"/>
      <c r="J699" s="2396"/>
    </row>
    <row r="700" spans="1:10">
      <c r="A700" s="2410"/>
      <c r="B700" s="2403"/>
      <c r="C700" s="2403"/>
      <c r="D700" s="2403"/>
      <c r="E700" s="2369">
        <f>ROUND(B700+C700-D700,2)</f>
        <v>0</v>
      </c>
      <c r="F700" s="2410"/>
      <c r="G700" s="2444"/>
      <c r="H700" s="2444"/>
      <c r="I700" s="2444"/>
      <c r="J700" s="2436" t="s">
        <v>975</v>
      </c>
    </row>
    <row r="701" spans="1:10">
      <c r="A701" s="2410"/>
      <c r="B701" s="2403"/>
      <c r="C701" s="2403"/>
      <c r="D701" s="2403"/>
      <c r="E701" s="2369">
        <f t="shared" ref="E701:E709" si="34">ROUND(B701+C701-D701,2)</f>
        <v>0</v>
      </c>
      <c r="F701" s="2410"/>
      <c r="G701" s="2444"/>
      <c r="H701" s="2444"/>
      <c r="I701" s="2444"/>
      <c r="J701" s="2436" t="s">
        <v>975</v>
      </c>
    </row>
    <row r="702" spans="1:10">
      <c r="A702" s="2410"/>
      <c r="B702" s="2403"/>
      <c r="C702" s="2403"/>
      <c r="D702" s="2403"/>
      <c r="E702" s="2369">
        <f t="shared" si="34"/>
        <v>0</v>
      </c>
      <c r="F702" s="2410"/>
      <c r="G702" s="2444"/>
      <c r="H702" s="2444"/>
      <c r="I702" s="2444"/>
      <c r="J702" s="2436" t="s">
        <v>975</v>
      </c>
    </row>
    <row r="703" spans="1:10">
      <c r="A703" s="2410"/>
      <c r="B703" s="2403"/>
      <c r="C703" s="2403"/>
      <c r="D703" s="2403"/>
      <c r="E703" s="2369">
        <f t="shared" si="34"/>
        <v>0</v>
      </c>
      <c r="F703" s="2410"/>
      <c r="G703" s="2444"/>
      <c r="H703" s="2444"/>
      <c r="I703" s="2444"/>
      <c r="J703" s="2436" t="s">
        <v>975</v>
      </c>
    </row>
    <row r="704" spans="1:10">
      <c r="A704" s="2410"/>
      <c r="B704" s="2403"/>
      <c r="C704" s="2403"/>
      <c r="D704" s="2403"/>
      <c r="E704" s="2369">
        <f t="shared" si="34"/>
        <v>0</v>
      </c>
      <c r="F704" s="2410"/>
      <c r="G704" s="2444"/>
      <c r="H704" s="2444"/>
      <c r="I704" s="2444"/>
      <c r="J704" s="2436" t="s">
        <v>975</v>
      </c>
    </row>
    <row r="705" spans="1:10">
      <c r="A705" s="2410"/>
      <c r="B705" s="2403"/>
      <c r="C705" s="2403"/>
      <c r="D705" s="2403"/>
      <c r="E705" s="2369">
        <f t="shared" si="34"/>
        <v>0</v>
      </c>
      <c r="F705" s="2410"/>
      <c r="G705" s="2444"/>
      <c r="H705" s="2444"/>
      <c r="I705" s="2444"/>
      <c r="J705" s="2436" t="s">
        <v>975</v>
      </c>
    </row>
    <row r="706" spans="1:10">
      <c r="A706" s="2410"/>
      <c r="B706" s="2403"/>
      <c r="C706" s="2403"/>
      <c r="D706" s="2403"/>
      <c r="E706" s="2369">
        <f t="shared" si="34"/>
        <v>0</v>
      </c>
      <c r="F706" s="2410"/>
      <c r="G706" s="2444"/>
      <c r="H706" s="2444"/>
      <c r="I706" s="2444"/>
      <c r="J706" s="2436" t="s">
        <v>975</v>
      </c>
    </row>
    <row r="707" spans="1:10">
      <c r="A707" s="2410"/>
      <c r="B707" s="2403"/>
      <c r="C707" s="2403"/>
      <c r="D707" s="2403"/>
      <c r="E707" s="2369">
        <f t="shared" si="34"/>
        <v>0</v>
      </c>
      <c r="F707" s="2410"/>
      <c r="G707" s="2444"/>
      <c r="H707" s="2444"/>
      <c r="I707" s="2444"/>
      <c r="J707" s="2436" t="s">
        <v>975</v>
      </c>
    </row>
    <row r="708" spans="1:10">
      <c r="A708" s="2410"/>
      <c r="B708" s="2403"/>
      <c r="C708" s="2403"/>
      <c r="D708" s="2403"/>
      <c r="E708" s="2369">
        <f t="shared" si="34"/>
        <v>0</v>
      </c>
      <c r="F708" s="2410"/>
      <c r="G708" s="2444"/>
      <c r="H708" s="2444"/>
      <c r="I708" s="2444"/>
      <c r="J708" s="2436" t="s">
        <v>975</v>
      </c>
    </row>
    <row r="709" spans="1:10">
      <c r="A709" s="2410"/>
      <c r="B709" s="2403"/>
      <c r="C709" s="2403"/>
      <c r="D709" s="2403"/>
      <c r="E709" s="2369">
        <f t="shared" si="34"/>
        <v>0</v>
      </c>
      <c r="F709" s="2410"/>
      <c r="G709" s="2444"/>
      <c r="H709" s="2444"/>
      <c r="I709" s="2444"/>
      <c r="J709" s="2436" t="s">
        <v>975</v>
      </c>
    </row>
    <row r="710" spans="1:10">
      <c r="A710" s="2400" t="s">
        <v>677</v>
      </c>
      <c r="B710" s="2369">
        <f>ROUND(SUM(B700:B709),2)</f>
        <v>0</v>
      </c>
      <c r="C710" s="2369">
        <f>ROUND(SUM(C700:C709),2)</f>
        <v>0</v>
      </c>
      <c r="D710" s="2369">
        <f>ROUND(SUM(D700:D709),2)</f>
        <v>0</v>
      </c>
      <c r="E710" s="2369">
        <f>ROUND(SUM(E700:E709),2)</f>
        <v>0</v>
      </c>
      <c r="F710" s="2369"/>
      <c r="G710" s="2444"/>
      <c r="H710" s="2444"/>
      <c r="I710" s="2444"/>
      <c r="J710" s="2436" t="s">
        <v>976</v>
      </c>
    </row>
    <row r="711" spans="1:10">
      <c r="A711" s="2401"/>
      <c r="B711" s="2401"/>
      <c r="C711" s="2401"/>
      <c r="D711" s="2401"/>
      <c r="E711" s="2401"/>
      <c r="F711" s="2401"/>
      <c r="G711" s="2444"/>
      <c r="H711" s="2444"/>
      <c r="I711" s="2444"/>
      <c r="J711" s="2396"/>
    </row>
    <row r="712" spans="1:10">
      <c r="A712" s="2447" t="s">
        <v>977</v>
      </c>
      <c r="B712" s="2401"/>
      <c r="C712" s="2401"/>
      <c r="D712" s="2401"/>
      <c r="E712" s="2401"/>
      <c r="F712" s="2401"/>
      <c r="G712" s="2444"/>
      <c r="H712" s="2444"/>
      <c r="I712" s="2444"/>
      <c r="J712" s="2396"/>
    </row>
    <row r="713" spans="1:10">
      <c r="A713" s="2410"/>
      <c r="B713" s="2403"/>
      <c r="C713" s="2403"/>
      <c r="D713" s="2403"/>
      <c r="E713" s="2369">
        <f>ROUND(B713+C713-D713,2)</f>
        <v>0</v>
      </c>
      <c r="F713" s="2410"/>
      <c r="G713" s="2444"/>
      <c r="H713" s="2444"/>
      <c r="I713" s="2444"/>
      <c r="J713" s="2436" t="s">
        <v>978</v>
      </c>
    </row>
    <row r="714" spans="1:10">
      <c r="A714" s="2410"/>
      <c r="B714" s="2403"/>
      <c r="C714" s="2403"/>
      <c r="D714" s="2403"/>
      <c r="E714" s="2369">
        <f t="shared" ref="E714:E722" si="35">ROUND(B714+C714-D714,2)</f>
        <v>0</v>
      </c>
      <c r="F714" s="2410"/>
      <c r="G714" s="2444"/>
      <c r="H714" s="2444"/>
      <c r="I714" s="2444"/>
      <c r="J714" s="2436" t="s">
        <v>978</v>
      </c>
    </row>
    <row r="715" spans="1:10">
      <c r="A715" s="2410"/>
      <c r="B715" s="2403"/>
      <c r="C715" s="2403"/>
      <c r="D715" s="2403"/>
      <c r="E715" s="2369">
        <f t="shared" si="35"/>
        <v>0</v>
      </c>
      <c r="F715" s="2410"/>
      <c r="G715" s="2444"/>
      <c r="H715" s="2444"/>
      <c r="I715" s="2444"/>
      <c r="J715" s="2436" t="s">
        <v>978</v>
      </c>
    </row>
    <row r="716" spans="1:10">
      <c r="A716" s="2410"/>
      <c r="B716" s="2403"/>
      <c r="C716" s="2403"/>
      <c r="D716" s="2403"/>
      <c r="E716" s="2369">
        <f t="shared" si="35"/>
        <v>0</v>
      </c>
      <c r="F716" s="2410"/>
      <c r="G716" s="2444"/>
      <c r="H716" s="2444"/>
      <c r="I716" s="2444"/>
      <c r="J716" s="2436" t="s">
        <v>978</v>
      </c>
    </row>
    <row r="717" spans="1:10">
      <c r="A717" s="2410"/>
      <c r="B717" s="2403"/>
      <c r="C717" s="2403"/>
      <c r="D717" s="2403"/>
      <c r="E717" s="2369">
        <f t="shared" si="35"/>
        <v>0</v>
      </c>
      <c r="F717" s="2410"/>
      <c r="G717" s="2444"/>
      <c r="H717" s="2444"/>
      <c r="I717" s="2444"/>
      <c r="J717" s="2436" t="s">
        <v>978</v>
      </c>
    </row>
    <row r="718" spans="1:10">
      <c r="A718" s="2410"/>
      <c r="B718" s="2403"/>
      <c r="C718" s="2403"/>
      <c r="D718" s="2403"/>
      <c r="E718" s="2369">
        <f t="shared" si="35"/>
        <v>0</v>
      </c>
      <c r="F718" s="2410"/>
      <c r="G718" s="2444"/>
      <c r="H718" s="2444"/>
      <c r="I718" s="2444"/>
      <c r="J718" s="2436" t="s">
        <v>978</v>
      </c>
    </row>
    <row r="719" spans="1:10">
      <c r="A719" s="2410"/>
      <c r="B719" s="2403"/>
      <c r="C719" s="2403"/>
      <c r="D719" s="2403"/>
      <c r="E719" s="2369">
        <f t="shared" si="35"/>
        <v>0</v>
      </c>
      <c r="F719" s="2410"/>
      <c r="G719" s="2444"/>
      <c r="H719" s="2444"/>
      <c r="I719" s="2444"/>
      <c r="J719" s="2436" t="s">
        <v>978</v>
      </c>
    </row>
    <row r="720" spans="1:10">
      <c r="A720" s="2410"/>
      <c r="B720" s="2403"/>
      <c r="C720" s="2403"/>
      <c r="D720" s="2403"/>
      <c r="E720" s="2369">
        <f t="shared" si="35"/>
        <v>0</v>
      </c>
      <c r="F720" s="2410"/>
      <c r="G720" s="2444"/>
      <c r="H720" s="2444"/>
      <c r="I720" s="2444"/>
      <c r="J720" s="2436" t="s">
        <v>978</v>
      </c>
    </row>
    <row r="721" spans="1:10">
      <c r="A721" s="2410"/>
      <c r="B721" s="2403"/>
      <c r="C721" s="2403"/>
      <c r="D721" s="2403"/>
      <c r="E721" s="2369">
        <f t="shared" si="35"/>
        <v>0</v>
      </c>
      <c r="F721" s="2410"/>
      <c r="G721" s="2444"/>
      <c r="H721" s="2444"/>
      <c r="I721" s="2444"/>
      <c r="J721" s="2436" t="s">
        <v>978</v>
      </c>
    </row>
    <row r="722" spans="1:10">
      <c r="A722" s="2410"/>
      <c r="B722" s="2403"/>
      <c r="C722" s="2403"/>
      <c r="D722" s="2403"/>
      <c r="E722" s="2369">
        <f t="shared" si="35"/>
        <v>0</v>
      </c>
      <c r="F722" s="2410"/>
      <c r="G722" s="2444"/>
      <c r="H722" s="2444"/>
      <c r="I722" s="2444"/>
      <c r="J722" s="2436" t="s">
        <v>978</v>
      </c>
    </row>
    <row r="723" spans="1:10">
      <c r="A723" s="2400" t="s">
        <v>677</v>
      </c>
      <c r="B723" s="2369">
        <f>ROUND(SUM(B713:B722),2)</f>
        <v>0</v>
      </c>
      <c r="C723" s="2369">
        <f>ROUND(SUM(C713:C722),2)</f>
        <v>0</v>
      </c>
      <c r="D723" s="2369">
        <f>ROUND(SUM(D713:D722),2)</f>
        <v>0</v>
      </c>
      <c r="E723" s="2369">
        <f>ROUND(SUM(E713:E722),2)</f>
        <v>0</v>
      </c>
      <c r="F723" s="2369"/>
      <c r="G723" s="2444"/>
      <c r="H723" s="2444"/>
      <c r="I723" s="2444"/>
      <c r="J723" s="2436" t="s">
        <v>979</v>
      </c>
    </row>
    <row r="724" spans="1:10">
      <c r="A724" s="2400"/>
      <c r="B724" s="2369"/>
      <c r="C724" s="2369"/>
      <c r="D724" s="2369"/>
      <c r="E724" s="2369"/>
      <c r="F724" s="2401"/>
      <c r="G724" s="2444"/>
      <c r="H724" s="2444"/>
      <c r="I724" s="2444"/>
      <c r="J724" s="2396"/>
    </row>
    <row r="725" spans="1:10">
      <c r="A725" s="2400" t="s">
        <v>385</v>
      </c>
      <c r="B725" s="2369">
        <f>ROUND(B710+B723,2)</f>
        <v>0</v>
      </c>
      <c r="C725" s="2369">
        <f>ROUND(C710+C723,2)</f>
        <v>0</v>
      </c>
      <c r="D725" s="2369">
        <f>ROUND(D710+D723,2)</f>
        <v>0</v>
      </c>
      <c r="E725" s="2369">
        <f>ROUND(E710+E723,2)</f>
        <v>0</v>
      </c>
      <c r="F725" s="2401"/>
      <c r="G725" s="2444"/>
      <c r="H725" s="2444"/>
      <c r="I725" s="2444"/>
      <c r="J725" s="2436" t="s">
        <v>980</v>
      </c>
    </row>
    <row r="726" spans="1:10">
      <c r="A726" s="2444"/>
      <c r="B726" s="2444"/>
      <c r="C726" s="2444"/>
      <c r="D726" s="2444"/>
      <c r="E726" s="2444"/>
      <c r="F726" s="2444"/>
      <c r="G726" s="2444"/>
      <c r="H726" s="2444"/>
      <c r="I726" s="2444"/>
      <c r="J726" s="2453" t="s">
        <v>630</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4.25"/>
  <cols>
    <col min="1" max="1" width="37.75" customWidth="1"/>
    <col min="2" max="8" width="12.25" customWidth="1"/>
    <col min="9" max="9" width="35.75" hidden="1" customWidth="1"/>
  </cols>
  <sheetData>
    <row r="1" ht="25.5" spans="1:10">
      <c r="A1" s="2395" t="s">
        <v>981</v>
      </c>
      <c r="B1" s="2395"/>
      <c r="C1" s="2395"/>
      <c r="D1" s="2395"/>
      <c r="E1" s="2395"/>
      <c r="F1" s="2395"/>
      <c r="G1" s="2395"/>
      <c r="H1" s="2395"/>
      <c r="I1" s="2396"/>
      <c r="J1" s="2396"/>
    </row>
    <row r="2" spans="1:9">
      <c r="A2" s="2397" t="s">
        <v>982</v>
      </c>
      <c r="B2" s="2398"/>
      <c r="C2" s="2398"/>
      <c r="D2" s="2398"/>
      <c r="E2" s="2398"/>
      <c r="F2" s="2398"/>
      <c r="G2" s="2398"/>
      <c r="H2" s="2398"/>
      <c r="I2" s="2475"/>
    </row>
    <row r="3" spans="1:9">
      <c r="A3" s="2399" t="s">
        <v>314</v>
      </c>
      <c r="B3" s="2398"/>
      <c r="C3" s="2398"/>
      <c r="D3" s="2398"/>
      <c r="E3" s="2398"/>
      <c r="F3" s="2398"/>
      <c r="G3" s="2398"/>
      <c r="H3" s="2398"/>
      <c r="I3" s="2475"/>
    </row>
    <row r="4" spans="1:9">
      <c r="A4" s="2400" t="s">
        <v>373</v>
      </c>
      <c r="B4" s="2400" t="s">
        <v>316</v>
      </c>
      <c r="C4" s="2400" t="s">
        <v>317</v>
      </c>
      <c r="D4" s="2398"/>
      <c r="E4" s="2398"/>
      <c r="F4" s="2398"/>
      <c r="G4" s="2398"/>
      <c r="H4" s="2398"/>
      <c r="I4" s="2475"/>
    </row>
    <row r="5" spans="1:9">
      <c r="A5" s="2402" t="s">
        <v>983</v>
      </c>
      <c r="B5" s="2403"/>
      <c r="C5" s="2403"/>
      <c r="D5" s="2398"/>
      <c r="E5" s="2398"/>
      <c r="F5" s="2398"/>
      <c r="G5" s="2398"/>
      <c r="H5" s="2398"/>
      <c r="I5" s="2404" t="s">
        <v>984</v>
      </c>
    </row>
    <row r="6" spans="1:9">
      <c r="A6" s="2402" t="s">
        <v>985</v>
      </c>
      <c r="B6" s="2403"/>
      <c r="C6" s="2403"/>
      <c r="D6" s="2398"/>
      <c r="E6" s="2398"/>
      <c r="F6" s="2398"/>
      <c r="G6" s="2398"/>
      <c r="H6" s="2398"/>
      <c r="I6" s="2404" t="s">
        <v>986</v>
      </c>
    </row>
    <row r="7" spans="1:9">
      <c r="A7" s="2402" t="s">
        <v>987</v>
      </c>
      <c r="B7" s="2403"/>
      <c r="C7" s="2403"/>
      <c r="D7" s="2398"/>
      <c r="E7" s="2398"/>
      <c r="F7" s="2398"/>
      <c r="G7" s="2398"/>
      <c r="H7" s="2398"/>
      <c r="I7" s="2404" t="s">
        <v>988</v>
      </c>
    </row>
    <row r="8" spans="1:9">
      <c r="A8" s="2402" t="s">
        <v>989</v>
      </c>
      <c r="B8" s="2403"/>
      <c r="C8" s="2403"/>
      <c r="D8" s="2398"/>
      <c r="E8" s="2398"/>
      <c r="F8" s="2398"/>
      <c r="G8" s="2398"/>
      <c r="H8" s="2398"/>
      <c r="I8" s="2404" t="s">
        <v>990</v>
      </c>
    </row>
    <row r="9" spans="1:9">
      <c r="A9" s="2400" t="s">
        <v>385</v>
      </c>
      <c r="B9" s="2369">
        <f>ROUND(SUM(B5:B8),2)</f>
        <v>0</v>
      </c>
      <c r="C9" s="2369">
        <f>ROUND(SUM(C5:C8),2)</f>
        <v>0</v>
      </c>
      <c r="D9" s="2398"/>
      <c r="E9" s="2398"/>
      <c r="F9" s="2398"/>
      <c r="G9" s="2398"/>
      <c r="H9" s="2398"/>
      <c r="I9" s="2404" t="s">
        <v>991</v>
      </c>
    </row>
    <row r="10" spans="1:9">
      <c r="A10" s="2398"/>
      <c r="B10" s="2398"/>
      <c r="C10" s="2398"/>
      <c r="D10" s="2398"/>
      <c r="E10" s="2398"/>
      <c r="F10" s="2398"/>
      <c r="G10" s="2398"/>
      <c r="H10" s="2398"/>
      <c r="I10" s="2475"/>
    </row>
    <row r="11" spans="1:9">
      <c r="A11" s="2406" t="s">
        <v>992</v>
      </c>
      <c r="B11" s="2398"/>
      <c r="C11" s="2398"/>
      <c r="D11" s="2398"/>
      <c r="E11" s="2398"/>
      <c r="F11" s="2398"/>
      <c r="G11" s="2398"/>
      <c r="H11" s="2398"/>
      <c r="I11" s="2475"/>
    </row>
    <row r="12" spans="1:9">
      <c r="A12" s="2426" t="s">
        <v>993</v>
      </c>
      <c r="B12" s="2426" t="s">
        <v>994</v>
      </c>
      <c r="C12" s="2426" t="s">
        <v>995</v>
      </c>
      <c r="D12" s="2426" t="s">
        <v>996</v>
      </c>
      <c r="E12" s="2426" t="s">
        <v>997</v>
      </c>
      <c r="F12" s="2426" t="s">
        <v>998</v>
      </c>
      <c r="G12" s="2398"/>
      <c r="H12" s="2398"/>
      <c r="I12" s="2475"/>
    </row>
    <row r="13" spans="1:9">
      <c r="A13" s="2410"/>
      <c r="B13" s="2403"/>
      <c r="C13" s="2429"/>
      <c r="D13" s="2410"/>
      <c r="E13" s="2410"/>
      <c r="F13" s="2410"/>
      <c r="G13" s="2398"/>
      <c r="H13" s="2398"/>
      <c r="I13" s="2404" t="s">
        <v>999</v>
      </c>
    </row>
    <row r="14" spans="1:9">
      <c r="A14" s="2410"/>
      <c r="B14" s="2403"/>
      <c r="C14" s="2429"/>
      <c r="D14" s="2410"/>
      <c r="E14" s="2410"/>
      <c r="F14" s="2410"/>
      <c r="G14" s="2398"/>
      <c r="H14" s="2398"/>
      <c r="I14" s="2404" t="s">
        <v>999</v>
      </c>
    </row>
    <row r="15" spans="1:9">
      <c r="A15" s="2410"/>
      <c r="B15" s="2403"/>
      <c r="C15" s="2429"/>
      <c r="D15" s="2410"/>
      <c r="E15" s="2410"/>
      <c r="F15" s="2410"/>
      <c r="G15" s="2398"/>
      <c r="H15" s="2398"/>
      <c r="I15" s="2404" t="s">
        <v>999</v>
      </c>
    </row>
    <row r="16" spans="1:9">
      <c r="A16" s="2410"/>
      <c r="B16" s="2403"/>
      <c r="C16" s="2429"/>
      <c r="D16" s="2410"/>
      <c r="E16" s="2410"/>
      <c r="F16" s="2410"/>
      <c r="G16" s="2398"/>
      <c r="H16" s="2398"/>
      <c r="I16" s="2404" t="s">
        <v>999</v>
      </c>
    </row>
    <row r="17" spans="1:9">
      <c r="A17" s="2410"/>
      <c r="B17" s="2403"/>
      <c r="C17" s="2429"/>
      <c r="D17" s="2410"/>
      <c r="E17" s="2410"/>
      <c r="F17" s="2410"/>
      <c r="G17" s="2398"/>
      <c r="H17" s="2398"/>
      <c r="I17" s="2404" t="s">
        <v>999</v>
      </c>
    </row>
    <row r="18" spans="1:9">
      <c r="A18" s="2410"/>
      <c r="B18" s="2403"/>
      <c r="C18" s="2429"/>
      <c r="D18" s="2410"/>
      <c r="E18" s="2410"/>
      <c r="F18" s="2410"/>
      <c r="G18" s="2398"/>
      <c r="H18" s="2398"/>
      <c r="I18" s="2404" t="s">
        <v>999</v>
      </c>
    </row>
    <row r="19" spans="1:9">
      <c r="A19" s="2410"/>
      <c r="B19" s="2403"/>
      <c r="C19" s="2429"/>
      <c r="D19" s="2410"/>
      <c r="E19" s="2410"/>
      <c r="F19" s="2410"/>
      <c r="G19" s="2398"/>
      <c r="H19" s="2398"/>
      <c r="I19" s="2404" t="s">
        <v>999</v>
      </c>
    </row>
    <row r="20" spans="1:9">
      <c r="A20" s="2410"/>
      <c r="B20" s="2403"/>
      <c r="C20" s="2429"/>
      <c r="D20" s="2410"/>
      <c r="E20" s="2410"/>
      <c r="F20" s="2410"/>
      <c r="G20" s="2398"/>
      <c r="H20" s="2398"/>
      <c r="I20" s="2404" t="s">
        <v>999</v>
      </c>
    </row>
    <row r="21" spans="1:9">
      <c r="A21" s="2410"/>
      <c r="B21" s="2403"/>
      <c r="C21" s="2429"/>
      <c r="D21" s="2410"/>
      <c r="E21" s="2410"/>
      <c r="F21" s="2410"/>
      <c r="G21" s="2398"/>
      <c r="H21" s="2398"/>
      <c r="I21" s="2404" t="s">
        <v>999</v>
      </c>
    </row>
    <row r="22" spans="1:9">
      <c r="A22" s="2410"/>
      <c r="B22" s="2403"/>
      <c r="C22" s="2429"/>
      <c r="D22" s="2410"/>
      <c r="E22" s="2410"/>
      <c r="F22" s="2410"/>
      <c r="G22" s="2398"/>
      <c r="H22" s="2398"/>
      <c r="I22" s="2404" t="s">
        <v>999</v>
      </c>
    </row>
    <row r="23" spans="1:9">
      <c r="A23" s="2400" t="s">
        <v>385</v>
      </c>
      <c r="B23" s="2369">
        <f>ROUND(SUM(B13:B22),2)</f>
        <v>0</v>
      </c>
      <c r="C23" s="2369"/>
      <c r="D23" s="2369"/>
      <c r="E23" s="2369"/>
      <c r="F23" s="2369"/>
      <c r="G23" s="2398"/>
      <c r="H23" s="2398"/>
      <c r="I23" s="2404" t="s">
        <v>1000</v>
      </c>
    </row>
    <row r="24" spans="1:9">
      <c r="A24" s="2398"/>
      <c r="B24" s="2398"/>
      <c r="C24" s="2398"/>
      <c r="D24" s="2398"/>
      <c r="E24" s="2398"/>
      <c r="F24" s="2398"/>
      <c r="G24" s="2398"/>
      <c r="H24" s="2398"/>
      <c r="I24" s="2475"/>
    </row>
    <row r="25" spans="1:9">
      <c r="A25" s="2406" t="s">
        <v>1001</v>
      </c>
      <c r="B25" s="2398"/>
      <c r="C25" s="2398"/>
      <c r="D25" s="2398"/>
      <c r="E25" s="2398"/>
      <c r="F25" s="2398"/>
      <c r="G25" s="2398"/>
      <c r="H25" s="2398"/>
      <c r="I25" s="2475"/>
    </row>
    <row r="26" spans="1:9">
      <c r="A26" s="2426" t="s">
        <v>993</v>
      </c>
      <c r="B26" s="2426" t="s">
        <v>994</v>
      </c>
      <c r="C26" s="2426" t="s">
        <v>995</v>
      </c>
      <c r="D26" s="2426" t="s">
        <v>996</v>
      </c>
      <c r="E26" s="2426" t="s">
        <v>1002</v>
      </c>
      <c r="F26" s="2426" t="s">
        <v>1003</v>
      </c>
      <c r="G26" s="2398"/>
      <c r="H26" s="2398"/>
      <c r="I26" s="2475"/>
    </row>
    <row r="27" spans="1:9">
      <c r="A27" s="2410"/>
      <c r="B27" s="2403"/>
      <c r="C27" s="2429"/>
      <c r="D27" s="2410"/>
      <c r="E27" s="2410"/>
      <c r="F27" s="2431"/>
      <c r="G27" s="2398"/>
      <c r="H27" s="2398"/>
      <c r="I27" s="2404" t="s">
        <v>1004</v>
      </c>
    </row>
    <row r="28" spans="1:9">
      <c r="A28" s="2410"/>
      <c r="B28" s="2403"/>
      <c r="C28" s="2429"/>
      <c r="D28" s="2410"/>
      <c r="E28" s="2410"/>
      <c r="F28" s="2431"/>
      <c r="G28" s="2398"/>
      <c r="H28" s="2398"/>
      <c r="I28" s="2404" t="s">
        <v>1004</v>
      </c>
    </row>
    <row r="29" spans="1:9">
      <c r="A29" s="2410"/>
      <c r="B29" s="2403"/>
      <c r="C29" s="2429"/>
      <c r="D29" s="2410"/>
      <c r="E29" s="2410"/>
      <c r="F29" s="2431"/>
      <c r="G29" s="2398"/>
      <c r="H29" s="2398"/>
      <c r="I29" s="2404" t="s">
        <v>1004</v>
      </c>
    </row>
    <row r="30" spans="1:9">
      <c r="A30" s="2410"/>
      <c r="B30" s="2403"/>
      <c r="C30" s="2429"/>
      <c r="D30" s="2410"/>
      <c r="E30" s="2410"/>
      <c r="F30" s="2431"/>
      <c r="G30" s="2398"/>
      <c r="H30" s="2398"/>
      <c r="I30" s="2404" t="s">
        <v>1004</v>
      </c>
    </row>
    <row r="31" spans="1:9">
      <c r="A31" s="2410"/>
      <c r="B31" s="2403"/>
      <c r="C31" s="2429"/>
      <c r="D31" s="2410"/>
      <c r="E31" s="2410"/>
      <c r="F31" s="2431"/>
      <c r="G31" s="2398"/>
      <c r="H31" s="2398"/>
      <c r="I31" s="2404" t="s">
        <v>1004</v>
      </c>
    </row>
    <row r="32" spans="1:9">
      <c r="A32" s="2410"/>
      <c r="B32" s="2403"/>
      <c r="C32" s="2429"/>
      <c r="D32" s="2410"/>
      <c r="E32" s="2410"/>
      <c r="F32" s="2431"/>
      <c r="G32" s="2398"/>
      <c r="H32" s="2398"/>
      <c r="I32" s="2404" t="s">
        <v>1004</v>
      </c>
    </row>
    <row r="33" spans="1:9">
      <c r="A33" s="2410"/>
      <c r="B33" s="2403"/>
      <c r="C33" s="2429"/>
      <c r="D33" s="2410"/>
      <c r="E33" s="2410"/>
      <c r="F33" s="2431"/>
      <c r="G33" s="2398"/>
      <c r="H33" s="2398"/>
      <c r="I33" s="2404" t="s">
        <v>1004</v>
      </c>
    </row>
    <row r="34" spans="1:9">
      <c r="A34" s="2410"/>
      <c r="B34" s="2403"/>
      <c r="C34" s="2429"/>
      <c r="D34" s="2410"/>
      <c r="E34" s="2410"/>
      <c r="F34" s="2431"/>
      <c r="G34" s="2398"/>
      <c r="H34" s="2398"/>
      <c r="I34" s="2404" t="s">
        <v>1004</v>
      </c>
    </row>
    <row r="35" spans="1:9">
      <c r="A35" s="2410"/>
      <c r="B35" s="2403"/>
      <c r="C35" s="2429"/>
      <c r="D35" s="2410"/>
      <c r="E35" s="2410"/>
      <c r="F35" s="2431"/>
      <c r="G35" s="2398"/>
      <c r="H35" s="2398"/>
      <c r="I35" s="2404" t="s">
        <v>1004</v>
      </c>
    </row>
    <row r="36" spans="1:9">
      <c r="A36" s="2410"/>
      <c r="B36" s="2403"/>
      <c r="C36" s="2429"/>
      <c r="D36" s="2410"/>
      <c r="E36" s="2410"/>
      <c r="F36" s="2431"/>
      <c r="G36" s="2398"/>
      <c r="H36" s="2398"/>
      <c r="I36" s="2404" t="s">
        <v>1004</v>
      </c>
    </row>
    <row r="37" spans="1:9">
      <c r="A37" s="2400" t="s">
        <v>385</v>
      </c>
      <c r="B37" s="2369">
        <f>ROUND(SUM(B27:B36),2)</f>
        <v>0</v>
      </c>
      <c r="C37" s="2369"/>
      <c r="D37" s="2369"/>
      <c r="E37" s="2369"/>
      <c r="F37" s="2369"/>
      <c r="G37" s="2398"/>
      <c r="H37" s="2398"/>
      <c r="I37" s="2404" t="s">
        <v>1005</v>
      </c>
    </row>
    <row r="38" spans="1:9">
      <c r="A38" s="2398"/>
      <c r="B38" s="2398"/>
      <c r="C38" s="2398"/>
      <c r="D38" s="2398"/>
      <c r="E38" s="2398"/>
      <c r="F38" s="2398"/>
      <c r="G38" s="2398"/>
      <c r="H38" s="2398"/>
      <c r="I38" s="2475"/>
    </row>
    <row r="39" spans="1:9">
      <c r="A39" s="2398"/>
      <c r="B39" s="2398"/>
      <c r="C39" s="2398"/>
      <c r="D39" s="2398"/>
      <c r="E39" s="2398"/>
      <c r="F39" s="2398"/>
      <c r="G39" s="2398"/>
      <c r="H39" s="2398"/>
      <c r="I39" s="2475"/>
    </row>
    <row r="40" spans="1:9">
      <c r="A40" s="2397" t="s">
        <v>1006</v>
      </c>
      <c r="B40" s="2398"/>
      <c r="C40" s="2398"/>
      <c r="D40" s="2398"/>
      <c r="E40" s="2398"/>
      <c r="F40" s="2398"/>
      <c r="G40" s="2398"/>
      <c r="H40" s="2398"/>
      <c r="I40" s="2475"/>
    </row>
    <row r="41" spans="1:9">
      <c r="A41" s="2402" t="s">
        <v>373</v>
      </c>
      <c r="B41" s="2402" t="s">
        <v>374</v>
      </c>
      <c r="C41" s="2402" t="s">
        <v>375</v>
      </c>
      <c r="D41" s="2398"/>
      <c r="E41" s="2398"/>
      <c r="F41" s="2398"/>
      <c r="G41" s="2398"/>
      <c r="H41" s="2398"/>
      <c r="I41" s="2475"/>
    </row>
    <row r="42" spans="1:9">
      <c r="A42" s="2402" t="s">
        <v>1007</v>
      </c>
      <c r="B42" s="2403"/>
      <c r="C42" s="2403"/>
      <c r="D42" s="2398"/>
      <c r="E42" s="2398"/>
      <c r="F42" s="2398"/>
      <c r="G42" s="2398"/>
      <c r="H42" s="2398"/>
      <c r="I42" s="2404" t="s">
        <v>1008</v>
      </c>
    </row>
    <row r="43" spans="1:9">
      <c r="A43" s="2402" t="s">
        <v>1009</v>
      </c>
      <c r="B43" s="2403"/>
      <c r="C43" s="2403"/>
      <c r="D43" s="2398"/>
      <c r="E43" s="2398"/>
      <c r="F43" s="2398"/>
      <c r="G43" s="2398"/>
      <c r="H43" s="2398"/>
      <c r="I43" s="2404" t="s">
        <v>1010</v>
      </c>
    </row>
    <row r="44" spans="1:9">
      <c r="A44" s="2402" t="s">
        <v>1011</v>
      </c>
      <c r="B44" s="2403"/>
      <c r="C44" s="2403"/>
      <c r="D44" s="2398"/>
      <c r="E44" s="2398"/>
      <c r="F44" s="2398"/>
      <c r="G44" s="2398"/>
      <c r="H44" s="2398"/>
      <c r="I44" s="2404" t="s">
        <v>1012</v>
      </c>
    </row>
    <row r="45" spans="1:9">
      <c r="A45" s="2402" t="s">
        <v>280</v>
      </c>
      <c r="B45" s="2403"/>
      <c r="C45" s="2403"/>
      <c r="D45" s="2398"/>
      <c r="E45" s="2398"/>
      <c r="F45" s="2398"/>
      <c r="G45" s="2398"/>
      <c r="H45" s="2398"/>
      <c r="I45" s="2404" t="s">
        <v>1013</v>
      </c>
    </row>
    <row r="46" spans="1:9">
      <c r="A46" s="2402" t="s">
        <v>385</v>
      </c>
      <c r="B46" s="2369">
        <f>ROUND(SUM(B42:B45),2)</f>
        <v>0</v>
      </c>
      <c r="C46" s="2369">
        <f>ROUND(SUM(C42:C45),2)</f>
        <v>0</v>
      </c>
      <c r="D46" s="2398"/>
      <c r="E46" s="2398"/>
      <c r="F46" s="2398"/>
      <c r="G46" s="2398"/>
      <c r="H46" s="2398"/>
      <c r="I46" s="2404" t="s">
        <v>1014</v>
      </c>
    </row>
    <row r="47" spans="1:9">
      <c r="A47" s="2421"/>
      <c r="B47" s="2398"/>
      <c r="C47" s="2398"/>
      <c r="D47" s="2398"/>
      <c r="E47" s="2398"/>
      <c r="F47" s="2398"/>
      <c r="G47" s="2398"/>
      <c r="H47" s="2398"/>
      <c r="I47" s="2475"/>
    </row>
    <row r="48" spans="1:9">
      <c r="A48" s="2421"/>
      <c r="B48" s="2398"/>
      <c r="C48" s="2398"/>
      <c r="D48" s="2398"/>
      <c r="E48" s="2398"/>
      <c r="F48" s="2398"/>
      <c r="G48" s="2398"/>
      <c r="H48" s="2398"/>
      <c r="I48" s="2475"/>
    </row>
    <row r="49" spans="1:9">
      <c r="A49" s="2397" t="s">
        <v>1015</v>
      </c>
      <c r="B49" s="2398"/>
      <c r="C49" s="2398"/>
      <c r="D49" s="2398"/>
      <c r="E49" s="2398"/>
      <c r="F49" s="2398"/>
      <c r="G49" s="2398"/>
      <c r="H49" s="2398"/>
      <c r="I49" s="2475"/>
    </row>
    <row r="50" spans="1:9">
      <c r="A50" s="2399" t="s">
        <v>314</v>
      </c>
      <c r="B50" s="2398"/>
      <c r="C50" s="2398"/>
      <c r="D50" s="2398"/>
      <c r="E50" s="2398"/>
      <c r="F50" s="2398"/>
      <c r="G50" s="2398"/>
      <c r="H50" s="2398"/>
      <c r="I50" s="2475"/>
    </row>
    <row r="51" spans="1:9">
      <c r="A51" s="2401" t="s">
        <v>391</v>
      </c>
      <c r="B51" s="2400" t="s">
        <v>316</v>
      </c>
      <c r="C51" s="2400" t="s">
        <v>317</v>
      </c>
      <c r="D51" s="2400" t="s">
        <v>1016</v>
      </c>
      <c r="E51" s="2398"/>
      <c r="F51" s="2398"/>
      <c r="G51" s="2398"/>
      <c r="H51" s="2398"/>
      <c r="I51" s="2475"/>
    </row>
    <row r="52" spans="1:9">
      <c r="A52" s="2405" t="s">
        <v>392</v>
      </c>
      <c r="B52" s="2403"/>
      <c r="C52" s="2403"/>
      <c r="D52" s="2403"/>
      <c r="E52" s="2398"/>
      <c r="F52" s="2398"/>
      <c r="G52" s="2398"/>
      <c r="H52" s="2398"/>
      <c r="I52" s="2404" t="s">
        <v>1017</v>
      </c>
    </row>
    <row r="53" spans="1:9">
      <c r="A53" s="2405" t="s">
        <v>394</v>
      </c>
      <c r="B53" s="2403"/>
      <c r="C53" s="2403"/>
      <c r="D53" s="2403"/>
      <c r="E53" s="2398"/>
      <c r="F53" s="2398"/>
      <c r="G53" s="2398"/>
      <c r="H53" s="2398"/>
      <c r="I53" s="2404" t="s">
        <v>1018</v>
      </c>
    </row>
    <row r="54" spans="1:9">
      <c r="A54" s="2400" t="s">
        <v>385</v>
      </c>
      <c r="B54" s="2369">
        <f>ROUND(SUM(B52:B53),2)</f>
        <v>0</v>
      </c>
      <c r="C54" s="2369">
        <f>ROUND(SUM(C52:C53),2)</f>
        <v>0</v>
      </c>
      <c r="D54" s="2369">
        <f>ROUND(SUM(D52:D53),2)</f>
        <v>0</v>
      </c>
      <c r="E54" s="2398"/>
      <c r="F54" s="2398"/>
      <c r="G54" s="2398"/>
      <c r="H54" s="2398"/>
      <c r="I54" s="2404" t="s">
        <v>1019</v>
      </c>
    </row>
    <row r="55" spans="1:9">
      <c r="A55" s="2421"/>
      <c r="B55" s="2398"/>
      <c r="C55" s="2398"/>
      <c r="D55" s="2398"/>
      <c r="E55" s="2398"/>
      <c r="F55" s="2398"/>
      <c r="G55" s="2398"/>
      <c r="H55" s="2398"/>
      <c r="I55" s="2475"/>
    </row>
    <row r="56" spans="1:9">
      <c r="A56" s="2421"/>
      <c r="B56" s="2398"/>
      <c r="C56" s="2398"/>
      <c r="D56" s="2398"/>
      <c r="E56" s="2398"/>
      <c r="F56" s="2398"/>
      <c r="G56" s="2398"/>
      <c r="H56" s="2398"/>
      <c r="I56" s="2475"/>
    </row>
    <row r="57" spans="1:9">
      <c r="A57" s="2397" t="s">
        <v>1020</v>
      </c>
      <c r="B57" s="2398"/>
      <c r="C57" s="2398"/>
      <c r="D57" s="2398"/>
      <c r="E57" s="2398"/>
      <c r="F57" s="2398"/>
      <c r="G57" s="2398"/>
      <c r="H57" s="2398"/>
      <c r="I57" s="2475"/>
    </row>
    <row r="58" spans="1:9">
      <c r="A58" s="2399" t="s">
        <v>1021</v>
      </c>
      <c r="B58" s="2398"/>
      <c r="C58" s="2398"/>
      <c r="D58" s="2398"/>
      <c r="E58" s="2398"/>
      <c r="F58" s="2398"/>
      <c r="G58" s="2398"/>
      <c r="H58" s="2398"/>
      <c r="I58" s="2475"/>
    </row>
    <row r="59" spans="1:9">
      <c r="A59" s="2407" t="s">
        <v>443</v>
      </c>
      <c r="B59" s="2432" t="s">
        <v>316</v>
      </c>
      <c r="C59" s="2433"/>
      <c r="D59" s="2400" t="s">
        <v>317</v>
      </c>
      <c r="E59" s="2401"/>
      <c r="F59" s="2398"/>
      <c r="G59" s="2398"/>
      <c r="H59" s="2398"/>
      <c r="I59" s="2475"/>
    </row>
    <row r="60" spans="1:9">
      <c r="A60" s="2434"/>
      <c r="B60" s="2400" t="s">
        <v>444</v>
      </c>
      <c r="C60" s="2400" t="s">
        <v>445</v>
      </c>
      <c r="D60" s="2400" t="s">
        <v>444</v>
      </c>
      <c r="E60" s="2400" t="s">
        <v>445</v>
      </c>
      <c r="F60" s="2398"/>
      <c r="G60" s="2398"/>
      <c r="H60" s="2398"/>
      <c r="I60" s="2475"/>
    </row>
    <row r="61" spans="1:9">
      <c r="A61" s="2405" t="s">
        <v>448</v>
      </c>
      <c r="B61" s="2403"/>
      <c r="C61" s="2435">
        <f>IF(B61=0,0,1-C62-C63-C64)</f>
        <v>0</v>
      </c>
      <c r="D61" s="2403"/>
      <c r="E61" s="2435">
        <f>IF(D61=0,0,1-E62-E63-E64)</f>
        <v>0</v>
      </c>
      <c r="F61" s="2398"/>
      <c r="G61" s="2398"/>
      <c r="H61" s="2398"/>
      <c r="I61" s="2436" t="s">
        <v>1022</v>
      </c>
    </row>
    <row r="62" spans="1:9">
      <c r="A62" s="2405" t="s">
        <v>450</v>
      </c>
      <c r="B62" s="2403"/>
      <c r="C62" s="2435">
        <f>IF(B62=0,0,IF(B61=0,ROUND(1-C63-C64,4),ROUND(B62/B65,4)))</f>
        <v>0</v>
      </c>
      <c r="D62" s="2403"/>
      <c r="E62" s="2435">
        <f>IF(D62=0,0,IF(D61=0,ROUND(1-E63-E64,4),ROUND(D62/D65,4)))</f>
        <v>0</v>
      </c>
      <c r="F62" s="2398"/>
      <c r="G62" s="2398"/>
      <c r="H62" s="2398"/>
      <c r="I62" s="2436" t="s">
        <v>1023</v>
      </c>
    </row>
    <row r="63" spans="1:9">
      <c r="A63" s="2405" t="s">
        <v>452</v>
      </c>
      <c r="B63" s="2403"/>
      <c r="C63" s="2435">
        <f>IF(B63=0,0,IF(AND(B61=0,B62=0),ROUND(1-C64,4),ROUND(B63/B65,4)))</f>
        <v>0</v>
      </c>
      <c r="D63" s="2403"/>
      <c r="E63" s="2435">
        <f>IF(D63=0,0,IF(AND(D61=0,D62=0),ROUND(1-E64,4),ROUND(D63/D65,4)))</f>
        <v>0</v>
      </c>
      <c r="F63" s="2398"/>
      <c r="G63" s="2398"/>
      <c r="H63" s="2398"/>
      <c r="I63" s="2436" t="s">
        <v>1024</v>
      </c>
    </row>
    <row r="64" spans="1:9">
      <c r="A64" s="2405" t="s">
        <v>557</v>
      </c>
      <c r="B64" s="2403"/>
      <c r="C64" s="2435">
        <f>IF(B64=0,0,ROUND(B64/B65,4))</f>
        <v>0</v>
      </c>
      <c r="D64" s="2403"/>
      <c r="E64" s="2435">
        <f>IF(D64=0,0,ROUND(D64/D65,4))</f>
        <v>0</v>
      </c>
      <c r="F64" s="2398"/>
      <c r="G64" s="2398"/>
      <c r="H64" s="2398"/>
      <c r="I64" s="2436" t="s">
        <v>1025</v>
      </c>
    </row>
    <row r="65" spans="1:9">
      <c r="A65" s="2400" t="s">
        <v>385</v>
      </c>
      <c r="B65" s="2369">
        <f>ROUND(SUM(B61:B64),2)</f>
        <v>0</v>
      </c>
      <c r="C65" s="2411">
        <f>IF(B65=0,0,1)</f>
        <v>0</v>
      </c>
      <c r="D65" s="2369">
        <f>ROUND(SUM(D61:D64),2)</f>
        <v>0</v>
      </c>
      <c r="E65" s="2411">
        <f>IF(D65=0,0,1)</f>
        <v>0</v>
      </c>
      <c r="F65" s="2398"/>
      <c r="G65" s="2398"/>
      <c r="H65" s="2398"/>
      <c r="I65" s="2436" t="s">
        <v>1026</v>
      </c>
    </row>
    <row r="66" spans="1:9">
      <c r="A66" s="2421"/>
      <c r="B66" s="2398"/>
      <c r="C66" s="2398"/>
      <c r="D66" s="2398"/>
      <c r="E66" s="2398"/>
      <c r="F66" s="2398"/>
      <c r="G66" s="2398"/>
      <c r="H66" s="2398"/>
      <c r="I66" s="2475"/>
    </row>
    <row r="67" spans="1:9">
      <c r="A67" s="2399" t="s">
        <v>1027</v>
      </c>
      <c r="B67" s="2398"/>
      <c r="C67" s="2398"/>
      <c r="D67" s="2398"/>
      <c r="E67" s="2398"/>
      <c r="F67" s="2398"/>
      <c r="G67" s="2398"/>
      <c r="H67" s="2398"/>
      <c r="I67" s="2475"/>
    </row>
    <row r="68" spans="1:9">
      <c r="A68" s="2400" t="s">
        <v>373</v>
      </c>
      <c r="B68" s="2400" t="s">
        <v>316</v>
      </c>
      <c r="C68" s="2400" t="s">
        <v>496</v>
      </c>
      <c r="D68" s="2400" t="s">
        <v>1028</v>
      </c>
      <c r="E68" s="2398"/>
      <c r="F68" s="2398"/>
      <c r="G68" s="2398"/>
      <c r="H68" s="2398"/>
      <c r="I68" s="2475"/>
    </row>
    <row r="69" spans="1:9">
      <c r="A69" s="2410"/>
      <c r="B69" s="2403"/>
      <c r="C69" s="2410"/>
      <c r="D69" s="2410"/>
      <c r="E69" s="2398"/>
      <c r="F69" s="2398"/>
      <c r="G69" s="2398"/>
      <c r="H69" s="2398"/>
      <c r="I69" s="2436" t="s">
        <v>1029</v>
      </c>
    </row>
    <row r="70" spans="1:9">
      <c r="A70" s="2410"/>
      <c r="B70" s="2403"/>
      <c r="C70" s="2410"/>
      <c r="D70" s="2410"/>
      <c r="E70" s="2398"/>
      <c r="F70" s="2398"/>
      <c r="G70" s="2398"/>
      <c r="H70" s="2398"/>
      <c r="I70" s="2436" t="s">
        <v>1029</v>
      </c>
    </row>
    <row r="71" spans="1:9">
      <c r="A71" s="2410"/>
      <c r="B71" s="2403"/>
      <c r="C71" s="2410"/>
      <c r="D71" s="2410"/>
      <c r="E71" s="2398"/>
      <c r="F71" s="2398"/>
      <c r="G71" s="2398"/>
      <c r="H71" s="2398"/>
      <c r="I71" s="2436" t="s">
        <v>1029</v>
      </c>
    </row>
    <row r="72" spans="1:9">
      <c r="A72" s="2410"/>
      <c r="B72" s="2403"/>
      <c r="C72" s="2410"/>
      <c r="D72" s="2410"/>
      <c r="E72" s="2398"/>
      <c r="F72" s="2398"/>
      <c r="G72" s="2398"/>
      <c r="H72" s="2398"/>
      <c r="I72" s="2436" t="s">
        <v>1029</v>
      </c>
    </row>
    <row r="73" spans="1:9">
      <c r="A73" s="2410"/>
      <c r="B73" s="2403"/>
      <c r="C73" s="2410"/>
      <c r="D73" s="2410"/>
      <c r="E73" s="2398"/>
      <c r="F73" s="2398"/>
      <c r="G73" s="2398"/>
      <c r="H73" s="2398"/>
      <c r="I73" s="2436" t="s">
        <v>1029</v>
      </c>
    </row>
    <row r="74" spans="1:9">
      <c r="A74" s="2410"/>
      <c r="B74" s="2403"/>
      <c r="C74" s="2410"/>
      <c r="D74" s="2410"/>
      <c r="E74" s="2398"/>
      <c r="F74" s="2398"/>
      <c r="G74" s="2398"/>
      <c r="H74" s="2398"/>
      <c r="I74" s="2436" t="s">
        <v>1029</v>
      </c>
    </row>
    <row r="75" spans="1:9">
      <c r="A75" s="2410"/>
      <c r="B75" s="2403"/>
      <c r="C75" s="2410"/>
      <c r="D75" s="2410"/>
      <c r="E75" s="2398"/>
      <c r="F75" s="2398"/>
      <c r="G75" s="2398"/>
      <c r="H75" s="2398"/>
      <c r="I75" s="2436" t="s">
        <v>1029</v>
      </c>
    </row>
    <row r="76" spans="1:9">
      <c r="A76" s="2410"/>
      <c r="B76" s="2403"/>
      <c r="C76" s="2410"/>
      <c r="D76" s="2410"/>
      <c r="E76" s="2398"/>
      <c r="F76" s="2398"/>
      <c r="G76" s="2398"/>
      <c r="H76" s="2398"/>
      <c r="I76" s="2436" t="s">
        <v>1029</v>
      </c>
    </row>
    <row r="77" spans="1:9">
      <c r="A77" s="2410"/>
      <c r="B77" s="2403"/>
      <c r="C77" s="2410"/>
      <c r="D77" s="2410"/>
      <c r="E77" s="2398"/>
      <c r="F77" s="2398"/>
      <c r="G77" s="2398"/>
      <c r="H77" s="2398"/>
      <c r="I77" s="2436" t="s">
        <v>1029</v>
      </c>
    </row>
    <row r="78" spans="1:9">
      <c r="A78" s="2410"/>
      <c r="B78" s="2403"/>
      <c r="C78" s="2410"/>
      <c r="D78" s="2410"/>
      <c r="E78" s="2398"/>
      <c r="F78" s="2398"/>
      <c r="G78" s="2398"/>
      <c r="H78" s="2398"/>
      <c r="I78" s="2436" t="s">
        <v>1029</v>
      </c>
    </row>
    <row r="79" spans="1:9">
      <c r="A79" s="2400" t="s">
        <v>385</v>
      </c>
      <c r="B79" s="2369">
        <f>ROUND(SUM(B69:B78),2)</f>
        <v>0</v>
      </c>
      <c r="C79" s="2369"/>
      <c r="D79" s="2369"/>
      <c r="E79" s="2398"/>
      <c r="F79" s="2398"/>
      <c r="G79" s="2398"/>
      <c r="H79" s="2398"/>
      <c r="I79" s="2436" t="s">
        <v>1030</v>
      </c>
    </row>
    <row r="80" spans="1:9">
      <c r="A80" s="2421"/>
      <c r="B80" s="2398"/>
      <c r="C80" s="2398"/>
      <c r="D80" s="2398"/>
      <c r="E80" s="2398"/>
      <c r="F80" s="2398"/>
      <c r="G80" s="2398"/>
      <c r="H80" s="2398"/>
      <c r="I80" s="2475"/>
    </row>
    <row r="81" spans="1:9">
      <c r="A81" s="2414" t="s">
        <v>1031</v>
      </c>
      <c r="B81" s="2398"/>
      <c r="C81" s="2398"/>
      <c r="D81" s="2398"/>
      <c r="E81" s="2398"/>
      <c r="F81" s="2398"/>
      <c r="G81" s="2398"/>
      <c r="H81" s="2398"/>
      <c r="I81" s="2475"/>
    </row>
    <row r="82" spans="1:9">
      <c r="A82" s="2400" t="s">
        <v>495</v>
      </c>
      <c r="B82" s="2400" t="s">
        <v>316</v>
      </c>
      <c r="C82" s="2400" t="s">
        <v>317</v>
      </c>
      <c r="D82" s="2400" t="s">
        <v>496</v>
      </c>
      <c r="E82" s="2398"/>
      <c r="F82" s="2398"/>
      <c r="G82" s="2398"/>
      <c r="H82" s="2398"/>
      <c r="I82" s="2475"/>
    </row>
    <row r="83" spans="1:9">
      <c r="A83" s="2410"/>
      <c r="B83" s="2403"/>
      <c r="C83" s="2403"/>
      <c r="D83" s="2410"/>
      <c r="E83" s="2398"/>
      <c r="F83" s="2398"/>
      <c r="G83" s="2398"/>
      <c r="H83" s="2398"/>
      <c r="I83" s="2436" t="s">
        <v>1032</v>
      </c>
    </row>
    <row r="84" spans="1:9">
      <c r="A84" s="2410"/>
      <c r="B84" s="2403"/>
      <c r="C84" s="2403"/>
      <c r="D84" s="2410"/>
      <c r="E84" s="2398"/>
      <c r="F84" s="2398"/>
      <c r="G84" s="2398"/>
      <c r="H84" s="2398"/>
      <c r="I84" s="2436" t="s">
        <v>1032</v>
      </c>
    </row>
    <row r="85" spans="1:9">
      <c r="A85" s="2410"/>
      <c r="B85" s="2403"/>
      <c r="C85" s="2403"/>
      <c r="D85" s="2410"/>
      <c r="E85" s="2398"/>
      <c r="F85" s="2398"/>
      <c r="G85" s="2398"/>
      <c r="H85" s="2398"/>
      <c r="I85" s="2436" t="s">
        <v>1032</v>
      </c>
    </row>
    <row r="86" spans="1:9">
      <c r="A86" s="2410"/>
      <c r="B86" s="2403"/>
      <c r="C86" s="2403"/>
      <c r="D86" s="2410"/>
      <c r="E86" s="2398"/>
      <c r="F86" s="2398"/>
      <c r="G86" s="2398"/>
      <c r="H86" s="2398"/>
      <c r="I86" s="2436" t="s">
        <v>1032</v>
      </c>
    </row>
    <row r="87" spans="1:9">
      <c r="A87" s="2410"/>
      <c r="B87" s="2403"/>
      <c r="C87" s="2403"/>
      <c r="D87" s="2410"/>
      <c r="E87" s="2398"/>
      <c r="F87" s="2398"/>
      <c r="G87" s="2398"/>
      <c r="H87" s="2398"/>
      <c r="I87" s="2436" t="s">
        <v>1032</v>
      </c>
    </row>
    <row r="88" spans="1:9">
      <c r="A88" s="2410"/>
      <c r="B88" s="2403"/>
      <c r="C88" s="2403"/>
      <c r="D88" s="2410"/>
      <c r="E88" s="2398"/>
      <c r="F88" s="2398"/>
      <c r="G88" s="2398"/>
      <c r="H88" s="2398"/>
      <c r="I88" s="2436" t="s">
        <v>1032</v>
      </c>
    </row>
    <row r="89" spans="1:9">
      <c r="A89" s="2410"/>
      <c r="B89" s="2403"/>
      <c r="C89" s="2403"/>
      <c r="D89" s="2410"/>
      <c r="E89" s="2398"/>
      <c r="F89" s="2398"/>
      <c r="G89" s="2398"/>
      <c r="H89" s="2398"/>
      <c r="I89" s="2436" t="s">
        <v>1032</v>
      </c>
    </row>
    <row r="90" spans="1:9">
      <c r="A90" s="2410"/>
      <c r="B90" s="2403"/>
      <c r="C90" s="2403"/>
      <c r="D90" s="2410"/>
      <c r="E90" s="2398"/>
      <c r="F90" s="2398"/>
      <c r="G90" s="2398"/>
      <c r="H90" s="2398"/>
      <c r="I90" s="2436" t="s">
        <v>1032</v>
      </c>
    </row>
    <row r="91" spans="1:9">
      <c r="A91" s="2410"/>
      <c r="B91" s="2403"/>
      <c r="C91" s="2403"/>
      <c r="D91" s="2410"/>
      <c r="E91" s="2398"/>
      <c r="F91" s="2398"/>
      <c r="G91" s="2398"/>
      <c r="H91" s="2398"/>
      <c r="I91" s="2436" t="s">
        <v>1032</v>
      </c>
    </row>
    <row r="92" spans="1:9">
      <c r="A92" s="2410"/>
      <c r="B92" s="2403"/>
      <c r="C92" s="2403"/>
      <c r="D92" s="2410"/>
      <c r="E92" s="2398"/>
      <c r="F92" s="2398"/>
      <c r="G92" s="2398"/>
      <c r="H92" s="2398"/>
      <c r="I92" s="2436" t="s">
        <v>1032</v>
      </c>
    </row>
    <row r="93" spans="1:9">
      <c r="A93" s="2400" t="s">
        <v>385</v>
      </c>
      <c r="B93" s="2369">
        <f>ROUND(SUM(B83:B92),2)</f>
        <v>0</v>
      </c>
      <c r="C93" s="2369">
        <f>ROUND(SUM(C83:C92),2)</f>
        <v>0</v>
      </c>
      <c r="D93" s="2369"/>
      <c r="E93" s="2398"/>
      <c r="F93" s="2398"/>
      <c r="G93" s="2398"/>
      <c r="H93" s="2398"/>
      <c r="I93" s="2436" t="s">
        <v>1033</v>
      </c>
    </row>
    <row r="94" spans="1:9">
      <c r="A94" s="2421"/>
      <c r="B94" s="2398"/>
      <c r="C94" s="2398"/>
      <c r="D94" s="2398"/>
      <c r="E94" s="2398"/>
      <c r="F94" s="2398"/>
      <c r="G94" s="2398"/>
      <c r="H94" s="2398"/>
      <c r="I94" s="2475"/>
    </row>
    <row r="95" spans="1:9">
      <c r="A95" s="2399" t="s">
        <v>1034</v>
      </c>
      <c r="B95" s="2398"/>
      <c r="C95" s="2398"/>
      <c r="D95" s="2398"/>
      <c r="E95" s="2398"/>
      <c r="F95" s="2398"/>
      <c r="G95" s="2398"/>
      <c r="H95" s="2398"/>
      <c r="I95" s="2475"/>
    </row>
    <row r="96" spans="1:9">
      <c r="A96" s="2400" t="s">
        <v>569</v>
      </c>
      <c r="B96" s="2400" t="s">
        <v>316</v>
      </c>
      <c r="C96" s="2400" t="s">
        <v>317</v>
      </c>
      <c r="D96" s="2400" t="s">
        <v>496</v>
      </c>
      <c r="E96" s="2398"/>
      <c r="F96" s="2398"/>
      <c r="G96" s="2398"/>
      <c r="H96" s="2398"/>
      <c r="I96" s="2475"/>
    </row>
    <row r="97" spans="1:9">
      <c r="A97" s="2410"/>
      <c r="B97" s="2403"/>
      <c r="C97" s="2403"/>
      <c r="D97" s="2410"/>
      <c r="E97" s="2398"/>
      <c r="F97" s="2398"/>
      <c r="G97" s="2398"/>
      <c r="H97" s="2398"/>
      <c r="I97" s="2436" t="s">
        <v>1035</v>
      </c>
    </row>
    <row r="98" spans="1:9">
      <c r="A98" s="2410"/>
      <c r="B98" s="2403"/>
      <c r="C98" s="2403"/>
      <c r="D98" s="2410"/>
      <c r="E98" s="2398"/>
      <c r="F98" s="2398"/>
      <c r="G98" s="2398"/>
      <c r="H98" s="2398"/>
      <c r="I98" s="2436" t="s">
        <v>1035</v>
      </c>
    </row>
    <row r="99" spans="1:9">
      <c r="A99" s="2410"/>
      <c r="B99" s="2403"/>
      <c r="C99" s="2403"/>
      <c r="D99" s="2410"/>
      <c r="E99" s="2398"/>
      <c r="F99" s="2398"/>
      <c r="G99" s="2398"/>
      <c r="H99" s="2398"/>
      <c r="I99" s="2436" t="s">
        <v>1035</v>
      </c>
    </row>
    <row r="100" spans="1:9">
      <c r="A100" s="2410"/>
      <c r="B100" s="2403"/>
      <c r="C100" s="2403"/>
      <c r="D100" s="2410"/>
      <c r="E100" s="2398"/>
      <c r="F100" s="2398"/>
      <c r="G100" s="2398"/>
      <c r="H100" s="2398"/>
      <c r="I100" s="2436" t="s">
        <v>1035</v>
      </c>
    </row>
    <row r="101" spans="1:9">
      <c r="A101" s="2410"/>
      <c r="B101" s="2403"/>
      <c r="C101" s="2403"/>
      <c r="D101" s="2410"/>
      <c r="E101" s="2398"/>
      <c r="F101" s="2398"/>
      <c r="G101" s="2398"/>
      <c r="H101" s="2398"/>
      <c r="I101" s="2436" t="s">
        <v>1035</v>
      </c>
    </row>
    <row r="102" spans="1:9">
      <c r="A102" s="2410"/>
      <c r="B102" s="2403"/>
      <c r="C102" s="2403"/>
      <c r="D102" s="2410"/>
      <c r="E102" s="2398"/>
      <c r="F102" s="2398"/>
      <c r="G102" s="2398"/>
      <c r="H102" s="2398"/>
      <c r="I102" s="2436" t="s">
        <v>1035</v>
      </c>
    </row>
    <row r="103" spans="1:9">
      <c r="A103" s="2410"/>
      <c r="B103" s="2403"/>
      <c r="C103" s="2403"/>
      <c r="D103" s="2410"/>
      <c r="E103" s="2398"/>
      <c r="F103" s="2398"/>
      <c r="G103" s="2398"/>
      <c r="H103" s="2398"/>
      <c r="I103" s="2436" t="s">
        <v>1035</v>
      </c>
    </row>
    <row r="104" spans="1:9">
      <c r="A104" s="2410"/>
      <c r="B104" s="2403"/>
      <c r="C104" s="2403"/>
      <c r="D104" s="2410"/>
      <c r="E104" s="2398"/>
      <c r="F104" s="2398"/>
      <c r="G104" s="2398"/>
      <c r="H104" s="2398"/>
      <c r="I104" s="2436" t="s">
        <v>1035</v>
      </c>
    </row>
    <row r="105" spans="1:9">
      <c r="A105" s="2410"/>
      <c r="B105" s="2403"/>
      <c r="C105" s="2403"/>
      <c r="D105" s="2410"/>
      <c r="E105" s="2398"/>
      <c r="F105" s="2398"/>
      <c r="G105" s="2398"/>
      <c r="H105" s="2398"/>
      <c r="I105" s="2436" t="s">
        <v>1035</v>
      </c>
    </row>
    <row r="106" spans="1:9">
      <c r="A106" s="2410"/>
      <c r="B106" s="2403"/>
      <c r="C106" s="2403"/>
      <c r="D106" s="2410"/>
      <c r="E106" s="2398"/>
      <c r="F106" s="2398"/>
      <c r="G106" s="2398"/>
      <c r="H106" s="2398"/>
      <c r="I106" s="2436" t="s">
        <v>1035</v>
      </c>
    </row>
    <row r="107" spans="1:9">
      <c r="A107" s="2400" t="s">
        <v>385</v>
      </c>
      <c r="B107" s="2369">
        <f>ROUND(SUM(B97:B106),2)</f>
        <v>0</v>
      </c>
      <c r="C107" s="2369">
        <f>ROUND(SUM(C97:C106),2)</f>
        <v>0</v>
      </c>
      <c r="D107" s="2369"/>
      <c r="E107" s="2398"/>
      <c r="F107" s="2398"/>
      <c r="G107" s="2398"/>
      <c r="H107" s="2398"/>
      <c r="I107" s="2436" t="s">
        <v>1036</v>
      </c>
    </row>
    <row r="108" spans="1:9">
      <c r="A108" s="2421"/>
      <c r="B108" s="2398"/>
      <c r="C108" s="2398"/>
      <c r="D108" s="2398"/>
      <c r="E108" s="2398"/>
      <c r="F108" s="2398"/>
      <c r="G108" s="2398"/>
      <c r="H108" s="2398"/>
      <c r="I108" s="2475"/>
    </row>
    <row r="109" spans="1:9">
      <c r="A109" s="2421"/>
      <c r="B109" s="2398"/>
      <c r="C109" s="2398"/>
      <c r="D109" s="2398"/>
      <c r="E109" s="2398"/>
      <c r="F109" s="2398"/>
      <c r="G109" s="2398"/>
      <c r="H109" s="2398"/>
      <c r="I109" s="2475"/>
    </row>
    <row r="110" spans="1:9">
      <c r="A110" s="2397" t="s">
        <v>1037</v>
      </c>
      <c r="B110" s="2398"/>
      <c r="C110" s="2398"/>
      <c r="D110" s="2398"/>
      <c r="E110" s="2398"/>
      <c r="F110" s="2398"/>
      <c r="G110" s="2398"/>
      <c r="H110" s="2398"/>
      <c r="I110" s="2475"/>
    </row>
    <row r="111" spans="1:9">
      <c r="A111" s="2399" t="s">
        <v>1038</v>
      </c>
      <c r="B111" s="2398"/>
      <c r="C111" s="2398"/>
      <c r="D111" s="2398"/>
      <c r="E111" s="2398"/>
      <c r="F111" s="2398"/>
      <c r="G111" s="2398"/>
      <c r="H111" s="2398"/>
      <c r="I111" s="2475"/>
    </row>
    <row r="112" spans="1:9">
      <c r="A112" s="2407" t="s">
        <v>443</v>
      </c>
      <c r="B112" s="2432" t="s">
        <v>316</v>
      </c>
      <c r="C112" s="2433"/>
      <c r="D112" s="2400" t="s">
        <v>317</v>
      </c>
      <c r="E112" s="2401"/>
      <c r="F112" s="2398"/>
      <c r="G112" s="2398"/>
      <c r="H112" s="2398"/>
      <c r="I112" s="2475"/>
    </row>
    <row r="113" spans="1:9">
      <c r="A113" s="2434"/>
      <c r="B113" s="2400" t="s">
        <v>444</v>
      </c>
      <c r="C113" s="2400" t="s">
        <v>445</v>
      </c>
      <c r="D113" s="2400" t="s">
        <v>444</v>
      </c>
      <c r="E113" s="2400" t="s">
        <v>445</v>
      </c>
      <c r="F113" s="2398"/>
      <c r="G113" s="2398"/>
      <c r="H113" s="2398"/>
      <c r="I113" s="2475"/>
    </row>
    <row r="114" spans="1:9">
      <c r="A114" s="2405" t="s">
        <v>448</v>
      </c>
      <c r="B114" s="2403"/>
      <c r="C114" s="2435">
        <f>IF(B114=0,0,1-C115-C116-C117)</f>
        <v>0</v>
      </c>
      <c r="D114" s="2403"/>
      <c r="E114" s="2435">
        <f>IF(D114=0,0,1-E115-E116-E117)</f>
        <v>0</v>
      </c>
      <c r="F114" s="2398"/>
      <c r="G114" s="2398"/>
      <c r="H114" s="2398"/>
      <c r="I114" s="2436" t="s">
        <v>1039</v>
      </c>
    </row>
    <row r="115" spans="1:9">
      <c r="A115" s="2405" t="s">
        <v>450</v>
      </c>
      <c r="B115" s="2403"/>
      <c r="C115" s="2435">
        <f>IF(B115=0,0,IF(B114=0,ROUND(1-C116-C117,4),ROUND(B115/B118,4)))</f>
        <v>0</v>
      </c>
      <c r="D115" s="2403"/>
      <c r="E115" s="2435">
        <f>IF(D115=0,0,IF(D114=0,ROUND(1-E116-E117,4),ROUND(D115/D118,4)))</f>
        <v>0</v>
      </c>
      <c r="F115" s="2398"/>
      <c r="G115" s="2398"/>
      <c r="H115" s="2398"/>
      <c r="I115" s="2436" t="s">
        <v>1040</v>
      </c>
    </row>
    <row r="116" spans="1:9">
      <c r="A116" s="2405" t="s">
        <v>452</v>
      </c>
      <c r="B116" s="2403"/>
      <c r="C116" s="2435">
        <f>IF(B116=0,0,IF(AND(B114=0,B115=0),ROUND(1-C117,4),ROUND(B116/B118,4)))</f>
        <v>0</v>
      </c>
      <c r="D116" s="2403"/>
      <c r="E116" s="2435">
        <f>IF(D116=0,0,IF(AND(D114=0,D115=0),ROUND(1-E117,4),ROUND(D116/D118,4)))</f>
        <v>0</v>
      </c>
      <c r="F116" s="2398"/>
      <c r="G116" s="2398"/>
      <c r="H116" s="2398"/>
      <c r="I116" s="2436" t="s">
        <v>1041</v>
      </c>
    </row>
    <row r="117" spans="1:9">
      <c r="A117" s="2405" t="s">
        <v>557</v>
      </c>
      <c r="B117" s="2403"/>
      <c r="C117" s="2435">
        <f>IF(B117=0,0,ROUND(B117/B118,4))</f>
        <v>0</v>
      </c>
      <c r="D117" s="2403"/>
      <c r="E117" s="2435">
        <f>IF(D117=0,0,ROUND(D117/D118,4))</f>
        <v>0</v>
      </c>
      <c r="F117" s="2398"/>
      <c r="G117" s="2398"/>
      <c r="H117" s="2398"/>
      <c r="I117" s="2436" t="s">
        <v>1042</v>
      </c>
    </row>
    <row r="118" spans="1:9">
      <c r="A118" s="2400" t="s">
        <v>385</v>
      </c>
      <c r="B118" s="2369">
        <f>ROUND(SUM(B114:B117),2)</f>
        <v>0</v>
      </c>
      <c r="C118" s="2411">
        <f>IF(B118=0,0,1)</f>
        <v>0</v>
      </c>
      <c r="D118" s="2369">
        <f>ROUND(SUM(D114:D117),2)</f>
        <v>0</v>
      </c>
      <c r="E118" s="2411">
        <f>IF(D118=0,0,1)</f>
        <v>0</v>
      </c>
      <c r="F118" s="2398"/>
      <c r="G118" s="2398"/>
      <c r="H118" s="2398"/>
      <c r="I118" s="2436" t="s">
        <v>1043</v>
      </c>
    </row>
    <row r="119" spans="1:9">
      <c r="A119" s="2421"/>
      <c r="B119" s="2398"/>
      <c r="C119" s="2398"/>
      <c r="D119" s="2398"/>
      <c r="E119" s="2398"/>
      <c r="F119" s="2398"/>
      <c r="G119" s="2398"/>
      <c r="H119" s="2398"/>
      <c r="I119" s="2475"/>
    </row>
    <row r="120" spans="1:9">
      <c r="A120" s="2399" t="s">
        <v>1044</v>
      </c>
      <c r="B120" s="2398"/>
      <c r="C120" s="2398"/>
      <c r="D120" s="2398"/>
      <c r="E120" s="2398"/>
      <c r="F120" s="2398"/>
      <c r="G120" s="2398"/>
      <c r="H120" s="2398"/>
      <c r="I120" s="2475"/>
    </row>
    <row r="121" spans="1:9">
      <c r="A121" s="2400" t="s">
        <v>373</v>
      </c>
      <c r="B121" s="2400" t="s">
        <v>316</v>
      </c>
      <c r="C121" s="2400" t="s">
        <v>496</v>
      </c>
      <c r="D121" s="2400" t="s">
        <v>1028</v>
      </c>
      <c r="E121" s="2398"/>
      <c r="F121" s="2398"/>
      <c r="G121" s="2398"/>
      <c r="H121" s="2398"/>
      <c r="I121" s="2475"/>
    </row>
    <row r="122" spans="1:9">
      <c r="A122" s="2410"/>
      <c r="B122" s="2403"/>
      <c r="C122" s="2410"/>
      <c r="D122" s="2410"/>
      <c r="E122" s="2398"/>
      <c r="F122" s="2398"/>
      <c r="G122" s="2398"/>
      <c r="H122" s="2398"/>
      <c r="I122" s="2436" t="s">
        <v>1045</v>
      </c>
    </row>
    <row r="123" spans="1:9">
      <c r="A123" s="2410"/>
      <c r="B123" s="2403"/>
      <c r="C123" s="2410"/>
      <c r="D123" s="2410"/>
      <c r="E123" s="2398"/>
      <c r="F123" s="2398"/>
      <c r="G123" s="2398"/>
      <c r="H123" s="2398"/>
      <c r="I123" s="2436" t="s">
        <v>1045</v>
      </c>
    </row>
    <row r="124" spans="1:9">
      <c r="A124" s="2410"/>
      <c r="B124" s="2403"/>
      <c r="C124" s="2410"/>
      <c r="D124" s="2410"/>
      <c r="E124" s="2398"/>
      <c r="F124" s="2398"/>
      <c r="G124" s="2398"/>
      <c r="H124" s="2398"/>
      <c r="I124" s="2436" t="s">
        <v>1045</v>
      </c>
    </row>
    <row r="125" spans="1:9">
      <c r="A125" s="2410"/>
      <c r="B125" s="2403"/>
      <c r="C125" s="2410"/>
      <c r="D125" s="2410"/>
      <c r="E125" s="2398"/>
      <c r="F125" s="2398"/>
      <c r="G125" s="2398"/>
      <c r="H125" s="2398"/>
      <c r="I125" s="2436" t="s">
        <v>1045</v>
      </c>
    </row>
    <row r="126" spans="1:9">
      <c r="A126" s="2410"/>
      <c r="B126" s="2403"/>
      <c r="C126" s="2410"/>
      <c r="D126" s="2410"/>
      <c r="E126" s="2398"/>
      <c r="F126" s="2398"/>
      <c r="G126" s="2398"/>
      <c r="H126" s="2398"/>
      <c r="I126" s="2436" t="s">
        <v>1045</v>
      </c>
    </row>
    <row r="127" spans="1:9">
      <c r="A127" s="2410"/>
      <c r="B127" s="2403"/>
      <c r="C127" s="2410"/>
      <c r="D127" s="2410"/>
      <c r="E127" s="2398"/>
      <c r="F127" s="2398"/>
      <c r="G127" s="2398"/>
      <c r="H127" s="2398"/>
      <c r="I127" s="2436" t="s">
        <v>1045</v>
      </c>
    </row>
    <row r="128" spans="1:9">
      <c r="A128" s="2410"/>
      <c r="B128" s="2403"/>
      <c r="C128" s="2410"/>
      <c r="D128" s="2410"/>
      <c r="E128" s="2398"/>
      <c r="F128" s="2398"/>
      <c r="G128" s="2398"/>
      <c r="H128" s="2398"/>
      <c r="I128" s="2436" t="s">
        <v>1045</v>
      </c>
    </row>
    <row r="129" spans="1:9">
      <c r="A129" s="2410"/>
      <c r="B129" s="2403"/>
      <c r="C129" s="2410"/>
      <c r="D129" s="2410"/>
      <c r="E129" s="2398"/>
      <c r="F129" s="2398"/>
      <c r="G129" s="2398"/>
      <c r="H129" s="2398"/>
      <c r="I129" s="2436" t="s">
        <v>1045</v>
      </c>
    </row>
    <row r="130" spans="1:9">
      <c r="A130" s="2410"/>
      <c r="B130" s="2403"/>
      <c r="C130" s="2410"/>
      <c r="D130" s="2410"/>
      <c r="E130" s="2398"/>
      <c r="F130" s="2398"/>
      <c r="G130" s="2398"/>
      <c r="H130" s="2398"/>
      <c r="I130" s="2436" t="s">
        <v>1045</v>
      </c>
    </row>
    <row r="131" spans="1:9">
      <c r="A131" s="2410"/>
      <c r="B131" s="2403"/>
      <c r="C131" s="2410"/>
      <c r="D131" s="2410"/>
      <c r="E131" s="2398"/>
      <c r="F131" s="2398"/>
      <c r="G131" s="2398"/>
      <c r="H131" s="2398"/>
      <c r="I131" s="2436" t="s">
        <v>1045</v>
      </c>
    </row>
    <row r="132" spans="1:9">
      <c r="A132" s="2400" t="s">
        <v>385</v>
      </c>
      <c r="B132" s="2369">
        <f>ROUND(SUM(B122:B131),2)</f>
        <v>0</v>
      </c>
      <c r="C132" s="2369"/>
      <c r="D132" s="2369"/>
      <c r="E132" s="2398"/>
      <c r="F132" s="2398"/>
      <c r="G132" s="2398"/>
      <c r="H132" s="2398"/>
      <c r="I132" s="2436" t="s">
        <v>1046</v>
      </c>
    </row>
    <row r="133" spans="1:9">
      <c r="A133" s="2421"/>
      <c r="B133" s="2398"/>
      <c r="C133" s="2398"/>
      <c r="D133" s="2398"/>
      <c r="E133" s="2398"/>
      <c r="F133" s="2398"/>
      <c r="G133" s="2398"/>
      <c r="H133" s="2398"/>
      <c r="I133" s="2475"/>
    </row>
    <row r="134" spans="1:9">
      <c r="A134" s="2414" t="s">
        <v>1031</v>
      </c>
      <c r="B134" s="2398"/>
      <c r="C134" s="2398"/>
      <c r="D134" s="2398"/>
      <c r="E134" s="2398"/>
      <c r="F134" s="2398"/>
      <c r="G134" s="2398"/>
      <c r="H134" s="2398"/>
      <c r="I134" s="2475"/>
    </row>
    <row r="135" spans="1:9">
      <c r="A135" s="2400" t="s">
        <v>495</v>
      </c>
      <c r="B135" s="2400" t="s">
        <v>316</v>
      </c>
      <c r="C135" s="2400" t="s">
        <v>317</v>
      </c>
      <c r="D135" s="2400" t="s">
        <v>496</v>
      </c>
      <c r="E135" s="2398"/>
      <c r="F135" s="2398"/>
      <c r="G135" s="2398"/>
      <c r="H135" s="2398"/>
      <c r="I135" s="2475"/>
    </row>
    <row r="136" spans="1:9">
      <c r="A136" s="2410"/>
      <c r="B136" s="2403"/>
      <c r="C136" s="2403"/>
      <c r="D136" s="2410"/>
      <c r="E136" s="2398"/>
      <c r="F136" s="2398"/>
      <c r="G136" s="2398"/>
      <c r="H136" s="2398"/>
      <c r="I136" s="2436" t="s">
        <v>1047</v>
      </c>
    </row>
    <row r="137" spans="1:9">
      <c r="A137" s="2410"/>
      <c r="B137" s="2403"/>
      <c r="C137" s="2403"/>
      <c r="D137" s="2410"/>
      <c r="E137" s="2398"/>
      <c r="F137" s="2398"/>
      <c r="G137" s="2398"/>
      <c r="H137" s="2398"/>
      <c r="I137" s="2436" t="s">
        <v>1047</v>
      </c>
    </row>
    <row r="138" spans="1:9">
      <c r="A138" s="2410"/>
      <c r="B138" s="2403"/>
      <c r="C138" s="2403"/>
      <c r="D138" s="2410"/>
      <c r="E138" s="2398"/>
      <c r="F138" s="2398"/>
      <c r="G138" s="2398"/>
      <c r="H138" s="2398"/>
      <c r="I138" s="2436" t="s">
        <v>1047</v>
      </c>
    </row>
    <row r="139" spans="1:9">
      <c r="A139" s="2410"/>
      <c r="B139" s="2403"/>
      <c r="C139" s="2403"/>
      <c r="D139" s="2410"/>
      <c r="E139" s="2398"/>
      <c r="F139" s="2398"/>
      <c r="G139" s="2398"/>
      <c r="H139" s="2398"/>
      <c r="I139" s="2436" t="s">
        <v>1047</v>
      </c>
    </row>
    <row r="140" spans="1:9">
      <c r="A140" s="2410"/>
      <c r="B140" s="2403"/>
      <c r="C140" s="2403"/>
      <c r="D140" s="2410"/>
      <c r="E140" s="2398"/>
      <c r="F140" s="2398"/>
      <c r="G140" s="2398"/>
      <c r="H140" s="2398"/>
      <c r="I140" s="2436" t="s">
        <v>1047</v>
      </c>
    </row>
    <row r="141" spans="1:9">
      <c r="A141" s="2410"/>
      <c r="B141" s="2403"/>
      <c r="C141" s="2403"/>
      <c r="D141" s="2410"/>
      <c r="E141" s="2398"/>
      <c r="F141" s="2398"/>
      <c r="G141" s="2398"/>
      <c r="H141" s="2398"/>
      <c r="I141" s="2436" t="s">
        <v>1047</v>
      </c>
    </row>
    <row r="142" spans="1:9">
      <c r="A142" s="2410"/>
      <c r="B142" s="2403"/>
      <c r="C142" s="2403"/>
      <c r="D142" s="2410"/>
      <c r="E142" s="2398"/>
      <c r="F142" s="2398"/>
      <c r="G142" s="2398"/>
      <c r="H142" s="2398"/>
      <c r="I142" s="2436" t="s">
        <v>1047</v>
      </c>
    </row>
    <row r="143" spans="1:9">
      <c r="A143" s="2410"/>
      <c r="B143" s="2403"/>
      <c r="C143" s="2403"/>
      <c r="D143" s="2410"/>
      <c r="E143" s="2398"/>
      <c r="F143" s="2398"/>
      <c r="G143" s="2398"/>
      <c r="H143" s="2398"/>
      <c r="I143" s="2436" t="s">
        <v>1047</v>
      </c>
    </row>
    <row r="144" spans="1:9">
      <c r="A144" s="2410"/>
      <c r="B144" s="2403"/>
      <c r="C144" s="2403"/>
      <c r="D144" s="2410"/>
      <c r="E144" s="2398"/>
      <c r="F144" s="2398"/>
      <c r="G144" s="2398"/>
      <c r="H144" s="2398"/>
      <c r="I144" s="2436" t="s">
        <v>1047</v>
      </c>
    </row>
    <row r="145" spans="1:9">
      <c r="A145" s="2410"/>
      <c r="B145" s="2403"/>
      <c r="C145" s="2403"/>
      <c r="D145" s="2410"/>
      <c r="E145" s="2398"/>
      <c r="F145" s="2398"/>
      <c r="G145" s="2398"/>
      <c r="H145" s="2398"/>
      <c r="I145" s="2436" t="s">
        <v>1047</v>
      </c>
    </row>
    <row r="146" spans="1:9">
      <c r="A146" s="2400" t="s">
        <v>385</v>
      </c>
      <c r="B146" s="2369">
        <f>ROUND(SUM(B136:B145),2)</f>
        <v>0</v>
      </c>
      <c r="C146" s="2369">
        <f>ROUND(SUM(C136:C145),2)</f>
        <v>0</v>
      </c>
      <c r="D146" s="2369"/>
      <c r="E146" s="2398"/>
      <c r="F146" s="2398"/>
      <c r="G146" s="2398"/>
      <c r="H146" s="2398"/>
      <c r="I146" s="2436" t="s">
        <v>1048</v>
      </c>
    </row>
    <row r="147" spans="1:9">
      <c r="A147" s="2421"/>
      <c r="B147" s="2398"/>
      <c r="C147" s="2398"/>
      <c r="D147" s="2398"/>
      <c r="E147" s="2398"/>
      <c r="F147" s="2398"/>
      <c r="G147" s="2398"/>
      <c r="H147" s="2398"/>
      <c r="I147" s="2475"/>
    </row>
    <row r="148" spans="1:9">
      <c r="A148" s="2399" t="s">
        <v>1034</v>
      </c>
      <c r="B148" s="2398"/>
      <c r="C148" s="2398"/>
      <c r="D148" s="2398"/>
      <c r="E148" s="2398"/>
      <c r="F148" s="2398"/>
      <c r="G148" s="2398"/>
      <c r="H148" s="2398"/>
      <c r="I148" s="2475"/>
    </row>
    <row r="149" spans="1:9">
      <c r="A149" s="2400" t="s">
        <v>569</v>
      </c>
      <c r="B149" s="2400" t="s">
        <v>316</v>
      </c>
      <c r="C149" s="2400" t="s">
        <v>317</v>
      </c>
      <c r="D149" s="2400" t="s">
        <v>496</v>
      </c>
      <c r="E149" s="2398"/>
      <c r="F149" s="2398"/>
      <c r="G149" s="2398"/>
      <c r="H149" s="2398"/>
      <c r="I149" s="2475"/>
    </row>
    <row r="150" spans="1:9">
      <c r="A150" s="2410"/>
      <c r="B150" s="2403"/>
      <c r="C150" s="2403"/>
      <c r="D150" s="2410"/>
      <c r="E150" s="2398"/>
      <c r="F150" s="2398"/>
      <c r="G150" s="2398"/>
      <c r="H150" s="2398"/>
      <c r="I150" s="2436" t="s">
        <v>1049</v>
      </c>
    </row>
    <row r="151" spans="1:9">
      <c r="A151" s="2410"/>
      <c r="B151" s="2403"/>
      <c r="C151" s="2403"/>
      <c r="D151" s="2410"/>
      <c r="E151" s="2398"/>
      <c r="F151" s="2398"/>
      <c r="G151" s="2398"/>
      <c r="H151" s="2398"/>
      <c r="I151" s="2436" t="s">
        <v>1049</v>
      </c>
    </row>
    <row r="152" spans="1:9">
      <c r="A152" s="2410"/>
      <c r="B152" s="2403"/>
      <c r="C152" s="2403"/>
      <c r="D152" s="2410"/>
      <c r="E152" s="2398"/>
      <c r="F152" s="2398"/>
      <c r="G152" s="2398"/>
      <c r="H152" s="2398"/>
      <c r="I152" s="2436" t="s">
        <v>1049</v>
      </c>
    </row>
    <row r="153" spans="1:9">
      <c r="A153" s="2410"/>
      <c r="B153" s="2403"/>
      <c r="C153" s="2403"/>
      <c r="D153" s="2410"/>
      <c r="E153" s="2398"/>
      <c r="F153" s="2398"/>
      <c r="G153" s="2398"/>
      <c r="H153" s="2398"/>
      <c r="I153" s="2436" t="s">
        <v>1049</v>
      </c>
    </row>
    <row r="154" spans="1:9">
      <c r="A154" s="2410"/>
      <c r="B154" s="2403"/>
      <c r="C154" s="2403"/>
      <c r="D154" s="2410"/>
      <c r="E154" s="2398"/>
      <c r="F154" s="2398"/>
      <c r="G154" s="2398"/>
      <c r="H154" s="2398"/>
      <c r="I154" s="2436" t="s">
        <v>1049</v>
      </c>
    </row>
    <row r="155" spans="1:9">
      <c r="A155" s="2410"/>
      <c r="B155" s="2403"/>
      <c r="C155" s="2403"/>
      <c r="D155" s="2410"/>
      <c r="E155" s="2398"/>
      <c r="F155" s="2398"/>
      <c r="G155" s="2398"/>
      <c r="H155" s="2398"/>
      <c r="I155" s="2436" t="s">
        <v>1049</v>
      </c>
    </row>
    <row r="156" spans="1:9">
      <c r="A156" s="2410"/>
      <c r="B156" s="2403"/>
      <c r="C156" s="2403"/>
      <c r="D156" s="2410"/>
      <c r="E156" s="2398"/>
      <c r="F156" s="2398"/>
      <c r="G156" s="2398"/>
      <c r="H156" s="2398"/>
      <c r="I156" s="2436" t="s">
        <v>1049</v>
      </c>
    </row>
    <row r="157" spans="1:9">
      <c r="A157" s="2410"/>
      <c r="B157" s="2403"/>
      <c r="C157" s="2403"/>
      <c r="D157" s="2410"/>
      <c r="E157" s="2398"/>
      <c r="F157" s="2398"/>
      <c r="G157" s="2398"/>
      <c r="H157" s="2398"/>
      <c r="I157" s="2436" t="s">
        <v>1049</v>
      </c>
    </row>
    <row r="158" spans="1:9">
      <c r="A158" s="2410"/>
      <c r="B158" s="2403"/>
      <c r="C158" s="2403"/>
      <c r="D158" s="2410"/>
      <c r="E158" s="2398"/>
      <c r="F158" s="2398"/>
      <c r="G158" s="2398"/>
      <c r="H158" s="2398"/>
      <c r="I158" s="2436" t="s">
        <v>1049</v>
      </c>
    </row>
    <row r="159" spans="1:9">
      <c r="A159" s="2410"/>
      <c r="B159" s="2403"/>
      <c r="C159" s="2403"/>
      <c r="D159" s="2410"/>
      <c r="E159" s="2398"/>
      <c r="F159" s="2398"/>
      <c r="G159" s="2398"/>
      <c r="H159" s="2398"/>
      <c r="I159" s="2436" t="s">
        <v>1049</v>
      </c>
    </row>
    <row r="160" spans="1:9">
      <c r="A160" s="2400" t="s">
        <v>385</v>
      </c>
      <c r="B160" s="2369">
        <f>ROUND(SUM(B150:B159),2)</f>
        <v>0</v>
      </c>
      <c r="C160" s="2369">
        <f>ROUND(SUM(C150:C159),2)</f>
        <v>0</v>
      </c>
      <c r="D160" s="2369"/>
      <c r="E160" s="2398"/>
      <c r="F160" s="2398"/>
      <c r="G160" s="2398"/>
      <c r="H160" s="2398"/>
      <c r="I160" s="2436" t="s">
        <v>1050</v>
      </c>
    </row>
    <row r="161" spans="1:9">
      <c r="A161" s="2421"/>
      <c r="B161" s="2398"/>
      <c r="C161" s="2398"/>
      <c r="D161" s="2398"/>
      <c r="E161" s="2398"/>
      <c r="F161" s="2398"/>
      <c r="G161" s="2398"/>
      <c r="H161" s="2398"/>
      <c r="I161" s="2475"/>
    </row>
    <row r="162" spans="1:9">
      <c r="A162" s="2421"/>
      <c r="B162" s="2398"/>
      <c r="C162" s="2398"/>
      <c r="D162" s="2398"/>
      <c r="E162" s="2398"/>
      <c r="F162" s="2398"/>
      <c r="G162" s="2398"/>
      <c r="H162" s="2398"/>
      <c r="I162" s="2475"/>
    </row>
    <row r="163" spans="1:9">
      <c r="A163" s="2397" t="s">
        <v>1051</v>
      </c>
      <c r="B163" s="2398"/>
      <c r="C163" s="2398"/>
      <c r="D163" s="2398"/>
      <c r="E163" s="2398"/>
      <c r="F163" s="2398"/>
      <c r="G163" s="2398"/>
      <c r="H163" s="2398"/>
      <c r="I163" s="2475"/>
    </row>
    <row r="164" spans="1:9">
      <c r="A164" s="2400" t="s">
        <v>373</v>
      </c>
      <c r="B164" s="2400" t="s">
        <v>317</v>
      </c>
      <c r="C164" s="2400" t="s">
        <v>582</v>
      </c>
      <c r="D164" s="2400" t="s">
        <v>1052</v>
      </c>
      <c r="E164" s="2400" t="s">
        <v>316</v>
      </c>
      <c r="F164" s="2398"/>
      <c r="G164" s="2398"/>
      <c r="H164" s="2398"/>
      <c r="I164" s="2475"/>
    </row>
    <row r="165" spans="1:9">
      <c r="A165" s="2402" t="s">
        <v>1053</v>
      </c>
      <c r="B165" s="2403"/>
      <c r="C165" s="2403"/>
      <c r="D165" s="2403"/>
      <c r="E165" s="2369">
        <f>ROUND(B165+C165-D165,2)</f>
        <v>0</v>
      </c>
      <c r="F165" s="2398"/>
      <c r="G165" s="2398"/>
      <c r="H165" s="2398"/>
      <c r="I165" s="2436" t="s">
        <v>1054</v>
      </c>
    </row>
    <row r="166" spans="1:9">
      <c r="A166" s="2402" t="s">
        <v>1055</v>
      </c>
      <c r="B166" s="2403"/>
      <c r="C166" s="2403"/>
      <c r="D166" s="2403"/>
      <c r="E166" s="2369">
        <f t="shared" ref="E166:E180" si="0">ROUND(B166+C166-D166,2)</f>
        <v>0</v>
      </c>
      <c r="F166" s="2398"/>
      <c r="G166" s="2398"/>
      <c r="H166" s="2398"/>
      <c r="I166" s="2436" t="s">
        <v>1056</v>
      </c>
    </row>
    <row r="167" spans="1:9">
      <c r="A167" s="2402" t="s">
        <v>1057</v>
      </c>
      <c r="B167" s="2369">
        <f>ROUND(SUM(B168:B173),2)</f>
        <v>0</v>
      </c>
      <c r="C167" s="2369">
        <f>ROUND(SUM(C168:C173),2)</f>
        <v>0</v>
      </c>
      <c r="D167" s="2369">
        <f>ROUND(SUM(D168:D173),2)</f>
        <v>0</v>
      </c>
      <c r="E167" s="2369">
        <f t="shared" si="0"/>
        <v>0</v>
      </c>
      <c r="F167" s="2398"/>
      <c r="G167" s="2398"/>
      <c r="H167" s="2398"/>
      <c r="I167" s="2436" t="s">
        <v>1058</v>
      </c>
    </row>
    <row r="168" spans="1:9">
      <c r="A168" s="2402" t="s">
        <v>1059</v>
      </c>
      <c r="B168" s="2403"/>
      <c r="C168" s="2403"/>
      <c r="D168" s="2403"/>
      <c r="E168" s="2369">
        <f t="shared" si="0"/>
        <v>0</v>
      </c>
      <c r="F168" s="2398"/>
      <c r="G168" s="2398"/>
      <c r="H168" s="2398"/>
      <c r="I168" s="2436" t="s">
        <v>1060</v>
      </c>
    </row>
    <row r="169" spans="1:9">
      <c r="A169" s="2405" t="s">
        <v>1061</v>
      </c>
      <c r="B169" s="2403"/>
      <c r="C169" s="2403"/>
      <c r="D169" s="2403"/>
      <c r="E169" s="2369">
        <f t="shared" si="0"/>
        <v>0</v>
      </c>
      <c r="F169" s="2398"/>
      <c r="G169" s="2398"/>
      <c r="H169" s="2398"/>
      <c r="I169" s="2436" t="s">
        <v>1062</v>
      </c>
    </row>
    <row r="170" spans="1:9">
      <c r="A170" s="2405" t="s">
        <v>1063</v>
      </c>
      <c r="B170" s="2403"/>
      <c r="C170" s="2403"/>
      <c r="D170" s="2403"/>
      <c r="E170" s="2369">
        <f t="shared" si="0"/>
        <v>0</v>
      </c>
      <c r="F170" s="2398"/>
      <c r="G170" s="2398"/>
      <c r="H170" s="2398"/>
      <c r="I170" s="2436" t="s">
        <v>1064</v>
      </c>
    </row>
    <row r="171" spans="1:9">
      <c r="A171" s="2405" t="s">
        <v>1065</v>
      </c>
      <c r="B171" s="2403"/>
      <c r="C171" s="2403"/>
      <c r="D171" s="2403"/>
      <c r="E171" s="2369">
        <f t="shared" si="0"/>
        <v>0</v>
      </c>
      <c r="F171" s="2398"/>
      <c r="G171" s="2398"/>
      <c r="H171" s="2398"/>
      <c r="I171" s="2436" t="s">
        <v>1066</v>
      </c>
    </row>
    <row r="172" spans="1:9">
      <c r="A172" s="2405" t="s">
        <v>1067</v>
      </c>
      <c r="B172" s="2403"/>
      <c r="C172" s="2403"/>
      <c r="D172" s="2403"/>
      <c r="E172" s="2369">
        <f t="shared" si="0"/>
        <v>0</v>
      </c>
      <c r="F172" s="2398"/>
      <c r="G172" s="2398"/>
      <c r="H172" s="2398"/>
      <c r="I172" s="2436" t="s">
        <v>1068</v>
      </c>
    </row>
    <row r="173" spans="1:9">
      <c r="A173" s="2405" t="s">
        <v>1069</v>
      </c>
      <c r="B173" s="2403"/>
      <c r="C173" s="2403"/>
      <c r="D173" s="2403"/>
      <c r="E173" s="2369">
        <f t="shared" si="0"/>
        <v>0</v>
      </c>
      <c r="F173" s="2398"/>
      <c r="G173" s="2398"/>
      <c r="H173" s="2398"/>
      <c r="I173" s="2436" t="s">
        <v>1070</v>
      </c>
    </row>
    <row r="174" spans="1:9">
      <c r="A174" s="2402" t="s">
        <v>1071</v>
      </c>
      <c r="B174" s="2403"/>
      <c r="C174" s="2403"/>
      <c r="D174" s="2403"/>
      <c r="E174" s="2369">
        <f t="shared" si="0"/>
        <v>0</v>
      </c>
      <c r="F174" s="2398"/>
      <c r="G174" s="2398"/>
      <c r="H174" s="2398"/>
      <c r="I174" s="2436" t="s">
        <v>1072</v>
      </c>
    </row>
    <row r="175" spans="1:9">
      <c r="A175" s="2402" t="s">
        <v>1073</v>
      </c>
      <c r="B175" s="2403"/>
      <c r="C175" s="2403"/>
      <c r="D175" s="2403"/>
      <c r="E175" s="2369">
        <f t="shared" si="0"/>
        <v>0</v>
      </c>
      <c r="F175" s="2398"/>
      <c r="G175" s="2398"/>
      <c r="H175" s="2398"/>
      <c r="I175" s="2436" t="s">
        <v>1074</v>
      </c>
    </row>
    <row r="176" spans="1:9">
      <c r="A176" s="2402" t="s">
        <v>1075</v>
      </c>
      <c r="B176" s="2403"/>
      <c r="C176" s="2403"/>
      <c r="D176" s="2403"/>
      <c r="E176" s="2369">
        <f t="shared" si="0"/>
        <v>0</v>
      </c>
      <c r="F176" s="2398"/>
      <c r="G176" s="2398"/>
      <c r="H176" s="2398"/>
      <c r="I176" s="2436" t="s">
        <v>1076</v>
      </c>
    </row>
    <row r="177" spans="1:9">
      <c r="A177" s="2402" t="s">
        <v>1077</v>
      </c>
      <c r="B177" s="2403"/>
      <c r="C177" s="2403"/>
      <c r="D177" s="2403"/>
      <c r="E177" s="2369">
        <f t="shared" si="0"/>
        <v>0</v>
      </c>
      <c r="F177" s="2398"/>
      <c r="G177" s="2398"/>
      <c r="H177" s="2398"/>
      <c r="I177" s="2436" t="s">
        <v>1078</v>
      </c>
    </row>
    <row r="178" spans="1:9">
      <c r="A178" s="2402" t="s">
        <v>1079</v>
      </c>
      <c r="B178" s="2403"/>
      <c r="C178" s="2403"/>
      <c r="D178" s="2403"/>
      <c r="E178" s="2369">
        <f t="shared" si="0"/>
        <v>0</v>
      </c>
      <c r="F178" s="2398"/>
      <c r="G178" s="2398"/>
      <c r="H178" s="2398"/>
      <c r="I178" s="2436" t="s">
        <v>1080</v>
      </c>
    </row>
    <row r="179" spans="1:9">
      <c r="A179" s="2402" t="s">
        <v>1081</v>
      </c>
      <c r="B179" s="2403"/>
      <c r="C179" s="2403"/>
      <c r="D179" s="2403"/>
      <c r="E179" s="2369">
        <f t="shared" si="0"/>
        <v>0</v>
      </c>
      <c r="F179" s="2398"/>
      <c r="G179" s="2398"/>
      <c r="H179" s="2398"/>
      <c r="I179" s="2436" t="s">
        <v>1082</v>
      </c>
    </row>
    <row r="180" spans="1:9">
      <c r="A180" s="2402" t="s">
        <v>385</v>
      </c>
      <c r="B180" s="2369">
        <f>ROUND(B165+B166+B167+B174+B175+B176+B177+B178,2)</f>
        <v>0</v>
      </c>
      <c r="C180" s="2369">
        <f>ROUND(C165+C166+C167+C174+C175+C176+C177+C178,2)</f>
        <v>0</v>
      </c>
      <c r="D180" s="2369">
        <f>ROUND(D165+D166+D167+D174+D175+D176+D177+D178,2)</f>
        <v>0</v>
      </c>
      <c r="E180" s="2369">
        <f t="shared" si="0"/>
        <v>0</v>
      </c>
      <c r="F180" s="2398"/>
      <c r="G180" s="2398"/>
      <c r="H180" s="2398"/>
      <c r="I180" s="2436" t="s">
        <v>1083</v>
      </c>
    </row>
    <row r="181" spans="1:9">
      <c r="A181" s="2437"/>
      <c r="B181" s="2437"/>
      <c r="C181" s="2437"/>
      <c r="D181" s="2437"/>
      <c r="E181" s="2437"/>
      <c r="F181" s="2398"/>
      <c r="G181" s="2398"/>
      <c r="H181" s="2398"/>
      <c r="I181" s="2475"/>
    </row>
    <row r="182" spans="1:9">
      <c r="A182" s="2437"/>
      <c r="B182" s="2437"/>
      <c r="C182" s="2437"/>
      <c r="D182" s="2437"/>
      <c r="E182" s="2437"/>
      <c r="F182" s="2398"/>
      <c r="G182" s="2398"/>
      <c r="H182" s="2398"/>
      <c r="I182" s="2475"/>
    </row>
    <row r="183" spans="1:9">
      <c r="A183" s="2397" t="s">
        <v>1084</v>
      </c>
      <c r="B183" s="2398"/>
      <c r="C183" s="2398"/>
      <c r="D183" s="2398"/>
      <c r="E183" s="2398"/>
      <c r="F183" s="2398"/>
      <c r="G183" s="2398"/>
      <c r="H183" s="2398"/>
      <c r="I183" s="2475"/>
    </row>
    <row r="184" spans="1:9">
      <c r="A184" s="2400" t="s">
        <v>1085</v>
      </c>
      <c r="B184" s="2400" t="s">
        <v>316</v>
      </c>
      <c r="C184" s="2400" t="s">
        <v>317</v>
      </c>
      <c r="D184" s="2398"/>
      <c r="E184" s="2398"/>
      <c r="F184" s="2398"/>
      <c r="G184" s="2398"/>
      <c r="H184" s="2398"/>
      <c r="I184" s="2475"/>
    </row>
    <row r="185" spans="1:9">
      <c r="A185" s="2402" t="s">
        <v>1086</v>
      </c>
      <c r="B185" s="2403"/>
      <c r="C185" s="2403"/>
      <c r="D185" s="2398"/>
      <c r="E185" s="2398"/>
      <c r="F185" s="2398"/>
      <c r="G185" s="2398"/>
      <c r="H185" s="2398"/>
      <c r="I185" s="2436" t="s">
        <v>1087</v>
      </c>
    </row>
    <row r="186" spans="1:9">
      <c r="A186" s="2402" t="s">
        <v>1088</v>
      </c>
      <c r="B186" s="2403"/>
      <c r="C186" s="2403"/>
      <c r="D186" s="2398"/>
      <c r="E186" s="2398"/>
      <c r="F186" s="2398"/>
      <c r="G186" s="2398"/>
      <c r="H186" s="2398"/>
      <c r="I186" s="2436" t="s">
        <v>1089</v>
      </c>
    </row>
    <row r="187" spans="1:9">
      <c r="A187" s="2402" t="s">
        <v>1090</v>
      </c>
      <c r="B187" s="2403"/>
      <c r="C187" s="2403"/>
      <c r="D187" s="2398"/>
      <c r="E187" s="2398"/>
      <c r="F187" s="2398"/>
      <c r="G187" s="2398"/>
      <c r="H187" s="2398"/>
      <c r="I187" s="2436" t="s">
        <v>1091</v>
      </c>
    </row>
    <row r="188" spans="1:9">
      <c r="A188" s="2402" t="s">
        <v>1092</v>
      </c>
      <c r="B188" s="2403"/>
      <c r="C188" s="2403"/>
      <c r="D188" s="2398"/>
      <c r="E188" s="2398"/>
      <c r="F188" s="2398"/>
      <c r="G188" s="2398"/>
      <c r="H188" s="2398"/>
      <c r="I188" s="2436" t="s">
        <v>1093</v>
      </c>
    </row>
    <row r="189" spans="1:9">
      <c r="A189" s="2402" t="s">
        <v>1094</v>
      </c>
      <c r="B189" s="2403"/>
      <c r="C189" s="2403"/>
      <c r="D189" s="2398"/>
      <c r="E189" s="2398"/>
      <c r="F189" s="2398"/>
      <c r="G189" s="2398"/>
      <c r="H189" s="2398"/>
      <c r="I189" s="2436" t="s">
        <v>1095</v>
      </c>
    </row>
    <row r="190" spans="1:9">
      <c r="A190" s="2402" t="s">
        <v>1096</v>
      </c>
      <c r="B190" s="2403"/>
      <c r="C190" s="2403"/>
      <c r="D190" s="2398"/>
      <c r="E190" s="2398"/>
      <c r="F190" s="2398"/>
      <c r="G190" s="2398"/>
      <c r="H190" s="2398"/>
      <c r="I190" s="2436" t="s">
        <v>1097</v>
      </c>
    </row>
    <row r="191" spans="1:9">
      <c r="A191" s="2402" t="s">
        <v>1098</v>
      </c>
      <c r="B191" s="2403"/>
      <c r="C191" s="2403"/>
      <c r="D191" s="2398"/>
      <c r="E191" s="2398"/>
      <c r="F191" s="2398"/>
      <c r="G191" s="2398"/>
      <c r="H191" s="2398"/>
      <c r="I191" s="2436" t="s">
        <v>1099</v>
      </c>
    </row>
    <row r="192" spans="1:9">
      <c r="A192" s="2402" t="s">
        <v>1100</v>
      </c>
      <c r="B192" s="2403"/>
      <c r="C192" s="2403"/>
      <c r="D192" s="2398"/>
      <c r="E192" s="2398"/>
      <c r="F192" s="2398"/>
      <c r="G192" s="2398"/>
      <c r="H192" s="2398"/>
      <c r="I192" s="2436" t="s">
        <v>1101</v>
      </c>
    </row>
    <row r="193" spans="1:9">
      <c r="A193" s="2402" t="s">
        <v>1102</v>
      </c>
      <c r="B193" s="2403"/>
      <c r="C193" s="2403"/>
      <c r="D193" s="2398"/>
      <c r="E193" s="2398"/>
      <c r="F193" s="2398"/>
      <c r="G193" s="2398"/>
      <c r="H193" s="2398"/>
      <c r="I193" s="2436" t="s">
        <v>1103</v>
      </c>
    </row>
    <row r="194" spans="1:9">
      <c r="A194" s="2402" t="s">
        <v>1104</v>
      </c>
      <c r="B194" s="2403"/>
      <c r="C194" s="2403"/>
      <c r="D194" s="2398"/>
      <c r="E194" s="2398"/>
      <c r="F194" s="2398"/>
      <c r="G194" s="2398"/>
      <c r="H194" s="2398"/>
      <c r="I194" s="2436" t="s">
        <v>1105</v>
      </c>
    </row>
    <row r="195" spans="1:9">
      <c r="A195" s="2402" t="s">
        <v>1106</v>
      </c>
      <c r="B195" s="2403"/>
      <c r="C195" s="2403"/>
      <c r="D195" s="2398"/>
      <c r="E195" s="2398"/>
      <c r="F195" s="2398"/>
      <c r="G195" s="2398"/>
      <c r="H195" s="2398"/>
      <c r="I195" s="2436" t="s">
        <v>1107</v>
      </c>
    </row>
    <row r="196" spans="1:9">
      <c r="A196" s="2402" t="s">
        <v>280</v>
      </c>
      <c r="B196" s="2403"/>
      <c r="C196" s="2403"/>
      <c r="D196" s="2398"/>
      <c r="E196" s="2398"/>
      <c r="F196" s="2398"/>
      <c r="G196" s="2398"/>
      <c r="H196" s="2398"/>
      <c r="I196" s="2436" t="s">
        <v>1108</v>
      </c>
    </row>
    <row r="197" spans="1:9">
      <c r="A197" s="2400" t="s">
        <v>385</v>
      </c>
      <c r="B197" s="2369">
        <f>ROUND(SUM(B185:B196),2)</f>
        <v>0</v>
      </c>
      <c r="C197" s="2369">
        <f>ROUND(SUM(C185:C196),2)</f>
        <v>0</v>
      </c>
      <c r="D197" s="2398"/>
      <c r="E197" s="2398"/>
      <c r="F197" s="2398"/>
      <c r="G197" s="2398"/>
      <c r="H197" s="2398"/>
      <c r="I197" s="2436" t="s">
        <v>1109</v>
      </c>
    </row>
    <row r="198" spans="1:9">
      <c r="A198" s="2398"/>
      <c r="B198" s="2398"/>
      <c r="C198" s="2398"/>
      <c r="D198" s="2398"/>
      <c r="E198" s="2398"/>
      <c r="F198" s="2398"/>
      <c r="G198" s="2398"/>
      <c r="H198" s="2398"/>
      <c r="I198" s="2475"/>
    </row>
    <row r="199" spans="1:9">
      <c r="A199" s="2421"/>
      <c r="B199" s="2398"/>
      <c r="C199" s="2398"/>
      <c r="D199" s="2398"/>
      <c r="E199" s="2398"/>
      <c r="F199" s="2398"/>
      <c r="G199" s="2398"/>
      <c r="H199" s="2398"/>
      <c r="I199" s="2475"/>
    </row>
    <row r="200" spans="1:9">
      <c r="A200" s="2397" t="s">
        <v>1110</v>
      </c>
      <c r="B200" s="2398"/>
      <c r="C200" s="2398"/>
      <c r="D200" s="2398"/>
      <c r="E200" s="2398"/>
      <c r="F200" s="2398"/>
      <c r="G200" s="2398"/>
      <c r="H200" s="2398"/>
      <c r="I200" s="2475"/>
    </row>
    <row r="201" spans="1:9">
      <c r="A201" s="2400" t="s">
        <v>433</v>
      </c>
      <c r="B201" s="2400" t="s">
        <v>316</v>
      </c>
      <c r="C201" s="2400" t="s">
        <v>317</v>
      </c>
      <c r="D201" s="2400" t="s">
        <v>1111</v>
      </c>
      <c r="E201" s="2398"/>
      <c r="F201" s="2398"/>
      <c r="G201" s="2398"/>
      <c r="H201" s="2398"/>
      <c r="I201" s="2475"/>
    </row>
    <row r="202" spans="1:9">
      <c r="A202" s="2410"/>
      <c r="B202" s="2403"/>
      <c r="C202" s="2403"/>
      <c r="D202" s="2410"/>
      <c r="E202" s="2398"/>
      <c r="F202" s="2398"/>
      <c r="G202" s="2398"/>
      <c r="H202" s="2398"/>
      <c r="I202" s="2404" t="s">
        <v>211</v>
      </c>
    </row>
    <row r="203" spans="1:9">
      <c r="A203" s="2410"/>
      <c r="B203" s="2403"/>
      <c r="C203" s="2403"/>
      <c r="D203" s="2410"/>
      <c r="E203" s="2398"/>
      <c r="F203" s="2398"/>
      <c r="G203" s="2398"/>
      <c r="H203" s="2398"/>
      <c r="I203" s="2404" t="s">
        <v>211</v>
      </c>
    </row>
    <row r="204" spans="1:9">
      <c r="A204" s="2410"/>
      <c r="B204" s="2403"/>
      <c r="C204" s="2403"/>
      <c r="D204" s="2410"/>
      <c r="E204" s="2398"/>
      <c r="F204" s="2398"/>
      <c r="G204" s="2398"/>
      <c r="H204" s="2398"/>
      <c r="I204" s="2404" t="s">
        <v>211</v>
      </c>
    </row>
    <row r="205" spans="1:9">
      <c r="A205" s="2410"/>
      <c r="B205" s="2403"/>
      <c r="C205" s="2403"/>
      <c r="D205" s="2410"/>
      <c r="E205" s="2398"/>
      <c r="F205" s="2398"/>
      <c r="G205" s="2398"/>
      <c r="H205" s="2398"/>
      <c r="I205" s="2404" t="s">
        <v>211</v>
      </c>
    </row>
    <row r="206" spans="1:9">
      <c r="A206" s="2410"/>
      <c r="B206" s="2403"/>
      <c r="C206" s="2403"/>
      <c r="D206" s="2410"/>
      <c r="E206" s="2398"/>
      <c r="F206" s="2398"/>
      <c r="G206" s="2398"/>
      <c r="H206" s="2398"/>
      <c r="I206" s="2404" t="s">
        <v>211</v>
      </c>
    </row>
    <row r="207" spans="1:9">
      <c r="A207" s="2410"/>
      <c r="B207" s="2403"/>
      <c r="C207" s="2403"/>
      <c r="D207" s="2410"/>
      <c r="E207" s="2398"/>
      <c r="F207" s="2398"/>
      <c r="G207" s="2398"/>
      <c r="H207" s="2398"/>
      <c r="I207" s="2404" t="s">
        <v>211</v>
      </c>
    </row>
    <row r="208" spans="1:9">
      <c r="A208" s="2410"/>
      <c r="B208" s="2403"/>
      <c r="C208" s="2403"/>
      <c r="D208" s="2410"/>
      <c r="E208" s="2398"/>
      <c r="F208" s="2398"/>
      <c r="G208" s="2398"/>
      <c r="H208" s="2398"/>
      <c r="I208" s="2404" t="s">
        <v>211</v>
      </c>
    </row>
    <row r="209" spans="1:9">
      <c r="A209" s="2410"/>
      <c r="B209" s="2403"/>
      <c r="C209" s="2403"/>
      <c r="D209" s="2410"/>
      <c r="E209" s="2398"/>
      <c r="F209" s="2398"/>
      <c r="G209" s="2398"/>
      <c r="H209" s="2398"/>
      <c r="I209" s="2404" t="s">
        <v>211</v>
      </c>
    </row>
    <row r="210" spans="1:9">
      <c r="A210" s="2410"/>
      <c r="B210" s="2403"/>
      <c r="C210" s="2403"/>
      <c r="D210" s="2410"/>
      <c r="E210" s="2398"/>
      <c r="F210" s="2398"/>
      <c r="G210" s="2398"/>
      <c r="H210" s="2398"/>
      <c r="I210" s="2404" t="s">
        <v>211</v>
      </c>
    </row>
    <row r="211" spans="1:9">
      <c r="A211" s="2410"/>
      <c r="B211" s="2403"/>
      <c r="C211" s="2403"/>
      <c r="D211" s="2410"/>
      <c r="E211" s="2398"/>
      <c r="F211" s="2398"/>
      <c r="G211" s="2398"/>
      <c r="H211" s="2398"/>
      <c r="I211" s="2404" t="s">
        <v>211</v>
      </c>
    </row>
    <row r="212" spans="1:9">
      <c r="A212" s="2400" t="s">
        <v>385</v>
      </c>
      <c r="B212" s="2369">
        <f>ROUND(SUM(B202:B211),2)</f>
        <v>0</v>
      </c>
      <c r="C212" s="2369">
        <f>ROUND(SUM(C202:C211),2)</f>
        <v>0</v>
      </c>
      <c r="D212" s="2369"/>
      <c r="E212" s="2398"/>
      <c r="F212" s="2398"/>
      <c r="G212" s="2398"/>
      <c r="H212" s="2398"/>
      <c r="I212" s="2404" t="s">
        <v>1112</v>
      </c>
    </row>
    <row r="213" spans="1:9">
      <c r="A213" s="2398"/>
      <c r="B213" s="2398"/>
      <c r="C213" s="2398"/>
      <c r="D213" s="2398"/>
      <c r="E213" s="2398"/>
      <c r="F213" s="2398"/>
      <c r="G213" s="2398"/>
      <c r="H213" s="2398"/>
      <c r="I213" s="2475"/>
    </row>
    <row r="214" spans="1:9">
      <c r="A214" s="2421"/>
      <c r="B214" s="2398"/>
      <c r="C214" s="2398"/>
      <c r="D214" s="2398"/>
      <c r="E214" s="2398"/>
      <c r="F214" s="2398"/>
      <c r="G214" s="2398"/>
      <c r="H214" s="2398"/>
      <c r="I214" s="2475"/>
    </row>
    <row r="215" spans="1:9">
      <c r="A215" s="2397" t="s">
        <v>1113</v>
      </c>
      <c r="B215" s="2398"/>
      <c r="C215" s="2398"/>
      <c r="D215" s="2398"/>
      <c r="E215" s="2398"/>
      <c r="F215" s="2398"/>
      <c r="G215" s="2398"/>
      <c r="H215" s="2398"/>
      <c r="I215" s="2475"/>
    </row>
    <row r="216" spans="1:9">
      <c r="A216" s="2400" t="s">
        <v>1114</v>
      </c>
      <c r="B216" s="2400" t="s">
        <v>316</v>
      </c>
      <c r="C216" s="2400" t="s">
        <v>317</v>
      </c>
      <c r="D216" s="2400" t="s">
        <v>1111</v>
      </c>
      <c r="E216" s="2398"/>
      <c r="F216" s="2398"/>
      <c r="G216" s="2398"/>
      <c r="H216" s="2398"/>
      <c r="I216" s="2475"/>
    </row>
    <row r="217" spans="1:9">
      <c r="A217" s="2410"/>
      <c r="B217" s="2403"/>
      <c r="C217" s="2403"/>
      <c r="D217" s="2410"/>
      <c r="E217" s="2398"/>
      <c r="F217" s="2398"/>
      <c r="G217" s="2398"/>
      <c r="H217" s="2398"/>
      <c r="I217" s="2404" t="s">
        <v>213</v>
      </c>
    </row>
    <row r="218" spans="1:9">
      <c r="A218" s="2410"/>
      <c r="B218" s="2403"/>
      <c r="C218" s="2403"/>
      <c r="D218" s="2410"/>
      <c r="E218" s="2398"/>
      <c r="F218" s="2398"/>
      <c r="G218" s="2398"/>
      <c r="H218" s="2398"/>
      <c r="I218" s="2404" t="s">
        <v>213</v>
      </c>
    </row>
    <row r="219" spans="1:9">
      <c r="A219" s="2410"/>
      <c r="B219" s="2403"/>
      <c r="C219" s="2403"/>
      <c r="D219" s="2410"/>
      <c r="E219" s="2398"/>
      <c r="F219" s="2398"/>
      <c r="G219" s="2398"/>
      <c r="H219" s="2398"/>
      <c r="I219" s="2404" t="s">
        <v>213</v>
      </c>
    </row>
    <row r="220" spans="1:9">
      <c r="A220" s="2410"/>
      <c r="B220" s="2403"/>
      <c r="C220" s="2403"/>
      <c r="D220" s="2410"/>
      <c r="E220" s="2398"/>
      <c r="F220" s="2398"/>
      <c r="G220" s="2398"/>
      <c r="H220" s="2398"/>
      <c r="I220" s="2404" t="s">
        <v>213</v>
      </c>
    </row>
    <row r="221" spans="1:9">
      <c r="A221" s="2410"/>
      <c r="B221" s="2403"/>
      <c r="C221" s="2403"/>
      <c r="D221" s="2410"/>
      <c r="E221" s="2398"/>
      <c r="F221" s="2398"/>
      <c r="G221" s="2398"/>
      <c r="H221" s="2398"/>
      <c r="I221" s="2404" t="s">
        <v>213</v>
      </c>
    </row>
    <row r="222" spans="1:9">
      <c r="A222" s="2410"/>
      <c r="B222" s="2403"/>
      <c r="C222" s="2403"/>
      <c r="D222" s="2410"/>
      <c r="E222" s="2398"/>
      <c r="F222" s="2398"/>
      <c r="G222" s="2398"/>
      <c r="H222" s="2398"/>
      <c r="I222" s="2404" t="s">
        <v>213</v>
      </c>
    </row>
    <row r="223" spans="1:9">
      <c r="A223" s="2410"/>
      <c r="B223" s="2403"/>
      <c r="C223" s="2403"/>
      <c r="D223" s="2410"/>
      <c r="E223" s="2398"/>
      <c r="F223" s="2398"/>
      <c r="G223" s="2398"/>
      <c r="H223" s="2398"/>
      <c r="I223" s="2404" t="s">
        <v>213</v>
      </c>
    </row>
    <row r="224" spans="1:9">
      <c r="A224" s="2410"/>
      <c r="B224" s="2403"/>
      <c r="C224" s="2403"/>
      <c r="D224" s="2410"/>
      <c r="E224" s="2398"/>
      <c r="F224" s="2398"/>
      <c r="G224" s="2398"/>
      <c r="H224" s="2398"/>
      <c r="I224" s="2404" t="s">
        <v>213</v>
      </c>
    </row>
    <row r="225" spans="1:9">
      <c r="A225" s="2410"/>
      <c r="B225" s="2403"/>
      <c r="C225" s="2403"/>
      <c r="D225" s="2410"/>
      <c r="E225" s="2398"/>
      <c r="F225" s="2398"/>
      <c r="G225" s="2398"/>
      <c r="H225" s="2398"/>
      <c r="I225" s="2404" t="s">
        <v>213</v>
      </c>
    </row>
    <row r="226" spans="1:9">
      <c r="A226" s="2410"/>
      <c r="B226" s="2403"/>
      <c r="C226" s="2403"/>
      <c r="D226" s="2410"/>
      <c r="E226" s="2398"/>
      <c r="F226" s="2398"/>
      <c r="G226" s="2398"/>
      <c r="H226" s="2398"/>
      <c r="I226" s="2404" t="s">
        <v>213</v>
      </c>
    </row>
    <row r="227" spans="1:9">
      <c r="A227" s="2400" t="s">
        <v>385</v>
      </c>
      <c r="B227" s="2369">
        <f>ROUND(SUM(B217:B226),2)</f>
        <v>0</v>
      </c>
      <c r="C227" s="2369">
        <f>ROUND(SUM(C217:C226),2)</f>
        <v>0</v>
      </c>
      <c r="D227" s="2369"/>
      <c r="E227" s="2398"/>
      <c r="F227" s="2398"/>
      <c r="G227" s="2398"/>
      <c r="H227" s="2398"/>
      <c r="I227" s="2404" t="s">
        <v>1115</v>
      </c>
    </row>
    <row r="228" spans="1:9">
      <c r="A228" s="2421"/>
      <c r="B228" s="2398"/>
      <c r="C228" s="2398"/>
      <c r="D228" s="2398"/>
      <c r="E228" s="2398"/>
      <c r="F228" s="2398"/>
      <c r="G228" s="2398"/>
      <c r="H228" s="2398"/>
      <c r="I228" s="2475"/>
    </row>
    <row r="229" spans="1:9">
      <c r="A229" s="2421"/>
      <c r="B229" s="2398"/>
      <c r="C229" s="2398"/>
      <c r="D229" s="2398"/>
      <c r="E229" s="2398"/>
      <c r="F229" s="2398"/>
      <c r="G229" s="2398"/>
      <c r="H229" s="2398"/>
      <c r="I229" s="2475"/>
    </row>
    <row r="230" spans="1:9">
      <c r="A230" s="2397" t="s">
        <v>1116</v>
      </c>
      <c r="B230" s="2398"/>
      <c r="C230" s="2398"/>
      <c r="D230" s="2398"/>
      <c r="E230" s="2398"/>
      <c r="F230" s="2398"/>
      <c r="G230" s="2398"/>
      <c r="H230" s="2398"/>
      <c r="I230" s="2475"/>
    </row>
    <row r="231" spans="1:9">
      <c r="A231" s="2399" t="s">
        <v>1117</v>
      </c>
      <c r="B231" s="2398"/>
      <c r="C231" s="2398"/>
      <c r="D231" s="2398"/>
      <c r="E231" s="2398"/>
      <c r="F231" s="2398"/>
      <c r="G231" s="2398"/>
      <c r="H231" s="2398"/>
      <c r="I231" s="2475"/>
    </row>
    <row r="232" spans="1:9">
      <c r="A232" s="2407" t="s">
        <v>443</v>
      </c>
      <c r="B232" s="2432" t="s">
        <v>316</v>
      </c>
      <c r="C232" s="2433"/>
      <c r="D232" s="2400" t="s">
        <v>317</v>
      </c>
      <c r="E232" s="2401"/>
      <c r="F232" s="2398"/>
      <c r="G232" s="2398"/>
      <c r="H232" s="2398"/>
      <c r="I232" s="2475"/>
    </row>
    <row r="233" spans="1:9">
      <c r="A233" s="2434"/>
      <c r="B233" s="2400" t="s">
        <v>444</v>
      </c>
      <c r="C233" s="2400" t="s">
        <v>445</v>
      </c>
      <c r="D233" s="2400" t="s">
        <v>444</v>
      </c>
      <c r="E233" s="2400" t="s">
        <v>445</v>
      </c>
      <c r="F233" s="2398"/>
      <c r="G233" s="2398"/>
      <c r="H233" s="2398"/>
      <c r="I233" s="2475"/>
    </row>
    <row r="234" spans="1:9">
      <c r="A234" s="2405" t="s">
        <v>448</v>
      </c>
      <c r="B234" s="2403"/>
      <c r="C234" s="2435">
        <f>IF(B234=0,0,1-C235-C236-C237)</f>
        <v>0</v>
      </c>
      <c r="D234" s="2403"/>
      <c r="E234" s="2435">
        <f>IF(D234=0,0,1-E235-E236-E237)</f>
        <v>0</v>
      </c>
      <c r="F234" s="2398"/>
      <c r="G234" s="2398"/>
      <c r="H234" s="2398"/>
      <c r="I234" s="2436" t="s">
        <v>1118</v>
      </c>
    </row>
    <row r="235" spans="1:9">
      <c r="A235" s="2405" t="s">
        <v>450</v>
      </c>
      <c r="B235" s="2403"/>
      <c r="C235" s="2435">
        <f>IF(B235=0,0,IF(B234=0,ROUND(1-C236-C237,4),ROUND(B235/B238,4)))</f>
        <v>0</v>
      </c>
      <c r="D235" s="2403"/>
      <c r="E235" s="2435">
        <f>IF(D235=0,0,IF(D234=0,ROUND(1-E236-E237,4),ROUND(D235/D238,4)))</f>
        <v>0</v>
      </c>
      <c r="F235" s="2398"/>
      <c r="G235" s="2398"/>
      <c r="H235" s="2398"/>
      <c r="I235" s="2436" t="s">
        <v>1119</v>
      </c>
    </row>
    <row r="236" spans="1:9">
      <c r="A236" s="2405" t="s">
        <v>452</v>
      </c>
      <c r="B236" s="2403"/>
      <c r="C236" s="2435">
        <f>IF(B236=0,0,IF(AND(B234=0,B235=0),ROUND(1-C237,4),ROUND(B236/B238,4)))</f>
        <v>0</v>
      </c>
      <c r="D236" s="2403"/>
      <c r="E236" s="2435">
        <f>IF(D236=0,0,IF(AND(D234=0,D235=0),ROUND(1-E237,4),ROUND(D236/D238,4)))</f>
        <v>0</v>
      </c>
      <c r="F236" s="2398"/>
      <c r="G236" s="2398"/>
      <c r="H236" s="2398"/>
      <c r="I236" s="2436" t="s">
        <v>1120</v>
      </c>
    </row>
    <row r="237" spans="1:9">
      <c r="A237" s="2405" t="s">
        <v>557</v>
      </c>
      <c r="B237" s="2403"/>
      <c r="C237" s="2435">
        <f>IF(B237=0,0,ROUND(B237/B238,4))</f>
        <v>0</v>
      </c>
      <c r="D237" s="2403"/>
      <c r="E237" s="2435">
        <f>IF(D237=0,0,ROUND(D237/D238,4))</f>
        <v>0</v>
      </c>
      <c r="F237" s="2398"/>
      <c r="G237" s="2398"/>
      <c r="H237" s="2398"/>
      <c r="I237" s="2436" t="s">
        <v>1121</v>
      </c>
    </row>
    <row r="238" spans="1:9">
      <c r="A238" s="2400" t="s">
        <v>385</v>
      </c>
      <c r="B238" s="2369">
        <f>ROUND(SUM(B234:B237),2)</f>
        <v>0</v>
      </c>
      <c r="C238" s="2411">
        <f>IF(B238=0,0,1)</f>
        <v>0</v>
      </c>
      <c r="D238" s="2369">
        <f>ROUND(SUM(D234:D237),2)</f>
        <v>0</v>
      </c>
      <c r="E238" s="2411">
        <f>IF(D238=0,0,1)</f>
        <v>0</v>
      </c>
      <c r="F238" s="2398"/>
      <c r="G238" s="2398"/>
      <c r="H238" s="2398"/>
      <c r="I238" s="2436" t="s">
        <v>1122</v>
      </c>
    </row>
    <row r="239" spans="1:9">
      <c r="A239" s="2421"/>
      <c r="B239" s="2398"/>
      <c r="C239" s="2398"/>
      <c r="D239" s="2398"/>
      <c r="E239" s="2398"/>
      <c r="F239" s="2398"/>
      <c r="G239" s="2398"/>
      <c r="H239" s="2398"/>
      <c r="I239" s="2475"/>
    </row>
    <row r="240" spans="1:9">
      <c r="A240" s="2399" t="s">
        <v>1123</v>
      </c>
      <c r="B240" s="2398"/>
      <c r="C240" s="2398"/>
      <c r="D240" s="2398"/>
      <c r="E240" s="2398"/>
      <c r="F240" s="2398"/>
      <c r="G240" s="2398"/>
      <c r="H240" s="2398"/>
      <c r="I240" s="2475"/>
    </row>
    <row r="241" spans="1:9">
      <c r="A241" s="2400" t="s">
        <v>373</v>
      </c>
      <c r="B241" s="2400" t="s">
        <v>316</v>
      </c>
      <c r="C241" s="2400" t="s">
        <v>496</v>
      </c>
      <c r="D241" s="2400" t="s">
        <v>1028</v>
      </c>
      <c r="E241" s="2398"/>
      <c r="F241" s="2398"/>
      <c r="G241" s="2398"/>
      <c r="H241" s="2398"/>
      <c r="I241" s="2475"/>
    </row>
    <row r="242" spans="1:9">
      <c r="A242" s="2410"/>
      <c r="B242" s="2403"/>
      <c r="C242" s="2410"/>
      <c r="D242" s="2410"/>
      <c r="E242" s="2398"/>
      <c r="F242" s="2398"/>
      <c r="G242" s="2398"/>
      <c r="H242" s="2398"/>
      <c r="I242" s="2436" t="s">
        <v>1124</v>
      </c>
    </row>
    <row r="243" spans="1:9">
      <c r="A243" s="2410"/>
      <c r="B243" s="2403"/>
      <c r="C243" s="2410"/>
      <c r="D243" s="2410"/>
      <c r="E243" s="2398"/>
      <c r="F243" s="2398"/>
      <c r="G243" s="2398"/>
      <c r="H243" s="2398"/>
      <c r="I243" s="2436" t="s">
        <v>1124</v>
      </c>
    </row>
    <row r="244" spans="1:9">
      <c r="A244" s="2410"/>
      <c r="B244" s="2403"/>
      <c r="C244" s="2410"/>
      <c r="D244" s="2410"/>
      <c r="E244" s="2398"/>
      <c r="F244" s="2398"/>
      <c r="G244" s="2398"/>
      <c r="H244" s="2398"/>
      <c r="I244" s="2436" t="s">
        <v>1124</v>
      </c>
    </row>
    <row r="245" spans="1:9">
      <c r="A245" s="2410"/>
      <c r="B245" s="2403"/>
      <c r="C245" s="2410"/>
      <c r="D245" s="2410"/>
      <c r="E245" s="2398"/>
      <c r="F245" s="2398"/>
      <c r="G245" s="2398"/>
      <c r="H245" s="2398"/>
      <c r="I245" s="2436" t="s">
        <v>1124</v>
      </c>
    </row>
    <row r="246" spans="1:9">
      <c r="A246" s="2410"/>
      <c r="B246" s="2403"/>
      <c r="C246" s="2410"/>
      <c r="D246" s="2410"/>
      <c r="E246" s="2398"/>
      <c r="F246" s="2398"/>
      <c r="G246" s="2398"/>
      <c r="H246" s="2398"/>
      <c r="I246" s="2436" t="s">
        <v>1124</v>
      </c>
    </row>
    <row r="247" spans="1:9">
      <c r="A247" s="2410"/>
      <c r="B247" s="2403"/>
      <c r="C247" s="2410"/>
      <c r="D247" s="2410"/>
      <c r="E247" s="2398"/>
      <c r="F247" s="2398"/>
      <c r="G247" s="2398"/>
      <c r="H247" s="2398"/>
      <c r="I247" s="2436" t="s">
        <v>1124</v>
      </c>
    </row>
    <row r="248" spans="1:9">
      <c r="A248" s="2410"/>
      <c r="B248" s="2403"/>
      <c r="C248" s="2410"/>
      <c r="D248" s="2410"/>
      <c r="E248" s="2398"/>
      <c r="F248" s="2398"/>
      <c r="G248" s="2398"/>
      <c r="H248" s="2398"/>
      <c r="I248" s="2436" t="s">
        <v>1124</v>
      </c>
    </row>
    <row r="249" spans="1:9">
      <c r="A249" s="2410"/>
      <c r="B249" s="2403"/>
      <c r="C249" s="2410"/>
      <c r="D249" s="2410"/>
      <c r="E249" s="2398"/>
      <c r="F249" s="2398"/>
      <c r="G249" s="2398"/>
      <c r="H249" s="2398"/>
      <c r="I249" s="2436" t="s">
        <v>1124</v>
      </c>
    </row>
    <row r="250" spans="1:9">
      <c r="A250" s="2410"/>
      <c r="B250" s="2403"/>
      <c r="C250" s="2410"/>
      <c r="D250" s="2410"/>
      <c r="E250" s="2398"/>
      <c r="F250" s="2398"/>
      <c r="G250" s="2398"/>
      <c r="H250" s="2398"/>
      <c r="I250" s="2436" t="s">
        <v>1124</v>
      </c>
    </row>
    <row r="251" spans="1:9">
      <c r="A251" s="2410"/>
      <c r="B251" s="2403"/>
      <c r="C251" s="2410"/>
      <c r="D251" s="2410"/>
      <c r="E251" s="2398"/>
      <c r="F251" s="2398"/>
      <c r="G251" s="2398"/>
      <c r="H251" s="2398"/>
      <c r="I251" s="2436" t="s">
        <v>1124</v>
      </c>
    </row>
    <row r="252" spans="1:9">
      <c r="A252" s="2400" t="s">
        <v>385</v>
      </c>
      <c r="B252" s="2369">
        <f>ROUND(SUM(B242:B251),2)</f>
        <v>0</v>
      </c>
      <c r="C252" s="2369"/>
      <c r="D252" s="2369"/>
      <c r="E252" s="2398"/>
      <c r="F252" s="2398"/>
      <c r="G252" s="2398"/>
      <c r="H252" s="2398"/>
      <c r="I252" s="2436" t="s">
        <v>1125</v>
      </c>
    </row>
    <row r="253" spans="1:9">
      <c r="A253" s="2421"/>
      <c r="B253" s="2398"/>
      <c r="C253" s="2398"/>
      <c r="D253" s="2398"/>
      <c r="E253" s="2398"/>
      <c r="F253" s="2398"/>
      <c r="G253" s="2398"/>
      <c r="H253" s="2398"/>
      <c r="I253" s="2475"/>
    </row>
    <row r="254" spans="1:9">
      <c r="A254" s="2414" t="s">
        <v>1031</v>
      </c>
      <c r="B254" s="2398"/>
      <c r="C254" s="2398"/>
      <c r="D254" s="2398"/>
      <c r="E254" s="2398"/>
      <c r="F254" s="2398"/>
      <c r="G254" s="2398"/>
      <c r="H254" s="2398"/>
      <c r="I254" s="2475"/>
    </row>
    <row r="255" spans="1:9">
      <c r="A255" s="2400" t="s">
        <v>495</v>
      </c>
      <c r="B255" s="2400" t="s">
        <v>316</v>
      </c>
      <c r="C255" s="2400" t="s">
        <v>317</v>
      </c>
      <c r="D255" s="2400" t="s">
        <v>496</v>
      </c>
      <c r="E255" s="2398"/>
      <c r="F255" s="2398"/>
      <c r="G255" s="2398"/>
      <c r="H255" s="2398"/>
      <c r="I255" s="2475"/>
    </row>
    <row r="256" spans="1:9">
      <c r="A256" s="2410"/>
      <c r="B256" s="2403"/>
      <c r="C256" s="2403"/>
      <c r="D256" s="2410"/>
      <c r="E256" s="2398"/>
      <c r="F256" s="2398"/>
      <c r="G256" s="2398"/>
      <c r="H256" s="2398"/>
      <c r="I256" s="2436" t="s">
        <v>1126</v>
      </c>
    </row>
    <row r="257" spans="1:9">
      <c r="A257" s="2410"/>
      <c r="B257" s="2403"/>
      <c r="C257" s="2403"/>
      <c r="D257" s="2410"/>
      <c r="E257" s="2398"/>
      <c r="F257" s="2398"/>
      <c r="G257" s="2398"/>
      <c r="H257" s="2398"/>
      <c r="I257" s="2436" t="s">
        <v>1126</v>
      </c>
    </row>
    <row r="258" spans="1:9">
      <c r="A258" s="2410"/>
      <c r="B258" s="2403"/>
      <c r="C258" s="2403"/>
      <c r="D258" s="2410"/>
      <c r="E258" s="2398"/>
      <c r="F258" s="2398"/>
      <c r="G258" s="2398"/>
      <c r="H258" s="2398"/>
      <c r="I258" s="2436" t="s">
        <v>1126</v>
      </c>
    </row>
    <row r="259" spans="1:9">
      <c r="A259" s="2410"/>
      <c r="B259" s="2403"/>
      <c r="C259" s="2403"/>
      <c r="D259" s="2410"/>
      <c r="E259" s="2398"/>
      <c r="F259" s="2398"/>
      <c r="G259" s="2398"/>
      <c r="H259" s="2398"/>
      <c r="I259" s="2436" t="s">
        <v>1126</v>
      </c>
    </row>
    <row r="260" spans="1:9">
      <c r="A260" s="2410"/>
      <c r="B260" s="2403"/>
      <c r="C260" s="2403"/>
      <c r="D260" s="2410"/>
      <c r="E260" s="2398"/>
      <c r="F260" s="2398"/>
      <c r="G260" s="2398"/>
      <c r="H260" s="2398"/>
      <c r="I260" s="2436" t="s">
        <v>1126</v>
      </c>
    </row>
    <row r="261" spans="1:9">
      <c r="A261" s="2410"/>
      <c r="B261" s="2403"/>
      <c r="C261" s="2403"/>
      <c r="D261" s="2410"/>
      <c r="E261" s="2398"/>
      <c r="F261" s="2398"/>
      <c r="G261" s="2398"/>
      <c r="H261" s="2398"/>
      <c r="I261" s="2436" t="s">
        <v>1126</v>
      </c>
    </row>
    <row r="262" spans="1:9">
      <c r="A262" s="2410"/>
      <c r="B262" s="2403"/>
      <c r="C262" s="2403"/>
      <c r="D262" s="2410"/>
      <c r="E262" s="2398"/>
      <c r="F262" s="2398"/>
      <c r="G262" s="2398"/>
      <c r="H262" s="2398"/>
      <c r="I262" s="2436" t="s">
        <v>1126</v>
      </c>
    </row>
    <row r="263" spans="1:9">
      <c r="A263" s="2410"/>
      <c r="B263" s="2403"/>
      <c r="C263" s="2403"/>
      <c r="D263" s="2410"/>
      <c r="E263" s="2398"/>
      <c r="F263" s="2398"/>
      <c r="G263" s="2398"/>
      <c r="H263" s="2398"/>
      <c r="I263" s="2436" t="s">
        <v>1126</v>
      </c>
    </row>
    <row r="264" spans="1:9">
      <c r="A264" s="2410"/>
      <c r="B264" s="2403"/>
      <c r="C264" s="2403"/>
      <c r="D264" s="2410"/>
      <c r="E264" s="2398"/>
      <c r="F264" s="2398"/>
      <c r="G264" s="2398"/>
      <c r="H264" s="2398"/>
      <c r="I264" s="2436" t="s">
        <v>1126</v>
      </c>
    </row>
    <row r="265" spans="1:9">
      <c r="A265" s="2410"/>
      <c r="B265" s="2403"/>
      <c r="C265" s="2403"/>
      <c r="D265" s="2410"/>
      <c r="E265" s="2398"/>
      <c r="F265" s="2398"/>
      <c r="G265" s="2398"/>
      <c r="H265" s="2398"/>
      <c r="I265" s="2436" t="s">
        <v>1126</v>
      </c>
    </row>
    <row r="266" spans="1:9">
      <c r="A266" s="2400" t="s">
        <v>385</v>
      </c>
      <c r="B266" s="2369">
        <f>ROUND(SUM(B256:B265),2)</f>
        <v>0</v>
      </c>
      <c r="C266" s="2369">
        <f>ROUND(SUM(C256:C265),2)</f>
        <v>0</v>
      </c>
      <c r="D266" s="2369"/>
      <c r="E266" s="2398"/>
      <c r="F266" s="2398"/>
      <c r="G266" s="2398"/>
      <c r="H266" s="2398"/>
      <c r="I266" s="2436" t="s">
        <v>1127</v>
      </c>
    </row>
    <row r="267" spans="1:9">
      <c r="A267" s="2421"/>
      <c r="B267" s="2398"/>
      <c r="C267" s="2398"/>
      <c r="D267" s="2398"/>
      <c r="E267" s="2398"/>
      <c r="F267" s="2398"/>
      <c r="G267" s="2398"/>
      <c r="H267" s="2398"/>
      <c r="I267" s="2475"/>
    </row>
    <row r="268" spans="1:9">
      <c r="A268" s="2399" t="s">
        <v>1034</v>
      </c>
      <c r="B268" s="2398"/>
      <c r="C268" s="2398"/>
      <c r="D268" s="2398"/>
      <c r="E268" s="2398"/>
      <c r="F268" s="2398"/>
      <c r="G268" s="2398"/>
      <c r="H268" s="2398"/>
      <c r="I268" s="2475"/>
    </row>
    <row r="269" spans="1:9">
      <c r="A269" s="2400" t="s">
        <v>569</v>
      </c>
      <c r="B269" s="2400" t="s">
        <v>316</v>
      </c>
      <c r="C269" s="2400" t="s">
        <v>317</v>
      </c>
      <c r="D269" s="2400" t="s">
        <v>496</v>
      </c>
      <c r="E269" s="2398"/>
      <c r="F269" s="2398"/>
      <c r="G269" s="2398"/>
      <c r="H269" s="2398"/>
      <c r="I269" s="2475"/>
    </row>
    <row r="270" spans="1:9">
      <c r="A270" s="2410"/>
      <c r="B270" s="2403"/>
      <c r="C270" s="2403"/>
      <c r="D270" s="2410"/>
      <c r="E270" s="2398"/>
      <c r="F270" s="2398"/>
      <c r="G270" s="2398"/>
      <c r="H270" s="2398"/>
      <c r="I270" s="2436" t="s">
        <v>1128</v>
      </c>
    </row>
    <row r="271" spans="1:9">
      <c r="A271" s="2410"/>
      <c r="B271" s="2403"/>
      <c r="C271" s="2403"/>
      <c r="D271" s="2410"/>
      <c r="E271" s="2398"/>
      <c r="F271" s="2398"/>
      <c r="G271" s="2398"/>
      <c r="H271" s="2398"/>
      <c r="I271" s="2436" t="s">
        <v>1128</v>
      </c>
    </row>
    <row r="272" spans="1:9">
      <c r="A272" s="2410"/>
      <c r="B272" s="2403"/>
      <c r="C272" s="2403"/>
      <c r="D272" s="2410"/>
      <c r="E272" s="2398"/>
      <c r="F272" s="2398"/>
      <c r="G272" s="2398"/>
      <c r="H272" s="2398"/>
      <c r="I272" s="2436" t="s">
        <v>1128</v>
      </c>
    </row>
    <row r="273" spans="1:9">
      <c r="A273" s="2410"/>
      <c r="B273" s="2403"/>
      <c r="C273" s="2403"/>
      <c r="D273" s="2410"/>
      <c r="E273" s="2398"/>
      <c r="F273" s="2398"/>
      <c r="G273" s="2398"/>
      <c r="H273" s="2398"/>
      <c r="I273" s="2436" t="s">
        <v>1128</v>
      </c>
    </row>
    <row r="274" spans="1:9">
      <c r="A274" s="2410"/>
      <c r="B274" s="2403"/>
      <c r="C274" s="2403"/>
      <c r="D274" s="2410"/>
      <c r="E274" s="2398"/>
      <c r="F274" s="2398"/>
      <c r="G274" s="2398"/>
      <c r="H274" s="2398"/>
      <c r="I274" s="2436" t="s">
        <v>1128</v>
      </c>
    </row>
    <row r="275" spans="1:9">
      <c r="A275" s="2410"/>
      <c r="B275" s="2403"/>
      <c r="C275" s="2403"/>
      <c r="D275" s="2410"/>
      <c r="E275" s="2398"/>
      <c r="F275" s="2398"/>
      <c r="G275" s="2398"/>
      <c r="H275" s="2398"/>
      <c r="I275" s="2436" t="s">
        <v>1128</v>
      </c>
    </row>
    <row r="276" spans="1:9">
      <c r="A276" s="2410"/>
      <c r="B276" s="2403"/>
      <c r="C276" s="2403"/>
      <c r="D276" s="2410"/>
      <c r="E276" s="2398"/>
      <c r="F276" s="2398"/>
      <c r="G276" s="2398"/>
      <c r="H276" s="2398"/>
      <c r="I276" s="2436" t="s">
        <v>1128</v>
      </c>
    </row>
    <row r="277" spans="1:9">
      <c r="A277" s="2410"/>
      <c r="B277" s="2403"/>
      <c r="C277" s="2403"/>
      <c r="D277" s="2410"/>
      <c r="E277" s="2398"/>
      <c r="F277" s="2398"/>
      <c r="G277" s="2398"/>
      <c r="H277" s="2398"/>
      <c r="I277" s="2436" t="s">
        <v>1128</v>
      </c>
    </row>
    <row r="278" spans="1:9">
      <c r="A278" s="2410"/>
      <c r="B278" s="2403"/>
      <c r="C278" s="2403"/>
      <c r="D278" s="2410"/>
      <c r="E278" s="2398"/>
      <c r="F278" s="2398"/>
      <c r="G278" s="2398"/>
      <c r="H278" s="2398"/>
      <c r="I278" s="2436" t="s">
        <v>1128</v>
      </c>
    </row>
    <row r="279" spans="1:9">
      <c r="A279" s="2410"/>
      <c r="B279" s="2403"/>
      <c r="C279" s="2403"/>
      <c r="D279" s="2410"/>
      <c r="E279" s="2398"/>
      <c r="F279" s="2398"/>
      <c r="G279" s="2398"/>
      <c r="H279" s="2398"/>
      <c r="I279" s="2436" t="s">
        <v>1128</v>
      </c>
    </row>
    <row r="280" spans="1:9">
      <c r="A280" s="2400" t="s">
        <v>385</v>
      </c>
      <c r="B280" s="2369">
        <f>ROUND(SUM(B270:B279),2)</f>
        <v>0</v>
      </c>
      <c r="C280" s="2369">
        <f>ROUND(SUM(C270:C279),2)</f>
        <v>0</v>
      </c>
      <c r="D280" s="2369"/>
      <c r="E280" s="2398"/>
      <c r="F280" s="2398"/>
      <c r="G280" s="2398"/>
      <c r="H280" s="2398"/>
      <c r="I280" s="2436" t="s">
        <v>1129</v>
      </c>
    </row>
    <row r="281" spans="1:9">
      <c r="A281" s="2412"/>
      <c r="B281" s="2418"/>
      <c r="C281" s="2418"/>
      <c r="D281" s="2418"/>
      <c r="E281" s="2398"/>
      <c r="F281" s="2398"/>
      <c r="G281" s="2398"/>
      <c r="H281" s="2398"/>
      <c r="I281" s="2475"/>
    </row>
    <row r="282" spans="1:9">
      <c r="A282" s="2421"/>
      <c r="B282" s="2398"/>
      <c r="C282" s="2398"/>
      <c r="D282" s="2398"/>
      <c r="E282" s="2398"/>
      <c r="F282" s="2398"/>
      <c r="G282" s="2398"/>
      <c r="H282" s="2398"/>
      <c r="I282" s="2475"/>
    </row>
    <row r="283" spans="1:9">
      <c r="A283" s="2397" t="s">
        <v>1130</v>
      </c>
      <c r="B283" s="2398"/>
      <c r="C283" s="2398"/>
      <c r="D283" s="2398"/>
      <c r="E283" s="2398"/>
      <c r="F283" s="2398"/>
      <c r="G283" s="2398"/>
      <c r="H283" s="2398"/>
      <c r="I283" s="2475"/>
    </row>
    <row r="284" spans="1:9">
      <c r="A284" s="2399" t="s">
        <v>1131</v>
      </c>
      <c r="B284" s="2398"/>
      <c r="C284" s="2398"/>
      <c r="D284" s="2398"/>
      <c r="E284" s="2398"/>
      <c r="F284" s="2398"/>
      <c r="G284" s="2398"/>
      <c r="H284" s="2398"/>
      <c r="I284" s="2475"/>
    </row>
    <row r="285" spans="1:9">
      <c r="A285" s="2400" t="s">
        <v>373</v>
      </c>
      <c r="B285" s="2400" t="s">
        <v>316</v>
      </c>
      <c r="C285" s="2400" t="s">
        <v>317</v>
      </c>
      <c r="D285" s="2398"/>
      <c r="E285" s="2398"/>
      <c r="F285" s="2398"/>
      <c r="G285" s="2398"/>
      <c r="H285" s="2398"/>
      <c r="I285" s="2475"/>
    </row>
    <row r="286" spans="1:9">
      <c r="A286" s="2402" t="s">
        <v>227</v>
      </c>
      <c r="B286" s="2403"/>
      <c r="C286" s="2403"/>
      <c r="D286" s="2398"/>
      <c r="E286" s="2398"/>
      <c r="F286" s="2398"/>
      <c r="G286" s="2398"/>
      <c r="H286" s="2398"/>
      <c r="I286" s="2404" t="s">
        <v>1132</v>
      </c>
    </row>
    <row r="287" spans="1:9">
      <c r="A287" s="2402" t="s">
        <v>229</v>
      </c>
      <c r="B287" s="2403"/>
      <c r="C287" s="2403"/>
      <c r="D287" s="2398"/>
      <c r="E287" s="2398"/>
      <c r="F287" s="2398"/>
      <c r="G287" s="2398"/>
      <c r="H287" s="2398"/>
      <c r="I287" s="2404" t="s">
        <v>1133</v>
      </c>
    </row>
    <row r="288" spans="1:9">
      <c r="A288" s="2402" t="s">
        <v>231</v>
      </c>
      <c r="B288" s="2403"/>
      <c r="C288" s="2403"/>
      <c r="D288" s="2398"/>
      <c r="E288" s="2398"/>
      <c r="F288" s="2398"/>
      <c r="G288" s="2398"/>
      <c r="H288" s="2398"/>
      <c r="I288" s="2404" t="s">
        <v>1134</v>
      </c>
    </row>
    <row r="289" spans="1:9">
      <c r="A289" s="2400" t="s">
        <v>385</v>
      </c>
      <c r="B289" s="2369">
        <f>ROUND(SUM(B286:B288),2)</f>
        <v>0</v>
      </c>
      <c r="C289" s="2369">
        <f>ROUND(SUM(C286:C288),2)</f>
        <v>0</v>
      </c>
      <c r="D289" s="2398"/>
      <c r="E289" s="2398"/>
      <c r="F289" s="2398"/>
      <c r="G289" s="2398"/>
      <c r="H289" s="2398"/>
      <c r="I289" s="2404" t="s">
        <v>1135</v>
      </c>
    </row>
    <row r="290" spans="1:9">
      <c r="A290" s="2412"/>
      <c r="B290" s="2418"/>
      <c r="C290" s="2418"/>
      <c r="D290" s="2418"/>
      <c r="E290" s="2398"/>
      <c r="F290" s="2398"/>
      <c r="G290" s="2398"/>
      <c r="H290" s="2398"/>
      <c r="I290" s="2475"/>
    </row>
    <row r="291" spans="1:9">
      <c r="A291" s="2399" t="s">
        <v>1136</v>
      </c>
      <c r="B291" s="2398"/>
      <c r="C291" s="2398"/>
      <c r="D291" s="2398"/>
      <c r="E291" s="2398"/>
      <c r="F291" s="2398"/>
      <c r="G291" s="2398"/>
      <c r="H291" s="2398"/>
      <c r="I291" s="2475"/>
    </row>
    <row r="292" spans="1:9">
      <c r="A292" s="2400" t="s">
        <v>373</v>
      </c>
      <c r="B292" s="2400" t="s">
        <v>316</v>
      </c>
      <c r="C292" s="2400" t="s">
        <v>317</v>
      </c>
      <c r="D292" s="2398"/>
      <c r="E292" s="2398"/>
      <c r="F292" s="2398"/>
      <c r="G292" s="2398"/>
      <c r="H292" s="2398"/>
      <c r="I292" s="2475"/>
    </row>
    <row r="293" spans="1:9">
      <c r="A293" s="2402" t="s">
        <v>983</v>
      </c>
      <c r="B293" s="2403"/>
      <c r="C293" s="2403"/>
      <c r="D293" s="2398"/>
      <c r="E293" s="2398"/>
      <c r="F293" s="2398"/>
      <c r="G293" s="2398"/>
      <c r="H293" s="2398"/>
      <c r="I293" s="2404" t="s">
        <v>1137</v>
      </c>
    </row>
    <row r="294" spans="1:9">
      <c r="A294" s="2402" t="s">
        <v>985</v>
      </c>
      <c r="B294" s="2403"/>
      <c r="C294" s="2403"/>
      <c r="D294" s="2398"/>
      <c r="E294" s="2398"/>
      <c r="F294" s="2398"/>
      <c r="G294" s="2398"/>
      <c r="H294" s="2398"/>
      <c r="I294" s="2404" t="s">
        <v>1138</v>
      </c>
    </row>
    <row r="295" spans="1:9">
      <c r="A295" s="2402" t="s">
        <v>987</v>
      </c>
      <c r="B295" s="2403"/>
      <c r="C295" s="2403"/>
      <c r="D295" s="2398"/>
      <c r="E295" s="2398"/>
      <c r="F295" s="2398"/>
      <c r="G295" s="2398"/>
      <c r="H295" s="2398"/>
      <c r="I295" s="2404" t="s">
        <v>1139</v>
      </c>
    </row>
    <row r="296" spans="1:9">
      <c r="A296" s="2402" t="s">
        <v>989</v>
      </c>
      <c r="B296" s="2438">
        <f>ROUND(B297-B293-B294-B295,2)</f>
        <v>0</v>
      </c>
      <c r="C296" s="2438">
        <f>ROUND(C297-C293-C294-C295,2)</f>
        <v>0</v>
      </c>
      <c r="D296" s="2398"/>
      <c r="E296" s="2398"/>
      <c r="F296" s="2398"/>
      <c r="G296" s="2398"/>
      <c r="H296" s="2398"/>
      <c r="I296" s="2404" t="s">
        <v>1140</v>
      </c>
    </row>
    <row r="297" spans="1:9">
      <c r="A297" s="2400" t="s">
        <v>385</v>
      </c>
      <c r="B297" s="2369">
        <f>ROUND(B286,2)</f>
        <v>0</v>
      </c>
      <c r="C297" s="2369">
        <f>ROUND(C286,2)</f>
        <v>0</v>
      </c>
      <c r="D297" s="2398"/>
      <c r="E297" s="2398"/>
      <c r="F297" s="2398"/>
      <c r="G297" s="2398"/>
      <c r="H297" s="2398"/>
      <c r="I297" s="2404" t="s">
        <v>1141</v>
      </c>
    </row>
    <row r="298" spans="1:9">
      <c r="A298" s="2398"/>
      <c r="B298" s="2398"/>
      <c r="C298" s="2398"/>
      <c r="D298" s="2398"/>
      <c r="E298" s="2398"/>
      <c r="F298" s="2398"/>
      <c r="G298" s="2398"/>
      <c r="H298" s="2398"/>
      <c r="I298" s="2475"/>
    </row>
    <row r="299" spans="1:9">
      <c r="A299" s="2406" t="s">
        <v>1142</v>
      </c>
      <c r="B299" s="2398"/>
      <c r="C299" s="2398"/>
      <c r="D299" s="2398"/>
      <c r="E299" s="2398"/>
      <c r="F299" s="2398"/>
      <c r="G299" s="2398"/>
      <c r="H299" s="2398"/>
      <c r="I299" s="2475"/>
    </row>
    <row r="300" spans="1:9">
      <c r="A300" s="2426" t="s">
        <v>993</v>
      </c>
      <c r="B300" s="2426" t="s">
        <v>994</v>
      </c>
      <c r="C300" s="2426" t="s">
        <v>995</v>
      </c>
      <c r="D300" s="2426" t="s">
        <v>1143</v>
      </c>
      <c r="E300" s="2426" t="s">
        <v>1028</v>
      </c>
      <c r="F300" s="2426" t="s">
        <v>1144</v>
      </c>
      <c r="G300" s="2426" t="s">
        <v>1002</v>
      </c>
      <c r="H300" s="2426" t="s">
        <v>1145</v>
      </c>
      <c r="I300" s="2475"/>
    </row>
    <row r="301" spans="1:9">
      <c r="A301" s="2410"/>
      <c r="B301" s="2403"/>
      <c r="C301" s="2429"/>
      <c r="D301" s="2410"/>
      <c r="E301" s="2410"/>
      <c r="F301" s="2410"/>
      <c r="G301" s="2410"/>
      <c r="H301" s="2431"/>
      <c r="I301" s="2404" t="s">
        <v>1146</v>
      </c>
    </row>
    <row r="302" spans="1:9">
      <c r="A302" s="2410"/>
      <c r="B302" s="2403"/>
      <c r="C302" s="2429"/>
      <c r="D302" s="2410"/>
      <c r="E302" s="2410"/>
      <c r="F302" s="2410"/>
      <c r="G302" s="2410"/>
      <c r="H302" s="2431"/>
      <c r="I302" s="2404" t="s">
        <v>1146</v>
      </c>
    </row>
    <row r="303" spans="1:9">
      <c r="A303" s="2410"/>
      <c r="B303" s="2403"/>
      <c r="C303" s="2429"/>
      <c r="D303" s="2410"/>
      <c r="E303" s="2410"/>
      <c r="F303" s="2410"/>
      <c r="G303" s="2410"/>
      <c r="H303" s="2431"/>
      <c r="I303" s="2404" t="s">
        <v>1146</v>
      </c>
    </row>
    <row r="304" spans="1:9">
      <c r="A304" s="2410"/>
      <c r="B304" s="2403"/>
      <c r="C304" s="2429"/>
      <c r="D304" s="2410"/>
      <c r="E304" s="2410"/>
      <c r="F304" s="2410"/>
      <c r="G304" s="2410"/>
      <c r="H304" s="2431"/>
      <c r="I304" s="2404" t="s">
        <v>1146</v>
      </c>
    </row>
    <row r="305" spans="1:9">
      <c r="A305" s="2410"/>
      <c r="B305" s="2403"/>
      <c r="C305" s="2429"/>
      <c r="D305" s="2410"/>
      <c r="E305" s="2410"/>
      <c r="F305" s="2410"/>
      <c r="G305" s="2410"/>
      <c r="H305" s="2431"/>
      <c r="I305" s="2404" t="s">
        <v>1146</v>
      </c>
    </row>
    <row r="306" spans="1:9">
      <c r="A306" s="2410"/>
      <c r="B306" s="2403"/>
      <c r="C306" s="2429"/>
      <c r="D306" s="2410"/>
      <c r="E306" s="2410"/>
      <c r="F306" s="2410"/>
      <c r="G306" s="2410"/>
      <c r="H306" s="2431"/>
      <c r="I306" s="2404" t="s">
        <v>1146</v>
      </c>
    </row>
    <row r="307" spans="1:9">
      <c r="A307" s="2410"/>
      <c r="B307" s="2403"/>
      <c r="C307" s="2429"/>
      <c r="D307" s="2410"/>
      <c r="E307" s="2410"/>
      <c r="F307" s="2410"/>
      <c r="G307" s="2410"/>
      <c r="H307" s="2431"/>
      <c r="I307" s="2404" t="s">
        <v>1146</v>
      </c>
    </row>
    <row r="308" spans="1:9">
      <c r="A308" s="2410"/>
      <c r="B308" s="2403"/>
      <c r="C308" s="2429"/>
      <c r="D308" s="2410"/>
      <c r="E308" s="2410"/>
      <c r="F308" s="2410"/>
      <c r="G308" s="2410"/>
      <c r="H308" s="2431"/>
      <c r="I308" s="2404" t="s">
        <v>1146</v>
      </c>
    </row>
    <row r="309" spans="1:9">
      <c r="A309" s="2410"/>
      <c r="B309" s="2403"/>
      <c r="C309" s="2429"/>
      <c r="D309" s="2410"/>
      <c r="E309" s="2410"/>
      <c r="F309" s="2410"/>
      <c r="G309" s="2410"/>
      <c r="H309" s="2431"/>
      <c r="I309" s="2404" t="s">
        <v>1146</v>
      </c>
    </row>
    <row r="310" spans="1:9">
      <c r="A310" s="2410"/>
      <c r="B310" s="2403"/>
      <c r="C310" s="2429"/>
      <c r="D310" s="2410"/>
      <c r="E310" s="2410"/>
      <c r="F310" s="2410"/>
      <c r="G310" s="2410"/>
      <c r="H310" s="2431"/>
      <c r="I310" s="2404" t="s">
        <v>1146</v>
      </c>
    </row>
    <row r="311" spans="1:9">
      <c r="A311" s="2400" t="s">
        <v>385</v>
      </c>
      <c r="B311" s="2369">
        <f>ROUND(SUM(B301:B310),2)</f>
        <v>0</v>
      </c>
      <c r="C311" s="2416"/>
      <c r="D311" s="2416"/>
      <c r="E311" s="2416"/>
      <c r="F311" s="2416"/>
      <c r="G311" s="2416"/>
      <c r="H311" s="2416"/>
      <c r="I311" s="2404" t="s">
        <v>1147</v>
      </c>
    </row>
    <row r="312" spans="1:9">
      <c r="A312" s="2421"/>
      <c r="B312" s="2398"/>
      <c r="C312" s="2398"/>
      <c r="D312" s="2398"/>
      <c r="E312" s="2398"/>
      <c r="F312" s="2398"/>
      <c r="G312" s="2398"/>
      <c r="H312" s="2398"/>
      <c r="I312" s="2475"/>
    </row>
    <row r="313" spans="1:9">
      <c r="A313" s="2399" t="s">
        <v>1148</v>
      </c>
      <c r="B313" s="2398"/>
      <c r="C313" s="2398"/>
      <c r="D313" s="2398"/>
      <c r="E313" s="2398"/>
      <c r="F313" s="2398"/>
      <c r="G313" s="2398"/>
      <c r="H313" s="2398"/>
      <c r="I313" s="2475"/>
    </row>
    <row r="314" spans="1:9">
      <c r="A314" s="2400" t="s">
        <v>373</v>
      </c>
      <c r="B314" s="2426" t="s">
        <v>1149</v>
      </c>
      <c r="C314" s="2426" t="s">
        <v>1150</v>
      </c>
      <c r="D314" s="2426" t="s">
        <v>1151</v>
      </c>
      <c r="E314" s="2426" t="s">
        <v>1152</v>
      </c>
      <c r="F314" s="2426" t="s">
        <v>1153</v>
      </c>
      <c r="G314" s="2426" t="s">
        <v>1154</v>
      </c>
      <c r="H314" s="2426" t="s">
        <v>516</v>
      </c>
      <c r="I314" s="2475"/>
    </row>
    <row r="315" spans="1:9">
      <c r="A315" s="2410"/>
      <c r="B315" s="2410"/>
      <c r="C315" s="2410"/>
      <c r="D315" s="2431"/>
      <c r="E315" s="2403"/>
      <c r="F315" s="2403"/>
      <c r="G315" s="2403"/>
      <c r="H315" s="2403"/>
      <c r="I315" s="2404" t="s">
        <v>1155</v>
      </c>
    </row>
    <row r="316" spans="1:9">
      <c r="A316" s="2410"/>
      <c r="B316" s="2410"/>
      <c r="C316" s="2410"/>
      <c r="D316" s="2431"/>
      <c r="E316" s="2403"/>
      <c r="F316" s="2403"/>
      <c r="G316" s="2403"/>
      <c r="H316" s="2403"/>
      <c r="I316" s="2404" t="s">
        <v>1155</v>
      </c>
    </row>
    <row r="317" spans="1:9">
      <c r="A317" s="2410"/>
      <c r="B317" s="2410"/>
      <c r="C317" s="2410"/>
      <c r="D317" s="2431"/>
      <c r="E317" s="2403"/>
      <c r="F317" s="2403"/>
      <c r="G317" s="2403"/>
      <c r="H317" s="2403"/>
      <c r="I317" s="2404" t="s">
        <v>1155</v>
      </c>
    </row>
    <row r="318" spans="1:9">
      <c r="A318" s="2410"/>
      <c r="B318" s="2410"/>
      <c r="C318" s="2410"/>
      <c r="D318" s="2431"/>
      <c r="E318" s="2403"/>
      <c r="F318" s="2403"/>
      <c r="G318" s="2403"/>
      <c r="H318" s="2403"/>
      <c r="I318" s="2404" t="s">
        <v>1155</v>
      </c>
    </row>
    <row r="319" spans="1:9">
      <c r="A319" s="2410"/>
      <c r="B319" s="2410"/>
      <c r="C319" s="2410"/>
      <c r="D319" s="2431"/>
      <c r="E319" s="2403"/>
      <c r="F319" s="2403"/>
      <c r="G319" s="2403"/>
      <c r="H319" s="2403"/>
      <c r="I319" s="2404" t="s">
        <v>1155</v>
      </c>
    </row>
    <row r="320" spans="1:9">
      <c r="A320" s="2410"/>
      <c r="B320" s="2410"/>
      <c r="C320" s="2410"/>
      <c r="D320" s="2431"/>
      <c r="E320" s="2403"/>
      <c r="F320" s="2403"/>
      <c r="G320" s="2403"/>
      <c r="H320" s="2403"/>
      <c r="I320" s="2404" t="s">
        <v>1155</v>
      </c>
    </row>
    <row r="321" spans="1:9">
      <c r="A321" s="2410"/>
      <c r="B321" s="2410"/>
      <c r="C321" s="2410"/>
      <c r="D321" s="2431"/>
      <c r="E321" s="2403"/>
      <c r="F321" s="2403"/>
      <c r="G321" s="2403"/>
      <c r="H321" s="2403"/>
      <c r="I321" s="2404" t="s">
        <v>1155</v>
      </c>
    </row>
    <row r="322" spans="1:9">
      <c r="A322" s="2410"/>
      <c r="B322" s="2410"/>
      <c r="C322" s="2410"/>
      <c r="D322" s="2431"/>
      <c r="E322" s="2403"/>
      <c r="F322" s="2403"/>
      <c r="G322" s="2403"/>
      <c r="H322" s="2403"/>
      <c r="I322" s="2404" t="s">
        <v>1155</v>
      </c>
    </row>
    <row r="323" spans="1:9">
      <c r="A323" s="2410"/>
      <c r="B323" s="2410"/>
      <c r="C323" s="2410"/>
      <c r="D323" s="2431"/>
      <c r="E323" s="2403"/>
      <c r="F323" s="2403"/>
      <c r="G323" s="2403"/>
      <c r="H323" s="2403"/>
      <c r="I323" s="2404" t="s">
        <v>1155</v>
      </c>
    </row>
    <row r="324" spans="1:9">
      <c r="A324" s="2410"/>
      <c r="B324" s="2410"/>
      <c r="C324" s="2410"/>
      <c r="D324" s="2431"/>
      <c r="E324" s="2403"/>
      <c r="F324" s="2403"/>
      <c r="G324" s="2403"/>
      <c r="H324" s="2403"/>
      <c r="I324" s="2404" t="s">
        <v>1155</v>
      </c>
    </row>
    <row r="325" spans="1:9">
      <c r="A325" s="2400" t="s">
        <v>385</v>
      </c>
      <c r="B325" s="2416"/>
      <c r="C325" s="2416"/>
      <c r="D325" s="2416"/>
      <c r="E325" s="2369">
        <f>ROUND(SUM(E315:E324),2)</f>
        <v>0</v>
      </c>
      <c r="F325" s="2369">
        <f>ROUND(SUM(F315:F324),2)</f>
        <v>0</v>
      </c>
      <c r="G325" s="2369">
        <f>ROUND(SUM(G315:G324),2)</f>
        <v>0</v>
      </c>
      <c r="H325" s="2369">
        <f>ROUND(SUM(H315:H324),2)</f>
        <v>0</v>
      </c>
      <c r="I325" s="2404" t="s">
        <v>1156</v>
      </c>
    </row>
    <row r="326" spans="1:9">
      <c r="A326" s="2412"/>
      <c r="B326" s="2413"/>
      <c r="C326" s="2413"/>
      <c r="D326" s="2413"/>
      <c r="E326" s="2413"/>
      <c r="F326" s="2413"/>
      <c r="G326" s="2398"/>
      <c r="H326" s="2398"/>
      <c r="I326" s="2475"/>
    </row>
    <row r="327" spans="1:9">
      <c r="A327" s="2399" t="s">
        <v>1157</v>
      </c>
      <c r="B327" s="2398"/>
      <c r="C327" s="2398"/>
      <c r="D327" s="2398"/>
      <c r="E327" s="2398"/>
      <c r="F327" s="2398"/>
      <c r="G327" s="2398"/>
      <c r="H327" s="2398"/>
      <c r="I327" s="2475"/>
    </row>
    <row r="328" spans="1:9">
      <c r="A328" s="2400" t="s">
        <v>373</v>
      </c>
      <c r="B328" s="2402" t="s">
        <v>627</v>
      </c>
      <c r="C328" s="2402" t="s">
        <v>628</v>
      </c>
      <c r="D328" s="2426" t="s">
        <v>1150</v>
      </c>
      <c r="E328" s="2398"/>
      <c r="F328" s="2398"/>
      <c r="G328" s="2398"/>
      <c r="H328" s="2398"/>
      <c r="I328" s="2475"/>
    </row>
    <row r="329" spans="1:9">
      <c r="A329" s="2410"/>
      <c r="B329" s="2403"/>
      <c r="C329" s="2403"/>
      <c r="D329" s="2410"/>
      <c r="E329" s="2398"/>
      <c r="F329" s="2398"/>
      <c r="G329" s="2398"/>
      <c r="H329" s="2398"/>
      <c r="I329" s="2404" t="s">
        <v>1158</v>
      </c>
    </row>
    <row r="330" spans="1:9">
      <c r="A330" s="2410"/>
      <c r="B330" s="2403"/>
      <c r="C330" s="2403"/>
      <c r="D330" s="2410"/>
      <c r="E330" s="2398"/>
      <c r="F330" s="2398"/>
      <c r="G330" s="2398"/>
      <c r="H330" s="2398"/>
      <c r="I330" s="2404" t="s">
        <v>1158</v>
      </c>
    </row>
    <row r="331" spans="1:9">
      <c r="A331" s="2410"/>
      <c r="B331" s="2403"/>
      <c r="C331" s="2403"/>
      <c r="D331" s="2410"/>
      <c r="E331" s="2398"/>
      <c r="F331" s="2398"/>
      <c r="G331" s="2398"/>
      <c r="H331" s="2398"/>
      <c r="I331" s="2404" t="s">
        <v>1158</v>
      </c>
    </row>
    <row r="332" spans="1:9">
      <c r="A332" s="2410"/>
      <c r="B332" s="2403"/>
      <c r="C332" s="2403"/>
      <c r="D332" s="2410"/>
      <c r="E332" s="2398"/>
      <c r="F332" s="2398"/>
      <c r="G332" s="2398"/>
      <c r="H332" s="2398"/>
      <c r="I332" s="2404" t="s">
        <v>1158</v>
      </c>
    </row>
    <row r="333" spans="1:9">
      <c r="A333" s="2410"/>
      <c r="B333" s="2403"/>
      <c r="C333" s="2403"/>
      <c r="D333" s="2410"/>
      <c r="E333" s="2398"/>
      <c r="F333" s="2398"/>
      <c r="G333" s="2398"/>
      <c r="H333" s="2398"/>
      <c r="I333" s="2404" t="s">
        <v>1158</v>
      </c>
    </row>
    <row r="334" spans="1:9">
      <c r="A334" s="2410"/>
      <c r="B334" s="2403"/>
      <c r="C334" s="2403"/>
      <c r="D334" s="2410"/>
      <c r="E334" s="2398"/>
      <c r="F334" s="2398"/>
      <c r="G334" s="2398"/>
      <c r="H334" s="2398"/>
      <c r="I334" s="2404" t="s">
        <v>1158</v>
      </c>
    </row>
    <row r="335" spans="1:9">
      <c r="A335" s="2410"/>
      <c r="B335" s="2403"/>
      <c r="C335" s="2403"/>
      <c r="D335" s="2410"/>
      <c r="E335" s="2398"/>
      <c r="F335" s="2398"/>
      <c r="G335" s="2398"/>
      <c r="H335" s="2398"/>
      <c r="I335" s="2404" t="s">
        <v>1158</v>
      </c>
    </row>
    <row r="336" spans="1:9">
      <c r="A336" s="2410"/>
      <c r="B336" s="2403"/>
      <c r="C336" s="2403"/>
      <c r="D336" s="2410"/>
      <c r="E336" s="2398"/>
      <c r="F336" s="2398"/>
      <c r="G336" s="2398"/>
      <c r="H336" s="2398"/>
      <c r="I336" s="2404" t="s">
        <v>1158</v>
      </c>
    </row>
    <row r="337" spans="1:9">
      <c r="A337" s="2410"/>
      <c r="B337" s="2403"/>
      <c r="C337" s="2403"/>
      <c r="D337" s="2410"/>
      <c r="E337" s="2398"/>
      <c r="F337" s="2398"/>
      <c r="G337" s="2398"/>
      <c r="H337" s="2398"/>
      <c r="I337" s="2404" t="s">
        <v>1158</v>
      </c>
    </row>
    <row r="338" spans="1:9">
      <c r="A338" s="2410"/>
      <c r="B338" s="2403"/>
      <c r="C338" s="2403"/>
      <c r="D338" s="2410"/>
      <c r="E338" s="2398"/>
      <c r="F338" s="2398"/>
      <c r="G338" s="2398"/>
      <c r="H338" s="2398"/>
      <c r="I338" s="2404" t="s">
        <v>1158</v>
      </c>
    </row>
    <row r="339" spans="1:9">
      <c r="A339" s="2400" t="s">
        <v>385</v>
      </c>
      <c r="B339" s="2369">
        <f>ROUND(SUM(B329:B338),2)</f>
        <v>0</v>
      </c>
      <c r="C339" s="2369">
        <f>ROUND(SUM(C329:C338),2)</f>
        <v>0</v>
      </c>
      <c r="D339" s="2416"/>
      <c r="E339" s="2398"/>
      <c r="F339" s="2398"/>
      <c r="G339" s="2398"/>
      <c r="H339" s="2398"/>
      <c r="I339" s="2404" t="s">
        <v>1159</v>
      </c>
    </row>
    <row r="340" spans="1:9">
      <c r="A340" s="2417"/>
      <c r="B340" s="2418"/>
      <c r="C340" s="2418"/>
      <c r="D340" s="2413"/>
      <c r="E340" s="2398"/>
      <c r="F340" s="2398"/>
      <c r="G340" s="2398"/>
      <c r="H340" s="2398"/>
      <c r="I340" s="2404"/>
    </row>
    <row r="341" spans="1:9">
      <c r="A341" s="2421"/>
      <c r="B341" s="2398"/>
      <c r="C341" s="2398"/>
      <c r="D341" s="2398"/>
      <c r="E341" s="2398"/>
      <c r="F341" s="2398"/>
      <c r="G341" s="2398"/>
      <c r="H341" s="2398"/>
      <c r="I341" s="2475"/>
    </row>
    <row r="342" spans="1:9">
      <c r="A342" s="2397" t="s">
        <v>1160</v>
      </c>
      <c r="B342" s="2398"/>
      <c r="C342" s="2398"/>
      <c r="D342" s="2398"/>
      <c r="E342" s="2398"/>
      <c r="F342" s="2398"/>
      <c r="G342" s="2398"/>
      <c r="H342" s="2398"/>
      <c r="I342" s="2475"/>
    </row>
    <row r="343" spans="1:9">
      <c r="A343" s="2400" t="s">
        <v>373</v>
      </c>
      <c r="B343" s="2400" t="s">
        <v>316</v>
      </c>
      <c r="C343" s="2400" t="s">
        <v>317</v>
      </c>
      <c r="D343" s="2398"/>
      <c r="E343" s="2398"/>
      <c r="F343" s="2398"/>
      <c r="G343" s="2398"/>
      <c r="H343" s="2398"/>
      <c r="I343" s="2475"/>
    </row>
    <row r="344" spans="1:9">
      <c r="A344" s="2410"/>
      <c r="B344" s="2403"/>
      <c r="C344" s="2403"/>
      <c r="D344" s="2398"/>
      <c r="E344" s="2398"/>
      <c r="F344" s="2398"/>
      <c r="G344" s="2398"/>
      <c r="H344" s="2398"/>
      <c r="I344" s="2404" t="s">
        <v>219</v>
      </c>
    </row>
    <row r="345" spans="1:9">
      <c r="A345" s="2410"/>
      <c r="B345" s="2403"/>
      <c r="C345" s="2403"/>
      <c r="D345" s="2398"/>
      <c r="E345" s="2398"/>
      <c r="F345" s="2398"/>
      <c r="G345" s="2398"/>
      <c r="H345" s="2398"/>
      <c r="I345" s="2404" t="s">
        <v>219</v>
      </c>
    </row>
    <row r="346" spans="1:9">
      <c r="A346" s="2410"/>
      <c r="B346" s="2403"/>
      <c r="C346" s="2403"/>
      <c r="D346" s="2398"/>
      <c r="E346" s="2398"/>
      <c r="F346" s="2398"/>
      <c r="G346" s="2398"/>
      <c r="H346" s="2398"/>
      <c r="I346" s="2404" t="s">
        <v>219</v>
      </c>
    </row>
    <row r="347" spans="1:9">
      <c r="A347" s="2410"/>
      <c r="B347" s="2403"/>
      <c r="C347" s="2403"/>
      <c r="D347" s="2398"/>
      <c r="E347" s="2398"/>
      <c r="F347" s="2398"/>
      <c r="G347" s="2398"/>
      <c r="H347" s="2398"/>
      <c r="I347" s="2404" t="s">
        <v>219</v>
      </c>
    </row>
    <row r="348" spans="1:9">
      <c r="A348" s="2410"/>
      <c r="B348" s="2403"/>
      <c r="C348" s="2403"/>
      <c r="D348" s="2398"/>
      <c r="E348" s="2398"/>
      <c r="F348" s="2398"/>
      <c r="G348" s="2398"/>
      <c r="H348" s="2398"/>
      <c r="I348" s="2404" t="s">
        <v>219</v>
      </c>
    </row>
    <row r="349" spans="1:9">
      <c r="A349" s="2410"/>
      <c r="B349" s="2403"/>
      <c r="C349" s="2403"/>
      <c r="D349" s="2398"/>
      <c r="E349" s="2398"/>
      <c r="F349" s="2398"/>
      <c r="G349" s="2398"/>
      <c r="H349" s="2398"/>
      <c r="I349" s="2404" t="s">
        <v>219</v>
      </c>
    </row>
    <row r="350" spans="1:9">
      <c r="A350" s="2410"/>
      <c r="B350" s="2403"/>
      <c r="C350" s="2403"/>
      <c r="D350" s="2398"/>
      <c r="E350" s="2398"/>
      <c r="F350" s="2398"/>
      <c r="G350" s="2398"/>
      <c r="H350" s="2398"/>
      <c r="I350" s="2404" t="s">
        <v>219</v>
      </c>
    </row>
    <row r="351" spans="1:9">
      <c r="A351" s="2410"/>
      <c r="B351" s="2403"/>
      <c r="C351" s="2403"/>
      <c r="D351" s="2398"/>
      <c r="E351" s="2398"/>
      <c r="F351" s="2398"/>
      <c r="G351" s="2398"/>
      <c r="H351" s="2398"/>
      <c r="I351" s="2404" t="s">
        <v>219</v>
      </c>
    </row>
    <row r="352" spans="1:9">
      <c r="A352" s="2410"/>
      <c r="B352" s="2403"/>
      <c r="C352" s="2403"/>
      <c r="D352" s="2398"/>
      <c r="E352" s="2398"/>
      <c r="F352" s="2398"/>
      <c r="G352" s="2398"/>
      <c r="H352" s="2398"/>
      <c r="I352" s="2404" t="s">
        <v>219</v>
      </c>
    </row>
    <row r="353" spans="1:9">
      <c r="A353" s="2410"/>
      <c r="B353" s="2403"/>
      <c r="C353" s="2403"/>
      <c r="D353" s="2398"/>
      <c r="E353" s="2398"/>
      <c r="F353" s="2398"/>
      <c r="G353" s="2398"/>
      <c r="H353" s="2398"/>
      <c r="I353" s="2404" t="s">
        <v>219</v>
      </c>
    </row>
    <row r="354" spans="1:9">
      <c r="A354" s="2400" t="s">
        <v>385</v>
      </c>
      <c r="B354" s="2369">
        <f>ROUND(SUM(B344:B353),2)</f>
        <v>0</v>
      </c>
      <c r="C354" s="2369">
        <f>ROUND(SUM(C344:C353),2)</f>
        <v>0</v>
      </c>
      <c r="D354" s="2398"/>
      <c r="E354" s="2398"/>
      <c r="F354" s="2398"/>
      <c r="G354" s="2398"/>
      <c r="H354" s="2398"/>
      <c r="I354" s="2404" t="s">
        <v>1161</v>
      </c>
    </row>
    <row r="355" spans="1:9">
      <c r="A355" s="2421"/>
      <c r="B355" s="2398"/>
      <c r="C355" s="2398"/>
      <c r="D355" s="2398"/>
      <c r="E355" s="2398"/>
      <c r="F355" s="2398"/>
      <c r="G355" s="2398"/>
      <c r="H355" s="2398"/>
      <c r="I355" s="2475"/>
    </row>
    <row r="356" spans="1:9">
      <c r="A356" s="2421"/>
      <c r="B356" s="2398"/>
      <c r="C356" s="2398"/>
      <c r="D356" s="2398"/>
      <c r="E356" s="2398"/>
      <c r="F356" s="2398"/>
      <c r="G356" s="2398"/>
      <c r="H356" s="2398"/>
      <c r="I356" s="2475"/>
    </row>
    <row r="357" spans="1:9">
      <c r="A357" s="2397" t="s">
        <v>1162</v>
      </c>
      <c r="B357" s="2398"/>
      <c r="C357" s="2398"/>
      <c r="D357" s="2398"/>
      <c r="E357" s="2398"/>
      <c r="F357" s="2398"/>
      <c r="G357" s="2398"/>
      <c r="H357" s="2398"/>
      <c r="I357" s="2475"/>
    </row>
    <row r="358" spans="1:9">
      <c r="A358" s="2399" t="s">
        <v>314</v>
      </c>
      <c r="B358" s="2398"/>
      <c r="C358" s="2398"/>
      <c r="D358" s="2398"/>
      <c r="E358" s="2398"/>
      <c r="F358" s="2398"/>
      <c r="G358" s="2398"/>
      <c r="H358" s="2398"/>
      <c r="I358" s="2475"/>
    </row>
    <row r="359" spans="1:9">
      <c r="A359" s="2400" t="s">
        <v>373</v>
      </c>
      <c r="B359" s="2400" t="s">
        <v>316</v>
      </c>
      <c r="C359" s="2400" t="s">
        <v>317</v>
      </c>
      <c r="D359" s="2398"/>
      <c r="E359" s="2398"/>
      <c r="F359" s="2398"/>
      <c r="G359" s="2398"/>
      <c r="H359" s="2398"/>
      <c r="I359" s="2475"/>
    </row>
    <row r="360" spans="1:9">
      <c r="A360" s="2402" t="s">
        <v>983</v>
      </c>
      <c r="B360" s="2403"/>
      <c r="C360" s="2403"/>
      <c r="D360" s="2398"/>
      <c r="E360" s="2398"/>
      <c r="F360" s="2398"/>
      <c r="G360" s="2398"/>
      <c r="H360" s="2398"/>
      <c r="I360" s="2404" t="s">
        <v>1163</v>
      </c>
    </row>
    <row r="361" spans="1:9">
      <c r="A361" s="2402" t="s">
        <v>985</v>
      </c>
      <c r="B361" s="2403"/>
      <c r="C361" s="2403"/>
      <c r="D361" s="2398"/>
      <c r="E361" s="2398"/>
      <c r="F361" s="2398"/>
      <c r="G361" s="2398"/>
      <c r="H361" s="2398"/>
      <c r="I361" s="2404" t="s">
        <v>1164</v>
      </c>
    </row>
    <row r="362" spans="1:9">
      <c r="A362" s="2402" t="s">
        <v>987</v>
      </c>
      <c r="B362" s="2403"/>
      <c r="C362" s="2403"/>
      <c r="D362" s="2398"/>
      <c r="E362" s="2398"/>
      <c r="F362" s="2398"/>
      <c r="G362" s="2398"/>
      <c r="H362" s="2398"/>
      <c r="I362" s="2404" t="s">
        <v>1165</v>
      </c>
    </row>
    <row r="363" spans="1:9">
      <c r="A363" s="2402" t="s">
        <v>989</v>
      </c>
      <c r="B363" s="2403"/>
      <c r="C363" s="2403"/>
      <c r="D363" s="2398"/>
      <c r="E363" s="2398"/>
      <c r="F363" s="2398"/>
      <c r="G363" s="2398"/>
      <c r="H363" s="2398"/>
      <c r="I363" s="2404" t="s">
        <v>1166</v>
      </c>
    </row>
    <row r="364" spans="1:9">
      <c r="A364" s="2400" t="s">
        <v>385</v>
      </c>
      <c r="B364" s="2369">
        <f>ROUND(SUM(B360:B363),2)</f>
        <v>0</v>
      </c>
      <c r="C364" s="2369">
        <f>ROUND(SUM(C360:C363),2)</f>
        <v>0</v>
      </c>
      <c r="D364" s="2398"/>
      <c r="E364" s="2398"/>
      <c r="F364" s="2398"/>
      <c r="G364" s="2398"/>
      <c r="H364" s="2398"/>
      <c r="I364" s="2404" t="s">
        <v>1167</v>
      </c>
    </row>
    <row r="365" spans="1:9">
      <c r="A365" s="2398"/>
      <c r="B365" s="2398"/>
      <c r="C365" s="2398"/>
      <c r="D365" s="2398"/>
      <c r="E365" s="2398"/>
      <c r="F365" s="2398"/>
      <c r="G365" s="2398"/>
      <c r="H365" s="2398"/>
      <c r="I365" s="2475"/>
    </row>
    <row r="366" spans="1:9">
      <c r="A366" s="2406" t="s">
        <v>1168</v>
      </c>
      <c r="B366" s="2398"/>
      <c r="C366" s="2398"/>
      <c r="D366" s="2398"/>
      <c r="E366" s="2398"/>
      <c r="F366" s="2398"/>
      <c r="G366" s="2398"/>
      <c r="H366" s="2398"/>
      <c r="I366" s="2475"/>
    </row>
    <row r="367" spans="1:9">
      <c r="A367" s="2426" t="s">
        <v>993</v>
      </c>
      <c r="B367" s="2426" t="s">
        <v>994</v>
      </c>
      <c r="C367" s="2426" t="s">
        <v>995</v>
      </c>
      <c r="D367" s="2426" t="s">
        <v>996</v>
      </c>
      <c r="E367" s="2426" t="s">
        <v>1169</v>
      </c>
      <c r="F367" s="2426" t="s">
        <v>1170</v>
      </c>
      <c r="G367" s="2398"/>
      <c r="H367" s="2398"/>
      <c r="I367" s="2475"/>
    </row>
    <row r="368" spans="1:9">
      <c r="A368" s="2410"/>
      <c r="B368" s="2403"/>
      <c r="C368" s="2429"/>
      <c r="D368" s="2410"/>
      <c r="E368" s="2431"/>
      <c r="F368" s="2431"/>
      <c r="G368" s="2398"/>
      <c r="H368" s="2398"/>
      <c r="I368" s="2404" t="s">
        <v>1171</v>
      </c>
    </row>
    <row r="369" spans="1:9">
      <c r="A369" s="2410"/>
      <c r="B369" s="2403"/>
      <c r="C369" s="2429"/>
      <c r="D369" s="2410"/>
      <c r="E369" s="2431"/>
      <c r="F369" s="2431"/>
      <c r="G369" s="2398"/>
      <c r="H369" s="2398"/>
      <c r="I369" s="2404" t="s">
        <v>1171</v>
      </c>
    </row>
    <row r="370" spans="1:9">
      <c r="A370" s="2410"/>
      <c r="B370" s="2403"/>
      <c r="C370" s="2429"/>
      <c r="D370" s="2410"/>
      <c r="E370" s="2431"/>
      <c r="F370" s="2431"/>
      <c r="G370" s="2398"/>
      <c r="H370" s="2398"/>
      <c r="I370" s="2404" t="s">
        <v>1171</v>
      </c>
    </row>
    <row r="371" spans="1:9">
      <c r="A371" s="2410"/>
      <c r="B371" s="2403"/>
      <c r="C371" s="2429"/>
      <c r="D371" s="2410"/>
      <c r="E371" s="2431"/>
      <c r="F371" s="2431"/>
      <c r="G371" s="2398"/>
      <c r="H371" s="2398"/>
      <c r="I371" s="2404" t="s">
        <v>1171</v>
      </c>
    </row>
    <row r="372" spans="1:9">
      <c r="A372" s="2410"/>
      <c r="B372" s="2403"/>
      <c r="C372" s="2429"/>
      <c r="D372" s="2410"/>
      <c r="E372" s="2431"/>
      <c r="F372" s="2431"/>
      <c r="G372" s="2398"/>
      <c r="H372" s="2398"/>
      <c r="I372" s="2404" t="s">
        <v>1171</v>
      </c>
    </row>
    <row r="373" spans="1:9">
      <c r="A373" s="2410"/>
      <c r="B373" s="2403"/>
      <c r="C373" s="2429"/>
      <c r="D373" s="2410"/>
      <c r="E373" s="2431"/>
      <c r="F373" s="2431"/>
      <c r="G373" s="2398"/>
      <c r="H373" s="2398"/>
      <c r="I373" s="2404" t="s">
        <v>1171</v>
      </c>
    </row>
    <row r="374" spans="1:9">
      <c r="A374" s="2410"/>
      <c r="B374" s="2403"/>
      <c r="C374" s="2429"/>
      <c r="D374" s="2410"/>
      <c r="E374" s="2431"/>
      <c r="F374" s="2431"/>
      <c r="G374" s="2398"/>
      <c r="H374" s="2398"/>
      <c r="I374" s="2404" t="s">
        <v>1171</v>
      </c>
    </row>
    <row r="375" spans="1:9">
      <c r="A375" s="2410"/>
      <c r="B375" s="2403"/>
      <c r="C375" s="2429"/>
      <c r="D375" s="2410"/>
      <c r="E375" s="2431"/>
      <c r="F375" s="2431"/>
      <c r="G375" s="2398"/>
      <c r="H375" s="2398"/>
      <c r="I375" s="2404" t="s">
        <v>1171</v>
      </c>
    </row>
    <row r="376" spans="1:9">
      <c r="A376" s="2410"/>
      <c r="B376" s="2403"/>
      <c r="C376" s="2429"/>
      <c r="D376" s="2410"/>
      <c r="E376" s="2431"/>
      <c r="F376" s="2431"/>
      <c r="G376" s="2398"/>
      <c r="H376" s="2398"/>
      <c r="I376" s="2404" t="s">
        <v>1171</v>
      </c>
    </row>
    <row r="377" spans="1:9">
      <c r="A377" s="2410"/>
      <c r="B377" s="2403"/>
      <c r="C377" s="2429"/>
      <c r="D377" s="2410"/>
      <c r="E377" s="2431"/>
      <c r="F377" s="2431"/>
      <c r="G377" s="2398"/>
      <c r="H377" s="2398"/>
      <c r="I377" s="2404" t="s">
        <v>1171</v>
      </c>
    </row>
    <row r="378" spans="1:9">
      <c r="A378" s="2400" t="s">
        <v>385</v>
      </c>
      <c r="B378" s="2369">
        <f>ROUND(SUM(B368:B377),2)</f>
        <v>0</v>
      </c>
      <c r="C378" s="2416"/>
      <c r="D378" s="2416"/>
      <c r="E378" s="2416"/>
      <c r="F378" s="2416"/>
      <c r="G378" s="2398"/>
      <c r="H378" s="2398"/>
      <c r="I378" s="2404" t="s">
        <v>1172</v>
      </c>
    </row>
    <row r="379" spans="1:9">
      <c r="A379" s="2412"/>
      <c r="B379" s="2413"/>
      <c r="C379" s="2413"/>
      <c r="D379" s="2413"/>
      <c r="E379" s="2413"/>
      <c r="F379" s="2413"/>
      <c r="G379" s="2398"/>
      <c r="H379" s="2398"/>
      <c r="I379" s="2475"/>
    </row>
    <row r="380" spans="1:9">
      <c r="A380" s="2421"/>
      <c r="B380" s="2398"/>
      <c r="C380" s="2398"/>
      <c r="D380" s="2398"/>
      <c r="E380" s="2398"/>
      <c r="F380" s="2398"/>
      <c r="G380" s="2398"/>
      <c r="H380" s="2398"/>
      <c r="I380" s="2475"/>
    </row>
    <row r="381" spans="1:9">
      <c r="A381" s="2397" t="s">
        <v>1173</v>
      </c>
      <c r="B381" s="2398"/>
      <c r="C381" s="2398"/>
      <c r="D381" s="2398"/>
      <c r="E381" s="2398"/>
      <c r="F381" s="2398"/>
      <c r="G381" s="2398"/>
      <c r="H381" s="2398"/>
      <c r="I381" s="2475"/>
    </row>
    <row r="382" spans="1:9">
      <c r="A382" s="2400" t="s">
        <v>373</v>
      </c>
      <c r="B382" s="2426" t="s">
        <v>1149</v>
      </c>
      <c r="C382" s="2426" t="s">
        <v>1150</v>
      </c>
      <c r="D382" s="2426" t="s">
        <v>1151</v>
      </c>
      <c r="E382" s="2426" t="s">
        <v>1152</v>
      </c>
      <c r="F382" s="2426" t="s">
        <v>1153</v>
      </c>
      <c r="G382" s="2426" t="s">
        <v>1154</v>
      </c>
      <c r="H382" s="2426" t="s">
        <v>516</v>
      </c>
      <c r="I382" s="2475"/>
    </row>
    <row r="383" spans="1:9">
      <c r="A383" s="2410"/>
      <c r="B383" s="2410"/>
      <c r="C383" s="2410"/>
      <c r="D383" s="2431"/>
      <c r="E383" s="2403"/>
      <c r="F383" s="2403"/>
      <c r="G383" s="2403"/>
      <c r="H383" s="2403"/>
      <c r="I383" s="2404" t="s">
        <v>229</v>
      </c>
    </row>
    <row r="384" spans="1:9">
      <c r="A384" s="2410"/>
      <c r="B384" s="2410"/>
      <c r="C384" s="2410"/>
      <c r="D384" s="2431"/>
      <c r="E384" s="2403"/>
      <c r="F384" s="2403"/>
      <c r="G384" s="2403"/>
      <c r="H384" s="2403"/>
      <c r="I384" s="2404" t="s">
        <v>229</v>
      </c>
    </row>
    <row r="385" spans="1:9">
      <c r="A385" s="2410"/>
      <c r="B385" s="2410"/>
      <c r="C385" s="2410"/>
      <c r="D385" s="2431"/>
      <c r="E385" s="2403"/>
      <c r="F385" s="2403"/>
      <c r="G385" s="2403"/>
      <c r="H385" s="2403"/>
      <c r="I385" s="2404" t="s">
        <v>229</v>
      </c>
    </row>
    <row r="386" spans="1:9">
      <c r="A386" s="2410"/>
      <c r="B386" s="2410"/>
      <c r="C386" s="2410"/>
      <c r="D386" s="2431"/>
      <c r="E386" s="2403"/>
      <c r="F386" s="2403"/>
      <c r="G386" s="2403"/>
      <c r="H386" s="2403"/>
      <c r="I386" s="2404" t="s">
        <v>229</v>
      </c>
    </row>
    <row r="387" spans="1:9">
      <c r="A387" s="2410"/>
      <c r="B387" s="2410"/>
      <c r="C387" s="2410"/>
      <c r="D387" s="2431"/>
      <c r="E387" s="2403"/>
      <c r="F387" s="2403"/>
      <c r="G387" s="2403"/>
      <c r="H387" s="2403"/>
      <c r="I387" s="2404" t="s">
        <v>229</v>
      </c>
    </row>
    <row r="388" spans="1:9">
      <c r="A388" s="2410"/>
      <c r="B388" s="2410"/>
      <c r="C388" s="2410"/>
      <c r="D388" s="2431"/>
      <c r="E388" s="2403"/>
      <c r="F388" s="2403"/>
      <c r="G388" s="2403"/>
      <c r="H388" s="2403"/>
      <c r="I388" s="2404" t="s">
        <v>229</v>
      </c>
    </row>
    <row r="389" spans="1:9">
      <c r="A389" s="2410"/>
      <c r="B389" s="2410"/>
      <c r="C389" s="2410"/>
      <c r="D389" s="2431"/>
      <c r="E389" s="2403"/>
      <c r="F389" s="2403"/>
      <c r="G389" s="2403"/>
      <c r="H389" s="2403"/>
      <c r="I389" s="2404" t="s">
        <v>229</v>
      </c>
    </row>
    <row r="390" spans="1:9">
      <c r="A390" s="2410"/>
      <c r="B390" s="2410"/>
      <c r="C390" s="2410"/>
      <c r="D390" s="2431"/>
      <c r="E390" s="2403"/>
      <c r="F390" s="2403"/>
      <c r="G390" s="2403"/>
      <c r="H390" s="2403"/>
      <c r="I390" s="2404" t="s">
        <v>229</v>
      </c>
    </row>
    <row r="391" spans="1:9">
      <c r="A391" s="2410"/>
      <c r="B391" s="2410"/>
      <c r="C391" s="2410"/>
      <c r="D391" s="2431"/>
      <c r="E391" s="2403"/>
      <c r="F391" s="2403"/>
      <c r="G391" s="2403"/>
      <c r="H391" s="2403"/>
      <c r="I391" s="2404" t="s">
        <v>229</v>
      </c>
    </row>
    <row r="392" spans="1:9">
      <c r="A392" s="2410"/>
      <c r="B392" s="2410"/>
      <c r="C392" s="2410"/>
      <c r="D392" s="2431"/>
      <c r="E392" s="2403"/>
      <c r="F392" s="2403"/>
      <c r="G392" s="2403"/>
      <c r="H392" s="2403"/>
      <c r="I392" s="2404" t="s">
        <v>229</v>
      </c>
    </row>
    <row r="393" spans="1:9">
      <c r="A393" s="2400" t="s">
        <v>385</v>
      </c>
      <c r="B393" s="2416"/>
      <c r="C393" s="2416"/>
      <c r="D393" s="2416"/>
      <c r="E393" s="2369">
        <f>ROUND(SUM(E383:E392),2)</f>
        <v>0</v>
      </c>
      <c r="F393" s="2369">
        <f>ROUND(SUM(F383:F392),2)</f>
        <v>0</v>
      </c>
      <c r="G393" s="2369">
        <f>ROUND(SUM(G383:G392),2)</f>
        <v>0</v>
      </c>
      <c r="H393" s="2369">
        <f>ROUND(SUM(H383:H392),2)</f>
        <v>0</v>
      </c>
      <c r="I393" s="2404" t="s">
        <v>1174</v>
      </c>
    </row>
    <row r="394" spans="1:9">
      <c r="A394" s="2412"/>
      <c r="B394" s="2413"/>
      <c r="C394" s="2413"/>
      <c r="D394" s="2413"/>
      <c r="E394" s="2413"/>
      <c r="F394" s="2413"/>
      <c r="G394" s="2398"/>
      <c r="H394" s="2398"/>
      <c r="I394" s="2475"/>
    </row>
    <row r="395" spans="1:9">
      <c r="A395" s="2412"/>
      <c r="B395" s="2413"/>
      <c r="C395" s="2413"/>
      <c r="D395" s="2413"/>
      <c r="E395" s="2413"/>
      <c r="F395" s="2413"/>
      <c r="G395" s="2398"/>
      <c r="H395" s="2398"/>
      <c r="I395" s="2475"/>
    </row>
    <row r="396" spans="1:9">
      <c r="A396" s="2397" t="s">
        <v>1175</v>
      </c>
      <c r="B396" s="2398"/>
      <c r="C396" s="2398"/>
      <c r="D396" s="2398"/>
      <c r="E396" s="2398"/>
      <c r="F396" s="2398"/>
      <c r="G396" s="2398"/>
      <c r="H396" s="2398"/>
      <c r="I396" s="2475"/>
    </row>
    <row r="397" spans="1:9">
      <c r="A397" s="2400" t="s">
        <v>373</v>
      </c>
      <c r="B397" s="2402" t="s">
        <v>627</v>
      </c>
      <c r="C397" s="2402" t="s">
        <v>628</v>
      </c>
      <c r="D397" s="2426" t="s">
        <v>1150</v>
      </c>
      <c r="E397" s="2398"/>
      <c r="F397" s="2398"/>
      <c r="G397" s="2398"/>
      <c r="H397" s="2398"/>
      <c r="I397" s="2475"/>
    </row>
    <row r="398" spans="1:9">
      <c r="A398" s="2410"/>
      <c r="B398" s="2403"/>
      <c r="C398" s="2403"/>
      <c r="D398" s="2410"/>
      <c r="E398" s="2398"/>
      <c r="F398" s="2398"/>
      <c r="G398" s="2398"/>
      <c r="H398" s="2398"/>
      <c r="I398" s="2404" t="s">
        <v>231</v>
      </c>
    </row>
    <row r="399" spans="1:9">
      <c r="A399" s="2410"/>
      <c r="B399" s="2403"/>
      <c r="C399" s="2403"/>
      <c r="D399" s="2410"/>
      <c r="E399" s="2398"/>
      <c r="F399" s="2398"/>
      <c r="G399" s="2398"/>
      <c r="H399" s="2398"/>
      <c r="I399" s="2404" t="s">
        <v>231</v>
      </c>
    </row>
    <row r="400" spans="1:9">
      <c r="A400" s="2410"/>
      <c r="B400" s="2403"/>
      <c r="C400" s="2403"/>
      <c r="D400" s="2410"/>
      <c r="E400" s="2398"/>
      <c r="F400" s="2398"/>
      <c r="G400" s="2398"/>
      <c r="H400" s="2398"/>
      <c r="I400" s="2404" t="s">
        <v>231</v>
      </c>
    </row>
    <row r="401" spans="1:9">
      <c r="A401" s="2410"/>
      <c r="B401" s="2403"/>
      <c r="C401" s="2403"/>
      <c r="D401" s="2410"/>
      <c r="E401" s="2398"/>
      <c r="F401" s="2398"/>
      <c r="G401" s="2398"/>
      <c r="H401" s="2398"/>
      <c r="I401" s="2404" t="s">
        <v>231</v>
      </c>
    </row>
    <row r="402" spans="1:9">
      <c r="A402" s="2410"/>
      <c r="B402" s="2403"/>
      <c r="C402" s="2403"/>
      <c r="D402" s="2410"/>
      <c r="E402" s="2398"/>
      <c r="F402" s="2398"/>
      <c r="G402" s="2398"/>
      <c r="H402" s="2398"/>
      <c r="I402" s="2404" t="s">
        <v>231</v>
      </c>
    </row>
    <row r="403" spans="1:9">
      <c r="A403" s="2410"/>
      <c r="B403" s="2403"/>
      <c r="C403" s="2403"/>
      <c r="D403" s="2410"/>
      <c r="E403" s="2398"/>
      <c r="F403" s="2398"/>
      <c r="G403" s="2398"/>
      <c r="H403" s="2398"/>
      <c r="I403" s="2404" t="s">
        <v>231</v>
      </c>
    </row>
    <row r="404" spans="1:9">
      <c r="A404" s="2410"/>
      <c r="B404" s="2403"/>
      <c r="C404" s="2403"/>
      <c r="D404" s="2410"/>
      <c r="E404" s="2398"/>
      <c r="F404" s="2398"/>
      <c r="G404" s="2398"/>
      <c r="H404" s="2398"/>
      <c r="I404" s="2404" t="s">
        <v>231</v>
      </c>
    </row>
    <row r="405" spans="1:9">
      <c r="A405" s="2410"/>
      <c r="B405" s="2403"/>
      <c r="C405" s="2403"/>
      <c r="D405" s="2410"/>
      <c r="E405" s="2398"/>
      <c r="F405" s="2398"/>
      <c r="G405" s="2398"/>
      <c r="H405" s="2398"/>
      <c r="I405" s="2404" t="s">
        <v>231</v>
      </c>
    </row>
    <row r="406" spans="1:9">
      <c r="A406" s="2410"/>
      <c r="B406" s="2403"/>
      <c r="C406" s="2403"/>
      <c r="D406" s="2410"/>
      <c r="E406" s="2398"/>
      <c r="F406" s="2398"/>
      <c r="G406" s="2398"/>
      <c r="H406" s="2398"/>
      <c r="I406" s="2404" t="s">
        <v>231</v>
      </c>
    </row>
    <row r="407" spans="1:9">
      <c r="A407" s="2410"/>
      <c r="B407" s="2403"/>
      <c r="C407" s="2403"/>
      <c r="D407" s="2410"/>
      <c r="E407" s="2398"/>
      <c r="F407" s="2398"/>
      <c r="G407" s="2398"/>
      <c r="H407" s="2398"/>
      <c r="I407" s="2404" t="s">
        <v>231</v>
      </c>
    </row>
    <row r="408" spans="1:9">
      <c r="A408" s="2400" t="s">
        <v>385</v>
      </c>
      <c r="B408" s="2369">
        <f>ROUND(SUM(B398:B407),2)</f>
        <v>0</v>
      </c>
      <c r="C408" s="2369">
        <f>ROUND(SUM(C398:C407),2)</f>
        <v>0</v>
      </c>
      <c r="D408" s="2416"/>
      <c r="E408" s="2398"/>
      <c r="F408" s="2398"/>
      <c r="G408" s="2398"/>
      <c r="H408" s="2398"/>
      <c r="I408" s="2404" t="s">
        <v>1176</v>
      </c>
    </row>
    <row r="409" spans="1:9">
      <c r="A409" s="2412"/>
      <c r="B409" s="2413"/>
      <c r="C409" s="2413"/>
      <c r="D409" s="2413"/>
      <c r="E409" s="2413"/>
      <c r="F409" s="2413"/>
      <c r="G409" s="2398"/>
      <c r="H409" s="2398"/>
      <c r="I409" s="2475"/>
    </row>
    <row r="410" spans="1:9">
      <c r="A410" s="2421"/>
      <c r="B410" s="2398"/>
      <c r="C410" s="2398"/>
      <c r="D410" s="2398"/>
      <c r="E410" s="2398"/>
      <c r="F410" s="2398"/>
      <c r="G410" s="2398"/>
      <c r="H410" s="2398"/>
      <c r="I410" s="2475"/>
    </row>
    <row r="411" spans="1:9">
      <c r="A411" s="2397" t="s">
        <v>1177</v>
      </c>
      <c r="B411" s="2398"/>
      <c r="C411" s="2398"/>
      <c r="D411" s="2398"/>
      <c r="E411" s="2398"/>
      <c r="F411" s="2398"/>
      <c r="G411" s="2398"/>
      <c r="H411" s="2398"/>
      <c r="I411" s="2475"/>
    </row>
    <row r="412" spans="1:9">
      <c r="A412" s="2400" t="s">
        <v>373</v>
      </c>
      <c r="B412" s="2426" t="s">
        <v>1149</v>
      </c>
      <c r="C412" s="2402" t="s">
        <v>628</v>
      </c>
      <c r="D412" s="2426" t="s">
        <v>582</v>
      </c>
      <c r="E412" s="2426" t="s">
        <v>583</v>
      </c>
      <c r="F412" s="2402" t="s">
        <v>627</v>
      </c>
      <c r="G412" s="2398"/>
      <c r="H412" s="2398"/>
      <c r="I412" s="2475"/>
    </row>
    <row r="413" spans="1:9">
      <c r="A413" s="2410"/>
      <c r="B413" s="2410"/>
      <c r="C413" s="2403"/>
      <c r="D413" s="2403"/>
      <c r="E413" s="2403"/>
      <c r="F413" s="2369">
        <f>ROUND(C413+D413-E413,2)</f>
        <v>0</v>
      </c>
      <c r="G413" s="2398"/>
      <c r="H413" s="2398"/>
      <c r="I413" s="2404" t="s">
        <v>233</v>
      </c>
    </row>
    <row r="414" spans="1:9">
      <c r="A414" s="2410"/>
      <c r="B414" s="2410"/>
      <c r="C414" s="2403"/>
      <c r="D414" s="2403"/>
      <c r="E414" s="2403"/>
      <c r="F414" s="2369">
        <f t="shared" ref="F414:F422" si="1">ROUND(C414+D414-E414,2)</f>
        <v>0</v>
      </c>
      <c r="G414" s="2398"/>
      <c r="H414" s="2398"/>
      <c r="I414" s="2404" t="s">
        <v>233</v>
      </c>
    </row>
    <row r="415" spans="1:9">
      <c r="A415" s="2410"/>
      <c r="B415" s="2410"/>
      <c r="C415" s="2403"/>
      <c r="D415" s="2403"/>
      <c r="E415" s="2403"/>
      <c r="F415" s="2369">
        <f t="shared" si="1"/>
        <v>0</v>
      </c>
      <c r="G415" s="2398"/>
      <c r="H415" s="2398"/>
      <c r="I415" s="2404" t="s">
        <v>233</v>
      </c>
    </row>
    <row r="416" spans="1:9">
      <c r="A416" s="2410"/>
      <c r="B416" s="2410"/>
      <c r="C416" s="2403"/>
      <c r="D416" s="2403"/>
      <c r="E416" s="2403"/>
      <c r="F416" s="2369">
        <f t="shared" si="1"/>
        <v>0</v>
      </c>
      <c r="G416" s="2398"/>
      <c r="H416" s="2398"/>
      <c r="I416" s="2404" t="s">
        <v>233</v>
      </c>
    </row>
    <row r="417" spans="1:9">
      <c r="A417" s="2410"/>
      <c r="B417" s="2410"/>
      <c r="C417" s="2403"/>
      <c r="D417" s="2403"/>
      <c r="E417" s="2403"/>
      <c r="F417" s="2369">
        <f t="shared" si="1"/>
        <v>0</v>
      </c>
      <c r="G417" s="2398"/>
      <c r="H417" s="2398"/>
      <c r="I417" s="2404" t="s">
        <v>233</v>
      </c>
    </row>
    <row r="418" spans="1:9">
      <c r="A418" s="2410"/>
      <c r="B418" s="2410"/>
      <c r="C418" s="2403"/>
      <c r="D418" s="2403"/>
      <c r="E418" s="2403"/>
      <c r="F418" s="2369">
        <f t="shared" si="1"/>
        <v>0</v>
      </c>
      <c r="G418" s="2398"/>
      <c r="H418" s="2398"/>
      <c r="I418" s="2404" t="s">
        <v>233</v>
      </c>
    </row>
    <row r="419" spans="1:9">
      <c r="A419" s="2410"/>
      <c r="B419" s="2410"/>
      <c r="C419" s="2403"/>
      <c r="D419" s="2403"/>
      <c r="E419" s="2403"/>
      <c r="F419" s="2369">
        <f t="shared" si="1"/>
        <v>0</v>
      </c>
      <c r="G419" s="2398"/>
      <c r="H419" s="2398"/>
      <c r="I419" s="2404" t="s">
        <v>233</v>
      </c>
    </row>
    <row r="420" spans="1:9">
      <c r="A420" s="2410"/>
      <c r="B420" s="2410"/>
      <c r="C420" s="2403"/>
      <c r="D420" s="2403"/>
      <c r="E420" s="2403"/>
      <c r="F420" s="2369">
        <f t="shared" si="1"/>
        <v>0</v>
      </c>
      <c r="G420" s="2398"/>
      <c r="H420" s="2398"/>
      <c r="I420" s="2404" t="s">
        <v>233</v>
      </c>
    </row>
    <row r="421" spans="1:9">
      <c r="A421" s="2410"/>
      <c r="B421" s="2410"/>
      <c r="C421" s="2403"/>
      <c r="D421" s="2403"/>
      <c r="E421" s="2403"/>
      <c r="F421" s="2369">
        <f t="shared" si="1"/>
        <v>0</v>
      </c>
      <c r="G421" s="2398"/>
      <c r="H421" s="2398"/>
      <c r="I421" s="2404" t="s">
        <v>233</v>
      </c>
    </row>
    <row r="422" spans="1:9">
      <c r="A422" s="2410"/>
      <c r="B422" s="2410"/>
      <c r="C422" s="2403"/>
      <c r="D422" s="2403"/>
      <c r="E422" s="2403"/>
      <c r="F422" s="2369">
        <f t="shared" si="1"/>
        <v>0</v>
      </c>
      <c r="G422" s="2398"/>
      <c r="H422" s="2398"/>
      <c r="I422" s="2404" t="s">
        <v>233</v>
      </c>
    </row>
    <row r="423" spans="1:9">
      <c r="A423" s="2400" t="s">
        <v>385</v>
      </c>
      <c r="B423" s="2416"/>
      <c r="C423" s="2369">
        <f>ROUND(SUM(C413:C422),2)</f>
        <v>0</v>
      </c>
      <c r="D423" s="2369">
        <f>ROUND(SUM(D413:D422),2)</f>
        <v>0</v>
      </c>
      <c r="E423" s="2369">
        <f>ROUND(SUM(E413:E422),2)</f>
        <v>0</v>
      </c>
      <c r="F423" s="2369">
        <f>ROUND(SUM(F413:F422),2)</f>
        <v>0</v>
      </c>
      <c r="G423" s="2398"/>
      <c r="H423" s="2398"/>
      <c r="I423" s="2404" t="s">
        <v>1178</v>
      </c>
    </row>
    <row r="424" spans="1:9">
      <c r="A424" s="2412"/>
      <c r="B424" s="2413"/>
      <c r="C424" s="2413"/>
      <c r="D424" s="2413"/>
      <c r="E424" s="2413"/>
      <c r="F424" s="2413"/>
      <c r="G424" s="2398"/>
      <c r="H424" s="2398"/>
      <c r="I424" s="2475"/>
    </row>
    <row r="425" spans="1:9">
      <c r="A425" s="2421"/>
      <c r="B425" s="2398"/>
      <c r="C425" s="2398"/>
      <c r="D425" s="2398"/>
      <c r="E425" s="2398"/>
      <c r="F425" s="2398"/>
      <c r="G425" s="2398"/>
      <c r="H425" s="2398"/>
      <c r="I425" s="2475"/>
    </row>
    <row r="426" spans="1:9">
      <c r="A426" s="2397" t="s">
        <v>1179</v>
      </c>
      <c r="B426" s="2398"/>
      <c r="C426" s="2398"/>
      <c r="D426" s="2398"/>
      <c r="E426" s="2398"/>
      <c r="F426" s="2398"/>
      <c r="G426" s="2398"/>
      <c r="H426" s="2398"/>
      <c r="I426" s="2475"/>
    </row>
    <row r="427" spans="1:9">
      <c r="A427" s="2400" t="s">
        <v>373</v>
      </c>
      <c r="B427" s="2426" t="s">
        <v>1149</v>
      </c>
      <c r="C427" s="2400" t="s">
        <v>1180</v>
      </c>
      <c r="D427" s="2402" t="s">
        <v>628</v>
      </c>
      <c r="E427" s="2426" t="s">
        <v>582</v>
      </c>
      <c r="F427" s="2426" t="s">
        <v>583</v>
      </c>
      <c r="G427" s="2402" t="s">
        <v>627</v>
      </c>
      <c r="H427" s="2398"/>
      <c r="I427" s="2475"/>
    </row>
    <row r="428" spans="1:9">
      <c r="A428" s="2410"/>
      <c r="B428" s="2410"/>
      <c r="C428" s="2410"/>
      <c r="D428" s="2403"/>
      <c r="E428" s="2403"/>
      <c r="F428" s="2403"/>
      <c r="G428" s="2369">
        <f>ROUND(D428+E428-F428,2)</f>
        <v>0</v>
      </c>
      <c r="H428" s="2398"/>
      <c r="I428" s="2404" t="s">
        <v>235</v>
      </c>
    </row>
    <row r="429" spans="1:9">
      <c r="A429" s="2410"/>
      <c r="B429" s="2410"/>
      <c r="C429" s="2410"/>
      <c r="D429" s="2403"/>
      <c r="E429" s="2403"/>
      <c r="F429" s="2403"/>
      <c r="G429" s="2369">
        <f t="shared" ref="G429:G437" si="2">ROUND(D429+E429-F429,2)</f>
        <v>0</v>
      </c>
      <c r="H429" s="2398"/>
      <c r="I429" s="2404" t="s">
        <v>235</v>
      </c>
    </row>
    <row r="430" spans="1:9">
      <c r="A430" s="2410"/>
      <c r="B430" s="2410"/>
      <c r="C430" s="2410"/>
      <c r="D430" s="2403"/>
      <c r="E430" s="2403"/>
      <c r="F430" s="2403"/>
      <c r="G430" s="2369">
        <f t="shared" si="2"/>
        <v>0</v>
      </c>
      <c r="H430" s="2398"/>
      <c r="I430" s="2404" t="s">
        <v>235</v>
      </c>
    </row>
    <row r="431" spans="1:9">
      <c r="A431" s="2410"/>
      <c r="B431" s="2410"/>
      <c r="C431" s="2410"/>
      <c r="D431" s="2403"/>
      <c r="E431" s="2403"/>
      <c r="F431" s="2403"/>
      <c r="G431" s="2369">
        <f t="shared" si="2"/>
        <v>0</v>
      </c>
      <c r="H431" s="2398"/>
      <c r="I431" s="2404" t="s">
        <v>235</v>
      </c>
    </row>
    <row r="432" spans="1:9">
      <c r="A432" s="2410"/>
      <c r="B432" s="2410"/>
      <c r="C432" s="2410"/>
      <c r="D432" s="2403"/>
      <c r="E432" s="2403"/>
      <c r="F432" s="2403"/>
      <c r="G432" s="2369">
        <f t="shared" si="2"/>
        <v>0</v>
      </c>
      <c r="H432" s="2398"/>
      <c r="I432" s="2404" t="s">
        <v>235</v>
      </c>
    </row>
    <row r="433" spans="1:9">
      <c r="A433" s="2410"/>
      <c r="B433" s="2410"/>
      <c r="C433" s="2410"/>
      <c r="D433" s="2403"/>
      <c r="E433" s="2403"/>
      <c r="F433" s="2403"/>
      <c r="G433" s="2369">
        <f t="shared" si="2"/>
        <v>0</v>
      </c>
      <c r="H433" s="2398"/>
      <c r="I433" s="2404" t="s">
        <v>235</v>
      </c>
    </row>
    <row r="434" spans="1:9">
      <c r="A434" s="2410"/>
      <c r="B434" s="2410"/>
      <c r="C434" s="2410"/>
      <c r="D434" s="2403"/>
      <c r="E434" s="2403"/>
      <c r="F434" s="2403"/>
      <c r="G434" s="2369">
        <f t="shared" si="2"/>
        <v>0</v>
      </c>
      <c r="H434" s="2398"/>
      <c r="I434" s="2404" t="s">
        <v>235</v>
      </c>
    </row>
    <row r="435" spans="1:9">
      <c r="A435" s="2410"/>
      <c r="B435" s="2410"/>
      <c r="C435" s="2410"/>
      <c r="D435" s="2403"/>
      <c r="E435" s="2403"/>
      <c r="F435" s="2403"/>
      <c r="G435" s="2369">
        <f t="shared" si="2"/>
        <v>0</v>
      </c>
      <c r="H435" s="2398"/>
      <c r="I435" s="2404" t="s">
        <v>235</v>
      </c>
    </row>
    <row r="436" spans="1:9">
      <c r="A436" s="2410"/>
      <c r="B436" s="2410"/>
      <c r="C436" s="2410"/>
      <c r="D436" s="2403"/>
      <c r="E436" s="2403"/>
      <c r="F436" s="2403"/>
      <c r="G436" s="2369">
        <f t="shared" si="2"/>
        <v>0</v>
      </c>
      <c r="H436" s="2398"/>
      <c r="I436" s="2404" t="s">
        <v>235</v>
      </c>
    </row>
    <row r="437" spans="1:9">
      <c r="A437" s="2410"/>
      <c r="B437" s="2410"/>
      <c r="C437" s="2410"/>
      <c r="D437" s="2403"/>
      <c r="E437" s="2403"/>
      <c r="F437" s="2403"/>
      <c r="G437" s="2369">
        <f t="shared" si="2"/>
        <v>0</v>
      </c>
      <c r="H437" s="2398"/>
      <c r="I437" s="2404" t="s">
        <v>235</v>
      </c>
    </row>
    <row r="438" spans="1:9">
      <c r="A438" s="2400" t="s">
        <v>385</v>
      </c>
      <c r="B438" s="2416"/>
      <c r="C438" s="2369"/>
      <c r="D438" s="2369">
        <f>ROUND(SUM(D428:D437),2)</f>
        <v>0</v>
      </c>
      <c r="E438" s="2369">
        <f>ROUND(SUM(E428:E437),2)</f>
        <v>0</v>
      </c>
      <c r="F438" s="2369">
        <f>ROUND(SUM(F428:F437),2)</f>
        <v>0</v>
      </c>
      <c r="G438" s="2369">
        <f>ROUND(SUM(G428:G437),2)</f>
        <v>0</v>
      </c>
      <c r="H438" s="2398"/>
      <c r="I438" s="2404" t="s">
        <v>1181</v>
      </c>
    </row>
    <row r="439" spans="1:9">
      <c r="A439" s="2417"/>
      <c r="B439" s="2418"/>
      <c r="C439" s="2418"/>
      <c r="D439" s="2413"/>
      <c r="E439" s="2398"/>
      <c r="F439" s="2398"/>
      <c r="G439" s="2398"/>
      <c r="H439" s="2398"/>
      <c r="I439" s="2404"/>
    </row>
    <row r="440" spans="1:9">
      <c r="A440" s="2421"/>
      <c r="B440" s="2398"/>
      <c r="C440" s="2398"/>
      <c r="D440" s="2398"/>
      <c r="E440" s="2398"/>
      <c r="F440" s="2398"/>
      <c r="G440" s="2398"/>
      <c r="H440" s="2398"/>
      <c r="I440" s="2475"/>
    </row>
    <row r="441" spans="1:9">
      <c r="A441" s="2397" t="s">
        <v>1182</v>
      </c>
      <c r="B441" s="2398"/>
      <c r="C441" s="2398"/>
      <c r="D441" s="2398"/>
      <c r="E441" s="2398"/>
      <c r="F441" s="2398"/>
      <c r="G441" s="2398"/>
      <c r="H441" s="2398"/>
      <c r="I441" s="2475"/>
    </row>
    <row r="442" spans="1:9">
      <c r="A442" s="2400" t="s">
        <v>373</v>
      </c>
      <c r="B442" s="2400" t="s">
        <v>316</v>
      </c>
      <c r="C442" s="2400" t="s">
        <v>317</v>
      </c>
      <c r="D442" s="2398"/>
      <c r="E442" s="2398"/>
      <c r="F442" s="2398"/>
      <c r="G442" s="2398"/>
      <c r="H442" s="2398"/>
      <c r="I442" s="2475"/>
    </row>
    <row r="443" spans="1:9">
      <c r="A443" s="2410"/>
      <c r="B443" s="2403"/>
      <c r="C443" s="2403"/>
      <c r="D443" s="2398"/>
      <c r="E443" s="2398"/>
      <c r="F443" s="2398"/>
      <c r="G443" s="2398"/>
      <c r="H443" s="2398"/>
      <c r="I443" s="2404" t="s">
        <v>239</v>
      </c>
    </row>
    <row r="444" spans="1:9">
      <c r="A444" s="2410"/>
      <c r="B444" s="2403"/>
      <c r="C444" s="2403"/>
      <c r="D444" s="2398"/>
      <c r="E444" s="2398"/>
      <c r="F444" s="2398"/>
      <c r="G444" s="2398"/>
      <c r="H444" s="2398"/>
      <c r="I444" s="2404" t="s">
        <v>239</v>
      </c>
    </row>
    <row r="445" spans="1:9">
      <c r="A445" s="2410"/>
      <c r="B445" s="2403"/>
      <c r="C445" s="2403"/>
      <c r="D445" s="2398"/>
      <c r="E445" s="2398"/>
      <c r="F445" s="2398"/>
      <c r="G445" s="2398"/>
      <c r="H445" s="2398"/>
      <c r="I445" s="2404" t="s">
        <v>239</v>
      </c>
    </row>
    <row r="446" spans="1:9">
      <c r="A446" s="2410"/>
      <c r="B446" s="2403"/>
      <c r="C446" s="2403"/>
      <c r="D446" s="2398"/>
      <c r="E446" s="2398"/>
      <c r="F446" s="2398"/>
      <c r="G446" s="2398"/>
      <c r="H446" s="2398"/>
      <c r="I446" s="2404" t="s">
        <v>239</v>
      </c>
    </row>
    <row r="447" spans="1:9">
      <c r="A447" s="2410"/>
      <c r="B447" s="2403"/>
      <c r="C447" s="2403"/>
      <c r="D447" s="2398"/>
      <c r="E447" s="2398"/>
      <c r="F447" s="2398"/>
      <c r="G447" s="2398"/>
      <c r="H447" s="2398"/>
      <c r="I447" s="2404" t="s">
        <v>239</v>
      </c>
    </row>
    <row r="448" spans="1:9">
      <c r="A448" s="2410"/>
      <c r="B448" s="2403"/>
      <c r="C448" s="2403"/>
      <c r="D448" s="2398"/>
      <c r="E448" s="2398"/>
      <c r="F448" s="2398"/>
      <c r="G448" s="2398"/>
      <c r="H448" s="2398"/>
      <c r="I448" s="2404" t="s">
        <v>239</v>
      </c>
    </row>
    <row r="449" spans="1:9">
      <c r="A449" s="2410"/>
      <c r="B449" s="2403"/>
      <c r="C449" s="2403"/>
      <c r="D449" s="2398"/>
      <c r="E449" s="2398"/>
      <c r="F449" s="2398"/>
      <c r="G449" s="2398"/>
      <c r="H449" s="2398"/>
      <c r="I449" s="2404" t="s">
        <v>239</v>
      </c>
    </row>
    <row r="450" spans="1:9">
      <c r="A450" s="2410"/>
      <c r="B450" s="2403"/>
      <c r="C450" s="2403"/>
      <c r="D450" s="2398"/>
      <c r="E450" s="2398"/>
      <c r="F450" s="2398"/>
      <c r="G450" s="2398"/>
      <c r="H450" s="2398"/>
      <c r="I450" s="2404" t="s">
        <v>239</v>
      </c>
    </row>
    <row r="451" spans="1:9">
      <c r="A451" s="2410"/>
      <c r="B451" s="2403"/>
      <c r="C451" s="2403"/>
      <c r="D451" s="2398"/>
      <c r="E451" s="2398"/>
      <c r="F451" s="2398"/>
      <c r="G451" s="2398"/>
      <c r="H451" s="2398"/>
      <c r="I451" s="2404" t="s">
        <v>239</v>
      </c>
    </row>
    <row r="452" spans="1:9">
      <c r="A452" s="2410"/>
      <c r="B452" s="2403"/>
      <c r="C452" s="2403"/>
      <c r="D452" s="2398"/>
      <c r="E452" s="2398"/>
      <c r="F452" s="2398"/>
      <c r="G452" s="2398"/>
      <c r="H452" s="2398"/>
      <c r="I452" s="2404" t="s">
        <v>239</v>
      </c>
    </row>
    <row r="453" spans="1:9">
      <c r="A453" s="2400" t="s">
        <v>385</v>
      </c>
      <c r="B453" s="2369">
        <f>ROUND(SUM(B443:B452),2)</f>
        <v>0</v>
      </c>
      <c r="C453" s="2369">
        <f>ROUND(SUM(C443:C452),2)</f>
        <v>0</v>
      </c>
      <c r="D453" s="2398"/>
      <c r="E453" s="2398"/>
      <c r="F453" s="2398"/>
      <c r="G453" s="2398"/>
      <c r="H453" s="2398"/>
      <c r="I453" s="2404" t="s">
        <v>1183</v>
      </c>
    </row>
    <row r="454" spans="1:9">
      <c r="A454" s="2398"/>
      <c r="B454" s="2398"/>
      <c r="C454" s="2398"/>
      <c r="D454" s="2398"/>
      <c r="E454" s="2398"/>
      <c r="F454" s="2398"/>
      <c r="G454" s="2398"/>
      <c r="H454" s="2398"/>
      <c r="I454" s="2475"/>
    </row>
    <row r="455" spans="1:9">
      <c r="A455" s="2398"/>
      <c r="B455" s="2398"/>
      <c r="C455" s="2398"/>
      <c r="D455" s="2398"/>
      <c r="E455" s="2398"/>
      <c r="F455" s="2398"/>
      <c r="G455" s="2398"/>
      <c r="H455" s="2398"/>
      <c r="I455" s="2475"/>
    </row>
    <row r="456" spans="1:9">
      <c r="A456" s="2397" t="s">
        <v>1184</v>
      </c>
      <c r="B456" s="2398"/>
      <c r="C456" s="2398"/>
      <c r="D456" s="2398"/>
      <c r="E456" s="2398"/>
      <c r="F456" s="2398"/>
      <c r="G456" s="2398"/>
      <c r="H456" s="2398"/>
      <c r="I456" s="2475"/>
    </row>
    <row r="457" spans="1:9">
      <c r="A457" s="2400" t="s">
        <v>1114</v>
      </c>
      <c r="B457" s="2400" t="s">
        <v>628</v>
      </c>
      <c r="C457" s="2400" t="s">
        <v>445</v>
      </c>
      <c r="D457" s="2426" t="s">
        <v>582</v>
      </c>
      <c r="E457" s="2426" t="s">
        <v>583</v>
      </c>
      <c r="F457" s="2400" t="s">
        <v>627</v>
      </c>
      <c r="G457" s="2426" t="s">
        <v>445</v>
      </c>
      <c r="H457" s="2398"/>
      <c r="I457" s="2475"/>
    </row>
    <row r="458" spans="1:9">
      <c r="A458" s="2410"/>
      <c r="B458" s="2403"/>
      <c r="C458" s="2439">
        <f>IF(B468=0,0,IF(B459=B460=B461=B462=B463=B464=B465=B466=B467=0,B458/B468,ROUND(1-C459-C460-C461-C462-C463-C464-C465-C466-C467,4)))</f>
        <v>0</v>
      </c>
      <c r="D458" s="2403"/>
      <c r="E458" s="2403"/>
      <c r="F458" s="2369">
        <f>ROUND(B458+D458-E458,2)</f>
        <v>0</v>
      </c>
      <c r="G458" s="2439">
        <f>IF(F468=0,0,IF(F459=F460=F461=F462=F463=F464=F465=F466=F467=0,F458/F468,ROUND(1-G459-G460-G461-G462-G463-G464-G465-G466-G467,4)))</f>
        <v>0</v>
      </c>
      <c r="H458" s="2398"/>
      <c r="I458" s="2404" t="s">
        <v>1185</v>
      </c>
    </row>
    <row r="459" spans="1:9">
      <c r="A459" s="2410"/>
      <c r="B459" s="2403"/>
      <c r="C459" s="2439">
        <f>IF(B$468=0,0,B459/B$468)</f>
        <v>0</v>
      </c>
      <c r="D459" s="2403"/>
      <c r="E459" s="2403"/>
      <c r="F459" s="2369">
        <f t="shared" ref="F459:F467" si="3">ROUND(B459+D459-E459,2)</f>
        <v>0</v>
      </c>
      <c r="G459" s="2439">
        <f>IF(F$468=0,0,F459/F$468)</f>
        <v>0</v>
      </c>
      <c r="H459" s="2398"/>
      <c r="I459" s="2404" t="s">
        <v>1185</v>
      </c>
    </row>
    <row r="460" spans="1:9">
      <c r="A460" s="2410"/>
      <c r="B460" s="2403"/>
      <c r="C460" s="2439">
        <f t="shared" ref="C460:C467" si="4">IF(B$468=0,0,B460/B$468)</f>
        <v>0</v>
      </c>
      <c r="D460" s="2403"/>
      <c r="E460" s="2403"/>
      <c r="F460" s="2369">
        <f t="shared" si="3"/>
        <v>0</v>
      </c>
      <c r="G460" s="2439">
        <f t="shared" ref="G460:G467" si="5">IF(F$468=0,0,F460/F$468)</f>
        <v>0</v>
      </c>
      <c r="H460" s="2398"/>
      <c r="I460" s="2404" t="s">
        <v>1185</v>
      </c>
    </row>
    <row r="461" spans="1:9">
      <c r="A461" s="2410"/>
      <c r="B461" s="2403"/>
      <c r="C461" s="2439">
        <f t="shared" si="4"/>
        <v>0</v>
      </c>
      <c r="D461" s="2403"/>
      <c r="E461" s="2403"/>
      <c r="F461" s="2369">
        <f t="shared" si="3"/>
        <v>0</v>
      </c>
      <c r="G461" s="2439">
        <f t="shared" si="5"/>
        <v>0</v>
      </c>
      <c r="H461" s="2398"/>
      <c r="I461" s="2404" t="s">
        <v>1185</v>
      </c>
    </row>
    <row r="462" spans="1:9">
      <c r="A462" s="2410"/>
      <c r="B462" s="2403"/>
      <c r="C462" s="2439">
        <f t="shared" si="4"/>
        <v>0</v>
      </c>
      <c r="D462" s="2403"/>
      <c r="E462" s="2403"/>
      <c r="F462" s="2369">
        <f t="shared" si="3"/>
        <v>0</v>
      </c>
      <c r="G462" s="2439">
        <f t="shared" si="5"/>
        <v>0</v>
      </c>
      <c r="H462" s="2398"/>
      <c r="I462" s="2404" t="s">
        <v>1185</v>
      </c>
    </row>
    <row r="463" spans="1:9">
      <c r="A463" s="2410"/>
      <c r="B463" s="2403"/>
      <c r="C463" s="2439">
        <f t="shared" si="4"/>
        <v>0</v>
      </c>
      <c r="D463" s="2403"/>
      <c r="E463" s="2403"/>
      <c r="F463" s="2369">
        <f t="shared" si="3"/>
        <v>0</v>
      </c>
      <c r="G463" s="2439">
        <f t="shared" si="5"/>
        <v>0</v>
      </c>
      <c r="H463" s="2398"/>
      <c r="I463" s="2404" t="s">
        <v>1185</v>
      </c>
    </row>
    <row r="464" spans="1:9">
      <c r="A464" s="2410"/>
      <c r="B464" s="2403"/>
      <c r="C464" s="2439">
        <f t="shared" si="4"/>
        <v>0</v>
      </c>
      <c r="D464" s="2403"/>
      <c r="E464" s="2403"/>
      <c r="F464" s="2369">
        <f t="shared" si="3"/>
        <v>0</v>
      </c>
      <c r="G464" s="2439">
        <f t="shared" si="5"/>
        <v>0</v>
      </c>
      <c r="H464" s="2398"/>
      <c r="I464" s="2404" t="s">
        <v>1185</v>
      </c>
    </row>
    <row r="465" spans="1:9">
      <c r="A465" s="2410"/>
      <c r="B465" s="2403"/>
      <c r="C465" s="2439">
        <f t="shared" si="4"/>
        <v>0</v>
      </c>
      <c r="D465" s="2403"/>
      <c r="E465" s="2403"/>
      <c r="F465" s="2369">
        <f t="shared" si="3"/>
        <v>0</v>
      </c>
      <c r="G465" s="2439">
        <f t="shared" si="5"/>
        <v>0</v>
      </c>
      <c r="H465" s="2398"/>
      <c r="I465" s="2404" t="s">
        <v>1185</v>
      </c>
    </row>
    <row r="466" spans="1:9">
      <c r="A466" s="2410"/>
      <c r="B466" s="2403"/>
      <c r="C466" s="2439">
        <f t="shared" si="4"/>
        <v>0</v>
      </c>
      <c r="D466" s="2403"/>
      <c r="E466" s="2403"/>
      <c r="F466" s="2369">
        <f t="shared" si="3"/>
        <v>0</v>
      </c>
      <c r="G466" s="2439">
        <f t="shared" si="5"/>
        <v>0</v>
      </c>
      <c r="H466" s="2398"/>
      <c r="I466" s="2404" t="s">
        <v>1185</v>
      </c>
    </row>
    <row r="467" spans="1:9">
      <c r="A467" s="2410"/>
      <c r="B467" s="2403"/>
      <c r="C467" s="2439">
        <f t="shared" si="4"/>
        <v>0</v>
      </c>
      <c r="D467" s="2403"/>
      <c r="E467" s="2403"/>
      <c r="F467" s="2369">
        <f t="shared" si="3"/>
        <v>0</v>
      </c>
      <c r="G467" s="2439">
        <f t="shared" si="5"/>
        <v>0</v>
      </c>
      <c r="H467" s="2398"/>
      <c r="I467" s="2404" t="s">
        <v>1185</v>
      </c>
    </row>
    <row r="468" spans="1:9">
      <c r="A468" s="2400" t="s">
        <v>385</v>
      </c>
      <c r="B468" s="2369">
        <f>ROUND(SUM(B458:B467),2)</f>
        <v>0</v>
      </c>
      <c r="C468" s="2411">
        <f>IF(B$468=0,0,1)</f>
        <v>0</v>
      </c>
      <c r="D468" s="2369">
        <f>ROUND(SUM(D458:D467),2)</f>
        <v>0</v>
      </c>
      <c r="E468" s="2369">
        <f>ROUND(SUM(E458:E467),2)</f>
        <v>0</v>
      </c>
      <c r="F468" s="2369">
        <f>ROUND(SUM(F458:F467),2)</f>
        <v>0</v>
      </c>
      <c r="G468" s="2411">
        <f>IF(F$468=0,0,1)</f>
        <v>0</v>
      </c>
      <c r="H468" s="2398"/>
      <c r="I468" s="2404" t="s">
        <v>1186</v>
      </c>
    </row>
    <row r="469" spans="1:9">
      <c r="A469" s="2417"/>
      <c r="B469" s="2418"/>
      <c r="C469" s="2440"/>
      <c r="D469" s="2418"/>
      <c r="E469" s="2418"/>
      <c r="F469" s="2418"/>
      <c r="G469" s="2440"/>
      <c r="H469" s="2398"/>
      <c r="I469" s="2475"/>
    </row>
    <row r="470" spans="1:9">
      <c r="A470" s="2398"/>
      <c r="B470" s="2398"/>
      <c r="C470" s="2398"/>
      <c r="D470" s="2398"/>
      <c r="E470" s="2398"/>
      <c r="F470" s="2398"/>
      <c r="G470" s="2398"/>
      <c r="H470" s="2398"/>
      <c r="I470" s="2475"/>
    </row>
    <row r="471" spans="1:9">
      <c r="A471" s="2397" t="s">
        <v>1187</v>
      </c>
      <c r="B471" s="2398"/>
      <c r="C471" s="2398"/>
      <c r="D471" s="2398"/>
      <c r="E471" s="2398"/>
      <c r="F471" s="2398"/>
      <c r="G471" s="2398"/>
      <c r="H471" s="2398"/>
      <c r="I471" s="2475"/>
    </row>
    <row r="472" spans="1:9">
      <c r="A472" s="2400" t="s">
        <v>373</v>
      </c>
      <c r="B472" s="2402" t="s">
        <v>628</v>
      </c>
      <c r="C472" s="2426" t="s">
        <v>582</v>
      </c>
      <c r="D472" s="2426" t="s">
        <v>583</v>
      </c>
      <c r="E472" s="2402" t="s">
        <v>627</v>
      </c>
      <c r="F472" s="2398"/>
      <c r="G472" s="2398"/>
      <c r="H472" s="2398"/>
      <c r="I472" s="2475"/>
    </row>
    <row r="473" spans="1:9">
      <c r="A473" s="2410"/>
      <c r="B473" s="2403"/>
      <c r="C473" s="2403"/>
      <c r="D473" s="2403"/>
      <c r="E473" s="2369">
        <f>ROUND(B473+C473-D473,2)</f>
        <v>0</v>
      </c>
      <c r="F473" s="2398"/>
      <c r="G473" s="2398"/>
      <c r="H473" s="2398"/>
      <c r="I473" s="2404" t="s">
        <v>253</v>
      </c>
    </row>
    <row r="474" spans="1:9">
      <c r="A474" s="2410"/>
      <c r="B474" s="2403"/>
      <c r="C474" s="2403"/>
      <c r="D474" s="2403"/>
      <c r="E474" s="2369">
        <f t="shared" ref="E474:E482" si="6">ROUND(B474+C474-D474,2)</f>
        <v>0</v>
      </c>
      <c r="F474" s="2398"/>
      <c r="G474" s="2398"/>
      <c r="H474" s="2398"/>
      <c r="I474" s="2404" t="s">
        <v>253</v>
      </c>
    </row>
    <row r="475" spans="1:9">
      <c r="A475" s="2410"/>
      <c r="B475" s="2403"/>
      <c r="C475" s="2403"/>
      <c r="D475" s="2403"/>
      <c r="E475" s="2369">
        <f t="shared" si="6"/>
        <v>0</v>
      </c>
      <c r="F475" s="2398"/>
      <c r="G475" s="2398"/>
      <c r="H475" s="2398"/>
      <c r="I475" s="2404" t="s">
        <v>253</v>
      </c>
    </row>
    <row r="476" spans="1:9">
      <c r="A476" s="2410"/>
      <c r="B476" s="2403"/>
      <c r="C476" s="2403"/>
      <c r="D476" s="2403"/>
      <c r="E476" s="2369">
        <f t="shared" si="6"/>
        <v>0</v>
      </c>
      <c r="F476" s="2398"/>
      <c r="G476" s="2398"/>
      <c r="H476" s="2398"/>
      <c r="I476" s="2404" t="s">
        <v>253</v>
      </c>
    </row>
    <row r="477" spans="1:9">
      <c r="A477" s="2410"/>
      <c r="B477" s="2403"/>
      <c r="C477" s="2403"/>
      <c r="D477" s="2403"/>
      <c r="E477" s="2369">
        <f t="shared" si="6"/>
        <v>0</v>
      </c>
      <c r="F477" s="2398"/>
      <c r="G477" s="2398"/>
      <c r="H477" s="2398"/>
      <c r="I477" s="2404" t="s">
        <v>253</v>
      </c>
    </row>
    <row r="478" spans="1:9">
      <c r="A478" s="2410"/>
      <c r="B478" s="2403"/>
      <c r="C478" s="2403"/>
      <c r="D478" s="2403"/>
      <c r="E478" s="2369">
        <f t="shared" si="6"/>
        <v>0</v>
      </c>
      <c r="F478" s="2398"/>
      <c r="G478" s="2398"/>
      <c r="H478" s="2398"/>
      <c r="I478" s="2404" t="s">
        <v>253</v>
      </c>
    </row>
    <row r="479" spans="1:9">
      <c r="A479" s="2410"/>
      <c r="B479" s="2403"/>
      <c r="C479" s="2403"/>
      <c r="D479" s="2403"/>
      <c r="E479" s="2369">
        <f t="shared" si="6"/>
        <v>0</v>
      </c>
      <c r="F479" s="2398"/>
      <c r="G479" s="2398"/>
      <c r="H479" s="2398"/>
      <c r="I479" s="2404" t="s">
        <v>253</v>
      </c>
    </row>
    <row r="480" spans="1:9">
      <c r="A480" s="2410"/>
      <c r="B480" s="2403"/>
      <c r="C480" s="2403"/>
      <c r="D480" s="2403"/>
      <c r="E480" s="2369">
        <f t="shared" si="6"/>
        <v>0</v>
      </c>
      <c r="F480" s="2398"/>
      <c r="G480" s="2398"/>
      <c r="H480" s="2398"/>
      <c r="I480" s="2404" t="s">
        <v>253</v>
      </c>
    </row>
    <row r="481" spans="1:9">
      <c r="A481" s="2410"/>
      <c r="B481" s="2403"/>
      <c r="C481" s="2403"/>
      <c r="D481" s="2403"/>
      <c r="E481" s="2369">
        <f t="shared" si="6"/>
        <v>0</v>
      </c>
      <c r="F481" s="2398"/>
      <c r="G481" s="2398"/>
      <c r="H481" s="2398"/>
      <c r="I481" s="2404" t="s">
        <v>253</v>
      </c>
    </row>
    <row r="482" spans="1:9">
      <c r="A482" s="2410"/>
      <c r="B482" s="2403"/>
      <c r="C482" s="2403"/>
      <c r="D482" s="2403"/>
      <c r="E482" s="2369">
        <f t="shared" si="6"/>
        <v>0</v>
      </c>
      <c r="F482" s="2398"/>
      <c r="G482" s="2398"/>
      <c r="H482" s="2398"/>
      <c r="I482" s="2404" t="s">
        <v>253</v>
      </c>
    </row>
    <row r="483" spans="1:9">
      <c r="A483" s="2400" t="s">
        <v>385</v>
      </c>
      <c r="B483" s="2369">
        <f>ROUND(SUM(B473:B482),2)</f>
        <v>0</v>
      </c>
      <c r="C483" s="2369">
        <f>ROUND(SUM(C473:C482),2)</f>
        <v>0</v>
      </c>
      <c r="D483" s="2369">
        <f>ROUND(SUM(D473:D482),2)</f>
        <v>0</v>
      </c>
      <c r="E483" s="2369">
        <f>ROUND(SUM(E473:E482),2)</f>
        <v>0</v>
      </c>
      <c r="F483" s="2398"/>
      <c r="G483" s="2398"/>
      <c r="H483" s="2398"/>
      <c r="I483" s="2404" t="s">
        <v>1188</v>
      </c>
    </row>
    <row r="484" spans="1:9">
      <c r="A484" s="2417"/>
      <c r="B484" s="2418"/>
      <c r="C484" s="2418"/>
      <c r="D484" s="2418"/>
      <c r="E484" s="2418"/>
      <c r="F484" s="2398"/>
      <c r="G484" s="2398"/>
      <c r="H484" s="2398"/>
      <c r="I484" s="2475"/>
    </row>
    <row r="485" spans="1:9">
      <c r="A485" s="2398"/>
      <c r="B485" s="2398"/>
      <c r="C485" s="2398"/>
      <c r="D485" s="2398"/>
      <c r="E485" s="2398"/>
      <c r="F485" s="2398"/>
      <c r="G485" s="2398"/>
      <c r="H485" s="2398"/>
      <c r="I485" s="2475"/>
    </row>
    <row r="486" spans="1:9">
      <c r="A486" s="2441" t="s">
        <v>1189</v>
      </c>
      <c r="B486" s="2398"/>
      <c r="C486" s="2398"/>
      <c r="D486" s="2398"/>
      <c r="E486" s="2398"/>
      <c r="F486" s="2398"/>
      <c r="G486" s="2398"/>
      <c r="H486" s="2398"/>
      <c r="I486" s="2475"/>
    </row>
    <row r="487" spans="1:9">
      <c r="A487" s="2430" t="s">
        <v>1190</v>
      </c>
      <c r="B487" s="2398"/>
      <c r="C487" s="2398"/>
      <c r="D487" s="2398"/>
      <c r="E487" s="2398"/>
      <c r="F487" s="2398"/>
      <c r="G487" s="2398"/>
      <c r="H487" s="2398"/>
      <c r="I487" s="2475"/>
    </row>
    <row r="488" spans="1:9">
      <c r="A488" s="2430" t="s">
        <v>1191</v>
      </c>
      <c r="B488" s="2398"/>
      <c r="C488" s="2398"/>
      <c r="D488" s="2398"/>
      <c r="E488" s="2398"/>
      <c r="F488" s="2398"/>
      <c r="G488" s="2398"/>
      <c r="H488" s="2398"/>
      <c r="I488" s="2475"/>
    </row>
    <row r="489" spans="1:9">
      <c r="A489" s="2430" t="s">
        <v>1192</v>
      </c>
      <c r="B489" s="2398"/>
      <c r="C489" s="2398"/>
      <c r="D489" s="2398"/>
      <c r="E489" s="2398"/>
      <c r="F489" s="2398"/>
      <c r="G489" s="2398"/>
      <c r="H489" s="2398"/>
      <c r="I489" s="2475"/>
    </row>
    <row r="490" spans="1:9">
      <c r="A490" s="2430" t="s">
        <v>1193</v>
      </c>
      <c r="B490" s="2398"/>
      <c r="C490" s="2398"/>
      <c r="D490" s="2398"/>
      <c r="E490" s="2398"/>
      <c r="F490" s="2398"/>
      <c r="G490" s="2398"/>
      <c r="H490" s="2398"/>
      <c r="I490" s="2475"/>
    </row>
    <row r="491" spans="1:9">
      <c r="A491" s="2430" t="s">
        <v>1194</v>
      </c>
      <c r="B491" s="2398"/>
      <c r="C491" s="2398"/>
      <c r="D491" s="2398"/>
      <c r="E491" s="2398"/>
      <c r="F491" s="2398"/>
      <c r="G491" s="2398"/>
      <c r="H491" s="2398"/>
      <c r="I491" s="2475"/>
    </row>
    <row r="492" spans="1:9">
      <c r="A492" s="2430"/>
      <c r="B492" s="2398"/>
      <c r="C492" s="2398"/>
      <c r="D492" s="2398"/>
      <c r="E492" s="2398"/>
      <c r="F492" s="2398"/>
      <c r="G492" s="2398"/>
      <c r="H492" s="2398"/>
      <c r="I492" s="2475"/>
    </row>
    <row r="493" spans="1:9">
      <c r="A493" s="2398"/>
      <c r="B493" s="2398"/>
      <c r="C493" s="2398"/>
      <c r="D493" s="2398"/>
      <c r="E493" s="2398"/>
      <c r="F493" s="2398"/>
      <c r="G493" s="2398"/>
      <c r="H493" s="2398"/>
      <c r="I493" s="2475"/>
    </row>
    <row r="494" spans="1:9">
      <c r="A494" s="2415" t="s">
        <v>1195</v>
      </c>
      <c r="B494" s="2398"/>
      <c r="C494" s="2398"/>
      <c r="D494" s="2398"/>
      <c r="E494" s="2398"/>
      <c r="F494" s="2398"/>
      <c r="G494" s="2398"/>
      <c r="H494" s="2398"/>
      <c r="I494" s="2475"/>
    </row>
    <row r="495" spans="1:9">
      <c r="A495" s="2442" t="s">
        <v>1196</v>
      </c>
      <c r="B495" s="2402" t="s">
        <v>628</v>
      </c>
      <c r="C495" s="2426" t="s">
        <v>582</v>
      </c>
      <c r="D495" s="2426" t="s">
        <v>583</v>
      </c>
      <c r="E495" s="2402" t="s">
        <v>627</v>
      </c>
      <c r="F495" s="2416" t="s">
        <v>1197</v>
      </c>
      <c r="G495" s="2398"/>
      <c r="H495" s="2398"/>
      <c r="I495" s="2475"/>
    </row>
    <row r="496" spans="1:9">
      <c r="A496" s="2416" t="s">
        <v>1198</v>
      </c>
      <c r="B496" s="2403"/>
      <c r="C496" s="2403"/>
      <c r="D496" s="2403"/>
      <c r="E496" s="2369">
        <f>ROUND(B496+C496-D496,2)</f>
        <v>0</v>
      </c>
      <c r="F496" s="2410"/>
      <c r="G496" s="2398"/>
      <c r="H496" s="2398"/>
      <c r="I496" s="2404" t="s">
        <v>1199</v>
      </c>
    </row>
    <row r="497" spans="1:9">
      <c r="A497" s="2416" t="s">
        <v>1200</v>
      </c>
      <c r="B497" s="2403"/>
      <c r="C497" s="2403"/>
      <c r="D497" s="2403"/>
      <c r="E497" s="2369">
        <f>ROUND(B497+C497-D497,2)</f>
        <v>0</v>
      </c>
      <c r="F497" s="2410"/>
      <c r="G497" s="2398"/>
      <c r="H497" s="2398"/>
      <c r="I497" s="2404" t="s">
        <v>1201</v>
      </c>
    </row>
    <row r="498" spans="1:9">
      <c r="A498" s="2416" t="s">
        <v>1202</v>
      </c>
      <c r="B498" s="2403"/>
      <c r="C498" s="2403"/>
      <c r="D498" s="2403"/>
      <c r="E498" s="2369">
        <f>ROUND(B498+C498-D498,2)</f>
        <v>0</v>
      </c>
      <c r="F498" s="2410"/>
      <c r="G498" s="2398"/>
      <c r="H498" s="2398"/>
      <c r="I498" s="2404" t="s">
        <v>1203</v>
      </c>
    </row>
    <row r="499" spans="1:9">
      <c r="A499" s="2416" t="s">
        <v>1204</v>
      </c>
      <c r="B499" s="2403"/>
      <c r="C499" s="2403"/>
      <c r="D499" s="2403"/>
      <c r="E499" s="2369">
        <f>ROUND(B499+C499-D499,2)</f>
        <v>0</v>
      </c>
      <c r="F499" s="2410"/>
      <c r="G499" s="2398"/>
      <c r="H499" s="2398"/>
      <c r="I499" s="2404" t="s">
        <v>1205</v>
      </c>
    </row>
    <row r="500" spans="1:9">
      <c r="A500" s="2416" t="s">
        <v>280</v>
      </c>
      <c r="B500" s="2403"/>
      <c r="C500" s="2403"/>
      <c r="D500" s="2403"/>
      <c r="E500" s="2369">
        <f>ROUND(B500+C500-D500,2)</f>
        <v>0</v>
      </c>
      <c r="F500" s="2410"/>
      <c r="G500" s="2398"/>
      <c r="H500" s="2398"/>
      <c r="I500" s="2404" t="s">
        <v>1206</v>
      </c>
    </row>
    <row r="501" spans="1:9">
      <c r="A501" s="2442" t="s">
        <v>1207</v>
      </c>
      <c r="B501" s="2369">
        <f>ROUND(SUM(B496:B500),2)</f>
        <v>0</v>
      </c>
      <c r="C501" s="2369">
        <f>ROUND(SUM(C496:C500),2)</f>
        <v>0</v>
      </c>
      <c r="D501" s="2369">
        <f>ROUND(SUM(D496:D500),2)</f>
        <v>0</v>
      </c>
      <c r="E501" s="2369">
        <f>ROUND(SUM(E496:E500),2)</f>
        <v>0</v>
      </c>
      <c r="F501" s="2416"/>
      <c r="G501" s="2398"/>
      <c r="H501" s="2398"/>
      <c r="I501" s="2404" t="s">
        <v>1208</v>
      </c>
    </row>
    <row r="502" spans="1:9">
      <c r="A502" s="2420"/>
      <c r="B502" s="2418"/>
      <c r="C502" s="2418"/>
      <c r="D502" s="2418"/>
      <c r="E502" s="2418"/>
      <c r="F502" s="2413"/>
      <c r="G502" s="2398"/>
      <c r="H502" s="2398"/>
      <c r="I502" s="2475"/>
    </row>
    <row r="503" spans="1:9">
      <c r="A503" s="2398"/>
      <c r="B503" s="2398"/>
      <c r="C503" s="2398"/>
      <c r="D503" s="2398"/>
      <c r="E503" s="2398"/>
      <c r="F503" s="2398"/>
      <c r="G503" s="2398"/>
      <c r="H503" s="2398"/>
      <c r="I503" s="2475"/>
    </row>
    <row r="504" spans="1:9">
      <c r="A504" s="2415" t="s">
        <v>1209</v>
      </c>
      <c r="B504" s="2398"/>
      <c r="C504" s="2398"/>
      <c r="D504" s="2398"/>
      <c r="E504" s="2398"/>
      <c r="F504" s="2398"/>
      <c r="G504" s="2398"/>
      <c r="H504" s="2398"/>
      <c r="I504" s="2475"/>
    </row>
    <row r="505" spans="1:9">
      <c r="A505" s="2442" t="s">
        <v>61</v>
      </c>
      <c r="B505" s="2442" t="s">
        <v>366</v>
      </c>
      <c r="C505" s="2398"/>
      <c r="D505" s="2398"/>
      <c r="E505" s="2398"/>
      <c r="F505" s="2398"/>
      <c r="G505" s="2398"/>
      <c r="H505" s="2398"/>
      <c r="I505" s="2475"/>
    </row>
    <row r="506" spans="1:9">
      <c r="A506" s="2424" t="s">
        <v>1210</v>
      </c>
      <c r="B506" s="2403"/>
      <c r="C506" s="2398"/>
      <c r="D506" s="2398"/>
      <c r="E506" s="2398"/>
      <c r="F506" s="2398"/>
      <c r="G506" s="2398"/>
      <c r="H506" s="2398"/>
      <c r="I506" s="2404" t="s">
        <v>1211</v>
      </c>
    </row>
    <row r="507" spans="1:9">
      <c r="A507" s="2424" t="s">
        <v>1212</v>
      </c>
      <c r="B507" s="2369">
        <f>ROUND(B508+B509,2)</f>
        <v>0</v>
      </c>
      <c r="C507" s="2398"/>
      <c r="D507" s="2398"/>
      <c r="E507" s="2398"/>
      <c r="F507" s="2398"/>
      <c r="G507" s="2398"/>
      <c r="H507" s="2398"/>
      <c r="I507" s="2404" t="s">
        <v>1213</v>
      </c>
    </row>
    <row r="508" spans="1:9">
      <c r="A508" s="2424" t="s">
        <v>1214</v>
      </c>
      <c r="B508" s="2403"/>
      <c r="C508" s="2398"/>
      <c r="D508" s="2398"/>
      <c r="E508" s="2398"/>
      <c r="F508" s="2398"/>
      <c r="G508" s="2398"/>
      <c r="H508" s="2398"/>
      <c r="I508" s="2404" t="s">
        <v>1215</v>
      </c>
    </row>
    <row r="509" spans="1:9">
      <c r="A509" s="2416" t="s">
        <v>1216</v>
      </c>
      <c r="B509" s="2403"/>
      <c r="C509" s="2398"/>
      <c r="D509" s="2398"/>
      <c r="E509" s="2398"/>
      <c r="F509" s="2398"/>
      <c r="G509" s="2398"/>
      <c r="H509" s="2398"/>
      <c r="I509" s="2404" t="s">
        <v>1217</v>
      </c>
    </row>
    <row r="510" spans="1:9">
      <c r="A510" s="2424" t="s">
        <v>1218</v>
      </c>
      <c r="B510" s="2369">
        <f>ROUND(B506+B507,2)</f>
        <v>0</v>
      </c>
      <c r="C510" s="2398"/>
      <c r="D510" s="2398"/>
      <c r="E510" s="2398"/>
      <c r="F510" s="2398"/>
      <c r="G510" s="2398"/>
      <c r="H510" s="2398"/>
      <c r="I510" s="2404" t="s">
        <v>1219</v>
      </c>
    </row>
    <row r="511" spans="1:9">
      <c r="A511" s="2424" t="s">
        <v>1220</v>
      </c>
      <c r="B511" s="2369">
        <f>ROUND(B512+B513,2)</f>
        <v>0</v>
      </c>
      <c r="C511" s="2398"/>
      <c r="D511" s="2398"/>
      <c r="E511" s="2398"/>
      <c r="F511" s="2398"/>
      <c r="G511" s="2398"/>
      <c r="H511" s="2398"/>
      <c r="I511" s="2404" t="s">
        <v>1221</v>
      </c>
    </row>
    <row r="512" spans="1:9">
      <c r="A512" s="2424" t="s">
        <v>1222</v>
      </c>
      <c r="B512" s="2403"/>
      <c r="C512" s="2398"/>
      <c r="D512" s="2398"/>
      <c r="E512" s="2398"/>
      <c r="F512" s="2398"/>
      <c r="G512" s="2398"/>
      <c r="H512" s="2398"/>
      <c r="I512" s="2404" t="s">
        <v>1223</v>
      </c>
    </row>
    <row r="513" spans="1:9">
      <c r="A513" s="2416" t="s">
        <v>1224</v>
      </c>
      <c r="B513" s="2403"/>
      <c r="C513" s="2398"/>
      <c r="D513" s="2398"/>
      <c r="E513" s="2398"/>
      <c r="F513" s="2398"/>
      <c r="G513" s="2398"/>
      <c r="H513" s="2398"/>
      <c r="I513" s="2404" t="s">
        <v>1225</v>
      </c>
    </row>
    <row r="514" spans="1:9">
      <c r="A514" s="2424" t="s">
        <v>1226</v>
      </c>
      <c r="B514" s="2369">
        <f>ROUND(B515+B516+B517+B518,2)</f>
        <v>0</v>
      </c>
      <c r="C514" s="2398"/>
      <c r="D514" s="2398"/>
      <c r="E514" s="2398"/>
      <c r="F514" s="2398"/>
      <c r="G514" s="2398"/>
      <c r="H514" s="2398"/>
      <c r="I514" s="2404" t="s">
        <v>1227</v>
      </c>
    </row>
    <row r="515" spans="1:9">
      <c r="A515" s="2424" t="s">
        <v>1228</v>
      </c>
      <c r="B515" s="2403"/>
      <c r="C515" s="2398"/>
      <c r="D515" s="2398"/>
      <c r="E515" s="2398"/>
      <c r="F515" s="2398"/>
      <c r="G515" s="2398"/>
      <c r="H515" s="2398"/>
      <c r="I515" s="2404" t="s">
        <v>1229</v>
      </c>
    </row>
    <row r="516" spans="1:9">
      <c r="A516" s="2416" t="s">
        <v>1230</v>
      </c>
      <c r="B516" s="2403"/>
      <c r="C516" s="2398"/>
      <c r="D516" s="2398"/>
      <c r="E516" s="2398"/>
      <c r="F516" s="2398"/>
      <c r="G516" s="2398"/>
      <c r="H516" s="2398"/>
      <c r="I516" s="2404" t="s">
        <v>1231</v>
      </c>
    </row>
    <row r="517" spans="1:9">
      <c r="A517" s="2416" t="s">
        <v>1232</v>
      </c>
      <c r="B517" s="2403"/>
      <c r="C517" s="2398"/>
      <c r="D517" s="2398"/>
      <c r="E517" s="2398"/>
      <c r="F517" s="2398"/>
      <c r="G517" s="2398"/>
      <c r="H517" s="2398"/>
      <c r="I517" s="2404" t="s">
        <v>1233</v>
      </c>
    </row>
    <row r="518" spans="1:9">
      <c r="A518" s="2416" t="s">
        <v>1234</v>
      </c>
      <c r="B518" s="2403"/>
      <c r="C518" s="2398"/>
      <c r="D518" s="2398"/>
      <c r="E518" s="2398"/>
      <c r="F518" s="2398"/>
      <c r="G518" s="2398"/>
      <c r="H518" s="2398"/>
      <c r="I518" s="2404" t="s">
        <v>1235</v>
      </c>
    </row>
    <row r="519" spans="1:9">
      <c r="A519" s="2424" t="s">
        <v>1236</v>
      </c>
      <c r="B519" s="2369">
        <f>ROUND(B510+B511-B514,2)</f>
        <v>0</v>
      </c>
      <c r="C519" s="2398"/>
      <c r="D519" s="2398"/>
      <c r="E519" s="2398"/>
      <c r="F519" s="2398"/>
      <c r="G519" s="2398"/>
      <c r="H519" s="2398"/>
      <c r="I519" s="2404" t="s">
        <v>1237</v>
      </c>
    </row>
    <row r="520" spans="1:9">
      <c r="A520" s="2424" t="s">
        <v>1238</v>
      </c>
      <c r="B520" s="2403"/>
      <c r="C520" s="2398"/>
      <c r="D520" s="2398"/>
      <c r="E520" s="2398"/>
      <c r="F520" s="2398"/>
      <c r="G520" s="2398"/>
      <c r="H520" s="2398"/>
      <c r="I520" s="2404" t="s">
        <v>1239</v>
      </c>
    </row>
    <row r="521" spans="1:9">
      <c r="A521" s="2398"/>
      <c r="B521" s="2398"/>
      <c r="C521" s="2398"/>
      <c r="D521" s="2398"/>
      <c r="E521" s="2398"/>
      <c r="F521" s="2398"/>
      <c r="G521" s="2398"/>
      <c r="H521" s="2398"/>
      <c r="I521" s="2404" t="s">
        <v>630</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4.25"/>
  <cols>
    <col min="1" max="1" width="37.75" customWidth="1"/>
    <col min="2" max="7" width="12.25" customWidth="1"/>
    <col min="8" max="8" width="35.25" hidden="1" customWidth="1"/>
  </cols>
  <sheetData>
    <row r="1" ht="25.5" spans="1:10">
      <c r="A1" s="2395" t="s">
        <v>981</v>
      </c>
      <c r="B1" s="2395"/>
      <c r="C1" s="2395"/>
      <c r="D1" s="2395"/>
      <c r="E1" s="2395"/>
      <c r="F1" s="2395"/>
      <c r="G1" s="2395"/>
      <c r="H1" s="2396"/>
      <c r="I1" s="2396"/>
      <c r="J1" s="2396"/>
    </row>
    <row r="2" spans="1:8">
      <c r="A2" s="2397" t="s">
        <v>1240</v>
      </c>
      <c r="B2" s="2398"/>
      <c r="C2" s="2398"/>
      <c r="D2" s="2398"/>
      <c r="E2" s="2398"/>
      <c r="F2" s="2398"/>
      <c r="G2" s="2398"/>
      <c r="H2" s="2475"/>
    </row>
    <row r="3" spans="1:8">
      <c r="A3" s="2399" t="s">
        <v>1241</v>
      </c>
      <c r="B3" s="2398"/>
      <c r="C3" s="2398"/>
      <c r="D3" s="2398"/>
      <c r="E3" s="2398"/>
      <c r="F3" s="2398"/>
      <c r="G3" s="2398"/>
      <c r="H3" s="2475"/>
    </row>
    <row r="4" ht="12.75" customHeight="1" spans="1:8">
      <c r="A4" s="2400" t="s">
        <v>373</v>
      </c>
      <c r="B4" s="2400" t="s">
        <v>1242</v>
      </c>
      <c r="C4" s="2401"/>
      <c r="D4" s="2401"/>
      <c r="E4" s="2400" t="s">
        <v>1243</v>
      </c>
      <c r="F4" s="2401"/>
      <c r="G4" s="2401"/>
      <c r="H4" s="2475"/>
    </row>
    <row r="5" ht="12.75" customHeight="1" spans="1:8">
      <c r="A5" s="2401"/>
      <c r="B5" s="2400" t="s">
        <v>1244</v>
      </c>
      <c r="C5" s="2400" t="s">
        <v>1245</v>
      </c>
      <c r="D5" s="2400" t="s">
        <v>1246</v>
      </c>
      <c r="E5" s="2400" t="s">
        <v>1244</v>
      </c>
      <c r="F5" s="2400" t="s">
        <v>1245</v>
      </c>
      <c r="G5" s="2400" t="s">
        <v>1246</v>
      </c>
      <c r="H5" s="2475"/>
    </row>
    <row r="6" spans="1:8">
      <c r="A6" s="2402" t="s">
        <v>1247</v>
      </c>
      <c r="B6" s="2403"/>
      <c r="C6" s="2403"/>
      <c r="D6" s="2369">
        <f>ROUND(B6-C6,2)</f>
        <v>0</v>
      </c>
      <c r="E6" s="2403"/>
      <c r="F6" s="2403"/>
      <c r="G6" s="2369">
        <f>ROUND(E6-F6,2)</f>
        <v>0</v>
      </c>
      <c r="H6" s="2404" t="s">
        <v>1248</v>
      </c>
    </row>
    <row r="7" spans="1:8">
      <c r="A7" s="2402" t="s">
        <v>1249</v>
      </c>
      <c r="B7" s="2403"/>
      <c r="C7" s="2403"/>
      <c r="D7" s="2369">
        <f>ROUND(B7-C7,2)</f>
        <v>0</v>
      </c>
      <c r="E7" s="2403"/>
      <c r="F7" s="2403"/>
      <c r="G7" s="2369">
        <f>ROUND(E7-F7,2)</f>
        <v>0</v>
      </c>
      <c r="H7" s="2404" t="s">
        <v>1250</v>
      </c>
    </row>
    <row r="8" spans="1:8">
      <c r="A8" s="2402" t="s">
        <v>385</v>
      </c>
      <c r="B8" s="2405">
        <f>ROUND(B6+B7,2)</f>
        <v>0</v>
      </c>
      <c r="C8" s="2405">
        <f>ROUND(C6+C7,2)</f>
        <v>0</v>
      </c>
      <c r="D8" s="2369">
        <f>ROUND(B8-C8,2)</f>
        <v>0</v>
      </c>
      <c r="E8" s="2405">
        <f>ROUND(E6+E7,2)</f>
        <v>0</v>
      </c>
      <c r="F8" s="2405">
        <f>ROUND(F6+F7,2)</f>
        <v>0</v>
      </c>
      <c r="G8" s="2369">
        <f>ROUND(E8-F8,2)</f>
        <v>0</v>
      </c>
      <c r="H8" s="2404" t="s">
        <v>1251</v>
      </c>
    </row>
    <row r="9" spans="1:8">
      <c r="A9" s="2398"/>
      <c r="B9" s="2398"/>
      <c r="C9" s="2398"/>
      <c r="D9" s="2398"/>
      <c r="E9" s="2398"/>
      <c r="F9" s="2398"/>
      <c r="G9" s="2398"/>
      <c r="H9" s="2475"/>
    </row>
    <row r="10" spans="1:8">
      <c r="A10" s="2406" t="s">
        <v>1252</v>
      </c>
      <c r="B10" s="2398"/>
      <c r="C10" s="2398"/>
      <c r="D10" s="2398"/>
      <c r="E10" s="2398"/>
      <c r="F10" s="2398"/>
      <c r="G10" s="2398"/>
      <c r="H10" s="2475"/>
    </row>
    <row r="11" spans="1:8">
      <c r="A11" s="2407" t="s">
        <v>373</v>
      </c>
      <c r="B11" s="2400" t="s">
        <v>1242</v>
      </c>
      <c r="C11" s="2401"/>
      <c r="D11" s="2401"/>
      <c r="E11" s="2400" t="s">
        <v>1243</v>
      </c>
      <c r="F11" s="2401"/>
      <c r="G11" s="2401"/>
      <c r="H11" s="2475"/>
    </row>
    <row r="12" spans="1:8">
      <c r="A12" s="2408"/>
      <c r="B12" s="2400" t="s">
        <v>1244</v>
      </c>
      <c r="C12" s="2400" t="s">
        <v>1245</v>
      </c>
      <c r="D12" s="2400" t="s">
        <v>1246</v>
      </c>
      <c r="E12" s="2400" t="s">
        <v>1244</v>
      </c>
      <c r="F12" s="2400" t="s">
        <v>1245</v>
      </c>
      <c r="G12" s="2400" t="s">
        <v>1246</v>
      </c>
      <c r="H12" s="2475"/>
    </row>
    <row r="13" spans="1:8">
      <c r="A13" s="2409" t="s">
        <v>1253</v>
      </c>
      <c r="B13" s="2400"/>
      <c r="C13" s="2400"/>
      <c r="D13" s="2400"/>
      <c r="E13" s="2400"/>
      <c r="F13" s="2400"/>
      <c r="G13" s="2400"/>
      <c r="H13" s="2475"/>
    </row>
    <row r="14" spans="1:8">
      <c r="A14" s="2410"/>
      <c r="B14" s="2403"/>
      <c r="C14" s="2403"/>
      <c r="D14" s="2369">
        <f t="shared" ref="D14:D23" si="0">ROUND(B14-C14,2)</f>
        <v>0</v>
      </c>
      <c r="E14" s="2403"/>
      <c r="F14" s="2403"/>
      <c r="G14" s="2369">
        <f t="shared" ref="G14:G23" si="1">ROUND(E14-F14,2)</f>
        <v>0</v>
      </c>
      <c r="H14" s="2404" t="s">
        <v>1254</v>
      </c>
    </row>
    <row r="15" spans="1:8">
      <c r="A15" s="2410"/>
      <c r="B15" s="2403"/>
      <c r="C15" s="2403"/>
      <c r="D15" s="2369">
        <f t="shared" si="0"/>
        <v>0</v>
      </c>
      <c r="E15" s="2403"/>
      <c r="F15" s="2403"/>
      <c r="G15" s="2369">
        <f t="shared" si="1"/>
        <v>0</v>
      </c>
      <c r="H15" s="2404" t="s">
        <v>1254</v>
      </c>
    </row>
    <row r="16" spans="1:8">
      <c r="A16" s="2410"/>
      <c r="B16" s="2403"/>
      <c r="C16" s="2403"/>
      <c r="D16" s="2369">
        <f t="shared" si="0"/>
        <v>0</v>
      </c>
      <c r="E16" s="2403"/>
      <c r="F16" s="2403"/>
      <c r="G16" s="2369">
        <f t="shared" si="1"/>
        <v>0</v>
      </c>
      <c r="H16" s="2404" t="s">
        <v>1254</v>
      </c>
    </row>
    <row r="17" spans="1:8">
      <c r="A17" s="2410"/>
      <c r="B17" s="2403"/>
      <c r="C17" s="2403"/>
      <c r="D17" s="2369">
        <f t="shared" si="0"/>
        <v>0</v>
      </c>
      <c r="E17" s="2403"/>
      <c r="F17" s="2403"/>
      <c r="G17" s="2369">
        <f t="shared" si="1"/>
        <v>0</v>
      </c>
      <c r="H17" s="2404" t="s">
        <v>1254</v>
      </c>
    </row>
    <row r="18" spans="1:8">
      <c r="A18" s="2410"/>
      <c r="B18" s="2403"/>
      <c r="C18" s="2403"/>
      <c r="D18" s="2369">
        <f t="shared" si="0"/>
        <v>0</v>
      </c>
      <c r="E18" s="2403"/>
      <c r="F18" s="2403"/>
      <c r="G18" s="2369">
        <f t="shared" si="1"/>
        <v>0</v>
      </c>
      <c r="H18" s="2404" t="s">
        <v>1254</v>
      </c>
    </row>
    <row r="19" spans="1:8">
      <c r="A19" s="2410"/>
      <c r="B19" s="2403"/>
      <c r="C19" s="2403"/>
      <c r="D19" s="2369">
        <f t="shared" si="0"/>
        <v>0</v>
      </c>
      <c r="E19" s="2403"/>
      <c r="F19" s="2403"/>
      <c r="G19" s="2369">
        <f t="shared" si="1"/>
        <v>0</v>
      </c>
      <c r="H19" s="2404" t="s">
        <v>1254</v>
      </c>
    </row>
    <row r="20" spans="1:8">
      <c r="A20" s="2410"/>
      <c r="B20" s="2403"/>
      <c r="C20" s="2403"/>
      <c r="D20" s="2369">
        <f t="shared" si="0"/>
        <v>0</v>
      </c>
      <c r="E20" s="2403"/>
      <c r="F20" s="2403"/>
      <c r="G20" s="2369">
        <f t="shared" si="1"/>
        <v>0</v>
      </c>
      <c r="H20" s="2404" t="s">
        <v>1254</v>
      </c>
    </row>
    <row r="21" spans="1:8">
      <c r="A21" s="2410"/>
      <c r="B21" s="2403"/>
      <c r="C21" s="2403"/>
      <c r="D21" s="2369">
        <f t="shared" si="0"/>
        <v>0</v>
      </c>
      <c r="E21" s="2403"/>
      <c r="F21" s="2403"/>
      <c r="G21" s="2369">
        <f t="shared" si="1"/>
        <v>0</v>
      </c>
      <c r="H21" s="2404" t="s">
        <v>1254</v>
      </c>
    </row>
    <row r="22" spans="1:8">
      <c r="A22" s="2410"/>
      <c r="B22" s="2403"/>
      <c r="C22" s="2403"/>
      <c r="D22" s="2369">
        <f t="shared" si="0"/>
        <v>0</v>
      </c>
      <c r="E22" s="2403"/>
      <c r="F22" s="2403"/>
      <c r="G22" s="2369">
        <f t="shared" si="1"/>
        <v>0</v>
      </c>
      <c r="H22" s="2404" t="s">
        <v>1254</v>
      </c>
    </row>
    <row r="23" spans="1:8">
      <c r="A23" s="2410"/>
      <c r="B23" s="2403"/>
      <c r="C23" s="2403"/>
      <c r="D23" s="2369">
        <f t="shared" si="0"/>
        <v>0</v>
      </c>
      <c r="E23" s="2403"/>
      <c r="F23" s="2403"/>
      <c r="G23" s="2369">
        <f t="shared" si="1"/>
        <v>0</v>
      </c>
      <c r="H23" s="2404" t="s">
        <v>1254</v>
      </c>
    </row>
    <row r="24" spans="1:8">
      <c r="A24" s="2400" t="s">
        <v>385</v>
      </c>
      <c r="B24" s="2369">
        <f t="shared" ref="B24:G24" si="2">ROUND(SUM(B14:B23),2)</f>
        <v>0</v>
      </c>
      <c r="C24" s="2369">
        <f t="shared" si="2"/>
        <v>0</v>
      </c>
      <c r="D24" s="2369">
        <f t="shared" si="2"/>
        <v>0</v>
      </c>
      <c r="E24" s="2369">
        <f t="shared" si="2"/>
        <v>0</v>
      </c>
      <c r="F24" s="2369">
        <f t="shared" si="2"/>
        <v>0</v>
      </c>
      <c r="G24" s="2369">
        <f t="shared" si="2"/>
        <v>0</v>
      </c>
      <c r="H24" s="2404" t="s">
        <v>1255</v>
      </c>
    </row>
    <row r="25" spans="1:8">
      <c r="A25" s="2408"/>
      <c r="B25" s="2369"/>
      <c r="C25" s="2369"/>
      <c r="D25" s="2369"/>
      <c r="E25" s="2369"/>
      <c r="F25" s="2369"/>
      <c r="G25" s="2369"/>
      <c r="H25" s="2404"/>
    </row>
    <row r="26" spans="1:8">
      <c r="A26" s="2409" t="s">
        <v>1256</v>
      </c>
      <c r="B26" s="2400"/>
      <c r="C26" s="2400"/>
      <c r="D26" s="2400"/>
      <c r="E26" s="2400"/>
      <c r="F26" s="2400"/>
      <c r="G26" s="2400"/>
      <c r="H26" s="2475"/>
    </row>
    <row r="27" spans="1:8">
      <c r="A27" s="2410"/>
      <c r="B27" s="2403"/>
      <c r="C27" s="2403"/>
      <c r="D27" s="2369">
        <f t="shared" ref="D27:D36" si="3">ROUND(B27-C27,2)</f>
        <v>0</v>
      </c>
      <c r="E27" s="2403"/>
      <c r="F27" s="2403"/>
      <c r="G27" s="2369">
        <f t="shared" ref="G27:G36" si="4">ROUND(E27-F27,2)</f>
        <v>0</v>
      </c>
      <c r="H27" s="2404" t="s">
        <v>1257</v>
      </c>
    </row>
    <row r="28" spans="1:8">
      <c r="A28" s="2410"/>
      <c r="B28" s="2403"/>
      <c r="C28" s="2403"/>
      <c r="D28" s="2369">
        <f t="shared" si="3"/>
        <v>0</v>
      </c>
      <c r="E28" s="2403"/>
      <c r="F28" s="2403"/>
      <c r="G28" s="2369">
        <f t="shared" si="4"/>
        <v>0</v>
      </c>
      <c r="H28" s="2404" t="s">
        <v>1257</v>
      </c>
    </row>
    <row r="29" spans="1:8">
      <c r="A29" s="2410"/>
      <c r="B29" s="2403"/>
      <c r="C29" s="2403"/>
      <c r="D29" s="2369">
        <f t="shared" si="3"/>
        <v>0</v>
      </c>
      <c r="E29" s="2403"/>
      <c r="F29" s="2403"/>
      <c r="G29" s="2369">
        <f t="shared" si="4"/>
        <v>0</v>
      </c>
      <c r="H29" s="2404" t="s">
        <v>1257</v>
      </c>
    </row>
    <row r="30" spans="1:8">
      <c r="A30" s="2410"/>
      <c r="B30" s="2403"/>
      <c r="C30" s="2403"/>
      <c r="D30" s="2369">
        <f t="shared" si="3"/>
        <v>0</v>
      </c>
      <c r="E30" s="2403"/>
      <c r="F30" s="2403"/>
      <c r="G30" s="2369">
        <f t="shared" si="4"/>
        <v>0</v>
      </c>
      <c r="H30" s="2404" t="s">
        <v>1257</v>
      </c>
    </row>
    <row r="31" spans="1:8">
      <c r="A31" s="2410"/>
      <c r="B31" s="2403"/>
      <c r="C31" s="2403"/>
      <c r="D31" s="2369">
        <f t="shared" si="3"/>
        <v>0</v>
      </c>
      <c r="E31" s="2403"/>
      <c r="F31" s="2403"/>
      <c r="G31" s="2369">
        <f t="shared" si="4"/>
        <v>0</v>
      </c>
      <c r="H31" s="2404" t="s">
        <v>1257</v>
      </c>
    </row>
    <row r="32" spans="1:8">
      <c r="A32" s="2410"/>
      <c r="B32" s="2403"/>
      <c r="C32" s="2403"/>
      <c r="D32" s="2369">
        <f t="shared" si="3"/>
        <v>0</v>
      </c>
      <c r="E32" s="2403"/>
      <c r="F32" s="2403"/>
      <c r="G32" s="2369">
        <f t="shared" si="4"/>
        <v>0</v>
      </c>
      <c r="H32" s="2404" t="s">
        <v>1257</v>
      </c>
    </row>
    <row r="33" spans="1:8">
      <c r="A33" s="2410"/>
      <c r="B33" s="2403"/>
      <c r="C33" s="2403"/>
      <c r="D33" s="2369">
        <f t="shared" si="3"/>
        <v>0</v>
      </c>
      <c r="E33" s="2403"/>
      <c r="F33" s="2403"/>
      <c r="G33" s="2369">
        <f t="shared" si="4"/>
        <v>0</v>
      </c>
      <c r="H33" s="2404" t="s">
        <v>1257</v>
      </c>
    </row>
    <row r="34" spans="1:8">
      <c r="A34" s="2410"/>
      <c r="B34" s="2403"/>
      <c r="C34" s="2403"/>
      <c r="D34" s="2369">
        <f t="shared" si="3"/>
        <v>0</v>
      </c>
      <c r="E34" s="2403"/>
      <c r="F34" s="2403"/>
      <c r="G34" s="2369">
        <f t="shared" si="4"/>
        <v>0</v>
      </c>
      <c r="H34" s="2404" t="s">
        <v>1257</v>
      </c>
    </row>
    <row r="35" spans="1:8">
      <c r="A35" s="2410"/>
      <c r="B35" s="2403"/>
      <c r="C35" s="2403"/>
      <c r="D35" s="2369">
        <f t="shared" si="3"/>
        <v>0</v>
      </c>
      <c r="E35" s="2403"/>
      <c r="F35" s="2403"/>
      <c r="G35" s="2369">
        <f t="shared" si="4"/>
        <v>0</v>
      </c>
      <c r="H35" s="2404" t="s">
        <v>1257</v>
      </c>
    </row>
    <row r="36" spans="1:8">
      <c r="A36" s="2410"/>
      <c r="B36" s="2403"/>
      <c r="C36" s="2403"/>
      <c r="D36" s="2369">
        <f t="shared" si="3"/>
        <v>0</v>
      </c>
      <c r="E36" s="2403"/>
      <c r="F36" s="2403"/>
      <c r="G36" s="2369">
        <f t="shared" si="4"/>
        <v>0</v>
      </c>
      <c r="H36" s="2404" t="s">
        <v>1257</v>
      </c>
    </row>
    <row r="37" spans="1:8">
      <c r="A37" s="2400" t="s">
        <v>385</v>
      </c>
      <c r="B37" s="2369">
        <f t="shared" ref="B37:G37" si="5">ROUND(SUM(B27:B36),2)</f>
        <v>0</v>
      </c>
      <c r="C37" s="2369">
        <f t="shared" si="5"/>
        <v>0</v>
      </c>
      <c r="D37" s="2369">
        <f t="shared" si="5"/>
        <v>0</v>
      </c>
      <c r="E37" s="2369">
        <f t="shared" si="5"/>
        <v>0</v>
      </c>
      <c r="F37" s="2369">
        <f t="shared" si="5"/>
        <v>0</v>
      </c>
      <c r="G37" s="2369">
        <f t="shared" si="5"/>
        <v>0</v>
      </c>
      <c r="H37" s="2404" t="s">
        <v>1258</v>
      </c>
    </row>
    <row r="38" spans="1:8">
      <c r="A38" s="2398"/>
      <c r="B38" s="2398"/>
      <c r="C38" s="2398"/>
      <c r="D38" s="2398"/>
      <c r="E38" s="2398"/>
      <c r="F38" s="2398"/>
      <c r="G38" s="2398"/>
      <c r="H38" s="2475"/>
    </row>
    <row r="39" spans="1:8">
      <c r="A39" s="2406" t="s">
        <v>1259</v>
      </c>
      <c r="B39" s="2398"/>
      <c r="C39" s="2398"/>
      <c r="D39" s="2398"/>
      <c r="E39" s="2398"/>
      <c r="F39" s="2398"/>
      <c r="G39" s="2398"/>
      <c r="H39" s="2475"/>
    </row>
    <row r="40" spans="1:8">
      <c r="A40" s="2400" t="s">
        <v>1260</v>
      </c>
      <c r="B40" s="2400" t="s">
        <v>1261</v>
      </c>
      <c r="C40" s="2400" t="s">
        <v>1262</v>
      </c>
      <c r="D40" s="2398"/>
      <c r="E40" s="2398"/>
      <c r="F40" s="2398"/>
      <c r="G40" s="2398"/>
      <c r="H40" s="2475"/>
    </row>
    <row r="41" spans="1:8">
      <c r="A41" s="2410"/>
      <c r="B41" s="2403"/>
      <c r="C41" s="2411">
        <f t="shared" ref="C41:C46" si="6">IF(B$8=0,0,ROUND(B41/B$8,4))</f>
        <v>0</v>
      </c>
      <c r="D41" s="2398"/>
      <c r="E41" s="2398"/>
      <c r="F41" s="2398"/>
      <c r="G41" s="2398"/>
      <c r="H41" s="2404" t="s">
        <v>1263</v>
      </c>
    </row>
    <row r="42" spans="1:8">
      <c r="A42" s="2410"/>
      <c r="B42" s="2403"/>
      <c r="C42" s="2411">
        <f t="shared" si="6"/>
        <v>0</v>
      </c>
      <c r="D42" s="2398"/>
      <c r="E42" s="2398"/>
      <c r="F42" s="2398"/>
      <c r="G42" s="2398"/>
      <c r="H42" s="2404" t="s">
        <v>1263</v>
      </c>
    </row>
    <row r="43" spans="1:8">
      <c r="A43" s="2410"/>
      <c r="B43" s="2403"/>
      <c r="C43" s="2411">
        <f t="shared" si="6"/>
        <v>0</v>
      </c>
      <c r="D43" s="2398"/>
      <c r="E43" s="2398"/>
      <c r="F43" s="2398"/>
      <c r="G43" s="2398"/>
      <c r="H43" s="2404" t="s">
        <v>1263</v>
      </c>
    </row>
    <row r="44" spans="1:8">
      <c r="A44" s="2410"/>
      <c r="B44" s="2403"/>
      <c r="C44" s="2411">
        <f t="shared" si="6"/>
        <v>0</v>
      </c>
      <c r="D44" s="2398"/>
      <c r="E44" s="2398"/>
      <c r="F44" s="2398"/>
      <c r="G44" s="2398"/>
      <c r="H44" s="2404" t="s">
        <v>1263</v>
      </c>
    </row>
    <row r="45" spans="1:8">
      <c r="A45" s="2410"/>
      <c r="B45" s="2403"/>
      <c r="C45" s="2411">
        <f t="shared" si="6"/>
        <v>0</v>
      </c>
      <c r="D45" s="2398"/>
      <c r="E45" s="2398"/>
      <c r="F45" s="2398"/>
      <c r="G45" s="2398"/>
      <c r="H45" s="2404" t="s">
        <v>1263</v>
      </c>
    </row>
    <row r="46" spans="1:8">
      <c r="A46" s="2400" t="s">
        <v>385</v>
      </c>
      <c r="B46" s="2369">
        <f>ROUND(SUM(B41:B45),2)</f>
        <v>0</v>
      </c>
      <c r="C46" s="2411">
        <f t="shared" si="6"/>
        <v>0</v>
      </c>
      <c r="D46" s="2398"/>
      <c r="E46" s="2398"/>
      <c r="F46" s="2398"/>
      <c r="G46" s="2398"/>
      <c r="H46" s="2404" t="s">
        <v>1264</v>
      </c>
    </row>
    <row r="47" spans="1:8">
      <c r="A47" s="2412"/>
      <c r="B47" s="2413"/>
      <c r="C47" s="2413"/>
      <c r="D47" s="2398"/>
      <c r="E47" s="2398"/>
      <c r="F47" s="2398"/>
      <c r="G47" s="2398"/>
      <c r="H47" s="2475"/>
    </row>
    <row r="48" spans="1:8">
      <c r="A48" s="2414" t="s">
        <v>1265</v>
      </c>
      <c r="B48" s="2398"/>
      <c r="C48" s="2398"/>
      <c r="D48" s="2398"/>
      <c r="E48" s="2398"/>
      <c r="F48" s="2398"/>
      <c r="G48" s="2398"/>
      <c r="H48" s="2475"/>
    </row>
    <row r="49" spans="1:8">
      <c r="A49" s="2400" t="s">
        <v>1266</v>
      </c>
      <c r="B49" s="2400" t="s">
        <v>1267</v>
      </c>
      <c r="C49" s="2400" t="s">
        <v>1268</v>
      </c>
      <c r="D49" s="2400" t="s">
        <v>1269</v>
      </c>
      <c r="E49" s="2400" t="s">
        <v>1270</v>
      </c>
      <c r="F49" s="2398"/>
      <c r="G49" s="2398"/>
      <c r="H49" s="2475"/>
    </row>
    <row r="50" spans="1:8">
      <c r="A50" s="2402" t="s">
        <v>1271</v>
      </c>
      <c r="B50" s="2405"/>
      <c r="C50" s="2405"/>
      <c r="D50" s="2405"/>
      <c r="E50" s="2405"/>
      <c r="F50" s="2398"/>
      <c r="G50" s="2398"/>
      <c r="H50" s="2475"/>
    </row>
    <row r="51" spans="1:8">
      <c r="A51" s="2410"/>
      <c r="B51" s="2403"/>
      <c r="C51" s="2403"/>
      <c r="D51" s="2403"/>
      <c r="E51" s="2403"/>
      <c r="F51" s="2398"/>
      <c r="G51" s="2398"/>
      <c r="H51" s="2404" t="s">
        <v>1272</v>
      </c>
    </row>
    <row r="52" spans="1:8">
      <c r="A52" s="2410"/>
      <c r="B52" s="2403"/>
      <c r="C52" s="2403"/>
      <c r="D52" s="2403"/>
      <c r="E52" s="2403"/>
      <c r="F52" s="2398"/>
      <c r="G52" s="2398"/>
      <c r="H52" s="2404" t="s">
        <v>1272</v>
      </c>
    </row>
    <row r="53" spans="1:8">
      <c r="A53" s="2410"/>
      <c r="B53" s="2403"/>
      <c r="C53" s="2403"/>
      <c r="D53" s="2403"/>
      <c r="E53" s="2403"/>
      <c r="F53" s="2398"/>
      <c r="G53" s="2398"/>
      <c r="H53" s="2404" t="s">
        <v>1272</v>
      </c>
    </row>
    <row r="54" spans="1:8">
      <c r="A54" s="2410"/>
      <c r="B54" s="2403"/>
      <c r="C54" s="2403"/>
      <c r="D54" s="2403"/>
      <c r="E54" s="2403"/>
      <c r="F54" s="2398"/>
      <c r="G54" s="2398"/>
      <c r="H54" s="2404" t="s">
        <v>1272</v>
      </c>
    </row>
    <row r="55" spans="1:8">
      <c r="A55" s="2410"/>
      <c r="B55" s="2403"/>
      <c r="C55" s="2403"/>
      <c r="D55" s="2403"/>
      <c r="E55" s="2403"/>
      <c r="F55" s="2398"/>
      <c r="G55" s="2398"/>
      <c r="H55" s="2404" t="s">
        <v>1272</v>
      </c>
    </row>
    <row r="56" spans="1:8">
      <c r="A56" s="2410"/>
      <c r="B56" s="2403"/>
      <c r="C56" s="2403"/>
      <c r="D56" s="2403"/>
      <c r="E56" s="2403"/>
      <c r="F56" s="2398"/>
      <c r="G56" s="2398"/>
      <c r="H56" s="2404" t="s">
        <v>1272</v>
      </c>
    </row>
    <row r="57" spans="1:8">
      <c r="A57" s="2410"/>
      <c r="B57" s="2403"/>
      <c r="C57" s="2403"/>
      <c r="D57" s="2403"/>
      <c r="E57" s="2403"/>
      <c r="F57" s="2398"/>
      <c r="G57" s="2398"/>
      <c r="H57" s="2404" t="s">
        <v>1272</v>
      </c>
    </row>
    <row r="58" spans="1:8">
      <c r="A58" s="2410"/>
      <c r="B58" s="2403"/>
      <c r="C58" s="2403"/>
      <c r="D58" s="2403"/>
      <c r="E58" s="2403"/>
      <c r="F58" s="2398"/>
      <c r="G58" s="2398"/>
      <c r="H58" s="2404" t="s">
        <v>1272</v>
      </c>
    </row>
    <row r="59" spans="1:8">
      <c r="A59" s="2410"/>
      <c r="B59" s="2403"/>
      <c r="C59" s="2403"/>
      <c r="D59" s="2403"/>
      <c r="E59" s="2403"/>
      <c r="F59" s="2398"/>
      <c r="G59" s="2398"/>
      <c r="H59" s="2404" t="s">
        <v>1272</v>
      </c>
    </row>
    <row r="60" spans="1:8">
      <c r="A60" s="2410"/>
      <c r="B60" s="2403"/>
      <c r="C60" s="2403"/>
      <c r="D60" s="2403"/>
      <c r="E60" s="2403"/>
      <c r="F60" s="2398"/>
      <c r="G60" s="2398"/>
      <c r="H60" s="2404" t="s">
        <v>1272</v>
      </c>
    </row>
    <row r="61" spans="1:8">
      <c r="A61" s="2400" t="s">
        <v>677</v>
      </c>
      <c r="B61" s="2369">
        <f>ROUND(SUM(B51:B60),2)</f>
        <v>0</v>
      </c>
      <c r="C61" s="2369">
        <f>ROUND(SUM(C51:C60),2)</f>
        <v>0</v>
      </c>
      <c r="D61" s="2369">
        <f>ROUND(SUM(D51:D60),2)</f>
        <v>0</v>
      </c>
      <c r="E61" s="2369">
        <f>ROUND(SUM(E51:E60),2)</f>
        <v>0</v>
      </c>
      <c r="F61" s="2398"/>
      <c r="G61" s="2398"/>
      <c r="H61" s="2404" t="s">
        <v>1273</v>
      </c>
    </row>
    <row r="62" spans="1:8">
      <c r="A62" s="2400"/>
      <c r="B62" s="2405"/>
      <c r="C62" s="2405"/>
      <c r="D62" s="2405"/>
      <c r="E62" s="2405"/>
      <c r="F62" s="2398"/>
      <c r="G62" s="2398"/>
      <c r="H62" s="2475"/>
    </row>
    <row r="63" spans="1:8">
      <c r="A63" s="2402" t="s">
        <v>1274</v>
      </c>
      <c r="B63" s="2405"/>
      <c r="C63" s="2405"/>
      <c r="D63" s="2405"/>
      <c r="E63" s="2405"/>
      <c r="F63" s="2398"/>
      <c r="G63" s="2398"/>
      <c r="H63" s="2475"/>
    </row>
    <row r="64" spans="1:8">
      <c r="A64" s="2410"/>
      <c r="B64" s="2403"/>
      <c r="C64" s="2403"/>
      <c r="D64" s="2403"/>
      <c r="E64" s="2403"/>
      <c r="F64" s="2398"/>
      <c r="G64" s="2398"/>
      <c r="H64" s="2404" t="s">
        <v>1275</v>
      </c>
    </row>
    <row r="65" spans="1:8">
      <c r="A65" s="2410"/>
      <c r="B65" s="2403"/>
      <c r="C65" s="2403"/>
      <c r="D65" s="2403"/>
      <c r="E65" s="2403"/>
      <c r="F65" s="2398"/>
      <c r="G65" s="2398"/>
      <c r="H65" s="2404" t="s">
        <v>1275</v>
      </c>
    </row>
    <row r="66" spans="1:8">
      <c r="A66" s="2410"/>
      <c r="B66" s="2403"/>
      <c r="C66" s="2403"/>
      <c r="D66" s="2403"/>
      <c r="E66" s="2403"/>
      <c r="F66" s="2398"/>
      <c r="G66" s="2398"/>
      <c r="H66" s="2404" t="s">
        <v>1275</v>
      </c>
    </row>
    <row r="67" spans="1:8">
      <c r="A67" s="2410"/>
      <c r="B67" s="2403"/>
      <c r="C67" s="2403"/>
      <c r="D67" s="2403"/>
      <c r="E67" s="2403"/>
      <c r="F67" s="2398"/>
      <c r="G67" s="2398"/>
      <c r="H67" s="2404" t="s">
        <v>1275</v>
      </c>
    </row>
    <row r="68" spans="1:8">
      <c r="A68" s="2410"/>
      <c r="B68" s="2403"/>
      <c r="C68" s="2403"/>
      <c r="D68" s="2403"/>
      <c r="E68" s="2403"/>
      <c r="F68" s="2398"/>
      <c r="G68" s="2398"/>
      <c r="H68" s="2404" t="s">
        <v>1275</v>
      </c>
    </row>
    <row r="69" spans="1:8">
      <c r="A69" s="2410"/>
      <c r="B69" s="2403"/>
      <c r="C69" s="2403"/>
      <c r="D69" s="2403"/>
      <c r="E69" s="2403"/>
      <c r="F69" s="2398"/>
      <c r="G69" s="2398"/>
      <c r="H69" s="2404" t="s">
        <v>1275</v>
      </c>
    </row>
    <row r="70" spans="1:8">
      <c r="A70" s="2410"/>
      <c r="B70" s="2403"/>
      <c r="C70" s="2403"/>
      <c r="D70" s="2403"/>
      <c r="E70" s="2403"/>
      <c r="F70" s="2398"/>
      <c r="G70" s="2398"/>
      <c r="H70" s="2404" t="s">
        <v>1275</v>
      </c>
    </row>
    <row r="71" spans="1:8">
      <c r="A71" s="2410"/>
      <c r="B71" s="2403"/>
      <c r="C71" s="2403"/>
      <c r="D71" s="2403"/>
      <c r="E71" s="2403"/>
      <c r="F71" s="2398"/>
      <c r="G71" s="2398"/>
      <c r="H71" s="2404" t="s">
        <v>1275</v>
      </c>
    </row>
    <row r="72" spans="1:8">
      <c r="A72" s="2410"/>
      <c r="B72" s="2403"/>
      <c r="C72" s="2403"/>
      <c r="D72" s="2403"/>
      <c r="E72" s="2403"/>
      <c r="F72" s="2398"/>
      <c r="G72" s="2398"/>
      <c r="H72" s="2404" t="s">
        <v>1275</v>
      </c>
    </row>
    <row r="73" spans="1:8">
      <c r="A73" s="2410"/>
      <c r="B73" s="2403"/>
      <c r="C73" s="2403"/>
      <c r="D73" s="2403"/>
      <c r="E73" s="2403"/>
      <c r="F73" s="2398"/>
      <c r="G73" s="2398"/>
      <c r="H73" s="2404" t="s">
        <v>1275</v>
      </c>
    </row>
    <row r="74" spans="1:8">
      <c r="A74" s="2400" t="s">
        <v>677</v>
      </c>
      <c r="B74" s="2369">
        <f>ROUND(SUM(B64:B73),2)</f>
        <v>0</v>
      </c>
      <c r="C74" s="2369">
        <f>ROUND(SUM(C64:C73),2)</f>
        <v>0</v>
      </c>
      <c r="D74" s="2369">
        <f>ROUND(SUM(D64:D73),2)</f>
        <v>0</v>
      </c>
      <c r="E74" s="2369">
        <f>ROUND(SUM(E64:E73),2)</f>
        <v>0</v>
      </c>
      <c r="F74" s="2398"/>
      <c r="G74" s="2398"/>
      <c r="H74" s="2404" t="s">
        <v>1276</v>
      </c>
    </row>
    <row r="75" spans="1:8">
      <c r="A75" s="2405"/>
      <c r="B75" s="2405"/>
      <c r="C75" s="2405"/>
      <c r="D75" s="2405"/>
      <c r="E75" s="2405"/>
      <c r="F75" s="2398"/>
      <c r="G75" s="2398"/>
      <c r="H75" s="2475"/>
    </row>
    <row r="76" spans="1:8">
      <c r="A76" s="2400" t="s">
        <v>385</v>
      </c>
      <c r="B76" s="2369">
        <f>ROUND(B61+B74,2)</f>
        <v>0</v>
      </c>
      <c r="C76" s="2369">
        <f>ROUND(C61+C74,2)</f>
        <v>0</v>
      </c>
      <c r="D76" s="2369">
        <f>ROUND(D61+D74,2)</f>
        <v>0</v>
      </c>
      <c r="E76" s="2369">
        <f>ROUND(E61+E74,2)</f>
        <v>0</v>
      </c>
      <c r="F76" s="2398"/>
      <c r="G76" s="2398"/>
      <c r="H76" s="2404" t="s">
        <v>1277</v>
      </c>
    </row>
    <row r="77" spans="1:8">
      <c r="A77" s="2398"/>
      <c r="B77" s="2398"/>
      <c r="C77" s="2398"/>
      <c r="D77" s="2398"/>
      <c r="E77" s="2398"/>
      <c r="F77" s="2398"/>
      <c r="G77" s="2398"/>
      <c r="H77" s="2475"/>
    </row>
    <row r="78" spans="1:8">
      <c r="A78" s="2398"/>
      <c r="B78" s="2398"/>
      <c r="C78" s="2398" t="s">
        <v>1278</v>
      </c>
      <c r="D78" s="2398"/>
      <c r="E78" s="2398"/>
      <c r="F78" s="2398"/>
      <c r="G78" s="2398"/>
      <c r="H78" s="2475"/>
    </row>
    <row r="79" spans="1:8">
      <c r="A79" s="2415" t="s">
        <v>1279</v>
      </c>
      <c r="B79" s="2398"/>
      <c r="C79" s="2398"/>
      <c r="D79" s="2398"/>
      <c r="E79" s="2398"/>
      <c r="F79" s="2398"/>
      <c r="G79" s="2398"/>
      <c r="H79" s="2475"/>
    </row>
    <row r="80" spans="1:8">
      <c r="A80" s="2400" t="s">
        <v>373</v>
      </c>
      <c r="B80" s="2400" t="s">
        <v>1280</v>
      </c>
      <c r="C80" s="2400" t="s">
        <v>1242</v>
      </c>
      <c r="D80" s="2400" t="s">
        <v>1243</v>
      </c>
      <c r="E80" s="2398"/>
      <c r="F80" s="2398"/>
      <c r="G80" s="2398"/>
      <c r="H80" s="2475"/>
    </row>
    <row r="81" spans="1:8">
      <c r="A81" s="2410"/>
      <c r="B81" s="2410"/>
      <c r="C81" s="2403"/>
      <c r="D81" s="2403"/>
      <c r="E81" s="2398"/>
      <c r="F81" s="2398"/>
      <c r="G81" s="2398"/>
      <c r="H81" s="2404" t="s">
        <v>1281</v>
      </c>
    </row>
    <row r="82" spans="1:8">
      <c r="A82" s="2410"/>
      <c r="B82" s="2410"/>
      <c r="C82" s="2403"/>
      <c r="D82" s="2403"/>
      <c r="E82" s="2398"/>
      <c r="F82" s="2398"/>
      <c r="G82" s="2398"/>
      <c r="H82" s="2404" t="s">
        <v>1281</v>
      </c>
    </row>
    <row r="83" spans="1:8">
      <c r="A83" s="2410"/>
      <c r="B83" s="2410"/>
      <c r="C83" s="2403"/>
      <c r="D83" s="2403"/>
      <c r="E83" s="2398"/>
      <c r="F83" s="2398"/>
      <c r="G83" s="2398"/>
      <c r="H83" s="2404" t="s">
        <v>1281</v>
      </c>
    </row>
    <row r="84" spans="1:8">
      <c r="A84" s="2410"/>
      <c r="B84" s="2410"/>
      <c r="C84" s="2403"/>
      <c r="D84" s="2403"/>
      <c r="E84" s="2398"/>
      <c r="F84" s="2398"/>
      <c r="G84" s="2398"/>
      <c r="H84" s="2404" t="s">
        <v>1281</v>
      </c>
    </row>
    <row r="85" spans="1:8">
      <c r="A85" s="2410"/>
      <c r="B85" s="2410"/>
      <c r="C85" s="2403"/>
      <c r="D85" s="2403"/>
      <c r="E85" s="2398"/>
      <c r="F85" s="2398"/>
      <c r="G85" s="2398"/>
      <c r="H85" s="2404" t="s">
        <v>1281</v>
      </c>
    </row>
    <row r="86" spans="1:8">
      <c r="A86" s="2410"/>
      <c r="B86" s="2410"/>
      <c r="C86" s="2403"/>
      <c r="D86" s="2403"/>
      <c r="E86" s="2398"/>
      <c r="F86" s="2398"/>
      <c r="G86" s="2398"/>
      <c r="H86" s="2404" t="s">
        <v>1281</v>
      </c>
    </row>
    <row r="87" spans="1:8">
      <c r="A87" s="2410"/>
      <c r="B87" s="2410"/>
      <c r="C87" s="2403"/>
      <c r="D87" s="2403"/>
      <c r="E87" s="2398"/>
      <c r="F87" s="2398"/>
      <c r="G87" s="2398"/>
      <c r="H87" s="2404" t="s">
        <v>1281</v>
      </c>
    </row>
    <row r="88" spans="1:8">
      <c r="A88" s="2410"/>
      <c r="B88" s="2410"/>
      <c r="C88" s="2403"/>
      <c r="D88" s="2403"/>
      <c r="E88" s="2398"/>
      <c r="F88" s="2398"/>
      <c r="G88" s="2398"/>
      <c r="H88" s="2404" t="s">
        <v>1281</v>
      </c>
    </row>
    <row r="89" spans="1:8">
      <c r="A89" s="2410"/>
      <c r="B89" s="2410"/>
      <c r="C89" s="2403"/>
      <c r="D89" s="2403"/>
      <c r="E89" s="2398"/>
      <c r="F89" s="2398"/>
      <c r="G89" s="2398"/>
      <c r="H89" s="2404" t="s">
        <v>1281</v>
      </c>
    </row>
    <row r="90" spans="1:8">
      <c r="A90" s="2410"/>
      <c r="B90" s="2410"/>
      <c r="C90" s="2403"/>
      <c r="D90" s="2403"/>
      <c r="E90" s="2398"/>
      <c r="F90" s="2398"/>
      <c r="G90" s="2398"/>
      <c r="H90" s="2404" t="s">
        <v>1281</v>
      </c>
    </row>
    <row r="91" spans="1:8">
      <c r="A91" s="2400" t="s">
        <v>385</v>
      </c>
      <c r="B91" s="2416"/>
      <c r="C91" s="2369">
        <f>ROUND(SUM(C81:C90),2)</f>
        <v>0</v>
      </c>
      <c r="D91" s="2369">
        <f>ROUND(SUM(D81:D90),2)</f>
        <v>0</v>
      </c>
      <c r="E91" s="2398"/>
      <c r="F91" s="2398"/>
      <c r="G91" s="2398"/>
      <c r="H91" s="2404" t="s">
        <v>1282</v>
      </c>
    </row>
    <row r="92" spans="1:8">
      <c r="A92" s="2417"/>
      <c r="B92" s="2418"/>
      <c r="C92" s="2419"/>
      <c r="D92" s="2419"/>
      <c r="E92" s="2419"/>
      <c r="F92" s="2419"/>
      <c r="G92" s="2420"/>
      <c r="H92" s="2404"/>
    </row>
    <row r="93" spans="1:8">
      <c r="A93" s="2421"/>
      <c r="B93" s="2398"/>
      <c r="C93" s="2398"/>
      <c r="D93" s="2398"/>
      <c r="E93" s="2398"/>
      <c r="F93" s="2398"/>
      <c r="G93" s="2398"/>
      <c r="H93" s="2475"/>
    </row>
    <row r="94" spans="1:8">
      <c r="A94" s="2397" t="s">
        <v>1283</v>
      </c>
      <c r="B94" s="2398"/>
      <c r="C94" s="2398"/>
      <c r="D94" s="2398"/>
      <c r="E94" s="2398"/>
      <c r="F94" s="2398"/>
      <c r="G94" s="2398"/>
      <c r="H94" s="2475"/>
    </row>
    <row r="95" spans="1:8">
      <c r="A95" s="2400" t="s">
        <v>373</v>
      </c>
      <c r="B95" s="2400" t="s">
        <v>1242</v>
      </c>
      <c r="C95" s="2400" t="s">
        <v>1243</v>
      </c>
      <c r="D95" s="2398"/>
      <c r="E95" s="2398"/>
      <c r="F95" s="2398"/>
      <c r="G95" s="2398"/>
      <c r="H95" s="2475"/>
    </row>
    <row r="96" spans="1:8">
      <c r="A96" s="2402" t="s">
        <v>1284</v>
      </c>
      <c r="B96" s="2403"/>
      <c r="C96" s="2403"/>
      <c r="D96" s="2398"/>
      <c r="E96" s="2398"/>
      <c r="F96" s="2398"/>
      <c r="G96" s="2398"/>
      <c r="H96" s="2404" t="s">
        <v>1285</v>
      </c>
    </row>
    <row r="97" spans="1:8">
      <c r="A97" s="2402" t="s">
        <v>1286</v>
      </c>
      <c r="B97" s="2403"/>
      <c r="C97" s="2403"/>
      <c r="D97" s="2398"/>
      <c r="E97" s="2398"/>
      <c r="F97" s="2398"/>
      <c r="G97" s="2398"/>
      <c r="H97" s="2404" t="s">
        <v>1287</v>
      </c>
    </row>
    <row r="98" spans="1:8">
      <c r="A98" s="2402" t="s">
        <v>1288</v>
      </c>
      <c r="B98" s="2403"/>
      <c r="C98" s="2403"/>
      <c r="D98" s="2398"/>
      <c r="E98" s="2398"/>
      <c r="F98" s="2398"/>
      <c r="G98" s="2398"/>
      <c r="H98" s="2404" t="s">
        <v>1289</v>
      </c>
    </row>
    <row r="99" spans="1:8">
      <c r="A99" s="2402" t="s">
        <v>280</v>
      </c>
      <c r="B99" s="2403"/>
      <c r="C99" s="2403"/>
      <c r="D99" s="2398"/>
      <c r="E99" s="2398"/>
      <c r="F99" s="2398"/>
      <c r="G99" s="2398"/>
      <c r="H99" s="2404" t="s">
        <v>1290</v>
      </c>
    </row>
    <row r="100" spans="1:8">
      <c r="A100" s="2400" t="s">
        <v>385</v>
      </c>
      <c r="B100" s="2369">
        <f>ROUND(SUM(B96:B99),2)</f>
        <v>0</v>
      </c>
      <c r="C100" s="2369">
        <f>ROUND(SUM(C96:C99),2)</f>
        <v>0</v>
      </c>
      <c r="D100" s="2398"/>
      <c r="E100" s="2398"/>
      <c r="F100" s="2398"/>
      <c r="G100" s="2398"/>
      <c r="H100" s="2404" t="s">
        <v>1291</v>
      </c>
    </row>
    <row r="101" spans="1:8">
      <c r="A101" s="2417"/>
      <c r="B101" s="2418"/>
      <c r="C101" s="2419"/>
      <c r="D101" s="2419"/>
      <c r="E101" s="2419"/>
      <c r="F101" s="2419"/>
      <c r="G101" s="2420"/>
      <c r="H101" s="2475"/>
    </row>
    <row r="102" spans="1:8">
      <c r="A102" s="2421"/>
      <c r="B102" s="2398"/>
      <c r="C102" s="2398"/>
      <c r="D102" s="2398"/>
      <c r="E102" s="2398"/>
      <c r="F102" s="2398"/>
      <c r="G102" s="2398"/>
      <c r="H102" s="2475"/>
    </row>
    <row r="103" spans="1:8">
      <c r="A103" s="2397" t="s">
        <v>1292</v>
      </c>
      <c r="B103" s="2398"/>
      <c r="C103" s="2398"/>
      <c r="D103" s="2398"/>
      <c r="E103" s="2398"/>
      <c r="F103" s="2398"/>
      <c r="G103" s="2398"/>
      <c r="H103" s="2475"/>
    </row>
    <row r="104" spans="1:8">
      <c r="A104" s="2400" t="s">
        <v>373</v>
      </c>
      <c r="B104" s="2400" t="s">
        <v>1242</v>
      </c>
      <c r="C104" s="2400" t="s">
        <v>1243</v>
      </c>
      <c r="D104" s="2398"/>
      <c r="E104" s="2398"/>
      <c r="F104" s="2398"/>
      <c r="G104" s="2398"/>
      <c r="H104" s="2475"/>
    </row>
    <row r="105" spans="1:8">
      <c r="A105" s="2402" t="s">
        <v>1293</v>
      </c>
      <c r="B105" s="2403"/>
      <c r="C105" s="2403"/>
      <c r="D105" s="2398"/>
      <c r="E105" s="2398"/>
      <c r="F105" s="2398"/>
      <c r="G105" s="2398"/>
      <c r="H105" s="2404" t="s">
        <v>1294</v>
      </c>
    </row>
    <row r="106" spans="1:8">
      <c r="A106" s="2402" t="s">
        <v>1295</v>
      </c>
      <c r="B106" s="2403"/>
      <c r="C106" s="2403"/>
      <c r="D106" s="2398"/>
      <c r="E106" s="2398"/>
      <c r="F106" s="2398"/>
      <c r="G106" s="2398"/>
      <c r="H106" s="2404" t="s">
        <v>1296</v>
      </c>
    </row>
    <row r="107" spans="1:8">
      <c r="A107" s="2402" t="s">
        <v>1297</v>
      </c>
      <c r="B107" s="2403"/>
      <c r="C107" s="2403"/>
      <c r="D107" s="2398"/>
      <c r="E107" s="2398"/>
      <c r="F107" s="2398"/>
      <c r="G107" s="2398"/>
      <c r="H107" s="2404" t="s">
        <v>1298</v>
      </c>
    </row>
    <row r="108" spans="1:8">
      <c r="A108" s="2402" t="s">
        <v>1299</v>
      </c>
      <c r="B108" s="2403"/>
      <c r="C108" s="2403"/>
      <c r="D108" s="2398"/>
      <c r="E108" s="2398"/>
      <c r="F108" s="2398"/>
      <c r="G108" s="2398"/>
      <c r="H108" s="2404" t="s">
        <v>1300</v>
      </c>
    </row>
    <row r="109" spans="1:8">
      <c r="A109" s="2402" t="s">
        <v>1301</v>
      </c>
      <c r="B109" s="2403"/>
      <c r="C109" s="2403"/>
      <c r="D109" s="2398"/>
      <c r="E109" s="2398"/>
      <c r="F109" s="2398"/>
      <c r="G109" s="2398"/>
      <c r="H109" s="2404" t="s">
        <v>1302</v>
      </c>
    </row>
    <row r="110" spans="1:8">
      <c r="A110" s="2402" t="s">
        <v>1303</v>
      </c>
      <c r="B110" s="2403"/>
      <c r="C110" s="2403"/>
      <c r="D110" s="2398"/>
      <c r="E110" s="2398"/>
      <c r="F110" s="2398"/>
      <c r="G110" s="2398"/>
      <c r="H110" s="2404" t="s">
        <v>1304</v>
      </c>
    </row>
    <row r="111" spans="1:8">
      <c r="A111" s="2402" t="s">
        <v>1305</v>
      </c>
      <c r="B111" s="2403"/>
      <c r="C111" s="2403"/>
      <c r="D111" s="2398"/>
      <c r="E111" s="2398"/>
      <c r="F111" s="2398"/>
      <c r="G111" s="2398"/>
      <c r="H111" s="2404" t="s">
        <v>1306</v>
      </c>
    </row>
    <row r="112" spans="1:8">
      <c r="A112" s="2402" t="s">
        <v>1307</v>
      </c>
      <c r="B112" s="2403"/>
      <c r="C112" s="2403"/>
      <c r="D112" s="2398"/>
      <c r="E112" s="2398"/>
      <c r="F112" s="2398"/>
      <c r="G112" s="2398"/>
      <c r="H112" s="2404" t="s">
        <v>1308</v>
      </c>
    </row>
    <row r="113" spans="1:8">
      <c r="A113" s="2402" t="s">
        <v>1309</v>
      </c>
      <c r="B113" s="2403"/>
      <c r="C113" s="2403"/>
      <c r="D113" s="2398"/>
      <c r="E113" s="2398"/>
      <c r="F113" s="2398"/>
      <c r="G113" s="2398"/>
      <c r="H113" s="2404" t="s">
        <v>1310</v>
      </c>
    </row>
    <row r="114" spans="1:8">
      <c r="A114" s="2402" t="s">
        <v>1311</v>
      </c>
      <c r="B114" s="2403"/>
      <c r="C114" s="2403"/>
      <c r="D114" s="2398"/>
      <c r="E114" s="2398"/>
      <c r="F114" s="2398"/>
      <c r="G114" s="2398"/>
      <c r="H114" s="2404" t="s">
        <v>1312</v>
      </c>
    </row>
    <row r="115" spans="1:8">
      <c r="A115" s="2402" t="s">
        <v>1313</v>
      </c>
      <c r="B115" s="2403"/>
      <c r="C115" s="2403"/>
      <c r="D115" s="2398"/>
      <c r="E115" s="2398"/>
      <c r="F115" s="2398"/>
      <c r="G115" s="2398"/>
      <c r="H115" s="2404" t="s">
        <v>1314</v>
      </c>
    </row>
    <row r="116" spans="1:8">
      <c r="A116" s="2402" t="s">
        <v>1315</v>
      </c>
      <c r="B116" s="2403"/>
      <c r="C116" s="2403"/>
      <c r="D116" s="2398"/>
      <c r="E116" s="2398"/>
      <c r="F116" s="2398"/>
      <c r="G116" s="2398"/>
      <c r="H116" s="2404" t="s">
        <v>1316</v>
      </c>
    </row>
    <row r="117" spans="1:8">
      <c r="A117" s="2402" t="s">
        <v>1317</v>
      </c>
      <c r="B117" s="2403"/>
      <c r="C117" s="2403"/>
      <c r="D117" s="2398"/>
      <c r="E117" s="2398"/>
      <c r="F117" s="2398"/>
      <c r="G117" s="2398"/>
      <c r="H117" s="2404" t="s">
        <v>1318</v>
      </c>
    </row>
    <row r="118" spans="1:8">
      <c r="A118" s="2402" t="s">
        <v>968</v>
      </c>
      <c r="B118" s="2403"/>
      <c r="C118" s="2403"/>
      <c r="D118" s="2398"/>
      <c r="E118" s="2398"/>
      <c r="F118" s="2398"/>
      <c r="G118" s="2398"/>
      <c r="H118" s="2404" t="s">
        <v>1319</v>
      </c>
    </row>
    <row r="119" spans="1:8">
      <c r="A119" s="2402" t="s">
        <v>385</v>
      </c>
      <c r="B119" s="2369">
        <f>ROUND(SUM(B105:B118),2)</f>
        <v>0</v>
      </c>
      <c r="C119" s="2369">
        <f>ROUND(SUM(C105:C118),2)</f>
        <v>0</v>
      </c>
      <c r="D119" s="2398"/>
      <c r="E119" s="2398"/>
      <c r="F119" s="2398"/>
      <c r="G119" s="2398"/>
      <c r="H119" s="2404" t="s">
        <v>1320</v>
      </c>
    </row>
    <row r="120" spans="1:8">
      <c r="A120" s="2417"/>
      <c r="B120" s="2413"/>
      <c r="C120" s="2418"/>
      <c r="D120" s="2418"/>
      <c r="E120" s="2398"/>
      <c r="F120" s="2398"/>
      <c r="G120" s="2398"/>
      <c r="H120" s="2475"/>
    </row>
    <row r="121" spans="1:8">
      <c r="A121" s="2421"/>
      <c r="B121" s="2398"/>
      <c r="C121" s="2398"/>
      <c r="D121" s="2398"/>
      <c r="E121" s="2398"/>
      <c r="F121" s="2398"/>
      <c r="G121" s="2398"/>
      <c r="H121" s="2475"/>
    </row>
    <row r="122" spans="1:8">
      <c r="A122" s="2397" t="s">
        <v>1321</v>
      </c>
      <c r="B122" s="2398"/>
      <c r="C122" s="2398"/>
      <c r="D122" s="2398"/>
      <c r="E122" s="2398"/>
      <c r="F122" s="2398"/>
      <c r="G122" s="2398"/>
      <c r="H122" s="2475"/>
    </row>
    <row r="123" spans="1:8">
      <c r="A123" s="2400" t="s">
        <v>1322</v>
      </c>
      <c r="B123" s="2400" t="s">
        <v>1242</v>
      </c>
      <c r="C123" s="2400" t="s">
        <v>1243</v>
      </c>
      <c r="D123" s="2398"/>
      <c r="E123" s="2398"/>
      <c r="F123" s="2398"/>
      <c r="G123" s="2398"/>
      <c r="H123" s="2475"/>
    </row>
    <row r="124" spans="1:8">
      <c r="A124" s="2410"/>
      <c r="B124" s="2403"/>
      <c r="C124" s="2403"/>
      <c r="D124" s="2398"/>
      <c r="E124" s="2398"/>
      <c r="F124" s="2398"/>
      <c r="G124" s="2398"/>
      <c r="H124" s="2404" t="s">
        <v>1323</v>
      </c>
    </row>
    <row r="125" spans="1:8">
      <c r="A125" s="2410"/>
      <c r="B125" s="2403"/>
      <c r="C125" s="2403"/>
      <c r="D125" s="2398"/>
      <c r="E125" s="2398"/>
      <c r="F125" s="2398"/>
      <c r="G125" s="2398"/>
      <c r="H125" s="2404" t="s">
        <v>1323</v>
      </c>
    </row>
    <row r="126" spans="1:8">
      <c r="A126" s="2410"/>
      <c r="B126" s="2403"/>
      <c r="C126" s="2403"/>
      <c r="D126" s="2398"/>
      <c r="E126" s="2398"/>
      <c r="F126" s="2398"/>
      <c r="G126" s="2398"/>
      <c r="H126" s="2404" t="s">
        <v>1323</v>
      </c>
    </row>
    <row r="127" spans="1:8">
      <c r="A127" s="2410"/>
      <c r="B127" s="2403"/>
      <c r="C127" s="2403"/>
      <c r="D127" s="2398"/>
      <c r="E127" s="2398"/>
      <c r="F127" s="2398"/>
      <c r="G127" s="2398"/>
      <c r="H127" s="2404" t="s">
        <v>1323</v>
      </c>
    </row>
    <row r="128" spans="1:8">
      <c r="A128" s="2410"/>
      <c r="B128" s="2403"/>
      <c r="C128" s="2403"/>
      <c r="D128" s="2398"/>
      <c r="E128" s="2398"/>
      <c r="F128" s="2398"/>
      <c r="G128" s="2398"/>
      <c r="H128" s="2404" t="s">
        <v>1323</v>
      </c>
    </row>
    <row r="129" spans="1:8">
      <c r="A129" s="2410"/>
      <c r="B129" s="2403"/>
      <c r="C129" s="2403"/>
      <c r="D129" s="2398"/>
      <c r="E129" s="2398"/>
      <c r="F129" s="2398"/>
      <c r="G129" s="2398"/>
      <c r="H129" s="2404" t="s">
        <v>1323</v>
      </c>
    </row>
    <row r="130" spans="1:8">
      <c r="A130" s="2410"/>
      <c r="B130" s="2403"/>
      <c r="C130" s="2403"/>
      <c r="D130" s="2398"/>
      <c r="E130" s="2398"/>
      <c r="F130" s="2398"/>
      <c r="G130" s="2398"/>
      <c r="H130" s="2404" t="s">
        <v>1323</v>
      </c>
    </row>
    <row r="131" spans="1:8">
      <c r="A131" s="2410"/>
      <c r="B131" s="2403"/>
      <c r="C131" s="2403"/>
      <c r="D131" s="2398"/>
      <c r="E131" s="2398"/>
      <c r="F131" s="2398"/>
      <c r="G131" s="2398"/>
      <c r="H131" s="2404" t="s">
        <v>1323</v>
      </c>
    </row>
    <row r="132" spans="1:8">
      <c r="A132" s="2410"/>
      <c r="B132" s="2403"/>
      <c r="C132" s="2403"/>
      <c r="D132" s="2398"/>
      <c r="E132" s="2398"/>
      <c r="F132" s="2398"/>
      <c r="G132" s="2398"/>
      <c r="H132" s="2404" t="s">
        <v>1323</v>
      </c>
    </row>
    <row r="133" spans="1:8">
      <c r="A133" s="2410"/>
      <c r="B133" s="2403"/>
      <c r="C133" s="2403"/>
      <c r="D133" s="2398"/>
      <c r="E133" s="2398"/>
      <c r="F133" s="2398"/>
      <c r="G133" s="2398"/>
      <c r="H133" s="2404" t="s">
        <v>1323</v>
      </c>
    </row>
    <row r="134" spans="1:8">
      <c r="A134" s="2400" t="s">
        <v>385</v>
      </c>
      <c r="B134" s="2369">
        <f>ROUND(SUM(B124:B133),2)</f>
        <v>0</v>
      </c>
      <c r="C134" s="2369">
        <f>ROUND(SUM(C124:C133),2)</f>
        <v>0</v>
      </c>
      <c r="D134" s="2398"/>
      <c r="E134" s="2398"/>
      <c r="F134" s="2398"/>
      <c r="G134" s="2398"/>
      <c r="H134" s="2404" t="s">
        <v>1324</v>
      </c>
    </row>
    <row r="135" spans="1:8">
      <c r="A135" s="2421"/>
      <c r="B135" s="2398"/>
      <c r="C135" s="2398"/>
      <c r="D135" s="2398"/>
      <c r="E135" s="2398"/>
      <c r="F135" s="2398"/>
      <c r="G135" s="2398"/>
      <c r="H135" s="2475"/>
    </row>
    <row r="136" spans="1:8">
      <c r="A136" s="2397" t="s">
        <v>1325</v>
      </c>
      <c r="B136" s="2398"/>
      <c r="C136" s="2398"/>
      <c r="D136" s="2398"/>
      <c r="E136" s="2398"/>
      <c r="F136" s="2398"/>
      <c r="G136" s="2398"/>
      <c r="H136" s="2475"/>
    </row>
    <row r="137" spans="1:8">
      <c r="A137" s="2399" t="s">
        <v>1326</v>
      </c>
      <c r="B137" s="2398"/>
      <c r="C137" s="2398"/>
      <c r="D137" s="2398"/>
      <c r="E137" s="2398"/>
      <c r="F137" s="2398"/>
      <c r="G137" s="2398"/>
      <c r="H137" s="2475"/>
    </row>
    <row r="138" spans="1:8">
      <c r="A138" s="2400" t="s">
        <v>1327</v>
      </c>
      <c r="B138" s="2400" t="s">
        <v>1242</v>
      </c>
      <c r="C138" s="2400" t="s">
        <v>1243</v>
      </c>
      <c r="D138" s="2398"/>
      <c r="E138" s="2398"/>
      <c r="F138" s="2398"/>
      <c r="G138" s="2398"/>
      <c r="H138" s="2475"/>
    </row>
    <row r="139" spans="1:8">
      <c r="A139" s="2410"/>
      <c r="B139" s="2403"/>
      <c r="C139" s="2403"/>
      <c r="D139" s="2398"/>
      <c r="E139" s="2398"/>
      <c r="F139" s="2398"/>
      <c r="G139" s="2398"/>
      <c r="H139" s="2404" t="s">
        <v>1328</v>
      </c>
    </row>
    <row r="140" spans="1:8">
      <c r="A140" s="2410"/>
      <c r="B140" s="2403"/>
      <c r="C140" s="2403"/>
      <c r="D140" s="2398"/>
      <c r="E140" s="2398"/>
      <c r="F140" s="2398"/>
      <c r="G140" s="2398"/>
      <c r="H140" s="2404" t="s">
        <v>1328</v>
      </c>
    </row>
    <row r="141" spans="1:8">
      <c r="A141" s="2410"/>
      <c r="B141" s="2403"/>
      <c r="C141" s="2403"/>
      <c r="D141" s="2398"/>
      <c r="E141" s="2398"/>
      <c r="F141" s="2398"/>
      <c r="G141" s="2398"/>
      <c r="H141" s="2404" t="s">
        <v>1328</v>
      </c>
    </row>
    <row r="142" spans="1:8">
      <c r="A142" s="2410"/>
      <c r="B142" s="2403"/>
      <c r="C142" s="2403"/>
      <c r="D142" s="2398"/>
      <c r="E142" s="2398"/>
      <c r="F142" s="2398"/>
      <c r="G142" s="2398"/>
      <c r="H142" s="2404" t="s">
        <v>1328</v>
      </c>
    </row>
    <row r="143" spans="1:8">
      <c r="A143" s="2410"/>
      <c r="B143" s="2403"/>
      <c r="C143" s="2403"/>
      <c r="D143" s="2398"/>
      <c r="E143" s="2398"/>
      <c r="F143" s="2398"/>
      <c r="G143" s="2398"/>
      <c r="H143" s="2404" t="s">
        <v>1328</v>
      </c>
    </row>
    <row r="144" spans="1:8">
      <c r="A144" s="2410"/>
      <c r="B144" s="2403"/>
      <c r="C144" s="2403"/>
      <c r="D144" s="2398"/>
      <c r="E144" s="2398"/>
      <c r="F144" s="2398"/>
      <c r="G144" s="2398"/>
      <c r="H144" s="2404" t="s">
        <v>1328</v>
      </c>
    </row>
    <row r="145" spans="1:8">
      <c r="A145" s="2410"/>
      <c r="B145" s="2403"/>
      <c r="C145" s="2403"/>
      <c r="D145" s="2398"/>
      <c r="E145" s="2398"/>
      <c r="F145" s="2398"/>
      <c r="G145" s="2398"/>
      <c r="H145" s="2404" t="s">
        <v>1328</v>
      </c>
    </row>
    <row r="146" spans="1:8">
      <c r="A146" s="2410"/>
      <c r="B146" s="2403"/>
      <c r="C146" s="2403"/>
      <c r="D146" s="2398"/>
      <c r="E146" s="2398"/>
      <c r="F146" s="2398"/>
      <c r="G146" s="2398"/>
      <c r="H146" s="2404" t="s">
        <v>1328</v>
      </c>
    </row>
    <row r="147" spans="1:8">
      <c r="A147" s="2410"/>
      <c r="B147" s="2403"/>
      <c r="C147" s="2403"/>
      <c r="D147" s="2398"/>
      <c r="E147" s="2398"/>
      <c r="F147" s="2398"/>
      <c r="G147" s="2398"/>
      <c r="H147" s="2404" t="s">
        <v>1328</v>
      </c>
    </row>
    <row r="148" spans="1:8">
      <c r="A148" s="2410"/>
      <c r="B148" s="2403"/>
      <c r="C148" s="2403"/>
      <c r="D148" s="2398"/>
      <c r="E148" s="2398"/>
      <c r="F148" s="2398"/>
      <c r="G148" s="2398"/>
      <c r="H148" s="2404" t="s">
        <v>1328</v>
      </c>
    </row>
    <row r="149" spans="1:8">
      <c r="A149" s="2400" t="s">
        <v>385</v>
      </c>
      <c r="B149" s="2369">
        <f>ROUND(SUM(B139:B148),2)</f>
        <v>0</v>
      </c>
      <c r="C149" s="2369">
        <f>ROUND(SUM(C139:C148),2)</f>
        <v>0</v>
      </c>
      <c r="D149" s="2398"/>
      <c r="E149" s="2398"/>
      <c r="F149" s="2398"/>
      <c r="G149" s="2398"/>
      <c r="H149" s="2404" t="s">
        <v>1329</v>
      </c>
    </row>
    <row r="150" spans="1:8">
      <c r="A150" s="2398"/>
      <c r="B150" s="2398"/>
      <c r="C150" s="2398"/>
      <c r="D150" s="2398"/>
      <c r="E150" s="2398"/>
      <c r="F150" s="2398"/>
      <c r="G150" s="2398"/>
      <c r="H150" s="2475"/>
    </row>
    <row r="151" spans="1:8">
      <c r="A151" s="2422" t="s">
        <v>1330</v>
      </c>
      <c r="B151" s="2419"/>
      <c r="C151" s="2419"/>
      <c r="D151" s="2419"/>
      <c r="E151" s="2419"/>
      <c r="F151" s="2419"/>
      <c r="G151" s="2419"/>
      <c r="H151" s="2475"/>
    </row>
    <row r="152" spans="1:8">
      <c r="A152" s="2400" t="s">
        <v>1327</v>
      </c>
      <c r="B152" s="2400" t="s">
        <v>1331</v>
      </c>
      <c r="C152" s="2419"/>
      <c r="D152" s="2419"/>
      <c r="E152" s="2419"/>
      <c r="F152" s="2419"/>
      <c r="G152" s="2420"/>
      <c r="H152" s="2475"/>
    </row>
    <row r="153" spans="1:8">
      <c r="A153" s="2410"/>
      <c r="B153" s="2410"/>
      <c r="C153" s="2419"/>
      <c r="D153" s="2419"/>
      <c r="E153" s="2419"/>
      <c r="F153" s="2419"/>
      <c r="G153" s="2420"/>
      <c r="H153" s="2404" t="s">
        <v>1332</v>
      </c>
    </row>
    <row r="154" spans="1:8">
      <c r="A154" s="2410"/>
      <c r="B154" s="2410"/>
      <c r="C154" s="2419"/>
      <c r="D154" s="2419"/>
      <c r="E154" s="2419"/>
      <c r="F154" s="2419"/>
      <c r="G154" s="2420"/>
      <c r="H154" s="2404" t="s">
        <v>1332</v>
      </c>
    </row>
    <row r="155" spans="1:8">
      <c r="A155" s="2410"/>
      <c r="B155" s="2410"/>
      <c r="C155" s="2419"/>
      <c r="D155" s="2419"/>
      <c r="E155" s="2419"/>
      <c r="F155" s="2419"/>
      <c r="G155" s="2420"/>
      <c r="H155" s="2404" t="s">
        <v>1332</v>
      </c>
    </row>
    <row r="156" spans="1:8">
      <c r="A156" s="2410"/>
      <c r="B156" s="2410"/>
      <c r="C156" s="2419"/>
      <c r="D156" s="2419"/>
      <c r="E156" s="2419"/>
      <c r="F156" s="2419"/>
      <c r="G156" s="2420"/>
      <c r="H156" s="2404" t="s">
        <v>1332</v>
      </c>
    </row>
    <row r="157" spans="1:8">
      <c r="A157" s="2410"/>
      <c r="B157" s="2410"/>
      <c r="C157" s="2419"/>
      <c r="D157" s="2419"/>
      <c r="E157" s="2419"/>
      <c r="F157" s="2419"/>
      <c r="G157" s="2420"/>
      <c r="H157" s="2404" t="s">
        <v>1332</v>
      </c>
    </row>
    <row r="158" spans="1:8">
      <c r="A158" s="2410"/>
      <c r="B158" s="2410"/>
      <c r="C158" s="2419"/>
      <c r="D158" s="2419"/>
      <c r="E158" s="2419"/>
      <c r="F158" s="2419"/>
      <c r="G158" s="2420"/>
      <c r="H158" s="2404" t="s">
        <v>1332</v>
      </c>
    </row>
    <row r="159" spans="1:8">
      <c r="A159" s="2410"/>
      <c r="B159" s="2410"/>
      <c r="C159" s="2419"/>
      <c r="D159" s="2419"/>
      <c r="E159" s="2419"/>
      <c r="F159" s="2419"/>
      <c r="G159" s="2420"/>
      <c r="H159" s="2404" t="s">
        <v>1332</v>
      </c>
    </row>
    <row r="160" spans="1:8">
      <c r="A160" s="2410"/>
      <c r="B160" s="2410"/>
      <c r="C160" s="2419"/>
      <c r="D160" s="2419"/>
      <c r="E160" s="2419"/>
      <c r="F160" s="2419"/>
      <c r="G160" s="2420"/>
      <c r="H160" s="2404" t="s">
        <v>1332</v>
      </c>
    </row>
    <row r="161" spans="1:8">
      <c r="A161" s="2410"/>
      <c r="B161" s="2410"/>
      <c r="C161" s="2419"/>
      <c r="D161" s="2419"/>
      <c r="E161" s="2419"/>
      <c r="F161" s="2419"/>
      <c r="G161" s="2420"/>
      <c r="H161" s="2404" t="s">
        <v>1332</v>
      </c>
    </row>
    <row r="162" spans="1:8">
      <c r="A162" s="2410"/>
      <c r="B162" s="2410"/>
      <c r="C162" s="2419"/>
      <c r="D162" s="2419"/>
      <c r="E162" s="2419"/>
      <c r="F162" s="2419"/>
      <c r="G162" s="2420"/>
      <c r="H162" s="2404" t="s">
        <v>1332</v>
      </c>
    </row>
    <row r="163" spans="1:8">
      <c r="A163" s="2423"/>
      <c r="B163" s="2418"/>
      <c r="C163" s="2418"/>
      <c r="D163" s="2398"/>
      <c r="E163" s="2398"/>
      <c r="F163" s="2398"/>
      <c r="G163" s="2398"/>
      <c r="H163" s="2475"/>
    </row>
    <row r="164" spans="1:8">
      <c r="A164" s="2421"/>
      <c r="B164" s="2398"/>
      <c r="C164" s="2398"/>
      <c r="D164" s="2398"/>
      <c r="E164" s="2398"/>
      <c r="F164" s="2398"/>
      <c r="G164" s="2398"/>
      <c r="H164" s="2475"/>
    </row>
    <row r="165" spans="1:8">
      <c r="A165" s="2397" t="s">
        <v>1333</v>
      </c>
      <c r="B165" s="2398"/>
      <c r="C165" s="2398"/>
      <c r="D165" s="2398"/>
      <c r="E165" s="2398"/>
      <c r="F165" s="2398"/>
      <c r="G165" s="2398"/>
      <c r="H165" s="2475"/>
    </row>
    <row r="166" spans="1:8">
      <c r="A166" s="2400" t="s">
        <v>373</v>
      </c>
      <c r="B166" s="2400" t="s">
        <v>1242</v>
      </c>
      <c r="C166" s="2400" t="s">
        <v>1243</v>
      </c>
      <c r="D166" s="2398"/>
      <c r="E166" s="2398"/>
      <c r="F166" s="2398"/>
      <c r="G166" s="2398"/>
      <c r="H166" s="2475"/>
    </row>
    <row r="167" spans="1:8">
      <c r="A167" s="2410"/>
      <c r="B167" s="2403"/>
      <c r="C167" s="2403"/>
      <c r="D167" s="2398"/>
      <c r="E167" s="2398"/>
      <c r="F167" s="2398"/>
      <c r="G167" s="2398"/>
      <c r="H167" s="2404" t="s">
        <v>1334</v>
      </c>
    </row>
    <row r="168" spans="1:8">
      <c r="A168" s="2410"/>
      <c r="B168" s="2403"/>
      <c r="C168" s="2403"/>
      <c r="D168" s="2398"/>
      <c r="E168" s="2398"/>
      <c r="F168" s="2398"/>
      <c r="G168" s="2398"/>
      <c r="H168" s="2404" t="s">
        <v>1334</v>
      </c>
    </row>
    <row r="169" spans="1:8">
      <c r="A169" s="2410"/>
      <c r="B169" s="2403"/>
      <c r="C169" s="2403"/>
      <c r="D169" s="2398"/>
      <c r="E169" s="2398"/>
      <c r="F169" s="2398"/>
      <c r="G169" s="2398"/>
      <c r="H169" s="2404" t="s">
        <v>1334</v>
      </c>
    </row>
    <row r="170" spans="1:8">
      <c r="A170" s="2410"/>
      <c r="B170" s="2403"/>
      <c r="C170" s="2403"/>
      <c r="D170" s="2398"/>
      <c r="E170" s="2398"/>
      <c r="F170" s="2398"/>
      <c r="G170" s="2398"/>
      <c r="H170" s="2404" t="s">
        <v>1334</v>
      </c>
    </row>
    <row r="171" spans="1:8">
      <c r="A171" s="2410"/>
      <c r="B171" s="2403"/>
      <c r="C171" s="2403"/>
      <c r="D171" s="2398"/>
      <c r="E171" s="2398"/>
      <c r="F171" s="2398"/>
      <c r="G171" s="2398"/>
      <c r="H171" s="2404" t="s">
        <v>1334</v>
      </c>
    </row>
    <row r="172" spans="1:8">
      <c r="A172" s="2410"/>
      <c r="B172" s="2403"/>
      <c r="C172" s="2403"/>
      <c r="D172" s="2398"/>
      <c r="E172" s="2398"/>
      <c r="F172" s="2398"/>
      <c r="G172" s="2398"/>
      <c r="H172" s="2404" t="s">
        <v>1334</v>
      </c>
    </row>
    <row r="173" spans="1:8">
      <c r="A173" s="2410"/>
      <c r="B173" s="2403"/>
      <c r="C173" s="2403"/>
      <c r="D173" s="2398"/>
      <c r="E173" s="2398"/>
      <c r="F173" s="2398"/>
      <c r="G173" s="2398"/>
      <c r="H173" s="2404" t="s">
        <v>1334</v>
      </c>
    </row>
    <row r="174" spans="1:8">
      <c r="A174" s="2410"/>
      <c r="B174" s="2403"/>
      <c r="C174" s="2403"/>
      <c r="D174" s="2398"/>
      <c r="E174" s="2398"/>
      <c r="F174" s="2398"/>
      <c r="G174" s="2398"/>
      <c r="H174" s="2404" t="s">
        <v>1334</v>
      </c>
    </row>
    <row r="175" spans="1:8">
      <c r="A175" s="2410"/>
      <c r="B175" s="2403"/>
      <c r="C175" s="2403"/>
      <c r="D175" s="2398"/>
      <c r="E175" s="2398"/>
      <c r="F175" s="2398"/>
      <c r="G175" s="2398"/>
      <c r="H175" s="2404" t="s">
        <v>1334</v>
      </c>
    </row>
    <row r="176" spans="1:8">
      <c r="A176" s="2410"/>
      <c r="B176" s="2403"/>
      <c r="C176" s="2403"/>
      <c r="D176" s="2398"/>
      <c r="E176" s="2398"/>
      <c r="F176" s="2398"/>
      <c r="G176" s="2398"/>
      <c r="H176" s="2404" t="s">
        <v>1334</v>
      </c>
    </row>
    <row r="177" spans="1:8">
      <c r="A177" s="2400" t="s">
        <v>385</v>
      </c>
      <c r="B177" s="2369">
        <f>ROUND(SUM(B167:B176),2)</f>
        <v>0</v>
      </c>
      <c r="C177" s="2369">
        <f>ROUND(SUM(C167:C176),2)</f>
        <v>0</v>
      </c>
      <c r="D177" s="2398"/>
      <c r="E177" s="2398"/>
      <c r="F177" s="2398"/>
      <c r="G177" s="2398"/>
      <c r="H177" s="2404" t="s">
        <v>1335</v>
      </c>
    </row>
    <row r="178" spans="1:8">
      <c r="A178" s="2417"/>
      <c r="B178" s="2418"/>
      <c r="C178" s="2418"/>
      <c r="D178" s="2398"/>
      <c r="E178" s="2398"/>
      <c r="F178" s="2398"/>
      <c r="G178" s="2398"/>
      <c r="H178" s="2475"/>
    </row>
    <row r="179" spans="1:8">
      <c r="A179" s="2421"/>
      <c r="B179" s="2398"/>
      <c r="C179" s="2398"/>
      <c r="D179" s="2398"/>
      <c r="E179" s="2398"/>
      <c r="F179" s="2398"/>
      <c r="G179" s="2398"/>
      <c r="H179" s="2475"/>
    </row>
    <row r="180" spans="1:8">
      <c r="A180" s="2397" t="s">
        <v>1336</v>
      </c>
      <c r="B180" s="2398"/>
      <c r="C180" s="2398"/>
      <c r="D180" s="2398"/>
      <c r="E180" s="2398"/>
      <c r="F180" s="2398"/>
      <c r="G180" s="2398"/>
      <c r="H180" s="2475"/>
    </row>
    <row r="181" spans="1:8">
      <c r="A181" s="2400" t="s">
        <v>373</v>
      </c>
      <c r="B181" s="2400" t="s">
        <v>1242</v>
      </c>
      <c r="C181" s="2400" t="s">
        <v>1243</v>
      </c>
      <c r="D181" s="2398"/>
      <c r="E181" s="2398"/>
      <c r="F181" s="2398"/>
      <c r="G181" s="2398"/>
      <c r="H181" s="2475"/>
    </row>
    <row r="182" spans="1:8">
      <c r="A182" s="2410"/>
      <c r="B182" s="2403"/>
      <c r="C182" s="2403"/>
      <c r="D182" s="2398"/>
      <c r="E182" s="2398"/>
      <c r="F182" s="2398"/>
      <c r="G182" s="2398"/>
      <c r="H182" s="2404" t="s">
        <v>1337</v>
      </c>
    </row>
    <row r="183" spans="1:8">
      <c r="A183" s="2410"/>
      <c r="B183" s="2403"/>
      <c r="C183" s="2403"/>
      <c r="D183" s="2398"/>
      <c r="E183" s="2398"/>
      <c r="F183" s="2398"/>
      <c r="G183" s="2398"/>
      <c r="H183" s="2404" t="s">
        <v>1337</v>
      </c>
    </row>
    <row r="184" spans="1:8">
      <c r="A184" s="2410"/>
      <c r="B184" s="2403"/>
      <c r="C184" s="2403"/>
      <c r="D184" s="2398"/>
      <c r="E184" s="2398"/>
      <c r="F184" s="2398"/>
      <c r="G184" s="2398"/>
      <c r="H184" s="2404" t="s">
        <v>1337</v>
      </c>
    </row>
    <row r="185" spans="1:8">
      <c r="A185" s="2410"/>
      <c r="B185" s="2403"/>
      <c r="C185" s="2403"/>
      <c r="D185" s="2398"/>
      <c r="E185" s="2398"/>
      <c r="F185" s="2398"/>
      <c r="G185" s="2398"/>
      <c r="H185" s="2404" t="s">
        <v>1337</v>
      </c>
    </row>
    <row r="186" spans="1:8">
      <c r="A186" s="2410"/>
      <c r="B186" s="2403"/>
      <c r="C186" s="2403"/>
      <c r="D186" s="2398"/>
      <c r="E186" s="2398"/>
      <c r="F186" s="2398"/>
      <c r="G186" s="2398"/>
      <c r="H186" s="2404" t="s">
        <v>1337</v>
      </c>
    </row>
    <row r="187" spans="1:8">
      <c r="A187" s="2410"/>
      <c r="B187" s="2403"/>
      <c r="C187" s="2403"/>
      <c r="D187" s="2398"/>
      <c r="E187" s="2398"/>
      <c r="F187" s="2398"/>
      <c r="G187" s="2398"/>
      <c r="H187" s="2404" t="s">
        <v>1337</v>
      </c>
    </row>
    <row r="188" spans="1:8">
      <c r="A188" s="2410"/>
      <c r="B188" s="2403"/>
      <c r="C188" s="2403"/>
      <c r="D188" s="2398"/>
      <c r="E188" s="2398"/>
      <c r="F188" s="2398"/>
      <c r="G188" s="2398"/>
      <c r="H188" s="2404" t="s">
        <v>1337</v>
      </c>
    </row>
    <row r="189" spans="1:8">
      <c r="A189" s="2410"/>
      <c r="B189" s="2403"/>
      <c r="C189" s="2403"/>
      <c r="D189" s="2398"/>
      <c r="E189" s="2398"/>
      <c r="F189" s="2398"/>
      <c r="G189" s="2398"/>
      <c r="H189" s="2404" t="s">
        <v>1337</v>
      </c>
    </row>
    <row r="190" spans="1:8">
      <c r="A190" s="2410"/>
      <c r="B190" s="2403"/>
      <c r="C190" s="2403"/>
      <c r="D190" s="2398"/>
      <c r="E190" s="2398"/>
      <c r="F190" s="2398"/>
      <c r="G190" s="2398"/>
      <c r="H190" s="2404" t="s">
        <v>1337</v>
      </c>
    </row>
    <row r="191" spans="1:8">
      <c r="A191" s="2410"/>
      <c r="B191" s="2403"/>
      <c r="C191" s="2403"/>
      <c r="D191" s="2398"/>
      <c r="E191" s="2398"/>
      <c r="F191" s="2398"/>
      <c r="G191" s="2398"/>
      <c r="H191" s="2404" t="s">
        <v>1337</v>
      </c>
    </row>
    <row r="192" spans="1:8">
      <c r="A192" s="2400" t="s">
        <v>385</v>
      </c>
      <c r="B192" s="2369">
        <f>ROUND(SUM(B182:B191),2)</f>
        <v>0</v>
      </c>
      <c r="C192" s="2369">
        <f>ROUND(SUM(C182:C191),2)</f>
        <v>0</v>
      </c>
      <c r="D192" s="2398"/>
      <c r="E192" s="2398"/>
      <c r="F192" s="2398"/>
      <c r="G192" s="2398"/>
      <c r="H192" s="2404" t="s">
        <v>1338</v>
      </c>
    </row>
    <row r="193" spans="1:8">
      <c r="A193" s="2417"/>
      <c r="B193" s="2418"/>
      <c r="C193" s="2418"/>
      <c r="D193" s="2398"/>
      <c r="E193" s="2398"/>
      <c r="F193" s="2398"/>
      <c r="G193" s="2398"/>
      <c r="H193" s="2475"/>
    </row>
    <row r="194" spans="1:8">
      <c r="A194" s="2412"/>
      <c r="B194" s="2413"/>
      <c r="C194" s="2413"/>
      <c r="D194" s="2398"/>
      <c r="E194" s="2398"/>
      <c r="F194" s="2398"/>
      <c r="G194" s="2398"/>
      <c r="H194" s="2475"/>
    </row>
    <row r="195" spans="1:8">
      <c r="A195" s="2397" t="s">
        <v>1339</v>
      </c>
      <c r="B195" s="2398"/>
      <c r="C195" s="2398"/>
      <c r="D195" s="2398"/>
      <c r="E195" s="2398"/>
      <c r="F195" s="2398"/>
      <c r="G195" s="2398"/>
      <c r="H195" s="2475"/>
    </row>
    <row r="196" spans="1:8">
      <c r="A196" s="2400" t="s">
        <v>373</v>
      </c>
      <c r="B196" s="2402" t="s">
        <v>1242</v>
      </c>
      <c r="C196" s="2402" t="s">
        <v>1243</v>
      </c>
      <c r="D196" s="2398"/>
      <c r="E196" s="2398"/>
      <c r="F196" s="2398"/>
      <c r="G196" s="2398"/>
      <c r="H196" s="2475"/>
    </row>
    <row r="197" spans="1:8">
      <c r="A197" s="2424" t="s">
        <v>1340</v>
      </c>
      <c r="B197" s="2403"/>
      <c r="C197" s="2403"/>
      <c r="D197" s="2398"/>
      <c r="E197" s="2398"/>
      <c r="F197" s="2398"/>
      <c r="G197" s="2398"/>
      <c r="H197" s="2404" t="s">
        <v>1341</v>
      </c>
    </row>
    <row r="198" spans="1:8">
      <c r="A198" s="2424" t="s">
        <v>1342</v>
      </c>
      <c r="B198" s="2403"/>
      <c r="C198" s="2403"/>
      <c r="D198" s="2398"/>
      <c r="E198" s="2398"/>
      <c r="F198" s="2398"/>
      <c r="G198" s="2398"/>
      <c r="H198" s="2404" t="s">
        <v>1343</v>
      </c>
    </row>
    <row r="199" spans="1:8">
      <c r="A199" s="2400" t="s">
        <v>385</v>
      </c>
      <c r="B199" s="2369">
        <f>ROUND(SUM(B197:B198),2)</f>
        <v>0</v>
      </c>
      <c r="C199" s="2369">
        <f>ROUND(SUM(C197:C198),2)</f>
        <v>0</v>
      </c>
      <c r="D199" s="2398"/>
      <c r="E199" s="2398"/>
      <c r="F199" s="2398"/>
      <c r="G199" s="2398"/>
      <c r="H199" s="2404" t="s">
        <v>1344</v>
      </c>
    </row>
    <row r="200" spans="1:8">
      <c r="A200" s="2417"/>
      <c r="B200" s="2418"/>
      <c r="C200" s="2418"/>
      <c r="D200" s="2398"/>
      <c r="E200" s="2398"/>
      <c r="F200" s="2398"/>
      <c r="G200" s="2398"/>
      <c r="H200" s="2475"/>
    </row>
    <row r="201" spans="1:8">
      <c r="A201" s="2421"/>
      <c r="B201" s="2398"/>
      <c r="C201" s="2398"/>
      <c r="D201" s="2398"/>
      <c r="E201" s="2398"/>
      <c r="F201" s="2398"/>
      <c r="G201" s="2398"/>
      <c r="H201" s="2475"/>
    </row>
    <row r="202" spans="1:8">
      <c r="A202" s="2425" t="s">
        <v>1345</v>
      </c>
      <c r="B202" s="2398"/>
      <c r="C202" s="2398"/>
      <c r="D202" s="2398"/>
      <c r="E202" s="2398"/>
      <c r="F202" s="2398"/>
      <c r="G202" s="2398"/>
      <c r="H202" s="2475"/>
    </row>
    <row r="203" spans="1:8">
      <c r="A203" s="2400" t="s">
        <v>373</v>
      </c>
      <c r="B203" s="2400" t="s">
        <v>1242</v>
      </c>
      <c r="C203" s="2400" t="s">
        <v>1243</v>
      </c>
      <c r="D203" s="2398"/>
      <c r="E203" s="2398"/>
      <c r="F203" s="2398"/>
      <c r="G203" s="2398"/>
      <c r="H203" s="2475"/>
    </row>
    <row r="204" spans="1:8">
      <c r="A204" s="2410"/>
      <c r="B204" s="2403"/>
      <c r="C204" s="2403"/>
      <c r="D204" s="2398"/>
      <c r="E204" s="2398"/>
      <c r="F204" s="2398"/>
      <c r="G204" s="2398"/>
      <c r="H204" s="2404" t="s">
        <v>1346</v>
      </c>
    </row>
    <row r="205" spans="1:8">
      <c r="A205" s="2410"/>
      <c r="B205" s="2403"/>
      <c r="C205" s="2403"/>
      <c r="D205" s="2398"/>
      <c r="E205" s="2398"/>
      <c r="F205" s="2398"/>
      <c r="G205" s="2398"/>
      <c r="H205" s="2404" t="s">
        <v>1346</v>
      </c>
    </row>
    <row r="206" spans="1:8">
      <c r="A206" s="2410"/>
      <c r="B206" s="2403"/>
      <c r="C206" s="2403"/>
      <c r="D206" s="2398"/>
      <c r="E206" s="2398"/>
      <c r="F206" s="2398"/>
      <c r="G206" s="2398"/>
      <c r="H206" s="2404" t="s">
        <v>1346</v>
      </c>
    </row>
    <row r="207" spans="1:8">
      <c r="A207" s="2410"/>
      <c r="B207" s="2403"/>
      <c r="C207" s="2403"/>
      <c r="D207" s="2398"/>
      <c r="E207" s="2398"/>
      <c r="F207" s="2398"/>
      <c r="G207" s="2398"/>
      <c r="H207" s="2404" t="s">
        <v>1346</v>
      </c>
    </row>
    <row r="208" spans="1:8">
      <c r="A208" s="2410"/>
      <c r="B208" s="2403"/>
      <c r="C208" s="2403"/>
      <c r="D208" s="2398"/>
      <c r="E208" s="2398"/>
      <c r="F208" s="2398"/>
      <c r="G208" s="2398"/>
      <c r="H208" s="2404" t="s">
        <v>1346</v>
      </c>
    </row>
    <row r="209" spans="1:8">
      <c r="A209" s="2410"/>
      <c r="B209" s="2403"/>
      <c r="C209" s="2403"/>
      <c r="D209" s="2398"/>
      <c r="E209" s="2398"/>
      <c r="F209" s="2398"/>
      <c r="G209" s="2398"/>
      <c r="H209" s="2404" t="s">
        <v>1346</v>
      </c>
    </row>
    <row r="210" spans="1:8">
      <c r="A210" s="2410"/>
      <c r="B210" s="2403"/>
      <c r="C210" s="2403"/>
      <c r="D210" s="2398"/>
      <c r="E210" s="2398"/>
      <c r="F210" s="2398"/>
      <c r="G210" s="2398"/>
      <c r="H210" s="2404" t="s">
        <v>1346</v>
      </c>
    </row>
    <row r="211" spans="1:8">
      <c r="A211" s="2410"/>
      <c r="B211" s="2403"/>
      <c r="C211" s="2403"/>
      <c r="D211" s="2398"/>
      <c r="E211" s="2398"/>
      <c r="F211" s="2398"/>
      <c r="G211" s="2398"/>
      <c r="H211" s="2404" t="s">
        <v>1346</v>
      </c>
    </row>
    <row r="212" spans="1:8">
      <c r="A212" s="2410"/>
      <c r="B212" s="2403"/>
      <c r="C212" s="2403"/>
      <c r="D212" s="2398"/>
      <c r="E212" s="2398"/>
      <c r="F212" s="2398"/>
      <c r="G212" s="2398"/>
      <c r="H212" s="2404" t="s">
        <v>1346</v>
      </c>
    </row>
    <row r="213" spans="1:8">
      <c r="A213" s="2410"/>
      <c r="B213" s="2403"/>
      <c r="C213" s="2403"/>
      <c r="D213" s="2398"/>
      <c r="E213" s="2398"/>
      <c r="F213" s="2398"/>
      <c r="G213" s="2398"/>
      <c r="H213" s="2404" t="s">
        <v>1346</v>
      </c>
    </row>
    <row r="214" spans="1:8">
      <c r="A214" s="2400" t="s">
        <v>385</v>
      </c>
      <c r="B214" s="2369">
        <f>ROUND(SUM(B204:B213),2)</f>
        <v>0</v>
      </c>
      <c r="C214" s="2369">
        <f>ROUND(SUM(C204:C213),2)</f>
        <v>0</v>
      </c>
      <c r="D214" s="2398"/>
      <c r="E214" s="2398"/>
      <c r="F214" s="2398"/>
      <c r="G214" s="2398"/>
      <c r="H214" s="2404" t="s">
        <v>1347</v>
      </c>
    </row>
    <row r="215" spans="1:8">
      <c r="A215" s="2417"/>
      <c r="B215" s="2418"/>
      <c r="C215" s="2418"/>
      <c r="D215" s="2398"/>
      <c r="E215" s="2398"/>
      <c r="F215" s="2398"/>
      <c r="G215" s="2398"/>
      <c r="H215" s="2404"/>
    </row>
    <row r="216" spans="1:8">
      <c r="A216" s="2421"/>
      <c r="B216" s="2398"/>
      <c r="C216" s="2398"/>
      <c r="D216" s="2398"/>
      <c r="E216" s="2398"/>
      <c r="F216" s="2398"/>
      <c r="G216" s="2398"/>
      <c r="H216" s="2475"/>
    </row>
    <row r="217" spans="1:8">
      <c r="A217" s="2415" t="s">
        <v>1348</v>
      </c>
      <c r="B217" s="2398"/>
      <c r="C217" s="2398"/>
      <c r="D217" s="2398"/>
      <c r="E217" s="2398"/>
      <c r="F217" s="2398"/>
      <c r="G217" s="2398"/>
      <c r="H217" s="2475"/>
    </row>
    <row r="218" spans="1:8">
      <c r="A218" s="2426" t="s">
        <v>161</v>
      </c>
      <c r="B218" s="2400" t="s">
        <v>1242</v>
      </c>
      <c r="C218" s="2400" t="s">
        <v>1243</v>
      </c>
      <c r="D218" s="2398"/>
      <c r="E218" s="2398"/>
      <c r="F218" s="2398"/>
      <c r="G218" s="2398"/>
      <c r="H218" s="2475"/>
    </row>
    <row r="219" spans="1:8">
      <c r="A219" s="2427" t="s">
        <v>164</v>
      </c>
      <c r="B219" s="2426"/>
      <c r="C219" s="2426"/>
      <c r="D219" s="2398"/>
      <c r="E219" s="2398"/>
      <c r="F219" s="2398"/>
      <c r="G219" s="2398"/>
      <c r="H219" s="2475"/>
    </row>
    <row r="220" spans="1:8">
      <c r="A220" s="2424" t="s">
        <v>110</v>
      </c>
      <c r="B220" s="2403"/>
      <c r="C220" s="2403"/>
      <c r="D220" s="2398"/>
      <c r="E220" s="2398"/>
      <c r="F220" s="2398"/>
      <c r="G220" s="2398"/>
      <c r="H220" s="2404" t="s">
        <v>1349</v>
      </c>
    </row>
    <row r="221" spans="1:8">
      <c r="A221" s="2424" t="s">
        <v>165</v>
      </c>
      <c r="B221" s="2403"/>
      <c r="C221" s="2403"/>
      <c r="D221" s="2398"/>
      <c r="E221" s="2398"/>
      <c r="F221" s="2398"/>
      <c r="G221" s="2398"/>
      <c r="H221" s="2404" t="s">
        <v>1350</v>
      </c>
    </row>
    <row r="222" spans="1:8">
      <c r="A222" s="2424" t="s">
        <v>166</v>
      </c>
      <c r="B222" s="2403"/>
      <c r="C222" s="2403"/>
      <c r="D222" s="2398"/>
      <c r="E222" s="2398"/>
      <c r="F222" s="2398"/>
      <c r="G222" s="2398"/>
      <c r="H222" s="2404" t="s">
        <v>1351</v>
      </c>
    </row>
    <row r="223" spans="1:8">
      <c r="A223" s="2424" t="s">
        <v>167</v>
      </c>
      <c r="B223" s="2403"/>
      <c r="C223" s="2403"/>
      <c r="D223" s="2398"/>
      <c r="E223" s="2398"/>
      <c r="F223" s="2398"/>
      <c r="G223" s="2398"/>
      <c r="H223" s="2404" t="s">
        <v>1352</v>
      </c>
    </row>
    <row r="224" spans="1:8">
      <c r="A224" s="2424" t="s">
        <v>168</v>
      </c>
      <c r="B224" s="2403"/>
      <c r="C224" s="2403"/>
      <c r="D224" s="2398"/>
      <c r="E224" s="2398"/>
      <c r="F224" s="2398"/>
      <c r="G224" s="2398"/>
      <c r="H224" s="2404" t="s">
        <v>1353</v>
      </c>
    </row>
    <row r="225" spans="1:8">
      <c r="A225" s="2424" t="s">
        <v>169</v>
      </c>
      <c r="B225" s="2403"/>
      <c r="C225" s="2403"/>
      <c r="D225" s="2398"/>
      <c r="E225" s="2398"/>
      <c r="F225" s="2398"/>
      <c r="G225" s="2398"/>
      <c r="H225" s="2404" t="s">
        <v>1354</v>
      </c>
    </row>
    <row r="226" spans="1:8">
      <c r="A226" s="2424" t="s">
        <v>170</v>
      </c>
      <c r="B226" s="2403"/>
      <c r="C226" s="2403"/>
      <c r="D226" s="2398"/>
      <c r="E226" s="2398"/>
      <c r="F226" s="2398"/>
      <c r="G226" s="2398"/>
      <c r="H226" s="2404" t="s">
        <v>1355</v>
      </c>
    </row>
    <row r="227" spans="1:8">
      <c r="A227" s="2424" t="s">
        <v>171</v>
      </c>
      <c r="B227" s="2403"/>
      <c r="C227" s="2403"/>
      <c r="D227" s="2398"/>
      <c r="E227" s="2398"/>
      <c r="F227" s="2398"/>
      <c r="G227" s="2398"/>
      <c r="H227" s="2404" t="s">
        <v>1356</v>
      </c>
    </row>
    <row r="228" spans="1:8">
      <c r="A228" s="2424" t="s">
        <v>85</v>
      </c>
      <c r="B228" s="2403"/>
      <c r="C228" s="2403"/>
      <c r="D228" s="2398"/>
      <c r="E228" s="2398"/>
      <c r="F228" s="2398"/>
      <c r="G228" s="2398"/>
      <c r="H228" s="2404" t="s">
        <v>1357</v>
      </c>
    </row>
    <row r="229" spans="1:8">
      <c r="A229" s="2424" t="s">
        <v>172</v>
      </c>
      <c r="B229" s="2403"/>
      <c r="C229" s="2403"/>
      <c r="D229" s="2398"/>
      <c r="E229" s="2398"/>
      <c r="F229" s="2398"/>
      <c r="G229" s="2398"/>
      <c r="H229" s="2404" t="s">
        <v>1358</v>
      </c>
    </row>
    <row r="230" spans="1:8">
      <c r="A230" s="2424" t="s">
        <v>173</v>
      </c>
      <c r="B230" s="2403"/>
      <c r="C230" s="2403"/>
      <c r="D230" s="2398"/>
      <c r="E230" s="2398"/>
      <c r="F230" s="2398"/>
      <c r="G230" s="2398"/>
      <c r="H230" s="2404" t="s">
        <v>1359</v>
      </c>
    </row>
    <row r="231" spans="1:8">
      <c r="A231" s="2424" t="s">
        <v>174</v>
      </c>
      <c r="B231" s="2403"/>
      <c r="C231" s="2403"/>
      <c r="D231" s="2398"/>
      <c r="E231" s="2398"/>
      <c r="F231" s="2398"/>
      <c r="G231" s="2398"/>
      <c r="H231" s="2404" t="s">
        <v>1360</v>
      </c>
    </row>
    <row r="232" spans="1:8">
      <c r="A232" s="2424" t="s">
        <v>175</v>
      </c>
      <c r="B232" s="2403"/>
      <c r="C232" s="2403"/>
      <c r="D232" s="2398"/>
      <c r="E232" s="2398"/>
      <c r="F232" s="2398"/>
      <c r="G232" s="2398"/>
      <c r="H232" s="2404" t="s">
        <v>1361</v>
      </c>
    </row>
    <row r="233" spans="1:8">
      <c r="A233" s="2424" t="s">
        <v>176</v>
      </c>
      <c r="B233" s="2403"/>
      <c r="C233" s="2403"/>
      <c r="D233" s="2398"/>
      <c r="E233" s="2398"/>
      <c r="F233" s="2398"/>
      <c r="G233" s="2398"/>
      <c r="H233" s="2404" t="s">
        <v>1362</v>
      </c>
    </row>
    <row r="234" spans="1:8">
      <c r="A234" s="2424" t="s">
        <v>177</v>
      </c>
      <c r="B234" s="2403"/>
      <c r="C234" s="2403"/>
      <c r="D234" s="2398"/>
      <c r="E234" s="2398"/>
      <c r="F234" s="2398"/>
      <c r="G234" s="2398"/>
      <c r="H234" s="2404" t="s">
        <v>1363</v>
      </c>
    </row>
    <row r="235" spans="1:8">
      <c r="A235" s="2424" t="s">
        <v>178</v>
      </c>
      <c r="B235" s="2403"/>
      <c r="C235" s="2403"/>
      <c r="D235" s="2398"/>
      <c r="E235" s="2398"/>
      <c r="F235" s="2398"/>
      <c r="G235" s="2398"/>
      <c r="H235" s="2404" t="s">
        <v>1364</v>
      </c>
    </row>
    <row r="236" spans="1:8">
      <c r="A236" s="2424" t="s">
        <v>179</v>
      </c>
      <c r="B236" s="2369">
        <f>ROUND(SUM(B220:B235),2)</f>
        <v>0</v>
      </c>
      <c r="C236" s="2369">
        <f>ROUND(SUM(C220:C235),2)</f>
        <v>0</v>
      </c>
      <c r="D236" s="2398"/>
      <c r="E236" s="2398"/>
      <c r="F236" s="2398"/>
      <c r="G236" s="2398"/>
      <c r="H236" s="2404" t="s">
        <v>1365</v>
      </c>
    </row>
    <row r="237" spans="1:8">
      <c r="A237" s="2424"/>
      <c r="B237" s="2416"/>
      <c r="C237" s="2416"/>
      <c r="D237" s="2398"/>
      <c r="E237" s="2398"/>
      <c r="F237" s="2398"/>
      <c r="G237" s="2398"/>
      <c r="H237" s="2404"/>
    </row>
    <row r="238" spans="1:8">
      <c r="A238" s="2424" t="s">
        <v>180</v>
      </c>
      <c r="B238" s="2416"/>
      <c r="C238" s="2416"/>
      <c r="D238" s="2398"/>
      <c r="E238" s="2398"/>
      <c r="F238" s="2398"/>
      <c r="G238" s="2398"/>
      <c r="H238" s="2404"/>
    </row>
    <row r="239" spans="1:8">
      <c r="A239" s="2424" t="s">
        <v>181</v>
      </c>
      <c r="B239" s="2403"/>
      <c r="C239" s="2403"/>
      <c r="D239" s="2398"/>
      <c r="E239" s="2398"/>
      <c r="F239" s="2398"/>
      <c r="G239" s="2398"/>
      <c r="H239" s="2404" t="s">
        <v>1366</v>
      </c>
    </row>
    <row r="240" spans="1:8">
      <c r="A240" s="2424" t="s">
        <v>182</v>
      </c>
      <c r="B240" s="2403"/>
      <c r="C240" s="2403"/>
      <c r="D240" s="2398"/>
      <c r="E240" s="2398"/>
      <c r="F240" s="2398"/>
      <c r="G240" s="2398"/>
      <c r="H240" s="2404" t="s">
        <v>1367</v>
      </c>
    </row>
    <row r="241" spans="1:8">
      <c r="A241" s="2424" t="s">
        <v>183</v>
      </c>
      <c r="B241" s="2403"/>
      <c r="C241" s="2403"/>
      <c r="D241" s="2398"/>
      <c r="E241" s="2398"/>
      <c r="F241" s="2398"/>
      <c r="G241" s="2398"/>
      <c r="H241" s="2404" t="s">
        <v>1368</v>
      </c>
    </row>
    <row r="242" spans="1:8">
      <c r="A242" s="2424"/>
      <c r="B242" s="2416"/>
      <c r="C242" s="2416"/>
      <c r="D242" s="2398"/>
      <c r="E242" s="2398"/>
      <c r="F242" s="2398"/>
      <c r="G242" s="2398"/>
      <c r="H242" s="2404"/>
    </row>
    <row r="243" spans="1:8">
      <c r="A243" s="2424" t="s">
        <v>184</v>
      </c>
      <c r="B243" s="2416"/>
      <c r="C243" s="2416"/>
      <c r="D243" s="2398"/>
      <c r="E243" s="2398"/>
      <c r="F243" s="2398"/>
      <c r="G243" s="2398"/>
      <c r="H243" s="2404"/>
    </row>
    <row r="244" spans="1:8">
      <c r="A244" s="2424" t="s">
        <v>185</v>
      </c>
      <c r="B244" s="2403"/>
      <c r="C244" s="2403"/>
      <c r="D244" s="2398"/>
      <c r="E244" s="2398"/>
      <c r="F244" s="2398"/>
      <c r="G244" s="2398"/>
      <c r="H244" s="2404" t="s">
        <v>1369</v>
      </c>
    </row>
    <row r="245" spans="1:8">
      <c r="A245" s="2424" t="s">
        <v>186</v>
      </c>
      <c r="B245" s="2403"/>
      <c r="C245" s="2403"/>
      <c r="D245" s="2398"/>
      <c r="E245" s="2398"/>
      <c r="F245" s="2398"/>
      <c r="G245" s="2398"/>
      <c r="H245" s="2404" t="s">
        <v>1370</v>
      </c>
    </row>
    <row r="246" spans="1:8">
      <c r="A246" s="2424" t="s">
        <v>187</v>
      </c>
      <c r="B246" s="2403"/>
      <c r="C246" s="2403"/>
      <c r="D246" s="2398"/>
      <c r="E246" s="2398"/>
      <c r="F246" s="2398"/>
      <c r="G246" s="2398"/>
      <c r="H246" s="2404" t="s">
        <v>1371</v>
      </c>
    </row>
    <row r="247" spans="1:8">
      <c r="A247" s="2424" t="s">
        <v>188</v>
      </c>
      <c r="B247" s="2403"/>
      <c r="C247" s="2403"/>
      <c r="D247" s="2398"/>
      <c r="E247" s="2398"/>
      <c r="F247" s="2398"/>
      <c r="G247" s="2398"/>
      <c r="H247" s="2404" t="s">
        <v>1372</v>
      </c>
    </row>
    <row r="248" spans="1:8">
      <c r="A248" s="2424" t="s">
        <v>189</v>
      </c>
      <c r="B248" s="2369">
        <f>ROUND(B244-B245+B246-B247,2)</f>
        <v>0</v>
      </c>
      <c r="C248" s="2369">
        <f>ROUND(C244-C245+C246-C247,2)</f>
        <v>0</v>
      </c>
      <c r="D248" s="2398"/>
      <c r="E248" s="2398"/>
      <c r="F248" s="2398"/>
      <c r="G248" s="2398"/>
      <c r="H248" s="2404" t="s">
        <v>1373</v>
      </c>
    </row>
    <row r="249" spans="1:8">
      <c r="A249" s="2398"/>
      <c r="B249" s="2398"/>
      <c r="C249" s="2398"/>
      <c r="D249" s="2398"/>
      <c r="E249" s="2398"/>
      <c r="F249" s="2398"/>
      <c r="G249" s="2398"/>
      <c r="H249" s="2475"/>
    </row>
    <row r="250" spans="1:8">
      <c r="A250" s="2398"/>
      <c r="B250" s="2398"/>
      <c r="C250" s="2398"/>
      <c r="D250" s="2398"/>
      <c r="E250" s="2398"/>
      <c r="F250" s="2398"/>
      <c r="G250" s="2398"/>
      <c r="H250" s="2475"/>
    </row>
    <row r="251" spans="1:8">
      <c r="A251" s="2415" t="s">
        <v>1374</v>
      </c>
      <c r="B251" s="2428"/>
      <c r="C251" s="2398"/>
      <c r="D251" s="2398"/>
      <c r="E251" s="2398"/>
      <c r="F251" s="2398"/>
      <c r="G251" s="2398"/>
      <c r="H251" s="2475"/>
    </row>
    <row r="252" spans="1:8">
      <c r="A252" s="2406" t="s">
        <v>1375</v>
      </c>
      <c r="B252" s="2398"/>
      <c r="C252" s="2398"/>
      <c r="D252" s="2398"/>
      <c r="E252" s="2398"/>
      <c r="F252" s="2398"/>
      <c r="G252" s="2398"/>
      <c r="H252" s="2475"/>
    </row>
    <row r="253" spans="1:8">
      <c r="A253" s="2400" t="s">
        <v>1376</v>
      </c>
      <c r="B253" s="2400" t="s">
        <v>1377</v>
      </c>
      <c r="C253" s="2400" t="s">
        <v>1378</v>
      </c>
      <c r="D253" s="2400" t="s">
        <v>1379</v>
      </c>
      <c r="E253" s="2400" t="s">
        <v>1378</v>
      </c>
      <c r="F253" s="2398"/>
      <c r="G253" s="2398"/>
      <c r="H253" s="2475"/>
    </row>
    <row r="254" spans="1:8">
      <c r="A254" s="2410"/>
      <c r="B254" s="2403"/>
      <c r="C254" s="2429"/>
      <c r="D254" s="2403"/>
      <c r="E254" s="2429"/>
      <c r="F254" s="2398"/>
      <c r="G254" s="2398"/>
      <c r="H254" s="2404" t="s">
        <v>1380</v>
      </c>
    </row>
    <row r="255" spans="1:8">
      <c r="A255" s="2410"/>
      <c r="B255" s="2403"/>
      <c r="C255" s="2429"/>
      <c r="D255" s="2403"/>
      <c r="E255" s="2429"/>
      <c r="F255" s="2398"/>
      <c r="G255" s="2398"/>
      <c r="H255" s="2404" t="s">
        <v>1380</v>
      </c>
    </row>
    <row r="256" spans="1:8">
      <c r="A256" s="2410"/>
      <c r="B256" s="2403"/>
      <c r="C256" s="2429"/>
      <c r="D256" s="2403"/>
      <c r="E256" s="2429"/>
      <c r="F256" s="2398"/>
      <c r="G256" s="2398"/>
      <c r="H256" s="2404" t="s">
        <v>1380</v>
      </c>
    </row>
    <row r="257" spans="1:8">
      <c r="A257" s="2410"/>
      <c r="B257" s="2403"/>
      <c r="C257" s="2429"/>
      <c r="D257" s="2403"/>
      <c r="E257" s="2429"/>
      <c r="F257" s="2398"/>
      <c r="G257" s="2398"/>
      <c r="H257" s="2404" t="s">
        <v>1380</v>
      </c>
    </row>
    <row r="258" spans="1:8">
      <c r="A258" s="2410"/>
      <c r="B258" s="2403"/>
      <c r="C258" s="2429"/>
      <c r="D258" s="2403"/>
      <c r="E258" s="2429"/>
      <c r="F258" s="2398"/>
      <c r="G258" s="2398"/>
      <c r="H258" s="2404" t="s">
        <v>1380</v>
      </c>
    </row>
    <row r="259" spans="1:8">
      <c r="A259" s="2410"/>
      <c r="B259" s="2403"/>
      <c r="C259" s="2429"/>
      <c r="D259" s="2403"/>
      <c r="E259" s="2429"/>
      <c r="F259" s="2398"/>
      <c r="G259" s="2398"/>
      <c r="H259" s="2404" t="s">
        <v>1380</v>
      </c>
    </row>
    <row r="260" spans="1:8">
      <c r="A260" s="2410"/>
      <c r="B260" s="2403"/>
      <c r="C260" s="2429"/>
      <c r="D260" s="2403"/>
      <c r="E260" s="2429"/>
      <c r="F260" s="2398"/>
      <c r="G260" s="2398"/>
      <c r="H260" s="2404" t="s">
        <v>1380</v>
      </c>
    </row>
    <row r="261" spans="1:8">
      <c r="A261" s="2410"/>
      <c r="B261" s="2403"/>
      <c r="C261" s="2429"/>
      <c r="D261" s="2403"/>
      <c r="E261" s="2429"/>
      <c r="F261" s="2398"/>
      <c r="G261" s="2398"/>
      <c r="H261" s="2404" t="s">
        <v>1380</v>
      </c>
    </row>
    <row r="262" spans="1:8">
      <c r="A262" s="2410"/>
      <c r="B262" s="2403"/>
      <c r="C262" s="2429"/>
      <c r="D262" s="2403"/>
      <c r="E262" s="2429"/>
      <c r="F262" s="2398"/>
      <c r="G262" s="2398"/>
      <c r="H262" s="2404" t="s">
        <v>1380</v>
      </c>
    </row>
    <row r="263" spans="1:8">
      <c r="A263" s="2410"/>
      <c r="B263" s="2403"/>
      <c r="C263" s="2429"/>
      <c r="D263" s="2403"/>
      <c r="E263" s="2429"/>
      <c r="F263" s="2398"/>
      <c r="G263" s="2398"/>
      <c r="H263" s="2404" t="s">
        <v>1380</v>
      </c>
    </row>
    <row r="264" spans="1:8">
      <c r="A264" s="2400" t="s">
        <v>385</v>
      </c>
      <c r="B264" s="2369">
        <f>ROUND(SUM(B254:B263),2)</f>
        <v>0</v>
      </c>
      <c r="C264" s="2429"/>
      <c r="D264" s="2369">
        <f>ROUND(SUM(D254:D263),2)</f>
        <v>0</v>
      </c>
      <c r="E264" s="2429"/>
      <c r="F264" s="2398"/>
      <c r="G264" s="2398"/>
      <c r="H264" s="2404" t="s">
        <v>1381</v>
      </c>
    </row>
    <row r="265" spans="1:8">
      <c r="A265" s="2398"/>
      <c r="B265" s="2398"/>
      <c r="C265" s="2398"/>
      <c r="D265" s="2398"/>
      <c r="E265" s="2398"/>
      <c r="F265" s="2398"/>
      <c r="G265" s="2398"/>
      <c r="H265" s="2475"/>
    </row>
    <row r="266" spans="1:8">
      <c r="A266" s="2430" t="s">
        <v>1382</v>
      </c>
      <c r="B266" s="2398"/>
      <c r="C266" s="2398"/>
      <c r="D266" s="2398"/>
      <c r="E266" s="2398"/>
      <c r="F266" s="2398"/>
      <c r="G266" s="2398"/>
      <c r="H266" s="2475"/>
    </row>
    <row r="267" spans="1:8">
      <c r="A267" s="2400" t="s">
        <v>1376</v>
      </c>
      <c r="B267" s="2400" t="s">
        <v>1377</v>
      </c>
      <c r="C267" s="2400" t="s">
        <v>1378</v>
      </c>
      <c r="D267" s="2400" t="s">
        <v>1379</v>
      </c>
      <c r="E267" s="2400" t="s">
        <v>1378</v>
      </c>
      <c r="F267" s="2398"/>
      <c r="G267" s="2398"/>
      <c r="H267" s="2475"/>
    </row>
    <row r="268" spans="1:8">
      <c r="A268" s="2410"/>
      <c r="B268" s="2403"/>
      <c r="C268" s="2429"/>
      <c r="D268" s="2403"/>
      <c r="E268" s="2429"/>
      <c r="F268" s="2398"/>
      <c r="G268" s="2398"/>
      <c r="H268" s="2404" t="s">
        <v>1383</v>
      </c>
    </row>
    <row r="269" spans="1:8">
      <c r="A269" s="2410"/>
      <c r="B269" s="2403"/>
      <c r="C269" s="2429"/>
      <c r="D269" s="2403"/>
      <c r="E269" s="2429"/>
      <c r="F269" s="2398"/>
      <c r="G269" s="2398"/>
      <c r="H269" s="2404" t="s">
        <v>1383</v>
      </c>
    </row>
    <row r="270" spans="1:8">
      <c r="A270" s="2410"/>
      <c r="B270" s="2403"/>
      <c r="C270" s="2429"/>
      <c r="D270" s="2403"/>
      <c r="E270" s="2429"/>
      <c r="F270" s="2398"/>
      <c r="G270" s="2398"/>
      <c r="H270" s="2404" t="s">
        <v>1383</v>
      </c>
    </row>
    <row r="271" spans="1:8">
      <c r="A271" s="2410"/>
      <c r="B271" s="2403"/>
      <c r="C271" s="2429"/>
      <c r="D271" s="2403"/>
      <c r="E271" s="2429"/>
      <c r="F271" s="2398"/>
      <c r="G271" s="2398"/>
      <c r="H271" s="2404" t="s">
        <v>1383</v>
      </c>
    </row>
    <row r="272" spans="1:8">
      <c r="A272" s="2410"/>
      <c r="B272" s="2403"/>
      <c r="C272" s="2429"/>
      <c r="D272" s="2403"/>
      <c r="E272" s="2429"/>
      <c r="F272" s="2398"/>
      <c r="G272" s="2398"/>
      <c r="H272" s="2404" t="s">
        <v>1383</v>
      </c>
    </row>
    <row r="273" spans="1:8">
      <c r="A273" s="2410"/>
      <c r="B273" s="2403"/>
      <c r="C273" s="2429"/>
      <c r="D273" s="2403"/>
      <c r="E273" s="2429"/>
      <c r="F273" s="2398"/>
      <c r="G273" s="2398"/>
      <c r="H273" s="2404" t="s">
        <v>1383</v>
      </c>
    </row>
    <row r="274" spans="1:8">
      <c r="A274" s="2410"/>
      <c r="B274" s="2403"/>
      <c r="C274" s="2429"/>
      <c r="D274" s="2403"/>
      <c r="E274" s="2429"/>
      <c r="F274" s="2398"/>
      <c r="G274" s="2398"/>
      <c r="H274" s="2404" t="s">
        <v>1383</v>
      </c>
    </row>
    <row r="275" spans="1:8">
      <c r="A275" s="2410"/>
      <c r="B275" s="2403"/>
      <c r="C275" s="2429"/>
      <c r="D275" s="2403"/>
      <c r="E275" s="2429"/>
      <c r="F275" s="2398"/>
      <c r="G275" s="2398"/>
      <c r="H275" s="2404" t="s">
        <v>1383</v>
      </c>
    </row>
    <row r="276" spans="1:8">
      <c r="A276" s="2410"/>
      <c r="B276" s="2403"/>
      <c r="C276" s="2429"/>
      <c r="D276" s="2403"/>
      <c r="E276" s="2429"/>
      <c r="F276" s="2398"/>
      <c r="G276" s="2398"/>
      <c r="H276" s="2404" t="s">
        <v>1383</v>
      </c>
    </row>
    <row r="277" spans="1:8">
      <c r="A277" s="2410"/>
      <c r="B277" s="2403"/>
      <c r="C277" s="2429"/>
      <c r="D277" s="2403"/>
      <c r="E277" s="2429"/>
      <c r="F277" s="2398"/>
      <c r="G277" s="2398"/>
      <c r="H277" s="2404" t="s">
        <v>1383</v>
      </c>
    </row>
    <row r="278" spans="1:8">
      <c r="A278" s="2400" t="s">
        <v>385</v>
      </c>
      <c r="B278" s="2369">
        <f>ROUND(SUM(B268:B277),2)</f>
        <v>0</v>
      </c>
      <c r="C278" s="2429"/>
      <c r="D278" s="2369">
        <f>ROUND(SUM(D268:D277),2)</f>
        <v>0</v>
      </c>
      <c r="E278" s="2429"/>
      <c r="F278" s="2398"/>
      <c r="G278" s="2398"/>
      <c r="H278" s="2404" t="s">
        <v>1384</v>
      </c>
    </row>
    <row r="279" spans="1:8">
      <c r="A279" s="2398"/>
      <c r="B279" s="2398"/>
      <c r="C279" s="2398"/>
      <c r="D279" s="2398"/>
      <c r="E279" s="2398"/>
      <c r="F279" s="2398"/>
      <c r="G279" s="2398"/>
      <c r="H279" s="2475"/>
    </row>
    <row r="280" spans="1:8">
      <c r="A280" s="2406" t="s">
        <v>1385</v>
      </c>
      <c r="B280" s="2398"/>
      <c r="C280" s="2398"/>
      <c r="D280" s="2398"/>
      <c r="E280" s="2398"/>
      <c r="F280" s="2398"/>
      <c r="G280" s="2398"/>
      <c r="H280" s="2475"/>
    </row>
    <row r="281" spans="1:8">
      <c r="A281" s="2400" t="s">
        <v>569</v>
      </c>
      <c r="B281" s="2400" t="s">
        <v>1386</v>
      </c>
      <c r="C281" s="2400" t="s">
        <v>1387</v>
      </c>
      <c r="D281" s="2400" t="s">
        <v>316</v>
      </c>
      <c r="E281" s="2400" t="s">
        <v>1388</v>
      </c>
      <c r="F281" s="2400" t="s">
        <v>317</v>
      </c>
      <c r="G281" s="2400" t="s">
        <v>1388</v>
      </c>
      <c r="H281" s="2475"/>
    </row>
    <row r="282" spans="1:8">
      <c r="A282" s="2410"/>
      <c r="B282" s="2410"/>
      <c r="C282" s="2410"/>
      <c r="D282" s="2403"/>
      <c r="E282" s="2429"/>
      <c r="F282" s="2403"/>
      <c r="G282" s="2429"/>
      <c r="H282" s="2404" t="s">
        <v>1389</v>
      </c>
    </row>
    <row r="283" spans="1:8">
      <c r="A283" s="2410"/>
      <c r="B283" s="2410"/>
      <c r="C283" s="2410"/>
      <c r="D283" s="2403"/>
      <c r="E283" s="2429"/>
      <c r="F283" s="2403"/>
      <c r="G283" s="2429"/>
      <c r="H283" s="2404" t="s">
        <v>1389</v>
      </c>
    </row>
    <row r="284" spans="1:8">
      <c r="A284" s="2410"/>
      <c r="B284" s="2410"/>
      <c r="C284" s="2410"/>
      <c r="D284" s="2403"/>
      <c r="E284" s="2429"/>
      <c r="F284" s="2403"/>
      <c r="G284" s="2429"/>
      <c r="H284" s="2404" t="s">
        <v>1389</v>
      </c>
    </row>
    <row r="285" spans="1:8">
      <c r="A285" s="2410"/>
      <c r="B285" s="2410"/>
      <c r="C285" s="2410"/>
      <c r="D285" s="2403"/>
      <c r="E285" s="2429"/>
      <c r="F285" s="2403"/>
      <c r="G285" s="2429"/>
      <c r="H285" s="2404" t="s">
        <v>1389</v>
      </c>
    </row>
    <row r="286" spans="1:8">
      <c r="A286" s="2410"/>
      <c r="B286" s="2410"/>
      <c r="C286" s="2410"/>
      <c r="D286" s="2403"/>
      <c r="E286" s="2429"/>
      <c r="F286" s="2403"/>
      <c r="G286" s="2429"/>
      <c r="H286" s="2404" t="s">
        <v>1389</v>
      </c>
    </row>
    <row r="287" spans="1:8">
      <c r="A287" s="2410"/>
      <c r="B287" s="2410"/>
      <c r="C287" s="2410"/>
      <c r="D287" s="2403"/>
      <c r="E287" s="2429"/>
      <c r="F287" s="2403"/>
      <c r="G287" s="2429"/>
      <c r="H287" s="2404" t="s">
        <v>1389</v>
      </c>
    </row>
    <row r="288" spans="1:8">
      <c r="A288" s="2410"/>
      <c r="B288" s="2410"/>
      <c r="C288" s="2410"/>
      <c r="D288" s="2403"/>
      <c r="E288" s="2429"/>
      <c r="F288" s="2403"/>
      <c r="G288" s="2429"/>
      <c r="H288" s="2404" t="s">
        <v>1389</v>
      </c>
    </row>
    <row r="289" spans="1:8">
      <c r="A289" s="2410"/>
      <c r="B289" s="2410"/>
      <c r="C289" s="2410"/>
      <c r="D289" s="2403"/>
      <c r="E289" s="2429"/>
      <c r="F289" s="2403"/>
      <c r="G289" s="2429"/>
      <c r="H289" s="2404" t="s">
        <v>1389</v>
      </c>
    </row>
    <row r="290" spans="1:8">
      <c r="A290" s="2410"/>
      <c r="B290" s="2410"/>
      <c r="C290" s="2410"/>
      <c r="D290" s="2403"/>
      <c r="E290" s="2429"/>
      <c r="F290" s="2403"/>
      <c r="G290" s="2429"/>
      <c r="H290" s="2404" t="s">
        <v>1389</v>
      </c>
    </row>
    <row r="291" spans="1:8">
      <c r="A291" s="2410"/>
      <c r="B291" s="2410"/>
      <c r="C291" s="2410"/>
      <c r="D291" s="2403"/>
      <c r="E291" s="2429"/>
      <c r="F291" s="2403"/>
      <c r="G291" s="2429"/>
      <c r="H291" s="2404" t="s">
        <v>1389</v>
      </c>
    </row>
    <row r="292" spans="1:8">
      <c r="A292" s="2400" t="s">
        <v>385</v>
      </c>
      <c r="B292" s="2369"/>
      <c r="C292" s="2369"/>
      <c r="D292" s="2369">
        <f>ROUND(SUM(D282:D291),2)</f>
        <v>0</v>
      </c>
      <c r="E292" s="2429"/>
      <c r="F292" s="2369">
        <f>ROUND(SUM(F282:F291),2)</f>
        <v>0</v>
      </c>
      <c r="G292" s="2429"/>
      <c r="H292" s="2404" t="s">
        <v>1390</v>
      </c>
    </row>
    <row r="293" spans="1:8">
      <c r="A293" s="2398"/>
      <c r="B293" s="2398"/>
      <c r="C293" s="2398"/>
      <c r="D293" s="2398"/>
      <c r="E293" s="2398"/>
      <c r="F293" s="2398"/>
      <c r="G293" s="2398"/>
      <c r="H293" s="2404" t="s">
        <v>630</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D7" sqref="D7"/>
    </sheetView>
  </sheetViews>
  <sheetFormatPr defaultColWidth="9" defaultRowHeight="14.25"/>
  <cols>
    <col min="1" max="1" width="21.875" customWidth="1"/>
    <col min="2" max="2" width="4.5" customWidth="1"/>
    <col min="3" max="3" width="10.75" customWidth="1"/>
    <col min="4" max="8" width="10.875" customWidth="1"/>
  </cols>
  <sheetData>
    <row r="1" ht="27.75" customHeight="1" spans="1:8">
      <c r="A1" s="2103" t="s">
        <v>1391</v>
      </c>
      <c r="B1" s="2103"/>
      <c r="C1" s="2103"/>
      <c r="D1" s="2103"/>
      <c r="E1" s="2103"/>
      <c r="F1" s="2103"/>
      <c r="G1" s="2103"/>
      <c r="H1" s="2103"/>
    </row>
    <row r="2" ht="15" customHeight="1" spans="1:9">
      <c r="A2" s="2205" t="str">
        <f>IF(OR(C2&lt;&gt;0,D2&lt;&gt;0,F2&lt;&gt;0,G2&lt;&gt;0),"对应期间报表数不平，相差：","")</f>
        <v>对应期间报表数不平，相差：</v>
      </c>
      <c r="B2" s="2205"/>
      <c r="C2" s="2105">
        <f>ROUND(C48-C96,2)</f>
        <v>0</v>
      </c>
      <c r="D2" s="2105"/>
      <c r="E2" s="2105"/>
      <c r="F2" s="2105">
        <f>ROUND(F48-F96,2)</f>
        <v>141386691.17</v>
      </c>
      <c r="G2" s="2105"/>
      <c r="H2" s="2105"/>
      <c r="I2" s="2351"/>
    </row>
    <row r="3" ht="15" customHeight="1" spans="1:9">
      <c r="A3" s="2337" t="str">
        <f>"编制单位："&amp;参数表!C3</f>
        <v>编制单位：深圳新阳蓝光能源管理科技股份有限公司</v>
      </c>
      <c r="B3" s="2338"/>
      <c r="C3" s="2137"/>
      <c r="D3" s="2378"/>
      <c r="E3" s="2379">
        <f>参数表!G7</f>
        <v>42735</v>
      </c>
      <c r="F3" s="2206"/>
      <c r="G3" s="2207"/>
      <c r="H3" s="2137" t="s">
        <v>1392</v>
      </c>
      <c r="I3" s="2351"/>
    </row>
    <row r="4" customHeight="1" spans="1:9">
      <c r="A4" s="2211" t="s">
        <v>192</v>
      </c>
      <c r="B4" s="2212" t="s">
        <v>62</v>
      </c>
      <c r="C4" s="2213" t="str">
        <f>未审资负表!C4</f>
        <v>年末余额</v>
      </c>
      <c r="D4" s="2213"/>
      <c r="E4" s="2213"/>
      <c r="F4" s="2213" t="str">
        <f>未审资负表!D4</f>
        <v>年初余额</v>
      </c>
      <c r="G4" s="2213"/>
      <c r="H4" s="2214"/>
      <c r="I4" s="2351"/>
    </row>
    <row r="5" customHeight="1" spans="1:9">
      <c r="A5" s="2215"/>
      <c r="B5" s="2216"/>
      <c r="C5" s="2217" t="s">
        <v>1393</v>
      </c>
      <c r="D5" s="2217" t="s">
        <v>1394</v>
      </c>
      <c r="E5" s="2217" t="s">
        <v>1395</v>
      </c>
      <c r="F5" s="2217" t="s">
        <v>1393</v>
      </c>
      <c r="G5" s="2217" t="s">
        <v>1394</v>
      </c>
      <c r="H5" s="2218" t="s">
        <v>1395</v>
      </c>
      <c r="I5" s="2351"/>
    </row>
    <row r="6" customHeight="1" spans="1:9">
      <c r="A6" s="2219" t="s">
        <v>194</v>
      </c>
      <c r="B6" s="2380"/>
      <c r="C6" s="2343"/>
      <c r="D6" s="2221"/>
      <c r="E6" s="2222"/>
      <c r="F6" s="2221"/>
      <c r="G6" s="2222"/>
      <c r="H6" s="2229"/>
      <c r="I6" s="2355"/>
    </row>
    <row r="7" customHeight="1" spans="1:8">
      <c r="A7" s="2226" t="s">
        <v>196</v>
      </c>
      <c r="B7" s="2381"/>
      <c r="C7" s="2222">
        <f>ROUND(未审资负表!C7,2)</f>
        <v>203715132.36</v>
      </c>
      <c r="D7" s="2222">
        <f>未审附注之流动资产!D24</f>
        <v>0</v>
      </c>
      <c r="E7" s="2222">
        <f t="shared" ref="E7:E18" si="0">IF(D7="",0,ROUND(D7-C7,2))</f>
        <v>-203715132.36</v>
      </c>
      <c r="F7" s="2222">
        <f>ROUND(未审资负表!D7,2)</f>
        <v>76914775.62</v>
      </c>
      <c r="G7" s="2222">
        <f>未审附注之流动资产!G24</f>
        <v>0</v>
      </c>
      <c r="H7" s="2229">
        <f>IF(G7="",0,ROUND(G7-F7,2))</f>
        <v>-76914775.62</v>
      </c>
    </row>
    <row r="8" customHeight="1" spans="1:8">
      <c r="A8" s="2226" t="s">
        <v>1396</v>
      </c>
      <c r="B8" s="2381"/>
      <c r="C8" s="2222">
        <f>ROUND(未审资负表!C8,2)</f>
        <v>0</v>
      </c>
      <c r="D8" s="2222">
        <f>未审附注之流动资产!B77</f>
        <v>0</v>
      </c>
      <c r="E8" s="2222">
        <f t="shared" si="0"/>
        <v>0</v>
      </c>
      <c r="F8" s="2222">
        <f>ROUND(未审资负表!C8,2)</f>
        <v>0</v>
      </c>
      <c r="G8" s="2222">
        <f>未审附注之流动资产!C77</f>
        <v>0</v>
      </c>
      <c r="H8" s="2229">
        <f t="shared" ref="H8:H18" si="1">IF(G8="",0,ROUND(G8-F8,2))</f>
        <v>0</v>
      </c>
    </row>
    <row r="9" customHeight="1" spans="1:8">
      <c r="A9" s="2226" t="s">
        <v>200</v>
      </c>
      <c r="B9" s="2381"/>
      <c r="C9" s="2222">
        <f>ROUND(未审资负表!C9,2)</f>
        <v>0</v>
      </c>
      <c r="D9" s="2222">
        <f>未审附注之流动资产!B99</f>
        <v>0</v>
      </c>
      <c r="E9" s="2222">
        <f t="shared" si="0"/>
        <v>0</v>
      </c>
      <c r="F9" s="2222">
        <f>ROUND(未审资负表!C9,2)</f>
        <v>0</v>
      </c>
      <c r="G9" s="2222">
        <f>未审附注之流动资产!C99</f>
        <v>0</v>
      </c>
      <c r="H9" s="2229">
        <f t="shared" si="1"/>
        <v>0</v>
      </c>
    </row>
    <row r="10" customHeight="1" spans="1:8">
      <c r="A10" s="2226" t="s">
        <v>202</v>
      </c>
      <c r="B10" s="2381"/>
      <c r="C10" s="2222">
        <f>ROUND(未审资负表!C10,2)</f>
        <v>28412133.56</v>
      </c>
      <c r="D10" s="2222">
        <f>未审附注之流动资产!B244-未审附注之流动资产!D244</f>
        <v>0</v>
      </c>
      <c r="E10" s="2222">
        <f t="shared" si="0"/>
        <v>-28412133.56</v>
      </c>
      <c r="F10" s="2222">
        <f>ROUND(未审资负表!C10,2)</f>
        <v>28412133.56</v>
      </c>
      <c r="G10" s="2222">
        <f>未审附注之流动资产!F244-未审附注之流动资产!H244</f>
        <v>0</v>
      </c>
      <c r="H10" s="2229">
        <f t="shared" si="1"/>
        <v>-28412133.56</v>
      </c>
    </row>
    <row r="11" customHeight="1" spans="1:8">
      <c r="A11" s="2226" t="s">
        <v>204</v>
      </c>
      <c r="B11" s="2381"/>
      <c r="C11" s="2222">
        <f>ROUND(未审资负表!C11,2)</f>
        <v>1579739.99</v>
      </c>
      <c r="D11" s="2222">
        <f>未审附注之流动资产!B526</f>
        <v>0</v>
      </c>
      <c r="E11" s="2222">
        <f t="shared" si="0"/>
        <v>-1579739.99</v>
      </c>
      <c r="F11" s="2222">
        <f>ROUND(未审资负表!C11,2)</f>
        <v>1579739.99</v>
      </c>
      <c r="G11" s="2222">
        <f>未审附注之流动资产!D526</f>
        <v>0</v>
      </c>
      <c r="H11" s="2229">
        <f t="shared" si="1"/>
        <v>-1579739.99</v>
      </c>
    </row>
    <row r="12" customHeight="1" spans="1:8">
      <c r="A12" s="2226" t="s">
        <v>206</v>
      </c>
      <c r="B12" s="2381"/>
      <c r="C12" s="2222">
        <f>ROUND(未审资负表!C12,2)</f>
        <v>5230925.94</v>
      </c>
      <c r="D12" s="2222">
        <f>未审附注之流动资产!B231</f>
        <v>0</v>
      </c>
      <c r="E12" s="2222">
        <f t="shared" si="0"/>
        <v>-5230925.94</v>
      </c>
      <c r="F12" s="2222">
        <f>ROUND(未审资负表!C12,2)</f>
        <v>5230925.94</v>
      </c>
      <c r="G12" s="2222">
        <f>未审附注之流动资产!C231</f>
        <v>0</v>
      </c>
      <c r="H12" s="2229">
        <f t="shared" si="1"/>
        <v>-5230925.94</v>
      </c>
    </row>
    <row r="13" customHeight="1" spans="1:8">
      <c r="A13" s="2226" t="s">
        <v>208</v>
      </c>
      <c r="B13" s="2381"/>
      <c r="C13" s="2222">
        <f>ROUND(未审资负表!C13,2)</f>
        <v>0</v>
      </c>
      <c r="D13" s="2222">
        <f>未审附注之流动资产!B200</f>
        <v>0</v>
      </c>
      <c r="E13" s="2222">
        <f t="shared" si="0"/>
        <v>0</v>
      </c>
      <c r="F13" s="2222">
        <f>ROUND(未审资负表!C13,2)</f>
        <v>0</v>
      </c>
      <c r="G13" s="2222">
        <f>未审附注之流动资产!C200</f>
        <v>0</v>
      </c>
      <c r="H13" s="2229">
        <f t="shared" si="1"/>
        <v>0</v>
      </c>
    </row>
    <row r="14" customHeight="1" spans="1:8">
      <c r="A14" s="2226" t="s">
        <v>210</v>
      </c>
      <c r="B14" s="2381"/>
      <c r="C14" s="2222">
        <f>ROUND(未审资负表!C14,2)</f>
        <v>16091622.43</v>
      </c>
      <c r="D14" s="2222">
        <f>未审附注之流动资产!B386-未审附注之流动资产!D386</f>
        <v>0</v>
      </c>
      <c r="E14" s="2222">
        <f t="shared" si="0"/>
        <v>-16091622.43</v>
      </c>
      <c r="F14" s="2222">
        <f>ROUND(未审资负表!C14,2)</f>
        <v>16091622.43</v>
      </c>
      <c r="G14" s="2222">
        <f>未审附注之流动资产!F386-未审附注之流动资产!H386</f>
        <v>0</v>
      </c>
      <c r="H14" s="2229">
        <f t="shared" si="1"/>
        <v>-16091622.43</v>
      </c>
    </row>
    <row r="15" customHeight="1" spans="1:8">
      <c r="A15" s="2226" t="s">
        <v>212</v>
      </c>
      <c r="B15" s="2381"/>
      <c r="C15" s="2222">
        <f>ROUND(未审资负表!C15,2)</f>
        <v>31962413.89</v>
      </c>
      <c r="D15" s="2222">
        <f>未审附注之流动资产!F604-未审附注之流动资产!F620</f>
        <v>0</v>
      </c>
      <c r="E15" s="2222">
        <f t="shared" si="0"/>
        <v>-31962413.89</v>
      </c>
      <c r="F15" s="2222">
        <f>ROUND(未审资负表!C15,2)</f>
        <v>31962413.89</v>
      </c>
      <c r="G15" s="2222">
        <f>未审附注之流动资产!B604-未审附注之流动资产!B620</f>
        <v>0</v>
      </c>
      <c r="H15" s="2229">
        <f t="shared" si="1"/>
        <v>-31962413.89</v>
      </c>
    </row>
    <row r="16" customHeight="1" spans="1:8">
      <c r="A16" s="2226" t="s">
        <v>214</v>
      </c>
      <c r="B16" s="2381"/>
      <c r="C16" s="2222">
        <f>ROUND(未审资负表!C16,2)</f>
        <v>10518611.64</v>
      </c>
      <c r="D16" s="2222"/>
      <c r="E16" s="2222">
        <f t="shared" si="0"/>
        <v>0</v>
      </c>
      <c r="F16" s="2222">
        <f>ROUND(未审资负表!C16,2)</f>
        <v>10518611.64</v>
      </c>
      <c r="G16" s="2222"/>
      <c r="H16" s="2229">
        <f t="shared" si="1"/>
        <v>0</v>
      </c>
    </row>
    <row r="17" customHeight="1" spans="1:8">
      <c r="A17" s="2226" t="s">
        <v>216</v>
      </c>
      <c r="B17" s="2381"/>
      <c r="C17" s="2222">
        <f>ROUND(未审资负表!C17,2)</f>
        <v>2044868.72</v>
      </c>
      <c r="D17" s="2222">
        <f>未审附注之流动资产!B635</f>
        <v>0</v>
      </c>
      <c r="E17" s="2222">
        <f t="shared" si="0"/>
        <v>-2044868.72</v>
      </c>
      <c r="F17" s="2222">
        <f>ROUND(未审资负表!C17,2)</f>
        <v>2044868.72</v>
      </c>
      <c r="G17" s="2222">
        <f>未审附注之流动资产!C635</f>
        <v>0</v>
      </c>
      <c r="H17" s="2229">
        <f t="shared" si="1"/>
        <v>-2044868.72</v>
      </c>
    </row>
    <row r="18" customHeight="1" spans="1:8">
      <c r="A18" s="2226" t="str">
        <f>IF(未审资负表!A18="","",未审资负表!A18)</f>
        <v>持有待售资产</v>
      </c>
      <c r="B18" s="2381"/>
      <c r="C18" s="2222">
        <f>ROUND(未审资负表!C18,2)</f>
        <v>0</v>
      </c>
      <c r="D18" s="2222"/>
      <c r="E18" s="2222">
        <f t="shared" si="0"/>
        <v>0</v>
      </c>
      <c r="F18" s="2222">
        <f>ROUND(未审资负表!C18,2)</f>
        <v>0</v>
      </c>
      <c r="G18" s="2222"/>
      <c r="H18" s="2229">
        <f t="shared" si="1"/>
        <v>0</v>
      </c>
    </row>
    <row r="19" customHeight="1" spans="1:8">
      <c r="A19" s="2231" t="s">
        <v>220</v>
      </c>
      <c r="B19" s="2232"/>
      <c r="C19" s="2344">
        <f>ROUND(SUM(C7:C18),2)</f>
        <v>299555448.53</v>
      </c>
      <c r="D19" s="2344"/>
      <c r="E19" s="2344"/>
      <c r="F19" s="2344">
        <f>ROUND(SUM(F7:F18),2)</f>
        <v>172755091.79</v>
      </c>
      <c r="G19" s="2344"/>
      <c r="H19" s="2357"/>
    </row>
    <row r="20" customHeight="1" spans="1:8">
      <c r="A20" s="2233"/>
      <c r="B20" s="2381"/>
      <c r="C20" s="2222"/>
      <c r="D20" s="2222"/>
      <c r="E20" s="2222"/>
      <c r="F20" s="2222"/>
      <c r="G20" s="2222"/>
      <c r="H20" s="2229"/>
    </row>
    <row r="21" customHeight="1" spans="1:8">
      <c r="A21" s="2219" t="s">
        <v>223</v>
      </c>
      <c r="B21" s="2380"/>
      <c r="C21" s="2222"/>
      <c r="D21" s="2222"/>
      <c r="E21" s="2222"/>
      <c r="F21" s="2222"/>
      <c r="G21" s="2222"/>
      <c r="H21" s="2229"/>
    </row>
    <row r="22" customHeight="1" spans="1:8">
      <c r="A22" s="2226" t="s">
        <v>224</v>
      </c>
      <c r="B22" s="2381"/>
      <c r="C22" s="2222">
        <f>ROUND(未审资负表!C22,2)</f>
        <v>0</v>
      </c>
      <c r="D22" s="2222">
        <f>未审附注之非流动资产!B9</f>
        <v>0</v>
      </c>
      <c r="E22" s="2222">
        <f t="shared" ref="E22:E39" si="2">IF(D22="",0,ROUND(D22-C22,2))</f>
        <v>0</v>
      </c>
      <c r="F22" s="2222">
        <f>ROUND(未审资负表!C22,2)</f>
        <v>0</v>
      </c>
      <c r="G22" s="2222">
        <f>未审附注之非流动资产!E9</f>
        <v>0</v>
      </c>
      <c r="H22" s="2229">
        <f t="shared" ref="H22:H39" si="3">IF(G22="",0,ROUND(G22-F22,2))</f>
        <v>0</v>
      </c>
    </row>
    <row r="23" customHeight="1" spans="1:8">
      <c r="A23" s="2226" t="s">
        <v>226</v>
      </c>
      <c r="B23" s="2381"/>
      <c r="C23" s="2222">
        <f>ROUND(未审资负表!C23,2)</f>
        <v>0</v>
      </c>
      <c r="D23" s="2222">
        <f>未审附注之非流动资产!B39</f>
        <v>0</v>
      </c>
      <c r="E23" s="2222">
        <f t="shared" si="2"/>
        <v>0</v>
      </c>
      <c r="F23" s="2222">
        <f>ROUND(未审资负表!C23,2)</f>
        <v>0</v>
      </c>
      <c r="G23" s="2222">
        <f>未审附注之非流动资产!C39</f>
        <v>0</v>
      </c>
      <c r="H23" s="2229">
        <f t="shared" si="3"/>
        <v>0</v>
      </c>
    </row>
    <row r="24" customHeight="1" spans="1:8">
      <c r="A24" s="2226" t="s">
        <v>228</v>
      </c>
      <c r="B24" s="2381"/>
      <c r="C24" s="2222">
        <f>ROUND(未审资负表!C24,2)</f>
        <v>77469455.73</v>
      </c>
      <c r="D24" s="2222">
        <f>未审附注之非流动资产!B62</f>
        <v>0</v>
      </c>
      <c r="E24" s="2222">
        <f t="shared" si="2"/>
        <v>-77469455.73</v>
      </c>
      <c r="F24" s="2222">
        <f>ROUND(未审资负表!C24,2)</f>
        <v>77469455.73</v>
      </c>
      <c r="G24" s="2222">
        <f>未审附注之非流动资产!C62</f>
        <v>0</v>
      </c>
      <c r="H24" s="2229">
        <f t="shared" si="3"/>
        <v>-77469455.73</v>
      </c>
    </row>
    <row r="25" customHeight="1" spans="1:8">
      <c r="A25" s="2226" t="s">
        <v>230</v>
      </c>
      <c r="B25" s="2381"/>
      <c r="C25" s="2222">
        <f>ROUND(未审资负表!C25,2)</f>
        <v>4000000</v>
      </c>
      <c r="D25" s="2222">
        <f>未审附注之非流动资产!F94-未审附注之非流动资产!F124</f>
        <v>0</v>
      </c>
      <c r="E25" s="2222">
        <f t="shared" si="2"/>
        <v>-4000000</v>
      </c>
      <c r="F25" s="2222">
        <f>ROUND(未审资负表!C25,2)</f>
        <v>4000000</v>
      </c>
      <c r="G25" s="2222">
        <f>未审附注之非流动资产!C94-未审附注之非流动资产!C124</f>
        <v>0</v>
      </c>
      <c r="H25" s="2229">
        <f t="shared" si="3"/>
        <v>-4000000</v>
      </c>
    </row>
    <row r="26" customHeight="1" spans="1:8">
      <c r="A26" s="2226" t="s">
        <v>232</v>
      </c>
      <c r="B26" s="2381"/>
      <c r="C26" s="2222">
        <f>ROUND(未审资负表!C26,2)</f>
        <v>0</v>
      </c>
      <c r="D26" s="2222">
        <f>未审附注之非流动资产!E199+未审附注之非流动资产!E217</f>
        <v>0</v>
      </c>
      <c r="E26" s="2222">
        <f t="shared" si="2"/>
        <v>0</v>
      </c>
      <c r="F26" s="2222">
        <f>ROUND(未审资负表!C26,2)</f>
        <v>0</v>
      </c>
      <c r="G26" s="2222">
        <f>未审附注之非流动资产!B199+未审附注之非流动资产!B217</f>
        <v>0</v>
      </c>
      <c r="H26" s="2229">
        <f t="shared" si="3"/>
        <v>0</v>
      </c>
    </row>
    <row r="27" customHeight="1" spans="1:8">
      <c r="A27" s="2226" t="s">
        <v>234</v>
      </c>
      <c r="B27" s="2381"/>
      <c r="C27" s="2222">
        <f>ROUND(未审资负表!C27,2)</f>
        <v>63138192.37</v>
      </c>
      <c r="D27" s="2222">
        <f>未审附注之非流动资产!E257</f>
        <v>0</v>
      </c>
      <c r="E27" s="2222">
        <f t="shared" si="2"/>
        <v>-63138192.37</v>
      </c>
      <c r="F27" s="2222">
        <f>ROUND(未审资负表!C27,2)</f>
        <v>63138192.37</v>
      </c>
      <c r="G27" s="2222">
        <f>未审附注之非流动资产!B257</f>
        <v>0</v>
      </c>
      <c r="H27" s="2229">
        <f t="shared" si="3"/>
        <v>-63138192.37</v>
      </c>
    </row>
    <row r="28" customHeight="1" spans="1:8">
      <c r="A28" s="2226" t="s">
        <v>236</v>
      </c>
      <c r="B28" s="2381"/>
      <c r="C28" s="2222">
        <f>ROUND(未审资负表!C28,2)</f>
        <v>50697993.93</v>
      </c>
      <c r="D28" s="2222">
        <f>未审附注之非流动资产!G331-未审附注之非流动资产!F359</f>
        <v>0</v>
      </c>
      <c r="E28" s="2222">
        <f t="shared" si="2"/>
        <v>-50697993.93</v>
      </c>
      <c r="F28" s="2222">
        <f>ROUND(未审资负表!C28,2)</f>
        <v>50697993.93</v>
      </c>
      <c r="G28" s="2222">
        <f>未审附注之非流动资产!C331-未审附注之非流动资产!B359</f>
        <v>0</v>
      </c>
      <c r="H28" s="2229">
        <f t="shared" si="3"/>
        <v>-50697993.93</v>
      </c>
    </row>
    <row r="29" customHeight="1" spans="1:8">
      <c r="A29" s="2226" t="s">
        <v>238</v>
      </c>
      <c r="B29" s="2381"/>
      <c r="C29" s="2222">
        <f>ROUND(未审资负表!C29,2)</f>
        <v>0</v>
      </c>
      <c r="D29" s="2222">
        <f>未审附注之非流动资产!B374</f>
        <v>0</v>
      </c>
      <c r="E29" s="2222">
        <f t="shared" si="2"/>
        <v>0</v>
      </c>
      <c r="F29" s="2222">
        <f>ROUND(未审资负表!C29,2)</f>
        <v>0</v>
      </c>
      <c r="G29" s="2222">
        <f>未审附注之非流动资产!C374</f>
        <v>0</v>
      </c>
      <c r="H29" s="2229">
        <f t="shared" si="3"/>
        <v>0</v>
      </c>
    </row>
    <row r="30" customHeight="1" spans="1:8">
      <c r="A30" s="2226" t="s">
        <v>240</v>
      </c>
      <c r="B30" s="2381"/>
      <c r="C30" s="2222">
        <f>ROUND(未审资负表!C30,2)</f>
        <v>0</v>
      </c>
      <c r="D30" s="2222">
        <f>未审附注之非流动资产!B389</f>
        <v>0</v>
      </c>
      <c r="E30" s="2222">
        <f t="shared" si="2"/>
        <v>0</v>
      </c>
      <c r="F30" s="2222">
        <f>ROUND(未审资负表!C30,2)</f>
        <v>0</v>
      </c>
      <c r="G30" s="2222">
        <f>未审附注之非流动资产!C389</f>
        <v>0</v>
      </c>
      <c r="H30" s="2229">
        <f t="shared" si="3"/>
        <v>0</v>
      </c>
    </row>
    <row r="31" customHeight="1" spans="1:8">
      <c r="A31" s="2226" t="s">
        <v>242</v>
      </c>
      <c r="B31" s="2381"/>
      <c r="C31" s="2222">
        <f>ROUND(未审资负表!C31,2)</f>
        <v>0</v>
      </c>
      <c r="D31" s="2222">
        <f>未审附注之非流动资产!E447</f>
        <v>0</v>
      </c>
      <c r="E31" s="2222">
        <f t="shared" si="2"/>
        <v>0</v>
      </c>
      <c r="F31" s="2222">
        <f>ROUND(未审资负表!C31,2)</f>
        <v>0</v>
      </c>
      <c r="G31" s="2222">
        <f>未审附注之非流动资产!B447</f>
        <v>0</v>
      </c>
      <c r="H31" s="2229">
        <f t="shared" si="3"/>
        <v>0</v>
      </c>
    </row>
    <row r="32" customHeight="1" spans="1:8">
      <c r="A32" s="2226" t="s">
        <v>244</v>
      </c>
      <c r="B32" s="2381"/>
      <c r="C32" s="2222">
        <f>ROUND(未审资负表!C32,2)</f>
        <v>0</v>
      </c>
      <c r="D32" s="2222">
        <f>未审附注之非流动资产!E516</f>
        <v>0</v>
      </c>
      <c r="E32" s="2222">
        <f t="shared" si="2"/>
        <v>0</v>
      </c>
      <c r="F32" s="2222">
        <f>ROUND(未审资负表!C32,2)</f>
        <v>0</v>
      </c>
      <c r="G32" s="2222">
        <f>未审附注之非流动资产!B516</f>
        <v>0</v>
      </c>
      <c r="H32" s="2229">
        <f t="shared" si="3"/>
        <v>0</v>
      </c>
    </row>
    <row r="33" customHeight="1" spans="1:8">
      <c r="A33" s="2226" t="s">
        <v>245</v>
      </c>
      <c r="B33" s="2381"/>
      <c r="C33" s="2222">
        <f>ROUND(未审资负表!C33,2)</f>
        <v>10000</v>
      </c>
      <c r="D33" s="2222">
        <f>未审附注之非流动资产!E561</f>
        <v>0</v>
      </c>
      <c r="E33" s="2222">
        <f t="shared" si="2"/>
        <v>-10000</v>
      </c>
      <c r="F33" s="2222">
        <f>ROUND(未审资负表!C33,2)</f>
        <v>10000</v>
      </c>
      <c r="G33" s="2222">
        <f>未审附注之非流动资产!B561</f>
        <v>0</v>
      </c>
      <c r="H33" s="2229">
        <f t="shared" si="3"/>
        <v>-10000</v>
      </c>
    </row>
    <row r="34" customHeight="1" spans="1:8">
      <c r="A34" s="2226" t="s">
        <v>247</v>
      </c>
      <c r="B34" s="2381"/>
      <c r="C34" s="2222">
        <f>ROUND(未审资负表!C34,2)</f>
        <v>0</v>
      </c>
      <c r="D34" s="2222"/>
      <c r="E34" s="2222">
        <f t="shared" si="2"/>
        <v>0</v>
      </c>
      <c r="F34" s="2222">
        <f>ROUND(未审资负表!C34,2)</f>
        <v>0</v>
      </c>
      <c r="G34" s="2222"/>
      <c r="H34" s="2229">
        <f t="shared" si="3"/>
        <v>0</v>
      </c>
    </row>
    <row r="35" customHeight="1" spans="1:8">
      <c r="A35" s="2226" t="s">
        <v>248</v>
      </c>
      <c r="B35" s="2381"/>
      <c r="C35" s="2222">
        <f>ROUND(未审资负表!C35,2)</f>
        <v>0</v>
      </c>
      <c r="D35" s="2222">
        <f>未审附注之非流动资产!E614</f>
        <v>0</v>
      </c>
      <c r="E35" s="2222">
        <f t="shared" si="2"/>
        <v>0</v>
      </c>
      <c r="F35" s="2222">
        <f>ROUND(未审资负表!C35,2)</f>
        <v>0</v>
      </c>
      <c r="G35" s="2222">
        <f>未审附注之非流动资产!B614</f>
        <v>0</v>
      </c>
      <c r="H35" s="2229">
        <f t="shared" si="3"/>
        <v>0</v>
      </c>
    </row>
    <row r="36" customHeight="1" spans="1:8">
      <c r="A36" s="2226" t="s">
        <v>250</v>
      </c>
      <c r="B36" s="2381"/>
      <c r="C36" s="2222">
        <f>ROUND(未审资负表!C36,2)</f>
        <v>170458.45</v>
      </c>
      <c r="D36" s="2222">
        <f>未审附注之非流动资产!F629</f>
        <v>0</v>
      </c>
      <c r="E36" s="2222">
        <f t="shared" si="2"/>
        <v>-170458.45</v>
      </c>
      <c r="F36" s="2222">
        <f>ROUND(未审资负表!C36,2)</f>
        <v>170458.45</v>
      </c>
      <c r="G36" s="2222">
        <f>未审附注之非流动资产!C629</f>
        <v>0</v>
      </c>
      <c r="H36" s="2229">
        <f t="shared" si="3"/>
        <v>-170458.45</v>
      </c>
    </row>
    <row r="37" customHeight="1" spans="1:8">
      <c r="A37" s="2226" t="s">
        <v>252</v>
      </c>
      <c r="B37" s="2381"/>
      <c r="C37" s="2222">
        <f>ROUND(未审资负表!C37,2)</f>
        <v>785866.71</v>
      </c>
      <c r="D37" s="2222">
        <f>未审附注之非流动资产!B660</f>
        <v>0</v>
      </c>
      <c r="E37" s="2222">
        <f t="shared" si="2"/>
        <v>-785866.71</v>
      </c>
      <c r="F37" s="2222">
        <f>ROUND(未审资负表!C37,2)</f>
        <v>785866.71</v>
      </c>
      <c r="G37" s="2222">
        <f>未审附注之非流动资产!C660</f>
        <v>0</v>
      </c>
      <c r="H37" s="2229">
        <f t="shared" si="3"/>
        <v>-785866.71</v>
      </c>
    </row>
    <row r="38" customHeight="1" spans="1:8">
      <c r="A38" s="2226" t="s">
        <v>254</v>
      </c>
      <c r="B38" s="2381"/>
      <c r="C38" s="2222">
        <f>ROUND(未审资负表!C38,2)</f>
        <v>0</v>
      </c>
      <c r="D38" s="2222">
        <f>未审附注之非流动资产!B644</f>
        <v>0</v>
      </c>
      <c r="E38" s="2222">
        <f t="shared" si="2"/>
        <v>0</v>
      </c>
      <c r="F38" s="2222">
        <f>ROUND(未审资负表!C38,2)</f>
        <v>0</v>
      </c>
      <c r="G38" s="2222">
        <f>未审附注之非流动资产!C644</f>
        <v>0</v>
      </c>
      <c r="H38" s="2229">
        <f t="shared" si="3"/>
        <v>0</v>
      </c>
    </row>
    <row r="39" customHeight="1" spans="1:8">
      <c r="A39" s="2226" t="str">
        <f>IF(未审资负表!A39="","",未审资负表!A39)</f>
        <v/>
      </c>
      <c r="B39" s="2381"/>
      <c r="C39" s="2222">
        <f>ROUND(未审资负表!C39,2)</f>
        <v>0</v>
      </c>
      <c r="D39" s="2222"/>
      <c r="E39" s="2222">
        <f t="shared" si="2"/>
        <v>0</v>
      </c>
      <c r="F39" s="2222">
        <f>ROUND(未审资负表!C39,2)</f>
        <v>0</v>
      </c>
      <c r="G39" s="2222"/>
      <c r="H39" s="2229">
        <f t="shared" si="3"/>
        <v>0</v>
      </c>
    </row>
    <row r="40" customHeight="1" spans="1:8">
      <c r="A40" s="2231" t="s">
        <v>257</v>
      </c>
      <c r="B40" s="2381"/>
      <c r="C40" s="2344">
        <f>ROUND(SUM(C22:C39),2)</f>
        <v>196271967.19</v>
      </c>
      <c r="D40" s="2344"/>
      <c r="E40" s="2344"/>
      <c r="F40" s="2344">
        <f>ROUND(SUM(F22:F39),2)</f>
        <v>196271967.19</v>
      </c>
      <c r="G40" s="2344"/>
      <c r="H40" s="2357"/>
    </row>
    <row r="41" customHeight="1" spans="1:8">
      <c r="A41" s="2243"/>
      <c r="B41" s="2381"/>
      <c r="C41" s="2222"/>
      <c r="D41" s="2222"/>
      <c r="E41" s="2222"/>
      <c r="F41" s="2222"/>
      <c r="G41" s="2222"/>
      <c r="H41" s="2229"/>
    </row>
    <row r="42" customHeight="1" spans="1:8">
      <c r="A42" s="2243"/>
      <c r="B42" s="2381"/>
      <c r="C42" s="2222"/>
      <c r="D42" s="2222"/>
      <c r="E42" s="2222"/>
      <c r="F42" s="2222"/>
      <c r="G42" s="2222"/>
      <c r="H42" s="2229"/>
    </row>
    <row r="43" customHeight="1" spans="1:8">
      <c r="A43" s="2243"/>
      <c r="B43" s="2232"/>
      <c r="C43" s="2222"/>
      <c r="D43" s="2222"/>
      <c r="E43" s="2222"/>
      <c r="F43" s="2222"/>
      <c r="G43" s="2222"/>
      <c r="H43" s="2229"/>
    </row>
    <row r="44" customHeight="1" spans="1:8">
      <c r="A44" s="2243"/>
      <c r="B44" s="2381"/>
      <c r="C44" s="2222"/>
      <c r="D44" s="2222"/>
      <c r="E44" s="2222"/>
      <c r="F44" s="2222"/>
      <c r="G44" s="2222"/>
      <c r="H44" s="2229"/>
    </row>
    <row r="45" customHeight="1" spans="1:8">
      <c r="A45" s="2243"/>
      <c r="B45" s="2381"/>
      <c r="C45" s="2222"/>
      <c r="D45" s="2222"/>
      <c r="E45" s="2222"/>
      <c r="F45" s="2222"/>
      <c r="G45" s="2222"/>
      <c r="H45" s="2229"/>
    </row>
    <row r="46" customHeight="1" spans="1:8">
      <c r="A46" s="2243"/>
      <c r="B46" s="2381"/>
      <c r="C46" s="2222"/>
      <c r="D46" s="2222"/>
      <c r="E46" s="2222"/>
      <c r="F46" s="2222"/>
      <c r="G46" s="2222"/>
      <c r="H46" s="2229"/>
    </row>
    <row r="47" customHeight="1" spans="1:8">
      <c r="A47" s="2243"/>
      <c r="B47" s="2381"/>
      <c r="C47" s="2222"/>
      <c r="D47" s="2222"/>
      <c r="E47" s="2222"/>
      <c r="F47" s="2222"/>
      <c r="G47" s="2222"/>
      <c r="H47" s="2229"/>
    </row>
    <row r="48" customHeight="1" spans="1:8">
      <c r="A48" s="2247" t="s">
        <v>264</v>
      </c>
      <c r="B48" s="2248"/>
      <c r="C48" s="2345">
        <f>ROUND(C19+C40,2)</f>
        <v>495827415.72</v>
      </c>
      <c r="D48" s="2345"/>
      <c r="E48" s="2345"/>
      <c r="F48" s="2345">
        <f>ROUND(F19+F40,2)</f>
        <v>369027058.98</v>
      </c>
      <c r="G48" s="2345"/>
      <c r="H48" s="2382"/>
    </row>
    <row r="49" ht="27.75" customHeight="1" spans="1:8">
      <c r="A49" s="2383" t="s">
        <v>1397</v>
      </c>
      <c r="B49" s="2383"/>
      <c r="C49" s="2383"/>
      <c r="D49" s="2383"/>
      <c r="E49" s="2383"/>
      <c r="F49" s="2383"/>
      <c r="G49" s="2383"/>
      <c r="H49" s="2383"/>
    </row>
    <row r="50" ht="15" customHeight="1" spans="1:9">
      <c r="A50" s="2205"/>
      <c r="B50" s="2205"/>
      <c r="C50" s="2105"/>
      <c r="D50" s="2105"/>
      <c r="E50" s="2105"/>
      <c r="F50" s="2206"/>
      <c r="G50" s="2207"/>
      <c r="H50" s="2105"/>
      <c r="I50" s="2351"/>
    </row>
    <row r="51" ht="15" customHeight="1" spans="1:9">
      <c r="A51" s="2337" t="str">
        <f>"编制单位："&amp;参数表!C3</f>
        <v>编制单位：深圳新阳蓝光能源管理科技股份有限公司</v>
      </c>
      <c r="B51" s="2338"/>
      <c r="C51" s="2206"/>
      <c r="D51" s="2206"/>
      <c r="E51" s="2379">
        <f>参数表!G7</f>
        <v>42735</v>
      </c>
      <c r="F51" s="2206"/>
      <c r="G51" s="2207"/>
      <c r="H51" s="2207" t="s">
        <v>1392</v>
      </c>
      <c r="I51" s="2351"/>
    </row>
    <row r="52" customHeight="1" spans="1:9">
      <c r="A52" s="2211" t="s">
        <v>193</v>
      </c>
      <c r="B52" s="2212" t="s">
        <v>62</v>
      </c>
      <c r="C52" s="2213" t="str">
        <f>IF(参数表!$C$12="本期间为特定年","年末余额","期末余额")</f>
        <v>年末余额</v>
      </c>
      <c r="D52" s="2213"/>
      <c r="E52" s="2213"/>
      <c r="F52" s="2213" t="str">
        <f>IF(参数表!$C$12="本期间为特定年","年初余额","期初余额")</f>
        <v>年初余额</v>
      </c>
      <c r="G52" s="2213"/>
      <c r="H52" s="2214"/>
      <c r="I52" s="2351"/>
    </row>
    <row r="53" customHeight="1" spans="1:9">
      <c r="A53" s="2215"/>
      <c r="B53" s="2216"/>
      <c r="C53" s="2217" t="s">
        <v>1393</v>
      </c>
      <c r="D53" s="2217" t="s">
        <v>1394</v>
      </c>
      <c r="E53" s="2217" t="s">
        <v>1395</v>
      </c>
      <c r="F53" s="2217" t="s">
        <v>1393</v>
      </c>
      <c r="G53" s="2217" t="s">
        <v>1394</v>
      </c>
      <c r="H53" s="2218" t="s">
        <v>1395</v>
      </c>
      <c r="I53" s="2351"/>
    </row>
    <row r="54" customHeight="1" spans="1:9">
      <c r="A54" s="2347" t="s">
        <v>195</v>
      </c>
      <c r="B54" s="2384"/>
      <c r="C54" s="2343"/>
      <c r="D54" s="2221"/>
      <c r="E54" s="2221"/>
      <c r="F54" s="2343"/>
      <c r="G54" s="2221"/>
      <c r="H54" s="2354"/>
      <c r="I54" s="2355"/>
    </row>
    <row r="55" customHeight="1" spans="1:8">
      <c r="A55" s="2226" t="s">
        <v>197</v>
      </c>
      <c r="B55" s="2385"/>
      <c r="C55" s="2222">
        <f>ROUND(未审资负表!G7,2)</f>
        <v>4850000</v>
      </c>
      <c r="D55" s="2222">
        <f>未审附注之负债及权益!B9</f>
        <v>0</v>
      </c>
      <c r="E55" s="2222">
        <f t="shared" ref="E55:E67" si="4">IF(D55="",0,ROUND(D55-C55,2))</f>
        <v>-4850000</v>
      </c>
      <c r="F55" s="2222">
        <f>ROUND(未审资负表!H7,2)</f>
        <v>0</v>
      </c>
      <c r="G55" s="2222">
        <f>未审附注之负债及权益!C9</f>
        <v>0</v>
      </c>
      <c r="H55" s="2229">
        <f t="shared" ref="H55:H67" si="5">IF(G55="",0,ROUND(G55-F55,2))</f>
        <v>0</v>
      </c>
    </row>
    <row r="56" customHeight="1" spans="1:8">
      <c r="A56" s="2226" t="s">
        <v>1398</v>
      </c>
      <c r="B56" s="2385"/>
      <c r="C56" s="2222">
        <f>ROUND(未审资负表!G8,2)</f>
        <v>0</v>
      </c>
      <c r="D56" s="2222">
        <f>未审附注之负债及权益!B46</f>
        <v>0</v>
      </c>
      <c r="E56" s="2222">
        <f t="shared" si="4"/>
        <v>0</v>
      </c>
      <c r="F56" s="2222">
        <f>ROUND(未审资负表!H8,2)</f>
        <v>0</v>
      </c>
      <c r="G56" s="2222">
        <f>未审附注之负债及权益!C46</f>
        <v>0</v>
      </c>
      <c r="H56" s="2229">
        <f t="shared" si="5"/>
        <v>0</v>
      </c>
    </row>
    <row r="57" customHeight="1" spans="1:8">
      <c r="A57" s="2226" t="s">
        <v>201</v>
      </c>
      <c r="B57" s="2385"/>
      <c r="C57" s="2222">
        <f>ROUND(未审资负表!G9,2)</f>
        <v>4117111</v>
      </c>
      <c r="D57" s="2222">
        <f>未审附注之负债及权益!B54</f>
        <v>0</v>
      </c>
      <c r="E57" s="2222">
        <f t="shared" si="4"/>
        <v>-4117111</v>
      </c>
      <c r="F57" s="2222">
        <f>ROUND(未审资负表!H9,2)</f>
        <v>7000000</v>
      </c>
      <c r="G57" s="2222">
        <f>未审附注之负债及权益!C54</f>
        <v>0</v>
      </c>
      <c r="H57" s="2229">
        <f t="shared" si="5"/>
        <v>-7000000</v>
      </c>
    </row>
    <row r="58" customHeight="1" spans="1:8">
      <c r="A58" s="2226" t="s">
        <v>203</v>
      </c>
      <c r="B58" s="2385"/>
      <c r="C58" s="2222">
        <f>ROUND(未审资负表!G10,2)</f>
        <v>41707145.22</v>
      </c>
      <c r="D58" s="2222">
        <f>未审附注之负债及权益!B65</f>
        <v>0</v>
      </c>
      <c r="E58" s="2222">
        <f t="shared" si="4"/>
        <v>-41707145.22</v>
      </c>
      <c r="F58" s="2222">
        <f>ROUND(未审资负表!H10,2)</f>
        <v>16368470.98</v>
      </c>
      <c r="G58" s="2222">
        <f>未审附注之负债及权益!D65</f>
        <v>0</v>
      </c>
      <c r="H58" s="2229">
        <f t="shared" si="5"/>
        <v>-16368470.98</v>
      </c>
    </row>
    <row r="59" customHeight="1" spans="1:8">
      <c r="A59" s="2226" t="s">
        <v>205</v>
      </c>
      <c r="B59" s="2385"/>
      <c r="C59" s="2222">
        <f>ROUND(未审资负表!G11,2)</f>
        <v>0</v>
      </c>
      <c r="D59" s="2222">
        <f>未审附注之负债及权益!B118</f>
        <v>0</v>
      </c>
      <c r="E59" s="2222">
        <f t="shared" si="4"/>
        <v>0</v>
      </c>
      <c r="F59" s="2222">
        <f>ROUND(未审资负表!H11,2)</f>
        <v>4711102.57</v>
      </c>
      <c r="G59" s="2222">
        <f>未审附注之负债及权益!D118</f>
        <v>0</v>
      </c>
      <c r="H59" s="2229">
        <f t="shared" si="5"/>
        <v>-4711102.57</v>
      </c>
    </row>
    <row r="60" customHeight="1" spans="1:8">
      <c r="A60" s="2226" t="s">
        <v>207</v>
      </c>
      <c r="B60" s="2385"/>
      <c r="C60" s="2222">
        <f>ROUND(未审资负表!G12,2)</f>
        <v>1416018.5</v>
      </c>
      <c r="D60" s="2222">
        <f>未审附注之负债及权益!E180</f>
        <v>0</v>
      </c>
      <c r="E60" s="2222">
        <f t="shared" si="4"/>
        <v>-1416018.5</v>
      </c>
      <c r="F60" s="2222">
        <f>ROUND(未审资负表!H12,2)</f>
        <v>1116508.51</v>
      </c>
      <c r="G60" s="2222">
        <f>未审附注之负债及权益!B180</f>
        <v>0</v>
      </c>
      <c r="H60" s="2229">
        <f t="shared" si="5"/>
        <v>-1116508.51</v>
      </c>
    </row>
    <row r="61" customHeight="1" spans="1:8">
      <c r="A61" s="2226" t="s">
        <v>209</v>
      </c>
      <c r="B61" s="2385"/>
      <c r="C61" s="2222">
        <f>ROUND(未审资负表!G13,2)</f>
        <v>8795980.05</v>
      </c>
      <c r="D61" s="2222">
        <f>未审附注之负债及权益!B197</f>
        <v>0</v>
      </c>
      <c r="E61" s="2222">
        <f t="shared" si="4"/>
        <v>-8795980.05</v>
      </c>
      <c r="F61" s="2222">
        <f>ROUND(未审资负表!H13,2)</f>
        <v>5639504.07</v>
      </c>
      <c r="G61" s="2222">
        <f>未审附注之负债及权益!C197</f>
        <v>0</v>
      </c>
      <c r="H61" s="2229">
        <f t="shared" si="5"/>
        <v>-5639504.07</v>
      </c>
    </row>
    <row r="62" customHeight="1" spans="1:8">
      <c r="A62" s="2226" t="s">
        <v>211</v>
      </c>
      <c r="B62" s="2385"/>
      <c r="C62" s="2222">
        <f>ROUND(未审资负表!G14,2)</f>
        <v>120815.96</v>
      </c>
      <c r="D62" s="2222">
        <f>未审附注之负债及权益!B212</f>
        <v>0</v>
      </c>
      <c r="E62" s="2222">
        <f t="shared" si="4"/>
        <v>-120815.96</v>
      </c>
      <c r="F62" s="2222">
        <f>ROUND(未审资负表!H14,2)</f>
        <v>151896.35</v>
      </c>
      <c r="G62" s="2222">
        <f>未审附注之负债及权益!C212</f>
        <v>0</v>
      </c>
      <c r="H62" s="2229">
        <f t="shared" si="5"/>
        <v>-151896.35</v>
      </c>
    </row>
    <row r="63" customHeight="1" spans="1:8">
      <c r="A63" s="2226" t="s">
        <v>213</v>
      </c>
      <c r="B63" s="2385"/>
      <c r="C63" s="2222">
        <f>ROUND(未审资负表!G15,2)</f>
        <v>0</v>
      </c>
      <c r="D63" s="2222">
        <f>未审附注之负债及权益!B227</f>
        <v>0</v>
      </c>
      <c r="E63" s="2222">
        <f t="shared" si="4"/>
        <v>0</v>
      </c>
      <c r="F63" s="2222">
        <f>ROUND(未审资负表!H15,2)</f>
        <v>0</v>
      </c>
      <c r="G63" s="2222">
        <f>未审附注之负债及权益!C227</f>
        <v>0</v>
      </c>
      <c r="H63" s="2229">
        <f t="shared" si="5"/>
        <v>0</v>
      </c>
    </row>
    <row r="64" customHeight="1" spans="1:8">
      <c r="A64" s="2226" t="s">
        <v>215</v>
      </c>
      <c r="B64" s="2385"/>
      <c r="C64" s="2222">
        <f>ROUND(未审资负表!G16,2)</f>
        <v>18955150.91</v>
      </c>
      <c r="D64" s="2222">
        <f>未审附注之负债及权益!B238</f>
        <v>0</v>
      </c>
      <c r="E64" s="2222">
        <f t="shared" si="4"/>
        <v>-18955150.91</v>
      </c>
      <c r="F64" s="2222">
        <f>ROUND(未审资负表!H16,2)</f>
        <v>2042598</v>
      </c>
      <c r="G64" s="2222">
        <f>未审附注之负债及权益!D238</f>
        <v>0</v>
      </c>
      <c r="H64" s="2229">
        <f t="shared" si="5"/>
        <v>-2042598</v>
      </c>
    </row>
    <row r="65" customHeight="1" spans="1:8">
      <c r="A65" s="2226" t="s">
        <v>217</v>
      </c>
      <c r="B65" s="2385"/>
      <c r="C65" s="2222">
        <f>ROUND(未审资负表!G17,2)</f>
        <v>6557196.07</v>
      </c>
      <c r="D65" s="2222">
        <f>未审附注之负债及权益!B289</f>
        <v>0</v>
      </c>
      <c r="E65" s="2222">
        <f t="shared" si="4"/>
        <v>-6557196.07</v>
      </c>
      <c r="F65" s="2222">
        <f>ROUND(未审资负表!H17,2)</f>
        <v>6606039.24</v>
      </c>
      <c r="G65" s="2222">
        <f>未审附注之负债及权益!C289</f>
        <v>0</v>
      </c>
      <c r="H65" s="2229">
        <f t="shared" si="5"/>
        <v>-6606039.24</v>
      </c>
    </row>
    <row r="66" customHeight="1" spans="1:8">
      <c r="A66" s="2226" t="s">
        <v>219</v>
      </c>
      <c r="B66" s="2385"/>
      <c r="C66" s="2222">
        <f>ROUND(未审资负表!G18,2)</f>
        <v>0</v>
      </c>
      <c r="D66" s="2222">
        <f>未审附注之负债及权益!B354</f>
        <v>0</v>
      </c>
      <c r="E66" s="2222">
        <f t="shared" si="4"/>
        <v>0</v>
      </c>
      <c r="F66" s="2222">
        <f>ROUND(未审资负表!H18,2)</f>
        <v>0</v>
      </c>
      <c r="G66" s="2222">
        <f>未审附注之负债及权益!C354</f>
        <v>0</v>
      </c>
      <c r="H66" s="2229">
        <f t="shared" si="5"/>
        <v>0</v>
      </c>
    </row>
    <row r="67" customHeight="1" spans="1:8">
      <c r="A67" s="2226" t="str">
        <f>IF(未审资负表!E19="","",未审资负表!E19)</f>
        <v>持有待售负债</v>
      </c>
      <c r="B67" s="2385"/>
      <c r="C67" s="2222">
        <f>ROUND(未审资负表!G19,2)</f>
        <v>0</v>
      </c>
      <c r="D67" s="2222"/>
      <c r="E67" s="2222">
        <f t="shared" si="4"/>
        <v>0</v>
      </c>
      <c r="F67" s="2222">
        <f>ROUND(未审资负表!H19,2)</f>
        <v>0</v>
      </c>
      <c r="G67" s="2222"/>
      <c r="H67" s="2229">
        <f t="shared" si="5"/>
        <v>0</v>
      </c>
    </row>
    <row r="68" customHeight="1" spans="1:8">
      <c r="A68" s="2231" t="s">
        <v>222</v>
      </c>
      <c r="B68" s="2232"/>
      <c r="C68" s="2344">
        <f>ROUND(SUM(C55:C67),2)</f>
        <v>86519417.71</v>
      </c>
      <c r="D68" s="2344"/>
      <c r="E68" s="2344"/>
      <c r="F68" s="2344">
        <f>ROUND(SUM(F55:F67),2)</f>
        <v>43636119.72</v>
      </c>
      <c r="G68" s="2344"/>
      <c r="H68" s="2357"/>
    </row>
    <row r="69" customHeight="1" spans="1:8">
      <c r="A69" s="2359"/>
      <c r="B69" s="2385"/>
      <c r="C69" s="2239"/>
      <c r="D69" s="2222"/>
      <c r="E69" s="2222"/>
      <c r="F69" s="2239"/>
      <c r="G69" s="2222"/>
      <c r="H69" s="2229"/>
    </row>
    <row r="70" customHeight="1" spans="1:8">
      <c r="A70" s="2347" t="s">
        <v>225</v>
      </c>
      <c r="B70" s="2385"/>
      <c r="C70" s="2240"/>
      <c r="D70" s="2222"/>
      <c r="E70" s="2222"/>
      <c r="F70" s="2240"/>
      <c r="G70" s="2222"/>
      <c r="H70" s="2229"/>
    </row>
    <row r="71" customHeight="1" spans="1:8">
      <c r="A71" s="2226" t="s">
        <v>227</v>
      </c>
      <c r="B71" s="2385"/>
      <c r="C71" s="2222">
        <f>ROUND(未审资负表!G23,2)</f>
        <v>47832592.6</v>
      </c>
      <c r="D71" s="2222">
        <f>未审附注之负债及权益!B364</f>
        <v>0</v>
      </c>
      <c r="E71" s="2222">
        <f t="shared" ref="E71:E78" si="6">IF(D71="",0,ROUND(D71-C71,2))</f>
        <v>-47832592.6</v>
      </c>
      <c r="F71" s="2222">
        <f>ROUND(未审资负表!H23,2)</f>
        <v>65827407.41</v>
      </c>
      <c r="G71" s="2222">
        <f>未审附注之负债及权益!C364</f>
        <v>0</v>
      </c>
      <c r="H71" s="2229">
        <f t="shared" ref="H71:H78" si="7">IF(G71="",0,ROUND(G71-F71,2))</f>
        <v>-65827407.41</v>
      </c>
    </row>
    <row r="72" customHeight="1" spans="1:8">
      <c r="A72" s="2226" t="s">
        <v>229</v>
      </c>
      <c r="B72" s="2385"/>
      <c r="C72" s="2222">
        <f>ROUND(未审资负表!G24,2)</f>
        <v>0</v>
      </c>
      <c r="D72" s="2222">
        <f>未审附注之负债及权益!H393</f>
        <v>0</v>
      </c>
      <c r="E72" s="2222">
        <f t="shared" si="6"/>
        <v>0</v>
      </c>
      <c r="F72" s="2222">
        <f>ROUND(未审资负表!H24,2)</f>
        <v>0</v>
      </c>
      <c r="G72" s="2222"/>
      <c r="H72" s="2229">
        <f t="shared" si="7"/>
        <v>0</v>
      </c>
    </row>
    <row r="73" customHeight="1" spans="1:8">
      <c r="A73" s="2226" t="s">
        <v>231</v>
      </c>
      <c r="B73" s="2385"/>
      <c r="C73" s="2222">
        <f>ROUND(未审资负表!G25,2)</f>
        <v>12375398.73</v>
      </c>
      <c r="D73" s="2222">
        <f>未审附注之负债及权益!B408</f>
        <v>0</v>
      </c>
      <c r="E73" s="2222">
        <f t="shared" si="6"/>
        <v>-12375398.73</v>
      </c>
      <c r="F73" s="2222">
        <f>ROUND(未审资负表!H25,2)</f>
        <v>18932594.8</v>
      </c>
      <c r="G73" s="2222">
        <f>未审附注之负债及权益!C408</f>
        <v>0</v>
      </c>
      <c r="H73" s="2229">
        <f t="shared" si="7"/>
        <v>-18932594.8</v>
      </c>
    </row>
    <row r="74" customHeight="1" spans="1:8">
      <c r="A74" s="2226" t="s">
        <v>233</v>
      </c>
      <c r="B74" s="2385"/>
      <c r="C74" s="2222">
        <f>ROUND(未审资负表!G26,2)</f>
        <v>0</v>
      </c>
      <c r="D74" s="2222">
        <f>未审附注之负债及权益!F423</f>
        <v>0</v>
      </c>
      <c r="E74" s="2222">
        <f t="shared" si="6"/>
        <v>0</v>
      </c>
      <c r="F74" s="2222">
        <f>ROUND(未审资负表!H26,2)</f>
        <v>0</v>
      </c>
      <c r="G74" s="2222">
        <f>未审附注之负债及权益!C423</f>
        <v>0</v>
      </c>
      <c r="H74" s="2229">
        <f t="shared" si="7"/>
        <v>0</v>
      </c>
    </row>
    <row r="75" customHeight="1" spans="1:8">
      <c r="A75" s="2226" t="s">
        <v>235</v>
      </c>
      <c r="B75" s="2385"/>
      <c r="C75" s="2222">
        <f>ROUND(未审资负表!G27,2)</f>
        <v>0</v>
      </c>
      <c r="D75" s="2222">
        <f>未审附注之负债及权益!G438</f>
        <v>0</v>
      </c>
      <c r="E75" s="2222">
        <f t="shared" si="6"/>
        <v>0</v>
      </c>
      <c r="F75" s="2222">
        <f>ROUND(未审资负表!H27,2)</f>
        <v>450190.65</v>
      </c>
      <c r="G75" s="2222">
        <f>未审附注之负债及权益!D438</f>
        <v>0</v>
      </c>
      <c r="H75" s="2229">
        <f t="shared" si="7"/>
        <v>-450190.65</v>
      </c>
    </row>
    <row r="76" customHeight="1" spans="1:8">
      <c r="A76" s="2226" t="s">
        <v>237</v>
      </c>
      <c r="B76" s="2385"/>
      <c r="C76" s="2222">
        <f>ROUND(未审资负表!G28,2)</f>
        <v>0</v>
      </c>
      <c r="D76" s="2222">
        <f>未审附注之非流动资产!B673</f>
        <v>0</v>
      </c>
      <c r="E76" s="2222">
        <f t="shared" si="6"/>
        <v>0</v>
      </c>
      <c r="F76" s="2222">
        <f>ROUND(未审资负表!H28,2)</f>
        <v>0</v>
      </c>
      <c r="G76" s="2222">
        <f>未审附注之非流动资产!C673</f>
        <v>0</v>
      </c>
      <c r="H76" s="2229">
        <f t="shared" si="7"/>
        <v>0</v>
      </c>
    </row>
    <row r="77" customHeight="1" spans="1:8">
      <c r="A77" s="2226" t="s">
        <v>239</v>
      </c>
      <c r="B77" s="2385"/>
      <c r="C77" s="2222">
        <f>ROUND(未审资负表!G29,2)</f>
        <v>0</v>
      </c>
      <c r="D77" s="2222">
        <f>未审附注之负债及权益!B453</f>
        <v>0</v>
      </c>
      <c r="E77" s="2222">
        <f t="shared" si="6"/>
        <v>0</v>
      </c>
      <c r="F77" s="2222">
        <f>ROUND(未审资负表!H29,2)</f>
        <v>0</v>
      </c>
      <c r="G77" s="2222">
        <f>未审附注之负债及权益!C453</f>
        <v>0</v>
      </c>
      <c r="H77" s="2229">
        <f t="shared" si="7"/>
        <v>0</v>
      </c>
    </row>
    <row r="78" customHeight="1" spans="1:8">
      <c r="A78" s="2226" t="str">
        <f>IF(未审资负表!E30="","",未审资负表!E30)</f>
        <v>递延收益</v>
      </c>
      <c r="B78" s="2385"/>
      <c r="C78" s="2222">
        <f>ROUND(未审资负表!G30,2)</f>
        <v>3973515.53</v>
      </c>
      <c r="D78" s="2222"/>
      <c r="E78" s="2222">
        <f t="shared" si="6"/>
        <v>0</v>
      </c>
      <c r="F78" s="2222">
        <f>ROUND(未审资负表!H30,2)</f>
        <v>2082524</v>
      </c>
      <c r="G78" s="2222"/>
      <c r="H78" s="2229">
        <f t="shared" si="7"/>
        <v>0</v>
      </c>
    </row>
    <row r="79" customHeight="1" spans="1:8">
      <c r="A79" s="2362" t="s">
        <v>243</v>
      </c>
      <c r="B79" s="2385"/>
      <c r="C79" s="2344">
        <f>ROUND(SUM(C71:C78),2)</f>
        <v>64181506.86</v>
      </c>
      <c r="D79" s="2344"/>
      <c r="E79" s="2344"/>
      <c r="F79" s="2344">
        <f>ROUND(SUM(F71:F78),2)</f>
        <v>87292716.86</v>
      </c>
      <c r="G79" s="2344"/>
      <c r="H79" s="2357"/>
    </row>
    <row r="80" customHeight="1" spans="1:8">
      <c r="A80" s="2359"/>
      <c r="B80" s="2385"/>
      <c r="C80" s="2239"/>
      <c r="D80" s="2222"/>
      <c r="E80" s="2222"/>
      <c r="F80" s="2239"/>
      <c r="G80" s="2222"/>
      <c r="H80" s="2229"/>
    </row>
    <row r="81" customHeight="1" spans="1:8">
      <c r="A81" s="2362" t="s">
        <v>246</v>
      </c>
      <c r="B81" s="2385"/>
      <c r="C81" s="2344">
        <f>ROUND(C68+C79,2)</f>
        <v>150700924.57</v>
      </c>
      <c r="D81" s="2344"/>
      <c r="E81" s="2344"/>
      <c r="F81" s="2344">
        <f>ROUND(F68+F79,2)</f>
        <v>130928836.58</v>
      </c>
      <c r="G81" s="2344"/>
      <c r="H81" s="2357"/>
    </row>
    <row r="82" customHeight="1" spans="1:8">
      <c r="A82" s="2359"/>
      <c r="B82" s="2385"/>
      <c r="C82" s="2222"/>
      <c r="D82" s="2222"/>
      <c r="E82" s="2222"/>
      <c r="F82" s="2222"/>
      <c r="G82" s="2222"/>
      <c r="H82" s="2229"/>
    </row>
    <row r="83" customHeight="1" spans="1:8">
      <c r="A83" s="2363" t="s">
        <v>249</v>
      </c>
      <c r="B83" s="2385"/>
      <c r="C83" s="2222"/>
      <c r="D83" s="2222"/>
      <c r="E83" s="2222"/>
      <c r="F83" s="2222"/>
      <c r="G83" s="2222"/>
      <c r="H83" s="2229"/>
    </row>
    <row r="84" customHeight="1" spans="1:8">
      <c r="A84" s="2226" t="s">
        <v>251</v>
      </c>
      <c r="B84" s="2385"/>
      <c r="C84" s="2222">
        <f>ROUND(未审资负表!G36,2)</f>
        <v>137800000</v>
      </c>
      <c r="D84" s="2222">
        <f>未审附注之负债及权益!F468</f>
        <v>0</v>
      </c>
      <c r="E84" s="2222">
        <f t="shared" ref="E84:E90" si="8">IF(D84="",0,ROUND(D84-C84,2))</f>
        <v>-137800000</v>
      </c>
      <c r="F84" s="2222">
        <f>ROUND(未审资负表!H36,2)</f>
        <v>120000000</v>
      </c>
      <c r="G84" s="2222">
        <f>未审附注之负债及权益!B468</f>
        <v>0</v>
      </c>
      <c r="H84" s="2229">
        <f t="shared" ref="H84:H90" si="9">IF(G84="",0,ROUND(G84-F84,2))</f>
        <v>-120000000</v>
      </c>
    </row>
    <row r="85" customHeight="1" spans="1:8">
      <c r="A85" s="2226" t="s">
        <v>253</v>
      </c>
      <c r="B85" s="2385"/>
      <c r="C85" s="2222">
        <f>ROUND(未审资负表!G37,2)</f>
        <v>218598931.26</v>
      </c>
      <c r="D85" s="2222">
        <f>未审附注之负债及权益!E483</f>
        <v>0</v>
      </c>
      <c r="E85" s="2222">
        <f t="shared" si="8"/>
        <v>-218598931.26</v>
      </c>
      <c r="F85" s="2222">
        <f>ROUND(未审资负表!H37,2)</f>
        <v>5756259.26</v>
      </c>
      <c r="G85" s="2222">
        <f>未审附注之负债及权益!B483</f>
        <v>0</v>
      </c>
      <c r="H85" s="2229">
        <f t="shared" si="9"/>
        <v>-5756259.26</v>
      </c>
    </row>
    <row r="86" customHeight="1" spans="1:8">
      <c r="A86" s="2226" t="s">
        <v>255</v>
      </c>
      <c r="B86" s="2385"/>
      <c r="C86" s="2222">
        <f>ROUND(未审资负表!G38,2)</f>
        <v>0</v>
      </c>
      <c r="D86" s="2222"/>
      <c r="E86" s="2222">
        <f t="shared" si="8"/>
        <v>0</v>
      </c>
      <c r="F86" s="2222">
        <f>ROUND(未审资负表!H38,2)</f>
        <v>0</v>
      </c>
      <c r="G86" s="2222"/>
      <c r="H86" s="2229">
        <f t="shared" si="9"/>
        <v>0</v>
      </c>
    </row>
    <row r="87" customHeight="1" spans="1:8">
      <c r="A87" s="2226" t="s">
        <v>256</v>
      </c>
      <c r="B87" s="2385"/>
      <c r="C87" s="2222">
        <f>ROUND(未审资负表!G39,2)</f>
        <v>0</v>
      </c>
      <c r="D87" s="2222">
        <f>未审附注之负债及权益!E501</f>
        <v>0</v>
      </c>
      <c r="E87" s="2222">
        <f t="shared" si="8"/>
        <v>0</v>
      </c>
      <c r="F87" s="2222">
        <f>ROUND(未审资负表!H39,2)</f>
        <v>0</v>
      </c>
      <c r="G87" s="2222">
        <f>未审附注之负债及权益!B501</f>
        <v>0</v>
      </c>
      <c r="H87" s="2229">
        <f t="shared" si="9"/>
        <v>0</v>
      </c>
    </row>
    <row r="88" customHeight="1" spans="1:8">
      <c r="A88" s="2226" t="s">
        <v>258</v>
      </c>
      <c r="B88" s="2385"/>
      <c r="C88" s="2222">
        <f>ROUND(未审资负表!G40,2)</f>
        <v>-11272440.11</v>
      </c>
      <c r="D88" s="2222">
        <f>未审附注之负债及权益!B519</f>
        <v>0</v>
      </c>
      <c r="E88" s="2222">
        <f t="shared" si="8"/>
        <v>11272440.11</v>
      </c>
      <c r="F88" s="2222">
        <f>ROUND(未审资负表!H40,2)</f>
        <v>-29044728.03</v>
      </c>
      <c r="G88" s="2222">
        <f>未审附注之负债及权益!B510</f>
        <v>0</v>
      </c>
      <c r="H88" s="2229">
        <f t="shared" si="9"/>
        <v>29044728.03</v>
      </c>
    </row>
    <row r="89" customHeight="1" spans="1:8">
      <c r="A89" s="2226" t="s">
        <v>259</v>
      </c>
      <c r="B89" s="2385"/>
      <c r="C89" s="2222">
        <f>ROUND(未审资负表!G41,2)</f>
        <v>0</v>
      </c>
      <c r="D89" s="2222"/>
      <c r="E89" s="2222">
        <f t="shared" si="8"/>
        <v>0</v>
      </c>
      <c r="F89" s="2222">
        <f>ROUND(未审资负表!H41,2)</f>
        <v>0</v>
      </c>
      <c r="G89" s="2222"/>
      <c r="H89" s="2229">
        <f t="shared" si="9"/>
        <v>0</v>
      </c>
    </row>
    <row r="90" customHeight="1" spans="1:8">
      <c r="A90" s="2226" t="str">
        <f>IF(未审资负表!E42="","",未审资负表!E42)</f>
        <v>其他综合收益</v>
      </c>
      <c r="B90" s="2385"/>
      <c r="C90" s="2222">
        <f>ROUND(未审资负表!G42,2)</f>
        <v>0</v>
      </c>
      <c r="D90" s="2222"/>
      <c r="E90" s="2222">
        <f t="shared" si="8"/>
        <v>0</v>
      </c>
      <c r="F90" s="2222">
        <f>ROUND(未审资负表!H42,2)</f>
        <v>0</v>
      </c>
      <c r="G90" s="2222"/>
      <c r="H90" s="2229">
        <f t="shared" si="9"/>
        <v>0</v>
      </c>
    </row>
    <row r="91" customHeight="1" spans="1:8">
      <c r="A91" s="2362" t="s">
        <v>261</v>
      </c>
      <c r="B91" s="2241"/>
      <c r="C91" s="2344">
        <f>ROUND(SUM(C84:C90)-2*C86,2)</f>
        <v>345126491.15</v>
      </c>
      <c r="D91" s="2344"/>
      <c r="E91" s="2344"/>
      <c r="F91" s="2344">
        <f>ROUND(SUM(F84:F90)-2*F86,2)</f>
        <v>96711531.23</v>
      </c>
      <c r="G91" s="2344"/>
      <c r="H91" s="2357"/>
    </row>
    <row r="92" customHeight="1" spans="1:8">
      <c r="A92" s="2359"/>
      <c r="B92" s="2385"/>
      <c r="C92" s="2239"/>
      <c r="D92" s="2222"/>
      <c r="E92" s="2222"/>
      <c r="F92" s="2239"/>
      <c r="G92" s="2222"/>
      <c r="H92" s="2229"/>
    </row>
    <row r="93" customHeight="1" spans="1:8">
      <c r="A93" s="2226" t="s">
        <v>262</v>
      </c>
      <c r="B93" s="2385"/>
      <c r="C93" s="2222">
        <f>ROUND(未审资负表!G45,2)</f>
        <v>0</v>
      </c>
      <c r="D93" s="2222"/>
      <c r="E93" s="2222">
        <f>IF(D93="",0,ROUND(D93-C93,2))</f>
        <v>0</v>
      </c>
      <c r="F93" s="2222">
        <f>ROUND(未审资负表!H45,2)</f>
        <v>0</v>
      </c>
      <c r="G93" s="2222"/>
      <c r="H93" s="2229">
        <f>IF(G93="",0,ROUND(G93-F93,2))</f>
        <v>0</v>
      </c>
    </row>
    <row r="94" customHeight="1" spans="1:8">
      <c r="A94" s="2362" t="s">
        <v>263</v>
      </c>
      <c r="B94" s="2241"/>
      <c r="C94" s="2344">
        <f>ROUND(C91+C93,2)</f>
        <v>345126491.15</v>
      </c>
      <c r="D94" s="2344"/>
      <c r="E94" s="2344"/>
      <c r="F94" s="2344">
        <f>ROUND(F91+F93,2)</f>
        <v>96711531.23</v>
      </c>
      <c r="G94" s="2344"/>
      <c r="H94" s="2357"/>
    </row>
    <row r="95" customHeight="1" spans="1:8">
      <c r="A95" s="2359"/>
      <c r="B95" s="2385"/>
      <c r="C95" s="2222"/>
      <c r="D95" s="2222"/>
      <c r="E95" s="2222"/>
      <c r="F95" s="2222"/>
      <c r="G95" s="2222"/>
      <c r="H95" s="2229"/>
    </row>
    <row r="96" customHeight="1" spans="1:8">
      <c r="A96" s="2365" t="s">
        <v>265</v>
      </c>
      <c r="B96" s="2250"/>
      <c r="C96" s="2345">
        <f>ROUND(C81+C94,2)</f>
        <v>495827415.72</v>
      </c>
      <c r="D96" s="2345"/>
      <c r="E96" s="2345"/>
      <c r="F96" s="2345">
        <f>ROUND(F81+F94,2)</f>
        <v>227640367.81</v>
      </c>
      <c r="G96" s="2345"/>
      <c r="H96" s="2382"/>
    </row>
    <row r="97" ht="26.25" spans="1:8">
      <c r="A97" s="2103" t="s">
        <v>1399</v>
      </c>
      <c r="B97" s="2103"/>
      <c r="C97" s="2103"/>
      <c r="D97" s="2103"/>
      <c r="E97" s="2103"/>
      <c r="F97" s="2103"/>
      <c r="G97" s="2103"/>
      <c r="H97" s="2103"/>
    </row>
    <row r="98" ht="21" customHeight="1" spans="1:8">
      <c r="A98" s="2107"/>
      <c r="B98" s="2136"/>
      <c r="C98" s="2136"/>
      <c r="D98" s="2136"/>
      <c r="E98" s="2136"/>
      <c r="F98" s="2386"/>
      <c r="G98" s="2386"/>
      <c r="H98" s="2386"/>
    </row>
    <row r="99" ht="21" customHeight="1" spans="1:8">
      <c r="A99" s="2107" t="str">
        <f>"编制单位："&amp;参数表!C3</f>
        <v>编制单位：深圳新阳蓝光能源管理科技股份有限公司</v>
      </c>
      <c r="B99" s="2108"/>
      <c r="C99" s="2136"/>
      <c r="D99" s="2136"/>
      <c r="E99" s="2378" t="str">
        <f>参数表!D7</f>
        <v>2016年度</v>
      </c>
      <c r="F99" s="2387"/>
      <c r="G99" s="2387"/>
      <c r="H99" s="2387" t="s">
        <v>1400</v>
      </c>
    </row>
    <row r="100" ht="15" spans="1:8">
      <c r="A100" s="2141" t="s">
        <v>61</v>
      </c>
      <c r="B100" s="2142" t="s">
        <v>62</v>
      </c>
      <c r="C100" s="2142" t="str">
        <f>IF(参数表!$C$12="本期间为特定年","本年金额","本期金额")</f>
        <v>本年金额</v>
      </c>
      <c r="D100" s="2142"/>
      <c r="E100" s="2142"/>
      <c r="F100" s="2142" t="str">
        <f>IF(参数表!$C$12="本期间为特定年","上年金额","上期金额")</f>
        <v>上年金额</v>
      </c>
      <c r="G100" s="2142"/>
      <c r="H100" s="2388"/>
    </row>
    <row r="101" spans="1:8">
      <c r="A101" s="2145"/>
      <c r="B101" s="2146"/>
      <c r="C101" s="2217" t="s">
        <v>1393</v>
      </c>
      <c r="D101" s="2217" t="s">
        <v>1394</v>
      </c>
      <c r="E101" s="2217" t="s">
        <v>1395</v>
      </c>
      <c r="F101" s="2217" t="s">
        <v>1393</v>
      </c>
      <c r="G101" s="2217" t="s">
        <v>1394</v>
      </c>
      <c r="H101" s="2218" t="s">
        <v>1395</v>
      </c>
    </row>
    <row r="102" ht="21" customHeight="1" spans="1:8">
      <c r="A102" s="2119" t="s">
        <v>77</v>
      </c>
      <c r="B102" s="2389"/>
      <c r="C102" s="2151">
        <f>ROUND(未审利润表!C6,2)</f>
        <v>124397272.16</v>
      </c>
      <c r="D102" s="2151">
        <f>未审附注之利润及利润分配!B8</f>
        <v>0</v>
      </c>
      <c r="E102" s="2222">
        <f t="shared" ref="E102:E113" si="10">IF(D102="",0,ROUND(D102-C102,2))</f>
        <v>-124397272.16</v>
      </c>
      <c r="F102" s="2151">
        <f>ROUND(未审利润表!D6,2)</f>
        <v>57514283.18</v>
      </c>
      <c r="G102" s="2151">
        <f>未审附注之利润及利润分配!E8</f>
        <v>0</v>
      </c>
      <c r="H102" s="2229">
        <f t="shared" ref="H102:H113" si="11">IF(G102="",0,ROUND(G102-F102,2))</f>
        <v>-57514283.18</v>
      </c>
    </row>
    <row r="103" ht="21" customHeight="1" spans="1:8">
      <c r="A103" s="2122" t="s">
        <v>79</v>
      </c>
      <c r="B103" s="2389"/>
      <c r="C103" s="2151">
        <f>ROUND(未审利润表!C7,2)</f>
        <v>60105468.68</v>
      </c>
      <c r="D103" s="2151">
        <f>未审附注之利润及利润分配!C8</f>
        <v>0</v>
      </c>
      <c r="E103" s="2222">
        <f t="shared" si="10"/>
        <v>-60105468.68</v>
      </c>
      <c r="F103" s="2151">
        <f>ROUND(未审利润表!D7,2)</f>
        <v>29364509.85</v>
      </c>
      <c r="G103" s="2151">
        <f>未审附注之利润及利润分配!F8</f>
        <v>0</v>
      </c>
      <c r="H103" s="2229">
        <f t="shared" si="11"/>
        <v>-29364509.85</v>
      </c>
    </row>
    <row r="104" ht="21" customHeight="1" spans="1:8">
      <c r="A104" s="2122" t="s">
        <v>80</v>
      </c>
      <c r="B104" s="2389"/>
      <c r="C104" s="2151">
        <f>ROUND(未审利润表!C8,2)</f>
        <v>373643.83</v>
      </c>
      <c r="D104" s="2151">
        <f>未审附注之利润及利润分配!C91</f>
        <v>0</v>
      </c>
      <c r="E104" s="2222">
        <f t="shared" si="10"/>
        <v>-373643.83</v>
      </c>
      <c r="F104" s="2151">
        <f>ROUND(未审利润表!D8,2)</f>
        <v>242593.74</v>
      </c>
      <c r="G104" s="2151">
        <f>未审附注之利润及利润分配!D91</f>
        <v>0</v>
      </c>
      <c r="H104" s="2229">
        <f t="shared" si="11"/>
        <v>-242593.74</v>
      </c>
    </row>
    <row r="105" ht="21" customHeight="1" spans="1:8">
      <c r="A105" s="2122" t="s">
        <v>82</v>
      </c>
      <c r="B105" s="2389"/>
      <c r="C105" s="2151">
        <f>ROUND(未审利润表!C9,2)</f>
        <v>11918966.31</v>
      </c>
      <c r="D105" s="2151"/>
      <c r="E105" s="2222">
        <f t="shared" si="10"/>
        <v>0</v>
      </c>
      <c r="F105" s="2151">
        <f>ROUND(未审利润表!D9,2)</f>
        <v>11911652.27</v>
      </c>
      <c r="G105" s="2151"/>
      <c r="H105" s="2229">
        <f t="shared" si="11"/>
        <v>0</v>
      </c>
    </row>
    <row r="106" ht="21" customHeight="1" spans="1:8">
      <c r="A106" s="2122" t="s">
        <v>84</v>
      </c>
      <c r="B106" s="2389"/>
      <c r="C106" s="2151">
        <f>ROUND(未审利润表!C10,2)</f>
        <v>13092697.23</v>
      </c>
      <c r="D106" s="2151"/>
      <c r="E106" s="2222">
        <f t="shared" si="10"/>
        <v>0</v>
      </c>
      <c r="F106" s="2151">
        <f>ROUND(未审利润表!D10,2)</f>
        <v>18616301.28</v>
      </c>
      <c r="G106" s="2151"/>
      <c r="H106" s="2229">
        <f t="shared" si="11"/>
        <v>0</v>
      </c>
    </row>
    <row r="107" ht="21" customHeight="1" spans="1:8">
      <c r="A107" s="2122" t="s">
        <v>85</v>
      </c>
      <c r="B107" s="2389"/>
      <c r="C107" s="2151">
        <f>ROUND(未审利润表!C11,2)</f>
        <v>17440214.47</v>
      </c>
      <c r="D107" s="2151">
        <f>未审附注之利润及利润分配!B100</f>
        <v>0</v>
      </c>
      <c r="E107" s="2222">
        <f t="shared" si="10"/>
        <v>-17440214.47</v>
      </c>
      <c r="F107" s="2151">
        <f>ROUND(未审利润表!D11,2)</f>
        <v>-298343.11</v>
      </c>
      <c r="G107" s="2151">
        <f>未审附注之利润及利润分配!C100</f>
        <v>0</v>
      </c>
      <c r="H107" s="2229">
        <f t="shared" si="11"/>
        <v>298343.11</v>
      </c>
    </row>
    <row r="108" ht="21" customHeight="1" spans="1:8">
      <c r="A108" s="2122" t="s">
        <v>86</v>
      </c>
      <c r="B108" s="2389"/>
      <c r="C108" s="2151">
        <f>ROUND(未审利润表!C12,2)</f>
        <v>1895849.54</v>
      </c>
      <c r="D108" s="2151">
        <f>未审附注之利润及利润分配!B119</f>
        <v>0</v>
      </c>
      <c r="E108" s="2222">
        <f t="shared" si="10"/>
        <v>-1895849.54</v>
      </c>
      <c r="F108" s="2151">
        <f>ROUND(未审利润表!D12,2)</f>
        <v>5158184.12</v>
      </c>
      <c r="G108" s="2151">
        <f>未审附注之利润及利润分配!C119</f>
        <v>0</v>
      </c>
      <c r="H108" s="2229">
        <f t="shared" si="11"/>
        <v>-5158184.12</v>
      </c>
    </row>
    <row r="109" ht="21" customHeight="1" spans="1:8">
      <c r="A109" s="2122" t="s">
        <v>88</v>
      </c>
      <c r="B109" s="2389"/>
      <c r="C109" s="2151">
        <f>ROUND(未审利润表!C13,2)</f>
        <v>0</v>
      </c>
      <c r="D109" s="2151">
        <f>未审附注之利润及利润分配!B134</f>
        <v>0</v>
      </c>
      <c r="E109" s="2222">
        <f t="shared" si="10"/>
        <v>0</v>
      </c>
      <c r="F109" s="2151">
        <f>ROUND(未审利润表!D13,2)</f>
        <v>0</v>
      </c>
      <c r="G109" s="2151">
        <f>未审附注之利润及利润分配!C134</f>
        <v>0</v>
      </c>
      <c r="H109" s="2229">
        <f t="shared" si="11"/>
        <v>0</v>
      </c>
    </row>
    <row r="110" ht="21" customHeight="1" spans="1:8">
      <c r="A110" s="2122" t="s">
        <v>90</v>
      </c>
      <c r="B110" s="2389"/>
      <c r="C110" s="2151">
        <f>ROUND(未审利润表!C14,2)</f>
        <v>0</v>
      </c>
      <c r="D110" s="2151">
        <f>未审附注之利润及利润分配!B149</f>
        <v>0</v>
      </c>
      <c r="E110" s="2222">
        <f t="shared" si="10"/>
        <v>0</v>
      </c>
      <c r="F110" s="2151">
        <f>ROUND(未审利润表!D14,2)</f>
        <v>0</v>
      </c>
      <c r="G110" s="2151">
        <f>未审附注之利润及利润分配!C149</f>
        <v>0</v>
      </c>
      <c r="H110" s="2229">
        <f t="shared" si="11"/>
        <v>0</v>
      </c>
    </row>
    <row r="111" ht="21" customHeight="1" spans="1:8">
      <c r="A111" s="2122" t="s">
        <v>92</v>
      </c>
      <c r="B111" s="2389"/>
      <c r="C111" s="2151">
        <f>ROUND(未审利润表!C15,2)</f>
        <v>0</v>
      </c>
      <c r="D111" s="2151"/>
      <c r="E111" s="2222">
        <f t="shared" si="10"/>
        <v>0</v>
      </c>
      <c r="F111" s="2151">
        <f>ROUND(未审利润表!D15,2)</f>
        <v>0</v>
      </c>
      <c r="G111" s="2151"/>
      <c r="H111" s="2229">
        <f t="shared" si="11"/>
        <v>0</v>
      </c>
    </row>
    <row r="112" ht="21" customHeight="1" spans="1:8">
      <c r="A112" s="2122" t="s">
        <v>93</v>
      </c>
      <c r="B112" s="2389"/>
      <c r="C112" s="2151">
        <f>ROUND(未审利润表!C17,2)</f>
        <v>0</v>
      </c>
      <c r="D112" s="2151"/>
      <c r="E112" s="2222">
        <f t="shared" si="10"/>
        <v>0</v>
      </c>
      <c r="F112" s="2151">
        <f>ROUND(未审利润表!D17,2)</f>
        <v>0</v>
      </c>
      <c r="G112" s="2151"/>
      <c r="H112" s="2229">
        <f t="shared" si="11"/>
        <v>0</v>
      </c>
    </row>
    <row r="113" ht="21" customHeight="1" spans="1:8">
      <c r="A113" s="2122" t="str">
        <f>未审利润表!A18</f>
        <v>    其他收益</v>
      </c>
      <c r="B113" s="2389"/>
      <c r="C113" s="2151">
        <f>ROUND(未审利润表!C18,2)</f>
        <v>0</v>
      </c>
      <c r="D113" s="2151"/>
      <c r="E113" s="2222">
        <f t="shared" si="10"/>
        <v>0</v>
      </c>
      <c r="F113" s="2151">
        <f>ROUND(未审利润表!D18,2)</f>
        <v>0</v>
      </c>
      <c r="G113" s="2151"/>
      <c r="H113" s="2229">
        <f t="shared" si="11"/>
        <v>0</v>
      </c>
    </row>
    <row r="114" ht="21" customHeight="1" spans="1:8">
      <c r="A114" s="2119" t="s">
        <v>94</v>
      </c>
      <c r="B114" s="2389"/>
      <c r="C114" s="2369">
        <f>ROUND(C102-SUM(C103:C108)+SUM(C109:C110)+C112+C113,2)</f>
        <v>19570432.1</v>
      </c>
      <c r="D114" s="2369"/>
      <c r="E114" s="2369"/>
      <c r="F114" s="2369">
        <f>ROUND(F102-SUM(F103:F108)+SUM(F109:F110)+F112+F113,2)</f>
        <v>-7480614.97</v>
      </c>
      <c r="G114" s="2369"/>
      <c r="H114" s="2390"/>
    </row>
    <row r="115" ht="21" customHeight="1" spans="1:8">
      <c r="A115" s="2122" t="s">
        <v>95</v>
      </c>
      <c r="B115" s="2389"/>
      <c r="C115" s="2151">
        <f>ROUND(未审利润表!C20,2)</f>
        <v>853546.58</v>
      </c>
      <c r="D115" s="2151">
        <f>未审附注之利润及利润分配!B177</f>
        <v>0</v>
      </c>
      <c r="E115" s="2222">
        <f>IF(D115="",0,ROUND(D115-C115,2))</f>
        <v>-853546.58</v>
      </c>
      <c r="F115" s="2151">
        <f>ROUND(未审利润表!D20,2)</f>
        <v>362052.92</v>
      </c>
      <c r="G115" s="2151">
        <f>未审附注之利润及利润分配!C177</f>
        <v>0</v>
      </c>
      <c r="H115" s="2229">
        <f>IF(G115="",0,ROUND(G115-F115,2))</f>
        <v>-362052.92</v>
      </c>
    </row>
    <row r="116" ht="21" customHeight="1" spans="1:8">
      <c r="A116" s="2122" t="s">
        <v>97</v>
      </c>
      <c r="B116" s="2389"/>
      <c r="C116" s="2151">
        <f>ROUND(未审利润表!C21,2)</f>
        <v>2139962.48</v>
      </c>
      <c r="D116" s="2151">
        <f>未审附注之利润及利润分配!B192</f>
        <v>0</v>
      </c>
      <c r="E116" s="2222">
        <f>IF(D116="",0,ROUND(D116-C116,2))</f>
        <v>-2139962.48</v>
      </c>
      <c r="F116" s="2151">
        <f>ROUND(未审利润表!D21,2)</f>
        <v>24281.65</v>
      </c>
      <c r="G116" s="2151">
        <f>未审附注之利润及利润分配!C192</f>
        <v>0</v>
      </c>
      <c r="H116" s="2229">
        <f>IF(G116="",0,ROUND(G116-F116,2))</f>
        <v>-24281.65</v>
      </c>
    </row>
    <row r="117" ht="21" customHeight="1" spans="1:8">
      <c r="A117" s="2122" t="s">
        <v>99</v>
      </c>
      <c r="B117" s="2389"/>
      <c r="C117" s="2151">
        <f>ROUND(未审利润表!C29,2)</f>
        <v>0</v>
      </c>
      <c r="D117" s="2151"/>
      <c r="E117" s="2222">
        <f>IF(D117="",0,ROUND(D117-C117,2))</f>
        <v>0</v>
      </c>
      <c r="F117" s="2151">
        <f>ROUND(未审利润表!D29,2)</f>
        <v>0</v>
      </c>
      <c r="G117" s="2151"/>
      <c r="H117" s="2229">
        <f>IF(G117="",0,ROUND(G117-F117,2))</f>
        <v>0</v>
      </c>
    </row>
    <row r="118" ht="21" customHeight="1" spans="1:8">
      <c r="A118" s="2122" t="str">
        <f>未审利润表!A28</f>
        <v>   （二）终止经营净利润（净亏损以“－”号填列）</v>
      </c>
      <c r="B118" s="2389"/>
      <c r="C118" s="2151">
        <f>ROUND(未审利润表!C28,2)</f>
        <v>0</v>
      </c>
      <c r="D118" s="2151"/>
      <c r="E118" s="2222">
        <f>IF(D118="",0,ROUND(D118-C118,2))</f>
        <v>0</v>
      </c>
      <c r="F118" s="2151">
        <f>ROUND(未审利润表!D28,2)</f>
        <v>0</v>
      </c>
      <c r="G118" s="2151"/>
      <c r="H118" s="2229">
        <f>IF(G118="",0,ROUND(G118-F118,2))</f>
        <v>0</v>
      </c>
    </row>
    <row r="119" ht="21" customHeight="1" spans="1:8">
      <c r="A119" s="2119" t="s">
        <v>100</v>
      </c>
      <c r="B119" s="2389"/>
      <c r="C119" s="2369">
        <f>ROUND(C114+C115-C116-C118,2)</f>
        <v>18284016.2</v>
      </c>
      <c r="D119" s="2369"/>
      <c r="E119" s="2369"/>
      <c r="F119" s="2369">
        <f>ROUND(F114+F115-F116-F118,2)</f>
        <v>-7142843.7</v>
      </c>
      <c r="G119" s="2369"/>
      <c r="H119" s="2390"/>
    </row>
    <row r="120" ht="21" customHeight="1" spans="1:8">
      <c r="A120" s="2122" t="s">
        <v>101</v>
      </c>
      <c r="B120" s="2389"/>
      <c r="C120" s="2151">
        <f>ROUND(未审利润表!C23,2)</f>
        <v>485420.35</v>
      </c>
      <c r="D120" s="2151">
        <f>未审附注之利润及利润分配!B199</f>
        <v>0</v>
      </c>
      <c r="E120" s="2222">
        <f>IF(D120="",0,ROUND(D120-C120,2))</f>
        <v>-485420.35</v>
      </c>
      <c r="F120" s="2151">
        <f>ROUND(未审利润表!D23,2)</f>
        <v>842798.93</v>
      </c>
      <c r="G120" s="2151">
        <f>未审附注之利润及利润分配!C199</f>
        <v>0</v>
      </c>
      <c r="H120" s="2229">
        <f>IF(G120="",0,ROUND(G120-F120,2))</f>
        <v>-842798.93</v>
      </c>
    </row>
    <row r="121" ht="21" customHeight="1" spans="1:8">
      <c r="A121" s="2122" t="str">
        <f>未审利润表!A30</f>
        <v>六、综合收益总额</v>
      </c>
      <c r="B121" s="2389"/>
      <c r="C121" s="2151">
        <f>ROUND(未审利润表!C30,2)</f>
        <v>17798595.85</v>
      </c>
      <c r="D121" s="2151"/>
      <c r="E121" s="2222">
        <f>IF(D121="",0,ROUND(D121-C121,2))</f>
        <v>0</v>
      </c>
      <c r="F121" s="2151">
        <f>ROUND(未审利润表!D30,2)</f>
        <v>-7985642.63</v>
      </c>
      <c r="G121" s="2151"/>
      <c r="H121" s="2229">
        <f>IF(G121="",0,ROUND(G121-F121,2))</f>
        <v>0</v>
      </c>
    </row>
    <row r="122" ht="21" customHeight="1" spans="1:8">
      <c r="A122" s="2119" t="s">
        <v>103</v>
      </c>
      <c r="B122" s="2389"/>
      <c r="C122" s="2369">
        <f>ROUND(C119-C120-C121,2)</f>
        <v>0</v>
      </c>
      <c r="D122" s="2369"/>
      <c r="E122" s="2369"/>
      <c r="F122" s="2369">
        <f>ROUND(F119-F120-F121,2)</f>
        <v>0</v>
      </c>
      <c r="G122" s="2369"/>
      <c r="H122" s="2390"/>
    </row>
    <row r="123" ht="21" customHeight="1" spans="1:8">
      <c r="A123" s="2122" t="s">
        <v>104</v>
      </c>
      <c r="B123" s="2389"/>
      <c r="C123" s="2156">
        <f>ROUND(C122-C124,2)</f>
        <v>0</v>
      </c>
      <c r="D123" s="2156"/>
      <c r="E123" s="2156"/>
      <c r="F123" s="2156">
        <f>ROUND(F122-F124,2)</f>
        <v>0</v>
      </c>
      <c r="G123" s="2156"/>
      <c r="H123" s="2157"/>
    </row>
    <row r="124" ht="21" customHeight="1" spans="1:8">
      <c r="A124" s="2391" t="s">
        <v>105</v>
      </c>
      <c r="B124" s="2392"/>
      <c r="C124" s="2393">
        <f>ROUND(未审利润表!C26,2)</f>
        <v>0</v>
      </c>
      <c r="D124" s="2393"/>
      <c r="E124" s="2393"/>
      <c r="F124" s="2393">
        <f>ROUND(未审利润表!D26,2)</f>
        <v>0</v>
      </c>
      <c r="G124" s="2393"/>
      <c r="H124" s="2394"/>
    </row>
    <row r="125" ht="1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5" right="0.33" top="0.64" bottom="0.72" header="0.45" footer="0.511811023622047"/>
  <pageSetup paperSize="9" orientation="portrait" blackAndWhite="1"/>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399761955626087"/>
  </sheetPr>
  <dimension ref="A1:S1874"/>
  <sheetViews>
    <sheetView showGridLines="0" showZeros="0" view="pageBreakPreview" zoomScaleNormal="100" zoomScaleSheetLayoutView="100" topLeftCell="A180" workbookViewId="0">
      <selection activeCell="H201" sqref="H201"/>
    </sheetView>
  </sheetViews>
  <sheetFormatPr defaultColWidth="9" defaultRowHeight="14.25"/>
  <cols>
    <col min="1" max="1" width="4.75" customWidth="1"/>
    <col min="2" max="2" width="6.5" customWidth="1"/>
    <col min="3" max="3" width="19.75" customWidth="1"/>
    <col min="4" max="4" width="3.625" customWidth="1"/>
    <col min="5" max="5" width="22.75" customWidth="1"/>
    <col min="6" max="6" width="7.25" customWidth="1"/>
    <col min="7" max="7" width="11.25" customWidth="1"/>
    <col min="8" max="8" width="11.125" customWidth="1"/>
    <col min="9" max="9" width="4.125" customWidth="1"/>
    <col min="10" max="10" width="14.375" customWidth="1"/>
    <col min="11" max="11" width="17.5" customWidth="1"/>
    <col min="12" max="13" width="12.75" customWidth="1"/>
    <col min="14" max="14" width="10.625" customWidth="1"/>
    <col min="15" max="16" width="10.875"/>
  </cols>
  <sheetData>
    <row r="1" hidden="1" spans="1:19">
      <c r="A1" s="2590"/>
      <c r="B1" s="2591"/>
      <c r="C1" s="2591"/>
      <c r="D1" s="2591"/>
      <c r="E1" s="2591"/>
      <c r="F1" s="2591"/>
      <c r="G1" s="2591"/>
      <c r="H1" s="2591"/>
      <c r="I1" s="2591"/>
      <c r="J1" s="2591"/>
      <c r="K1" s="2591"/>
      <c r="L1" s="2591"/>
      <c r="M1" s="2591"/>
      <c r="N1" s="2591"/>
      <c r="O1" s="2591"/>
      <c r="P1" s="2591"/>
      <c r="Q1" s="2591"/>
      <c r="R1" s="2591"/>
      <c r="S1" s="2591"/>
    </row>
    <row r="2" hidden="1" spans="1:19">
      <c r="A2" s="2592"/>
      <c r="B2" s="2593"/>
      <c r="C2" s="2594" t="s">
        <v>1401</v>
      </c>
      <c r="D2" s="2595"/>
      <c r="E2" s="2596"/>
      <c r="F2" s="2597"/>
      <c r="G2" s="2598"/>
      <c r="H2" s="2598"/>
      <c r="I2" s="2602" t="s">
        <v>1402</v>
      </c>
      <c r="J2" s="2593"/>
      <c r="K2" s="2591"/>
      <c r="L2" s="2591"/>
      <c r="M2" s="2591"/>
      <c r="N2" s="2591"/>
      <c r="O2" s="2591"/>
      <c r="P2" s="2591"/>
      <c r="Q2" s="2591"/>
      <c r="R2" s="2591"/>
      <c r="S2" s="2591"/>
    </row>
    <row r="3" hidden="1" spans="1:19">
      <c r="A3" s="2592"/>
      <c r="B3" s="2599"/>
      <c r="C3" s="2594" t="s">
        <v>1403</v>
      </c>
      <c r="D3" s="2599"/>
      <c r="E3" s="2599"/>
      <c r="F3" s="2599"/>
      <c r="G3" s="2599"/>
      <c r="H3" s="2599"/>
      <c r="I3" s="2602" t="s">
        <v>1404</v>
      </c>
      <c r="J3" s="2593"/>
      <c r="K3" s="2591"/>
      <c r="L3" s="2591"/>
      <c r="M3" s="2591"/>
      <c r="N3" s="2591"/>
      <c r="O3" s="2591"/>
      <c r="P3" s="2591"/>
      <c r="Q3" s="2591"/>
      <c r="R3" s="2591"/>
      <c r="S3" s="2591"/>
    </row>
    <row r="4" hidden="1" spans="1:19">
      <c r="A4" s="2592"/>
      <c r="B4" s="2593"/>
      <c r="C4" s="2594" t="s">
        <v>1405</v>
      </c>
      <c r="D4" s="2595"/>
      <c r="E4" s="2596"/>
      <c r="F4" s="2600"/>
      <c r="G4" s="2598"/>
      <c r="H4" s="2598"/>
      <c r="I4" s="2602"/>
      <c r="J4" s="2593"/>
      <c r="K4" s="2591"/>
      <c r="L4" s="2591"/>
      <c r="M4" s="2591"/>
      <c r="N4" s="2591"/>
      <c r="O4" s="2591"/>
      <c r="P4" s="2591"/>
      <c r="Q4" s="2591"/>
      <c r="R4" s="2591"/>
      <c r="S4" s="2591"/>
    </row>
    <row r="5" hidden="1" spans="1:19">
      <c r="A5" s="2592"/>
      <c r="B5" s="2593"/>
      <c r="C5" s="2594" t="s">
        <v>1406</v>
      </c>
      <c r="D5" s="2595"/>
      <c r="E5" s="2596"/>
      <c r="F5" s="2600"/>
      <c r="G5" s="2598"/>
      <c r="H5" s="2598"/>
      <c r="I5" s="2602"/>
      <c r="J5" s="2593"/>
      <c r="K5" s="2591"/>
      <c r="L5" s="2591"/>
      <c r="M5" s="2591"/>
      <c r="N5" s="2591"/>
      <c r="O5" s="2591"/>
      <c r="P5" s="2591"/>
      <c r="Q5" s="2591"/>
      <c r="R5" s="2591"/>
      <c r="S5" s="2591"/>
    </row>
    <row r="6" hidden="1" spans="1:19">
      <c r="A6" s="2592"/>
      <c r="B6" s="2593"/>
      <c r="C6" s="2594" t="s">
        <v>1407</v>
      </c>
      <c r="D6" s="2595"/>
      <c r="E6" s="2596"/>
      <c r="F6" s="2600"/>
      <c r="G6" s="2598"/>
      <c r="H6" s="2598"/>
      <c r="I6" s="2602"/>
      <c r="J6" s="2593"/>
      <c r="K6" s="2591"/>
      <c r="L6" s="2591"/>
      <c r="M6" s="2591"/>
      <c r="N6" s="2591"/>
      <c r="O6" s="2591"/>
      <c r="P6" s="2591"/>
      <c r="Q6" s="2591"/>
      <c r="R6" s="2591"/>
      <c r="S6" s="2591"/>
    </row>
    <row r="7" hidden="1" spans="1:19">
      <c r="A7" s="2592"/>
      <c r="B7" s="2593"/>
      <c r="C7" s="2594" t="s">
        <v>1408</v>
      </c>
      <c r="D7" s="2595"/>
      <c r="E7" s="2596"/>
      <c r="F7" s="2600"/>
      <c r="G7" s="2598"/>
      <c r="H7" s="2598"/>
      <c r="I7" s="2602"/>
      <c r="J7" s="2593"/>
      <c r="K7" s="2591"/>
      <c r="L7" s="2591"/>
      <c r="M7" s="2591"/>
      <c r="N7" s="2591"/>
      <c r="O7" s="2591"/>
      <c r="P7" s="2591"/>
      <c r="Q7" s="2591"/>
      <c r="R7" s="2591"/>
      <c r="S7" s="2591"/>
    </row>
    <row r="8" hidden="1" spans="1:19">
      <c r="A8" s="2592"/>
      <c r="B8" s="2593"/>
      <c r="C8" s="2594" t="s">
        <v>1409</v>
      </c>
      <c r="D8" s="2595"/>
      <c r="E8" s="2596"/>
      <c r="F8" s="2600"/>
      <c r="G8" s="2598"/>
      <c r="H8" s="2598"/>
      <c r="I8" s="2602"/>
      <c r="J8" s="2593"/>
      <c r="K8" s="2591"/>
      <c r="L8" s="2591"/>
      <c r="M8" s="2591"/>
      <c r="N8" s="2591"/>
      <c r="O8" s="2591"/>
      <c r="P8" s="2591"/>
      <c r="Q8" s="2591"/>
      <c r="R8" s="2591"/>
      <c r="S8" s="2591"/>
    </row>
    <row r="9" hidden="1" spans="1:19">
      <c r="A9" s="2592"/>
      <c r="B9" s="2593"/>
      <c r="C9" s="2594" t="s">
        <v>1410</v>
      </c>
      <c r="D9" s="2595"/>
      <c r="E9" s="2596"/>
      <c r="F9" s="2600"/>
      <c r="G9" s="2598"/>
      <c r="H9" s="2598"/>
      <c r="I9" s="2602"/>
      <c r="J9" s="2593"/>
      <c r="K9" s="2591"/>
      <c r="L9" s="2591"/>
      <c r="M9" s="2591"/>
      <c r="N9" s="2591"/>
      <c r="O9" s="2591"/>
      <c r="P9" s="2591"/>
      <c r="Q9" s="2591"/>
      <c r="R9" s="2591"/>
      <c r="S9" s="2591"/>
    </row>
    <row r="10" hidden="1" spans="1:19">
      <c r="A10" s="2592"/>
      <c r="B10" s="2593"/>
      <c r="C10" s="2594" t="s">
        <v>1411</v>
      </c>
      <c r="D10" s="2595"/>
      <c r="E10" s="2596"/>
      <c r="F10" s="2600"/>
      <c r="G10" s="2598"/>
      <c r="H10" s="2598"/>
      <c r="I10" s="2602"/>
      <c r="J10" s="2593"/>
      <c r="K10" s="2591"/>
      <c r="L10" s="2591"/>
      <c r="M10" s="2591"/>
      <c r="N10" s="2591"/>
      <c r="O10" s="2591"/>
      <c r="P10" s="2591"/>
      <c r="Q10" s="2591"/>
      <c r="R10" s="2591"/>
      <c r="S10" s="2591"/>
    </row>
    <row r="11" hidden="1" spans="1:19">
      <c r="A11" s="2592"/>
      <c r="B11" s="2593"/>
      <c r="C11" s="2594" t="s">
        <v>1412</v>
      </c>
      <c r="D11" s="2595"/>
      <c r="E11" s="2596"/>
      <c r="F11" s="2600"/>
      <c r="G11" s="2598"/>
      <c r="H11" s="2598"/>
      <c r="I11" s="2602"/>
      <c r="J11" s="2593"/>
      <c r="K11" s="2591"/>
      <c r="L11" s="2591"/>
      <c r="M11" s="2591"/>
      <c r="N11" s="2591"/>
      <c r="O11" s="2591"/>
      <c r="P11" s="2591"/>
      <c r="Q11" s="2591"/>
      <c r="R11" s="2591"/>
      <c r="S11" s="2591"/>
    </row>
    <row r="12" hidden="1" spans="1:19">
      <c r="A12" s="2592"/>
      <c r="B12" s="2593"/>
      <c r="C12" s="2594" t="s">
        <v>1413</v>
      </c>
      <c r="D12" s="2595"/>
      <c r="E12" s="2596"/>
      <c r="F12" s="2600"/>
      <c r="G12" s="2598"/>
      <c r="H12" s="2598"/>
      <c r="I12" s="2602"/>
      <c r="J12" s="2593"/>
      <c r="K12" s="2591"/>
      <c r="L12" s="2591"/>
      <c r="M12" s="2591"/>
      <c r="N12" s="2591"/>
      <c r="O12" s="2591"/>
      <c r="P12" s="2591"/>
      <c r="Q12" s="2591"/>
      <c r="R12" s="2591"/>
      <c r="S12" s="2591"/>
    </row>
    <row r="13" hidden="1" spans="1:19">
      <c r="A13" s="2592"/>
      <c r="B13" s="2593"/>
      <c r="C13" s="2601" t="str">
        <f>未审资负表!A18</f>
        <v>持有待售资产</v>
      </c>
      <c r="D13" s="2595"/>
      <c r="E13" s="2596"/>
      <c r="F13" s="2600"/>
      <c r="G13" s="2598"/>
      <c r="H13" s="2598"/>
      <c r="I13" s="2602"/>
      <c r="J13" s="2593"/>
      <c r="K13" s="2591"/>
      <c r="L13" s="2591"/>
      <c r="M13" s="2591"/>
      <c r="N13" s="2591"/>
      <c r="O13" s="2591"/>
      <c r="P13" s="2591"/>
      <c r="Q13" s="2591"/>
      <c r="R13" s="2591"/>
      <c r="S13" s="2591"/>
    </row>
    <row r="14" hidden="1" spans="1:19">
      <c r="A14" s="2592"/>
      <c r="B14" s="2593"/>
      <c r="C14" s="2594" t="s">
        <v>1414</v>
      </c>
      <c r="D14" s="2595"/>
      <c r="E14" s="2596"/>
      <c r="F14" s="2600"/>
      <c r="G14" s="2598"/>
      <c r="H14" s="2598"/>
      <c r="I14" s="2602"/>
      <c r="J14" s="2593"/>
      <c r="K14" s="2591"/>
      <c r="L14" s="2591"/>
      <c r="M14" s="2591"/>
      <c r="N14" s="2591"/>
      <c r="O14" s="2591"/>
      <c r="P14" s="2591"/>
      <c r="Q14" s="2591"/>
      <c r="R14" s="2591"/>
      <c r="S14" s="2591"/>
    </row>
    <row r="15" hidden="1" spans="1:19">
      <c r="A15" s="2592"/>
      <c r="B15" s="2593"/>
      <c r="C15" s="2594" t="s">
        <v>1415</v>
      </c>
      <c r="D15" s="2595"/>
      <c r="E15" s="2596"/>
      <c r="F15" s="2600"/>
      <c r="G15" s="2598"/>
      <c r="H15" s="2598"/>
      <c r="I15" s="2602"/>
      <c r="J15" s="2593"/>
      <c r="K15" s="2591"/>
      <c r="L15" s="2591"/>
      <c r="M15" s="2591"/>
      <c r="N15" s="2591"/>
      <c r="O15" s="2591"/>
      <c r="P15" s="2591"/>
      <c r="Q15" s="2591"/>
      <c r="R15" s="2591"/>
      <c r="S15" s="2591"/>
    </row>
    <row r="16" hidden="1" spans="1:19">
      <c r="A16" s="2592"/>
      <c r="B16" s="2593"/>
      <c r="C16" s="2594" t="s">
        <v>1416</v>
      </c>
      <c r="D16" s="2595"/>
      <c r="E16" s="2596"/>
      <c r="F16" s="2600"/>
      <c r="G16" s="2598"/>
      <c r="H16" s="2598"/>
      <c r="I16" s="2602"/>
      <c r="J16" s="2593"/>
      <c r="K16" s="2591"/>
      <c r="L16" s="2591"/>
      <c r="M16" s="2591"/>
      <c r="N16" s="2591"/>
      <c r="O16" s="2591"/>
      <c r="P16" s="2591"/>
      <c r="Q16" s="2591"/>
      <c r="R16" s="2591"/>
      <c r="S16" s="2591"/>
    </row>
    <row r="17" hidden="1" spans="1:19">
      <c r="A17" s="2592"/>
      <c r="B17" s="2593"/>
      <c r="C17" s="2594" t="s">
        <v>1417</v>
      </c>
      <c r="D17" s="2595"/>
      <c r="E17" s="2596"/>
      <c r="F17" s="2600"/>
      <c r="G17" s="2598"/>
      <c r="H17" s="2598"/>
      <c r="I17" s="2602"/>
      <c r="J17" s="2593"/>
      <c r="K17" s="2591"/>
      <c r="L17" s="2591"/>
      <c r="M17" s="2591"/>
      <c r="N17" s="2591"/>
      <c r="O17" s="2591"/>
      <c r="P17" s="2591"/>
      <c r="Q17" s="2591"/>
      <c r="R17" s="2591"/>
      <c r="S17" s="2591"/>
    </row>
    <row r="18" hidden="1" spans="1:19">
      <c r="A18" s="2592"/>
      <c r="B18" s="2593"/>
      <c r="C18" s="2594" t="s">
        <v>1418</v>
      </c>
      <c r="D18" s="2595"/>
      <c r="E18" s="2596"/>
      <c r="F18" s="2600"/>
      <c r="G18" s="2598"/>
      <c r="H18" s="2598"/>
      <c r="I18" s="2602"/>
      <c r="J18" s="2593"/>
      <c r="K18" s="2591"/>
      <c r="L18" s="2591"/>
      <c r="M18" s="2591"/>
      <c r="N18" s="2591"/>
      <c r="O18" s="2591"/>
      <c r="P18" s="2591"/>
      <c r="Q18" s="2591"/>
      <c r="R18" s="2591"/>
      <c r="S18" s="2591"/>
    </row>
    <row r="19" hidden="1" spans="1:19">
      <c r="A19" s="2592"/>
      <c r="B19" s="2593"/>
      <c r="C19" s="2594" t="s">
        <v>1419</v>
      </c>
      <c r="D19" s="2595"/>
      <c r="E19" s="2596"/>
      <c r="F19" s="2600"/>
      <c r="G19" s="2598"/>
      <c r="H19" s="2598"/>
      <c r="I19" s="2602"/>
      <c r="J19" s="2593"/>
      <c r="K19" s="2591"/>
      <c r="L19" s="2591"/>
      <c r="M19" s="2591"/>
      <c r="N19" s="2591"/>
      <c r="O19" s="2591"/>
      <c r="P19" s="2591"/>
      <c r="Q19" s="2591"/>
      <c r="R19" s="2591"/>
      <c r="S19" s="2591"/>
    </row>
    <row r="20" hidden="1" spans="1:19">
      <c r="A20" s="2592"/>
      <c r="B20" s="2593"/>
      <c r="C20" s="2594" t="s">
        <v>1420</v>
      </c>
      <c r="D20" s="2595"/>
      <c r="E20" s="2596"/>
      <c r="F20" s="2600"/>
      <c r="G20" s="2598"/>
      <c r="H20" s="2598"/>
      <c r="I20" s="2602"/>
      <c r="J20" s="2593"/>
      <c r="K20" s="2591"/>
      <c r="L20" s="2591"/>
      <c r="M20" s="2591"/>
      <c r="N20" s="2591"/>
      <c r="O20" s="2591"/>
      <c r="P20" s="2591"/>
      <c r="Q20" s="2591"/>
      <c r="R20" s="2591"/>
      <c r="S20" s="2591"/>
    </row>
    <row r="21" hidden="1" spans="1:19">
      <c r="A21" s="2592"/>
      <c r="B21" s="2593"/>
      <c r="C21" s="2594" t="s">
        <v>1421</v>
      </c>
      <c r="D21" s="2595"/>
      <c r="E21" s="2596"/>
      <c r="F21" s="2600"/>
      <c r="G21" s="2598"/>
      <c r="H21" s="2598"/>
      <c r="I21" s="2602"/>
      <c r="J21" s="2593"/>
      <c r="K21" s="2591"/>
      <c r="L21" s="2591"/>
      <c r="M21" s="2591"/>
      <c r="N21" s="2591"/>
      <c r="O21" s="2591"/>
      <c r="P21" s="2591"/>
      <c r="Q21" s="2591"/>
      <c r="R21" s="2591"/>
      <c r="S21" s="2591"/>
    </row>
    <row r="22" hidden="1" spans="1:19">
      <c r="A22" s="2592"/>
      <c r="B22" s="2593"/>
      <c r="C22" s="2594" t="s">
        <v>1422</v>
      </c>
      <c r="D22" s="2595"/>
      <c r="E22" s="2596"/>
      <c r="F22" s="2600"/>
      <c r="G22" s="2598"/>
      <c r="H22" s="2598"/>
      <c r="I22" s="2602"/>
      <c r="J22" s="2593"/>
      <c r="K22" s="2591"/>
      <c r="L22" s="2591"/>
      <c r="M22" s="2591"/>
      <c r="N22" s="2591"/>
      <c r="O22" s="2591"/>
      <c r="P22" s="2591"/>
      <c r="Q22" s="2591"/>
      <c r="R22" s="2591"/>
      <c r="S22" s="2591"/>
    </row>
    <row r="23" hidden="1" spans="1:19">
      <c r="A23" s="2592"/>
      <c r="B23" s="2593"/>
      <c r="C23" s="2594" t="s">
        <v>1423</v>
      </c>
      <c r="D23" s="2595"/>
      <c r="E23" s="2596"/>
      <c r="F23" s="2600"/>
      <c r="G23" s="2598"/>
      <c r="H23" s="2598"/>
      <c r="I23" s="2602"/>
      <c r="J23" s="2593"/>
      <c r="K23" s="2591"/>
      <c r="L23" s="2591"/>
      <c r="M23" s="2591"/>
      <c r="N23" s="2591"/>
      <c r="O23" s="2591"/>
      <c r="P23" s="2591"/>
      <c r="Q23" s="2591"/>
      <c r="R23" s="2591"/>
      <c r="S23" s="2591"/>
    </row>
    <row r="24" hidden="1" spans="1:19">
      <c r="A24" s="2592"/>
      <c r="B24" s="2593"/>
      <c r="C24" s="2594" t="s">
        <v>1424</v>
      </c>
      <c r="D24" s="2595"/>
      <c r="E24" s="2596"/>
      <c r="F24" s="2600"/>
      <c r="G24" s="2598"/>
      <c r="H24" s="2598"/>
      <c r="I24" s="2602"/>
      <c r="J24" s="2593"/>
      <c r="K24" s="2591"/>
      <c r="L24" s="2591"/>
      <c r="M24" s="2591"/>
      <c r="N24" s="2591"/>
      <c r="O24" s="2591"/>
      <c r="P24" s="2591"/>
      <c r="Q24" s="2591"/>
      <c r="R24" s="2591"/>
      <c r="S24" s="2591"/>
    </row>
    <row r="25" hidden="1" spans="1:19">
      <c r="A25" s="2592"/>
      <c r="B25" s="2593"/>
      <c r="C25" s="2594" t="s">
        <v>1425</v>
      </c>
      <c r="D25" s="2595"/>
      <c r="E25" s="2596"/>
      <c r="F25" s="2600"/>
      <c r="G25" s="2598"/>
      <c r="H25" s="2598"/>
      <c r="I25" s="2602"/>
      <c r="J25" s="2593"/>
      <c r="K25" s="2591"/>
      <c r="L25" s="2591"/>
      <c r="M25" s="2591"/>
      <c r="N25" s="2591"/>
      <c r="O25" s="2591"/>
      <c r="P25" s="2591"/>
      <c r="Q25" s="2591"/>
      <c r="R25" s="2591"/>
      <c r="S25" s="2591"/>
    </row>
    <row r="26" hidden="1" spans="1:19">
      <c r="A26" s="2592"/>
      <c r="B26" s="2593"/>
      <c r="C26" s="2594" t="s">
        <v>1426</v>
      </c>
      <c r="D26" s="2595"/>
      <c r="E26" s="2596"/>
      <c r="F26" s="2600"/>
      <c r="G26" s="2598"/>
      <c r="H26" s="2598"/>
      <c r="I26" s="2602"/>
      <c r="J26" s="2593"/>
      <c r="K26" s="2591"/>
      <c r="L26" s="2591"/>
      <c r="M26" s="2591"/>
      <c r="N26" s="2591"/>
      <c r="O26" s="2591"/>
      <c r="P26" s="2591"/>
      <c r="Q26" s="2591"/>
      <c r="R26" s="2591"/>
      <c r="S26" s="2591"/>
    </row>
    <row r="27" hidden="1" spans="1:19">
      <c r="A27" s="2592"/>
      <c r="B27" s="2593"/>
      <c r="C27" s="2594" t="s">
        <v>1427</v>
      </c>
      <c r="D27" s="2595"/>
      <c r="E27" s="2596"/>
      <c r="F27" s="2600"/>
      <c r="G27" s="2598"/>
      <c r="H27" s="2598"/>
      <c r="I27" s="2602"/>
      <c r="J27" s="2593"/>
      <c r="K27" s="2591"/>
      <c r="L27" s="2591"/>
      <c r="M27" s="2591"/>
      <c r="N27" s="2591"/>
      <c r="O27" s="2591"/>
      <c r="P27" s="2591"/>
      <c r="Q27" s="2591"/>
      <c r="R27" s="2591"/>
      <c r="S27" s="2591"/>
    </row>
    <row r="28" hidden="1" spans="1:19">
      <c r="A28" s="2592"/>
      <c r="B28" s="2593"/>
      <c r="C28" s="2594" t="s">
        <v>1428</v>
      </c>
      <c r="D28" s="2595"/>
      <c r="E28" s="2596"/>
      <c r="F28" s="2600"/>
      <c r="G28" s="2598"/>
      <c r="H28" s="2598"/>
      <c r="I28" s="2602"/>
      <c r="J28" s="2593"/>
      <c r="K28" s="2591"/>
      <c r="L28" s="2591"/>
      <c r="M28" s="2591"/>
      <c r="N28" s="2591"/>
      <c r="O28" s="2591"/>
      <c r="P28" s="2591"/>
      <c r="Q28" s="2591"/>
      <c r="R28" s="2591"/>
      <c r="S28" s="2591"/>
    </row>
    <row r="29" hidden="1" spans="1:19">
      <c r="A29" s="2592"/>
      <c r="B29" s="2593"/>
      <c r="C29" s="2594" t="s">
        <v>1429</v>
      </c>
      <c r="D29" s="2595"/>
      <c r="E29" s="2596"/>
      <c r="F29" s="2600"/>
      <c r="G29" s="2598"/>
      <c r="H29" s="2598"/>
      <c r="I29" s="2602"/>
      <c r="J29" s="2593"/>
      <c r="K29" s="2591"/>
      <c r="L29" s="2591"/>
      <c r="M29" s="2591"/>
      <c r="N29" s="2591"/>
      <c r="O29" s="2591"/>
      <c r="P29" s="2591"/>
      <c r="Q29" s="2591"/>
      <c r="R29" s="2591"/>
      <c r="S29" s="2591"/>
    </row>
    <row r="30" hidden="1" spans="1:19">
      <c r="A30" s="2592"/>
      <c r="B30" s="2593"/>
      <c r="C30" s="2594" t="s">
        <v>1430</v>
      </c>
      <c r="D30" s="2595"/>
      <c r="E30" s="2596"/>
      <c r="F30" s="2600"/>
      <c r="G30" s="2598"/>
      <c r="H30" s="2598"/>
      <c r="I30" s="2602"/>
      <c r="J30" s="2593"/>
      <c r="K30" s="2591"/>
      <c r="L30" s="2591"/>
      <c r="M30" s="2591"/>
      <c r="N30" s="2591"/>
      <c r="O30" s="2591"/>
      <c r="P30" s="2591"/>
      <c r="Q30" s="2591"/>
      <c r="R30" s="2591"/>
      <c r="S30" s="2591"/>
    </row>
    <row r="31" hidden="1" spans="1:19">
      <c r="A31" s="2592"/>
      <c r="B31" s="2593"/>
      <c r="C31" s="2601">
        <f>未审资负表!A39</f>
        <v>0</v>
      </c>
      <c r="D31" s="2595"/>
      <c r="E31" s="2596"/>
      <c r="F31" s="2600"/>
      <c r="G31" s="2598"/>
      <c r="H31" s="2598"/>
      <c r="I31" s="2602"/>
      <c r="J31" s="2593"/>
      <c r="K31" s="2591"/>
      <c r="L31" s="2591"/>
      <c r="M31" s="2591"/>
      <c r="N31" s="2591"/>
      <c r="O31" s="2591"/>
      <c r="P31" s="2591"/>
      <c r="Q31" s="2591"/>
      <c r="R31" s="2591"/>
      <c r="S31" s="2591"/>
    </row>
    <row r="32" hidden="1" spans="1:19">
      <c r="A32" s="2592"/>
      <c r="B32" s="2593"/>
      <c r="C32" s="2594" t="s">
        <v>1431</v>
      </c>
      <c r="D32" s="2595"/>
      <c r="E32" s="2596"/>
      <c r="F32" s="2600"/>
      <c r="G32" s="2598"/>
      <c r="H32" s="2598"/>
      <c r="I32" s="2602"/>
      <c r="J32" s="2593"/>
      <c r="K32" s="2591"/>
      <c r="L32" s="2591"/>
      <c r="M32" s="2591"/>
      <c r="N32" s="2591"/>
      <c r="O32" s="2591"/>
      <c r="P32" s="2591"/>
      <c r="Q32" s="2591"/>
      <c r="R32" s="2591"/>
      <c r="S32" s="2591"/>
    </row>
    <row r="33" hidden="1" spans="1:19">
      <c r="A33" s="2592"/>
      <c r="B33" s="2593"/>
      <c r="C33" s="2594" t="s">
        <v>1432</v>
      </c>
      <c r="D33" s="2595"/>
      <c r="E33" s="2596"/>
      <c r="F33" s="2600"/>
      <c r="G33" s="2598"/>
      <c r="H33" s="2598"/>
      <c r="I33" s="2602"/>
      <c r="J33" s="2593"/>
      <c r="K33" s="2591"/>
      <c r="L33" s="2591"/>
      <c r="M33" s="2591"/>
      <c r="N33" s="2591"/>
      <c r="O33" s="2591"/>
      <c r="P33" s="2591"/>
      <c r="Q33" s="2591"/>
      <c r="R33" s="2591"/>
      <c r="S33" s="2591"/>
    </row>
    <row r="34" hidden="1" spans="1:19">
      <c r="A34" s="2592"/>
      <c r="B34" s="2593"/>
      <c r="C34" s="2594" t="s">
        <v>1433</v>
      </c>
      <c r="D34" s="2595"/>
      <c r="E34" s="2596"/>
      <c r="F34" s="2600"/>
      <c r="G34" s="2598"/>
      <c r="H34" s="2598"/>
      <c r="I34" s="2602"/>
      <c r="J34" s="2593"/>
      <c r="K34" s="2591"/>
      <c r="L34" s="2591"/>
      <c r="M34" s="2591"/>
      <c r="N34" s="2591"/>
      <c r="O34" s="2591"/>
      <c r="P34" s="2591"/>
      <c r="Q34" s="2591"/>
      <c r="R34" s="2591"/>
      <c r="S34" s="2591"/>
    </row>
    <row r="35" hidden="1" spans="1:19">
      <c r="A35" s="2592"/>
      <c r="B35" s="2593"/>
      <c r="C35" s="2594" t="s">
        <v>1434</v>
      </c>
      <c r="D35" s="2595"/>
      <c r="E35" s="2596"/>
      <c r="F35" s="2600"/>
      <c r="G35" s="2598"/>
      <c r="H35" s="2598"/>
      <c r="I35" s="2602"/>
      <c r="J35" s="2593"/>
      <c r="K35" s="2591"/>
      <c r="L35" s="2591"/>
      <c r="M35" s="2591"/>
      <c r="N35" s="2591"/>
      <c r="O35" s="2591"/>
      <c r="P35" s="2591"/>
      <c r="Q35" s="2591"/>
      <c r="R35" s="2591"/>
      <c r="S35" s="2591"/>
    </row>
    <row r="36" hidden="1" spans="1:19">
      <c r="A36" s="2592"/>
      <c r="B36" s="2593"/>
      <c r="C36" s="2594" t="s">
        <v>1435</v>
      </c>
      <c r="D36" s="2595"/>
      <c r="E36" s="2596"/>
      <c r="F36" s="2600"/>
      <c r="G36" s="2598"/>
      <c r="H36" s="2598"/>
      <c r="I36" s="2602"/>
      <c r="J36" s="2593"/>
      <c r="K36" s="2591"/>
      <c r="L36" s="2591"/>
      <c r="M36" s="2591"/>
      <c r="N36" s="2591"/>
      <c r="O36" s="2591"/>
      <c r="P36" s="2591"/>
      <c r="Q36" s="2591"/>
      <c r="R36" s="2591"/>
      <c r="S36" s="2591"/>
    </row>
    <row r="37" hidden="1" spans="1:19">
      <c r="A37" s="2592"/>
      <c r="B37" s="2593"/>
      <c r="C37" s="2594" t="s">
        <v>1436</v>
      </c>
      <c r="D37" s="2595"/>
      <c r="E37" s="2596"/>
      <c r="F37" s="2600"/>
      <c r="G37" s="2598"/>
      <c r="H37" s="2598"/>
      <c r="I37" s="2602"/>
      <c r="J37" s="2593"/>
      <c r="K37" s="2591"/>
      <c r="L37" s="2591"/>
      <c r="M37" s="2591"/>
      <c r="N37" s="2591"/>
      <c r="O37" s="2591"/>
      <c r="P37" s="2591"/>
      <c r="Q37" s="2591"/>
      <c r="R37" s="2591"/>
      <c r="S37" s="2591"/>
    </row>
    <row r="38" hidden="1" spans="1:19">
      <c r="A38" s="2590"/>
      <c r="B38" s="2591"/>
      <c r="C38" s="2594" t="s">
        <v>1437</v>
      </c>
      <c r="D38" s="2591"/>
      <c r="E38" s="2591"/>
      <c r="F38" s="2591"/>
      <c r="G38" s="2591"/>
      <c r="H38" s="2591"/>
      <c r="I38" s="2591"/>
      <c r="J38" s="2591"/>
      <c r="K38" s="2591"/>
      <c r="L38" s="2591"/>
      <c r="M38" s="2591"/>
      <c r="N38" s="2591"/>
      <c r="O38" s="2591"/>
      <c r="P38" s="2591"/>
      <c r="Q38" s="2591"/>
      <c r="R38" s="2591"/>
      <c r="S38" s="2591"/>
    </row>
    <row r="39" hidden="1" spans="1:19">
      <c r="A39" s="2590"/>
      <c r="B39" s="2591"/>
      <c r="C39" s="2594" t="s">
        <v>1438</v>
      </c>
      <c r="D39" s="2591"/>
      <c r="E39" s="2591"/>
      <c r="F39" s="2591"/>
      <c r="G39" s="2591"/>
      <c r="H39" s="2591"/>
      <c r="I39" s="2591"/>
      <c r="J39" s="2591"/>
      <c r="K39" s="2591"/>
      <c r="L39" s="2591"/>
      <c r="M39" s="2591"/>
      <c r="N39" s="2591"/>
      <c r="O39" s="2591"/>
      <c r="P39" s="2591"/>
      <c r="Q39" s="2591"/>
      <c r="R39" s="2591"/>
      <c r="S39" s="2591"/>
    </row>
    <row r="40" hidden="1" spans="1:19">
      <c r="A40" s="2590"/>
      <c r="B40" s="2591"/>
      <c r="C40" s="2594" t="s">
        <v>1439</v>
      </c>
      <c r="D40" s="2591"/>
      <c r="E40" s="2591"/>
      <c r="F40" s="2591"/>
      <c r="G40" s="2591"/>
      <c r="H40" s="2591"/>
      <c r="I40" s="2591"/>
      <c r="J40" s="2591"/>
      <c r="K40" s="2591"/>
      <c r="L40" s="2591"/>
      <c r="M40" s="2591"/>
      <c r="N40" s="2591"/>
      <c r="O40" s="2591"/>
      <c r="P40" s="2591"/>
      <c r="Q40" s="2591"/>
      <c r="R40" s="2591"/>
      <c r="S40" s="2591"/>
    </row>
    <row r="41" hidden="1" spans="1:19">
      <c r="A41" s="2590"/>
      <c r="B41" s="2591"/>
      <c r="C41" s="2594" t="s">
        <v>1440</v>
      </c>
      <c r="D41" s="2591"/>
      <c r="E41" s="2591"/>
      <c r="F41" s="2591"/>
      <c r="G41" s="2591"/>
      <c r="H41" s="2591"/>
      <c r="I41" s="2591"/>
      <c r="J41" s="2591"/>
      <c r="K41" s="2591"/>
      <c r="L41" s="2591"/>
      <c r="M41" s="2591"/>
      <c r="N41" s="2591"/>
      <c r="O41" s="2591"/>
      <c r="P41" s="2591"/>
      <c r="Q41" s="2591"/>
      <c r="R41" s="2591"/>
      <c r="S41" s="2591"/>
    </row>
    <row r="42" hidden="1" spans="1:19">
      <c r="A42" s="2590"/>
      <c r="B42" s="2591"/>
      <c r="C42" s="2594" t="s">
        <v>1441</v>
      </c>
      <c r="D42" s="2591"/>
      <c r="E42" s="2591"/>
      <c r="F42" s="2591"/>
      <c r="G42" s="2591"/>
      <c r="H42" s="2591"/>
      <c r="I42" s="2591"/>
      <c r="J42" s="2591"/>
      <c r="K42" s="2591"/>
      <c r="L42" s="2591"/>
      <c r="M42" s="2591"/>
      <c r="N42" s="2591"/>
      <c r="O42" s="2591"/>
      <c r="P42" s="2591"/>
      <c r="Q42" s="2591"/>
      <c r="R42" s="2591"/>
      <c r="S42" s="2591"/>
    </row>
    <row r="43" hidden="1" spans="1:19">
      <c r="A43" s="2590"/>
      <c r="B43" s="2591"/>
      <c r="C43" s="2594" t="s">
        <v>1442</v>
      </c>
      <c r="D43" s="2591"/>
      <c r="E43" s="2591"/>
      <c r="F43" s="2591"/>
      <c r="G43" s="2591"/>
      <c r="H43" s="2591"/>
      <c r="I43" s="2591"/>
      <c r="J43" s="2591"/>
      <c r="K43" s="2591"/>
      <c r="L43" s="2591"/>
      <c r="M43" s="2591"/>
      <c r="N43" s="2591"/>
      <c r="O43" s="2591"/>
      <c r="P43" s="2591"/>
      <c r="Q43" s="2591"/>
      <c r="R43" s="2591"/>
      <c r="S43" s="2591"/>
    </row>
    <row r="44" hidden="1" spans="1:19">
      <c r="A44" s="2590"/>
      <c r="B44" s="2591"/>
      <c r="C44" s="2601" t="str">
        <f>未审资负表!E19</f>
        <v>持有待售负债</v>
      </c>
      <c r="D44" s="2591"/>
      <c r="E44" s="2591"/>
      <c r="F44" s="2591"/>
      <c r="G44" s="2591"/>
      <c r="H44" s="2591"/>
      <c r="I44" s="2591"/>
      <c r="J44" s="2591"/>
      <c r="K44" s="2591"/>
      <c r="L44" s="2591"/>
      <c r="M44" s="2591"/>
      <c r="N44" s="2591"/>
      <c r="O44" s="2591"/>
      <c r="P44" s="2591"/>
      <c r="Q44" s="2591"/>
      <c r="R44" s="2591"/>
      <c r="S44" s="2591"/>
    </row>
    <row r="45" hidden="1" spans="1:19">
      <c r="A45" s="2590"/>
      <c r="B45" s="2591"/>
      <c r="C45" s="2594" t="s">
        <v>1443</v>
      </c>
      <c r="D45" s="2591"/>
      <c r="E45" s="2591"/>
      <c r="F45" s="2591"/>
      <c r="G45" s="2591"/>
      <c r="H45" s="2591"/>
      <c r="I45" s="2591"/>
      <c r="J45" s="2591"/>
      <c r="K45" s="2591"/>
      <c r="L45" s="2591"/>
      <c r="M45" s="2591"/>
      <c r="N45" s="2591"/>
      <c r="O45" s="2591"/>
      <c r="P45" s="2591"/>
      <c r="Q45" s="2591"/>
      <c r="R45" s="2591"/>
      <c r="S45" s="2591"/>
    </row>
    <row r="46" hidden="1" spans="1:19">
      <c r="A46" s="2590"/>
      <c r="B46" s="2591"/>
      <c r="C46" s="2594" t="s">
        <v>1444</v>
      </c>
      <c r="D46" s="2591"/>
      <c r="E46" s="2591"/>
      <c r="F46" s="2591"/>
      <c r="G46" s="2591"/>
      <c r="H46" s="2591"/>
      <c r="I46" s="2591"/>
      <c r="J46" s="2591"/>
      <c r="K46" s="2591"/>
      <c r="L46" s="2591"/>
      <c r="M46" s="2591"/>
      <c r="N46" s="2591"/>
      <c r="O46" s="2591"/>
      <c r="P46" s="2591"/>
      <c r="Q46" s="2591"/>
      <c r="R46" s="2591"/>
      <c r="S46" s="2591"/>
    </row>
    <row r="47" hidden="1" spans="1:19">
      <c r="A47" s="2590"/>
      <c r="B47" s="2591"/>
      <c r="C47" s="2594" t="s">
        <v>1445</v>
      </c>
      <c r="D47" s="2591"/>
      <c r="E47" s="2591"/>
      <c r="F47" s="2591"/>
      <c r="G47" s="2591"/>
      <c r="H47" s="2591"/>
      <c r="I47" s="2591"/>
      <c r="J47" s="2591"/>
      <c r="K47" s="2591"/>
      <c r="L47" s="2591"/>
      <c r="M47" s="2591"/>
      <c r="N47" s="2591"/>
      <c r="O47" s="2591"/>
      <c r="P47" s="2591"/>
      <c r="Q47" s="2591"/>
      <c r="R47" s="2591"/>
      <c r="S47" s="2591"/>
    </row>
    <row r="48" hidden="1" spans="1:19">
      <c r="A48" s="2590"/>
      <c r="B48" s="2591"/>
      <c r="C48" s="2594" t="s">
        <v>1446</v>
      </c>
      <c r="D48" s="2591"/>
      <c r="E48" s="2591"/>
      <c r="F48" s="2591"/>
      <c r="G48" s="2591"/>
      <c r="H48" s="2591"/>
      <c r="I48" s="2591"/>
      <c r="J48" s="2591"/>
      <c r="K48" s="2591"/>
      <c r="L48" s="2591"/>
      <c r="M48" s="2591"/>
      <c r="N48" s="2591"/>
      <c r="O48" s="2591"/>
      <c r="P48" s="2591"/>
      <c r="Q48" s="2591"/>
      <c r="R48" s="2591"/>
      <c r="S48" s="2591"/>
    </row>
    <row r="49" hidden="1" spans="1:19">
      <c r="A49" s="2590"/>
      <c r="B49" s="2591"/>
      <c r="C49" s="2594" t="s">
        <v>1447</v>
      </c>
      <c r="D49" s="2591"/>
      <c r="E49" s="2591"/>
      <c r="F49" s="2591"/>
      <c r="G49" s="2591"/>
      <c r="H49" s="2591"/>
      <c r="I49" s="2591"/>
      <c r="J49" s="2591"/>
      <c r="K49" s="2591"/>
      <c r="L49" s="2591"/>
      <c r="M49" s="2591"/>
      <c r="N49" s="2591"/>
      <c r="O49" s="2591"/>
      <c r="P49" s="2591"/>
      <c r="Q49" s="2591"/>
      <c r="R49" s="2591"/>
      <c r="S49" s="2591"/>
    </row>
    <row r="50" hidden="1" spans="1:19">
      <c r="A50" s="2590"/>
      <c r="B50" s="2591"/>
      <c r="C50" s="2594" t="s">
        <v>1448</v>
      </c>
      <c r="D50" s="2591"/>
      <c r="E50" s="2591"/>
      <c r="F50" s="2591"/>
      <c r="G50" s="2591"/>
      <c r="H50" s="2591"/>
      <c r="I50" s="2591"/>
      <c r="J50" s="2591"/>
      <c r="K50" s="2591"/>
      <c r="L50" s="2591"/>
      <c r="M50" s="2591"/>
      <c r="N50" s="2591"/>
      <c r="O50" s="2591"/>
      <c r="P50" s="2591"/>
      <c r="Q50" s="2591"/>
      <c r="R50" s="2591"/>
      <c r="S50" s="2591"/>
    </row>
    <row r="51" hidden="1" spans="1:19">
      <c r="A51" s="2590"/>
      <c r="B51" s="2591"/>
      <c r="C51" s="2594" t="s">
        <v>1449</v>
      </c>
      <c r="D51" s="2591"/>
      <c r="E51" s="2591"/>
      <c r="F51" s="2591"/>
      <c r="G51" s="2591"/>
      <c r="H51" s="2591"/>
      <c r="I51" s="2591"/>
      <c r="J51" s="2591"/>
      <c r="K51" s="2591"/>
      <c r="L51" s="2591"/>
      <c r="M51" s="2591"/>
      <c r="N51" s="2591"/>
      <c r="O51" s="2591"/>
      <c r="P51" s="2591"/>
      <c r="Q51" s="2591"/>
      <c r="R51" s="2591"/>
      <c r="S51" s="2591"/>
    </row>
    <row r="52" hidden="1" spans="1:19">
      <c r="A52" s="2590"/>
      <c r="B52" s="2591"/>
      <c r="C52" s="2601" t="str">
        <f>未审资负表!E30</f>
        <v>递延收益</v>
      </c>
      <c r="D52" s="2591"/>
      <c r="E52" s="2591"/>
      <c r="F52" s="2591"/>
      <c r="G52" s="2591"/>
      <c r="H52" s="2591"/>
      <c r="I52" s="2591"/>
      <c r="J52" s="2591"/>
      <c r="K52" s="2591"/>
      <c r="L52" s="2591"/>
      <c r="M52" s="2591"/>
      <c r="N52" s="2591"/>
      <c r="O52" s="2591"/>
      <c r="P52" s="2591"/>
      <c r="Q52" s="2591"/>
      <c r="R52" s="2591"/>
      <c r="S52" s="2591"/>
    </row>
    <row r="53" hidden="1" spans="1:19">
      <c r="A53" s="2590"/>
      <c r="B53" s="2591"/>
      <c r="C53" s="2594" t="s">
        <v>1450</v>
      </c>
      <c r="D53" s="2591"/>
      <c r="E53" s="2591"/>
      <c r="F53" s="2591"/>
      <c r="G53" s="2591"/>
      <c r="H53" s="2591"/>
      <c r="I53" s="2591"/>
      <c r="J53" s="2591"/>
      <c r="K53" s="2591"/>
      <c r="L53" s="2591"/>
      <c r="M53" s="2591"/>
      <c r="N53" s="2591"/>
      <c r="O53" s="2591"/>
      <c r="P53" s="2591"/>
      <c r="Q53" s="2591"/>
      <c r="R53" s="2591"/>
      <c r="S53" s="2591"/>
    </row>
    <row r="54" hidden="1" spans="1:19">
      <c r="A54" s="2590"/>
      <c r="B54" s="2591"/>
      <c r="C54" s="2594" t="s">
        <v>1451</v>
      </c>
      <c r="D54" s="2591"/>
      <c r="E54" s="2591"/>
      <c r="F54" s="2591"/>
      <c r="G54" s="2591"/>
      <c r="H54" s="2591"/>
      <c r="I54" s="2591"/>
      <c r="J54" s="2591"/>
      <c r="K54" s="2591"/>
      <c r="L54" s="2591"/>
      <c r="M54" s="2591"/>
      <c r="N54" s="2591"/>
      <c r="O54" s="2591"/>
      <c r="P54" s="2591"/>
      <c r="Q54" s="2591"/>
      <c r="R54" s="2591"/>
      <c r="S54" s="2591"/>
    </row>
    <row r="55" hidden="1" spans="1:19">
      <c r="A55" s="2590"/>
      <c r="B55" s="2591"/>
      <c r="C55" s="2594" t="s">
        <v>1452</v>
      </c>
      <c r="D55" s="2591"/>
      <c r="E55" s="2591"/>
      <c r="F55" s="2591"/>
      <c r="G55" s="2591"/>
      <c r="H55" s="2591"/>
      <c r="I55" s="2591"/>
      <c r="J55" s="2591"/>
      <c r="K55" s="2591"/>
      <c r="L55" s="2591"/>
      <c r="M55" s="2591"/>
      <c r="N55" s="2591"/>
      <c r="O55" s="2591"/>
      <c r="P55" s="2591"/>
      <c r="Q55" s="2591"/>
      <c r="R55" s="2591"/>
      <c r="S55" s="2591"/>
    </row>
    <row r="56" hidden="1" spans="1:19">
      <c r="A56" s="2590"/>
      <c r="B56" s="2591"/>
      <c r="C56" s="2594" t="s">
        <v>1453</v>
      </c>
      <c r="D56" s="2591"/>
      <c r="E56" s="2591"/>
      <c r="F56" s="2591"/>
      <c r="G56" s="2591"/>
      <c r="H56" s="2591"/>
      <c r="I56" s="2591"/>
      <c r="J56" s="2591"/>
      <c r="K56" s="2591"/>
      <c r="L56" s="2591"/>
      <c r="M56" s="2591"/>
      <c r="N56" s="2591"/>
      <c r="O56" s="2591"/>
      <c r="P56" s="2591"/>
      <c r="Q56" s="2591"/>
      <c r="R56" s="2591"/>
      <c r="S56" s="2591"/>
    </row>
    <row r="57" hidden="1" spans="1:19">
      <c r="A57" s="2590"/>
      <c r="B57" s="2591"/>
      <c r="C57" s="2594"/>
      <c r="D57" s="2591"/>
      <c r="E57" s="2591"/>
      <c r="F57" s="2591"/>
      <c r="G57" s="2591"/>
      <c r="H57" s="2591"/>
      <c r="I57" s="2591"/>
      <c r="J57" s="2591"/>
      <c r="K57" s="2591"/>
      <c r="L57" s="2591"/>
      <c r="M57" s="2591"/>
      <c r="N57" s="2591"/>
      <c r="O57" s="2591"/>
      <c r="P57" s="2591"/>
      <c r="Q57" s="2591"/>
      <c r="R57" s="2591"/>
      <c r="S57" s="2591"/>
    </row>
    <row r="58" hidden="1" spans="1:19">
      <c r="A58" s="2590"/>
      <c r="B58" s="2591"/>
      <c r="C58" s="2594" t="s">
        <v>1454</v>
      </c>
      <c r="D58" s="2591"/>
      <c r="E58" s="2591"/>
      <c r="F58" s="2591"/>
      <c r="G58" s="2591"/>
      <c r="H58" s="2591"/>
      <c r="I58" s="2591"/>
      <c r="J58" s="2591"/>
      <c r="K58" s="2591"/>
      <c r="L58" s="2591"/>
      <c r="M58" s="2591"/>
      <c r="N58" s="2591"/>
      <c r="O58" s="2591"/>
      <c r="P58" s="2591"/>
      <c r="Q58" s="2591"/>
      <c r="R58" s="2591"/>
      <c r="S58" s="2591"/>
    </row>
    <row r="59" hidden="1" spans="1:19">
      <c r="A59" s="2590"/>
      <c r="B59" s="2591"/>
      <c r="C59" s="2601" t="str">
        <f>未审资负表!E42</f>
        <v>其他综合收益</v>
      </c>
      <c r="D59" s="2591"/>
      <c r="E59" s="2591"/>
      <c r="F59" s="2591"/>
      <c r="G59" s="2591"/>
      <c r="H59" s="2591"/>
      <c r="I59" s="2591"/>
      <c r="J59" s="2591"/>
      <c r="K59" s="2591"/>
      <c r="L59" s="2591"/>
      <c r="M59" s="2591"/>
      <c r="N59" s="2591"/>
      <c r="O59" s="2591"/>
      <c r="P59" s="2591"/>
      <c r="Q59" s="2591"/>
      <c r="R59" s="2591"/>
      <c r="S59" s="2591"/>
    </row>
    <row r="60" hidden="1" spans="1:19">
      <c r="A60" s="2590"/>
      <c r="B60" s="2591"/>
      <c r="C60" s="2594" t="s">
        <v>1455</v>
      </c>
      <c r="D60" s="2591"/>
      <c r="E60" s="2591"/>
      <c r="F60" s="2591"/>
      <c r="G60" s="2591"/>
      <c r="H60" s="2591"/>
      <c r="I60" s="2591"/>
      <c r="J60" s="2591"/>
      <c r="K60" s="2591"/>
      <c r="L60" s="2591"/>
      <c r="M60" s="2591"/>
      <c r="N60" s="2591"/>
      <c r="O60" s="2591"/>
      <c r="P60" s="2591"/>
      <c r="Q60" s="2591"/>
      <c r="R60" s="2591"/>
      <c r="S60" s="2591"/>
    </row>
    <row r="61" hidden="1" spans="1:19">
      <c r="A61" s="2590"/>
      <c r="B61" s="2591"/>
      <c r="C61" s="2594" t="s">
        <v>1456</v>
      </c>
      <c r="D61" s="2591"/>
      <c r="E61" s="2591"/>
      <c r="F61" s="2591"/>
      <c r="G61" s="2591"/>
      <c r="H61" s="2591"/>
      <c r="I61" s="2591"/>
      <c r="J61" s="2591"/>
      <c r="K61" s="2591"/>
      <c r="L61" s="2591"/>
      <c r="M61" s="2591"/>
      <c r="N61" s="2591"/>
      <c r="O61" s="2591"/>
      <c r="P61" s="2591"/>
      <c r="Q61" s="2591"/>
      <c r="R61" s="2591"/>
      <c r="S61" s="2591"/>
    </row>
    <row r="62" hidden="1" spans="1:19">
      <c r="A62" s="2590"/>
      <c r="B62" s="2591"/>
      <c r="C62" s="2594" t="s">
        <v>1457</v>
      </c>
      <c r="D62" s="2591"/>
      <c r="E62" s="2591"/>
      <c r="F62" s="2591"/>
      <c r="G62" s="2591"/>
      <c r="H62" s="2591"/>
      <c r="I62" s="2591"/>
      <c r="J62" s="2591"/>
      <c r="K62" s="2591"/>
      <c r="L62" s="2591"/>
      <c r="M62" s="2591"/>
      <c r="N62" s="2591"/>
      <c r="O62" s="2591"/>
      <c r="P62" s="2591"/>
      <c r="Q62" s="2591"/>
      <c r="R62" s="2591"/>
      <c r="S62" s="2591"/>
    </row>
    <row r="63" hidden="1" spans="1:19">
      <c r="A63" s="2590"/>
      <c r="B63" s="2591"/>
      <c r="C63" s="2594" t="s">
        <v>1458</v>
      </c>
      <c r="D63" s="2591"/>
      <c r="E63" s="2591"/>
      <c r="F63" s="2591"/>
      <c r="G63" s="2591"/>
      <c r="H63" s="2591"/>
      <c r="I63" s="2591"/>
      <c r="J63" s="2591"/>
      <c r="K63" s="2591"/>
      <c r="L63" s="2591"/>
      <c r="M63" s="2591"/>
      <c r="N63" s="2591"/>
      <c r="O63" s="2591"/>
      <c r="P63" s="2591"/>
      <c r="Q63" s="2591"/>
      <c r="R63" s="2591"/>
      <c r="S63" s="2591"/>
    </row>
    <row r="64" hidden="1" spans="1:19">
      <c r="A64" s="2590"/>
      <c r="B64" s="2591"/>
      <c r="C64" s="2594" t="s">
        <v>1459</v>
      </c>
      <c r="D64" s="2591"/>
      <c r="E64" s="2591"/>
      <c r="F64" s="2591"/>
      <c r="G64" s="2591"/>
      <c r="H64" s="2591"/>
      <c r="I64" s="2591"/>
      <c r="J64" s="2591"/>
      <c r="K64" s="2591"/>
      <c r="L64" s="2591"/>
      <c r="M64" s="2591"/>
      <c r="N64" s="2591"/>
      <c r="O64" s="2591"/>
      <c r="P64" s="2591"/>
      <c r="Q64" s="2591"/>
      <c r="R64" s="2591"/>
      <c r="S64" s="2591"/>
    </row>
    <row r="65" hidden="1" spans="1:19">
      <c r="A65" s="2590"/>
      <c r="B65" s="2591"/>
      <c r="C65" s="2594" t="s">
        <v>1460</v>
      </c>
      <c r="D65" s="2591"/>
      <c r="E65" s="2591"/>
      <c r="F65" s="2591"/>
      <c r="G65" s="2591"/>
      <c r="H65" s="2591"/>
      <c r="I65" s="2591"/>
      <c r="J65" s="2591"/>
      <c r="K65" s="2591"/>
      <c r="L65" s="2591"/>
      <c r="M65" s="2591"/>
      <c r="N65" s="2591"/>
      <c r="O65" s="2591"/>
      <c r="P65" s="2591"/>
      <c r="Q65" s="2591"/>
      <c r="R65" s="2591"/>
      <c r="S65" s="2591"/>
    </row>
    <row r="66" hidden="1" spans="1:19">
      <c r="A66" s="2590"/>
      <c r="B66" s="2591"/>
      <c r="C66" s="2594" t="s">
        <v>1461</v>
      </c>
      <c r="D66" s="2591"/>
      <c r="E66" s="2591"/>
      <c r="F66" s="2591"/>
      <c r="G66" s="2591"/>
      <c r="H66" s="2591"/>
      <c r="I66" s="2591"/>
      <c r="J66" s="2591"/>
      <c r="K66" s="2591"/>
      <c r="L66" s="2591"/>
      <c r="M66" s="2591"/>
      <c r="N66" s="2591"/>
      <c r="O66" s="2591"/>
      <c r="P66" s="2591"/>
      <c r="Q66" s="2591"/>
      <c r="R66" s="2591"/>
      <c r="S66" s="2591"/>
    </row>
    <row r="67" hidden="1" spans="1:19">
      <c r="A67" s="2590"/>
      <c r="B67" s="2591"/>
      <c r="C67" s="2594" t="s">
        <v>1462</v>
      </c>
      <c r="D67" s="2591"/>
      <c r="E67" s="2591"/>
      <c r="F67" s="2591"/>
      <c r="G67" s="2591"/>
      <c r="H67" s="2591"/>
      <c r="I67" s="2591"/>
      <c r="J67" s="2591"/>
      <c r="K67" s="2591"/>
      <c r="L67" s="2591"/>
      <c r="M67" s="2591"/>
      <c r="N67" s="2591"/>
      <c r="O67" s="2591"/>
      <c r="P67" s="2591"/>
      <c r="Q67" s="2591"/>
      <c r="R67" s="2591"/>
      <c r="S67" s="2591"/>
    </row>
    <row r="68" hidden="1" spans="1:19">
      <c r="A68" s="2590"/>
      <c r="B68" s="2591"/>
      <c r="C68" s="2594" t="s">
        <v>1463</v>
      </c>
      <c r="D68" s="2591"/>
      <c r="E68" s="2591"/>
      <c r="F68" s="2591"/>
      <c r="G68" s="2591"/>
      <c r="H68" s="2591"/>
      <c r="I68" s="2591"/>
      <c r="J68" s="2591"/>
      <c r="K68" s="2591"/>
      <c r="L68" s="2591"/>
      <c r="M68" s="2591"/>
      <c r="N68" s="2591"/>
      <c r="O68" s="2591"/>
      <c r="P68" s="2591"/>
      <c r="Q68" s="2591"/>
      <c r="R68" s="2591"/>
      <c r="S68" s="2591"/>
    </row>
    <row r="69" hidden="1" spans="1:19">
      <c r="A69" s="2590"/>
      <c r="B69" s="2591"/>
      <c r="C69" s="2594" t="s">
        <v>1464</v>
      </c>
      <c r="D69" s="2591"/>
      <c r="E69" s="2591"/>
      <c r="F69" s="2591"/>
      <c r="G69" s="2591"/>
      <c r="H69" s="2591"/>
      <c r="I69" s="2591"/>
      <c r="J69" s="2591"/>
      <c r="K69" s="2591"/>
      <c r="L69" s="2591"/>
      <c r="M69" s="2591"/>
      <c r="N69" s="2591"/>
      <c r="O69" s="2591"/>
      <c r="P69" s="2591"/>
      <c r="Q69" s="2591"/>
      <c r="R69" s="2591"/>
      <c r="S69" s="2591"/>
    </row>
    <row r="70" hidden="1" spans="1:19">
      <c r="A70" s="2590"/>
      <c r="B70" s="2591"/>
      <c r="C70" s="2594" t="str">
        <f>TRIM(未审利润表!A18)</f>
        <v>其他收益</v>
      </c>
      <c r="D70" s="2591"/>
      <c r="E70" s="2591"/>
      <c r="F70" s="2591"/>
      <c r="G70" s="2591"/>
      <c r="H70" s="2591"/>
      <c r="I70" s="2591"/>
      <c r="J70" s="2591"/>
      <c r="K70" s="2591"/>
      <c r="L70" s="2591"/>
      <c r="M70" s="2591"/>
      <c r="N70" s="2591"/>
      <c r="O70" s="2591"/>
      <c r="P70" s="2591"/>
      <c r="Q70" s="2591"/>
      <c r="R70" s="2591"/>
      <c r="S70" s="2591"/>
    </row>
    <row r="71" hidden="1" spans="1:19">
      <c r="A71" s="2590"/>
      <c r="B71" s="2591"/>
      <c r="C71" s="2594" t="s">
        <v>1465</v>
      </c>
      <c r="D71" s="2591"/>
      <c r="E71" s="2591"/>
      <c r="F71" s="2591"/>
      <c r="G71" s="2591"/>
      <c r="H71" s="2591"/>
      <c r="I71" s="2591"/>
      <c r="J71" s="2591"/>
      <c r="K71" s="2591"/>
      <c r="L71" s="2591"/>
      <c r="M71" s="2591"/>
      <c r="N71" s="2591"/>
      <c r="O71" s="2591"/>
      <c r="P71" s="2591"/>
      <c r="Q71" s="2591"/>
      <c r="R71" s="2591"/>
      <c r="S71" s="2591"/>
    </row>
    <row r="72" hidden="1" spans="1:19">
      <c r="A72" s="2590"/>
      <c r="B72" s="2591"/>
      <c r="C72" s="2594" t="s">
        <v>1466</v>
      </c>
      <c r="D72" s="2591"/>
      <c r="E72" s="2591"/>
      <c r="F72" s="2591"/>
      <c r="G72" s="2591"/>
      <c r="H72" s="2591"/>
      <c r="I72" s="2591"/>
      <c r="J72" s="2591"/>
      <c r="K72" s="2591"/>
      <c r="L72" s="2591"/>
      <c r="M72" s="2591"/>
      <c r="N72" s="2591"/>
      <c r="O72" s="2591"/>
      <c r="P72" s="2591"/>
      <c r="Q72" s="2591"/>
      <c r="R72" s="2591"/>
      <c r="S72" s="2591"/>
    </row>
    <row r="73" hidden="1" spans="1:19">
      <c r="A73" s="2590"/>
      <c r="B73" s="2591"/>
      <c r="C73" s="2594" t="str">
        <f>TRIM(未审利润表!A28)</f>
        <v>（二）终止经营净利润（净亏损以“－”号填列）</v>
      </c>
      <c r="D73" s="2591"/>
      <c r="E73" s="2591"/>
      <c r="F73" s="2591"/>
      <c r="G73" s="2591"/>
      <c r="H73" s="2591"/>
      <c r="I73" s="2591"/>
      <c r="J73" s="2591"/>
      <c r="K73" s="2591"/>
      <c r="L73" s="2591"/>
      <c r="M73" s="2591"/>
      <c r="N73" s="2591"/>
      <c r="O73" s="2591"/>
      <c r="P73" s="2591"/>
      <c r="Q73" s="2591"/>
      <c r="R73" s="2591"/>
      <c r="S73" s="2591"/>
    </row>
    <row r="74" hidden="1" spans="1:19">
      <c r="A74" s="2590"/>
      <c r="B74" s="2591"/>
      <c r="C74" s="2594" t="s">
        <v>1467</v>
      </c>
      <c r="D74" s="2591"/>
      <c r="E74" s="2591"/>
      <c r="F74" s="2591"/>
      <c r="G74" s="2591"/>
      <c r="H74" s="2591"/>
      <c r="I74" s="2591"/>
      <c r="J74" s="2591"/>
      <c r="K74" s="2591"/>
      <c r="L74" s="2591"/>
      <c r="M74" s="2591"/>
      <c r="N74" s="2591"/>
      <c r="O74" s="2591"/>
      <c r="P74" s="2591"/>
      <c r="Q74" s="2591"/>
      <c r="R74" s="2591"/>
      <c r="S74" s="2591"/>
    </row>
    <row r="75" hidden="1" spans="1:19">
      <c r="A75" s="2590"/>
      <c r="B75" s="2591"/>
      <c r="C75" s="2594" t="str">
        <f>TRIM(未审利润表!A29)</f>
        <v>五、其他综合收益的税后净额</v>
      </c>
      <c r="D75" s="2591"/>
      <c r="E75" s="2591"/>
      <c r="F75" s="2591"/>
      <c r="G75" s="2591"/>
      <c r="H75" s="2591"/>
      <c r="I75" s="2591"/>
      <c r="J75" s="2591"/>
      <c r="K75" s="2591"/>
      <c r="L75" s="2591"/>
      <c r="M75" s="2591"/>
      <c r="N75" s="2591"/>
      <c r="O75" s="2591"/>
      <c r="P75" s="2591"/>
      <c r="Q75" s="2591"/>
      <c r="R75" s="2591"/>
      <c r="S75" s="2591"/>
    </row>
    <row r="76" hidden="1" spans="1:19">
      <c r="A76" s="2590"/>
      <c r="B76" s="2591"/>
      <c r="C76" s="2594" t="s">
        <v>1468</v>
      </c>
      <c r="D76" s="2591"/>
      <c r="E76" s="2591"/>
      <c r="F76" s="2591"/>
      <c r="G76" s="2591"/>
      <c r="H76" s="2591"/>
      <c r="I76" s="2591"/>
      <c r="J76" s="2591"/>
      <c r="K76" s="2591"/>
      <c r="L76" s="2591"/>
      <c r="M76" s="2591"/>
      <c r="N76" s="2591"/>
      <c r="O76" s="2591"/>
      <c r="P76" s="2591"/>
      <c r="Q76" s="2591"/>
      <c r="R76" s="2591"/>
      <c r="S76" s="2591"/>
    </row>
    <row r="77" hidden="1" spans="1:19">
      <c r="A77" s="2590"/>
      <c r="B77" s="2591"/>
      <c r="C77" s="2594" t="s">
        <v>1469</v>
      </c>
      <c r="D77" s="2591"/>
      <c r="E77" s="2591"/>
      <c r="F77" s="2591"/>
      <c r="G77" s="2591"/>
      <c r="H77" s="2591"/>
      <c r="I77" s="2591"/>
      <c r="J77" s="2591"/>
      <c r="K77" s="2591"/>
      <c r="L77" s="2591"/>
      <c r="M77" s="2591"/>
      <c r="N77" s="2591"/>
      <c r="O77" s="2591"/>
      <c r="P77" s="2591"/>
      <c r="Q77" s="2591"/>
      <c r="R77" s="2591"/>
      <c r="S77" s="2591"/>
    </row>
    <row r="78" hidden="1" spans="1:19">
      <c r="A78" s="2590"/>
      <c r="B78" s="2591"/>
      <c r="C78" s="2594" t="s">
        <v>1470</v>
      </c>
      <c r="D78" s="2591"/>
      <c r="E78" s="2591"/>
      <c r="F78" s="2591"/>
      <c r="G78" s="2591"/>
      <c r="H78" s="2591"/>
      <c r="I78" s="2591"/>
      <c r="J78" s="2591"/>
      <c r="K78" s="2591"/>
      <c r="L78" s="2591"/>
      <c r="M78" s="2591"/>
      <c r="N78" s="2591"/>
      <c r="O78" s="2591"/>
      <c r="P78" s="2591"/>
      <c r="Q78" s="2591"/>
      <c r="R78" s="2591"/>
      <c r="S78" s="2591"/>
    </row>
    <row r="79" hidden="1" spans="1:19">
      <c r="A79" s="2590"/>
      <c r="B79" s="2591"/>
      <c r="C79" s="2594" t="str">
        <f t="shared" ref="C79:C110" si="0">IF(C2&lt;&gt;0,"年初"&amp;C2,"")</f>
        <v>年初货币资金</v>
      </c>
      <c r="D79" s="2591"/>
      <c r="E79" s="2591"/>
      <c r="F79" s="2591"/>
      <c r="G79" s="2591"/>
      <c r="H79" s="2591"/>
      <c r="I79" s="2591"/>
      <c r="J79" s="2591"/>
      <c r="K79" s="2591"/>
      <c r="L79" s="2591"/>
      <c r="M79" s="2591"/>
      <c r="N79" s="2591"/>
      <c r="O79" s="2591"/>
      <c r="P79" s="2591"/>
      <c r="Q79" s="2591"/>
      <c r="R79" s="2591"/>
      <c r="S79" s="2591"/>
    </row>
    <row r="80" hidden="1" spans="1:19">
      <c r="A80" s="2590"/>
      <c r="B80" s="2591"/>
      <c r="C80" s="2594" t="str">
        <f t="shared" si="0"/>
        <v>年初交易性金融资产</v>
      </c>
      <c r="D80" s="2591"/>
      <c r="E80" s="2591"/>
      <c r="F80" s="2591"/>
      <c r="G80" s="2591"/>
      <c r="H80" s="2591"/>
      <c r="I80" s="2591"/>
      <c r="J80" s="2591"/>
      <c r="K80" s="2591"/>
      <c r="L80" s="2591"/>
      <c r="M80" s="2591"/>
      <c r="N80" s="2591"/>
      <c r="O80" s="2591"/>
      <c r="P80" s="2591"/>
      <c r="Q80" s="2591"/>
      <c r="R80" s="2591"/>
      <c r="S80" s="2591"/>
    </row>
    <row r="81" hidden="1" spans="1:19">
      <c r="A81" s="2590"/>
      <c r="B81" s="2591"/>
      <c r="C81" s="2594" t="str">
        <f t="shared" si="0"/>
        <v>年初应收票据</v>
      </c>
      <c r="D81" s="2591"/>
      <c r="E81" s="2591"/>
      <c r="F81" s="2591"/>
      <c r="G81" s="2591"/>
      <c r="H81" s="2591"/>
      <c r="I81" s="2591"/>
      <c r="J81" s="2591"/>
      <c r="K81" s="2591"/>
      <c r="L81" s="2591"/>
      <c r="M81" s="2591"/>
      <c r="N81" s="2591"/>
      <c r="O81" s="2591"/>
      <c r="P81" s="2591"/>
      <c r="Q81" s="2591"/>
      <c r="R81" s="2591"/>
      <c r="S81" s="2591"/>
    </row>
    <row r="82" hidden="1" spans="1:19">
      <c r="A82" s="2590"/>
      <c r="B82" s="2591"/>
      <c r="C82" s="2594" t="str">
        <f t="shared" si="0"/>
        <v>年初应收账款</v>
      </c>
      <c r="D82" s="2591"/>
      <c r="E82" s="2591"/>
      <c r="F82" s="2591"/>
      <c r="G82" s="2591"/>
      <c r="H82" s="2591"/>
      <c r="I82" s="2591"/>
      <c r="J82" s="2591"/>
      <c r="K82" s="2591"/>
      <c r="L82" s="2591"/>
      <c r="M82" s="2591"/>
      <c r="N82" s="2591"/>
      <c r="O82" s="2591"/>
      <c r="P82" s="2591"/>
      <c r="Q82" s="2591"/>
      <c r="R82" s="2591"/>
      <c r="S82" s="2591"/>
    </row>
    <row r="83" hidden="1" spans="1:19">
      <c r="A83" s="2590"/>
      <c r="B83" s="2591"/>
      <c r="C83" s="2594" t="str">
        <f t="shared" si="0"/>
        <v>年初预付款项</v>
      </c>
      <c r="D83" s="2591"/>
      <c r="E83" s="2591"/>
      <c r="F83" s="2591"/>
      <c r="G83" s="2591"/>
      <c r="H83" s="2591"/>
      <c r="I83" s="2591"/>
      <c r="J83" s="2591"/>
      <c r="K83" s="2591"/>
      <c r="L83" s="2591"/>
      <c r="M83" s="2591"/>
      <c r="N83" s="2591"/>
      <c r="O83" s="2591"/>
      <c r="P83" s="2591"/>
      <c r="Q83" s="2591"/>
      <c r="R83" s="2591"/>
      <c r="S83" s="2591"/>
    </row>
    <row r="84" hidden="1" spans="1:19">
      <c r="A84" s="2590"/>
      <c r="B84" s="2591"/>
      <c r="C84" s="2594" t="str">
        <f t="shared" si="0"/>
        <v>年初应收利息</v>
      </c>
      <c r="D84" s="2591"/>
      <c r="E84" s="2591"/>
      <c r="F84" s="2591"/>
      <c r="G84" s="2591"/>
      <c r="H84" s="2591"/>
      <c r="I84" s="2591"/>
      <c r="J84" s="2591"/>
      <c r="K84" s="2591"/>
      <c r="L84" s="2591"/>
      <c r="M84" s="2591"/>
      <c r="N84" s="2591"/>
      <c r="O84" s="2591"/>
      <c r="P84" s="2591"/>
      <c r="Q84" s="2591"/>
      <c r="R84" s="2591"/>
      <c r="S84" s="2591"/>
    </row>
    <row r="85" hidden="1" spans="1:19">
      <c r="A85" s="2590"/>
      <c r="B85" s="2591"/>
      <c r="C85" s="2594" t="str">
        <f t="shared" si="0"/>
        <v>年初应收股利</v>
      </c>
      <c r="D85" s="2591"/>
      <c r="E85" s="2591"/>
      <c r="F85" s="2591"/>
      <c r="G85" s="2591"/>
      <c r="H85" s="2591"/>
      <c r="I85" s="2591"/>
      <c r="J85" s="2591"/>
      <c r="K85" s="2591"/>
      <c r="L85" s="2591"/>
      <c r="M85" s="2591"/>
      <c r="N85" s="2591"/>
      <c r="O85" s="2591"/>
      <c r="P85" s="2591"/>
      <c r="Q85" s="2591"/>
      <c r="R85" s="2591"/>
      <c r="S85" s="2591"/>
    </row>
    <row r="86" hidden="1" spans="1:19">
      <c r="A86" s="2590"/>
      <c r="B86" s="2591"/>
      <c r="C86" s="2594" t="str">
        <f t="shared" si="0"/>
        <v>年初其他应收款</v>
      </c>
      <c r="D86" s="2591"/>
      <c r="E86" s="2591"/>
      <c r="F86" s="2591"/>
      <c r="G86" s="2591"/>
      <c r="H86" s="2591"/>
      <c r="I86" s="2591"/>
      <c r="J86" s="2591"/>
      <c r="K86" s="2591"/>
      <c r="L86" s="2591"/>
      <c r="M86" s="2591"/>
      <c r="N86" s="2591"/>
      <c r="O86" s="2591"/>
      <c r="P86" s="2591"/>
      <c r="Q86" s="2591"/>
      <c r="R86" s="2591"/>
      <c r="S86" s="2591"/>
    </row>
    <row r="87" hidden="1" spans="1:19">
      <c r="A87" s="2590"/>
      <c r="B87" s="2591"/>
      <c r="C87" s="2594" t="str">
        <f t="shared" si="0"/>
        <v>年初存货</v>
      </c>
      <c r="D87" s="2591"/>
      <c r="E87" s="2591"/>
      <c r="F87" s="2591"/>
      <c r="G87" s="2591"/>
      <c r="H87" s="2591"/>
      <c r="I87" s="2591"/>
      <c r="J87" s="2591"/>
      <c r="K87" s="2591"/>
      <c r="L87" s="2591"/>
      <c r="M87" s="2591"/>
      <c r="N87" s="2591"/>
      <c r="O87" s="2591"/>
      <c r="P87" s="2591"/>
      <c r="Q87" s="2591"/>
      <c r="R87" s="2591"/>
      <c r="S87" s="2591"/>
    </row>
    <row r="88" hidden="1" spans="1:19">
      <c r="A88" s="2590"/>
      <c r="B88" s="2591"/>
      <c r="C88" s="2594" t="str">
        <f t="shared" si="0"/>
        <v>年初一年内到期的非流动资产</v>
      </c>
      <c r="D88" s="2591"/>
      <c r="E88" s="2591"/>
      <c r="F88" s="2591"/>
      <c r="G88" s="2591"/>
      <c r="H88" s="2591"/>
      <c r="I88" s="2591"/>
      <c r="J88" s="2591"/>
      <c r="K88" s="2591"/>
      <c r="L88" s="2591"/>
      <c r="M88" s="2591"/>
      <c r="N88" s="2591"/>
      <c r="O88" s="2591"/>
      <c r="P88" s="2591"/>
      <c r="Q88" s="2591"/>
      <c r="R88" s="2591"/>
      <c r="S88" s="2591"/>
    </row>
    <row r="89" hidden="1" spans="1:19">
      <c r="A89" s="2590"/>
      <c r="B89" s="2591"/>
      <c r="C89" s="2594" t="str">
        <f t="shared" si="0"/>
        <v>年初其他流动资产</v>
      </c>
      <c r="D89" s="2591"/>
      <c r="E89" s="2591"/>
      <c r="F89" s="2591"/>
      <c r="G89" s="2591"/>
      <c r="H89" s="2591"/>
      <c r="I89" s="2591"/>
      <c r="J89" s="2591"/>
      <c r="K89" s="2591"/>
      <c r="L89" s="2591"/>
      <c r="M89" s="2591"/>
      <c r="N89" s="2591"/>
      <c r="O89" s="2591"/>
      <c r="P89" s="2591"/>
      <c r="Q89" s="2591"/>
      <c r="R89" s="2591"/>
      <c r="S89" s="2591"/>
    </row>
    <row r="90" hidden="1" spans="1:19">
      <c r="A90" s="2590"/>
      <c r="B90" s="2591"/>
      <c r="C90" s="2594" t="str">
        <f t="shared" si="0"/>
        <v>年初持有待售资产</v>
      </c>
      <c r="D90" s="2591"/>
      <c r="E90" s="2591"/>
      <c r="F90" s="2591"/>
      <c r="G90" s="2591"/>
      <c r="H90" s="2591"/>
      <c r="I90" s="2591"/>
      <c r="J90" s="2591"/>
      <c r="K90" s="2591"/>
      <c r="L90" s="2591"/>
      <c r="M90" s="2591"/>
      <c r="N90" s="2591"/>
      <c r="O90" s="2591"/>
      <c r="P90" s="2591"/>
      <c r="Q90" s="2591"/>
      <c r="R90" s="2591"/>
      <c r="S90" s="2591"/>
    </row>
    <row r="91" hidden="1" spans="1:19">
      <c r="A91" s="2590"/>
      <c r="B91" s="2591"/>
      <c r="C91" s="2594" t="str">
        <f t="shared" si="0"/>
        <v>年初可供出售金融资产</v>
      </c>
      <c r="D91" s="2591"/>
      <c r="E91" s="2591"/>
      <c r="F91" s="2591"/>
      <c r="G91" s="2591"/>
      <c r="H91" s="2591"/>
      <c r="I91" s="2591"/>
      <c r="J91" s="2591"/>
      <c r="K91" s="2591"/>
      <c r="L91" s="2591"/>
      <c r="M91" s="2591"/>
      <c r="N91" s="2591"/>
      <c r="O91" s="2591"/>
      <c r="P91" s="2591"/>
      <c r="Q91" s="2591"/>
      <c r="R91" s="2591"/>
      <c r="S91" s="2591"/>
    </row>
    <row r="92" hidden="1" spans="1:19">
      <c r="A92" s="2590"/>
      <c r="B92" s="2591"/>
      <c r="C92" s="2594" t="str">
        <f t="shared" si="0"/>
        <v>年初持有至到期投资</v>
      </c>
      <c r="D92" s="2591"/>
      <c r="E92" s="2591"/>
      <c r="F92" s="2591"/>
      <c r="G92" s="2591"/>
      <c r="H92" s="2591"/>
      <c r="I92" s="2591"/>
      <c r="J92" s="2591"/>
      <c r="K92" s="2591"/>
      <c r="L92" s="2591"/>
      <c r="M92" s="2591"/>
      <c r="N92" s="2591"/>
      <c r="O92" s="2591"/>
      <c r="P92" s="2591"/>
      <c r="Q92" s="2591"/>
      <c r="R92" s="2591"/>
      <c r="S92" s="2591"/>
    </row>
    <row r="93" hidden="1" spans="1:19">
      <c r="A93" s="2590"/>
      <c r="B93" s="2591"/>
      <c r="C93" s="2594" t="str">
        <f t="shared" si="0"/>
        <v>年初长期应收款</v>
      </c>
      <c r="D93" s="2591"/>
      <c r="E93" s="2591"/>
      <c r="F93" s="2591"/>
      <c r="G93" s="2591"/>
      <c r="H93" s="2591"/>
      <c r="I93" s="2591"/>
      <c r="J93" s="2591"/>
      <c r="K93" s="2591"/>
      <c r="L93" s="2591"/>
      <c r="M93" s="2591"/>
      <c r="N93" s="2591"/>
      <c r="O93" s="2591"/>
      <c r="P93" s="2591"/>
      <c r="Q93" s="2591"/>
      <c r="R93" s="2591"/>
      <c r="S93" s="2591"/>
    </row>
    <row r="94" hidden="1" spans="1:19">
      <c r="A94" s="2590"/>
      <c r="B94" s="2591"/>
      <c r="C94" s="2594" t="str">
        <f t="shared" si="0"/>
        <v>年初长期股权投资</v>
      </c>
      <c r="D94" s="2591"/>
      <c r="E94" s="2591"/>
      <c r="F94" s="2591"/>
      <c r="G94" s="2591"/>
      <c r="H94" s="2591"/>
      <c r="I94" s="2591"/>
      <c r="J94" s="2591"/>
      <c r="K94" s="2591"/>
      <c r="L94" s="2591"/>
      <c r="M94" s="2591"/>
      <c r="N94" s="2591"/>
      <c r="O94" s="2591"/>
      <c r="P94" s="2591"/>
      <c r="Q94" s="2591"/>
      <c r="R94" s="2591"/>
      <c r="S94" s="2591"/>
    </row>
    <row r="95" hidden="1" spans="1:19">
      <c r="A95" s="2590"/>
      <c r="B95" s="2591"/>
      <c r="C95" s="2594" t="str">
        <f t="shared" si="0"/>
        <v>年初投资性房地产</v>
      </c>
      <c r="D95" s="2591"/>
      <c r="E95" s="2591"/>
      <c r="F95" s="2591"/>
      <c r="G95" s="2591"/>
      <c r="H95" s="2591"/>
      <c r="I95" s="2591"/>
      <c r="J95" s="2591"/>
      <c r="K95" s="2591"/>
      <c r="L95" s="2591"/>
      <c r="M95" s="2591"/>
      <c r="N95" s="2591"/>
      <c r="O95" s="2591"/>
      <c r="P95" s="2591"/>
      <c r="Q95" s="2591"/>
      <c r="R95" s="2591"/>
      <c r="S95" s="2591"/>
    </row>
    <row r="96" hidden="1" spans="1:19">
      <c r="A96" s="2590"/>
      <c r="B96" s="2591"/>
      <c r="C96" s="2594" t="str">
        <f t="shared" si="0"/>
        <v>年初固定资产</v>
      </c>
      <c r="D96" s="2591"/>
      <c r="E96" s="2591"/>
      <c r="F96" s="2591"/>
      <c r="G96" s="2591"/>
      <c r="H96" s="2591"/>
      <c r="I96" s="2591"/>
      <c r="J96" s="2591"/>
      <c r="K96" s="2591"/>
      <c r="L96" s="2591"/>
      <c r="M96" s="2591"/>
      <c r="N96" s="2591"/>
      <c r="O96" s="2591"/>
      <c r="P96" s="2591"/>
      <c r="Q96" s="2591"/>
      <c r="R96" s="2591"/>
      <c r="S96" s="2591"/>
    </row>
    <row r="97" hidden="1" spans="1:19">
      <c r="A97" s="2590"/>
      <c r="B97" s="2591"/>
      <c r="C97" s="2594" t="str">
        <f t="shared" si="0"/>
        <v>年初在建工程</v>
      </c>
      <c r="D97" s="2591"/>
      <c r="E97" s="2591"/>
      <c r="F97" s="2591"/>
      <c r="G97" s="2591"/>
      <c r="H97" s="2591"/>
      <c r="I97" s="2591"/>
      <c r="J97" s="2591"/>
      <c r="K97" s="2591"/>
      <c r="L97" s="2591"/>
      <c r="M97" s="2591"/>
      <c r="N97" s="2591"/>
      <c r="O97" s="2591"/>
      <c r="P97" s="2591"/>
      <c r="Q97" s="2591"/>
      <c r="R97" s="2591"/>
      <c r="S97" s="2591"/>
    </row>
    <row r="98" hidden="1" spans="1:19">
      <c r="A98" s="2590"/>
      <c r="B98" s="2591"/>
      <c r="C98" s="2594" t="str">
        <f t="shared" si="0"/>
        <v>年初工程物资</v>
      </c>
      <c r="D98" s="2591"/>
      <c r="E98" s="2591"/>
      <c r="F98" s="2591"/>
      <c r="G98" s="2591"/>
      <c r="H98" s="2591"/>
      <c r="I98" s="2591"/>
      <c r="J98" s="2591"/>
      <c r="K98" s="2591"/>
      <c r="L98" s="2591"/>
      <c r="M98" s="2591"/>
      <c r="N98" s="2591"/>
      <c r="O98" s="2591"/>
      <c r="P98" s="2591"/>
      <c r="Q98" s="2591"/>
      <c r="R98" s="2591"/>
      <c r="S98" s="2591"/>
    </row>
    <row r="99" hidden="1" spans="1:19">
      <c r="A99" s="2590"/>
      <c r="B99" s="2591"/>
      <c r="C99" s="2594" t="str">
        <f t="shared" si="0"/>
        <v>年初固定资产清理</v>
      </c>
      <c r="D99" s="2591"/>
      <c r="E99" s="2591"/>
      <c r="F99" s="2591"/>
      <c r="G99" s="2591"/>
      <c r="H99" s="2591"/>
      <c r="I99" s="2591"/>
      <c r="J99" s="2591"/>
      <c r="K99" s="2591"/>
      <c r="L99" s="2591"/>
      <c r="M99" s="2591"/>
      <c r="N99" s="2591"/>
      <c r="O99" s="2591"/>
      <c r="P99" s="2591"/>
      <c r="Q99" s="2591"/>
      <c r="R99" s="2591"/>
      <c r="S99" s="2591"/>
    </row>
    <row r="100" hidden="1" spans="1:19">
      <c r="A100" s="2590"/>
      <c r="B100" s="2591"/>
      <c r="C100" s="2594" t="str">
        <f t="shared" si="0"/>
        <v>年初生产性生物资产</v>
      </c>
      <c r="D100" s="2591"/>
      <c r="E100" s="2591"/>
      <c r="F100" s="2591"/>
      <c r="G100" s="2591"/>
      <c r="H100" s="2591"/>
      <c r="I100" s="2591"/>
      <c r="J100" s="2591"/>
      <c r="K100" s="2591"/>
      <c r="L100" s="2591"/>
      <c r="M100" s="2591"/>
      <c r="N100" s="2591"/>
      <c r="O100" s="2591"/>
      <c r="P100" s="2591"/>
      <c r="Q100" s="2591"/>
      <c r="R100" s="2591"/>
      <c r="S100" s="2591"/>
    </row>
    <row r="101" hidden="1" spans="1:19">
      <c r="A101" s="2590"/>
      <c r="B101" s="2591"/>
      <c r="C101" s="2594" t="str">
        <f t="shared" si="0"/>
        <v>年初油气资产</v>
      </c>
      <c r="D101" s="2591"/>
      <c r="E101" s="2591"/>
      <c r="F101" s="2591"/>
      <c r="G101" s="2591"/>
      <c r="H101" s="2591"/>
      <c r="I101" s="2591"/>
      <c r="J101" s="2591"/>
      <c r="K101" s="2591"/>
      <c r="L101" s="2591"/>
      <c r="M101" s="2591"/>
      <c r="N101" s="2591"/>
      <c r="O101" s="2591"/>
      <c r="P101" s="2591"/>
      <c r="Q101" s="2591"/>
      <c r="R101" s="2591"/>
      <c r="S101" s="2591"/>
    </row>
    <row r="102" hidden="1" spans="1:19">
      <c r="A102" s="2590"/>
      <c r="B102" s="2591"/>
      <c r="C102" s="2594" t="str">
        <f t="shared" si="0"/>
        <v>年初无形资产</v>
      </c>
      <c r="D102" s="2591"/>
      <c r="E102" s="2591"/>
      <c r="F102" s="2591"/>
      <c r="G102" s="2591"/>
      <c r="H102" s="2591"/>
      <c r="I102" s="2591"/>
      <c r="J102" s="2591"/>
      <c r="K102" s="2591"/>
      <c r="L102" s="2591"/>
      <c r="M102" s="2591"/>
      <c r="N102" s="2591"/>
      <c r="O102" s="2591"/>
      <c r="P102" s="2591"/>
      <c r="Q102" s="2591"/>
      <c r="R102" s="2591"/>
      <c r="S102" s="2591"/>
    </row>
    <row r="103" hidden="1" spans="1:19">
      <c r="A103" s="2590"/>
      <c r="B103" s="2591"/>
      <c r="C103" s="2594" t="str">
        <f t="shared" si="0"/>
        <v>年初开发支出</v>
      </c>
      <c r="D103" s="2591"/>
      <c r="E103" s="2591"/>
      <c r="F103" s="2591"/>
      <c r="G103" s="2591"/>
      <c r="H103" s="2591"/>
      <c r="I103" s="2591"/>
      <c r="J103" s="2591"/>
      <c r="K103" s="2591"/>
      <c r="L103" s="2591"/>
      <c r="M103" s="2591"/>
      <c r="N103" s="2591"/>
      <c r="O103" s="2591"/>
      <c r="P103" s="2591"/>
      <c r="Q103" s="2591"/>
      <c r="R103" s="2591"/>
      <c r="S103" s="2591"/>
    </row>
    <row r="104" hidden="1" spans="1:19">
      <c r="A104" s="2590"/>
      <c r="B104" s="2591"/>
      <c r="C104" s="2594" t="str">
        <f t="shared" si="0"/>
        <v>年初商誉</v>
      </c>
      <c r="D104" s="2591"/>
      <c r="E104" s="2591"/>
      <c r="F104" s="2591"/>
      <c r="G104" s="2591"/>
      <c r="H104" s="2591"/>
      <c r="I104" s="2591"/>
      <c r="J104" s="2591"/>
      <c r="K104" s="2591"/>
      <c r="L104" s="2591"/>
      <c r="M104" s="2591"/>
      <c r="N104" s="2591"/>
      <c r="O104" s="2591"/>
      <c r="P104" s="2591"/>
      <c r="Q104" s="2591"/>
      <c r="R104" s="2591"/>
      <c r="S104" s="2591"/>
    </row>
    <row r="105" hidden="1" spans="1:19">
      <c r="A105" s="2590"/>
      <c r="B105" s="2591"/>
      <c r="C105" s="2594" t="str">
        <f t="shared" si="0"/>
        <v>年初长期待摊费用</v>
      </c>
      <c r="D105" s="2591"/>
      <c r="E105" s="2591"/>
      <c r="F105" s="2591"/>
      <c r="G105" s="2591"/>
      <c r="H105" s="2591"/>
      <c r="I105" s="2591"/>
      <c r="J105" s="2591"/>
      <c r="K105" s="2591"/>
      <c r="L105" s="2591"/>
      <c r="M105" s="2591"/>
      <c r="N105" s="2591"/>
      <c r="O105" s="2591"/>
      <c r="P105" s="2591"/>
      <c r="Q105" s="2591"/>
      <c r="R105" s="2591"/>
      <c r="S105" s="2591"/>
    </row>
    <row r="106" hidden="1" spans="1:19">
      <c r="A106" s="2590"/>
      <c r="B106" s="2591"/>
      <c r="C106" s="2594" t="str">
        <f t="shared" si="0"/>
        <v>年初递延所得税资产</v>
      </c>
      <c r="D106" s="2591"/>
      <c r="E106" s="2591"/>
      <c r="F106" s="2591"/>
      <c r="G106" s="2591"/>
      <c r="H106" s="2591"/>
      <c r="I106" s="2591"/>
      <c r="J106" s="2591"/>
      <c r="K106" s="2591"/>
      <c r="L106" s="2591"/>
      <c r="M106" s="2591"/>
      <c r="N106" s="2591"/>
      <c r="O106" s="2591"/>
      <c r="P106" s="2591"/>
      <c r="Q106" s="2591"/>
      <c r="R106" s="2591"/>
      <c r="S106" s="2591"/>
    </row>
    <row r="107" hidden="1" spans="1:19">
      <c r="A107" s="2590"/>
      <c r="B107" s="2591"/>
      <c r="C107" s="2594" t="str">
        <f t="shared" si="0"/>
        <v>年初其他非流动资产</v>
      </c>
      <c r="D107" s="2591"/>
      <c r="E107" s="2591"/>
      <c r="F107" s="2591"/>
      <c r="G107" s="2591"/>
      <c r="H107" s="2591"/>
      <c r="I107" s="2591"/>
      <c r="J107" s="2591"/>
      <c r="K107" s="2591"/>
      <c r="L107" s="2591"/>
      <c r="M107" s="2591"/>
      <c r="N107" s="2591"/>
      <c r="O107" s="2591"/>
      <c r="P107" s="2591"/>
      <c r="Q107" s="2591"/>
      <c r="R107" s="2591"/>
      <c r="S107" s="2591"/>
    </row>
    <row r="108" hidden="1" spans="1:19">
      <c r="A108" s="2590"/>
      <c r="B108" s="2591"/>
      <c r="C108" s="2594" t="str">
        <f t="shared" si="0"/>
        <v/>
      </c>
      <c r="D108" s="2591"/>
      <c r="E108" s="2591"/>
      <c r="F108" s="2591"/>
      <c r="G108" s="2591"/>
      <c r="H108" s="2591"/>
      <c r="I108" s="2591"/>
      <c r="J108" s="2591"/>
      <c r="K108" s="2591"/>
      <c r="L108" s="2591"/>
      <c r="M108" s="2591"/>
      <c r="N108" s="2591"/>
      <c r="O108" s="2591"/>
      <c r="P108" s="2591"/>
      <c r="Q108" s="2591"/>
      <c r="R108" s="2591"/>
      <c r="S108" s="2591"/>
    </row>
    <row r="109" hidden="1" spans="1:19">
      <c r="A109" s="2590"/>
      <c r="B109" s="2591"/>
      <c r="C109" s="2594" t="str">
        <f t="shared" si="0"/>
        <v>年初短期借款</v>
      </c>
      <c r="D109" s="2591"/>
      <c r="E109" s="2591"/>
      <c r="F109" s="2591"/>
      <c r="G109" s="2591"/>
      <c r="H109" s="2591"/>
      <c r="I109" s="2591"/>
      <c r="J109" s="2591"/>
      <c r="K109" s="2591"/>
      <c r="L109" s="2591"/>
      <c r="M109" s="2591"/>
      <c r="N109" s="2591"/>
      <c r="O109" s="2591"/>
      <c r="P109" s="2591"/>
      <c r="Q109" s="2591"/>
      <c r="R109" s="2591"/>
      <c r="S109" s="2591"/>
    </row>
    <row r="110" hidden="1" spans="1:19">
      <c r="A110" s="2590"/>
      <c r="B110" s="2591"/>
      <c r="C110" s="2594" t="str">
        <f t="shared" si="0"/>
        <v>年初交易性金融负债</v>
      </c>
      <c r="D110" s="2591"/>
      <c r="E110" s="2591"/>
      <c r="F110" s="2591"/>
      <c r="G110" s="2591"/>
      <c r="H110" s="2591"/>
      <c r="I110" s="2591"/>
      <c r="J110" s="2591"/>
      <c r="K110" s="2591"/>
      <c r="L110" s="2591"/>
      <c r="M110" s="2591"/>
      <c r="N110" s="2591"/>
      <c r="O110" s="2591"/>
      <c r="P110" s="2591"/>
      <c r="Q110" s="2591"/>
      <c r="R110" s="2591"/>
      <c r="S110" s="2591"/>
    </row>
    <row r="111" hidden="1" spans="1:19">
      <c r="A111" s="2590"/>
      <c r="B111" s="2591"/>
      <c r="C111" s="2594" t="str">
        <f t="shared" ref="C111:C136" si="1">IF(C34&lt;&gt;0,"年初"&amp;C34,"")</f>
        <v>年初应付票据</v>
      </c>
      <c r="D111" s="2591"/>
      <c r="E111" s="2591"/>
      <c r="F111" s="2591"/>
      <c r="G111" s="2591"/>
      <c r="H111" s="2591"/>
      <c r="I111" s="2591"/>
      <c r="J111" s="2591"/>
      <c r="K111" s="2591"/>
      <c r="L111" s="2591"/>
      <c r="M111" s="2591"/>
      <c r="N111" s="2591"/>
      <c r="O111" s="2591"/>
      <c r="P111" s="2591"/>
      <c r="Q111" s="2591"/>
      <c r="R111" s="2591"/>
      <c r="S111" s="2591"/>
    </row>
    <row r="112" hidden="1" spans="1:19">
      <c r="A112" s="2590"/>
      <c r="B112" s="2591"/>
      <c r="C112" s="2594" t="str">
        <f t="shared" si="1"/>
        <v>年初应付账款</v>
      </c>
      <c r="D112" s="2591"/>
      <c r="E112" s="2591"/>
      <c r="F112" s="2591"/>
      <c r="G112" s="2591"/>
      <c r="H112" s="2591"/>
      <c r="I112" s="2591"/>
      <c r="J112" s="2591"/>
      <c r="K112" s="2591"/>
      <c r="L112" s="2591"/>
      <c r="M112" s="2591"/>
      <c r="N112" s="2591"/>
      <c r="O112" s="2591"/>
      <c r="P112" s="2591"/>
      <c r="Q112" s="2591"/>
      <c r="R112" s="2591"/>
      <c r="S112" s="2591"/>
    </row>
    <row r="113" hidden="1" spans="1:19">
      <c r="A113" s="2590"/>
      <c r="B113" s="2591"/>
      <c r="C113" s="2594" t="str">
        <f t="shared" si="1"/>
        <v>年初预收款项</v>
      </c>
      <c r="D113" s="2591"/>
      <c r="E113" s="2591"/>
      <c r="F113" s="2591"/>
      <c r="G113" s="2591"/>
      <c r="H113" s="2591"/>
      <c r="I113" s="2591"/>
      <c r="J113" s="2591"/>
      <c r="K113" s="2591"/>
      <c r="L113" s="2591"/>
      <c r="M113" s="2591"/>
      <c r="N113" s="2591"/>
      <c r="O113" s="2591"/>
      <c r="P113" s="2591"/>
      <c r="Q113" s="2591"/>
      <c r="R113" s="2591"/>
      <c r="S113" s="2591"/>
    </row>
    <row r="114" hidden="1" spans="1:19">
      <c r="A114" s="2590"/>
      <c r="B114" s="2591"/>
      <c r="C114" s="2594" t="str">
        <f t="shared" si="1"/>
        <v>年初应付职工薪酬</v>
      </c>
      <c r="D114" s="2591"/>
      <c r="E114" s="2591"/>
      <c r="F114" s="2591"/>
      <c r="G114" s="2591"/>
      <c r="H114" s="2591"/>
      <c r="I114" s="2591"/>
      <c r="J114" s="2591"/>
      <c r="K114" s="2591"/>
      <c r="L114" s="2591"/>
      <c r="M114" s="2591"/>
      <c r="N114" s="2591"/>
      <c r="O114" s="2591"/>
      <c r="P114" s="2591"/>
      <c r="Q114" s="2591"/>
      <c r="R114" s="2591"/>
      <c r="S114" s="2591"/>
    </row>
    <row r="115" hidden="1" spans="1:19">
      <c r="A115" s="2590"/>
      <c r="B115" s="2591"/>
      <c r="C115" s="2594" t="str">
        <f t="shared" si="1"/>
        <v>年初应交税费</v>
      </c>
      <c r="D115" s="2591"/>
      <c r="E115" s="2591"/>
      <c r="F115" s="2591"/>
      <c r="G115" s="2591"/>
      <c r="H115" s="2591"/>
      <c r="I115" s="2591"/>
      <c r="J115" s="2591"/>
      <c r="K115" s="2591"/>
      <c r="L115" s="2591"/>
      <c r="M115" s="2591"/>
      <c r="N115" s="2591"/>
      <c r="O115" s="2591"/>
      <c r="P115" s="2591"/>
      <c r="Q115" s="2591"/>
      <c r="R115" s="2591"/>
      <c r="S115" s="2591"/>
    </row>
    <row r="116" hidden="1" spans="1:19">
      <c r="A116" s="2590"/>
      <c r="B116" s="2591"/>
      <c r="C116" s="2594" t="str">
        <f t="shared" si="1"/>
        <v>年初应付利息</v>
      </c>
      <c r="D116" s="2591"/>
      <c r="E116" s="2591"/>
      <c r="F116" s="2591"/>
      <c r="G116" s="2591"/>
      <c r="H116" s="2591"/>
      <c r="I116" s="2591"/>
      <c r="J116" s="2591"/>
      <c r="K116" s="2591"/>
      <c r="L116" s="2591"/>
      <c r="M116" s="2591"/>
      <c r="N116" s="2591"/>
      <c r="O116" s="2591"/>
      <c r="P116" s="2591"/>
      <c r="Q116" s="2591"/>
      <c r="R116" s="2591"/>
      <c r="S116" s="2591"/>
    </row>
    <row r="117" hidden="1" spans="1:19">
      <c r="A117" s="2590"/>
      <c r="B117" s="2591"/>
      <c r="C117" s="2594" t="str">
        <f t="shared" si="1"/>
        <v>年初应付股利</v>
      </c>
      <c r="D117" s="2591"/>
      <c r="E117" s="2591"/>
      <c r="F117" s="2591"/>
      <c r="G117" s="2591"/>
      <c r="H117" s="2591"/>
      <c r="I117" s="2591"/>
      <c r="J117" s="2591"/>
      <c r="K117" s="2591"/>
      <c r="L117" s="2591"/>
      <c r="M117" s="2591"/>
      <c r="N117" s="2591"/>
      <c r="O117" s="2591"/>
      <c r="P117" s="2591"/>
      <c r="Q117" s="2591"/>
      <c r="R117" s="2591"/>
      <c r="S117" s="2591"/>
    </row>
    <row r="118" hidden="1" spans="1:19">
      <c r="A118" s="2590"/>
      <c r="B118" s="2591"/>
      <c r="C118" s="2594" t="str">
        <f t="shared" si="1"/>
        <v>年初其他应付款</v>
      </c>
      <c r="D118" s="2591"/>
      <c r="E118" s="2591"/>
      <c r="F118" s="2591"/>
      <c r="G118" s="2591"/>
      <c r="H118" s="2591"/>
      <c r="I118" s="2591"/>
      <c r="J118" s="2591"/>
      <c r="K118" s="2591"/>
      <c r="L118" s="2591"/>
      <c r="M118" s="2591"/>
      <c r="N118" s="2591"/>
      <c r="O118" s="2591"/>
      <c r="P118" s="2591"/>
      <c r="Q118" s="2591"/>
      <c r="R118" s="2591"/>
      <c r="S118" s="2591"/>
    </row>
    <row r="119" hidden="1" spans="1:19">
      <c r="A119" s="2590"/>
      <c r="B119" s="2591"/>
      <c r="C119" s="2594" t="str">
        <f t="shared" si="1"/>
        <v>年初一年内到期的非流动负债</v>
      </c>
      <c r="D119" s="2591"/>
      <c r="E119" s="2591"/>
      <c r="F119" s="2591"/>
      <c r="G119" s="2591"/>
      <c r="H119" s="2591"/>
      <c r="I119" s="2591"/>
      <c r="J119" s="2591"/>
      <c r="K119" s="2591"/>
      <c r="L119" s="2591"/>
      <c r="M119" s="2591"/>
      <c r="N119" s="2591"/>
      <c r="O119" s="2591"/>
      <c r="P119" s="2591"/>
      <c r="Q119" s="2591"/>
      <c r="R119" s="2591"/>
      <c r="S119" s="2591"/>
    </row>
    <row r="120" hidden="1" spans="1:19">
      <c r="A120" s="2590"/>
      <c r="B120" s="2591"/>
      <c r="C120" s="2594" t="str">
        <f t="shared" si="1"/>
        <v>年初其他流动负债</v>
      </c>
      <c r="D120" s="2591"/>
      <c r="E120" s="2591"/>
      <c r="F120" s="2591"/>
      <c r="G120" s="2591"/>
      <c r="H120" s="2591"/>
      <c r="I120" s="2591"/>
      <c r="J120" s="2591"/>
      <c r="K120" s="2591"/>
      <c r="L120" s="2591"/>
      <c r="M120" s="2591"/>
      <c r="N120" s="2591"/>
      <c r="O120" s="2591"/>
      <c r="P120" s="2591"/>
      <c r="Q120" s="2591"/>
      <c r="R120" s="2591"/>
      <c r="S120" s="2591"/>
    </row>
    <row r="121" hidden="1" spans="1:19">
      <c r="A121" s="2590"/>
      <c r="B121" s="2591"/>
      <c r="C121" s="2594" t="str">
        <f t="shared" si="1"/>
        <v>年初持有待售负债</v>
      </c>
      <c r="D121" s="2591"/>
      <c r="E121" s="2591"/>
      <c r="F121" s="2591"/>
      <c r="G121" s="2591"/>
      <c r="H121" s="2591"/>
      <c r="I121" s="2591"/>
      <c r="J121" s="2591"/>
      <c r="K121" s="2591"/>
      <c r="L121" s="2591"/>
      <c r="M121" s="2591"/>
      <c r="N121" s="2591"/>
      <c r="O121" s="2591"/>
      <c r="P121" s="2591"/>
      <c r="Q121" s="2591"/>
      <c r="R121" s="2591"/>
      <c r="S121" s="2591"/>
    </row>
    <row r="122" hidden="1" spans="1:19">
      <c r="A122" s="2590"/>
      <c r="B122" s="2591"/>
      <c r="C122" s="2594" t="str">
        <f t="shared" si="1"/>
        <v>年初长期借款</v>
      </c>
      <c r="D122" s="2591"/>
      <c r="E122" s="2591"/>
      <c r="F122" s="2591"/>
      <c r="G122" s="2591"/>
      <c r="H122" s="2591"/>
      <c r="I122" s="2591"/>
      <c r="J122" s="2591"/>
      <c r="K122" s="2591"/>
      <c r="L122" s="2591"/>
      <c r="M122" s="2591"/>
      <c r="N122" s="2591"/>
      <c r="O122" s="2591"/>
      <c r="P122" s="2591"/>
      <c r="Q122" s="2591"/>
      <c r="R122" s="2591"/>
      <c r="S122" s="2591"/>
    </row>
    <row r="123" hidden="1" spans="1:19">
      <c r="A123" s="2590"/>
      <c r="B123" s="2591"/>
      <c r="C123" s="2594" t="str">
        <f t="shared" si="1"/>
        <v>年初应付债券</v>
      </c>
      <c r="D123" s="2591"/>
      <c r="E123" s="2591"/>
      <c r="F123" s="2591"/>
      <c r="G123" s="2591"/>
      <c r="H123" s="2591"/>
      <c r="I123" s="2591"/>
      <c r="J123" s="2591"/>
      <c r="K123" s="2591"/>
      <c r="L123" s="2591"/>
      <c r="M123" s="2591"/>
      <c r="N123" s="2591"/>
      <c r="O123" s="2591"/>
      <c r="P123" s="2591"/>
      <c r="Q123" s="2591"/>
      <c r="R123" s="2591"/>
      <c r="S123" s="2591"/>
    </row>
    <row r="124" hidden="1" spans="1:19">
      <c r="A124" s="2590"/>
      <c r="B124" s="2591"/>
      <c r="C124" s="2594" t="str">
        <f t="shared" si="1"/>
        <v>年初长期应付款</v>
      </c>
      <c r="D124" s="2591"/>
      <c r="E124" s="2591"/>
      <c r="F124" s="2591"/>
      <c r="G124" s="2591"/>
      <c r="H124" s="2591"/>
      <c r="I124" s="2591"/>
      <c r="J124" s="2591"/>
      <c r="K124" s="2591"/>
      <c r="L124" s="2591"/>
      <c r="M124" s="2591"/>
      <c r="N124" s="2591"/>
      <c r="O124" s="2591"/>
      <c r="P124" s="2591"/>
      <c r="Q124" s="2591"/>
      <c r="R124" s="2591"/>
      <c r="S124" s="2591"/>
    </row>
    <row r="125" hidden="1" spans="1:19">
      <c r="A125" s="2590"/>
      <c r="B125" s="2591"/>
      <c r="C125" s="2594" t="str">
        <f t="shared" si="1"/>
        <v>年初专项应付款</v>
      </c>
      <c r="D125" s="2591"/>
      <c r="E125" s="2591"/>
      <c r="F125" s="2591"/>
      <c r="G125" s="2591"/>
      <c r="H125" s="2591"/>
      <c r="I125" s="2591"/>
      <c r="J125" s="2591"/>
      <c r="K125" s="2591"/>
      <c r="L125" s="2591"/>
      <c r="M125" s="2591"/>
      <c r="N125" s="2591"/>
      <c r="O125" s="2591"/>
      <c r="P125" s="2591"/>
      <c r="Q125" s="2591"/>
      <c r="R125" s="2591"/>
      <c r="S125" s="2591"/>
    </row>
    <row r="126" hidden="1" spans="1:19">
      <c r="A126" s="2590"/>
      <c r="B126" s="2591"/>
      <c r="C126" s="2594" t="str">
        <f t="shared" si="1"/>
        <v>年初预计负债</v>
      </c>
      <c r="D126" s="2591"/>
      <c r="E126" s="2591"/>
      <c r="F126" s="2591"/>
      <c r="G126" s="2591"/>
      <c r="H126" s="2591"/>
      <c r="I126" s="2591"/>
      <c r="J126" s="2591"/>
      <c r="K126" s="2591"/>
      <c r="L126" s="2591"/>
      <c r="M126" s="2591"/>
      <c r="N126" s="2591"/>
      <c r="O126" s="2591"/>
      <c r="P126" s="2591"/>
      <c r="Q126" s="2591"/>
      <c r="R126" s="2591"/>
      <c r="S126" s="2591"/>
    </row>
    <row r="127" hidden="1" spans="1:19">
      <c r="A127" s="2590"/>
      <c r="B127" s="2591"/>
      <c r="C127" s="2594" t="str">
        <f t="shared" si="1"/>
        <v>年初递延所得税负债</v>
      </c>
      <c r="D127" s="2591"/>
      <c r="E127" s="2591"/>
      <c r="F127" s="2591"/>
      <c r="G127" s="2591"/>
      <c r="H127" s="2591"/>
      <c r="I127" s="2591"/>
      <c r="J127" s="2591"/>
      <c r="K127" s="2591"/>
      <c r="L127" s="2591"/>
      <c r="M127" s="2591"/>
      <c r="N127" s="2591"/>
      <c r="O127" s="2591"/>
      <c r="P127" s="2591"/>
      <c r="Q127" s="2591"/>
      <c r="R127" s="2591"/>
      <c r="S127" s="2591"/>
    </row>
    <row r="128" hidden="1" spans="1:19">
      <c r="A128" s="2590"/>
      <c r="B128" s="2591"/>
      <c r="C128" s="2594" t="str">
        <f t="shared" si="1"/>
        <v>年初其他非流动负债</v>
      </c>
      <c r="D128" s="2591"/>
      <c r="E128" s="2591"/>
      <c r="F128" s="2591"/>
      <c r="G128" s="2591"/>
      <c r="H128" s="2591"/>
      <c r="I128" s="2591"/>
      <c r="J128" s="2591"/>
      <c r="K128" s="2591"/>
      <c r="L128" s="2591"/>
      <c r="M128" s="2591"/>
      <c r="N128" s="2591"/>
      <c r="O128" s="2591"/>
      <c r="P128" s="2591"/>
      <c r="Q128" s="2591"/>
      <c r="R128" s="2591"/>
      <c r="S128" s="2591"/>
    </row>
    <row r="129" hidden="1" spans="1:19">
      <c r="A129" s="2590"/>
      <c r="B129" s="2591"/>
      <c r="C129" s="2594" t="str">
        <f t="shared" si="1"/>
        <v>年初递延收益</v>
      </c>
      <c r="D129" s="2591"/>
      <c r="E129" s="2591"/>
      <c r="F129" s="2591"/>
      <c r="G129" s="2591"/>
      <c r="H129" s="2591"/>
      <c r="I129" s="2591"/>
      <c r="J129" s="2591"/>
      <c r="K129" s="2591"/>
      <c r="L129" s="2591"/>
      <c r="M129" s="2591"/>
      <c r="N129" s="2591"/>
      <c r="O129" s="2591"/>
      <c r="P129" s="2591"/>
      <c r="Q129" s="2591"/>
      <c r="R129" s="2591"/>
      <c r="S129" s="2591"/>
    </row>
    <row r="130" hidden="1" spans="1:19">
      <c r="A130" s="2590"/>
      <c r="B130" s="2591"/>
      <c r="C130" s="2594" t="str">
        <f t="shared" si="1"/>
        <v>年初实收资本（或股本）</v>
      </c>
      <c r="D130" s="2591"/>
      <c r="E130" s="2591"/>
      <c r="F130" s="2591"/>
      <c r="G130" s="2591"/>
      <c r="H130" s="2591"/>
      <c r="I130" s="2591"/>
      <c r="J130" s="2591"/>
      <c r="K130" s="2591"/>
      <c r="L130" s="2591"/>
      <c r="M130" s="2591"/>
      <c r="N130" s="2591"/>
      <c r="O130" s="2591"/>
      <c r="P130" s="2591"/>
      <c r="Q130" s="2591"/>
      <c r="R130" s="2591"/>
      <c r="S130" s="2591"/>
    </row>
    <row r="131" hidden="1" spans="1:19">
      <c r="A131" s="2590"/>
      <c r="B131" s="2591"/>
      <c r="C131" s="2594" t="str">
        <f t="shared" si="1"/>
        <v>年初资本公积</v>
      </c>
      <c r="D131" s="2591"/>
      <c r="E131" s="2591"/>
      <c r="F131" s="2591"/>
      <c r="G131" s="2591"/>
      <c r="H131" s="2591"/>
      <c r="I131" s="2591"/>
      <c r="J131" s="2591"/>
      <c r="K131" s="2591"/>
      <c r="L131" s="2591"/>
      <c r="M131" s="2591"/>
      <c r="N131" s="2591"/>
      <c r="O131" s="2591"/>
      <c r="P131" s="2591"/>
      <c r="Q131" s="2591"/>
      <c r="R131" s="2591"/>
      <c r="S131" s="2591"/>
    </row>
    <row r="132" hidden="1" spans="1:19">
      <c r="A132" s="2590"/>
      <c r="B132" s="2591"/>
      <c r="C132" s="2594" t="str">
        <f t="shared" si="1"/>
        <v>年初库存股</v>
      </c>
      <c r="D132" s="2591"/>
      <c r="E132" s="2591"/>
      <c r="F132" s="2591"/>
      <c r="G132" s="2591"/>
      <c r="H132" s="2591"/>
      <c r="I132" s="2591"/>
      <c r="J132" s="2591"/>
      <c r="K132" s="2591"/>
      <c r="L132" s="2591"/>
      <c r="M132" s="2591"/>
      <c r="N132" s="2591"/>
      <c r="O132" s="2591"/>
      <c r="P132" s="2591"/>
      <c r="Q132" s="2591"/>
      <c r="R132" s="2591"/>
      <c r="S132" s="2591"/>
    </row>
    <row r="133" hidden="1" spans="1:19">
      <c r="A133" s="2590"/>
      <c r="B133" s="2591"/>
      <c r="C133" s="2594" t="str">
        <f t="shared" si="1"/>
        <v>年初盈余公积</v>
      </c>
      <c r="D133" s="2591"/>
      <c r="E133" s="2591"/>
      <c r="F133" s="2591"/>
      <c r="G133" s="2591"/>
      <c r="H133" s="2591"/>
      <c r="I133" s="2591"/>
      <c r="J133" s="2591"/>
      <c r="K133" s="2591"/>
      <c r="L133" s="2591"/>
      <c r="M133" s="2591"/>
      <c r="N133" s="2591"/>
      <c r="O133" s="2591"/>
      <c r="P133" s="2591"/>
      <c r="Q133" s="2591"/>
      <c r="R133" s="2591"/>
      <c r="S133" s="2591"/>
    </row>
    <row r="134" hidden="1" spans="1:19">
      <c r="A134" s="2590"/>
      <c r="B134" s="2591"/>
      <c r="C134" s="2594" t="s">
        <v>1468</v>
      </c>
      <c r="D134" s="2591"/>
      <c r="E134" s="2591"/>
      <c r="F134" s="2591"/>
      <c r="G134" s="2591"/>
      <c r="H134" s="2591"/>
      <c r="I134" s="2591"/>
      <c r="J134" s="2591"/>
      <c r="K134" s="2591"/>
      <c r="L134" s="2591"/>
      <c r="M134" s="2591"/>
      <c r="N134" s="2591"/>
      <c r="O134" s="2591"/>
      <c r="P134" s="2591"/>
      <c r="Q134" s="2591"/>
      <c r="R134" s="2591"/>
      <c r="S134" s="2591"/>
    </row>
    <row r="135" hidden="1" spans="1:19">
      <c r="A135" s="2590"/>
      <c r="B135" s="2591"/>
      <c r="C135" s="2594" t="str">
        <f t="shared" si="1"/>
        <v>年初外币报表折算差额</v>
      </c>
      <c r="D135" s="2591"/>
      <c r="E135" s="2591"/>
      <c r="F135" s="2591"/>
      <c r="G135" s="2591"/>
      <c r="H135" s="2591"/>
      <c r="I135" s="2591"/>
      <c r="J135" s="2591"/>
      <c r="K135" s="2591"/>
      <c r="L135" s="2591"/>
      <c r="M135" s="2591"/>
      <c r="N135" s="2591"/>
      <c r="O135" s="2591"/>
      <c r="P135" s="2591"/>
      <c r="Q135" s="2591"/>
      <c r="R135" s="2591"/>
      <c r="S135" s="2591"/>
    </row>
    <row r="136" hidden="1" spans="1:19">
      <c r="A136" s="2590"/>
      <c r="B136" s="2591"/>
      <c r="C136" s="2594" t="str">
        <f t="shared" si="1"/>
        <v>年初其他综合收益</v>
      </c>
      <c r="D136" s="2591"/>
      <c r="E136" s="2591"/>
      <c r="F136" s="2591"/>
      <c r="G136" s="2591"/>
      <c r="H136" s="2591"/>
      <c r="I136" s="2591"/>
      <c r="J136" s="2591"/>
      <c r="K136" s="2591"/>
      <c r="L136" s="2591"/>
      <c r="M136" s="2591"/>
      <c r="N136" s="2591"/>
      <c r="O136" s="2591"/>
      <c r="P136" s="2591"/>
      <c r="Q136" s="2591"/>
      <c r="R136" s="2591"/>
      <c r="S136" s="2591"/>
    </row>
    <row r="137" hidden="1" spans="1:19">
      <c r="A137" s="2590"/>
      <c r="B137" s="2591"/>
      <c r="C137" s="2594" t="str">
        <f t="shared" ref="C137:C146" si="2">IF(C60&lt;&gt;0,"上年"&amp;C60,"")</f>
        <v>上年营业收入</v>
      </c>
      <c r="D137" s="2591"/>
      <c r="E137" s="2591"/>
      <c r="F137" s="2591"/>
      <c r="G137" s="2591"/>
      <c r="H137" s="2591"/>
      <c r="I137" s="2591"/>
      <c r="J137" s="2591"/>
      <c r="K137" s="2591"/>
      <c r="L137" s="2591"/>
      <c r="M137" s="2591"/>
      <c r="N137" s="2591"/>
      <c r="O137" s="2591"/>
      <c r="P137" s="2591"/>
      <c r="Q137" s="2591"/>
      <c r="R137" s="2591"/>
      <c r="S137" s="2591"/>
    </row>
    <row r="138" hidden="1" spans="1:19">
      <c r="A138" s="2590"/>
      <c r="B138" s="2591"/>
      <c r="C138" s="2594" t="str">
        <f t="shared" si="2"/>
        <v>上年营业成本</v>
      </c>
      <c r="D138" s="2591"/>
      <c r="E138" s="2591"/>
      <c r="F138" s="2591"/>
      <c r="G138" s="2591"/>
      <c r="H138" s="2591"/>
      <c r="I138" s="2591"/>
      <c r="J138" s="2591"/>
      <c r="K138" s="2591"/>
      <c r="L138" s="2591"/>
      <c r="M138" s="2591"/>
      <c r="N138" s="2591"/>
      <c r="O138" s="2591"/>
      <c r="P138" s="2591"/>
      <c r="Q138" s="2591"/>
      <c r="R138" s="2591"/>
      <c r="S138" s="2591"/>
    </row>
    <row r="139" hidden="1" spans="1:19">
      <c r="A139" s="2590"/>
      <c r="B139" s="2591"/>
      <c r="C139" s="2594" t="str">
        <f t="shared" si="2"/>
        <v>上年营业税金及附加</v>
      </c>
      <c r="D139" s="2591"/>
      <c r="E139" s="2591"/>
      <c r="F139" s="2591"/>
      <c r="G139" s="2591"/>
      <c r="H139" s="2591"/>
      <c r="I139" s="2591"/>
      <c r="J139" s="2591"/>
      <c r="K139" s="2591"/>
      <c r="L139" s="2591"/>
      <c r="M139" s="2591"/>
      <c r="N139" s="2591"/>
      <c r="O139" s="2591"/>
      <c r="P139" s="2591"/>
      <c r="Q139" s="2591"/>
      <c r="R139" s="2591"/>
      <c r="S139" s="2591"/>
    </row>
    <row r="140" hidden="1" spans="1:19">
      <c r="A140" s="2590"/>
      <c r="B140" s="2591"/>
      <c r="C140" s="2594" t="str">
        <f t="shared" si="2"/>
        <v>上年销售费用</v>
      </c>
      <c r="D140" s="2591"/>
      <c r="E140" s="2591"/>
      <c r="F140" s="2591"/>
      <c r="G140" s="2591"/>
      <c r="H140" s="2591"/>
      <c r="I140" s="2591"/>
      <c r="J140" s="2591"/>
      <c r="K140" s="2591"/>
      <c r="L140" s="2591"/>
      <c r="M140" s="2591"/>
      <c r="N140" s="2591"/>
      <c r="O140" s="2591"/>
      <c r="P140" s="2591"/>
      <c r="Q140" s="2591"/>
      <c r="R140" s="2591"/>
      <c r="S140" s="2591"/>
    </row>
    <row r="141" hidden="1" spans="1:19">
      <c r="A141" s="2590"/>
      <c r="B141" s="2591"/>
      <c r="C141" s="2594" t="str">
        <f t="shared" si="2"/>
        <v>上年管理费用</v>
      </c>
      <c r="D141" s="2591"/>
      <c r="E141" s="2591"/>
      <c r="F141" s="2591"/>
      <c r="G141" s="2591"/>
      <c r="H141" s="2591"/>
      <c r="I141" s="2591"/>
      <c r="J141" s="2591"/>
      <c r="K141" s="2591"/>
      <c r="L141" s="2591"/>
      <c r="M141" s="2591"/>
      <c r="N141" s="2591"/>
      <c r="O141" s="2591"/>
      <c r="P141" s="2591"/>
      <c r="Q141" s="2591"/>
      <c r="R141" s="2591"/>
      <c r="S141" s="2591"/>
    </row>
    <row r="142" hidden="1" spans="1:19">
      <c r="A142" s="2590"/>
      <c r="B142" s="2591"/>
      <c r="C142" s="2594" t="str">
        <f t="shared" si="2"/>
        <v>上年财务费用</v>
      </c>
      <c r="D142" s="2591"/>
      <c r="E142" s="2591"/>
      <c r="F142" s="2591"/>
      <c r="G142" s="2591"/>
      <c r="H142" s="2591"/>
      <c r="I142" s="2591"/>
      <c r="J142" s="2591"/>
      <c r="K142" s="2591"/>
      <c r="L142" s="2591"/>
      <c r="M142" s="2591"/>
      <c r="N142" s="2591"/>
      <c r="O142" s="2591"/>
      <c r="P142" s="2591"/>
      <c r="Q142" s="2591"/>
      <c r="R142" s="2591"/>
      <c r="S142" s="2591"/>
    </row>
    <row r="143" hidden="1" spans="1:19">
      <c r="A143" s="2590"/>
      <c r="B143" s="2591"/>
      <c r="C143" s="2594" t="str">
        <f t="shared" si="2"/>
        <v>上年资产减值损失</v>
      </c>
      <c r="D143" s="2591"/>
      <c r="E143" s="2591"/>
      <c r="F143" s="2591"/>
      <c r="G143" s="2591"/>
      <c r="H143" s="2591"/>
      <c r="I143" s="2591"/>
      <c r="J143" s="2591"/>
      <c r="K143" s="2591"/>
      <c r="L143" s="2591"/>
      <c r="M143" s="2591"/>
      <c r="N143" s="2591"/>
      <c r="O143" s="2591"/>
      <c r="P143" s="2591"/>
      <c r="Q143" s="2591"/>
      <c r="R143" s="2591"/>
      <c r="S143" s="2591"/>
    </row>
    <row r="144" hidden="1" spans="1:19">
      <c r="A144" s="2590"/>
      <c r="B144" s="2591"/>
      <c r="C144" s="2594" t="str">
        <f t="shared" si="2"/>
        <v>上年公允价值变动收益</v>
      </c>
      <c r="D144" s="2591"/>
      <c r="E144" s="2591"/>
      <c r="F144" s="2591"/>
      <c r="G144" s="2591"/>
      <c r="H144" s="2591"/>
      <c r="I144" s="2591"/>
      <c r="J144" s="2591"/>
      <c r="K144" s="2591"/>
      <c r="L144" s="2591"/>
      <c r="M144" s="2591"/>
      <c r="N144" s="2591"/>
      <c r="O144" s="2591"/>
      <c r="P144" s="2591"/>
      <c r="Q144" s="2591"/>
      <c r="R144" s="2591"/>
      <c r="S144" s="2591"/>
    </row>
    <row r="145" hidden="1" spans="1:19">
      <c r="A145" s="2590"/>
      <c r="B145" s="2591"/>
      <c r="C145" s="2594" t="str">
        <f t="shared" si="2"/>
        <v>上年投资收益</v>
      </c>
      <c r="D145" s="2591"/>
      <c r="E145" s="2591"/>
      <c r="F145" s="2591"/>
      <c r="G145" s="2591"/>
      <c r="H145" s="2591"/>
      <c r="I145" s="2591"/>
      <c r="J145" s="2591"/>
      <c r="K145" s="2591"/>
      <c r="L145" s="2591"/>
      <c r="M145" s="2591"/>
      <c r="N145" s="2591"/>
      <c r="O145" s="2591"/>
      <c r="P145" s="2591"/>
      <c r="Q145" s="2591"/>
      <c r="R145" s="2591"/>
      <c r="S145" s="2591"/>
    </row>
    <row r="146" hidden="1" spans="1:19">
      <c r="A146" s="2590"/>
      <c r="B146" s="2591"/>
      <c r="C146" s="2594" t="str">
        <f t="shared" si="2"/>
        <v>上年汇兑收益</v>
      </c>
      <c r="D146" s="2591"/>
      <c r="E146" s="2591"/>
      <c r="F146" s="2591"/>
      <c r="G146" s="2591"/>
      <c r="H146" s="2591"/>
      <c r="I146" s="2591"/>
      <c r="J146" s="2591"/>
      <c r="K146" s="2591"/>
      <c r="L146" s="2591"/>
      <c r="M146" s="2591"/>
      <c r="N146" s="2591"/>
      <c r="O146" s="2591"/>
      <c r="P146" s="2591"/>
      <c r="Q146" s="2591"/>
      <c r="R146" s="2591"/>
      <c r="S146" s="2591"/>
    </row>
    <row r="147" hidden="1" spans="1:19">
      <c r="A147" s="2590"/>
      <c r="B147" s="2591"/>
      <c r="C147" s="2594" t="str">
        <f>IF(C70&lt;&gt;"","上年"&amp;C70,"")</f>
        <v>上年其他收益</v>
      </c>
      <c r="D147" s="2591"/>
      <c r="E147" s="2591"/>
      <c r="F147" s="2591"/>
      <c r="G147" s="2591"/>
      <c r="H147" s="2591"/>
      <c r="I147" s="2591"/>
      <c r="J147" s="2591"/>
      <c r="K147" s="2591"/>
      <c r="L147" s="2591"/>
      <c r="M147" s="2591"/>
      <c r="N147" s="2591"/>
      <c r="O147" s="2591"/>
      <c r="P147" s="2591"/>
      <c r="Q147" s="2591"/>
      <c r="R147" s="2591"/>
      <c r="S147" s="2591"/>
    </row>
    <row r="148" hidden="1" spans="1:19">
      <c r="A148" s="2590"/>
      <c r="B148" s="2591"/>
      <c r="C148" s="2594" t="str">
        <f>IF(C71&lt;&gt;0,"上年"&amp;C71,"")</f>
        <v>上年营业外收入</v>
      </c>
      <c r="D148" s="2591"/>
      <c r="E148" s="2591"/>
      <c r="F148" s="2591"/>
      <c r="G148" s="2591"/>
      <c r="H148" s="2591"/>
      <c r="I148" s="2591"/>
      <c r="J148" s="2591"/>
      <c r="K148" s="2591"/>
      <c r="L148" s="2591"/>
      <c r="M148" s="2591"/>
      <c r="N148" s="2591"/>
      <c r="O148" s="2591"/>
      <c r="P148" s="2591"/>
      <c r="Q148" s="2591"/>
      <c r="R148" s="2591"/>
      <c r="S148" s="2591"/>
    </row>
    <row r="149" hidden="1" spans="1:19">
      <c r="A149" s="2590"/>
      <c r="B149" s="2591"/>
      <c r="C149" s="2594" t="str">
        <f>IF(C72&lt;&gt;0,"上年"&amp;C72,"")</f>
        <v>上年营业外支出</v>
      </c>
      <c r="D149" s="2591"/>
      <c r="E149" s="2591"/>
      <c r="F149" s="2591"/>
      <c r="G149" s="2591"/>
      <c r="H149" s="2591"/>
      <c r="I149" s="2591"/>
      <c r="J149" s="2591"/>
      <c r="K149" s="2591"/>
      <c r="L149" s="2591"/>
      <c r="M149" s="2591"/>
      <c r="N149" s="2591"/>
      <c r="O149" s="2591"/>
      <c r="P149" s="2591"/>
      <c r="Q149" s="2591"/>
      <c r="R149" s="2591"/>
      <c r="S149" s="2591"/>
    </row>
    <row r="150" hidden="1" spans="1:19">
      <c r="A150" s="2590"/>
      <c r="B150" s="2591"/>
      <c r="C150" s="2594" t="str">
        <f>IF(C73&lt;&gt;"","上年"&amp;C73,"")</f>
        <v>上年（二）终止经营净利润（净亏损以“－”号填列）</v>
      </c>
      <c r="D150" s="2591"/>
      <c r="E150" s="2591"/>
      <c r="F150" s="2591"/>
      <c r="G150" s="2591"/>
      <c r="H150" s="2591"/>
      <c r="I150" s="2591"/>
      <c r="J150" s="2591"/>
      <c r="K150" s="2591"/>
      <c r="L150" s="2591"/>
      <c r="M150" s="2591"/>
      <c r="N150" s="2591"/>
      <c r="O150" s="2591"/>
      <c r="P150" s="2591"/>
      <c r="Q150" s="2591"/>
      <c r="R150" s="2591"/>
      <c r="S150" s="2591"/>
    </row>
    <row r="151" hidden="1" spans="1:19">
      <c r="A151" s="2590"/>
      <c r="B151" s="2591"/>
      <c r="C151" s="2594" t="str">
        <f>IF(C74&lt;&gt;0,"上年"&amp;C74,"")</f>
        <v>上年所得税费用</v>
      </c>
      <c r="D151" s="2591"/>
      <c r="E151" s="2591"/>
      <c r="F151" s="2591"/>
      <c r="G151" s="2591"/>
      <c r="H151" s="2591"/>
      <c r="I151" s="2591"/>
      <c r="J151" s="2591"/>
      <c r="K151" s="2591"/>
      <c r="L151" s="2591"/>
      <c r="M151" s="2591"/>
      <c r="N151" s="2591"/>
      <c r="O151" s="2591"/>
      <c r="P151" s="2591"/>
      <c r="Q151" s="2591"/>
      <c r="R151" s="2591"/>
      <c r="S151" s="2591"/>
    </row>
    <row r="152" hidden="1" spans="1:19">
      <c r="A152" s="2590"/>
      <c r="B152" s="2591"/>
      <c r="C152" s="2594" t="str">
        <f>IF(C75&lt;&gt;"","上年"&amp;C75,"")</f>
        <v>上年五、其他综合收益的税后净额</v>
      </c>
      <c r="D152" s="2591"/>
      <c r="E152" s="2591"/>
      <c r="F152" s="2591"/>
      <c r="G152" s="2591"/>
      <c r="H152" s="2591"/>
      <c r="I152" s="2591"/>
      <c r="J152" s="2591"/>
      <c r="K152" s="2591"/>
      <c r="L152" s="2591"/>
      <c r="M152" s="2591"/>
      <c r="N152" s="2591"/>
      <c r="O152" s="2591"/>
      <c r="P152" s="2591"/>
      <c r="Q152" s="2591"/>
      <c r="R152" s="2591"/>
      <c r="S152" s="2591"/>
    </row>
    <row r="153" hidden="1" spans="1:19">
      <c r="A153" s="2590"/>
      <c r="B153" s="2591"/>
      <c r="C153" s="2594" t="s">
        <v>1471</v>
      </c>
      <c r="D153" s="2591"/>
      <c r="E153" s="2591"/>
      <c r="F153" s="2591"/>
      <c r="G153" s="2591"/>
      <c r="H153" s="2591"/>
      <c r="I153" s="2591"/>
      <c r="J153" s="2591"/>
      <c r="K153" s="2591"/>
      <c r="L153" s="2591"/>
      <c r="M153" s="2591"/>
      <c r="N153" s="2591"/>
      <c r="O153" s="2591"/>
      <c r="P153" s="2591"/>
      <c r="Q153" s="2591"/>
      <c r="R153" s="2591"/>
      <c r="S153" s="2591"/>
    </row>
    <row r="154" hidden="1" spans="1:19">
      <c r="A154" s="2590"/>
      <c r="B154" s="2591"/>
      <c r="C154" s="2594" t="s">
        <v>1472</v>
      </c>
      <c r="D154" s="2591"/>
      <c r="E154" s="2591"/>
      <c r="F154" s="2591"/>
      <c r="G154" s="2591"/>
      <c r="H154" s="2591"/>
      <c r="I154" s="2591"/>
      <c r="J154" s="2591"/>
      <c r="K154" s="2591"/>
      <c r="L154" s="2591"/>
      <c r="M154" s="2591"/>
      <c r="N154" s="2591"/>
      <c r="O154" s="2591"/>
      <c r="P154" s="2591"/>
      <c r="Q154" s="2591"/>
      <c r="R154" s="2591"/>
      <c r="S154" s="2591"/>
    </row>
    <row r="155" hidden="1" spans="1:19">
      <c r="A155" s="2590"/>
      <c r="B155" s="2591"/>
      <c r="C155" s="2594" t="s">
        <v>1473</v>
      </c>
      <c r="D155" s="2591"/>
      <c r="E155" s="2591"/>
      <c r="F155" s="2591"/>
      <c r="G155" s="2591"/>
      <c r="H155" s="2591"/>
      <c r="I155" s="2591"/>
      <c r="J155" s="2591"/>
      <c r="K155" s="2591"/>
      <c r="L155" s="2591"/>
      <c r="M155" s="2591"/>
      <c r="N155" s="2591"/>
      <c r="O155" s="2591"/>
      <c r="P155" s="2591"/>
      <c r="Q155" s="2591"/>
      <c r="R155" s="2591"/>
      <c r="S155" s="2591"/>
    </row>
    <row r="156" hidden="1" spans="1:19">
      <c r="A156" s="2590"/>
      <c r="B156" s="2591"/>
      <c r="C156" s="2594" t="s">
        <v>1474</v>
      </c>
      <c r="D156" s="2591"/>
      <c r="E156" s="2591"/>
      <c r="F156" s="2591"/>
      <c r="G156" s="2591"/>
      <c r="H156" s="2591"/>
      <c r="I156" s="2591"/>
      <c r="J156" s="2591"/>
      <c r="K156" s="2591"/>
      <c r="L156" s="2591"/>
      <c r="M156" s="2591"/>
      <c r="N156" s="2591"/>
      <c r="O156" s="2591"/>
      <c r="P156" s="2591"/>
      <c r="Q156" s="2591"/>
      <c r="R156" s="2591"/>
      <c r="S156" s="2591"/>
    </row>
    <row r="157" hidden="1" spans="1:19">
      <c r="A157" s="2590"/>
      <c r="B157" s="2591"/>
      <c r="C157" s="2594"/>
      <c r="D157" s="2591"/>
      <c r="E157" s="2591"/>
      <c r="F157" s="2591"/>
      <c r="G157" s="2591"/>
      <c r="H157" s="2591"/>
      <c r="I157" s="2591"/>
      <c r="J157" s="2591"/>
      <c r="K157" s="2591"/>
      <c r="L157" s="2591"/>
      <c r="M157" s="2591"/>
      <c r="N157" s="2591"/>
      <c r="O157" s="2591"/>
      <c r="P157" s="2591"/>
      <c r="Q157" s="2591"/>
      <c r="R157" s="2591"/>
      <c r="S157" s="2591"/>
    </row>
    <row r="158" hidden="1" spans="1:19">
      <c r="A158" s="2599" t="s">
        <v>1475</v>
      </c>
      <c r="B158" s="2591"/>
      <c r="C158" s="2597" t="s">
        <v>1476</v>
      </c>
      <c r="D158" s="2590"/>
      <c r="E158" s="2590"/>
      <c r="F158" s="2590"/>
      <c r="G158" s="2590" t="s">
        <v>1477</v>
      </c>
      <c r="H158" s="2590" t="s">
        <v>1478</v>
      </c>
      <c r="I158" s="2591"/>
      <c r="J158" s="2655" t="s">
        <v>1395</v>
      </c>
      <c r="K158" s="2591"/>
      <c r="L158" s="2591"/>
      <c r="M158" s="2591"/>
      <c r="N158" s="2591"/>
      <c r="O158" s="2591"/>
      <c r="P158" s="2591"/>
      <c r="Q158" s="2591"/>
      <c r="R158" s="2591"/>
      <c r="S158" s="2591"/>
    </row>
    <row r="159" hidden="1" spans="1:19">
      <c r="A159" s="2599" t="s">
        <v>1479</v>
      </c>
      <c r="B159" s="2591"/>
      <c r="C159" s="2593" t="str">
        <f>IF(J159=0,"","注意：输入的调整分录不平，借贷差："&amp;J159&amp;"元。")</f>
        <v>注意：输入的调整分录不平，借贷差：-287447.94元。</v>
      </c>
      <c r="D159" s="2591"/>
      <c r="E159" s="2591"/>
      <c r="F159" s="2591"/>
      <c r="G159" s="2603">
        <f>ROUND(G174,2)</f>
        <v>54602618.36</v>
      </c>
      <c r="H159" s="2603">
        <f>ROUND(H174,2)</f>
        <v>54890066.3</v>
      </c>
      <c r="I159" s="2591"/>
      <c r="J159" s="2603">
        <f>ROUND(G159-H159,2)</f>
        <v>-287447.94</v>
      </c>
      <c r="K159" s="2591"/>
      <c r="L159" s="2591"/>
      <c r="M159" s="2591"/>
      <c r="N159" s="2591"/>
      <c r="O159" s="2591"/>
      <c r="P159" s="2591"/>
      <c r="Q159" s="2591"/>
      <c r="R159" s="2591"/>
      <c r="S159" s="2591"/>
    </row>
    <row r="160" hidden="1" spans="1:19">
      <c r="A160" s="2599" t="s">
        <v>1480</v>
      </c>
      <c r="B160" s="2591"/>
      <c r="C160" s="2593" t="str">
        <f>IF(J160=0,"","注意：客户同意调整的分录不平，借贷差："&amp;J160&amp;"元。")</f>
        <v/>
      </c>
      <c r="D160" s="2591"/>
      <c r="E160" s="2591"/>
      <c r="F160" s="2591"/>
      <c r="G160" s="2603">
        <f>ROUND(SUMIF($I$175:$I$1227,"y",$G$175:$G$1227),2)</f>
        <v>46408252.75</v>
      </c>
      <c r="H160" s="2603">
        <f>ROUND(SUMIF($I$175:$I$1227,"y",$H$175:$H$1227),2)</f>
        <v>46408252.75</v>
      </c>
      <c r="I160" s="2591"/>
      <c r="J160" s="2603">
        <f>ROUND(G160-H160,2)</f>
        <v>0</v>
      </c>
      <c r="K160" s="2591"/>
      <c r="L160" s="2591"/>
      <c r="M160" s="2591"/>
      <c r="N160" s="2591"/>
      <c r="O160" s="2591"/>
      <c r="P160" s="2591"/>
      <c r="Q160" s="2591"/>
      <c r="R160" s="2591"/>
      <c r="S160" s="2591"/>
    </row>
    <row r="161" hidden="1" spans="1:19">
      <c r="A161" s="2599" t="s">
        <v>1481</v>
      </c>
      <c r="B161" s="2591"/>
      <c r="C161" s="2593" t="str">
        <f>IF(J161=0,"","注意：有调整分录只有数字无科目。")</f>
        <v>注意：有调整分录只有数字无科目。</v>
      </c>
      <c r="D161" s="2591"/>
      <c r="E161" s="2591"/>
      <c r="F161" s="2591"/>
      <c r="G161" s="2603">
        <f>ROUND(SUMIF($C$175:$C$1227,"",$G$175:$G$1227),2)</f>
        <v>-1891306.82</v>
      </c>
      <c r="H161" s="2603">
        <f>ROUND(SUMIF($C$175:$C$1227,"",$H$175:$H$1227),2)</f>
        <v>-1603858.88</v>
      </c>
      <c r="I161" s="2591"/>
      <c r="J161" s="2603">
        <f>ROUND(ABS(G161)+ABS(H161),2)</f>
        <v>3495165.7</v>
      </c>
      <c r="K161" s="2591"/>
      <c r="L161" s="2591"/>
      <c r="M161" s="2591"/>
      <c r="N161" s="2591"/>
      <c r="O161" s="2591"/>
      <c r="P161" s="2591"/>
      <c r="Q161" s="2591"/>
      <c r="R161" s="2591"/>
      <c r="S161" s="2591"/>
    </row>
    <row r="162" hidden="1" spans="1:19">
      <c r="A162" s="2599" t="s">
        <v>1482</v>
      </c>
      <c r="B162" s="2591"/>
      <c r="C162" s="2593" t="str">
        <f>IF(J162=0,"",J162)</f>
        <v/>
      </c>
      <c r="D162" s="2591"/>
      <c r="E162" s="2591"/>
      <c r="F162" s="2591"/>
      <c r="G162" s="2603"/>
      <c r="H162" s="2603"/>
      <c r="I162" s="2591"/>
      <c r="J162" s="2603">
        <f>IF(未审资负表!A2&lt;&gt;"","未审资产负债表不平，请核对。",IF(未审利润表!A2&lt;&gt;0,"未审利润表与未审资产负债表不符，请核对。",IF(OR(审定资负表!C2&lt;&gt;0,审定资负表!D2&lt;&gt;0),"调整上期数导致审定资产负债表不平，请核对。",0)))</f>
        <v>0</v>
      </c>
      <c r="K162" s="2591"/>
      <c r="L162" s="2591"/>
      <c r="M162" s="2591"/>
      <c r="N162" s="2591"/>
      <c r="O162" s="2591"/>
      <c r="P162" s="2591"/>
      <c r="Q162" s="2591"/>
      <c r="R162" s="2591"/>
      <c r="S162" s="2591"/>
    </row>
    <row r="163" hidden="1" spans="1:19">
      <c r="A163" s="2599" t="s">
        <v>1483</v>
      </c>
      <c r="B163" s="2591"/>
      <c r="C163" s="2593" t="str">
        <f>IF(J163&gt;0,"调整增加上期净利润"&amp;ABS(J163)&amp;"元。",IF(J163&lt;0,"调整减少上期净利润"&amp;ABS(J163)&amp;"元。",""))</f>
        <v>调整减少上期净利润2605089.01元。</v>
      </c>
      <c r="D163" s="2591"/>
      <c r="E163" s="2591"/>
      <c r="F163" s="2591"/>
      <c r="G163" s="2603">
        <f>ROUND(审定利润表!D24,2)</f>
        <v>-10590731.64</v>
      </c>
      <c r="H163" s="2603">
        <f>ROUND(未审利润表!D24,2)</f>
        <v>-7985642.63</v>
      </c>
      <c r="I163" s="2591"/>
      <c r="J163" s="2603">
        <f>ROUND(G163-H163,2)</f>
        <v>-2605089.01</v>
      </c>
      <c r="K163" s="2591"/>
      <c r="L163" s="2591"/>
      <c r="M163" s="2591"/>
      <c r="N163" s="2591"/>
      <c r="O163" s="2591"/>
      <c r="P163" s="2591"/>
      <c r="Q163" s="2591"/>
      <c r="R163" s="2591"/>
      <c r="S163" s="2591"/>
    </row>
    <row r="164" hidden="1" spans="1:19">
      <c r="A164" s="2599" t="s">
        <v>1484</v>
      </c>
      <c r="B164" s="2591"/>
      <c r="C164" s="2593" t="str">
        <f>IF(J164&gt;0,"调整增加本期净利润"&amp;ABS(J164)&amp;"元。",IF(J164&lt;0,"调整减少本期净利润"&amp;ABS(J164)&amp;"元。",""))</f>
        <v>调整减少本期净利润8966951.3元。</v>
      </c>
      <c r="D164" s="2591"/>
      <c r="E164" s="2591"/>
      <c r="F164" s="2591"/>
      <c r="G164" s="2603">
        <f>ROUND(审定利润表!C24,2)</f>
        <v>8831644.55</v>
      </c>
      <c r="H164" s="2603">
        <f>ROUND(未审利润表!C24,2)</f>
        <v>17798595.85</v>
      </c>
      <c r="I164" s="2591"/>
      <c r="J164" s="2603">
        <f>ROUND(G164-H164,2)</f>
        <v>-8966951.3</v>
      </c>
      <c r="K164" s="2591"/>
      <c r="L164" s="2591"/>
      <c r="M164" s="2591"/>
      <c r="N164" s="2591"/>
      <c r="O164" s="2591"/>
      <c r="P164" s="2591"/>
      <c r="Q164" s="2591"/>
      <c r="R164" s="2591"/>
      <c r="S164" s="2591"/>
    </row>
    <row r="165" hidden="1" spans="1:19">
      <c r="A165" s="2599"/>
      <c r="B165" s="2591"/>
      <c r="C165" s="2593"/>
      <c r="D165" s="2591"/>
      <c r="E165" s="2591"/>
      <c r="F165" s="2591"/>
      <c r="G165" s="2603"/>
      <c r="H165" s="2603"/>
      <c r="I165" s="2591"/>
      <c r="J165" s="2603"/>
      <c r="K165" s="2591"/>
      <c r="L165" s="2591"/>
      <c r="M165" s="2591"/>
      <c r="N165" s="2591"/>
      <c r="O165" s="2591"/>
      <c r="P165" s="2591"/>
      <c r="Q165" s="2591"/>
      <c r="R165" s="2591"/>
      <c r="S165" s="2591"/>
    </row>
    <row r="166" hidden="1" spans="1:19">
      <c r="A166" s="2599"/>
      <c r="B166" s="2591"/>
      <c r="C166" s="2593"/>
      <c r="D166" s="2591"/>
      <c r="E166" s="2591"/>
      <c r="F166" s="2591"/>
      <c r="G166" s="2603"/>
      <c r="H166" s="2603"/>
      <c r="I166" s="2591"/>
      <c r="J166" s="2591"/>
      <c r="K166" s="2591"/>
      <c r="L166" s="2591"/>
      <c r="M166" s="2591"/>
      <c r="N166" s="2591"/>
      <c r="O166" s="2591"/>
      <c r="P166" s="2591"/>
      <c r="Q166" s="2591"/>
      <c r="R166" s="2591"/>
      <c r="S166" s="2591"/>
    </row>
    <row r="167" hidden="1" spans="1:19">
      <c r="A167" s="2590"/>
      <c r="B167" s="2591"/>
      <c r="C167" s="2594"/>
      <c r="D167" s="2591"/>
      <c r="E167" s="2591"/>
      <c r="F167" s="2591"/>
      <c r="G167" s="2591"/>
      <c r="H167" s="2591"/>
      <c r="I167" s="2591"/>
      <c r="J167" s="2591"/>
      <c r="K167" s="2591"/>
      <c r="L167" s="2591"/>
      <c r="M167" s="2591"/>
      <c r="N167" s="2591"/>
      <c r="O167" s="2591"/>
      <c r="P167" s="2591"/>
      <c r="Q167" s="2591"/>
      <c r="R167" s="2591"/>
      <c r="S167" s="2591"/>
    </row>
    <row r="168" spans="1:19">
      <c r="A168" s="2604" t="s">
        <v>1485</v>
      </c>
      <c r="B168" s="2604"/>
      <c r="C168" s="2605" t="str">
        <f>参数表!C3</f>
        <v>深圳新阳蓝光能源管理科技股份有限公司</v>
      </c>
      <c r="D168" s="2605"/>
      <c r="E168" s="2605"/>
      <c r="F168" s="2606"/>
      <c r="G168" s="2607" t="s">
        <v>1486</v>
      </c>
      <c r="H168" s="2607" t="s">
        <v>1487</v>
      </c>
      <c r="I168" s="2656"/>
      <c r="J168" s="2591"/>
      <c r="K168" s="2590"/>
      <c r="L168" s="2590"/>
      <c r="M168" s="2591"/>
      <c r="N168" s="2591"/>
      <c r="O168" s="2591"/>
      <c r="P168" s="2591"/>
      <c r="Q168" s="2591"/>
      <c r="R168" s="2591"/>
      <c r="S168" s="2591"/>
    </row>
    <row r="169" spans="1:19">
      <c r="A169" s="2604" t="s">
        <v>1488</v>
      </c>
      <c r="B169" s="2604"/>
      <c r="C169" s="2608" t="s">
        <v>1489</v>
      </c>
      <c r="D169" s="2608"/>
      <c r="E169" s="2608"/>
      <c r="F169" s="2609" t="s">
        <v>1490</v>
      </c>
      <c r="G169" s="2607">
        <f>参数表!F10</f>
        <v>0</v>
      </c>
      <c r="H169" s="2610">
        <v>43141</v>
      </c>
      <c r="I169" s="2657"/>
      <c r="J169" s="2591"/>
      <c r="K169" s="2658"/>
      <c r="L169" s="2658"/>
      <c r="M169" s="2603"/>
      <c r="N169" s="2591"/>
      <c r="O169" s="2591"/>
      <c r="P169" s="2591"/>
      <c r="Q169" s="2591"/>
      <c r="R169" s="2591"/>
      <c r="S169" s="2591"/>
    </row>
    <row r="170" spans="1:19">
      <c r="A170" s="2604" t="s">
        <v>1491</v>
      </c>
      <c r="B170" s="2604"/>
      <c r="C170" s="2611" t="str">
        <f>参数表!D7</f>
        <v>2016年度</v>
      </c>
      <c r="D170" s="2611"/>
      <c r="E170" s="2611"/>
      <c r="F170" s="2609" t="s">
        <v>1492</v>
      </c>
      <c r="G170" s="2607">
        <f>参数表!C11</f>
        <v>0</v>
      </c>
      <c r="H170" s="2610">
        <v>43144</v>
      </c>
      <c r="I170" s="2657"/>
      <c r="J170" s="2591"/>
      <c r="K170" s="2658"/>
      <c r="L170" s="2658"/>
      <c r="M170" s="2603"/>
      <c r="N170" s="2591"/>
      <c r="O170" s="2591"/>
      <c r="P170" s="2591"/>
      <c r="Q170" s="2591"/>
      <c r="R170" s="2591"/>
      <c r="S170" s="2591"/>
    </row>
    <row r="171" spans="1:19">
      <c r="A171" s="2612"/>
      <c r="B171" s="2613" t="str">
        <f>IF(C159&lt;&gt;"",C159,IF(C160&lt;&gt;"",C160,IF(C161&lt;&gt;"",C161,IF(C162&lt;&gt;"",C162,IF(OR(C163&lt;&gt;"",C164&lt;&gt;""),C163&amp;C164,"")))))</f>
        <v>注意：输入的调整分录不平，借贷差：-287447.94元。</v>
      </c>
      <c r="C171" s="2614"/>
      <c r="D171" s="2615"/>
      <c r="E171" s="2616"/>
      <c r="F171" s="2616"/>
      <c r="G171" s="2617"/>
      <c r="H171" s="2618"/>
      <c r="I171" s="2618"/>
      <c r="J171" s="2591"/>
      <c r="K171" s="2591"/>
      <c r="L171" s="2591"/>
      <c r="M171" s="2603"/>
      <c r="N171" s="2591"/>
      <c r="O171" s="2591"/>
      <c r="P171" s="2591"/>
      <c r="Q171" s="2591"/>
      <c r="R171" s="2591"/>
      <c r="S171" s="2591"/>
    </row>
    <row r="172" ht="12.75" customHeight="1" spans="1:19">
      <c r="A172" s="2619" t="s">
        <v>1493</v>
      </c>
      <c r="B172" s="2620" t="s">
        <v>1494</v>
      </c>
      <c r="C172" s="2620"/>
      <c r="D172" s="2620"/>
      <c r="E172" s="2620"/>
      <c r="F172" s="2620" t="s">
        <v>1495</v>
      </c>
      <c r="G172" s="2621" t="s">
        <v>1496</v>
      </c>
      <c r="H172" s="2622"/>
      <c r="I172" s="2659" t="s">
        <v>1497</v>
      </c>
      <c r="J172" s="2591"/>
      <c r="K172" s="2603"/>
      <c r="L172" s="2603"/>
      <c r="M172" s="2603"/>
      <c r="N172" s="2591"/>
      <c r="O172" s="2591"/>
      <c r="P172" s="2591"/>
      <c r="Q172" s="2591"/>
      <c r="R172" s="2591"/>
      <c r="S172" s="2591"/>
    </row>
    <row r="173" spans="1:19">
      <c r="A173" s="2619"/>
      <c r="B173" s="2623" t="s">
        <v>1476</v>
      </c>
      <c r="C173" s="2620" t="s">
        <v>1498</v>
      </c>
      <c r="D173" s="2624"/>
      <c r="E173" s="2620" t="s">
        <v>1499</v>
      </c>
      <c r="F173" s="2620"/>
      <c r="G173" s="2625" t="s">
        <v>1477</v>
      </c>
      <c r="H173" s="2625" t="s">
        <v>1500</v>
      </c>
      <c r="I173" s="2660"/>
      <c r="J173" s="2591"/>
      <c r="K173" s="2603"/>
      <c r="L173" s="2603"/>
      <c r="M173" s="2603"/>
      <c r="N173" s="2591"/>
      <c r="O173" s="2591"/>
      <c r="P173" s="2591"/>
      <c r="Q173" s="2591"/>
      <c r="R173" s="2591"/>
      <c r="S173" s="2591"/>
    </row>
    <row r="174" spans="1:19">
      <c r="A174" s="2626" t="s">
        <v>1501</v>
      </c>
      <c r="B174" s="2627"/>
      <c r="C174" s="2627"/>
      <c r="D174" s="2627"/>
      <c r="E174" s="2628"/>
      <c r="F174" s="2629"/>
      <c r="G174" s="2630">
        <f>ROUND(SUM(G175:G1227),2)</f>
        <v>54602618.36</v>
      </c>
      <c r="H174" s="2630">
        <f>ROUND(SUM(H175:H1227),2)</f>
        <v>54890066.3</v>
      </c>
      <c r="I174" s="2625" t="s">
        <v>1502</v>
      </c>
      <c r="J174" s="2591"/>
      <c r="K174" s="2591"/>
      <c r="L174" s="2591"/>
      <c r="M174" s="2591"/>
      <c r="N174" s="2591"/>
      <c r="O174" s="2603"/>
      <c r="P174" s="2591"/>
      <c r="Q174" s="2591"/>
      <c r="R174" s="2591"/>
      <c r="S174" s="2591"/>
    </row>
    <row r="175" spans="1:19">
      <c r="A175" s="2631" t="s">
        <v>1503</v>
      </c>
      <c r="B175" s="2632"/>
      <c r="C175" s="2633"/>
      <c r="D175" s="2632"/>
      <c r="E175" s="2632"/>
      <c r="F175" s="2632"/>
      <c r="G175" s="2634"/>
      <c r="H175" s="2634"/>
      <c r="I175" s="2661"/>
      <c r="J175" s="2591"/>
      <c r="K175" s="2591"/>
      <c r="L175" s="2591"/>
      <c r="M175" s="2591"/>
      <c r="N175" s="2591"/>
      <c r="O175" s="2591"/>
      <c r="P175" s="2591"/>
      <c r="Q175" s="2591"/>
      <c r="R175" s="2591"/>
      <c r="S175" s="2591"/>
    </row>
    <row r="176" customHeight="1" spans="1:19">
      <c r="A176" s="2635" t="s">
        <v>1504</v>
      </c>
      <c r="B176" s="2636"/>
      <c r="C176" s="2637"/>
      <c r="D176" s="2638"/>
      <c r="E176" s="2639"/>
      <c r="F176" s="2638"/>
      <c r="G176" s="2640"/>
      <c r="H176" s="2641"/>
      <c r="I176" s="2662"/>
      <c r="K176" s="2591"/>
      <c r="L176" s="2591"/>
      <c r="M176" s="2591"/>
      <c r="N176" s="2591"/>
      <c r="O176" s="2591"/>
      <c r="P176" s="2591"/>
      <c r="Q176" s="2591"/>
      <c r="R176" s="2591"/>
      <c r="S176" s="2591"/>
    </row>
    <row r="177" customHeight="1" spans="1:19">
      <c r="A177" s="2642"/>
      <c r="B177" s="2636"/>
      <c r="C177" s="2636" t="s">
        <v>1505</v>
      </c>
      <c r="D177" s="2636"/>
      <c r="E177" s="2636"/>
      <c r="F177" s="2636"/>
      <c r="G177" s="2643"/>
      <c r="H177" s="2640">
        <f>G178</f>
        <v>7985642.63</v>
      </c>
      <c r="I177" s="2663" t="s">
        <v>1402</v>
      </c>
      <c r="J177" s="362" t="s">
        <v>1506</v>
      </c>
      <c r="K177" s="2591"/>
      <c r="L177" s="2591"/>
      <c r="M177" s="2591"/>
      <c r="N177" s="2591"/>
      <c r="O177" s="2591"/>
      <c r="P177" s="2591"/>
      <c r="Q177" s="2591"/>
      <c r="R177" s="2591"/>
      <c r="S177" s="2591"/>
    </row>
    <row r="178" customHeight="1" spans="1:19">
      <c r="A178" s="2642"/>
      <c r="B178" s="2636"/>
      <c r="C178" s="2636" t="s">
        <v>1507</v>
      </c>
      <c r="D178" s="2636"/>
      <c r="E178" s="2636"/>
      <c r="F178" s="2636"/>
      <c r="G178" s="2641">
        <f>7701055.84+284586.79</f>
        <v>7985642.63</v>
      </c>
      <c r="H178" s="2640"/>
      <c r="I178" s="2663" t="s">
        <v>1402</v>
      </c>
      <c r="J178" s="362" t="s">
        <v>1506</v>
      </c>
      <c r="K178" s="2591"/>
      <c r="L178" s="2591"/>
      <c r="M178" s="2591"/>
      <c r="N178" s="2591"/>
      <c r="O178" s="2591"/>
      <c r="P178" s="2591"/>
      <c r="Q178" s="2591"/>
      <c r="R178" s="2591"/>
      <c r="S178" s="2591"/>
    </row>
    <row r="179" customHeight="1" spans="1:19">
      <c r="A179" s="2644" t="s">
        <v>1508</v>
      </c>
      <c r="B179" s="2645"/>
      <c r="C179" s="2645"/>
      <c r="D179" s="2646"/>
      <c r="E179" s="2646"/>
      <c r="F179" s="2646"/>
      <c r="G179" s="2647"/>
      <c r="H179" s="2647"/>
      <c r="I179" s="2664" t="s">
        <v>1402</v>
      </c>
      <c r="J179" s="2591"/>
      <c r="K179" s="2591"/>
      <c r="L179" s="2591"/>
      <c r="M179" s="2591"/>
      <c r="N179" s="2591"/>
      <c r="O179" s="2591"/>
      <c r="P179" s="2591"/>
      <c r="Q179" s="2591"/>
      <c r="R179" s="2591"/>
      <c r="S179" s="2591"/>
    </row>
    <row r="180" customHeight="1" spans="1:19">
      <c r="A180" s="2644"/>
      <c r="B180" s="2645"/>
      <c r="C180" s="2645" t="s">
        <v>1509</v>
      </c>
      <c r="D180" s="2646"/>
      <c r="E180" s="2646"/>
      <c r="F180" s="2646"/>
      <c r="G180" s="2647"/>
      <c r="H180" s="2647">
        <v>7128.06</v>
      </c>
      <c r="I180" s="2664" t="s">
        <v>1402</v>
      </c>
      <c r="J180" s="362" t="s">
        <v>1506</v>
      </c>
      <c r="K180" s="2591"/>
      <c r="L180" s="2591"/>
      <c r="M180" s="2591"/>
      <c r="N180" s="2591"/>
      <c r="O180" s="2591"/>
      <c r="P180" s="2591"/>
      <c r="Q180" s="2591"/>
      <c r="R180" s="2591"/>
      <c r="S180" s="2591"/>
    </row>
    <row r="181" customHeight="1" spans="1:19">
      <c r="A181" s="2644"/>
      <c r="B181" s="2645"/>
      <c r="C181" s="2645" t="s">
        <v>1509</v>
      </c>
      <c r="D181" s="2646"/>
      <c r="E181" s="2646"/>
      <c r="F181" s="2646"/>
      <c r="G181" s="2647"/>
      <c r="H181" s="2647">
        <v>-21501.46</v>
      </c>
      <c r="I181" s="2664" t="s">
        <v>1402</v>
      </c>
      <c r="J181" s="362" t="s">
        <v>1506</v>
      </c>
      <c r="K181" s="2591"/>
      <c r="L181" s="2591"/>
      <c r="M181" s="2591"/>
      <c r="N181" s="2591"/>
      <c r="O181" s="2591"/>
      <c r="P181" s="2591"/>
      <c r="Q181" s="2591"/>
      <c r="R181" s="2591"/>
      <c r="S181" s="2591"/>
    </row>
    <row r="182" customHeight="1" spans="1:19">
      <c r="A182" s="2648"/>
      <c r="B182" s="2645"/>
      <c r="C182" s="2645" t="s">
        <v>1510</v>
      </c>
      <c r="D182" s="2645"/>
      <c r="E182" s="2645"/>
      <c r="F182" s="2645"/>
      <c r="G182" s="2647">
        <f>H181+H180</f>
        <v>-14373.4</v>
      </c>
      <c r="H182" s="2647"/>
      <c r="I182" s="2664" t="s">
        <v>1402</v>
      </c>
      <c r="J182" s="362" t="s">
        <v>1506</v>
      </c>
      <c r="K182" s="2591"/>
      <c r="L182" s="2591"/>
      <c r="M182" s="2591"/>
      <c r="N182" s="2591"/>
      <c r="O182" s="2591"/>
      <c r="P182" s="2591"/>
      <c r="Q182" s="2591"/>
      <c r="R182" s="2591"/>
      <c r="S182" s="2591"/>
    </row>
    <row r="183" customHeight="1" spans="1:19">
      <c r="A183" s="2642"/>
      <c r="B183" s="2636"/>
      <c r="C183" s="2636"/>
      <c r="D183" s="2636"/>
      <c r="E183" s="2636"/>
      <c r="F183" s="2636"/>
      <c r="G183" s="2640"/>
      <c r="H183" s="2640"/>
      <c r="I183" s="2663"/>
      <c r="J183" s="2591"/>
      <c r="K183" s="2591"/>
      <c r="L183" s="2591"/>
      <c r="M183" s="2591"/>
      <c r="N183" s="2591"/>
      <c r="O183" s="2591"/>
      <c r="P183" s="2591"/>
      <c r="Q183" s="2591"/>
      <c r="R183" s="2591"/>
      <c r="S183" s="2591"/>
    </row>
    <row r="184" customHeight="1" spans="1:19">
      <c r="A184" s="2642"/>
      <c r="B184" s="2636"/>
      <c r="C184" s="2636"/>
      <c r="D184" s="2636"/>
      <c r="E184" s="2636"/>
      <c r="F184" s="2636"/>
      <c r="G184" s="2640"/>
      <c r="H184" s="2640"/>
      <c r="I184" s="2663"/>
      <c r="J184" s="2591"/>
      <c r="K184" s="2591"/>
      <c r="L184" s="2591"/>
      <c r="M184" s="2591"/>
      <c r="N184" s="2591"/>
      <c r="O184" s="2591"/>
      <c r="P184" s="2591"/>
      <c r="Q184" s="2591"/>
      <c r="R184" s="2591"/>
      <c r="S184" s="2591"/>
    </row>
    <row r="185" customHeight="1" spans="1:19">
      <c r="A185" s="2649" t="s">
        <v>471</v>
      </c>
      <c r="B185" s="2645"/>
      <c r="C185" s="2645"/>
      <c r="D185" s="2645"/>
      <c r="E185" s="2645"/>
      <c r="F185" s="2645"/>
      <c r="G185" s="2647"/>
      <c r="H185" s="2647"/>
      <c r="I185" s="2664"/>
      <c r="J185" s="2591"/>
      <c r="K185" s="2591"/>
      <c r="L185" s="2591"/>
      <c r="M185" s="2591"/>
      <c r="N185" s="2591"/>
      <c r="O185" s="2591"/>
      <c r="P185" s="2591"/>
      <c r="Q185" s="2591"/>
      <c r="R185" s="2591"/>
      <c r="S185" s="2591"/>
    </row>
    <row r="186" customHeight="1" spans="1:19">
      <c r="A186" s="2650"/>
      <c r="B186" s="2651" t="s">
        <v>1511</v>
      </c>
      <c r="C186" s="2652"/>
      <c r="D186" s="2653"/>
      <c r="E186" s="2653"/>
      <c r="F186" s="2653"/>
      <c r="G186" s="2647"/>
      <c r="H186" s="2647"/>
      <c r="I186" s="2665"/>
      <c r="J186" s="2591"/>
      <c r="K186" s="2591"/>
      <c r="L186" s="2591"/>
      <c r="M186" s="2591"/>
      <c r="N186" s="2591"/>
      <c r="O186" s="2591"/>
      <c r="P186" s="2591"/>
      <c r="Q186" s="2591"/>
      <c r="R186" s="2591"/>
      <c r="S186" s="2591"/>
    </row>
    <row r="187" customHeight="1" spans="1:19">
      <c r="A187" s="2650"/>
      <c r="B187" s="2653"/>
      <c r="C187" s="2654" t="s">
        <v>1512</v>
      </c>
      <c r="D187" s="2653"/>
      <c r="E187" s="2653" t="s">
        <v>1513</v>
      </c>
      <c r="F187" s="2653"/>
      <c r="G187" s="2647">
        <v>-160018.31</v>
      </c>
      <c r="H187" s="2647"/>
      <c r="I187" s="2665" t="s">
        <v>1402</v>
      </c>
      <c r="J187" s="2666" t="s">
        <v>1514</v>
      </c>
      <c r="K187" s="2591" t="s">
        <v>1515</v>
      </c>
      <c r="L187" s="2591"/>
      <c r="M187" s="2591"/>
      <c r="N187" s="2591"/>
      <c r="O187" s="2591"/>
      <c r="P187" s="2591"/>
      <c r="Q187" s="2591"/>
      <c r="R187" s="2591"/>
      <c r="S187" s="2591"/>
    </row>
    <row r="188" customHeight="1" spans="1:19">
      <c r="A188" s="2650"/>
      <c r="B188" s="2653"/>
      <c r="C188" s="2654" t="s">
        <v>1516</v>
      </c>
      <c r="D188" s="2653"/>
      <c r="E188" s="2653" t="s">
        <v>1517</v>
      </c>
      <c r="F188" s="2653"/>
      <c r="G188" s="2647">
        <v>183653.09</v>
      </c>
      <c r="H188" s="2647"/>
      <c r="I188" s="2665" t="s">
        <v>1402</v>
      </c>
      <c r="J188" s="2666" t="s">
        <v>1514</v>
      </c>
      <c r="K188" s="2591" t="s">
        <v>1518</v>
      </c>
      <c r="L188" s="2591"/>
      <c r="M188" s="2591"/>
      <c r="N188" s="2591"/>
      <c r="O188" s="2591"/>
      <c r="P188" s="2591"/>
      <c r="Q188" s="2591"/>
      <c r="R188" s="2591"/>
      <c r="S188" s="2591"/>
    </row>
    <row r="189" customHeight="1" spans="1:19">
      <c r="A189" s="2650"/>
      <c r="B189" s="2653"/>
      <c r="C189" s="2654" t="s">
        <v>1519</v>
      </c>
      <c r="D189" s="2653"/>
      <c r="E189" s="2653"/>
      <c r="F189" s="2653"/>
      <c r="G189" s="2647"/>
      <c r="H189" s="2647">
        <f>G187</f>
        <v>-160018.31</v>
      </c>
      <c r="I189" s="2665" t="s">
        <v>1402</v>
      </c>
      <c r="J189" s="2666" t="s">
        <v>1514</v>
      </c>
      <c r="K189" s="2591" t="s">
        <v>1515</v>
      </c>
      <c r="L189" s="2591"/>
      <c r="M189" s="2591"/>
      <c r="N189" s="2591"/>
      <c r="O189" s="2591"/>
      <c r="P189" s="2591"/>
      <c r="Q189" s="2591"/>
      <c r="R189" s="2591"/>
      <c r="S189" s="2591"/>
    </row>
    <row r="190" customHeight="1" spans="1:19">
      <c r="A190" s="2650"/>
      <c r="B190" s="2653"/>
      <c r="C190" s="2654" t="s">
        <v>202</v>
      </c>
      <c r="D190" s="2653"/>
      <c r="E190" s="2651" t="s">
        <v>471</v>
      </c>
      <c r="F190" s="2653"/>
      <c r="G190" s="2647"/>
      <c r="H190" s="2647">
        <f>G188</f>
        <v>183653.09</v>
      </c>
      <c r="I190" s="2665" t="s">
        <v>1402</v>
      </c>
      <c r="J190" s="2666" t="s">
        <v>1514</v>
      </c>
      <c r="K190" s="2591" t="s">
        <v>1518</v>
      </c>
      <c r="L190" s="2591"/>
      <c r="M190" s="2591"/>
      <c r="N190" s="2591"/>
      <c r="O190" s="2591"/>
      <c r="P190" s="2591"/>
      <c r="Q190" s="2591"/>
      <c r="R190" s="2591"/>
      <c r="S190" s="2591"/>
    </row>
    <row r="191" customHeight="1" spans="1:19">
      <c r="A191" s="2650"/>
      <c r="B191" s="2651" t="s">
        <v>1520</v>
      </c>
      <c r="C191" s="2654"/>
      <c r="D191" s="2653"/>
      <c r="E191" s="2653"/>
      <c r="F191" s="2653"/>
      <c r="G191" s="2647"/>
      <c r="H191" s="2647"/>
      <c r="I191" s="2665" t="s">
        <v>1402</v>
      </c>
      <c r="J191" s="2666"/>
      <c r="K191" s="2591"/>
      <c r="L191" s="2591"/>
      <c r="M191" s="2591"/>
      <c r="N191" s="2591"/>
      <c r="O191" s="2591"/>
      <c r="P191" s="2591"/>
      <c r="Q191" s="2591"/>
      <c r="R191" s="2591"/>
      <c r="S191" s="2591"/>
    </row>
    <row r="192" customHeight="1" spans="1:19">
      <c r="A192" s="2650"/>
      <c r="B192" s="2651"/>
      <c r="C192" s="2654" t="s">
        <v>1509</v>
      </c>
      <c r="D192" s="2653"/>
      <c r="E192" s="2653"/>
      <c r="F192" s="2653"/>
      <c r="G192" s="2647">
        <f>G187</f>
        <v>-160018.31</v>
      </c>
      <c r="H192" s="2647"/>
      <c r="I192" s="2665" t="s">
        <v>1402</v>
      </c>
      <c r="J192" s="2666" t="s">
        <v>1514</v>
      </c>
      <c r="K192" s="2591" t="s">
        <v>1515</v>
      </c>
      <c r="L192" s="2591"/>
      <c r="M192" s="2591"/>
      <c r="N192" s="2591"/>
      <c r="O192" s="2591"/>
      <c r="P192" s="2591"/>
      <c r="Q192" s="2591"/>
      <c r="R192" s="2591"/>
      <c r="S192" s="2591"/>
    </row>
    <row r="193" customHeight="1" spans="1:19">
      <c r="A193" s="2650"/>
      <c r="B193" s="2651"/>
      <c r="C193" s="2654" t="s">
        <v>202</v>
      </c>
      <c r="D193" s="2653"/>
      <c r="E193" s="2651" t="s">
        <v>471</v>
      </c>
      <c r="F193" s="2653"/>
      <c r="G193" s="2647"/>
      <c r="H193" s="2647">
        <f>G192</f>
        <v>-160018.31</v>
      </c>
      <c r="I193" s="2665" t="s">
        <v>1402</v>
      </c>
      <c r="J193" s="2666" t="s">
        <v>1514</v>
      </c>
      <c r="K193" s="2591" t="s">
        <v>1515</v>
      </c>
      <c r="L193" s="2591"/>
      <c r="M193" s="2591"/>
      <c r="N193" s="2591"/>
      <c r="O193" s="2591"/>
      <c r="P193" s="2591"/>
      <c r="Q193" s="2591"/>
      <c r="R193" s="2591"/>
      <c r="S193" s="2591"/>
    </row>
    <row r="194" customHeight="1" spans="1:19">
      <c r="A194" s="2650"/>
      <c r="B194" s="2651"/>
      <c r="C194" s="2654"/>
      <c r="D194" s="2653"/>
      <c r="E194" s="2653"/>
      <c r="F194" s="2653"/>
      <c r="G194" s="2647"/>
      <c r="H194" s="2647"/>
      <c r="I194" s="2665"/>
      <c r="J194" s="2666"/>
      <c r="K194" s="2591"/>
      <c r="L194" s="2591"/>
      <c r="M194" s="2591"/>
      <c r="N194" s="2591"/>
      <c r="O194" s="2591"/>
      <c r="P194" s="2591"/>
      <c r="Q194" s="2591"/>
      <c r="R194" s="2591"/>
      <c r="S194" s="2591"/>
    </row>
    <row r="195" customHeight="1" spans="1:19">
      <c r="A195" s="2650"/>
      <c r="B195" s="2651" t="s">
        <v>1521</v>
      </c>
      <c r="C195" s="2654"/>
      <c r="D195" s="2653"/>
      <c r="E195" s="2653"/>
      <c r="F195" s="2653"/>
      <c r="G195" s="2647"/>
      <c r="H195" s="2647"/>
      <c r="I195" s="2665"/>
      <c r="J195" s="2666"/>
      <c r="K195" s="2591"/>
      <c r="L195" s="2591"/>
      <c r="M195" s="2591"/>
      <c r="N195" s="2591"/>
      <c r="O195" s="2591"/>
      <c r="P195" s="2591"/>
      <c r="Q195" s="2591"/>
      <c r="R195" s="2591"/>
      <c r="S195" s="2591"/>
    </row>
    <row r="196" customHeight="1" spans="1:19">
      <c r="A196" s="2650"/>
      <c r="B196" s="2653"/>
      <c r="C196" s="2654" t="s">
        <v>1512</v>
      </c>
      <c r="D196" s="2653"/>
      <c r="E196" s="2653" t="s">
        <v>1513</v>
      </c>
      <c r="F196" s="2653"/>
      <c r="G196" s="2647">
        <v>-7296.39</v>
      </c>
      <c r="H196" s="2647"/>
      <c r="I196" s="2665" t="s">
        <v>1402</v>
      </c>
      <c r="J196" s="2666" t="s">
        <v>1514</v>
      </c>
      <c r="K196" s="2591" t="s">
        <v>1515</v>
      </c>
      <c r="L196" s="2591"/>
      <c r="M196" s="2591"/>
      <c r="N196" s="2591"/>
      <c r="O196" s="2591"/>
      <c r="P196" s="2591"/>
      <c r="Q196" s="2591"/>
      <c r="R196" s="2591"/>
      <c r="S196" s="2591"/>
    </row>
    <row r="197" customHeight="1" spans="1:19">
      <c r="A197" s="2650"/>
      <c r="B197" s="2653"/>
      <c r="C197" s="2654" t="s">
        <v>1516</v>
      </c>
      <c r="D197" s="2653"/>
      <c r="E197" s="2653" t="s">
        <v>1517</v>
      </c>
      <c r="F197" s="2653"/>
      <c r="G197" s="2647">
        <v>-287362.56</v>
      </c>
      <c r="H197" s="2647"/>
      <c r="I197" s="2665" t="s">
        <v>1402</v>
      </c>
      <c r="J197" s="2666" t="s">
        <v>1514</v>
      </c>
      <c r="K197" s="2591" t="s">
        <v>1518</v>
      </c>
      <c r="L197" s="2591"/>
      <c r="M197" s="2591"/>
      <c r="N197" s="2591"/>
      <c r="O197" s="2591"/>
      <c r="P197" s="2591"/>
      <c r="Q197" s="2591"/>
      <c r="R197" s="2591"/>
      <c r="S197" s="2591"/>
    </row>
    <row r="198" customHeight="1" spans="1:19">
      <c r="A198" s="2650"/>
      <c r="B198" s="2653"/>
      <c r="C198" s="2654" t="s">
        <v>1522</v>
      </c>
      <c r="D198" s="2653"/>
      <c r="E198" s="2653"/>
      <c r="F198" s="2653"/>
      <c r="G198" s="2647"/>
      <c r="H198" s="2647">
        <f>G196</f>
        <v>-7296.39</v>
      </c>
      <c r="I198" s="2665" t="s">
        <v>1402</v>
      </c>
      <c r="J198" s="2666" t="s">
        <v>1514</v>
      </c>
      <c r="K198" s="2591" t="s">
        <v>1515</v>
      </c>
      <c r="L198" s="2591"/>
      <c r="M198" s="2591"/>
      <c r="N198" s="2591"/>
      <c r="O198" s="2591"/>
      <c r="P198" s="2591"/>
      <c r="Q198" s="2591"/>
      <c r="R198" s="2591"/>
      <c r="S198" s="2591"/>
    </row>
    <row r="199" customHeight="1" spans="1:19">
      <c r="A199" s="2650"/>
      <c r="B199" s="2653"/>
      <c r="C199" s="2654" t="s">
        <v>210</v>
      </c>
      <c r="D199" s="2653"/>
      <c r="E199" s="2653"/>
      <c r="F199" s="2653"/>
      <c r="G199" s="2647"/>
      <c r="H199" s="2647">
        <f>G197</f>
        <v>-287362.56</v>
      </c>
      <c r="I199" s="2665" t="s">
        <v>1402</v>
      </c>
      <c r="J199" s="2666" t="s">
        <v>1514</v>
      </c>
      <c r="K199" s="2591" t="s">
        <v>1518</v>
      </c>
      <c r="L199" s="2591"/>
      <c r="M199" s="2591"/>
      <c r="N199" s="2591"/>
      <c r="O199" s="2591"/>
      <c r="P199" s="2591"/>
      <c r="Q199" s="2591"/>
      <c r="R199" s="2591"/>
      <c r="S199" s="2591"/>
    </row>
    <row r="200" customHeight="1" spans="1:19">
      <c r="A200" s="2650"/>
      <c r="B200" s="2651" t="s">
        <v>1520</v>
      </c>
      <c r="C200" s="2654"/>
      <c r="D200" s="2653"/>
      <c r="E200" s="2653"/>
      <c r="F200" s="2653"/>
      <c r="G200" s="2647"/>
      <c r="H200" s="2647"/>
      <c r="I200" s="2665" t="s">
        <v>1402</v>
      </c>
      <c r="J200" s="2666"/>
      <c r="K200" s="2591"/>
      <c r="L200" s="2591"/>
      <c r="M200" s="2591"/>
      <c r="N200" s="2591"/>
      <c r="O200" s="2591"/>
      <c r="P200" s="2591"/>
      <c r="Q200" s="2591"/>
      <c r="R200" s="2591"/>
      <c r="S200" s="2591"/>
    </row>
    <row r="201" customHeight="1" spans="1:19">
      <c r="A201" s="2650"/>
      <c r="B201" s="2651"/>
      <c r="C201" s="2654" t="s">
        <v>1509</v>
      </c>
      <c r="D201" s="2653"/>
      <c r="E201" s="2653"/>
      <c r="F201" s="2653"/>
      <c r="G201" s="2647">
        <f>H198</f>
        <v>-7296.39</v>
      </c>
      <c r="H201" s="2647"/>
      <c r="I201" s="2665" t="s">
        <v>1402</v>
      </c>
      <c r="J201" s="2666" t="s">
        <v>1514</v>
      </c>
      <c r="K201" s="2591" t="s">
        <v>1515</v>
      </c>
      <c r="L201" s="2591"/>
      <c r="M201" s="2591"/>
      <c r="N201" s="2591"/>
      <c r="O201" s="2591"/>
      <c r="P201" s="2591"/>
      <c r="Q201" s="2591"/>
      <c r="R201" s="2591"/>
      <c r="S201" s="2591"/>
    </row>
    <row r="202" customHeight="1" spans="1:19">
      <c r="A202" s="2650"/>
      <c r="B202" s="2651"/>
      <c r="C202" s="2654" t="s">
        <v>210</v>
      </c>
      <c r="D202" s="2653"/>
      <c r="E202" s="2653"/>
      <c r="F202" s="2653"/>
      <c r="G202" s="2647"/>
      <c r="H202" s="2647">
        <f>G201</f>
        <v>-7296.39</v>
      </c>
      <c r="I202" s="2665" t="s">
        <v>1402</v>
      </c>
      <c r="J202" s="2666" t="s">
        <v>1514</v>
      </c>
      <c r="K202" s="2591" t="s">
        <v>1515</v>
      </c>
      <c r="L202" s="2591"/>
      <c r="M202" s="2591"/>
      <c r="N202" s="2591"/>
      <c r="O202" s="2591"/>
      <c r="P202" s="2591"/>
      <c r="Q202" s="2591"/>
      <c r="R202" s="2591"/>
      <c r="S202" s="2591"/>
    </row>
    <row r="203" customHeight="1" spans="1:19">
      <c r="A203" s="2642"/>
      <c r="B203" s="2636"/>
      <c r="C203" s="2636"/>
      <c r="D203" s="2636"/>
      <c r="E203" s="2636"/>
      <c r="F203" s="2636"/>
      <c r="G203" s="2640"/>
      <c r="H203" s="2640"/>
      <c r="I203" s="2663"/>
      <c r="J203" s="2591"/>
      <c r="K203" s="2591"/>
      <c r="L203" s="2591"/>
      <c r="M203" s="2591"/>
      <c r="N203" s="2591"/>
      <c r="O203" s="2591"/>
      <c r="P203" s="2591"/>
      <c r="Q203" s="2591"/>
      <c r="R203" s="2591"/>
      <c r="S203" s="2591"/>
    </row>
    <row r="204" customHeight="1" spans="1:19">
      <c r="A204" s="2642"/>
      <c r="B204" s="2636"/>
      <c r="C204" s="2636"/>
      <c r="D204" s="2636"/>
      <c r="E204" s="2636"/>
      <c r="F204" s="2636"/>
      <c r="G204" s="2640"/>
      <c r="H204" s="2640"/>
      <c r="I204" s="2663"/>
      <c r="J204" s="2591"/>
      <c r="K204" s="2591"/>
      <c r="L204" s="2591"/>
      <c r="M204" s="2591"/>
      <c r="N204" s="2591"/>
      <c r="O204" s="2591"/>
      <c r="P204" s="2591"/>
      <c r="Q204" s="2591"/>
      <c r="R204" s="2591"/>
      <c r="S204" s="2591"/>
    </row>
    <row r="205" spans="1:19">
      <c r="A205" s="2667" t="s">
        <v>1523</v>
      </c>
      <c r="B205" s="2668"/>
      <c r="C205" s="2652"/>
      <c r="D205" s="2646"/>
      <c r="E205" s="2646"/>
      <c r="F205" s="2646"/>
      <c r="G205" s="2647"/>
      <c r="H205" s="2647"/>
      <c r="I205" s="2664" t="s">
        <v>1402</v>
      </c>
      <c r="J205" s="2591"/>
      <c r="K205" s="2591"/>
      <c r="L205" s="2591"/>
      <c r="M205" s="2591"/>
      <c r="N205" s="2591"/>
      <c r="O205" s="2591"/>
      <c r="P205" s="2591"/>
      <c r="Q205" s="2591"/>
      <c r="R205" s="2591"/>
      <c r="S205" s="2591"/>
    </row>
    <row r="206" spans="1:19">
      <c r="A206" s="2649" t="s">
        <v>1524</v>
      </c>
      <c r="B206" s="2668"/>
      <c r="C206" s="2652"/>
      <c r="D206" s="2646"/>
      <c r="E206" s="2646"/>
      <c r="F206" s="2646"/>
      <c r="G206" s="2647"/>
      <c r="H206" s="2647"/>
      <c r="I206" s="2664" t="s">
        <v>1402</v>
      </c>
      <c r="J206" s="2591"/>
      <c r="K206" s="2591"/>
      <c r="L206" s="2591"/>
      <c r="M206" s="2591"/>
      <c r="N206" s="2591"/>
      <c r="O206" s="2591"/>
      <c r="P206" s="2591"/>
      <c r="Q206" s="2591"/>
      <c r="R206" s="2591"/>
      <c r="S206" s="2591"/>
    </row>
    <row r="207" customHeight="1" spans="1:19">
      <c r="A207" s="2648">
        <v>1</v>
      </c>
      <c r="B207" s="2645" t="s">
        <v>1525</v>
      </c>
      <c r="C207" s="2645"/>
      <c r="D207" s="2645"/>
      <c r="E207" s="2645"/>
      <c r="F207" s="2645"/>
      <c r="G207" s="2645"/>
      <c r="H207" s="2645"/>
      <c r="I207" s="2664" t="s">
        <v>1402</v>
      </c>
      <c r="J207" s="2591"/>
      <c r="K207" s="2591"/>
      <c r="L207" s="2591"/>
      <c r="M207" s="2591"/>
      <c r="N207" s="2591"/>
      <c r="O207" s="2591"/>
      <c r="P207" s="2591"/>
      <c r="Q207" s="2591"/>
      <c r="R207" s="2591"/>
      <c r="S207" s="2591"/>
    </row>
    <row r="208" customHeight="1" spans="1:19">
      <c r="A208" s="2648"/>
      <c r="B208" s="2645"/>
      <c r="C208" s="2645" t="s">
        <v>1522</v>
      </c>
      <c r="D208" s="2645"/>
      <c r="E208" s="2645" t="s">
        <v>1526</v>
      </c>
      <c r="F208" s="2645"/>
      <c r="G208" s="2647">
        <v>236.74</v>
      </c>
      <c r="H208" s="2647"/>
      <c r="I208" s="2664" t="s">
        <v>1402</v>
      </c>
      <c r="J208" s="2666" t="s">
        <v>1514</v>
      </c>
      <c r="K208" s="2591" t="s">
        <v>1527</v>
      </c>
      <c r="L208" s="2591"/>
      <c r="M208" s="2591"/>
      <c r="N208" s="2591"/>
      <c r="O208" s="2591"/>
      <c r="P208" s="2591"/>
      <c r="Q208" s="2591"/>
      <c r="R208" s="2591"/>
      <c r="S208" s="2591"/>
    </row>
    <row r="209" customHeight="1" spans="1:19">
      <c r="A209" s="2648"/>
      <c r="B209" s="2645"/>
      <c r="C209" s="2645" t="s">
        <v>1522</v>
      </c>
      <c r="D209" s="2645"/>
      <c r="E209" s="2645" t="s">
        <v>1528</v>
      </c>
      <c r="F209" s="2645"/>
      <c r="G209" s="2647">
        <v>3000000</v>
      </c>
      <c r="H209" s="2647"/>
      <c r="I209" s="2664" t="s">
        <v>1402</v>
      </c>
      <c r="J209" s="2666" t="s">
        <v>1514</v>
      </c>
      <c r="K209" s="2591" t="s">
        <v>1527</v>
      </c>
      <c r="L209" s="2591" t="s">
        <v>1529</v>
      </c>
      <c r="M209" s="2666" t="s">
        <v>1530</v>
      </c>
      <c r="N209" s="2591"/>
      <c r="O209" s="2591"/>
      <c r="P209" s="2591"/>
      <c r="Q209" s="2591"/>
      <c r="R209" s="2591"/>
      <c r="S209" s="2591"/>
    </row>
    <row r="210" customHeight="1" spans="1:19">
      <c r="A210" s="2648"/>
      <c r="B210" s="2645"/>
      <c r="C210" s="2645" t="s">
        <v>1522</v>
      </c>
      <c r="D210" s="2645"/>
      <c r="E210" s="2645" t="s">
        <v>1531</v>
      </c>
      <c r="F210" s="2645"/>
      <c r="G210" s="2647">
        <v>1308439.18</v>
      </c>
      <c r="H210" s="2647"/>
      <c r="I210" s="2664" t="s">
        <v>1402</v>
      </c>
      <c r="J210" s="2666" t="s">
        <v>1514</v>
      </c>
      <c r="K210" s="2591" t="s">
        <v>1527</v>
      </c>
      <c r="L210" s="2591" t="s">
        <v>1532</v>
      </c>
      <c r="M210" s="2666" t="s">
        <v>1533</v>
      </c>
      <c r="N210" s="2591"/>
      <c r="O210" s="2591"/>
      <c r="P210" s="2591"/>
      <c r="Q210" s="2591"/>
      <c r="R210" s="2591"/>
      <c r="S210" s="2591"/>
    </row>
    <row r="211" customHeight="1" spans="1:19">
      <c r="A211" s="2648"/>
      <c r="B211" s="2645"/>
      <c r="C211" s="2645" t="s">
        <v>1522</v>
      </c>
      <c r="D211" s="2645"/>
      <c r="E211" s="2645" t="s">
        <v>1534</v>
      </c>
      <c r="F211" s="2645"/>
      <c r="G211" s="2647">
        <v>772186.56</v>
      </c>
      <c r="H211" s="2647"/>
      <c r="I211" s="2664" t="s">
        <v>1402</v>
      </c>
      <c r="J211" s="2666" t="s">
        <v>1514</v>
      </c>
      <c r="K211" s="2591" t="s">
        <v>1527</v>
      </c>
      <c r="L211" s="2591" t="s">
        <v>1535</v>
      </c>
      <c r="M211" s="2666" t="s">
        <v>1536</v>
      </c>
      <c r="N211" s="2685">
        <f>G211-285000-110000-60000-70000-70000-80000-70000-27186.56</f>
        <v>5.45696821063757e-11</v>
      </c>
      <c r="O211" s="2591"/>
      <c r="P211" s="2591"/>
      <c r="Q211" s="2591"/>
      <c r="R211" s="2591"/>
      <c r="S211" s="2591"/>
    </row>
    <row r="212" customHeight="1" spans="1:19">
      <c r="A212" s="2667"/>
      <c r="B212" s="2645"/>
      <c r="C212" s="2645" t="s">
        <v>1537</v>
      </c>
      <c r="D212" s="2645"/>
      <c r="E212" s="2645" t="s">
        <v>1526</v>
      </c>
      <c r="F212" s="2645"/>
      <c r="G212" s="2647"/>
      <c r="H212" s="2647">
        <v>236.74</v>
      </c>
      <c r="I212" s="2664" t="s">
        <v>1402</v>
      </c>
      <c r="J212" s="2666" t="s">
        <v>1514</v>
      </c>
      <c r="K212" s="2591" t="s">
        <v>1527</v>
      </c>
      <c r="L212" s="2591"/>
      <c r="M212" s="2591"/>
      <c r="N212" s="2591"/>
      <c r="O212" s="2591"/>
      <c r="P212" s="2591"/>
      <c r="Q212" s="2591"/>
      <c r="R212" s="2591"/>
      <c r="S212" s="2591"/>
    </row>
    <row r="213" customHeight="1" spans="1:19">
      <c r="A213" s="2667"/>
      <c r="B213" s="2645"/>
      <c r="C213" s="2645" t="s">
        <v>1537</v>
      </c>
      <c r="D213" s="2645"/>
      <c r="E213" s="2645" t="s">
        <v>1528</v>
      </c>
      <c r="F213" s="2645"/>
      <c r="G213" s="2647"/>
      <c r="H213" s="2647">
        <v>3000000</v>
      </c>
      <c r="I213" s="2664" t="s">
        <v>1402</v>
      </c>
      <c r="J213" s="2666" t="s">
        <v>1514</v>
      </c>
      <c r="K213" s="2591" t="s">
        <v>1527</v>
      </c>
      <c r="L213" s="2591" t="s">
        <v>1529</v>
      </c>
      <c r="M213" s="2666" t="s">
        <v>1530</v>
      </c>
      <c r="N213" s="2591"/>
      <c r="O213" s="2591"/>
      <c r="P213" s="2591"/>
      <c r="Q213" s="2591"/>
      <c r="R213" s="2591"/>
      <c r="S213" s="2591"/>
    </row>
    <row r="214" customHeight="1" spans="1:19">
      <c r="A214" s="2667"/>
      <c r="B214" s="2645"/>
      <c r="C214" s="2645" t="s">
        <v>1537</v>
      </c>
      <c r="D214" s="2645"/>
      <c r="E214" s="2645" t="s">
        <v>1531</v>
      </c>
      <c r="F214" s="2645"/>
      <c r="G214" s="2647"/>
      <c r="H214" s="2647">
        <v>1308439.18</v>
      </c>
      <c r="I214" s="2664" t="s">
        <v>1402</v>
      </c>
      <c r="J214" s="2666" t="s">
        <v>1514</v>
      </c>
      <c r="K214" s="2591" t="s">
        <v>1527</v>
      </c>
      <c r="L214" s="2591" t="s">
        <v>1532</v>
      </c>
      <c r="M214" s="2666" t="s">
        <v>1533</v>
      </c>
      <c r="N214" s="2591"/>
      <c r="O214" s="2591"/>
      <c r="P214" s="2591"/>
      <c r="Q214" s="2591"/>
      <c r="R214" s="2591"/>
      <c r="S214" s="2591"/>
    </row>
    <row r="215" customHeight="1" spans="1:19">
      <c r="A215" s="2667"/>
      <c r="B215" s="2645"/>
      <c r="C215" s="2645" t="s">
        <v>1537</v>
      </c>
      <c r="D215" s="2645"/>
      <c r="E215" s="2645" t="s">
        <v>1534</v>
      </c>
      <c r="F215" s="2645"/>
      <c r="G215" s="2647"/>
      <c r="H215" s="2647">
        <v>772186.56</v>
      </c>
      <c r="I215" s="2664" t="s">
        <v>1402</v>
      </c>
      <c r="J215" s="2666" t="s">
        <v>1514</v>
      </c>
      <c r="K215" s="2591" t="s">
        <v>1527</v>
      </c>
      <c r="L215" s="2591" t="s">
        <v>1535</v>
      </c>
      <c r="M215" s="2591"/>
      <c r="N215" s="2591"/>
      <c r="O215" s="2591"/>
      <c r="P215" s="2591"/>
      <c r="Q215" s="2591"/>
      <c r="R215" s="2591"/>
      <c r="S215" s="2591"/>
    </row>
    <row r="216" customHeight="1" spans="1:19">
      <c r="A216" s="2667"/>
      <c r="B216" s="2645"/>
      <c r="C216" s="2645"/>
      <c r="D216" s="2645"/>
      <c r="E216" s="2645"/>
      <c r="F216" s="2645"/>
      <c r="G216" s="2647"/>
      <c r="H216" s="2647"/>
      <c r="I216" s="2664" t="s">
        <v>1402</v>
      </c>
      <c r="J216" s="2591"/>
      <c r="K216" s="2591"/>
      <c r="L216" s="2591"/>
      <c r="M216" s="2591"/>
      <c r="N216" s="2591"/>
      <c r="O216" s="2591"/>
      <c r="P216" s="2591"/>
      <c r="Q216" s="2591"/>
      <c r="R216" s="2591"/>
      <c r="S216" s="2591"/>
    </row>
    <row r="217" customHeight="1" spans="1:19">
      <c r="A217" s="2648">
        <v>2</v>
      </c>
      <c r="B217" s="2645" t="s">
        <v>1538</v>
      </c>
      <c r="C217" s="2645"/>
      <c r="D217" s="2645"/>
      <c r="E217" s="2645"/>
      <c r="F217" s="2669"/>
      <c r="G217" s="2670"/>
      <c r="H217" s="2647"/>
      <c r="I217" s="2664" t="s">
        <v>1402</v>
      </c>
      <c r="J217" s="2591"/>
      <c r="K217" s="2591"/>
      <c r="M217" s="2591"/>
      <c r="N217" s="2591"/>
      <c r="O217" s="2591"/>
      <c r="P217" s="2591"/>
      <c r="Q217" s="2591"/>
      <c r="R217" s="2591"/>
      <c r="S217" s="2591"/>
    </row>
    <row r="218" customHeight="1" spans="1:19">
      <c r="A218" s="2667"/>
      <c r="B218" s="2645"/>
      <c r="C218" s="2645" t="s">
        <v>1539</v>
      </c>
      <c r="D218" s="2645"/>
      <c r="E218" s="2645"/>
      <c r="F218" s="2669"/>
      <c r="G218" s="2647">
        <v>17624444.44</v>
      </c>
      <c r="H218" s="2647"/>
      <c r="I218" s="2664" t="s">
        <v>1402</v>
      </c>
      <c r="J218" s="2666" t="s">
        <v>1506</v>
      </c>
      <c r="K218" s="2591"/>
      <c r="L218" s="2591"/>
      <c r="M218" s="2591"/>
      <c r="N218" s="2591"/>
      <c r="O218" s="2591"/>
      <c r="P218" s="2591"/>
      <c r="Q218" s="2591"/>
      <c r="R218" s="2591"/>
      <c r="S218" s="2591"/>
    </row>
    <row r="219" customHeight="1" spans="1:19">
      <c r="A219" s="2667"/>
      <c r="B219" s="2645"/>
      <c r="C219" s="2645" t="s">
        <v>1540</v>
      </c>
      <c r="D219" s="2645"/>
      <c r="E219" s="2645"/>
      <c r="F219" s="2669"/>
      <c r="G219" s="2647"/>
      <c r="H219" s="2647">
        <v>17624444.44</v>
      </c>
      <c r="I219" s="2664" t="s">
        <v>1402</v>
      </c>
      <c r="J219" s="2666" t="s">
        <v>1506</v>
      </c>
      <c r="K219" s="2591"/>
      <c r="L219" s="2591"/>
      <c r="M219" s="2591"/>
      <c r="N219" s="2591"/>
      <c r="O219" s="2591"/>
      <c r="P219" s="2591"/>
      <c r="Q219" s="2591"/>
      <c r="R219" s="2591"/>
      <c r="S219" s="2591"/>
    </row>
    <row r="220" customHeight="1" spans="1:19">
      <c r="A220" s="2671"/>
      <c r="B220" s="2636"/>
      <c r="C220" s="2636"/>
      <c r="D220" s="2636"/>
      <c r="E220" s="2636"/>
      <c r="F220" s="2638"/>
      <c r="G220" s="2640"/>
      <c r="H220" s="2640"/>
      <c r="I220" s="2663"/>
      <c r="J220" s="2591"/>
      <c r="K220" s="2591"/>
      <c r="L220" s="2591"/>
      <c r="M220" s="2591"/>
      <c r="N220" s="2591"/>
      <c r="O220" s="2591"/>
      <c r="P220" s="2591"/>
      <c r="Q220" s="2591"/>
      <c r="R220" s="2591"/>
      <c r="S220" s="2591"/>
    </row>
    <row r="221" spans="1:19">
      <c r="A221" s="2649" t="s">
        <v>1541</v>
      </c>
      <c r="B221" s="2668"/>
      <c r="C221" s="2652"/>
      <c r="D221" s="2646"/>
      <c r="E221" s="2646"/>
      <c r="F221" s="2646"/>
      <c r="G221" s="2647"/>
      <c r="H221" s="2647"/>
      <c r="I221" s="2664" t="s">
        <v>1402</v>
      </c>
      <c r="J221" s="2591"/>
      <c r="K221" s="2591"/>
      <c r="L221" s="2591"/>
      <c r="M221" s="2591"/>
      <c r="N221" s="2591"/>
      <c r="O221" s="2591"/>
      <c r="P221" s="2591"/>
      <c r="Q221" s="2591"/>
      <c r="R221" s="2591"/>
      <c r="S221" s="2591"/>
    </row>
    <row r="222" spans="1:19">
      <c r="A222" s="2648">
        <v>1</v>
      </c>
      <c r="B222" s="2645" t="s">
        <v>1542</v>
      </c>
      <c r="C222" s="2654"/>
      <c r="D222" s="2669"/>
      <c r="E222" s="2672"/>
      <c r="F222" s="2669"/>
      <c r="G222" s="2647"/>
      <c r="H222" s="2647"/>
      <c r="I222" s="2664" t="s">
        <v>1402</v>
      </c>
      <c r="J222" s="2591"/>
      <c r="K222" s="2591"/>
      <c r="L222" s="2591"/>
      <c r="M222" s="2591"/>
      <c r="N222" s="2591"/>
      <c r="O222" s="2591"/>
      <c r="P222" s="2591"/>
      <c r="Q222" s="2591"/>
      <c r="R222" s="2591"/>
      <c r="S222" s="2591"/>
    </row>
    <row r="223" spans="1:19">
      <c r="A223" s="2648"/>
      <c r="B223" s="2673"/>
      <c r="C223" s="2674" t="s">
        <v>1519</v>
      </c>
      <c r="D223" s="2669"/>
      <c r="E223" s="2672" t="s">
        <v>1543</v>
      </c>
      <c r="F223" s="2669"/>
      <c r="G223" s="2647">
        <v>-1925881</v>
      </c>
      <c r="H223" s="2647"/>
      <c r="I223" s="2664" t="s">
        <v>1402</v>
      </c>
      <c r="J223" s="2666" t="s">
        <v>1544</v>
      </c>
      <c r="K223" s="2591" t="s">
        <v>1545</v>
      </c>
      <c r="L223" s="2591"/>
      <c r="M223" s="2591"/>
      <c r="N223" s="2591"/>
      <c r="O223" s="2591"/>
      <c r="P223" s="2591"/>
      <c r="Q223" s="2591"/>
      <c r="R223" s="2591"/>
      <c r="S223" s="2591"/>
    </row>
    <row r="224" spans="1:19">
      <c r="A224" s="2648"/>
      <c r="B224" s="2673"/>
      <c r="C224" s="2674" t="s">
        <v>1505</v>
      </c>
      <c r="D224" s="2669"/>
      <c r="E224" s="2672" t="s">
        <v>1543</v>
      </c>
      <c r="F224" s="2669"/>
      <c r="G224" s="2647"/>
      <c r="H224" s="2647">
        <v>-1925881</v>
      </c>
      <c r="I224" s="2664" t="s">
        <v>1402</v>
      </c>
      <c r="J224" s="2666" t="s">
        <v>1544</v>
      </c>
      <c r="K224" s="2591" t="s">
        <v>1545</v>
      </c>
      <c r="L224" s="2591"/>
      <c r="M224" s="2591"/>
      <c r="N224" s="2591"/>
      <c r="O224" s="2591"/>
      <c r="P224" s="2591"/>
      <c r="Q224" s="2591"/>
      <c r="R224" s="2591"/>
      <c r="S224" s="2591"/>
    </row>
    <row r="225" spans="1:19">
      <c r="A225" s="2648"/>
      <c r="B225" s="2645" t="s">
        <v>1546</v>
      </c>
      <c r="C225" s="2652"/>
      <c r="D225" s="2646"/>
      <c r="E225" s="2646"/>
      <c r="F225" s="2646"/>
      <c r="G225" s="2647"/>
      <c r="H225" s="2647"/>
      <c r="I225" s="2664" t="s">
        <v>1402</v>
      </c>
      <c r="J225" s="2666"/>
      <c r="K225" s="2591"/>
      <c r="L225" s="2591"/>
      <c r="M225" s="2591"/>
      <c r="N225" s="2591"/>
      <c r="O225" s="2591"/>
      <c r="P225" s="2591"/>
      <c r="Q225" s="2591"/>
      <c r="R225" s="2591"/>
      <c r="S225" s="2591"/>
    </row>
    <row r="226" spans="1:19">
      <c r="A226" s="2648"/>
      <c r="B226" s="2668"/>
      <c r="C226" s="2674" t="s">
        <v>1519</v>
      </c>
      <c r="D226" s="2646"/>
      <c r="E226" s="2646"/>
      <c r="F226" s="2646"/>
      <c r="G226" s="2647">
        <v>-571699.54</v>
      </c>
      <c r="H226" s="2647"/>
      <c r="I226" s="2664" t="s">
        <v>1402</v>
      </c>
      <c r="J226" s="2666" t="s">
        <v>1544</v>
      </c>
      <c r="K226" s="2591" t="s">
        <v>1545</v>
      </c>
      <c r="L226" s="2591"/>
      <c r="M226" s="2591"/>
      <c r="N226" s="2591"/>
      <c r="O226" s="2591"/>
      <c r="P226" s="2591"/>
      <c r="Q226" s="2591"/>
      <c r="R226" s="2591"/>
      <c r="S226" s="2591"/>
    </row>
    <row r="227" spans="1:19">
      <c r="A227" s="2648"/>
      <c r="B227" s="2668"/>
      <c r="C227" s="2674" t="s">
        <v>1547</v>
      </c>
      <c r="D227" s="2646"/>
      <c r="E227" s="2646" t="s">
        <v>1548</v>
      </c>
      <c r="F227" s="2646"/>
      <c r="G227" s="2647"/>
      <c r="H227" s="2647">
        <f>G226</f>
        <v>-571699.54</v>
      </c>
      <c r="I227" s="2664" t="s">
        <v>1402</v>
      </c>
      <c r="J227" s="2666" t="s">
        <v>1544</v>
      </c>
      <c r="K227" s="2591" t="s">
        <v>1545</v>
      </c>
      <c r="L227" s="2591"/>
      <c r="M227" s="2591"/>
      <c r="N227" s="2591"/>
      <c r="O227" s="2591"/>
      <c r="P227" s="2591"/>
      <c r="Q227" s="2591"/>
      <c r="R227" s="2591"/>
      <c r="S227" s="2591"/>
    </row>
    <row r="228" spans="1:19">
      <c r="A228" s="2648"/>
      <c r="B228" s="2645" t="s">
        <v>1549</v>
      </c>
      <c r="C228" s="2652"/>
      <c r="D228" s="2646"/>
      <c r="E228" s="2646"/>
      <c r="F228" s="2646"/>
      <c r="G228" s="2647"/>
      <c r="H228" s="2647"/>
      <c r="I228" s="2664" t="s">
        <v>1402</v>
      </c>
      <c r="J228" s="2666"/>
      <c r="K228" s="2591"/>
      <c r="L228" s="2591"/>
      <c r="M228" s="2591"/>
      <c r="N228" s="2591"/>
      <c r="O228" s="2591"/>
      <c r="P228" s="2591"/>
      <c r="Q228" s="2591"/>
      <c r="R228" s="2591"/>
      <c r="S228" s="2591"/>
    </row>
    <row r="229" spans="1:19">
      <c r="A229" s="2648"/>
      <c r="B229" s="2668"/>
      <c r="C229" s="2674" t="s">
        <v>202</v>
      </c>
      <c r="D229" s="2646"/>
      <c r="E229" s="2672" t="s">
        <v>1543</v>
      </c>
      <c r="F229" s="2646"/>
      <c r="G229" s="2647">
        <v>-1925881</v>
      </c>
      <c r="H229" s="2647"/>
      <c r="I229" s="2664" t="s">
        <v>1402</v>
      </c>
      <c r="J229" s="2666" t="s">
        <v>1544</v>
      </c>
      <c r="K229" s="2591" t="s">
        <v>1545</v>
      </c>
      <c r="L229" s="2591"/>
      <c r="M229" s="2591"/>
      <c r="N229" s="2591"/>
      <c r="O229" s="2591"/>
      <c r="P229" s="2591"/>
      <c r="Q229" s="2591"/>
      <c r="R229" s="2591"/>
      <c r="S229" s="2591"/>
    </row>
    <row r="230" spans="1:19">
      <c r="A230" s="2648"/>
      <c r="B230" s="2668"/>
      <c r="C230" s="2674" t="s">
        <v>202</v>
      </c>
      <c r="D230" s="2646"/>
      <c r="E230" s="2672" t="s">
        <v>1550</v>
      </c>
      <c r="F230" s="2646"/>
      <c r="G230" s="2647">
        <v>-571699.54</v>
      </c>
      <c r="H230" s="2647"/>
      <c r="I230" s="2664" t="s">
        <v>1402</v>
      </c>
      <c r="J230" s="2666" t="s">
        <v>1544</v>
      </c>
      <c r="K230" s="2591" t="s">
        <v>1545</v>
      </c>
      <c r="L230" s="2591"/>
      <c r="M230" s="2591"/>
      <c r="N230" s="2591"/>
      <c r="O230" s="2591"/>
      <c r="P230" s="2591"/>
      <c r="Q230" s="2591"/>
      <c r="R230" s="2591"/>
      <c r="S230" s="2591"/>
    </row>
    <row r="231" spans="1:19">
      <c r="A231" s="2648"/>
      <c r="B231" s="2668"/>
      <c r="C231" s="2674" t="s">
        <v>1509</v>
      </c>
      <c r="D231" s="2646"/>
      <c r="E231" s="2646"/>
      <c r="F231" s="2646"/>
      <c r="G231" s="2647"/>
      <c r="H231" s="2647">
        <v>-2497580.54</v>
      </c>
      <c r="I231" s="2664" t="s">
        <v>1402</v>
      </c>
      <c r="J231" s="2666" t="s">
        <v>1544</v>
      </c>
      <c r="K231" s="2591" t="s">
        <v>1545</v>
      </c>
      <c r="L231" s="2591"/>
      <c r="M231" s="2591"/>
      <c r="N231" s="2591"/>
      <c r="O231" s="2591"/>
      <c r="P231" s="2591"/>
      <c r="Q231" s="2591"/>
      <c r="R231" s="2591"/>
      <c r="S231" s="2591"/>
    </row>
    <row r="232" spans="1:19">
      <c r="A232" s="2642"/>
      <c r="B232" s="2675"/>
      <c r="C232" s="2676"/>
      <c r="D232" s="2677"/>
      <c r="E232" s="2677"/>
      <c r="F232" s="2677"/>
      <c r="G232" s="2640"/>
      <c r="H232" s="2640"/>
      <c r="I232" s="2663"/>
      <c r="J232" s="2666"/>
      <c r="K232" s="2591"/>
      <c r="L232" s="2591"/>
      <c r="M232" s="2591"/>
      <c r="N232" s="2591"/>
      <c r="O232" s="2591"/>
      <c r="P232" s="2591"/>
      <c r="Q232" s="2591"/>
      <c r="R232" s="2591"/>
      <c r="S232" s="2591"/>
    </row>
    <row r="233" spans="1:19">
      <c r="A233" s="2648">
        <v>2</v>
      </c>
      <c r="B233" s="2645" t="s">
        <v>1551</v>
      </c>
      <c r="C233" s="2654"/>
      <c r="D233" s="2669"/>
      <c r="E233" s="2672"/>
      <c r="F233" s="2669"/>
      <c r="G233" s="2647"/>
      <c r="H233" s="2647"/>
      <c r="I233" s="2664" t="s">
        <v>1402</v>
      </c>
      <c r="J233" s="2666"/>
      <c r="K233" s="2591"/>
      <c r="L233" s="2591"/>
      <c r="M233" s="2591"/>
      <c r="N233" s="2591"/>
      <c r="O233" s="2591"/>
      <c r="P233" s="2591"/>
      <c r="Q233" s="2591"/>
      <c r="R233" s="2591"/>
      <c r="S233" s="2591"/>
    </row>
    <row r="234" spans="1:19">
      <c r="A234" s="2648"/>
      <c r="B234" s="2673"/>
      <c r="C234" s="2674" t="s">
        <v>1519</v>
      </c>
      <c r="D234" s="2669"/>
      <c r="E234" s="2672" t="s">
        <v>1543</v>
      </c>
      <c r="F234" s="2669"/>
      <c r="G234" s="2647">
        <v>-3110592</v>
      </c>
      <c r="H234" s="2647"/>
      <c r="I234" s="2664" t="s">
        <v>1402</v>
      </c>
      <c r="J234" s="2666" t="s">
        <v>1544</v>
      </c>
      <c r="K234" s="2591" t="s">
        <v>1545</v>
      </c>
      <c r="L234" s="2591"/>
      <c r="M234" s="2591"/>
      <c r="N234" s="2591"/>
      <c r="O234" s="2591"/>
      <c r="P234" s="2591"/>
      <c r="Q234" s="2591"/>
      <c r="R234" s="2591"/>
      <c r="S234" s="2591"/>
    </row>
    <row r="235" spans="1:19">
      <c r="A235" s="2648"/>
      <c r="B235" s="2673"/>
      <c r="C235" s="2674" t="s">
        <v>1505</v>
      </c>
      <c r="D235" s="2669"/>
      <c r="E235" s="2672"/>
      <c r="F235" s="2669"/>
      <c r="G235" s="2647"/>
      <c r="H235" s="2647">
        <v>-3110592</v>
      </c>
      <c r="I235" s="2664" t="s">
        <v>1402</v>
      </c>
      <c r="J235" s="2666" t="s">
        <v>1544</v>
      </c>
      <c r="K235" s="2591" t="s">
        <v>1545</v>
      </c>
      <c r="L235" s="2591"/>
      <c r="M235" s="2591"/>
      <c r="N235" s="2591"/>
      <c r="O235" s="2591"/>
      <c r="P235" s="2591"/>
      <c r="Q235" s="2591"/>
      <c r="R235" s="2591"/>
      <c r="S235" s="2591"/>
    </row>
    <row r="236" spans="1:19">
      <c r="A236" s="2648"/>
      <c r="B236" s="2645" t="s">
        <v>1520</v>
      </c>
      <c r="C236" s="2678"/>
      <c r="D236" s="2646"/>
      <c r="E236" s="2646"/>
      <c r="F236" s="2646"/>
      <c r="G236" s="2647"/>
      <c r="H236" s="2647"/>
      <c r="I236" s="2664" t="s">
        <v>1402</v>
      </c>
      <c r="J236" s="2666"/>
      <c r="K236" s="2591"/>
      <c r="L236" s="2591"/>
      <c r="M236" s="2591"/>
      <c r="N236" s="2591"/>
      <c r="O236" s="2591"/>
      <c r="P236" s="2591"/>
      <c r="Q236" s="2591"/>
      <c r="R236" s="2591"/>
      <c r="S236" s="2591"/>
    </row>
    <row r="237" spans="1:19">
      <c r="A237" s="2648"/>
      <c r="B237" s="2668"/>
      <c r="C237" s="2679" t="s">
        <v>202</v>
      </c>
      <c r="D237" s="2680"/>
      <c r="E237" s="2681" t="s">
        <v>1543</v>
      </c>
      <c r="F237" s="2680"/>
      <c r="G237" s="2682">
        <v>-3110592</v>
      </c>
      <c r="H237" s="2647"/>
      <c r="I237" s="2664" t="s">
        <v>1402</v>
      </c>
      <c r="J237" s="2666" t="s">
        <v>1544</v>
      </c>
      <c r="K237" s="2591" t="s">
        <v>1545</v>
      </c>
      <c r="L237" s="2591"/>
      <c r="M237" s="2591"/>
      <c r="N237" s="2591"/>
      <c r="O237" s="2591"/>
      <c r="P237" s="2591"/>
      <c r="Q237" s="2591"/>
      <c r="R237" s="2591"/>
      <c r="S237" s="2591"/>
    </row>
    <row r="238" spans="1:19">
      <c r="A238" s="2648"/>
      <c r="B238" s="2668"/>
      <c r="C238" s="2678" t="s">
        <v>1509</v>
      </c>
      <c r="D238" s="2646"/>
      <c r="E238" s="2646"/>
      <c r="F238" s="2646"/>
      <c r="G238" s="2647"/>
      <c r="H238" s="2647">
        <v>-3110592</v>
      </c>
      <c r="I238" s="2664" t="s">
        <v>1402</v>
      </c>
      <c r="J238" s="2666" t="s">
        <v>1544</v>
      </c>
      <c r="K238" s="2591" t="s">
        <v>1545</v>
      </c>
      <c r="L238" s="2591"/>
      <c r="M238" s="2591"/>
      <c r="N238" s="2591"/>
      <c r="O238" s="2591"/>
      <c r="P238" s="2591"/>
      <c r="Q238" s="2591"/>
      <c r="R238" s="2591"/>
      <c r="S238" s="2591"/>
    </row>
    <row r="239" spans="1:19">
      <c r="A239" s="2642"/>
      <c r="B239" s="2683"/>
      <c r="C239" s="2637"/>
      <c r="D239" s="2638"/>
      <c r="E239" s="2639"/>
      <c r="F239" s="2638"/>
      <c r="G239" s="2640"/>
      <c r="H239" s="2640"/>
      <c r="I239" s="2663"/>
      <c r="J239" s="2591"/>
      <c r="K239" s="2591"/>
      <c r="L239" s="2591"/>
      <c r="M239" s="2591"/>
      <c r="N239" s="2591"/>
      <c r="O239" s="2591"/>
      <c r="P239" s="2591"/>
      <c r="Q239" s="2591"/>
      <c r="R239" s="2591"/>
      <c r="S239" s="2591"/>
    </row>
    <row r="240" spans="1:19">
      <c r="A240" s="2642"/>
      <c r="B240" s="2675"/>
      <c r="C240" s="2637"/>
      <c r="D240" s="2677"/>
      <c r="E240" s="2677"/>
      <c r="F240" s="2677"/>
      <c r="G240" s="2640"/>
      <c r="H240" s="2640"/>
      <c r="I240" s="2663"/>
      <c r="J240" s="2591"/>
      <c r="K240" s="2591"/>
      <c r="L240" s="2591"/>
      <c r="M240" s="2591"/>
      <c r="N240" s="2591"/>
      <c r="O240" s="2591"/>
      <c r="P240" s="2591"/>
      <c r="Q240" s="2591"/>
      <c r="R240" s="2591"/>
      <c r="S240" s="2591"/>
    </row>
    <row r="241" spans="1:19">
      <c r="A241" s="2648">
        <v>4</v>
      </c>
      <c r="B241" s="2668" t="s">
        <v>1552</v>
      </c>
      <c r="C241" s="2652"/>
      <c r="D241" s="2646"/>
      <c r="E241" s="2646"/>
      <c r="F241" s="2646"/>
      <c r="G241" s="2647"/>
      <c r="H241" s="2647"/>
      <c r="I241" s="2664" t="s">
        <v>1402</v>
      </c>
      <c r="J241" s="2591"/>
      <c r="K241" s="2591"/>
      <c r="L241" s="2591"/>
      <c r="M241" s="2591"/>
      <c r="N241" s="2591"/>
      <c r="O241" s="2591"/>
      <c r="P241" s="2591"/>
      <c r="Q241" s="2591"/>
      <c r="R241" s="2591"/>
      <c r="S241" s="2591"/>
    </row>
    <row r="242" spans="1:19">
      <c r="A242" s="2648"/>
      <c r="B242" s="2668"/>
      <c r="C242" s="2674" t="s">
        <v>1519</v>
      </c>
      <c r="D242" s="2646"/>
      <c r="E242" s="2672" t="s">
        <v>1553</v>
      </c>
      <c r="F242" s="2646"/>
      <c r="G242" s="2647">
        <v>-409607.55</v>
      </c>
      <c r="H242" s="2647"/>
      <c r="I242" s="2664" t="s">
        <v>1402</v>
      </c>
      <c r="J242" s="2666" t="s">
        <v>1544</v>
      </c>
      <c r="K242" s="2591" t="s">
        <v>1554</v>
      </c>
      <c r="L242" s="2591"/>
      <c r="M242" s="2591"/>
      <c r="N242" s="2591"/>
      <c r="O242" s="2591"/>
      <c r="P242" s="2591"/>
      <c r="Q242" s="2591"/>
      <c r="R242" s="2591"/>
      <c r="S242" s="2591"/>
    </row>
    <row r="243" spans="1:19">
      <c r="A243" s="2648"/>
      <c r="B243" s="2668"/>
      <c r="C243" s="2674" t="s">
        <v>1547</v>
      </c>
      <c r="D243" s="2646"/>
      <c r="E243" s="2646" t="s">
        <v>1555</v>
      </c>
      <c r="F243" s="2646"/>
      <c r="G243" s="2647"/>
      <c r="H243" s="2647">
        <v>-409607.55</v>
      </c>
      <c r="I243" s="2664" t="s">
        <v>1402</v>
      </c>
      <c r="J243" s="2666" t="s">
        <v>1544</v>
      </c>
      <c r="K243" s="2591" t="s">
        <v>1554</v>
      </c>
      <c r="L243" s="2591"/>
      <c r="M243" s="2591"/>
      <c r="N243" s="2591"/>
      <c r="O243" s="2591"/>
      <c r="P243" s="2591"/>
      <c r="Q243" s="2591"/>
      <c r="R243" s="2591"/>
      <c r="S243" s="2591"/>
    </row>
    <row r="244" spans="1:19">
      <c r="A244" s="2648">
        <v>5</v>
      </c>
      <c r="B244" s="2668" t="s">
        <v>1556</v>
      </c>
      <c r="C244" s="2652"/>
      <c r="D244" s="2646"/>
      <c r="E244" s="2646"/>
      <c r="F244" s="2646"/>
      <c r="G244" s="2647"/>
      <c r="H244" s="2647"/>
      <c r="I244" s="2664" t="s">
        <v>1402</v>
      </c>
      <c r="J244" s="2591"/>
      <c r="K244" s="2591"/>
      <c r="L244" s="2591"/>
      <c r="M244" s="2591"/>
      <c r="N244" s="2591"/>
      <c r="O244" s="2591"/>
      <c r="P244" s="2591"/>
      <c r="Q244" s="2591"/>
      <c r="R244" s="2591"/>
      <c r="S244" s="2591"/>
    </row>
    <row r="245" spans="1:19">
      <c r="A245" s="2648"/>
      <c r="B245" s="2668"/>
      <c r="C245" s="2679" t="s">
        <v>202</v>
      </c>
      <c r="D245" s="2680"/>
      <c r="E245" s="2681" t="s">
        <v>1557</v>
      </c>
      <c r="F245" s="2684"/>
      <c r="G245" s="2647">
        <v>-901136.64</v>
      </c>
      <c r="H245" s="2647"/>
      <c r="I245" s="2664" t="s">
        <v>1402</v>
      </c>
      <c r="J245" s="2666" t="s">
        <v>1544</v>
      </c>
      <c r="K245" s="2591" t="s">
        <v>1558</v>
      </c>
      <c r="L245" s="2591"/>
      <c r="M245" s="2591"/>
      <c r="N245" s="2591"/>
      <c r="O245" s="2591"/>
      <c r="P245" s="2591"/>
      <c r="Q245" s="2591"/>
      <c r="R245" s="2591"/>
      <c r="S245" s="2591"/>
    </row>
    <row r="246" spans="1:19">
      <c r="A246" s="2648"/>
      <c r="B246" s="2668"/>
      <c r="C246" s="2678" t="s">
        <v>1559</v>
      </c>
      <c r="D246" s="2646"/>
      <c r="E246" s="2646" t="s">
        <v>1560</v>
      </c>
      <c r="F246" s="2646"/>
      <c r="G246" s="2647"/>
      <c r="H246" s="2647">
        <v>-491529.09</v>
      </c>
      <c r="I246" s="2664" t="s">
        <v>1402</v>
      </c>
      <c r="J246" s="2666" t="s">
        <v>1544</v>
      </c>
      <c r="K246" s="2591" t="s">
        <v>1558</v>
      </c>
      <c r="L246" s="2591"/>
      <c r="M246" s="2591"/>
      <c r="N246" s="2591"/>
      <c r="O246" s="2591"/>
      <c r="P246" s="2591"/>
      <c r="Q246" s="2591"/>
      <c r="R246" s="2591"/>
      <c r="S246" s="2591"/>
    </row>
    <row r="247" spans="1:19">
      <c r="A247" s="2648"/>
      <c r="B247" s="2668"/>
      <c r="C247" s="2678" t="s">
        <v>1509</v>
      </c>
      <c r="D247" s="2646"/>
      <c r="E247" s="2646"/>
      <c r="F247" s="2646"/>
      <c r="G247" s="2647"/>
      <c r="H247" s="2647">
        <v>-409607.55</v>
      </c>
      <c r="I247" s="2664" t="s">
        <v>1402</v>
      </c>
      <c r="J247" s="2666" t="s">
        <v>1544</v>
      </c>
      <c r="K247" s="2591" t="s">
        <v>1558</v>
      </c>
      <c r="L247" s="2591"/>
      <c r="M247" s="2591"/>
      <c r="N247" s="2591"/>
      <c r="O247" s="2591"/>
      <c r="P247" s="2591"/>
      <c r="Q247" s="2591"/>
      <c r="R247" s="2591"/>
      <c r="S247" s="2591"/>
    </row>
    <row r="248" spans="1:19">
      <c r="A248" s="2642"/>
      <c r="B248" s="2675"/>
      <c r="C248" s="2637"/>
      <c r="D248" s="2677"/>
      <c r="E248" s="2677"/>
      <c r="F248" s="2677"/>
      <c r="G248" s="2640"/>
      <c r="H248" s="2640"/>
      <c r="I248" s="2663"/>
      <c r="J248" s="2591"/>
      <c r="K248" s="2591"/>
      <c r="L248" s="2591"/>
      <c r="M248" s="2591"/>
      <c r="N248" s="2591"/>
      <c r="O248" s="2591"/>
      <c r="P248" s="2591"/>
      <c r="Q248" s="2591"/>
      <c r="R248" s="2591"/>
      <c r="S248" s="2591"/>
    </row>
    <row r="249" spans="1:19">
      <c r="A249" s="2648">
        <v>6</v>
      </c>
      <c r="B249" s="2668" t="s">
        <v>1561</v>
      </c>
      <c r="C249" s="2652"/>
      <c r="D249" s="2646"/>
      <c r="E249" s="2646"/>
      <c r="F249" s="2646"/>
      <c r="G249" s="2647"/>
      <c r="H249" s="2647"/>
      <c r="I249" s="2664"/>
      <c r="J249" s="2591"/>
      <c r="K249" s="2591"/>
      <c r="L249" s="2591"/>
      <c r="M249" s="2591"/>
      <c r="N249" s="2591"/>
      <c r="O249" s="2591"/>
      <c r="P249" s="2591"/>
      <c r="Q249" s="2591"/>
      <c r="R249" s="2591"/>
      <c r="S249" s="2591"/>
    </row>
    <row r="250" spans="1:19">
      <c r="A250" s="2648"/>
      <c r="B250" s="2668"/>
      <c r="C250" s="2674" t="s">
        <v>1519</v>
      </c>
      <c r="D250" s="2646"/>
      <c r="E250" s="2672" t="s">
        <v>1562</v>
      </c>
      <c r="F250" s="2646"/>
      <c r="G250" s="2647">
        <f>H251+H252</f>
        <v>-14373.09</v>
      </c>
      <c r="H250" s="2647"/>
      <c r="I250" s="2664" t="s">
        <v>1402</v>
      </c>
      <c r="J250" s="2666" t="s">
        <v>1544</v>
      </c>
      <c r="K250" s="2591" t="s">
        <v>1554</v>
      </c>
      <c r="L250" s="2591"/>
      <c r="M250" s="2591"/>
      <c r="N250" s="2591"/>
      <c r="O250" s="2591"/>
      <c r="P250" s="2591"/>
      <c r="Q250" s="2591"/>
      <c r="R250" s="2591"/>
      <c r="S250" s="2591"/>
    </row>
    <row r="251" spans="1:19">
      <c r="A251" s="2648"/>
      <c r="B251" s="2668"/>
      <c r="C251" s="2674" t="s">
        <v>1547</v>
      </c>
      <c r="D251" s="2646"/>
      <c r="E251" s="2646" t="s">
        <v>1563</v>
      </c>
      <c r="F251" s="2646"/>
      <c r="G251" s="2647"/>
      <c r="H251" s="2647">
        <v>7128.37</v>
      </c>
      <c r="I251" s="2664" t="s">
        <v>1402</v>
      </c>
      <c r="J251" s="2666" t="s">
        <v>1544</v>
      </c>
      <c r="K251" s="2591" t="s">
        <v>1554</v>
      </c>
      <c r="L251" s="2591" t="s">
        <v>1564</v>
      </c>
      <c r="M251" s="2666" t="s">
        <v>1565</v>
      </c>
      <c r="N251" s="2591"/>
      <c r="O251" s="2591"/>
      <c r="P251" s="2591"/>
      <c r="Q251" s="2591"/>
      <c r="R251" s="2591"/>
      <c r="S251" s="2591"/>
    </row>
    <row r="252" spans="1:19">
      <c r="A252" s="2648"/>
      <c r="B252" s="2668"/>
      <c r="C252" s="2674" t="s">
        <v>1547</v>
      </c>
      <c r="D252" s="2646"/>
      <c r="E252" s="2672" t="s">
        <v>1566</v>
      </c>
      <c r="F252" s="2646"/>
      <c r="G252" s="2647"/>
      <c r="H252" s="2647">
        <v>-21501.46</v>
      </c>
      <c r="I252" s="2664" t="s">
        <v>1402</v>
      </c>
      <c r="J252" s="2666" t="s">
        <v>1544</v>
      </c>
      <c r="K252" s="2591" t="s">
        <v>1554</v>
      </c>
      <c r="L252" s="2591" t="s">
        <v>1567</v>
      </c>
      <c r="M252" s="2666" t="s">
        <v>1565</v>
      </c>
      <c r="N252" s="2591"/>
      <c r="O252" s="2591"/>
      <c r="P252" s="2591"/>
      <c r="Q252" s="2591"/>
      <c r="R252" s="2591"/>
      <c r="S252" s="2591"/>
    </row>
    <row r="253" spans="1:19">
      <c r="A253" s="2648"/>
      <c r="B253" s="2668"/>
      <c r="C253" s="2674"/>
      <c r="D253" s="2646"/>
      <c r="E253" s="2672"/>
      <c r="F253" s="2646"/>
      <c r="G253" s="2647"/>
      <c r="H253" s="2647"/>
      <c r="I253" s="2664"/>
      <c r="J253" s="2591"/>
      <c r="K253" s="2591"/>
      <c r="L253" s="2591"/>
      <c r="M253" s="2591"/>
      <c r="N253" s="2591"/>
      <c r="O253" s="2591"/>
      <c r="P253" s="2591"/>
      <c r="Q253" s="2591"/>
      <c r="R253" s="2591"/>
      <c r="S253" s="2591"/>
    </row>
    <row r="254" spans="1:19">
      <c r="A254" s="2648"/>
      <c r="B254" s="2668" t="s">
        <v>1568</v>
      </c>
      <c r="C254" s="2652"/>
      <c r="D254" s="2646"/>
      <c r="E254" s="2646"/>
      <c r="F254" s="2646"/>
      <c r="G254" s="2647"/>
      <c r="H254" s="2647"/>
      <c r="I254" s="2664" t="s">
        <v>1402</v>
      </c>
      <c r="J254" s="2591"/>
      <c r="K254" s="2591"/>
      <c r="L254" s="1960"/>
      <c r="M254" s="1960"/>
      <c r="N254" s="2591"/>
      <c r="O254" s="2591"/>
      <c r="P254" s="2591"/>
      <c r="Q254" s="2591"/>
      <c r="R254" s="2591"/>
      <c r="S254" s="2591"/>
    </row>
    <row r="255" spans="1:19">
      <c r="A255" s="2648"/>
      <c r="B255" s="2668"/>
      <c r="C255" s="2678" t="s">
        <v>202</v>
      </c>
      <c r="D255" s="2646"/>
      <c r="E255" s="2646" t="s">
        <v>1569</v>
      </c>
      <c r="F255" s="2646"/>
      <c r="G255" s="2647">
        <f>H256+H257+H258</f>
        <v>17036.04</v>
      </c>
      <c r="H255" s="2647"/>
      <c r="I255" s="2664" t="s">
        <v>1402</v>
      </c>
      <c r="J255" s="2666" t="s">
        <v>1544</v>
      </c>
      <c r="K255" s="2591" t="s">
        <v>1558</v>
      </c>
      <c r="L255" s="1960"/>
      <c r="M255" s="2591"/>
      <c r="N255" s="2591"/>
      <c r="O255" s="2591"/>
      <c r="P255" s="2591"/>
      <c r="Q255" s="2591"/>
      <c r="R255" s="2591"/>
      <c r="S255" s="2591"/>
    </row>
    <row r="256" spans="1:19">
      <c r="A256" s="2648"/>
      <c r="B256" s="2668"/>
      <c r="C256" s="2678" t="s">
        <v>1559</v>
      </c>
      <c r="D256" s="2646"/>
      <c r="E256" s="2646" t="s">
        <v>1570</v>
      </c>
      <c r="F256" s="2646"/>
      <c r="G256" s="2647"/>
      <c r="H256" s="2647">
        <f>25173.67+7128.37</f>
        <v>32302.04</v>
      </c>
      <c r="I256" s="2664" t="s">
        <v>1402</v>
      </c>
      <c r="J256" s="2666" t="s">
        <v>1544</v>
      </c>
      <c r="K256" s="2591" t="s">
        <v>1558</v>
      </c>
      <c r="L256" s="2591"/>
      <c r="M256" s="1960"/>
      <c r="N256" s="2591"/>
      <c r="O256" s="2591"/>
      <c r="P256" s="2591"/>
      <c r="Q256" s="2591"/>
      <c r="R256" s="2591"/>
      <c r="S256" s="2591"/>
    </row>
    <row r="257" spans="1:19">
      <c r="A257" s="2648"/>
      <c r="B257" s="2668"/>
      <c r="C257" s="2678" t="s">
        <v>1559</v>
      </c>
      <c r="D257" s="2646"/>
      <c r="E257" s="2646" t="s">
        <v>1571</v>
      </c>
      <c r="F257" s="2646"/>
      <c r="G257" s="2647"/>
      <c r="H257" s="2647">
        <f>6680.11-21501.46</f>
        <v>-14821.35</v>
      </c>
      <c r="I257" s="2664" t="s">
        <v>1402</v>
      </c>
      <c r="J257" s="2666" t="s">
        <v>1544</v>
      </c>
      <c r="K257" s="2591" t="s">
        <v>1558</v>
      </c>
      <c r="L257" s="2591"/>
      <c r="M257" s="1960"/>
      <c r="N257" s="2591"/>
      <c r="O257" s="2591"/>
      <c r="P257" s="2591"/>
      <c r="Q257" s="2591"/>
      <c r="R257" s="2591"/>
      <c r="S257" s="2591"/>
    </row>
    <row r="258" spans="1:19">
      <c r="A258" s="2648"/>
      <c r="B258" s="2668"/>
      <c r="C258" s="2678" t="s">
        <v>209</v>
      </c>
      <c r="D258" s="2646"/>
      <c r="E258" s="2686" t="s">
        <v>1572</v>
      </c>
      <c r="F258" s="2646"/>
      <c r="G258" s="2647"/>
      <c r="H258" s="2647">
        <v>-444.65</v>
      </c>
      <c r="I258" s="2664" t="s">
        <v>1402</v>
      </c>
      <c r="J258" s="2666" t="s">
        <v>1544</v>
      </c>
      <c r="K258" s="2591" t="s">
        <v>1558</v>
      </c>
      <c r="L258" s="2591"/>
      <c r="M258" s="2591"/>
      <c r="N258" s="2591"/>
      <c r="O258" s="2591"/>
      <c r="P258" s="2591"/>
      <c r="Q258" s="2591"/>
      <c r="R258" s="2591"/>
      <c r="S258" s="2591"/>
    </row>
    <row r="259" spans="1:19">
      <c r="A259" s="2648"/>
      <c r="B259" s="2645" t="s">
        <v>1573</v>
      </c>
      <c r="C259" s="2678"/>
      <c r="D259" s="2646"/>
      <c r="E259" s="2646"/>
      <c r="F259" s="2646"/>
      <c r="G259" s="2647"/>
      <c r="H259" s="2647"/>
      <c r="I259" s="2664"/>
      <c r="J259" s="2591"/>
      <c r="K259" s="2666"/>
      <c r="L259" s="2591"/>
      <c r="M259" s="2591"/>
      <c r="N259" s="2591"/>
      <c r="O259" s="2591"/>
      <c r="P259" s="2591"/>
      <c r="Q259" s="2591"/>
      <c r="R259" s="2591"/>
      <c r="S259" s="2591"/>
    </row>
    <row r="260" spans="1:19">
      <c r="A260" s="2648"/>
      <c r="B260" s="2668"/>
      <c r="C260" s="2674" t="s">
        <v>1509</v>
      </c>
      <c r="D260" s="2646"/>
      <c r="E260" s="2646"/>
      <c r="F260" s="2646"/>
      <c r="G260" s="2647">
        <v>-0.31</v>
      </c>
      <c r="H260" s="2647"/>
      <c r="I260" s="2664" t="s">
        <v>1402</v>
      </c>
      <c r="J260" s="2666"/>
      <c r="K260" s="2591"/>
      <c r="L260" s="2591"/>
      <c r="M260" s="2591"/>
      <c r="N260" s="2591"/>
      <c r="O260" s="2591"/>
      <c r="P260" s="2591"/>
      <c r="Q260" s="2591"/>
      <c r="R260" s="2591"/>
      <c r="S260" s="2591"/>
    </row>
    <row r="261" spans="1:19">
      <c r="A261" s="2648"/>
      <c r="B261" s="2668"/>
      <c r="C261" s="2674" t="s">
        <v>202</v>
      </c>
      <c r="D261" s="2646"/>
      <c r="E261" s="2672" t="s">
        <v>1574</v>
      </c>
      <c r="F261" s="2646"/>
      <c r="G261" s="2647"/>
      <c r="H261" s="2647">
        <f>G260</f>
        <v>-0.31</v>
      </c>
      <c r="I261" s="2664" t="s">
        <v>1402</v>
      </c>
      <c r="J261" s="2666"/>
      <c r="K261" s="2591"/>
      <c r="L261" s="2591"/>
      <c r="M261" s="2591"/>
      <c r="N261" s="2591"/>
      <c r="O261" s="2591"/>
      <c r="P261" s="2591"/>
      <c r="Q261" s="2591"/>
      <c r="R261" s="2591"/>
      <c r="S261" s="2591"/>
    </row>
    <row r="262" spans="1:19">
      <c r="A262" s="2648"/>
      <c r="B262" s="2668"/>
      <c r="C262" s="2678"/>
      <c r="D262" s="2646"/>
      <c r="E262" s="2646"/>
      <c r="F262" s="2646"/>
      <c r="G262" s="2647"/>
      <c r="H262" s="2647"/>
      <c r="I262" s="2664"/>
      <c r="J262" s="2591"/>
      <c r="K262" s="2666"/>
      <c r="L262" s="2591"/>
      <c r="M262" s="2591"/>
      <c r="N262" s="2591"/>
      <c r="O262" s="2591"/>
      <c r="P262" s="2591"/>
      <c r="Q262" s="2591"/>
      <c r="R262" s="2591"/>
      <c r="S262" s="2591"/>
    </row>
    <row r="263" spans="1:19">
      <c r="A263" s="2642"/>
      <c r="B263" s="2675"/>
      <c r="C263" s="2637"/>
      <c r="D263" s="2677"/>
      <c r="E263" s="2639"/>
      <c r="F263" s="2677"/>
      <c r="G263" s="2640"/>
      <c r="H263" s="2640"/>
      <c r="I263" s="2663"/>
      <c r="J263" s="2591"/>
      <c r="K263" s="2591"/>
      <c r="L263" s="2591"/>
      <c r="M263" s="2591"/>
      <c r="N263" s="2591"/>
      <c r="O263" s="2591"/>
      <c r="P263" s="2591"/>
      <c r="Q263" s="2591"/>
      <c r="R263" s="2591"/>
      <c r="S263" s="2591"/>
    </row>
    <row r="264" spans="1:19">
      <c r="A264" s="2648">
        <v>7</v>
      </c>
      <c r="B264" s="2645" t="s">
        <v>1575</v>
      </c>
      <c r="C264" s="2645"/>
      <c r="D264" s="2645"/>
      <c r="E264" s="2645"/>
      <c r="F264" s="2669"/>
      <c r="G264" s="2647"/>
      <c r="H264" s="2647"/>
      <c r="I264" s="2664" t="s">
        <v>1402</v>
      </c>
      <c r="J264" s="2591"/>
      <c r="K264" s="2591"/>
      <c r="L264" s="2591"/>
      <c r="M264" s="2591"/>
      <c r="N264" s="2591"/>
      <c r="O264" s="2591"/>
      <c r="P264" s="2591"/>
      <c r="Q264" s="2591"/>
      <c r="R264" s="2591"/>
      <c r="S264" s="2591"/>
    </row>
    <row r="265" spans="1:19">
      <c r="A265" s="2648"/>
      <c r="B265" s="2645"/>
      <c r="C265" s="2687" t="s">
        <v>1519</v>
      </c>
      <c r="D265" s="2645"/>
      <c r="E265" s="2645" t="s">
        <v>1576</v>
      </c>
      <c r="F265" s="2645"/>
      <c r="G265" s="2647">
        <v>-11934.53</v>
      </c>
      <c r="H265" s="2647"/>
      <c r="I265" s="2664" t="s">
        <v>1402</v>
      </c>
      <c r="J265" s="2666" t="s">
        <v>1544</v>
      </c>
      <c r="K265" s="2591" t="s">
        <v>1554</v>
      </c>
      <c r="L265" s="2591"/>
      <c r="M265" s="2591"/>
      <c r="N265" s="2591"/>
      <c r="O265" s="2591"/>
      <c r="P265" s="2591"/>
      <c r="Q265" s="2591"/>
      <c r="R265" s="2591"/>
      <c r="S265" s="2591"/>
    </row>
    <row r="266" spans="1:19">
      <c r="A266" s="2648"/>
      <c r="B266" s="2645"/>
      <c r="C266" s="2687" t="s">
        <v>1547</v>
      </c>
      <c r="D266" s="2645"/>
      <c r="E266" s="2645"/>
      <c r="F266" s="2645"/>
      <c r="G266" s="2647"/>
      <c r="H266" s="2647">
        <v>-11934.53</v>
      </c>
      <c r="I266" s="2664" t="s">
        <v>1402</v>
      </c>
      <c r="J266" s="2666" t="s">
        <v>1544</v>
      </c>
      <c r="K266" s="2591" t="s">
        <v>1554</v>
      </c>
      <c r="L266" s="2591"/>
      <c r="M266" s="2591"/>
      <c r="N266" s="2591"/>
      <c r="O266" s="2591"/>
      <c r="P266" s="2591"/>
      <c r="Q266" s="2591"/>
      <c r="R266" s="2591"/>
      <c r="S266" s="2591"/>
    </row>
    <row r="267" spans="1:19">
      <c r="A267" s="2648"/>
      <c r="B267" s="2645" t="s">
        <v>1577</v>
      </c>
      <c r="C267" s="2652"/>
      <c r="D267" s="2646"/>
      <c r="E267" s="2646"/>
      <c r="F267" s="2646"/>
      <c r="G267" s="2647"/>
      <c r="H267" s="2647"/>
      <c r="I267" s="2664" t="s">
        <v>1402</v>
      </c>
      <c r="J267" s="2591"/>
      <c r="K267" s="2591"/>
      <c r="L267" s="2591"/>
      <c r="M267" s="2591"/>
      <c r="N267" s="2591"/>
      <c r="O267" s="2591"/>
      <c r="P267" s="2591"/>
      <c r="Q267" s="2591"/>
      <c r="R267" s="2591"/>
      <c r="S267" s="2591"/>
    </row>
    <row r="268" spans="1:19">
      <c r="A268" s="2648"/>
      <c r="B268" s="2645"/>
      <c r="C268" s="2674" t="s">
        <v>1510</v>
      </c>
      <c r="D268" s="2646"/>
      <c r="E268" s="2646"/>
      <c r="F268" s="2646"/>
      <c r="G268" s="2647">
        <f>H269</f>
        <v>-11934.53</v>
      </c>
      <c r="H268" s="2647"/>
      <c r="I268" s="2664" t="s">
        <v>1402</v>
      </c>
      <c r="J268" s="2666" t="s">
        <v>1544</v>
      </c>
      <c r="K268" s="2591" t="s">
        <v>1558</v>
      </c>
      <c r="L268" s="2591"/>
      <c r="M268" s="2591"/>
      <c r="N268" s="2591"/>
      <c r="O268" s="2591"/>
      <c r="P268" s="2591"/>
      <c r="Q268" s="2591"/>
      <c r="R268" s="2591"/>
      <c r="S268" s="2591"/>
    </row>
    <row r="269" spans="1:19">
      <c r="A269" s="2648"/>
      <c r="B269" s="2668"/>
      <c r="C269" s="2687" t="s">
        <v>1509</v>
      </c>
      <c r="D269" s="2645"/>
      <c r="E269" s="2645"/>
      <c r="F269" s="2645"/>
      <c r="G269" s="2647"/>
      <c r="H269" s="2647">
        <v>-11934.53</v>
      </c>
      <c r="I269" s="2664" t="s">
        <v>1402</v>
      </c>
      <c r="J269" s="2666" t="s">
        <v>1544</v>
      </c>
      <c r="K269" s="2591" t="s">
        <v>1558</v>
      </c>
      <c r="L269" s="2591"/>
      <c r="M269" s="2591"/>
      <c r="N269" s="2591"/>
      <c r="O269" s="2591"/>
      <c r="P269" s="2591"/>
      <c r="Q269" s="2591"/>
      <c r="R269" s="2591"/>
      <c r="S269" s="2591"/>
    </row>
    <row r="270" spans="1:19">
      <c r="A270" s="2648"/>
      <c r="B270" s="2668"/>
      <c r="C270" s="2687" t="s">
        <v>202</v>
      </c>
      <c r="D270" s="2645"/>
      <c r="E270" s="2645" t="s">
        <v>1576</v>
      </c>
      <c r="F270" s="2645"/>
      <c r="G270" s="2647">
        <f>H271</f>
        <v>319087</v>
      </c>
      <c r="H270" s="2647"/>
      <c r="I270" s="2664" t="s">
        <v>1402</v>
      </c>
      <c r="J270" s="2666" t="s">
        <v>1544</v>
      </c>
      <c r="K270" s="2591" t="s">
        <v>1558</v>
      </c>
      <c r="L270" s="2591"/>
      <c r="M270" s="2591"/>
      <c r="N270" s="2591"/>
      <c r="O270" s="2591"/>
      <c r="P270" s="2591"/>
      <c r="Q270" s="2591"/>
      <c r="R270" s="2591"/>
      <c r="S270" s="2591"/>
    </row>
    <row r="271" spans="1:19">
      <c r="A271" s="2648"/>
      <c r="B271" s="2668"/>
      <c r="C271" s="2687" t="s">
        <v>1559</v>
      </c>
      <c r="D271" s="2645"/>
      <c r="E271" s="2645" t="s">
        <v>1578</v>
      </c>
      <c r="F271" s="2645"/>
      <c r="G271" s="2647"/>
      <c r="H271" s="2647">
        <v>319087</v>
      </c>
      <c r="I271" s="2664" t="s">
        <v>1402</v>
      </c>
      <c r="J271" s="2666" t="s">
        <v>1544</v>
      </c>
      <c r="K271" s="2591" t="s">
        <v>1558</v>
      </c>
      <c r="L271" s="2591"/>
      <c r="M271" s="2591"/>
      <c r="N271" s="2591"/>
      <c r="O271" s="2591"/>
      <c r="P271" s="2591"/>
      <c r="Q271" s="2591"/>
      <c r="R271" s="2591"/>
      <c r="S271" s="2591"/>
    </row>
    <row r="272" spans="1:19">
      <c r="A272" s="2648"/>
      <c r="B272" s="2668"/>
      <c r="C272" s="2687"/>
      <c r="D272" s="2645"/>
      <c r="E272" s="2645"/>
      <c r="F272" s="2645"/>
      <c r="G272" s="2647"/>
      <c r="H272" s="2647"/>
      <c r="I272" s="2664"/>
      <c r="J272" s="2591"/>
      <c r="K272" s="2591"/>
      <c r="L272" s="2591"/>
      <c r="M272" s="2591"/>
      <c r="N272" s="2591"/>
      <c r="O272" s="2591"/>
      <c r="P272" s="2591"/>
      <c r="Q272" s="2591"/>
      <c r="R272" s="2591"/>
      <c r="S272" s="2591"/>
    </row>
    <row r="273" spans="1:19">
      <c r="A273" s="2688"/>
      <c r="B273" s="2689"/>
      <c r="C273" s="2690" t="s">
        <v>1559</v>
      </c>
      <c r="D273" s="2691"/>
      <c r="E273" s="2691"/>
      <c r="F273" s="2691"/>
      <c r="G273" s="2692"/>
      <c r="H273" s="2692">
        <f>H266</f>
        <v>-11934.53</v>
      </c>
      <c r="I273" s="2664" t="s">
        <v>1402</v>
      </c>
      <c r="J273" s="362" t="s">
        <v>1514</v>
      </c>
      <c r="K273" s="2591" t="s">
        <v>1579</v>
      </c>
      <c r="L273" s="2666" t="s">
        <v>1580</v>
      </c>
      <c r="M273" s="2591"/>
      <c r="N273" s="2591"/>
      <c r="O273" s="2591"/>
      <c r="P273" s="2591"/>
      <c r="Q273" s="2591"/>
      <c r="R273" s="2591"/>
      <c r="S273" s="2591"/>
    </row>
    <row r="274" spans="1:19">
      <c r="A274" s="2688"/>
      <c r="B274" s="2689"/>
      <c r="C274" s="2690" t="s">
        <v>202</v>
      </c>
      <c r="D274" s="2691"/>
      <c r="E274" s="2691"/>
      <c r="F274" s="2691"/>
      <c r="G274" s="2692">
        <f>G265</f>
        <v>-11934.53</v>
      </c>
      <c r="H274" s="2692"/>
      <c r="I274" s="2664" t="s">
        <v>1402</v>
      </c>
      <c r="J274" s="362" t="s">
        <v>1514</v>
      </c>
      <c r="K274" s="2591" t="s">
        <v>1579</v>
      </c>
      <c r="L274" s="2666" t="s">
        <v>1581</v>
      </c>
      <c r="M274" s="2591"/>
      <c r="N274" s="2591"/>
      <c r="O274" s="2591"/>
      <c r="P274" s="2591"/>
      <c r="Q274" s="2591"/>
      <c r="R274" s="2591"/>
      <c r="S274" s="2591"/>
    </row>
    <row r="275" spans="1:19">
      <c r="A275" s="2642"/>
      <c r="B275" s="2636"/>
      <c r="C275" s="2636"/>
      <c r="D275" s="2636"/>
      <c r="E275" s="2636"/>
      <c r="F275" s="2636"/>
      <c r="G275" s="2640"/>
      <c r="H275" s="2640"/>
      <c r="I275" s="2663"/>
      <c r="J275" s="2591"/>
      <c r="K275" s="2591"/>
      <c r="L275" s="2591"/>
      <c r="M275" s="2591"/>
      <c r="N275" s="2591"/>
      <c r="O275" s="2591"/>
      <c r="P275" s="2591"/>
      <c r="Q275" s="2591"/>
      <c r="R275" s="2591"/>
      <c r="S275" s="2591"/>
    </row>
    <row r="276" spans="1:19">
      <c r="A276" s="2648">
        <v>8</v>
      </c>
      <c r="B276" s="2645" t="s">
        <v>1582</v>
      </c>
      <c r="C276" s="2652"/>
      <c r="D276" s="2646"/>
      <c r="E276" s="2646"/>
      <c r="F276" s="2646"/>
      <c r="G276" s="2647"/>
      <c r="H276" s="2647"/>
      <c r="I276" s="2664"/>
      <c r="J276" s="2591"/>
      <c r="K276" s="2591"/>
      <c r="L276" s="2591"/>
      <c r="M276" s="2591"/>
      <c r="N276" s="2591"/>
      <c r="O276" s="2591"/>
      <c r="P276" s="2591"/>
      <c r="Q276" s="2591"/>
      <c r="R276" s="2591"/>
      <c r="S276" s="2591"/>
    </row>
    <row r="277" spans="1:19">
      <c r="A277" s="2648"/>
      <c r="B277" s="2668"/>
      <c r="C277" s="2674" t="s">
        <v>1583</v>
      </c>
      <c r="D277" s="2646"/>
      <c r="E277" s="2646"/>
      <c r="F277" s="2646"/>
      <c r="G277" s="2647">
        <f>-1509101.67-353167.62</f>
        <v>-1862269.29</v>
      </c>
      <c r="H277" s="2647"/>
      <c r="I277" s="2664" t="s">
        <v>1402</v>
      </c>
      <c r="J277" s="2666" t="s">
        <v>1544</v>
      </c>
      <c r="K277" s="2591" t="s">
        <v>1584</v>
      </c>
      <c r="L277" s="2591" t="s">
        <v>1585</v>
      </c>
      <c r="M277" s="2591"/>
      <c r="N277" s="2591"/>
      <c r="O277" s="2591"/>
      <c r="P277" s="2591"/>
      <c r="Q277" s="2591"/>
      <c r="R277" s="2591"/>
      <c r="S277" s="2591"/>
    </row>
    <row r="278" spans="1:19">
      <c r="A278" s="2648"/>
      <c r="B278" s="2668"/>
      <c r="C278" s="2674" t="s">
        <v>1583</v>
      </c>
      <c r="D278" s="2646"/>
      <c r="E278" s="2672" t="s">
        <v>1586</v>
      </c>
      <c r="F278" s="2646"/>
      <c r="G278" s="2647">
        <f>353167.61+143713.18</f>
        <v>496880.79</v>
      </c>
      <c r="H278" s="2647"/>
      <c r="I278" s="2664" t="s">
        <v>1402</v>
      </c>
      <c r="J278" s="2666" t="s">
        <v>1544</v>
      </c>
      <c r="K278" s="2591" t="s">
        <v>1584</v>
      </c>
      <c r="L278" s="2591" t="s">
        <v>1585</v>
      </c>
      <c r="M278" s="2591"/>
      <c r="N278" s="2591"/>
      <c r="O278" s="2591"/>
      <c r="P278" s="2591"/>
      <c r="Q278" s="2591"/>
      <c r="R278" s="2591"/>
      <c r="S278" s="2591"/>
    </row>
    <row r="279" spans="1:19">
      <c r="A279" s="2648"/>
      <c r="B279" s="2668"/>
      <c r="C279" s="2674" t="s">
        <v>1587</v>
      </c>
      <c r="D279" s="2646"/>
      <c r="E279" s="2646"/>
      <c r="F279" s="2646"/>
      <c r="G279" s="2647">
        <f>-287447.94-143713.18</f>
        <v>-431161.12</v>
      </c>
      <c r="H279" s="2647"/>
      <c r="I279" s="2664" t="s">
        <v>1402</v>
      </c>
      <c r="J279" s="2666" t="s">
        <v>1544</v>
      </c>
      <c r="K279" s="2591" t="s">
        <v>1584</v>
      </c>
      <c r="L279" s="2591" t="s">
        <v>1585</v>
      </c>
      <c r="M279" s="2591"/>
      <c r="N279" s="2591"/>
      <c r="O279" s="2591"/>
      <c r="P279" s="2591"/>
      <c r="Q279" s="2591"/>
      <c r="R279" s="2591"/>
      <c r="S279" s="2591"/>
    </row>
    <row r="280" spans="1:19">
      <c r="A280" s="2648"/>
      <c r="B280" s="2668"/>
      <c r="C280" s="2674" t="s">
        <v>1519</v>
      </c>
      <c r="D280" s="2646"/>
      <c r="E280" s="2672" t="s">
        <v>1588</v>
      </c>
      <c r="F280" s="2646"/>
      <c r="G280" s="2693">
        <v>-339423.92</v>
      </c>
      <c r="H280" s="2647"/>
      <c r="I280" s="2664" t="s">
        <v>1402</v>
      </c>
      <c r="J280" s="2666" t="s">
        <v>1544</v>
      </c>
      <c r="K280" s="2591" t="s">
        <v>1584</v>
      </c>
      <c r="L280" s="2591" t="s">
        <v>1585</v>
      </c>
      <c r="M280" s="2591"/>
      <c r="N280" s="2591"/>
      <c r="O280" s="2591"/>
      <c r="P280" s="2591"/>
      <c r="Q280" s="2591"/>
      <c r="R280" s="2591"/>
      <c r="S280" s="2591"/>
    </row>
    <row r="281" spans="1:19">
      <c r="A281" s="2648"/>
      <c r="B281" s="2668"/>
      <c r="C281" s="2674" t="s">
        <v>1589</v>
      </c>
      <c r="D281" s="2646"/>
      <c r="E281" s="2672" t="s">
        <v>1590</v>
      </c>
      <c r="F281" s="2646"/>
      <c r="G281" s="2647">
        <v>123837.97</v>
      </c>
      <c r="H281" s="2647"/>
      <c r="I281" s="2664" t="s">
        <v>1402</v>
      </c>
      <c r="J281" s="2666" t="s">
        <v>1544</v>
      </c>
      <c r="K281" s="2591" t="s">
        <v>1584</v>
      </c>
      <c r="L281" s="2591" t="s">
        <v>1585</v>
      </c>
      <c r="M281" s="2591"/>
      <c r="N281" s="2591"/>
      <c r="O281" s="2591"/>
      <c r="P281" s="2591"/>
      <c r="Q281" s="2591"/>
      <c r="R281" s="2591"/>
      <c r="S281" s="2591"/>
    </row>
    <row r="282" spans="1:19">
      <c r="A282" s="2648"/>
      <c r="B282" s="2668"/>
      <c r="C282" s="2674" t="s">
        <v>1547</v>
      </c>
      <c r="D282" s="2646"/>
      <c r="E282" s="2646" t="s">
        <v>1591</v>
      </c>
      <c r="F282" s="2646"/>
      <c r="G282" s="2647"/>
      <c r="H282" s="2647">
        <v>-2012135.57</v>
      </c>
      <c r="I282" s="2664" t="s">
        <v>1402</v>
      </c>
      <c r="J282" s="2666" t="s">
        <v>1544</v>
      </c>
      <c r="K282" s="2591" t="s">
        <v>1584</v>
      </c>
      <c r="L282" s="2591" t="s">
        <v>1585</v>
      </c>
      <c r="M282" s="2591"/>
      <c r="N282" s="2591"/>
      <c r="O282" s="2591"/>
      <c r="P282" s="2591"/>
      <c r="Q282" s="2591"/>
      <c r="R282" s="2591"/>
      <c r="S282" s="2591"/>
    </row>
    <row r="283" spans="1:19">
      <c r="A283" s="2648"/>
      <c r="B283" s="2668"/>
      <c r="C283" s="2674" t="s">
        <v>1583</v>
      </c>
      <c r="D283" s="2646"/>
      <c r="E283" s="2672" t="s">
        <v>1592</v>
      </c>
      <c r="F283" s="2646"/>
      <c r="G283" s="2647">
        <v>-143713.18</v>
      </c>
      <c r="H283" s="2647"/>
      <c r="I283" s="2664" t="s">
        <v>1402</v>
      </c>
      <c r="J283" s="2666" t="s">
        <v>1544</v>
      </c>
      <c r="K283" s="2591" t="s">
        <v>1584</v>
      </c>
      <c r="L283" s="2591" t="s">
        <v>1585</v>
      </c>
      <c r="M283" s="2591"/>
      <c r="N283" s="2591"/>
      <c r="O283" s="2591"/>
      <c r="P283" s="2591"/>
      <c r="Q283" s="2591"/>
      <c r="R283" s="2591"/>
      <c r="S283" s="2591"/>
    </row>
    <row r="284" spans="1:19">
      <c r="A284" s="2648"/>
      <c r="B284" s="2668"/>
      <c r="C284" s="2674" t="s">
        <v>1587</v>
      </c>
      <c r="D284" s="2646"/>
      <c r="E284" s="2672" t="s">
        <v>1588</v>
      </c>
      <c r="F284" s="2646"/>
      <c r="G284" s="2647"/>
      <c r="H284" s="2647">
        <f>G283</f>
        <v>-143713.18</v>
      </c>
      <c r="I284" s="2664" t="s">
        <v>1402</v>
      </c>
      <c r="J284" s="2666" t="s">
        <v>1544</v>
      </c>
      <c r="K284" s="2591" t="s">
        <v>1584</v>
      </c>
      <c r="L284" s="2591" t="s">
        <v>1585</v>
      </c>
      <c r="M284" s="2591"/>
      <c r="N284" s="2591"/>
      <c r="O284" s="2591"/>
      <c r="P284" s="2591"/>
      <c r="Q284" s="2591"/>
      <c r="R284" s="2591"/>
      <c r="S284" s="2591"/>
    </row>
    <row r="285" spans="1:19">
      <c r="A285" s="2648"/>
      <c r="B285" s="2668"/>
      <c r="C285" s="2674"/>
      <c r="D285" s="2646"/>
      <c r="E285" s="2646"/>
      <c r="F285" s="2646"/>
      <c r="G285" s="2647"/>
      <c r="H285" s="2647"/>
      <c r="I285" s="2664"/>
      <c r="J285" s="2666"/>
      <c r="K285" s="2591"/>
      <c r="L285" s="2591"/>
      <c r="M285" s="2591"/>
      <c r="N285" s="2591"/>
      <c r="O285" s="2591"/>
      <c r="P285" s="2591"/>
      <c r="Q285" s="2591"/>
      <c r="R285" s="2591"/>
      <c r="S285" s="2591"/>
    </row>
    <row r="286" spans="1:19">
      <c r="A286" s="2648">
        <v>9</v>
      </c>
      <c r="B286" s="2645" t="s">
        <v>1593</v>
      </c>
      <c r="C286" s="2678"/>
      <c r="D286" s="2646"/>
      <c r="E286" s="2646"/>
      <c r="F286" s="2646"/>
      <c r="G286" s="2647"/>
      <c r="H286" s="2647"/>
      <c r="I286" s="2664"/>
      <c r="J286" s="2591"/>
      <c r="K286" s="2591"/>
      <c r="L286" s="2591"/>
      <c r="M286" s="2591"/>
      <c r="N286" s="2591"/>
      <c r="O286" s="2591"/>
      <c r="P286" s="2591"/>
      <c r="Q286" s="2591"/>
      <c r="R286" s="2591"/>
      <c r="S286" s="2591"/>
    </row>
    <row r="287" spans="1:19">
      <c r="A287" s="2648"/>
      <c r="B287" s="2668"/>
      <c r="C287" s="2674" t="s">
        <v>228</v>
      </c>
      <c r="D287" s="2646"/>
      <c r="E287" s="2672"/>
      <c r="F287" s="2646"/>
      <c r="G287" s="2647">
        <v>-1862269.29</v>
      </c>
      <c r="H287" s="2647"/>
      <c r="I287" s="2664" t="s">
        <v>1402</v>
      </c>
      <c r="J287" s="2666" t="s">
        <v>1594</v>
      </c>
      <c r="K287" s="2591" t="s">
        <v>1595</v>
      </c>
      <c r="L287" s="2591"/>
      <c r="M287" s="2591"/>
      <c r="N287" s="2591"/>
      <c r="O287" s="2591"/>
      <c r="P287" s="2591"/>
      <c r="Q287" s="2591"/>
      <c r="R287" s="2591"/>
      <c r="S287" s="2591"/>
    </row>
    <row r="288" spans="1:19">
      <c r="A288" s="2648"/>
      <c r="B288" s="2668"/>
      <c r="C288" s="2674" t="s">
        <v>228</v>
      </c>
      <c r="D288" s="2646"/>
      <c r="E288" s="2672" t="s">
        <v>1586</v>
      </c>
      <c r="F288" s="2646"/>
      <c r="G288" s="2647">
        <v>496880.79</v>
      </c>
      <c r="H288" s="2647"/>
      <c r="I288" s="2664" t="s">
        <v>1402</v>
      </c>
      <c r="J288" s="2695">
        <f>G280</f>
        <v>-339423.92</v>
      </c>
      <c r="K288" s="1960">
        <f>G290+G297</f>
        <v>-770585.05</v>
      </c>
      <c r="L288" s="2591"/>
      <c r="M288" s="2591"/>
      <c r="N288" s="2591"/>
      <c r="O288" s="2591"/>
      <c r="P288" s="2591"/>
      <c r="Q288" s="2591"/>
      <c r="R288" s="2591"/>
      <c r="S288" s="2591"/>
    </row>
    <row r="289" spans="1:19">
      <c r="A289" s="2648"/>
      <c r="B289" s="2668"/>
      <c r="C289" s="2674" t="s">
        <v>214</v>
      </c>
      <c r="D289" s="2646"/>
      <c r="E289" s="2672"/>
      <c r="F289" s="2646"/>
      <c r="G289" s="2647">
        <v>-431161.12</v>
      </c>
      <c r="H289" s="2647"/>
      <c r="I289" s="2664" t="s">
        <v>1402</v>
      </c>
      <c r="J289" s="2666"/>
      <c r="K289" s="2591"/>
      <c r="L289" s="2591"/>
      <c r="M289" s="2591"/>
      <c r="N289" s="2591"/>
      <c r="O289" s="2591"/>
      <c r="P289" s="2591"/>
      <c r="Q289" s="2591"/>
      <c r="R289" s="2591"/>
      <c r="S289" s="2591"/>
    </row>
    <row r="290" spans="1:19">
      <c r="A290" s="2648"/>
      <c r="B290" s="2668"/>
      <c r="C290" s="2674" t="s">
        <v>202</v>
      </c>
      <c r="D290" s="2646"/>
      <c r="E290" s="2672"/>
      <c r="F290" s="2646"/>
      <c r="G290" s="2693">
        <v>-339423.92</v>
      </c>
      <c r="H290" s="2647"/>
      <c r="I290" s="2664" t="s">
        <v>1402</v>
      </c>
      <c r="J290" s="2666"/>
      <c r="K290" s="2591"/>
      <c r="L290" s="2591"/>
      <c r="M290" s="2591"/>
      <c r="N290" s="2591"/>
      <c r="O290" s="2591"/>
      <c r="P290" s="2591"/>
      <c r="Q290" s="2591"/>
      <c r="R290" s="2591"/>
      <c r="S290" s="2591"/>
    </row>
    <row r="291" spans="1:19">
      <c r="A291" s="2648"/>
      <c r="B291" s="2668"/>
      <c r="C291" s="2674" t="s">
        <v>1509</v>
      </c>
      <c r="D291" s="2646"/>
      <c r="E291" s="2672" t="s">
        <v>1596</v>
      </c>
      <c r="F291" s="2646"/>
      <c r="G291" s="2647">
        <v>123837.97</v>
      </c>
      <c r="H291" s="2647"/>
      <c r="I291" s="2664" t="s">
        <v>1402</v>
      </c>
      <c r="J291" s="2666"/>
      <c r="K291" s="2666"/>
      <c r="L291" s="1960"/>
      <c r="M291" s="2591"/>
      <c r="N291" s="2591"/>
      <c r="O291" s="2591"/>
      <c r="P291" s="2591"/>
      <c r="Q291" s="2591"/>
      <c r="R291" s="2591"/>
      <c r="S291" s="2591"/>
    </row>
    <row r="292" spans="1:19">
      <c r="A292" s="2648"/>
      <c r="B292" s="2668"/>
      <c r="C292" s="2674" t="s">
        <v>1509</v>
      </c>
      <c r="D292" s="2646"/>
      <c r="E292" s="2672" t="s">
        <v>1597</v>
      </c>
      <c r="F292" s="2646"/>
      <c r="G292" s="2647"/>
      <c r="H292" s="2647">
        <v>-2012135.57</v>
      </c>
      <c r="I292" s="2664" t="s">
        <v>1402</v>
      </c>
      <c r="J292" s="2666"/>
      <c r="K292" s="2666"/>
      <c r="L292" s="1960"/>
      <c r="M292" s="2591"/>
      <c r="N292" s="2591"/>
      <c r="O292" s="2591"/>
      <c r="P292" s="2591"/>
      <c r="Q292" s="2591"/>
      <c r="R292" s="2591"/>
      <c r="S292" s="2591"/>
    </row>
    <row r="293" spans="1:19">
      <c r="A293" s="2648"/>
      <c r="B293" s="2668"/>
      <c r="C293" s="2674" t="s">
        <v>228</v>
      </c>
      <c r="D293" s="2646"/>
      <c r="E293" s="2672" t="s">
        <v>1592</v>
      </c>
      <c r="F293" s="2646"/>
      <c r="G293" s="2647">
        <v>-143713.18</v>
      </c>
      <c r="H293" s="2647"/>
      <c r="I293" s="2664" t="s">
        <v>1402</v>
      </c>
      <c r="J293" s="2666"/>
      <c r="K293" s="2591"/>
      <c r="L293" s="1960"/>
      <c r="M293" s="2591"/>
      <c r="N293" s="2591"/>
      <c r="O293" s="2591"/>
      <c r="P293" s="2591"/>
      <c r="Q293" s="2591"/>
      <c r="R293" s="2591"/>
      <c r="S293" s="2591"/>
    </row>
    <row r="294" spans="1:19">
      <c r="A294" s="2648"/>
      <c r="B294" s="2668"/>
      <c r="C294" s="2674" t="s">
        <v>214</v>
      </c>
      <c r="D294" s="2646"/>
      <c r="E294" s="2672" t="s">
        <v>1588</v>
      </c>
      <c r="F294" s="2646"/>
      <c r="G294" s="2647"/>
      <c r="H294" s="2647">
        <v>-143713.18</v>
      </c>
      <c r="I294" s="2664" t="s">
        <v>1402</v>
      </c>
      <c r="J294" s="2666"/>
      <c r="K294" s="2591"/>
      <c r="L294" s="2591"/>
      <c r="M294" s="2591"/>
      <c r="N294" s="2591"/>
      <c r="O294" s="2591"/>
      <c r="P294" s="2591"/>
      <c r="Q294" s="2591"/>
      <c r="R294" s="2591"/>
      <c r="S294" s="2591"/>
    </row>
    <row r="295" spans="1:19">
      <c r="A295" s="2648"/>
      <c r="B295" s="2668"/>
      <c r="C295" s="2674"/>
      <c r="D295" s="2646"/>
      <c r="E295" s="2672"/>
      <c r="F295" s="2646"/>
      <c r="G295" s="2647"/>
      <c r="H295" s="2647"/>
      <c r="I295" s="2664"/>
      <c r="J295" s="2666"/>
      <c r="K295" s="2591"/>
      <c r="L295" s="2591"/>
      <c r="M295" s="2591"/>
      <c r="N295" s="2591"/>
      <c r="O295" s="2591"/>
      <c r="P295" s="2591"/>
      <c r="Q295" s="2591"/>
      <c r="R295" s="2591"/>
      <c r="S295" s="2591"/>
    </row>
    <row r="296" spans="1:19">
      <c r="A296" s="2694" t="s">
        <v>1598</v>
      </c>
      <c r="B296" s="2645" t="s">
        <v>1599</v>
      </c>
      <c r="C296" s="2674"/>
      <c r="D296" s="2646"/>
      <c r="E296" s="2672"/>
      <c r="F296" s="2646"/>
      <c r="G296" s="2647"/>
      <c r="H296" s="2647"/>
      <c r="I296" s="2664"/>
      <c r="J296" s="2666"/>
      <c r="K296" s="2591"/>
      <c r="L296" s="2591"/>
      <c r="M296" s="2591"/>
      <c r="N296" s="2591"/>
      <c r="O296" s="2591"/>
      <c r="P296" s="2591"/>
      <c r="Q296" s="2591"/>
      <c r="R296" s="2591"/>
      <c r="S296" s="2591"/>
    </row>
    <row r="297" spans="1:19">
      <c r="A297" s="2648"/>
      <c r="B297" s="2668"/>
      <c r="C297" s="2674" t="s">
        <v>202</v>
      </c>
      <c r="D297" s="2646"/>
      <c r="E297" s="2672" t="s">
        <v>1588</v>
      </c>
      <c r="F297" s="2646"/>
      <c r="G297" s="2693">
        <v>-431161.13</v>
      </c>
      <c r="H297" s="2647"/>
      <c r="I297" s="2664" t="s">
        <v>1402</v>
      </c>
      <c r="J297" s="2695" t="s">
        <v>1544</v>
      </c>
      <c r="K297" s="2666" t="s">
        <v>1600</v>
      </c>
      <c r="L297" s="2666" t="s">
        <v>1601</v>
      </c>
      <c r="M297" s="2591"/>
      <c r="N297" s="2591"/>
      <c r="O297" s="2591"/>
      <c r="P297" s="2591"/>
      <c r="Q297" s="2591"/>
      <c r="R297" s="2591"/>
      <c r="S297" s="2591"/>
    </row>
    <row r="298" spans="1:19">
      <c r="A298" s="2648"/>
      <c r="B298" s="2668"/>
      <c r="C298" s="2674" t="s">
        <v>214</v>
      </c>
      <c r="D298" s="2646"/>
      <c r="E298" s="2672" t="s">
        <v>1588</v>
      </c>
      <c r="F298" s="2646"/>
      <c r="G298" s="2647"/>
      <c r="H298" s="2647">
        <f>G297</f>
        <v>-431161.13</v>
      </c>
      <c r="I298" s="2664" t="s">
        <v>1402</v>
      </c>
      <c r="J298" s="2695" t="s">
        <v>1544</v>
      </c>
      <c r="K298" s="2666" t="s">
        <v>1600</v>
      </c>
      <c r="L298" s="2666" t="s">
        <v>1601</v>
      </c>
      <c r="M298" s="2591"/>
      <c r="N298" s="2591"/>
      <c r="O298" s="2591"/>
      <c r="P298" s="2591"/>
      <c r="Q298" s="2591"/>
      <c r="R298" s="2591"/>
      <c r="S298" s="2591"/>
    </row>
    <row r="299" spans="1:19">
      <c r="A299" s="2648"/>
      <c r="B299" s="2668"/>
      <c r="C299" s="2674" t="s">
        <v>214</v>
      </c>
      <c r="D299" s="2646"/>
      <c r="E299" s="2672" t="s">
        <v>1588</v>
      </c>
      <c r="F299" s="2646"/>
      <c r="G299" s="2647">
        <v>-406699.3</v>
      </c>
      <c r="H299" s="2647"/>
      <c r="I299" s="2664" t="s">
        <v>1402</v>
      </c>
      <c r="J299" s="2695" t="s">
        <v>1544</v>
      </c>
      <c r="K299" s="2666" t="s">
        <v>1600</v>
      </c>
      <c r="L299" s="2666" t="s">
        <v>1601</v>
      </c>
      <c r="M299" s="2591"/>
      <c r="N299" s="2591"/>
      <c r="O299" s="2591"/>
      <c r="P299" s="2591"/>
      <c r="Q299" s="2591"/>
      <c r="R299" s="2591"/>
      <c r="S299" s="2591"/>
    </row>
    <row r="300" spans="1:19">
      <c r="A300" s="2648"/>
      <c r="B300" s="2668"/>
      <c r="C300" s="2674" t="s">
        <v>228</v>
      </c>
      <c r="D300" s="2646"/>
      <c r="E300" s="2672" t="s">
        <v>1602</v>
      </c>
      <c r="F300" s="2646"/>
      <c r="G300" s="2647"/>
      <c r="H300" s="2647">
        <f>G299</f>
        <v>-406699.3</v>
      </c>
      <c r="I300" s="2664" t="s">
        <v>1402</v>
      </c>
      <c r="J300" s="2695" t="s">
        <v>1544</v>
      </c>
      <c r="K300" s="2666" t="s">
        <v>1600</v>
      </c>
      <c r="L300" s="2666" t="s">
        <v>1601</v>
      </c>
      <c r="M300" s="2591"/>
      <c r="N300" s="2591"/>
      <c r="O300" s="2591"/>
      <c r="P300" s="2591"/>
      <c r="Q300" s="2591"/>
      <c r="R300" s="2591"/>
      <c r="S300" s="2591"/>
    </row>
    <row r="301" spans="1:19">
      <c r="A301" s="2648"/>
      <c r="B301" s="2668"/>
      <c r="C301" s="2674" t="s">
        <v>228</v>
      </c>
      <c r="D301" s="2646"/>
      <c r="E301" s="2672" t="s">
        <v>1603</v>
      </c>
      <c r="F301" s="2646"/>
      <c r="G301" s="2647">
        <v>24461.8</v>
      </c>
      <c r="H301" s="2647"/>
      <c r="I301" s="2664" t="s">
        <v>1402</v>
      </c>
      <c r="J301" s="2695" t="s">
        <v>1544</v>
      </c>
      <c r="K301" s="2666" t="s">
        <v>1600</v>
      </c>
      <c r="L301" s="2666" t="s">
        <v>1601</v>
      </c>
      <c r="M301" s="2591"/>
      <c r="N301" s="2591"/>
      <c r="O301" s="2591"/>
      <c r="P301" s="2591"/>
      <c r="Q301" s="2591"/>
      <c r="R301" s="2591"/>
      <c r="S301" s="2591"/>
    </row>
    <row r="302" spans="1:19">
      <c r="A302" s="2648"/>
      <c r="B302" s="2668"/>
      <c r="C302" s="2674" t="s">
        <v>214</v>
      </c>
      <c r="D302" s="2646"/>
      <c r="E302" s="2672" t="s">
        <v>1604</v>
      </c>
      <c r="F302" s="2646"/>
      <c r="G302" s="2647"/>
      <c r="H302" s="2647">
        <f>G301</f>
        <v>24461.8</v>
      </c>
      <c r="I302" s="2664" t="s">
        <v>1402</v>
      </c>
      <c r="J302" s="2695" t="s">
        <v>1544</v>
      </c>
      <c r="K302" s="2666" t="s">
        <v>1600</v>
      </c>
      <c r="L302" s="2666" t="s">
        <v>1601</v>
      </c>
      <c r="M302" s="2591"/>
      <c r="N302" s="2591"/>
      <c r="O302" s="2591"/>
      <c r="P302" s="2591"/>
      <c r="Q302" s="2591"/>
      <c r="R302" s="2591"/>
      <c r="S302" s="2591"/>
    </row>
    <row r="303" spans="1:19">
      <c r="A303" s="2648"/>
      <c r="B303" s="2668"/>
      <c r="C303" s="2674" t="s">
        <v>1605</v>
      </c>
      <c r="D303" s="2646"/>
      <c r="E303" s="2672" t="s">
        <v>1590</v>
      </c>
      <c r="F303" s="2646"/>
      <c r="G303" s="2647">
        <v>143713.18</v>
      </c>
      <c r="H303" s="2647"/>
      <c r="I303" s="2664" t="s">
        <v>1402</v>
      </c>
      <c r="J303" s="2695" t="s">
        <v>1544</v>
      </c>
      <c r="K303" s="2666" t="s">
        <v>1600</v>
      </c>
      <c r="L303" s="2666" t="s">
        <v>1601</v>
      </c>
      <c r="M303" s="2591"/>
      <c r="N303" s="2591"/>
      <c r="O303" s="2591"/>
      <c r="P303" s="2591"/>
      <c r="Q303" s="2591"/>
      <c r="R303" s="2591"/>
      <c r="S303" s="2591"/>
    </row>
    <row r="304" spans="1:19">
      <c r="A304" s="2648"/>
      <c r="B304" s="2668"/>
      <c r="C304" s="2674" t="s">
        <v>228</v>
      </c>
      <c r="D304" s="2646"/>
      <c r="E304" s="2672" t="s">
        <v>1606</v>
      </c>
      <c r="F304" s="2646"/>
      <c r="G304" s="2647"/>
      <c r="H304" s="2647">
        <f>G303</f>
        <v>143713.18</v>
      </c>
      <c r="I304" s="2664" t="s">
        <v>1402</v>
      </c>
      <c r="J304" s="2695" t="s">
        <v>1544</v>
      </c>
      <c r="K304" s="2666" t="s">
        <v>1600</v>
      </c>
      <c r="L304" s="2666" t="s">
        <v>1601</v>
      </c>
      <c r="M304" s="2591"/>
      <c r="N304" s="2591"/>
      <c r="O304" s="2591"/>
      <c r="P304" s="2591"/>
      <c r="Q304" s="2591"/>
      <c r="R304" s="2591"/>
      <c r="S304" s="2591"/>
    </row>
    <row r="305" spans="1:19">
      <c r="A305" s="2642"/>
      <c r="B305" s="2675"/>
      <c r="C305" s="2676"/>
      <c r="D305" s="2677"/>
      <c r="E305" s="2639"/>
      <c r="F305" s="2677"/>
      <c r="G305" s="2640"/>
      <c r="H305" s="2640"/>
      <c r="I305" s="2663"/>
      <c r="J305" s="2591"/>
      <c r="K305" s="2591"/>
      <c r="L305" s="2591"/>
      <c r="M305" s="2591"/>
      <c r="N305" s="2591"/>
      <c r="O305" s="2591"/>
      <c r="P305" s="2591"/>
      <c r="Q305" s="2591"/>
      <c r="R305" s="2591"/>
      <c r="S305" s="2591"/>
    </row>
    <row r="306" spans="1:19">
      <c r="A306" s="2642">
        <v>8</v>
      </c>
      <c r="B306" s="2636" t="s">
        <v>1607</v>
      </c>
      <c r="C306" s="2636"/>
      <c r="D306" s="2636"/>
      <c r="E306" s="2636"/>
      <c r="F306" s="2638"/>
      <c r="G306" s="2640"/>
      <c r="H306" s="2640"/>
      <c r="I306" s="2663" t="s">
        <v>1404</v>
      </c>
      <c r="J306" s="2591"/>
      <c r="K306" s="2591"/>
      <c r="L306" s="2591"/>
      <c r="M306" s="2591"/>
      <c r="N306" s="2591"/>
      <c r="O306" s="2591"/>
      <c r="P306" s="2591"/>
      <c r="Q306" s="2591"/>
      <c r="R306" s="2591"/>
      <c r="S306" s="2591"/>
    </row>
    <row r="307" spans="1:19">
      <c r="A307" s="2642"/>
      <c r="B307" s="2636"/>
      <c r="C307" s="2636" t="s">
        <v>1608</v>
      </c>
      <c r="D307" s="2636"/>
      <c r="E307" s="2636" t="s">
        <v>1609</v>
      </c>
      <c r="F307" s="2638"/>
      <c r="G307" s="2640">
        <v>-163607.73</v>
      </c>
      <c r="H307" s="2640"/>
      <c r="I307" s="2663" t="s">
        <v>1404</v>
      </c>
      <c r="J307" s="2591"/>
      <c r="K307" s="2591"/>
      <c r="L307" s="2591"/>
      <c r="M307" s="2591"/>
      <c r="N307" s="2591"/>
      <c r="O307" s="2591"/>
      <c r="P307" s="2591"/>
      <c r="Q307" s="2591"/>
      <c r="R307" s="2591"/>
      <c r="S307" s="2591"/>
    </row>
    <row r="308" spans="1:19">
      <c r="A308" s="2642"/>
      <c r="B308" s="2636"/>
      <c r="C308" s="2636" t="s">
        <v>1610</v>
      </c>
      <c r="D308" s="2636"/>
      <c r="E308" s="2636" t="s">
        <v>1611</v>
      </c>
      <c r="F308" s="2638"/>
      <c r="G308" s="2640"/>
      <c r="H308" s="2640">
        <v>-163607.73</v>
      </c>
      <c r="I308" s="2663" t="s">
        <v>1404</v>
      </c>
      <c r="J308" s="2591"/>
      <c r="K308" s="2591"/>
      <c r="L308" s="2591"/>
      <c r="M308" s="2591"/>
      <c r="N308" s="2591"/>
      <c r="O308" s="2591"/>
      <c r="P308" s="2591"/>
      <c r="Q308" s="2591"/>
      <c r="R308" s="2591"/>
      <c r="S308" s="2591"/>
    </row>
    <row r="309" spans="1:19">
      <c r="A309" s="2642"/>
      <c r="B309" s="2675"/>
      <c r="C309" s="2676"/>
      <c r="D309" s="2677"/>
      <c r="E309" s="2677"/>
      <c r="F309" s="2677"/>
      <c r="G309" s="2640"/>
      <c r="H309" s="2640"/>
      <c r="I309" s="2663" t="s">
        <v>1404</v>
      </c>
      <c r="J309" s="2591"/>
      <c r="K309" s="2591"/>
      <c r="L309" s="2591"/>
      <c r="M309" s="2591"/>
      <c r="N309" s="2591"/>
      <c r="O309" s="2591"/>
      <c r="P309" s="2591"/>
      <c r="Q309" s="2591"/>
      <c r="R309" s="2591"/>
      <c r="S309" s="2591"/>
    </row>
    <row r="310" spans="1:19">
      <c r="A310" s="2642">
        <v>9</v>
      </c>
      <c r="B310" s="2636" t="s">
        <v>1612</v>
      </c>
      <c r="C310" s="2636"/>
      <c r="D310" s="2636"/>
      <c r="E310" s="2636"/>
      <c r="F310" s="2638"/>
      <c r="G310" s="2640"/>
      <c r="H310" s="2640"/>
      <c r="I310" s="2663" t="s">
        <v>1404</v>
      </c>
      <c r="J310" s="2591"/>
      <c r="K310" s="2591"/>
      <c r="L310" s="2591"/>
      <c r="M310" s="2591"/>
      <c r="N310" s="2591"/>
      <c r="O310" s="2591"/>
      <c r="P310" s="2591"/>
      <c r="Q310" s="2591"/>
      <c r="R310" s="2591"/>
      <c r="S310" s="2591"/>
    </row>
    <row r="311" spans="1:19">
      <c r="A311" s="2642"/>
      <c r="B311" s="2636"/>
      <c r="C311" s="2636" t="s">
        <v>1608</v>
      </c>
      <c r="D311" s="2636"/>
      <c r="E311" s="2636" t="s">
        <v>1613</v>
      </c>
      <c r="F311" s="2638"/>
      <c r="G311" s="2640">
        <v>2777061.15</v>
      </c>
      <c r="H311" s="2640"/>
      <c r="I311" s="2663" t="s">
        <v>1404</v>
      </c>
      <c r="J311" s="2591"/>
      <c r="K311" s="2591"/>
      <c r="L311" s="2591"/>
      <c r="M311" s="2591"/>
      <c r="N311" s="2591"/>
      <c r="O311" s="2591"/>
      <c r="P311" s="2591"/>
      <c r="Q311" s="2591"/>
      <c r="R311" s="2591"/>
      <c r="S311" s="2591"/>
    </row>
    <row r="312" spans="1:19">
      <c r="A312" s="2642"/>
      <c r="B312" s="2636"/>
      <c r="C312" s="2636" t="s">
        <v>1614</v>
      </c>
      <c r="D312" s="2636"/>
      <c r="E312" s="2636" t="s">
        <v>1615</v>
      </c>
      <c r="F312" s="2638"/>
      <c r="G312" s="2640"/>
      <c r="H312" s="2640">
        <v>2536190.55</v>
      </c>
      <c r="I312" s="2663" t="s">
        <v>1404</v>
      </c>
      <c r="J312" s="2591"/>
      <c r="K312" s="2591"/>
      <c r="L312" s="2591"/>
      <c r="M312" s="2591"/>
      <c r="N312" s="2591"/>
      <c r="O312" s="2591"/>
      <c r="P312" s="2591"/>
      <c r="Q312" s="2591"/>
      <c r="R312" s="2591"/>
      <c r="S312" s="2591"/>
    </row>
    <row r="313" spans="1:19">
      <c r="A313" s="2642"/>
      <c r="B313" s="2636"/>
      <c r="C313" s="2636" t="s">
        <v>1614</v>
      </c>
      <c r="D313" s="2636"/>
      <c r="E313" s="2636" t="s">
        <v>1616</v>
      </c>
      <c r="F313" s="2638"/>
      <c r="G313" s="2640"/>
      <c r="H313" s="2640">
        <v>240870.6</v>
      </c>
      <c r="I313" s="2663" t="s">
        <v>1404</v>
      </c>
      <c r="J313" s="2591"/>
      <c r="K313" s="2591"/>
      <c r="L313" s="2591"/>
      <c r="M313" s="2591"/>
      <c r="N313" s="2591"/>
      <c r="O313" s="2591"/>
      <c r="P313" s="2591"/>
      <c r="Q313" s="2591"/>
      <c r="R313" s="2591"/>
      <c r="S313" s="2591"/>
    </row>
    <row r="314" spans="1:19">
      <c r="A314" s="2642"/>
      <c r="B314" s="2636"/>
      <c r="C314" s="2636"/>
      <c r="D314" s="2636"/>
      <c r="E314" s="2636"/>
      <c r="F314" s="2638"/>
      <c r="G314" s="2640"/>
      <c r="H314" s="2640"/>
      <c r="I314" s="2663" t="s">
        <v>1404</v>
      </c>
      <c r="J314" s="2591"/>
      <c r="K314" s="2591"/>
      <c r="L314" s="2591"/>
      <c r="M314" s="2591"/>
      <c r="N314" s="2591"/>
      <c r="O314" s="2591"/>
      <c r="P314" s="2591"/>
      <c r="Q314" s="2591"/>
      <c r="R314" s="2591"/>
      <c r="S314" s="2591"/>
    </row>
    <row r="315" spans="1:19">
      <c r="A315" s="2642">
        <v>11</v>
      </c>
      <c r="B315" s="2636" t="s">
        <v>1617</v>
      </c>
      <c r="C315" s="2636"/>
      <c r="D315" s="2636"/>
      <c r="E315" s="2636"/>
      <c r="F315" s="2638"/>
      <c r="G315" s="2640"/>
      <c r="H315" s="2640"/>
      <c r="I315" s="2663" t="s">
        <v>1404</v>
      </c>
      <c r="J315" s="2591"/>
      <c r="K315" s="2591"/>
      <c r="L315" s="2591"/>
      <c r="M315" s="2591"/>
      <c r="N315" s="2591"/>
      <c r="O315" s="2591"/>
      <c r="P315" s="2591"/>
      <c r="Q315" s="2591"/>
      <c r="R315" s="2591"/>
      <c r="S315" s="2591"/>
    </row>
    <row r="316" spans="1:19">
      <c r="A316" s="2642"/>
      <c r="B316" s="2636"/>
      <c r="C316" s="2636" t="s">
        <v>1618</v>
      </c>
      <c r="D316" s="2636"/>
      <c r="E316" s="2636" t="s">
        <v>1619</v>
      </c>
      <c r="F316" s="2636"/>
      <c r="G316" s="2640">
        <v>-1200000</v>
      </c>
      <c r="H316" s="2640"/>
      <c r="I316" s="2663" t="s">
        <v>1404</v>
      </c>
      <c r="J316" s="2591"/>
      <c r="K316" s="1960"/>
      <c r="L316" s="2591"/>
      <c r="M316" s="2591"/>
      <c r="N316" s="2591"/>
      <c r="O316" s="2591"/>
      <c r="P316" s="2591"/>
      <c r="Q316" s="2591"/>
      <c r="R316" s="2591"/>
      <c r="S316" s="2591"/>
    </row>
    <row r="317" spans="1:19">
      <c r="A317" s="2642"/>
      <c r="B317" s="2636"/>
      <c r="C317" s="2636" t="s">
        <v>1512</v>
      </c>
      <c r="D317" s="2636"/>
      <c r="E317" s="2636" t="s">
        <v>1620</v>
      </c>
      <c r="F317" s="2636"/>
      <c r="G317" s="2640">
        <v>-1788718.28</v>
      </c>
      <c r="H317" s="2640"/>
      <c r="I317" s="2663" t="s">
        <v>1404</v>
      </c>
      <c r="J317" s="2591"/>
      <c r="K317" s="2591"/>
      <c r="L317" s="2591"/>
      <c r="M317" s="2591"/>
      <c r="N317" s="2591"/>
      <c r="O317" s="2591"/>
      <c r="P317" s="2591"/>
      <c r="Q317" s="2591"/>
      <c r="R317" s="2591"/>
      <c r="S317" s="2591"/>
    </row>
    <row r="318" spans="1:19">
      <c r="A318" s="2642"/>
      <c r="B318" s="2636"/>
      <c r="C318" s="2636" t="s">
        <v>1614</v>
      </c>
      <c r="D318" s="2636"/>
      <c r="E318" s="2636"/>
      <c r="F318" s="2636"/>
      <c r="G318" s="2640"/>
      <c r="H318" s="2640">
        <v>2820998.72</v>
      </c>
      <c r="I318" s="2663" t="s">
        <v>1404</v>
      </c>
      <c r="J318" s="2591"/>
      <c r="K318" s="2591"/>
      <c r="L318" s="2591"/>
      <c r="M318" s="2591"/>
      <c r="N318" s="2591"/>
      <c r="O318" s="2591"/>
      <c r="P318" s="2591"/>
      <c r="Q318" s="2591"/>
      <c r="R318" s="2591"/>
      <c r="S318" s="2591"/>
    </row>
    <row r="319" spans="1:19">
      <c r="A319" s="2642"/>
      <c r="B319" s="2636"/>
      <c r="C319" s="2636" t="s">
        <v>1621</v>
      </c>
      <c r="D319" s="2636"/>
      <c r="E319" s="2636" t="s">
        <v>1622</v>
      </c>
      <c r="F319" s="2636"/>
      <c r="G319" s="2640">
        <v>5809717</v>
      </c>
      <c r="H319" s="2640"/>
      <c r="I319" s="2663" t="s">
        <v>1404</v>
      </c>
      <c r="J319" s="2591"/>
      <c r="K319" s="2591"/>
      <c r="L319" s="2591"/>
      <c r="M319" s="2591"/>
      <c r="N319" s="2591"/>
      <c r="O319" s="2591"/>
      <c r="P319" s="2591"/>
      <c r="Q319" s="2591"/>
      <c r="R319" s="2591"/>
      <c r="S319" s="2591"/>
    </row>
    <row r="320" spans="1:19">
      <c r="A320" s="2642"/>
      <c r="B320" s="2636"/>
      <c r="C320" s="2636"/>
      <c r="D320" s="2636"/>
      <c r="E320" s="2636"/>
      <c r="F320" s="2638"/>
      <c r="G320" s="2640"/>
      <c r="H320" s="2640"/>
      <c r="I320" s="2663" t="s">
        <v>1404</v>
      </c>
      <c r="J320" s="2591"/>
      <c r="K320" s="2591"/>
      <c r="L320" s="2591"/>
      <c r="M320" s="2591"/>
      <c r="N320" s="2591"/>
      <c r="O320" s="2591"/>
      <c r="P320" s="2591"/>
      <c r="Q320" s="2591"/>
      <c r="R320" s="2591"/>
      <c r="S320" s="2591"/>
    </row>
    <row r="321" spans="1:19">
      <c r="A321" s="2642"/>
      <c r="B321" s="2675"/>
      <c r="C321" s="2676"/>
      <c r="D321" s="2677"/>
      <c r="E321" s="2677"/>
      <c r="F321" s="2677"/>
      <c r="G321" s="2640"/>
      <c r="H321" s="2640"/>
      <c r="I321" s="2663" t="s">
        <v>1404</v>
      </c>
      <c r="J321" s="2591"/>
      <c r="K321" s="2591"/>
      <c r="L321" s="2591"/>
      <c r="M321" s="2591"/>
      <c r="N321" s="2591"/>
      <c r="O321" s="2591"/>
      <c r="P321" s="2591"/>
      <c r="Q321" s="2591"/>
      <c r="R321" s="2591"/>
      <c r="S321" s="2591"/>
    </row>
    <row r="322" spans="1:19">
      <c r="A322" s="2667" t="s">
        <v>1623</v>
      </c>
      <c r="B322" s="2668"/>
      <c r="C322" s="2652"/>
      <c r="D322" s="2646"/>
      <c r="E322" s="2646"/>
      <c r="F322" s="2646"/>
      <c r="G322" s="2647"/>
      <c r="H322" s="2647"/>
      <c r="I322" s="2664" t="s">
        <v>1402</v>
      </c>
      <c r="J322" s="2591"/>
      <c r="K322" s="2591"/>
      <c r="L322" s="2591"/>
      <c r="M322" s="2591"/>
      <c r="N322" s="2591"/>
      <c r="O322" s="2591"/>
      <c r="P322" s="2591"/>
      <c r="Q322" s="2591"/>
      <c r="R322" s="2591"/>
      <c r="S322" s="2591"/>
    </row>
    <row r="323" spans="1:19">
      <c r="A323" s="2649" t="s">
        <v>1524</v>
      </c>
      <c r="B323" s="2668"/>
      <c r="C323" s="2652"/>
      <c r="D323" s="2646"/>
      <c r="E323" s="2646"/>
      <c r="F323" s="2646"/>
      <c r="G323" s="2647"/>
      <c r="H323" s="2647"/>
      <c r="I323" s="2664" t="s">
        <v>1402</v>
      </c>
      <c r="J323" s="2591"/>
      <c r="K323" s="2591"/>
      <c r="L323" s="2591"/>
      <c r="M323" s="2591"/>
      <c r="N323" s="2591"/>
      <c r="O323" s="2591"/>
      <c r="P323" s="2591"/>
      <c r="Q323" s="2591"/>
      <c r="R323" s="2591"/>
      <c r="S323" s="2591"/>
    </row>
    <row r="324" spans="1:19">
      <c r="A324" s="2648">
        <v>1</v>
      </c>
      <c r="B324" s="2645" t="s">
        <v>1525</v>
      </c>
      <c r="C324" s="2645"/>
      <c r="D324" s="2645"/>
      <c r="E324" s="2645"/>
      <c r="F324" s="2645"/>
      <c r="G324" s="2645"/>
      <c r="H324" s="2645"/>
      <c r="I324" s="2664" t="s">
        <v>1402</v>
      </c>
      <c r="J324" s="2591"/>
      <c r="K324" s="2591"/>
      <c r="L324" s="2591"/>
      <c r="M324" s="2591"/>
      <c r="N324" s="2591"/>
      <c r="O324" s="2591"/>
      <c r="P324" s="2591"/>
      <c r="Q324" s="2591"/>
      <c r="R324" s="2591"/>
      <c r="S324" s="2591"/>
    </row>
    <row r="325" spans="1:19">
      <c r="A325" s="2648"/>
      <c r="B325" s="2645"/>
      <c r="C325" s="2645" t="s">
        <v>210</v>
      </c>
      <c r="D325" s="2645"/>
      <c r="E325" s="2645" t="s">
        <v>1526</v>
      </c>
      <c r="F325" s="2645"/>
      <c r="G325" s="2647">
        <v>236.74</v>
      </c>
      <c r="H325" s="2647"/>
      <c r="I325" s="2664" t="s">
        <v>1402</v>
      </c>
      <c r="J325" s="2666" t="s">
        <v>1514</v>
      </c>
      <c r="K325" s="2666" t="s">
        <v>1624</v>
      </c>
      <c r="L325" s="2591"/>
      <c r="M325" s="2591"/>
      <c r="N325" s="2591"/>
      <c r="O325" s="2591"/>
      <c r="P325" s="2591"/>
      <c r="Q325" s="2591"/>
      <c r="R325" s="2591"/>
      <c r="S325" s="2591"/>
    </row>
    <row r="326" spans="1:19">
      <c r="A326" s="2648"/>
      <c r="B326" s="2645"/>
      <c r="C326" s="2645" t="s">
        <v>210</v>
      </c>
      <c r="D326" s="2645"/>
      <c r="E326" s="2645" t="s">
        <v>1534</v>
      </c>
      <c r="F326" s="2645"/>
      <c r="G326" s="2647">
        <v>714352.17</v>
      </c>
      <c r="H326" s="2647"/>
      <c r="I326" s="2664" t="s">
        <v>1402</v>
      </c>
      <c r="J326" s="2666" t="s">
        <v>1514</v>
      </c>
      <c r="K326" s="2591" t="s">
        <v>1625</v>
      </c>
      <c r="L326" s="2591"/>
      <c r="M326" s="2591"/>
      <c r="N326" s="2591"/>
      <c r="O326" s="2591"/>
      <c r="P326" s="2591"/>
      <c r="Q326" s="2591"/>
      <c r="R326" s="2591"/>
      <c r="S326" s="2591"/>
    </row>
    <row r="327" spans="1:19">
      <c r="A327" s="2648"/>
      <c r="B327" s="2645"/>
      <c r="C327" s="2645" t="s">
        <v>215</v>
      </c>
      <c r="D327" s="2645"/>
      <c r="E327" s="2645" t="s">
        <v>1526</v>
      </c>
      <c r="F327" s="2645"/>
      <c r="G327" s="2647"/>
      <c r="H327" s="2647">
        <v>236.74</v>
      </c>
      <c r="I327" s="2664" t="s">
        <v>1402</v>
      </c>
      <c r="J327" s="2666" t="s">
        <v>1514</v>
      </c>
      <c r="K327" s="2666" t="s">
        <v>1624</v>
      </c>
      <c r="L327" s="2591"/>
      <c r="M327" s="2591"/>
      <c r="N327" s="2591"/>
      <c r="O327" s="2591"/>
      <c r="P327" s="2591"/>
      <c r="Q327" s="2591"/>
      <c r="R327" s="2591"/>
      <c r="S327" s="2591"/>
    </row>
    <row r="328" spans="1:19">
      <c r="A328" s="2648"/>
      <c r="B328" s="2645"/>
      <c r="C328" s="2645" t="s">
        <v>215</v>
      </c>
      <c r="D328" s="2645"/>
      <c r="E328" s="2645" t="s">
        <v>1534</v>
      </c>
      <c r="F328" s="2645"/>
      <c r="G328" s="2647"/>
      <c r="H328" s="2647">
        <v>714352.17</v>
      </c>
      <c r="I328" s="2664" t="s">
        <v>1402</v>
      </c>
      <c r="J328" s="2666" t="s">
        <v>1514</v>
      </c>
      <c r="K328" s="2591" t="s">
        <v>1625</v>
      </c>
      <c r="L328" s="2591"/>
      <c r="M328" s="2591"/>
      <c r="N328" s="2591"/>
      <c r="O328" s="2591"/>
      <c r="P328" s="2591"/>
      <c r="Q328" s="2591"/>
      <c r="R328" s="2591"/>
      <c r="S328" s="2591"/>
    </row>
    <row r="329" spans="1:19">
      <c r="A329" s="2667"/>
      <c r="B329" s="2645"/>
      <c r="C329" s="2645"/>
      <c r="D329" s="2645"/>
      <c r="E329" s="2645"/>
      <c r="F329" s="2645"/>
      <c r="G329" s="2647"/>
      <c r="H329" s="2647"/>
      <c r="I329" s="2664" t="s">
        <v>1402</v>
      </c>
      <c r="J329" s="2591"/>
      <c r="K329" s="2591"/>
      <c r="L329" s="2591"/>
      <c r="M329" s="2591"/>
      <c r="N329" s="2591"/>
      <c r="O329" s="2591"/>
      <c r="P329" s="2591"/>
      <c r="Q329" s="2591"/>
      <c r="R329" s="2591"/>
      <c r="S329" s="2591"/>
    </row>
    <row r="330" spans="1:19">
      <c r="A330" s="2648">
        <v>2</v>
      </c>
      <c r="B330" s="2645" t="s">
        <v>1538</v>
      </c>
      <c r="C330" s="2645"/>
      <c r="D330" s="2645"/>
      <c r="E330" s="2645"/>
      <c r="F330" s="2669"/>
      <c r="G330" s="2670"/>
      <c r="H330" s="2647"/>
      <c r="I330" s="2664" t="s">
        <v>1402</v>
      </c>
      <c r="J330" s="2591"/>
      <c r="K330" s="2591"/>
      <c r="L330" s="2591"/>
      <c r="M330" s="2591"/>
      <c r="N330" s="2591"/>
      <c r="O330" s="2591"/>
      <c r="P330" s="2591"/>
      <c r="Q330" s="2591"/>
      <c r="R330" s="2591"/>
      <c r="S330" s="2591"/>
    </row>
    <row r="331" spans="1:19">
      <c r="A331" s="2667"/>
      <c r="B331" s="2645"/>
      <c r="C331" s="2645" t="s">
        <v>227</v>
      </c>
      <c r="D331" s="2645"/>
      <c r="E331" s="2645"/>
      <c r="F331" s="2669"/>
      <c r="G331" s="2647">
        <v>17334444.44</v>
      </c>
      <c r="H331" s="2647"/>
      <c r="I331" s="2664" t="s">
        <v>1402</v>
      </c>
      <c r="J331" s="2666" t="s">
        <v>1506</v>
      </c>
      <c r="K331" s="2591"/>
      <c r="L331" s="2591"/>
      <c r="M331" s="2591"/>
      <c r="N331" s="2591"/>
      <c r="O331" s="2591"/>
      <c r="P331" s="2591"/>
      <c r="Q331" s="2591"/>
      <c r="R331" s="2591"/>
      <c r="S331" s="2591"/>
    </row>
    <row r="332" spans="1:19">
      <c r="A332" s="2667"/>
      <c r="B332" s="2645"/>
      <c r="C332" s="2645" t="s">
        <v>217</v>
      </c>
      <c r="D332" s="2645"/>
      <c r="E332" s="2645"/>
      <c r="F332" s="2669"/>
      <c r="G332" s="2647"/>
      <c r="H332" s="2647">
        <v>17334444.44</v>
      </c>
      <c r="I332" s="2664" t="s">
        <v>1402</v>
      </c>
      <c r="J332" s="2666" t="s">
        <v>1506</v>
      </c>
      <c r="K332" s="2591"/>
      <c r="L332" s="2591"/>
      <c r="M332" s="2591"/>
      <c r="N332" s="2591"/>
      <c r="O332" s="2591"/>
      <c r="P332" s="2591"/>
      <c r="Q332" s="2591"/>
      <c r="R332" s="2591"/>
      <c r="S332" s="2591"/>
    </row>
    <row r="333" spans="1:19">
      <c r="A333" s="2667"/>
      <c r="B333" s="2645"/>
      <c r="C333" s="2645"/>
      <c r="D333" s="2645"/>
      <c r="E333" s="2645"/>
      <c r="F333" s="2669"/>
      <c r="G333" s="2647"/>
      <c r="H333" s="2647"/>
      <c r="I333" s="2664"/>
      <c r="J333" s="2591"/>
      <c r="K333" s="2591"/>
      <c r="L333" s="2591"/>
      <c r="M333" s="2591"/>
      <c r="N333" s="2591"/>
      <c r="O333" s="2591"/>
      <c r="P333" s="2591"/>
      <c r="Q333" s="2591"/>
      <c r="R333" s="2591"/>
      <c r="S333" s="2591"/>
    </row>
    <row r="334" spans="1:19">
      <c r="A334" s="2667">
        <v>3</v>
      </c>
      <c r="B334" s="2645" t="s">
        <v>1626</v>
      </c>
      <c r="C334" s="2645"/>
      <c r="D334" s="2645"/>
      <c r="E334" s="2645"/>
      <c r="F334" s="2669"/>
      <c r="G334" s="2647"/>
      <c r="H334" s="2647"/>
      <c r="I334" s="2664"/>
      <c r="J334" s="2591"/>
      <c r="K334" s="2591"/>
      <c r="L334" s="2591"/>
      <c r="M334" s="2591"/>
      <c r="N334" s="2591"/>
      <c r="O334" s="2591"/>
      <c r="P334" s="2591"/>
      <c r="Q334" s="2591"/>
      <c r="R334" s="2591"/>
      <c r="S334" s="2591"/>
    </row>
    <row r="335" spans="1:19">
      <c r="A335" s="2667"/>
      <c r="B335" s="2645"/>
      <c r="C335" s="2645" t="s">
        <v>1522</v>
      </c>
      <c r="D335" s="2645"/>
      <c r="E335" s="2645"/>
      <c r="F335" s="2669"/>
      <c r="G335" s="2647">
        <v>371184.54</v>
      </c>
      <c r="H335" s="2647"/>
      <c r="I335" s="2664" t="s">
        <v>1402</v>
      </c>
      <c r="J335" s="2666" t="s">
        <v>1544</v>
      </c>
      <c r="K335" s="2591" t="s">
        <v>1584</v>
      </c>
      <c r="L335" s="2591"/>
      <c r="M335" s="2591"/>
      <c r="N335" s="2591"/>
      <c r="O335" s="2591"/>
      <c r="P335" s="2591"/>
      <c r="Q335" s="2591"/>
      <c r="R335" s="2591"/>
      <c r="S335" s="2591"/>
    </row>
    <row r="336" spans="1:19">
      <c r="A336" s="2667"/>
      <c r="B336" s="2645"/>
      <c r="C336" s="2645" t="s">
        <v>1547</v>
      </c>
      <c r="D336" s="2645"/>
      <c r="E336" s="2645"/>
      <c r="F336" s="2669"/>
      <c r="G336" s="2647"/>
      <c r="H336" s="2647">
        <f>G335</f>
        <v>371184.54</v>
      </c>
      <c r="I336" s="2664" t="s">
        <v>1402</v>
      </c>
      <c r="J336" s="2666" t="s">
        <v>1544</v>
      </c>
      <c r="K336" s="2591" t="s">
        <v>1584</v>
      </c>
      <c r="L336" s="2591"/>
      <c r="M336" s="2591"/>
      <c r="N336" s="2591"/>
      <c r="O336" s="2591"/>
      <c r="P336" s="2591"/>
      <c r="Q336" s="2591"/>
      <c r="R336" s="2591"/>
      <c r="S336" s="2591"/>
    </row>
    <row r="337" spans="1:19">
      <c r="A337" s="2667"/>
      <c r="B337" s="2645"/>
      <c r="C337" s="2645" t="s">
        <v>210</v>
      </c>
      <c r="D337" s="2645"/>
      <c r="E337" s="2645"/>
      <c r="F337" s="2669"/>
      <c r="G337" s="2647">
        <f>G335</f>
        <v>371184.54</v>
      </c>
      <c r="H337" s="2647"/>
      <c r="I337" s="2664" t="s">
        <v>1402</v>
      </c>
      <c r="J337" s="2666" t="s">
        <v>1627</v>
      </c>
      <c r="K337" s="2591"/>
      <c r="L337" s="2591"/>
      <c r="M337" s="2591"/>
      <c r="N337" s="2591"/>
      <c r="O337" s="2591"/>
      <c r="P337" s="2591"/>
      <c r="Q337" s="2591"/>
      <c r="R337" s="2591"/>
      <c r="S337" s="2591"/>
    </row>
    <row r="338" spans="1:19">
      <c r="A338" s="2667"/>
      <c r="B338" s="2645"/>
      <c r="C338" s="2645" t="s">
        <v>1509</v>
      </c>
      <c r="D338" s="2645"/>
      <c r="E338" s="2645"/>
      <c r="F338" s="2669"/>
      <c r="G338" s="2647"/>
      <c r="H338" s="2647">
        <f>G337</f>
        <v>371184.54</v>
      </c>
      <c r="I338" s="2664" t="s">
        <v>1402</v>
      </c>
      <c r="J338" s="2591" t="s">
        <v>1627</v>
      </c>
      <c r="K338" s="2591"/>
      <c r="L338" s="2591"/>
      <c r="M338" s="2591"/>
      <c r="N338" s="2591"/>
      <c r="O338" s="2591"/>
      <c r="P338" s="2591"/>
      <c r="Q338" s="2591"/>
      <c r="R338" s="2591"/>
      <c r="S338" s="2591"/>
    </row>
    <row r="339" spans="1:19">
      <c r="A339" s="2671"/>
      <c r="B339" s="2636"/>
      <c r="C339" s="2636"/>
      <c r="D339" s="2636"/>
      <c r="E339" s="2636"/>
      <c r="F339" s="2636"/>
      <c r="G339" s="2640"/>
      <c r="H339" s="2640"/>
      <c r="I339" s="2663" t="s">
        <v>1404</v>
      </c>
      <c r="J339" s="2591"/>
      <c r="K339" s="2591"/>
      <c r="L339" s="2591"/>
      <c r="M339" s="2591"/>
      <c r="N339" s="2591"/>
      <c r="O339" s="2591"/>
      <c r="P339" s="2591"/>
      <c r="Q339" s="2591"/>
      <c r="R339" s="2591"/>
      <c r="S339" s="2591"/>
    </row>
    <row r="340" spans="1:19">
      <c r="A340" s="2642">
        <v>3</v>
      </c>
      <c r="B340" s="2636" t="s">
        <v>1628</v>
      </c>
      <c r="C340" s="2636"/>
      <c r="D340" s="2636"/>
      <c r="E340" s="2636"/>
      <c r="F340" s="2638"/>
      <c r="G340" s="2640"/>
      <c r="H340" s="2640"/>
      <c r="I340" s="2663" t="s">
        <v>1404</v>
      </c>
      <c r="J340" s="2591"/>
      <c r="K340" s="2591"/>
      <c r="L340" s="2591"/>
      <c r="M340" s="2591"/>
      <c r="N340" s="2591"/>
      <c r="O340" s="2591"/>
      <c r="P340" s="2591"/>
      <c r="Q340" s="2591"/>
      <c r="R340" s="2591"/>
      <c r="S340" s="2591"/>
    </row>
    <row r="341" spans="1:19">
      <c r="A341" s="2671"/>
      <c r="B341" s="2636"/>
      <c r="C341" s="2636" t="s">
        <v>216</v>
      </c>
      <c r="D341" s="2636"/>
      <c r="E341" s="2636" t="s">
        <v>1629</v>
      </c>
      <c r="F341" s="2638"/>
      <c r="G341" s="2640">
        <v>-1730654.19</v>
      </c>
      <c r="H341" s="2640"/>
      <c r="I341" s="2663" t="s">
        <v>1404</v>
      </c>
      <c r="J341" s="2591"/>
      <c r="K341" s="2591"/>
      <c r="L341" s="2591"/>
      <c r="M341" s="2591"/>
      <c r="N341" s="2591"/>
      <c r="O341" s="2591"/>
      <c r="P341" s="2591"/>
      <c r="Q341" s="2591"/>
      <c r="R341" s="2591"/>
      <c r="S341" s="2591"/>
    </row>
    <row r="342" spans="1:19">
      <c r="A342" s="2671"/>
      <c r="B342" s="2636"/>
      <c r="C342" s="2636" t="s">
        <v>216</v>
      </c>
      <c r="D342" s="2636"/>
      <c r="E342" s="2636" t="s">
        <v>1630</v>
      </c>
      <c r="F342" s="2638"/>
      <c r="G342" s="2640">
        <v>-102573.58</v>
      </c>
      <c r="H342" s="2640"/>
      <c r="I342" s="2663" t="s">
        <v>1404</v>
      </c>
      <c r="J342" s="2591"/>
      <c r="K342" s="2591"/>
      <c r="L342" s="2591"/>
      <c r="M342" s="2591"/>
      <c r="N342" s="2591"/>
      <c r="O342" s="2591"/>
      <c r="P342" s="2591"/>
      <c r="Q342" s="2591"/>
      <c r="R342" s="2591"/>
      <c r="S342" s="2591"/>
    </row>
    <row r="343" spans="1:19">
      <c r="A343" s="2671"/>
      <c r="B343" s="2636"/>
      <c r="C343" s="2636" t="s">
        <v>209</v>
      </c>
      <c r="D343" s="2636"/>
      <c r="E343" s="2636" t="s">
        <v>1631</v>
      </c>
      <c r="F343" s="2638"/>
      <c r="G343" s="2640">
        <f>-G341-G342</f>
        <v>1833227.77</v>
      </c>
      <c r="H343" s="2640"/>
      <c r="I343" s="2663" t="s">
        <v>1404</v>
      </c>
      <c r="J343" s="2591"/>
      <c r="K343" s="2591"/>
      <c r="L343" s="2591"/>
      <c r="M343" s="2591"/>
      <c r="N343" s="2591"/>
      <c r="O343" s="2591"/>
      <c r="P343" s="2591"/>
      <c r="Q343" s="2591"/>
      <c r="R343" s="2591"/>
      <c r="S343" s="2591"/>
    </row>
    <row r="344" spans="1:19">
      <c r="A344" s="2642">
        <v>4</v>
      </c>
      <c r="B344" s="2636"/>
      <c r="C344" s="2636"/>
      <c r="D344" s="2636"/>
      <c r="E344" s="2636"/>
      <c r="F344" s="2638"/>
      <c r="G344" s="2640"/>
      <c r="H344" s="2640"/>
      <c r="I344" s="2663" t="s">
        <v>1404</v>
      </c>
      <c r="J344" s="2591"/>
      <c r="K344" s="2591"/>
      <c r="L344" s="2591"/>
      <c r="M344" s="2591"/>
      <c r="N344" s="2591"/>
      <c r="O344" s="2591"/>
      <c r="P344" s="2591"/>
      <c r="Q344" s="2591"/>
      <c r="R344" s="2591"/>
      <c r="S344" s="2591"/>
    </row>
    <row r="345" spans="1:19">
      <c r="A345" s="2642"/>
      <c r="B345" s="2636" t="s">
        <v>1632</v>
      </c>
      <c r="C345" s="2636"/>
      <c r="D345" s="2636"/>
      <c r="E345" s="2636"/>
      <c r="F345" s="2638"/>
      <c r="G345" s="2640"/>
      <c r="H345" s="2640"/>
      <c r="I345" s="2663" t="s">
        <v>1404</v>
      </c>
      <c r="J345" s="2591"/>
      <c r="K345" s="2591"/>
      <c r="L345" s="2591"/>
      <c r="M345" s="2591"/>
      <c r="N345" s="2591"/>
      <c r="O345" s="2591"/>
      <c r="P345" s="2591"/>
      <c r="Q345" s="2591"/>
      <c r="R345" s="2591"/>
      <c r="S345" s="2591"/>
    </row>
    <row r="346" spans="1:19">
      <c r="A346" s="2671"/>
      <c r="B346" s="2636"/>
      <c r="C346" s="2636" t="s">
        <v>219</v>
      </c>
      <c r="D346" s="2636"/>
      <c r="E346" s="2636"/>
      <c r="F346" s="2638"/>
      <c r="G346" s="2640"/>
      <c r="H346" s="2640">
        <v>8287528.07</v>
      </c>
      <c r="I346" s="2663" t="s">
        <v>1404</v>
      </c>
      <c r="J346" s="2591"/>
      <c r="K346" s="2591"/>
      <c r="L346" s="2591"/>
      <c r="M346" s="2591"/>
      <c r="N346" s="2591"/>
      <c r="O346" s="2591"/>
      <c r="P346" s="2591"/>
      <c r="Q346" s="2591"/>
      <c r="R346" s="2591"/>
      <c r="S346" s="2591"/>
    </row>
    <row r="347" spans="1:19">
      <c r="A347" s="2671"/>
      <c r="B347" s="2636"/>
      <c r="C347" s="2636" t="s">
        <v>209</v>
      </c>
      <c r="D347" s="2636"/>
      <c r="E347" s="2636" t="s">
        <v>1633</v>
      </c>
      <c r="F347" s="2638"/>
      <c r="G347" s="2640">
        <f>H346</f>
        <v>8287528.07</v>
      </c>
      <c r="H347" s="2640"/>
      <c r="I347" s="2663" t="s">
        <v>1404</v>
      </c>
      <c r="J347" s="2591"/>
      <c r="K347" s="2591"/>
      <c r="L347" s="2591"/>
      <c r="M347" s="2591"/>
      <c r="N347" s="2591"/>
      <c r="O347" s="2591"/>
      <c r="P347" s="2591"/>
      <c r="Q347" s="2591"/>
      <c r="R347" s="2591"/>
      <c r="S347" s="2591"/>
    </row>
    <row r="348" spans="1:19">
      <c r="A348" s="2649" t="s">
        <v>1541</v>
      </c>
      <c r="B348" s="2668"/>
      <c r="C348" s="2652"/>
      <c r="D348" s="2646"/>
      <c r="E348" s="2646"/>
      <c r="F348" s="2646"/>
      <c r="G348" s="2647"/>
      <c r="H348" s="2647"/>
      <c r="I348" s="2664"/>
      <c r="J348" s="2591"/>
      <c r="K348" s="2591"/>
      <c r="L348" s="2591"/>
      <c r="M348" s="2591"/>
      <c r="N348" s="2591"/>
      <c r="O348" s="2591"/>
      <c r="P348" s="2591"/>
      <c r="Q348" s="2591"/>
      <c r="R348" s="2591"/>
      <c r="S348" s="2591"/>
    </row>
    <row r="349" spans="1:19">
      <c r="A349" s="2642"/>
      <c r="B349" s="2675"/>
      <c r="C349" s="2676"/>
      <c r="D349" s="2677"/>
      <c r="E349" s="2677"/>
      <c r="F349" s="2677"/>
      <c r="G349" s="2640"/>
      <c r="H349" s="2640"/>
      <c r="I349" s="2663"/>
      <c r="J349" s="2591"/>
      <c r="K349" s="2591"/>
      <c r="L349" s="2591"/>
      <c r="M349" s="2591"/>
      <c r="N349" s="2591"/>
      <c r="O349" s="2591"/>
      <c r="P349" s="2591"/>
      <c r="Q349" s="2591"/>
      <c r="R349" s="2591"/>
      <c r="S349" s="2591"/>
    </row>
    <row r="350" spans="1:19">
      <c r="A350" s="2648">
        <v>1</v>
      </c>
      <c r="B350" s="2645" t="s">
        <v>1634</v>
      </c>
      <c r="C350" s="2652"/>
      <c r="D350" s="2646"/>
      <c r="E350" s="2646"/>
      <c r="F350" s="2646"/>
      <c r="G350" s="2647"/>
      <c r="H350" s="2647"/>
      <c r="I350" s="2664" t="s">
        <v>1402</v>
      </c>
      <c r="J350" s="2591"/>
      <c r="K350" s="2591"/>
      <c r="L350" s="2591"/>
      <c r="M350" s="2591"/>
      <c r="N350" s="2591"/>
      <c r="O350" s="2591"/>
      <c r="P350" s="2591"/>
      <c r="Q350" s="2591"/>
      <c r="R350" s="2591"/>
      <c r="S350" s="2591"/>
    </row>
    <row r="351" ht="16.5" spans="1:19">
      <c r="A351" s="2648"/>
      <c r="B351" s="2668"/>
      <c r="C351" s="2652" t="s">
        <v>1559</v>
      </c>
      <c r="D351" s="2646"/>
      <c r="E351" s="2646" t="s">
        <v>1602</v>
      </c>
      <c r="F351" s="2646"/>
      <c r="G351" s="2647"/>
      <c r="H351" s="2696">
        <v>76685.07</v>
      </c>
      <c r="I351" s="2664" t="s">
        <v>1402</v>
      </c>
      <c r="J351" s="2666" t="s">
        <v>1514</v>
      </c>
      <c r="K351" s="2591" t="s">
        <v>1635</v>
      </c>
      <c r="L351" s="2591"/>
      <c r="M351" s="2591"/>
      <c r="N351" s="2591"/>
      <c r="O351" s="2591"/>
      <c r="P351" s="2591"/>
      <c r="Q351" s="2591"/>
      <c r="R351" s="2591"/>
      <c r="S351" s="2591"/>
    </row>
    <row r="352" ht="16.5" spans="1:19">
      <c r="A352" s="2648"/>
      <c r="B352" s="2668"/>
      <c r="C352" s="2652" t="s">
        <v>209</v>
      </c>
      <c r="D352" s="2646"/>
      <c r="E352" s="2646" t="s">
        <v>1636</v>
      </c>
      <c r="F352" s="2646"/>
      <c r="G352" s="2647"/>
      <c r="H352" s="2696">
        <v>-54240.85</v>
      </c>
      <c r="I352" s="2664" t="s">
        <v>1402</v>
      </c>
      <c r="J352" s="2666" t="s">
        <v>1514</v>
      </c>
      <c r="K352" s="2591" t="s">
        <v>1635</v>
      </c>
      <c r="L352" s="2697"/>
      <c r="M352" s="2591"/>
      <c r="N352" s="2591"/>
      <c r="O352" s="2591"/>
      <c r="P352" s="2591"/>
      <c r="Q352" s="2591"/>
      <c r="R352" s="2591"/>
      <c r="S352" s="2591"/>
    </row>
    <row r="353" ht="16.5" spans="1:19">
      <c r="A353" s="2648"/>
      <c r="B353" s="2668"/>
      <c r="C353" s="2652" t="s">
        <v>209</v>
      </c>
      <c r="D353" s="2646"/>
      <c r="E353" s="2646" t="s">
        <v>1637</v>
      </c>
      <c r="F353" s="2646"/>
      <c r="G353" s="2647"/>
      <c r="H353" s="2696">
        <v>-22444.22</v>
      </c>
      <c r="I353" s="2664" t="s">
        <v>1402</v>
      </c>
      <c r="J353" s="2666" t="s">
        <v>1514</v>
      </c>
      <c r="K353" s="2591" t="s">
        <v>1635</v>
      </c>
      <c r="L353" s="2591"/>
      <c r="M353" s="2591"/>
      <c r="N353" s="2591"/>
      <c r="O353" s="2591"/>
      <c r="P353" s="2591"/>
      <c r="Q353" s="2591"/>
      <c r="R353" s="2591"/>
      <c r="S353" s="2591"/>
    </row>
    <row r="354" spans="1:19">
      <c r="A354" s="2642"/>
      <c r="B354" s="2675"/>
      <c r="C354" s="2676"/>
      <c r="D354" s="2677"/>
      <c r="E354" s="2677"/>
      <c r="F354" s="2677"/>
      <c r="G354" s="2640"/>
      <c r="H354" s="2640"/>
      <c r="I354" s="2663"/>
      <c r="J354" s="2591"/>
      <c r="K354" s="2591"/>
      <c r="L354" s="2591"/>
      <c r="M354" s="2591"/>
      <c r="N354" s="2591"/>
      <c r="O354" s="2591"/>
      <c r="P354" s="2591"/>
      <c r="Q354" s="2591"/>
      <c r="R354" s="2591"/>
      <c r="S354" s="2591"/>
    </row>
    <row r="355" spans="1:19">
      <c r="A355" s="2648">
        <v>2</v>
      </c>
      <c r="B355" s="2668" t="s">
        <v>1638</v>
      </c>
      <c r="C355" s="2652"/>
      <c r="D355" s="2646"/>
      <c r="E355" s="2646"/>
      <c r="F355" s="2646"/>
      <c r="G355" s="2647"/>
      <c r="H355" s="2647"/>
      <c r="I355" s="2664" t="s">
        <v>1402</v>
      </c>
      <c r="J355" s="2591"/>
      <c r="K355" s="2591"/>
      <c r="L355" s="1960"/>
      <c r="M355" s="1960"/>
      <c r="N355" s="2591"/>
      <c r="O355" s="2591"/>
      <c r="P355" s="2591"/>
      <c r="Q355" s="2591"/>
      <c r="R355" s="2591"/>
      <c r="S355" s="2591"/>
    </row>
    <row r="356" spans="1:19">
      <c r="A356" s="2648"/>
      <c r="B356" s="2668"/>
      <c r="C356" s="2652" t="s">
        <v>202</v>
      </c>
      <c r="D356" s="2646"/>
      <c r="E356" s="2646" t="s">
        <v>1639</v>
      </c>
      <c r="F356" s="2646"/>
      <c r="G356" s="2647">
        <f>47094.68+101789.33</f>
        <v>148884.01</v>
      </c>
      <c r="H356" s="2647"/>
      <c r="I356" s="2664" t="s">
        <v>1402</v>
      </c>
      <c r="J356" s="2666" t="s">
        <v>1544</v>
      </c>
      <c r="K356" s="2591" t="s">
        <v>1640</v>
      </c>
      <c r="L356" s="1960"/>
      <c r="M356" s="1960"/>
      <c r="N356" s="2591"/>
      <c r="O356" s="2591"/>
      <c r="P356" s="2591"/>
      <c r="Q356" s="2591"/>
      <c r="R356" s="2591"/>
      <c r="S356" s="2591"/>
    </row>
    <row r="357" spans="1:19">
      <c r="A357" s="2648"/>
      <c r="B357" s="2668"/>
      <c r="C357" s="2652" t="s">
        <v>1559</v>
      </c>
      <c r="D357" s="2646"/>
      <c r="E357" s="2646" t="s">
        <v>1641</v>
      </c>
      <c r="F357" s="2646"/>
      <c r="G357" s="2647"/>
      <c r="H357" s="2647">
        <f>G356</f>
        <v>148884.01</v>
      </c>
      <c r="I357" s="2664" t="s">
        <v>1402</v>
      </c>
      <c r="J357" s="2666" t="s">
        <v>1544</v>
      </c>
      <c r="K357" s="2591" t="s">
        <v>1640</v>
      </c>
      <c r="N357" s="2591"/>
      <c r="O357" s="2591"/>
      <c r="P357" s="2591"/>
      <c r="Q357" s="2591"/>
      <c r="R357" s="2591"/>
      <c r="S357" s="2591"/>
    </row>
    <row r="358" spans="1:19">
      <c r="A358" s="2642"/>
      <c r="B358" s="2675"/>
      <c r="C358" s="2676"/>
      <c r="D358" s="2677"/>
      <c r="E358" s="2677"/>
      <c r="F358" s="2677"/>
      <c r="G358" s="2640"/>
      <c r="H358" s="2640"/>
      <c r="I358" s="2663"/>
      <c r="L358" s="2666" t="s">
        <v>1642</v>
      </c>
      <c r="M358" s="2698" t="s">
        <v>1643</v>
      </c>
      <c r="N358" s="2699">
        <v>76985400</v>
      </c>
      <c r="O358" s="2698" t="s">
        <v>1644</v>
      </c>
      <c r="P358" s="2591"/>
      <c r="Q358" s="2591"/>
      <c r="R358" s="2591"/>
      <c r="S358" s="2591"/>
    </row>
    <row r="359" spans="1:19">
      <c r="A359" s="2648">
        <v>3</v>
      </c>
      <c r="B359" s="2645" t="s">
        <v>1645</v>
      </c>
      <c r="C359" s="2652"/>
      <c r="D359" s="2646"/>
      <c r="E359" s="2646"/>
      <c r="F359" s="2646"/>
      <c r="G359" s="2647"/>
      <c r="H359" s="2647"/>
      <c r="I359" s="2664"/>
      <c r="L359" s="2591"/>
      <c r="M359" s="2698" t="s">
        <v>1646</v>
      </c>
      <c r="N359" s="2698" t="s">
        <v>1644</v>
      </c>
      <c r="O359" s="2699">
        <v>60811434.3</v>
      </c>
      <c r="P359" s="2591"/>
      <c r="Q359" s="2591"/>
      <c r="R359" s="2591"/>
      <c r="S359" s="2591"/>
    </row>
    <row r="360" spans="1:19">
      <c r="A360" s="2648"/>
      <c r="B360" s="2668"/>
      <c r="C360" s="2654" t="s">
        <v>1559</v>
      </c>
      <c r="D360" s="2646"/>
      <c r="E360" s="2672" t="s">
        <v>1647</v>
      </c>
      <c r="F360" s="2646"/>
      <c r="G360" s="2647"/>
      <c r="H360" s="2647">
        <v>-4358381.35</v>
      </c>
      <c r="I360" s="2664" t="s">
        <v>1402</v>
      </c>
      <c r="J360" s="362" t="s">
        <v>1514</v>
      </c>
      <c r="K360" s="2591" t="s">
        <v>1648</v>
      </c>
      <c r="L360" s="2591"/>
      <c r="M360" s="2698" t="s">
        <v>1649</v>
      </c>
      <c r="N360" s="2698" t="s">
        <v>1644</v>
      </c>
      <c r="O360" s="2699">
        <v>8544781.92</v>
      </c>
      <c r="P360" s="2591"/>
      <c r="Q360" s="2591"/>
      <c r="R360" s="2591"/>
      <c r="S360" s="2591"/>
    </row>
    <row r="361" spans="1:19">
      <c r="A361" s="2648"/>
      <c r="B361" s="2668"/>
      <c r="C361" s="2654" t="s">
        <v>228</v>
      </c>
      <c r="D361" s="2646"/>
      <c r="E361" s="2672" t="s">
        <v>1650</v>
      </c>
      <c r="F361" s="2646"/>
      <c r="G361" s="2647"/>
      <c r="H361" s="2647">
        <f>-H360</f>
        <v>4358381.35</v>
      </c>
      <c r="I361" s="2664" t="s">
        <v>1402</v>
      </c>
      <c r="J361" s="362" t="s">
        <v>1514</v>
      </c>
      <c r="K361" s="2591" t="s">
        <v>1648</v>
      </c>
      <c r="L361" s="2591"/>
      <c r="M361" s="2698" t="s">
        <v>1651</v>
      </c>
      <c r="N361" s="2698" t="s">
        <v>1644</v>
      </c>
      <c r="O361" s="2699">
        <v>7629183.78</v>
      </c>
      <c r="P361" s="1960">
        <f>N358-O360</f>
        <v>68440618.08</v>
      </c>
      <c r="Q361" s="2591"/>
      <c r="R361" s="2591"/>
      <c r="S361" s="2591"/>
    </row>
    <row r="362" spans="1:19">
      <c r="A362" s="2642"/>
      <c r="B362" s="2675"/>
      <c r="C362" s="2676"/>
      <c r="D362" s="2677"/>
      <c r="E362" s="2677"/>
      <c r="F362" s="2677"/>
      <c r="G362" s="2640"/>
      <c r="H362" s="2640"/>
      <c r="I362" s="2663"/>
      <c r="L362" s="2591"/>
      <c r="M362" s="2698" t="s">
        <v>1652</v>
      </c>
      <c r="N362" s="2699">
        <v>7698540</v>
      </c>
      <c r="O362" s="2698" t="s">
        <v>1644</v>
      </c>
      <c r="P362" s="2591"/>
      <c r="Q362" s="2591"/>
      <c r="R362" s="2591"/>
      <c r="S362" s="2591"/>
    </row>
    <row r="363" spans="1:19">
      <c r="A363" s="2642">
        <v>7</v>
      </c>
      <c r="B363" s="2675" t="s">
        <v>1653</v>
      </c>
      <c r="C363" s="2676"/>
      <c r="D363" s="2677"/>
      <c r="E363" s="2677"/>
      <c r="F363" s="2677"/>
      <c r="G363" s="2640"/>
      <c r="H363" s="2640"/>
      <c r="I363" s="2663" t="s">
        <v>1404</v>
      </c>
      <c r="L363" s="2591"/>
      <c r="M363" s="2698" t="s">
        <v>1643</v>
      </c>
      <c r="N363" s="2698" t="s">
        <v>1644</v>
      </c>
      <c r="O363" s="2699">
        <v>7698540</v>
      </c>
      <c r="P363" s="2591"/>
      <c r="Q363" s="2591"/>
      <c r="R363" s="2591"/>
      <c r="S363" s="2591"/>
    </row>
    <row r="364" spans="1:19">
      <c r="A364" s="2642"/>
      <c r="B364" s="2675"/>
      <c r="C364" s="2676" t="s">
        <v>1509</v>
      </c>
      <c r="D364" s="2677"/>
      <c r="E364" s="2677"/>
      <c r="F364" s="2677"/>
      <c r="G364" s="2640">
        <v>-163607.73</v>
      </c>
      <c r="H364" s="2640"/>
      <c r="I364" s="2663" t="s">
        <v>1404</v>
      </c>
      <c r="L364" s="2591"/>
      <c r="M364" s="2591"/>
      <c r="N364" s="2591"/>
      <c r="O364" s="2591"/>
      <c r="P364" s="2591"/>
      <c r="Q364" s="2591"/>
      <c r="R364" s="2591"/>
      <c r="S364" s="2591"/>
    </row>
    <row r="365" spans="1:19">
      <c r="A365" s="2642"/>
      <c r="B365" s="2675"/>
      <c r="C365" s="2676" t="s">
        <v>1654</v>
      </c>
      <c r="D365" s="2677"/>
      <c r="E365" s="2677" t="s">
        <v>1655</v>
      </c>
      <c r="F365" s="2677"/>
      <c r="G365" s="2640">
        <v>130006.66</v>
      </c>
      <c r="H365" s="2640"/>
      <c r="I365" s="2663" t="s">
        <v>1404</v>
      </c>
      <c r="L365" s="2591"/>
      <c r="M365" s="2666" t="s">
        <v>1656</v>
      </c>
      <c r="N365" s="2591"/>
      <c r="O365" s="2591"/>
      <c r="P365" s="2591"/>
      <c r="Q365" s="2591"/>
      <c r="R365" s="2591"/>
      <c r="S365" s="2591"/>
    </row>
    <row r="366" spans="1:19">
      <c r="A366" s="2642"/>
      <c r="B366" s="2675"/>
      <c r="C366" s="2676" t="s">
        <v>1657</v>
      </c>
      <c r="D366" s="2677"/>
      <c r="E366" s="2677" t="s">
        <v>1609</v>
      </c>
      <c r="F366" s="2677"/>
      <c r="G366" s="2640">
        <v>-784437.58</v>
      </c>
      <c r="H366" s="2640"/>
      <c r="I366" s="2663" t="s">
        <v>1404</v>
      </c>
      <c r="L366" s="2591"/>
      <c r="M366" s="2698" t="s">
        <v>1643</v>
      </c>
      <c r="N366" s="1960">
        <v>76985400</v>
      </c>
      <c r="O366" s="1960"/>
      <c r="P366" s="2591"/>
      <c r="Q366" s="2591"/>
      <c r="R366" s="2591"/>
      <c r="S366" s="2591"/>
    </row>
    <row r="367" spans="1:19">
      <c r="A367" s="2642"/>
      <c r="B367" s="2675"/>
      <c r="C367" s="2676" t="s">
        <v>234</v>
      </c>
      <c r="D367" s="2677"/>
      <c r="E367" s="2677" t="s">
        <v>1611</v>
      </c>
      <c r="F367" s="2677"/>
      <c r="G367" s="2640"/>
      <c r="H367" s="2640">
        <v>-818038.65</v>
      </c>
      <c r="I367" s="2663" t="s">
        <v>1404</v>
      </c>
      <c r="L367" s="2591"/>
      <c r="M367" s="2698" t="s">
        <v>1646</v>
      </c>
      <c r="N367" s="1960"/>
      <c r="O367" s="1960">
        <v>56453052.95</v>
      </c>
      <c r="P367" s="2591"/>
      <c r="Q367" s="2591"/>
      <c r="R367" s="2591"/>
      <c r="S367" s="2591"/>
    </row>
    <row r="368" spans="1:19">
      <c r="A368" s="2642"/>
      <c r="B368" s="2675"/>
      <c r="C368" s="2676"/>
      <c r="D368" s="2677"/>
      <c r="E368" s="2677"/>
      <c r="F368" s="2677"/>
      <c r="G368" s="2640"/>
      <c r="H368" s="2640"/>
      <c r="I368" s="2663" t="s">
        <v>1404</v>
      </c>
      <c r="L368" s="2591"/>
      <c r="M368" s="2698" t="s">
        <v>1649</v>
      </c>
      <c r="N368" s="1960"/>
      <c r="O368" s="1960">
        <v>12903163.26</v>
      </c>
      <c r="P368" s="1960">
        <f>N366-O368</f>
        <v>64082236.74</v>
      </c>
      <c r="Q368" s="2591"/>
      <c r="R368" s="2591"/>
      <c r="S368" s="2591"/>
    </row>
    <row r="369" spans="1:19">
      <c r="A369" s="2642"/>
      <c r="B369" s="2675"/>
      <c r="C369" s="2676"/>
      <c r="D369" s="2677"/>
      <c r="E369" s="2677"/>
      <c r="F369" s="2677"/>
      <c r="G369" s="2640"/>
      <c r="H369" s="2640"/>
      <c r="I369" s="2663" t="s">
        <v>1404</v>
      </c>
      <c r="L369" s="2591"/>
      <c r="M369" s="2698" t="s">
        <v>1651</v>
      </c>
      <c r="N369" s="1960"/>
      <c r="O369" s="1960">
        <v>7629183.78378378</v>
      </c>
      <c r="P369" s="2591"/>
      <c r="Q369" s="2591"/>
      <c r="R369" s="2591"/>
      <c r="S369" s="2591"/>
    </row>
    <row r="370" spans="1:19">
      <c r="A370" s="2642">
        <v>9</v>
      </c>
      <c r="B370" s="2636" t="s">
        <v>1658</v>
      </c>
      <c r="C370" s="2676"/>
      <c r="D370" s="2677"/>
      <c r="E370" s="2677"/>
      <c r="F370" s="2677"/>
      <c r="G370" s="2640"/>
      <c r="H370" s="2640"/>
      <c r="I370" s="2663" t="s">
        <v>1404</v>
      </c>
      <c r="L370" s="2591"/>
      <c r="M370" s="2698" t="s">
        <v>1652</v>
      </c>
      <c r="N370" s="1960">
        <v>7698540</v>
      </c>
      <c r="O370" s="1960"/>
      <c r="P370" s="2591"/>
      <c r="Q370" s="2591"/>
      <c r="R370" s="2591"/>
      <c r="S370" s="2591"/>
    </row>
    <row r="371" spans="1:19">
      <c r="A371" s="2642"/>
      <c r="B371" s="2675"/>
      <c r="C371" s="2637" t="s">
        <v>1657</v>
      </c>
      <c r="D371" s="2677"/>
      <c r="E371" s="2677"/>
      <c r="F371" s="2677"/>
      <c r="G371" s="2640">
        <v>-1683533.7</v>
      </c>
      <c r="H371" s="2640"/>
      <c r="I371" s="2663" t="s">
        <v>1404</v>
      </c>
      <c r="L371" s="2591"/>
      <c r="M371" s="2698" t="s">
        <v>1643</v>
      </c>
      <c r="N371" s="1960"/>
      <c r="O371" s="1960">
        <v>7698540</v>
      </c>
      <c r="P371" s="2591"/>
      <c r="Q371" s="2591"/>
      <c r="R371" s="2591"/>
      <c r="S371" s="2591"/>
    </row>
    <row r="372" spans="1:19">
      <c r="A372" s="2642"/>
      <c r="B372" s="2675"/>
      <c r="C372" s="2637" t="s">
        <v>203</v>
      </c>
      <c r="D372" s="2677"/>
      <c r="E372" s="2677"/>
      <c r="F372" s="2677"/>
      <c r="G372" s="2640"/>
      <c r="H372" s="2640">
        <f>G371</f>
        <v>-1683533.7</v>
      </c>
      <c r="I372" s="2663" t="s">
        <v>1404</v>
      </c>
      <c r="J372" s="2591"/>
      <c r="K372" s="2591"/>
      <c r="L372" s="2591"/>
      <c r="M372" s="2591"/>
      <c r="N372" s="2591"/>
      <c r="O372" s="2591"/>
      <c r="P372" s="2591"/>
      <c r="Q372" s="2591"/>
      <c r="R372" s="2591"/>
      <c r="S372" s="2591"/>
    </row>
    <row r="373" spans="1:19">
      <c r="A373" s="2642"/>
      <c r="B373" s="2675"/>
      <c r="C373" s="2676"/>
      <c r="D373" s="2677"/>
      <c r="E373" s="2677"/>
      <c r="F373" s="2677"/>
      <c r="G373" s="2640"/>
      <c r="H373" s="2640"/>
      <c r="I373" s="2663" t="s">
        <v>1404</v>
      </c>
      <c r="J373" s="2591"/>
      <c r="K373" s="2591"/>
      <c r="L373" s="1960"/>
      <c r="M373" s="1960"/>
      <c r="N373" s="2591"/>
      <c r="O373" s="2591"/>
      <c r="P373" s="2591"/>
      <c r="Q373" s="2591"/>
      <c r="R373" s="2591"/>
      <c r="S373" s="2591"/>
    </row>
    <row r="374" spans="1:19">
      <c r="A374" s="2642"/>
      <c r="B374" s="2675"/>
      <c r="C374" s="2676"/>
      <c r="D374" s="2677"/>
      <c r="E374" s="2677"/>
      <c r="F374" s="2677"/>
      <c r="G374" s="2640"/>
      <c r="H374" s="2640"/>
      <c r="I374" s="2663" t="s">
        <v>1404</v>
      </c>
      <c r="J374" s="2591"/>
      <c r="K374" s="2591"/>
      <c r="L374" s="2591"/>
      <c r="M374" s="1960"/>
      <c r="N374" s="2591"/>
      <c r="O374" s="2591"/>
      <c r="P374" s="2591"/>
      <c r="Q374" s="2591"/>
      <c r="R374" s="2591"/>
      <c r="S374" s="2591"/>
    </row>
    <row r="375" spans="1:19">
      <c r="A375" s="2642">
        <v>13</v>
      </c>
      <c r="B375" s="2636" t="s">
        <v>1659</v>
      </c>
      <c r="C375" s="2676"/>
      <c r="D375" s="2677"/>
      <c r="E375" s="2677"/>
      <c r="F375" s="2677"/>
      <c r="G375" s="2640"/>
      <c r="H375" s="2640"/>
      <c r="I375" s="2663" t="s">
        <v>1404</v>
      </c>
      <c r="J375" s="2591"/>
      <c r="K375" s="2591"/>
      <c r="L375" s="2591"/>
      <c r="M375" s="2591"/>
      <c r="N375" s="2591"/>
      <c r="O375" s="2591"/>
      <c r="P375" s="2591"/>
      <c r="Q375" s="2591"/>
      <c r="R375" s="2591"/>
      <c r="S375" s="2591"/>
    </row>
    <row r="376" spans="1:19">
      <c r="A376" s="2642"/>
      <c r="B376" s="2675"/>
      <c r="C376" s="2637" t="s">
        <v>212</v>
      </c>
      <c r="D376" s="2677"/>
      <c r="E376" s="2639" t="s">
        <v>1660</v>
      </c>
      <c r="F376" s="2677"/>
      <c r="G376" s="2640">
        <v>-627679.38</v>
      </c>
      <c r="H376" s="2640"/>
      <c r="I376" s="2663" t="s">
        <v>1404</v>
      </c>
      <c r="J376" s="2591"/>
      <c r="K376" s="2591"/>
      <c r="L376" s="2591"/>
      <c r="M376" s="2591"/>
      <c r="N376" s="2591"/>
      <c r="O376" s="2591"/>
      <c r="P376" s="2591"/>
      <c r="Q376" s="2591"/>
      <c r="R376" s="2591"/>
      <c r="S376" s="2591"/>
    </row>
    <row r="377" spans="1:19">
      <c r="A377" s="2642"/>
      <c r="B377" s="2675"/>
      <c r="C377" s="2637" t="s">
        <v>212</v>
      </c>
      <c r="D377" s="2677"/>
      <c r="E377" s="2639" t="s">
        <v>1661</v>
      </c>
      <c r="F377" s="2677"/>
      <c r="G377" s="2640">
        <v>-341400</v>
      </c>
      <c r="H377" s="2640"/>
      <c r="I377" s="2663" t="s">
        <v>1404</v>
      </c>
      <c r="J377" s="2591"/>
      <c r="K377" s="2591"/>
      <c r="L377" s="2591"/>
      <c r="M377" s="2591"/>
      <c r="N377" s="2591"/>
      <c r="O377" s="2591"/>
      <c r="P377" s="2591"/>
      <c r="Q377" s="2591"/>
      <c r="R377" s="2591"/>
      <c r="S377" s="2591"/>
    </row>
    <row r="378" spans="1:19">
      <c r="A378" s="2642"/>
      <c r="B378" s="2675"/>
      <c r="C378" s="2637" t="s">
        <v>203</v>
      </c>
      <c r="D378" s="2677"/>
      <c r="E378" s="2639" t="s">
        <v>1662</v>
      </c>
      <c r="F378" s="2677"/>
      <c r="G378" s="2640"/>
      <c r="H378" s="2640">
        <v>-969079.38</v>
      </c>
      <c r="I378" s="2663" t="s">
        <v>1404</v>
      </c>
      <c r="J378" s="2591"/>
      <c r="K378" s="2591"/>
      <c r="L378" s="2591"/>
      <c r="M378" s="2591"/>
      <c r="N378" s="2591"/>
      <c r="O378" s="2591"/>
      <c r="P378" s="2591"/>
      <c r="Q378" s="2591"/>
      <c r="R378" s="2591"/>
      <c r="S378" s="2591"/>
    </row>
    <row r="379" spans="1:19">
      <c r="A379" s="2642"/>
      <c r="B379" s="2675"/>
      <c r="C379" s="2676"/>
      <c r="D379" s="2677"/>
      <c r="E379" s="2639"/>
      <c r="F379" s="2677"/>
      <c r="G379" s="2640"/>
      <c r="H379" s="2640"/>
      <c r="I379" s="2663" t="s">
        <v>1404</v>
      </c>
      <c r="J379" s="2591"/>
      <c r="K379" s="2591"/>
      <c r="L379" s="2591"/>
      <c r="M379" s="2591"/>
      <c r="N379" s="2591"/>
      <c r="O379" s="2591"/>
      <c r="P379" s="2591"/>
      <c r="Q379" s="2591"/>
      <c r="R379" s="2591"/>
      <c r="S379" s="2591"/>
    </row>
    <row r="380" spans="1:19">
      <c r="A380" s="2642">
        <v>14</v>
      </c>
      <c r="B380" s="2636" t="s">
        <v>1663</v>
      </c>
      <c r="C380" s="2676"/>
      <c r="D380" s="2677"/>
      <c r="E380" s="2639"/>
      <c r="F380" s="2677"/>
      <c r="G380" s="2640"/>
      <c r="H380" s="2640"/>
      <c r="I380" s="2663" t="s">
        <v>1404</v>
      </c>
      <c r="J380" s="2591"/>
      <c r="K380" s="2591"/>
      <c r="L380" s="2591"/>
      <c r="M380" s="2591"/>
      <c r="N380" s="2591"/>
      <c r="O380" s="2591"/>
      <c r="P380" s="2591"/>
      <c r="Q380" s="2591"/>
      <c r="R380" s="2591"/>
      <c r="S380" s="2591"/>
    </row>
    <row r="381" spans="1:19">
      <c r="A381" s="2642"/>
      <c r="B381" s="2675"/>
      <c r="C381" s="2637" t="s">
        <v>1510</v>
      </c>
      <c r="D381" s="2677"/>
      <c r="E381" s="2677"/>
      <c r="F381" s="2677"/>
      <c r="G381" s="2640"/>
      <c r="H381" s="2640">
        <v>790519.37</v>
      </c>
      <c r="I381" s="2663" t="s">
        <v>1404</v>
      </c>
      <c r="J381" s="2591"/>
      <c r="K381" s="2591"/>
      <c r="L381" s="2591"/>
      <c r="M381" s="2591"/>
      <c r="N381" s="2591"/>
      <c r="O381" s="2591"/>
      <c r="P381" s="2591"/>
      <c r="Q381" s="2591"/>
      <c r="R381" s="2591"/>
      <c r="S381" s="2591"/>
    </row>
    <row r="382" spans="1:19">
      <c r="A382" s="2642"/>
      <c r="B382" s="2675"/>
      <c r="C382" s="2637" t="s">
        <v>256</v>
      </c>
      <c r="D382" s="2677"/>
      <c r="E382" s="2677"/>
      <c r="F382" s="2677"/>
      <c r="G382" s="2640">
        <v>790519.37</v>
      </c>
      <c r="H382" s="2640"/>
      <c r="I382" s="2663" t="s">
        <v>1404</v>
      </c>
      <c r="J382" s="2591"/>
      <c r="K382" s="2591"/>
      <c r="L382" s="2591"/>
      <c r="M382" s="2591"/>
      <c r="N382" s="2591"/>
      <c r="O382" s="2591"/>
      <c r="P382" s="2591"/>
      <c r="Q382" s="2591"/>
      <c r="R382" s="2591"/>
      <c r="S382" s="2591"/>
    </row>
    <row r="383" spans="1:19">
      <c r="A383" s="2642"/>
      <c r="B383" s="2675"/>
      <c r="C383" s="2676"/>
      <c r="D383" s="2677"/>
      <c r="E383" s="2677"/>
      <c r="F383" s="2677"/>
      <c r="G383" s="2640"/>
      <c r="H383" s="2640"/>
      <c r="I383" s="2663" t="s">
        <v>1404</v>
      </c>
      <c r="J383" s="2591"/>
      <c r="K383" s="2591"/>
      <c r="L383" s="2591"/>
      <c r="M383" s="2591"/>
      <c r="N383" s="2591"/>
      <c r="O383" s="2591"/>
      <c r="P383" s="2591"/>
      <c r="Q383" s="2591"/>
      <c r="R383" s="2591"/>
      <c r="S383" s="2591"/>
    </row>
    <row r="384" spans="1:19">
      <c r="A384" s="2642">
        <v>15</v>
      </c>
      <c r="B384" s="2636" t="s">
        <v>1664</v>
      </c>
      <c r="C384" s="2676"/>
      <c r="D384" s="2677"/>
      <c r="E384" s="2677"/>
      <c r="F384" s="2677"/>
      <c r="G384" s="2640"/>
      <c r="H384" s="2640"/>
      <c r="I384" s="2663" t="s">
        <v>1404</v>
      </c>
      <c r="J384" s="2591"/>
      <c r="K384" s="2591"/>
      <c r="L384" s="2591"/>
      <c r="M384" s="2591"/>
      <c r="N384" s="2591"/>
      <c r="O384" s="2591"/>
      <c r="P384" s="2591"/>
      <c r="Q384" s="2591"/>
      <c r="R384" s="2591"/>
      <c r="S384" s="2591"/>
    </row>
    <row r="385" spans="1:19">
      <c r="A385" s="2642"/>
      <c r="B385" s="2675"/>
      <c r="C385" s="2637" t="s">
        <v>202</v>
      </c>
      <c r="D385" s="2677"/>
      <c r="E385" s="2639" t="s">
        <v>1665</v>
      </c>
      <c r="F385" s="2677"/>
      <c r="G385" s="2640">
        <v>-1198000</v>
      </c>
      <c r="H385" s="2640"/>
      <c r="I385" s="2663" t="s">
        <v>1404</v>
      </c>
      <c r="J385" s="2591"/>
      <c r="K385" s="2591"/>
      <c r="L385" s="2591"/>
      <c r="M385" s="2591"/>
      <c r="N385" s="2591"/>
      <c r="O385" s="2591"/>
      <c r="P385" s="2591"/>
      <c r="Q385" s="2591"/>
      <c r="R385" s="2591"/>
      <c r="S385" s="2591"/>
    </row>
    <row r="386" spans="1:19">
      <c r="A386" s="2642"/>
      <c r="B386" s="2675"/>
      <c r="C386" s="2637" t="s">
        <v>1559</v>
      </c>
      <c r="D386" s="2677"/>
      <c r="E386" s="2639" t="s">
        <v>1666</v>
      </c>
      <c r="F386" s="2677"/>
      <c r="G386" s="2640"/>
      <c r="H386" s="2640">
        <v>-1079279.28</v>
      </c>
      <c r="I386" s="2663" t="s">
        <v>1404</v>
      </c>
      <c r="J386" s="2591"/>
      <c r="K386" s="2591"/>
      <c r="L386" s="2591"/>
      <c r="M386" s="2591"/>
      <c r="N386" s="2591"/>
      <c r="O386" s="2591"/>
      <c r="P386" s="2591"/>
      <c r="Q386" s="2591"/>
      <c r="R386" s="2591"/>
      <c r="S386" s="2591"/>
    </row>
    <row r="387" spans="1:19">
      <c r="A387" s="2642"/>
      <c r="B387" s="2675"/>
      <c r="C387" s="2637" t="s">
        <v>209</v>
      </c>
      <c r="D387" s="2677"/>
      <c r="E387" s="2700" t="s">
        <v>1667</v>
      </c>
      <c r="F387" s="2677"/>
      <c r="G387" s="2640"/>
      <c r="H387" s="2640">
        <v>-118720.72</v>
      </c>
      <c r="I387" s="2663" t="s">
        <v>1404</v>
      </c>
      <c r="J387" s="2591"/>
      <c r="K387" s="2591"/>
      <c r="L387" s="2591"/>
      <c r="M387" s="2591"/>
      <c r="N387" s="2591"/>
      <c r="O387" s="2591"/>
      <c r="P387" s="2591"/>
      <c r="Q387" s="2591"/>
      <c r="R387" s="2591"/>
      <c r="S387" s="2591"/>
    </row>
    <row r="388" spans="1:19">
      <c r="A388" s="2642"/>
      <c r="B388" s="2675"/>
      <c r="C388" s="2676"/>
      <c r="D388" s="2677"/>
      <c r="E388" s="2639"/>
      <c r="F388" s="2677"/>
      <c r="G388" s="2640"/>
      <c r="H388" s="2640"/>
      <c r="I388" s="2663" t="s">
        <v>1404</v>
      </c>
      <c r="J388" s="2591"/>
      <c r="K388" s="2591"/>
      <c r="L388" s="2591"/>
      <c r="M388" s="2591"/>
      <c r="N388" s="2591"/>
      <c r="O388" s="2591"/>
      <c r="P388" s="2591"/>
      <c r="Q388" s="2591"/>
      <c r="R388" s="2591"/>
      <c r="S388" s="2591"/>
    </row>
    <row r="389" spans="1:19">
      <c r="A389" s="2642">
        <v>16</v>
      </c>
      <c r="B389" s="2636" t="s">
        <v>1612</v>
      </c>
      <c r="C389" s="2676"/>
      <c r="D389" s="2677"/>
      <c r="E389" s="2677"/>
      <c r="F389" s="2677"/>
      <c r="G389" s="2640"/>
      <c r="H389" s="2640"/>
      <c r="I389" s="2663" t="s">
        <v>1404</v>
      </c>
      <c r="J389" s="2591"/>
      <c r="K389" s="2591"/>
      <c r="L389" s="2591"/>
      <c r="M389" s="2591"/>
      <c r="N389" s="2591"/>
      <c r="O389" s="2591"/>
      <c r="P389" s="2591"/>
      <c r="Q389" s="2591"/>
      <c r="R389" s="2591"/>
      <c r="S389" s="2591"/>
    </row>
    <row r="390" spans="1:19">
      <c r="A390" s="2642"/>
      <c r="B390" s="2675"/>
      <c r="C390" s="2637" t="s">
        <v>1657</v>
      </c>
      <c r="D390" s="2677"/>
      <c r="E390" s="2639" t="s">
        <v>1613</v>
      </c>
      <c r="F390" s="2677"/>
      <c r="G390" s="2640">
        <v>-2777061.15</v>
      </c>
      <c r="H390" s="2640"/>
      <c r="I390" s="2663" t="s">
        <v>1404</v>
      </c>
      <c r="J390" s="2591"/>
      <c r="K390" s="2591"/>
      <c r="L390" s="2591"/>
      <c r="M390" s="2591"/>
      <c r="N390" s="2591"/>
      <c r="O390" s="2591"/>
      <c r="P390" s="2591"/>
      <c r="Q390" s="2591"/>
      <c r="R390" s="2591"/>
      <c r="S390" s="2591"/>
    </row>
    <row r="391" spans="1:19">
      <c r="A391" s="2642"/>
      <c r="B391" s="2675"/>
      <c r="C391" s="2637" t="s">
        <v>1509</v>
      </c>
      <c r="D391" s="2677"/>
      <c r="E391" s="2639" t="s">
        <v>1615</v>
      </c>
      <c r="F391" s="2677"/>
      <c r="G391" s="2640">
        <v>2536190.55</v>
      </c>
      <c r="H391" s="2640"/>
      <c r="I391" s="2663" t="s">
        <v>1404</v>
      </c>
      <c r="J391" s="2591"/>
      <c r="K391" s="2591"/>
      <c r="L391" s="2591"/>
      <c r="M391" s="2591"/>
      <c r="N391" s="2591"/>
      <c r="O391" s="2591"/>
      <c r="P391" s="2591"/>
      <c r="Q391" s="2591"/>
      <c r="R391" s="2591"/>
      <c r="S391" s="2591"/>
    </row>
    <row r="392" spans="1:19">
      <c r="A392" s="2642"/>
      <c r="B392" s="2675"/>
      <c r="C392" s="2637" t="s">
        <v>1509</v>
      </c>
      <c r="D392" s="2677"/>
      <c r="E392" s="2639" t="s">
        <v>1616</v>
      </c>
      <c r="F392" s="2677"/>
      <c r="G392" s="2640">
        <v>240870.6</v>
      </c>
      <c r="H392" s="2640"/>
      <c r="I392" s="2663" t="s">
        <v>1404</v>
      </c>
      <c r="J392" s="2591"/>
      <c r="K392" s="2591"/>
      <c r="L392" s="2591"/>
      <c r="M392" s="2591"/>
      <c r="N392" s="2591"/>
      <c r="O392" s="2591"/>
      <c r="P392" s="2591"/>
      <c r="Q392" s="2591"/>
      <c r="R392" s="2591"/>
      <c r="S392" s="2591"/>
    </row>
    <row r="393" spans="1:19">
      <c r="A393" s="2642"/>
      <c r="B393" s="2675"/>
      <c r="C393" s="2637" t="s">
        <v>202</v>
      </c>
      <c r="D393" s="2677"/>
      <c r="E393" s="2639" t="s">
        <v>1613</v>
      </c>
      <c r="F393" s="2677"/>
      <c r="G393" s="2640">
        <f>-3934300+3340857.43</f>
        <v>-593442.57</v>
      </c>
      <c r="H393" s="2640"/>
      <c r="I393" s="2663" t="s">
        <v>1404</v>
      </c>
      <c r="J393" s="2591"/>
      <c r="K393" s="2591"/>
      <c r="L393" s="2591"/>
      <c r="M393" s="2591"/>
      <c r="N393" s="2591"/>
      <c r="O393" s="2591"/>
      <c r="P393" s="2591"/>
      <c r="Q393" s="2591"/>
      <c r="R393" s="2591"/>
      <c r="S393" s="2591"/>
    </row>
    <row r="394" spans="1:19">
      <c r="A394" s="2642"/>
      <c r="B394" s="2675"/>
      <c r="C394" s="2637" t="s">
        <v>1559</v>
      </c>
      <c r="D394" s="2677"/>
      <c r="E394" s="2639" t="s">
        <v>1613</v>
      </c>
      <c r="F394" s="2677"/>
      <c r="G394" s="2640"/>
      <c r="H394" s="2640">
        <v>-3934300</v>
      </c>
      <c r="I394" s="2663" t="s">
        <v>1404</v>
      </c>
      <c r="J394" s="2591"/>
      <c r="K394" s="2591"/>
      <c r="L394" s="2591"/>
      <c r="M394" s="2591"/>
      <c r="N394" s="2591"/>
      <c r="O394" s="2591"/>
      <c r="P394" s="2591"/>
      <c r="Q394" s="2591"/>
      <c r="R394" s="2591"/>
      <c r="S394" s="2591"/>
    </row>
    <row r="395" spans="1:19">
      <c r="A395" s="2642"/>
      <c r="B395" s="2675"/>
      <c r="C395" s="2637" t="s">
        <v>1509</v>
      </c>
      <c r="D395" s="2677"/>
      <c r="E395" s="2639" t="s">
        <v>1613</v>
      </c>
      <c r="F395" s="2677"/>
      <c r="G395" s="2640"/>
      <c r="H395" s="2640">
        <v>3340857.43</v>
      </c>
      <c r="I395" s="2663" t="s">
        <v>1404</v>
      </c>
      <c r="J395" s="2591"/>
      <c r="K395" s="2591"/>
      <c r="L395" s="2591"/>
      <c r="M395" s="2591"/>
      <c r="N395" s="2591"/>
      <c r="O395" s="2591"/>
      <c r="P395" s="2591"/>
      <c r="Q395" s="2591"/>
      <c r="R395" s="2591"/>
      <c r="S395" s="2591"/>
    </row>
    <row r="396" spans="1:19">
      <c r="A396" s="2642"/>
      <c r="B396" s="2675"/>
      <c r="C396" s="2676"/>
      <c r="D396" s="2677"/>
      <c r="E396" s="2677"/>
      <c r="F396" s="2677"/>
      <c r="G396" s="2640"/>
      <c r="H396" s="2640"/>
      <c r="I396" s="2663" t="s">
        <v>1404</v>
      </c>
      <c r="J396" s="2591"/>
      <c r="K396" s="2591"/>
      <c r="L396" s="2591"/>
      <c r="M396" s="2591"/>
      <c r="N396" s="2591"/>
      <c r="O396" s="2591"/>
      <c r="P396" s="2591"/>
      <c r="Q396" s="2591"/>
      <c r="R396" s="2591"/>
      <c r="S396" s="2591"/>
    </row>
    <row r="397" spans="1:19">
      <c r="A397" s="2642">
        <v>17</v>
      </c>
      <c r="B397" s="2636" t="s">
        <v>1668</v>
      </c>
      <c r="C397" s="2636"/>
      <c r="D397" s="2636"/>
      <c r="E397" s="2636"/>
      <c r="F397" s="2636"/>
      <c r="G397" s="2640"/>
      <c r="H397" s="2640"/>
      <c r="I397" s="2663" t="s">
        <v>1404</v>
      </c>
      <c r="J397" s="2591"/>
      <c r="K397" s="2591"/>
      <c r="L397" s="2591"/>
      <c r="M397" s="2591"/>
      <c r="N397" s="2591"/>
      <c r="O397" s="2591"/>
      <c r="P397" s="2591"/>
      <c r="Q397" s="2591"/>
      <c r="R397" s="2591"/>
      <c r="S397" s="2591"/>
    </row>
    <row r="398" spans="1:19">
      <c r="A398" s="2642"/>
      <c r="B398" s="2636"/>
      <c r="C398" s="2636" t="s">
        <v>1509</v>
      </c>
      <c r="D398" s="2636"/>
      <c r="E398" s="2636"/>
      <c r="F398" s="2636"/>
      <c r="G398" s="2640">
        <f>5845.22+ROUND(3340857.43*0.05,2)</f>
        <v>172888.09</v>
      </c>
      <c r="H398" s="2640"/>
      <c r="I398" s="2663" t="s">
        <v>1404</v>
      </c>
      <c r="J398" s="2591"/>
      <c r="K398" s="2591"/>
      <c r="L398" s="2591"/>
      <c r="M398" s="2591"/>
      <c r="N398" s="2591"/>
      <c r="O398" s="2591"/>
      <c r="P398" s="2591"/>
      <c r="Q398" s="2591"/>
      <c r="R398" s="2591"/>
      <c r="S398" s="2591"/>
    </row>
    <row r="399" spans="1:19">
      <c r="A399" s="2642"/>
      <c r="B399" s="2636"/>
      <c r="C399" s="2636" t="s">
        <v>1516</v>
      </c>
      <c r="D399" s="2636"/>
      <c r="E399" s="2636"/>
      <c r="F399" s="2636"/>
      <c r="G399" s="2640">
        <f>-G398+H400</f>
        <v>-109916.69</v>
      </c>
      <c r="H399" s="2640"/>
      <c r="I399" s="2663" t="s">
        <v>1404</v>
      </c>
      <c r="J399" s="2591"/>
      <c r="K399" s="2591"/>
      <c r="L399" s="2591"/>
      <c r="M399" s="2591"/>
      <c r="N399" s="2591"/>
      <c r="O399" s="2591"/>
      <c r="P399" s="2591"/>
      <c r="Q399" s="2591"/>
      <c r="R399" s="2591"/>
      <c r="S399" s="2591"/>
    </row>
    <row r="400" spans="1:19">
      <c r="A400" s="2642"/>
      <c r="B400" s="2636"/>
      <c r="C400" s="2636" t="s">
        <v>202</v>
      </c>
      <c r="D400" s="2636"/>
      <c r="E400" s="2636" t="s">
        <v>471</v>
      </c>
      <c r="F400" s="2636"/>
      <c r="G400" s="2640"/>
      <c r="H400" s="2640">
        <v>62971.4</v>
      </c>
      <c r="I400" s="2663" t="s">
        <v>1404</v>
      </c>
      <c r="J400" s="2591"/>
      <c r="K400" s="2591"/>
      <c r="L400" s="2591"/>
      <c r="M400" s="2591"/>
      <c r="N400" s="2591"/>
      <c r="O400" s="2591"/>
      <c r="P400" s="2591"/>
      <c r="Q400" s="2591"/>
      <c r="R400" s="2591"/>
      <c r="S400" s="2591"/>
    </row>
    <row r="401" spans="1:19">
      <c r="A401" s="2642"/>
      <c r="B401" s="2675"/>
      <c r="C401" s="2676"/>
      <c r="D401" s="2677"/>
      <c r="E401" s="2677"/>
      <c r="F401" s="2677"/>
      <c r="G401" s="2640"/>
      <c r="H401" s="2640"/>
      <c r="I401" s="2663" t="s">
        <v>1404</v>
      </c>
      <c r="J401" s="2591"/>
      <c r="K401" s="2591"/>
      <c r="L401" s="2591"/>
      <c r="M401" s="2591"/>
      <c r="N401" s="2591"/>
      <c r="O401" s="2591"/>
      <c r="P401" s="2591"/>
      <c r="Q401" s="2591"/>
      <c r="R401" s="2591"/>
      <c r="S401" s="2591"/>
    </row>
    <row r="402" spans="1:19">
      <c r="A402" s="2642">
        <v>18</v>
      </c>
      <c r="B402" s="2636" t="s">
        <v>1669</v>
      </c>
      <c r="C402" s="2636"/>
      <c r="D402" s="2636"/>
      <c r="E402" s="2636"/>
      <c r="F402" s="2636"/>
      <c r="G402" s="2640"/>
      <c r="H402" s="2640"/>
      <c r="I402" s="2663" t="s">
        <v>1404</v>
      </c>
      <c r="J402" s="2591"/>
      <c r="K402" s="2591"/>
      <c r="L402" s="2591"/>
      <c r="M402" s="2591"/>
      <c r="N402" s="2591"/>
      <c r="O402" s="2591"/>
      <c r="P402" s="2591"/>
      <c r="Q402" s="2591"/>
      <c r="R402" s="2591"/>
      <c r="S402" s="2591"/>
    </row>
    <row r="403" spans="1:19">
      <c r="A403" s="2642"/>
      <c r="B403" s="2636"/>
      <c r="C403" s="2636" t="s">
        <v>252</v>
      </c>
      <c r="D403" s="2636"/>
      <c r="E403" s="2636"/>
      <c r="F403" s="2636"/>
      <c r="G403" s="2640">
        <v>7295.27</v>
      </c>
      <c r="H403" s="2640"/>
      <c r="I403" s="2663" t="s">
        <v>1404</v>
      </c>
      <c r="J403" s="2591"/>
      <c r="K403" s="2591"/>
      <c r="L403" s="2591"/>
      <c r="M403" s="2591"/>
      <c r="N403" s="2591"/>
      <c r="O403" s="2591"/>
      <c r="P403" s="2591"/>
      <c r="Q403" s="2591"/>
      <c r="R403" s="2591"/>
      <c r="S403" s="2591"/>
    </row>
    <row r="404" spans="1:19">
      <c r="A404" s="2642"/>
      <c r="B404" s="2636"/>
      <c r="C404" s="2636" t="s">
        <v>1670</v>
      </c>
      <c r="D404" s="2636"/>
      <c r="E404" s="2636" t="s">
        <v>1671</v>
      </c>
      <c r="F404" s="2636"/>
      <c r="G404" s="2640">
        <f>-G403</f>
        <v>-7295.27</v>
      </c>
      <c r="H404" s="2640"/>
      <c r="I404" s="2663" t="s">
        <v>1404</v>
      </c>
      <c r="J404" s="2591"/>
      <c r="K404" s="2591"/>
      <c r="L404" s="2591"/>
      <c r="M404" s="2591"/>
      <c r="N404" s="2591"/>
      <c r="O404" s="2591"/>
      <c r="P404" s="2591"/>
      <c r="Q404" s="2591"/>
      <c r="R404" s="2591"/>
      <c r="S404" s="2591"/>
    </row>
    <row r="405" spans="1:19">
      <c r="A405" s="2642"/>
      <c r="B405" s="2675"/>
      <c r="C405" s="2676"/>
      <c r="D405" s="2677"/>
      <c r="E405" s="2677"/>
      <c r="F405" s="2677"/>
      <c r="G405" s="2640"/>
      <c r="H405" s="2640"/>
      <c r="I405" s="2663" t="s">
        <v>1404</v>
      </c>
      <c r="J405" s="2591"/>
      <c r="K405" s="2591"/>
      <c r="L405" s="2591"/>
      <c r="M405" s="2591"/>
      <c r="N405" s="2591"/>
      <c r="O405" s="2591"/>
      <c r="P405" s="2591"/>
      <c r="Q405" s="2591"/>
      <c r="R405" s="2591"/>
      <c r="S405" s="2591"/>
    </row>
    <row r="406" spans="1:19">
      <c r="A406" s="2642">
        <v>19</v>
      </c>
      <c r="B406" s="2636" t="s">
        <v>1672</v>
      </c>
      <c r="C406" s="2636"/>
      <c r="D406" s="2636"/>
      <c r="E406" s="2636"/>
      <c r="F406" s="2636"/>
      <c r="G406" s="2640"/>
      <c r="H406" s="2640"/>
      <c r="I406" s="2663" t="s">
        <v>1404</v>
      </c>
      <c r="J406" s="2591"/>
      <c r="K406" s="2591"/>
      <c r="L406" s="2591"/>
      <c r="M406" s="2591"/>
      <c r="N406" s="2591"/>
      <c r="O406" s="2591"/>
      <c r="P406" s="2591"/>
      <c r="Q406" s="2591"/>
      <c r="R406" s="2591"/>
      <c r="S406" s="2591"/>
    </row>
    <row r="407" spans="1:19">
      <c r="A407" s="2642"/>
      <c r="B407" s="2636"/>
      <c r="C407" s="2636" t="s">
        <v>1657</v>
      </c>
      <c r="D407" s="2636"/>
      <c r="E407" s="2636" t="s">
        <v>1673</v>
      </c>
      <c r="F407" s="2636"/>
      <c r="G407" s="2640"/>
      <c r="H407" s="2640">
        <v>105748.62</v>
      </c>
      <c r="I407" s="2663" t="s">
        <v>1404</v>
      </c>
      <c r="J407" s="2591"/>
      <c r="K407" s="2591"/>
      <c r="L407" s="2591"/>
      <c r="M407" s="2591"/>
      <c r="N407" s="2591"/>
      <c r="O407" s="2591"/>
      <c r="P407" s="2591"/>
      <c r="Q407" s="2591"/>
      <c r="R407" s="2591"/>
      <c r="S407" s="2591"/>
    </row>
    <row r="408" spans="1:19">
      <c r="A408" s="2642"/>
      <c r="B408" s="2636"/>
      <c r="C408" s="2636" t="s">
        <v>234</v>
      </c>
      <c r="D408" s="2636"/>
      <c r="E408" s="2636" t="s">
        <v>1674</v>
      </c>
      <c r="F408" s="2636"/>
      <c r="G408" s="2640">
        <v>105748.62</v>
      </c>
      <c r="H408" s="2640"/>
      <c r="I408" s="2663" t="s">
        <v>1404</v>
      </c>
      <c r="J408" s="2591"/>
      <c r="K408" s="2591"/>
      <c r="L408" s="2591"/>
      <c r="M408" s="2591"/>
      <c r="N408" s="2591"/>
      <c r="O408" s="2591"/>
      <c r="P408" s="2591"/>
      <c r="Q408" s="2591"/>
      <c r="R408" s="2591"/>
      <c r="S408" s="2591"/>
    </row>
    <row r="409" spans="1:19">
      <c r="A409" s="2642"/>
      <c r="B409" s="2636"/>
      <c r="C409" s="2636" t="s">
        <v>236</v>
      </c>
      <c r="D409" s="2636"/>
      <c r="E409" s="2636" t="s">
        <v>1675</v>
      </c>
      <c r="F409" s="2636"/>
      <c r="G409" s="2640">
        <f>-22290958.58+0</f>
        <v>-22290958.58</v>
      </c>
      <c r="H409" s="2640"/>
      <c r="I409" s="2663" t="s">
        <v>1404</v>
      </c>
      <c r="J409" s="2591"/>
      <c r="K409" s="2591"/>
      <c r="L409" s="2591"/>
      <c r="M409" s="2591"/>
      <c r="N409" s="2591"/>
      <c r="O409" s="2591"/>
      <c r="P409" s="2591"/>
      <c r="Q409" s="2591"/>
      <c r="R409" s="2591"/>
      <c r="S409" s="2591"/>
    </row>
    <row r="410" spans="1:19">
      <c r="A410" s="2642"/>
      <c r="B410" s="2636"/>
      <c r="C410" s="2636" t="s">
        <v>234</v>
      </c>
      <c r="D410" s="2636"/>
      <c r="E410" s="2636" t="s">
        <v>1619</v>
      </c>
      <c r="F410" s="2636"/>
      <c r="G410" s="2640">
        <v>-8348048.94</v>
      </c>
      <c r="H410" s="2640"/>
      <c r="I410" s="2663" t="s">
        <v>1404</v>
      </c>
      <c r="J410" s="2591"/>
      <c r="K410" s="2591"/>
      <c r="L410" s="2591"/>
      <c r="M410" s="2591"/>
      <c r="N410" s="2591"/>
      <c r="O410" s="2591"/>
      <c r="P410" s="2591"/>
      <c r="Q410" s="2591"/>
      <c r="R410" s="2591"/>
      <c r="S410" s="2591"/>
    </row>
    <row r="411" spans="1:19">
      <c r="A411" s="2642"/>
      <c r="B411" s="2636"/>
      <c r="C411" s="2636" t="s">
        <v>1509</v>
      </c>
      <c r="D411" s="2636"/>
      <c r="E411" s="2636" t="s">
        <v>1622</v>
      </c>
      <c r="F411" s="2636"/>
      <c r="G411" s="2640">
        <f>4020998.72</f>
        <v>4020998.72</v>
      </c>
      <c r="H411" s="2640"/>
      <c r="I411" s="2663" t="s">
        <v>1404</v>
      </c>
      <c r="J411" s="2591"/>
      <c r="K411" s="2591"/>
      <c r="L411" s="2591"/>
      <c r="M411" s="2591"/>
      <c r="N411" s="2591"/>
      <c r="O411" s="2591"/>
      <c r="P411" s="2591"/>
      <c r="Q411" s="2591"/>
      <c r="R411" s="2591"/>
      <c r="S411" s="2591"/>
    </row>
    <row r="412" spans="1:19">
      <c r="A412" s="2642"/>
      <c r="B412" s="2636"/>
      <c r="C412" s="2636" t="s">
        <v>236</v>
      </c>
      <c r="D412" s="2636"/>
      <c r="E412" s="2636" t="s">
        <v>1676</v>
      </c>
      <c r="F412" s="2636"/>
      <c r="G412" s="2640">
        <f>20253623.8</f>
        <v>20253623.8</v>
      </c>
      <c r="H412" s="2640"/>
      <c r="I412" s="2663" t="s">
        <v>1404</v>
      </c>
      <c r="J412" s="2591"/>
      <c r="K412" s="2591"/>
      <c r="L412" s="2591"/>
      <c r="M412" s="2591"/>
      <c r="N412" s="2591"/>
      <c r="O412" s="2591"/>
      <c r="P412" s="2591"/>
      <c r="Q412" s="2591"/>
      <c r="R412" s="2591"/>
      <c r="S412" s="2591"/>
    </row>
    <row r="413" spans="1:19">
      <c r="A413" s="2642"/>
      <c r="B413" s="2636"/>
      <c r="C413" s="2636" t="s">
        <v>203</v>
      </c>
      <c r="D413" s="2636"/>
      <c r="E413" s="2636" t="s">
        <v>1677</v>
      </c>
      <c r="F413" s="2636"/>
      <c r="G413" s="2640"/>
      <c r="H413" s="2640">
        <v>-6364385</v>
      </c>
      <c r="I413" s="2663" t="s">
        <v>1404</v>
      </c>
      <c r="J413" s="2591"/>
      <c r="K413" s="2591"/>
      <c r="L413" s="2591"/>
      <c r="M413" s="2591"/>
      <c r="N413" s="2591"/>
      <c r="O413" s="2591"/>
      <c r="P413" s="2591"/>
      <c r="Q413" s="2591"/>
      <c r="R413" s="2591"/>
      <c r="S413" s="2591"/>
    </row>
    <row r="414" spans="1:19">
      <c r="A414" s="2642"/>
      <c r="B414" s="2636"/>
      <c r="C414" s="2636"/>
      <c r="D414" s="2636"/>
      <c r="E414" s="2636"/>
      <c r="F414" s="2636"/>
      <c r="G414" s="2640"/>
      <c r="H414" s="2640"/>
      <c r="I414" s="2663" t="s">
        <v>1404</v>
      </c>
      <c r="J414" s="2591"/>
      <c r="K414" s="2591"/>
      <c r="L414" s="2591"/>
      <c r="M414" s="2591"/>
      <c r="N414" s="2591"/>
      <c r="O414" s="2591"/>
      <c r="P414" s="2591"/>
      <c r="Q414" s="2591"/>
      <c r="R414" s="2591"/>
      <c r="S414" s="2591"/>
    </row>
    <row r="415" spans="1:19">
      <c r="A415" s="2642"/>
      <c r="B415" s="2636"/>
      <c r="C415" s="2636"/>
      <c r="D415" s="2636"/>
      <c r="E415" s="2636"/>
      <c r="F415" s="2636"/>
      <c r="G415" s="2640"/>
      <c r="H415" s="2640"/>
      <c r="I415" s="2663" t="s">
        <v>1404</v>
      </c>
      <c r="J415" s="2591"/>
      <c r="K415" s="2591"/>
      <c r="L415" s="2591"/>
      <c r="M415" s="2591"/>
      <c r="N415" s="2591"/>
      <c r="O415" s="2591"/>
      <c r="P415" s="2591"/>
      <c r="Q415" s="2591"/>
      <c r="R415" s="2591"/>
      <c r="S415" s="2591"/>
    </row>
    <row r="416" spans="1:19">
      <c r="A416" s="2642"/>
      <c r="B416" s="2636"/>
      <c r="C416" s="2636"/>
      <c r="D416" s="2636"/>
      <c r="E416" s="2636"/>
      <c r="F416" s="2636"/>
      <c r="G416" s="2640"/>
      <c r="H416" s="2640"/>
      <c r="I416" s="2663" t="s">
        <v>1404</v>
      </c>
      <c r="J416" s="2591"/>
      <c r="K416" s="2591"/>
      <c r="L416" s="2591"/>
      <c r="M416" s="2591"/>
      <c r="N416" s="2591"/>
      <c r="O416" s="2591"/>
      <c r="P416" s="2591"/>
      <c r="Q416" s="2591"/>
      <c r="R416" s="2591"/>
      <c r="S416" s="2591"/>
    </row>
    <row r="417" spans="1:19">
      <c r="A417" s="2642"/>
      <c r="B417" s="2675"/>
      <c r="C417" s="2637"/>
      <c r="D417" s="2677"/>
      <c r="E417" s="2677"/>
      <c r="F417" s="2677"/>
      <c r="G417" s="2640"/>
      <c r="H417" s="2640"/>
      <c r="I417" s="2663" t="s">
        <v>1404</v>
      </c>
      <c r="J417" s="2591"/>
      <c r="K417" s="2591"/>
      <c r="L417" s="2591"/>
      <c r="M417" s="2591"/>
      <c r="N417" s="2591"/>
      <c r="O417" s="2591"/>
      <c r="P417" s="2591"/>
      <c r="Q417" s="2591"/>
      <c r="R417" s="2591"/>
      <c r="S417" s="2591"/>
    </row>
    <row r="418" spans="1:19">
      <c r="A418" s="2642">
        <v>20</v>
      </c>
      <c r="B418" s="2636" t="s">
        <v>1678</v>
      </c>
      <c r="C418" s="2676"/>
      <c r="D418" s="2677"/>
      <c r="E418" s="2677"/>
      <c r="F418" s="2677"/>
      <c r="G418" s="2640"/>
      <c r="H418" s="2640"/>
      <c r="I418" s="2663" t="s">
        <v>1404</v>
      </c>
      <c r="J418" s="2591"/>
      <c r="K418" s="2591"/>
      <c r="L418" s="2591"/>
      <c r="M418" s="2591"/>
      <c r="N418" s="2591"/>
      <c r="O418" s="2591"/>
      <c r="P418" s="2591"/>
      <c r="Q418" s="2591"/>
      <c r="R418" s="2591"/>
      <c r="S418" s="2591"/>
    </row>
    <row r="419" spans="1:19">
      <c r="A419" s="2642"/>
      <c r="B419" s="2675"/>
      <c r="C419" s="2637" t="s">
        <v>1657</v>
      </c>
      <c r="D419" s="2677"/>
      <c r="E419" s="2677"/>
      <c r="F419" s="2677"/>
      <c r="G419" s="2640">
        <v>100000</v>
      </c>
      <c r="H419" s="2640"/>
      <c r="I419" s="2663" t="s">
        <v>1404</v>
      </c>
      <c r="J419" s="2666"/>
      <c r="K419" s="2591"/>
      <c r="L419" s="2591"/>
      <c r="M419" s="2591"/>
      <c r="N419" s="2591"/>
      <c r="O419" s="2591"/>
      <c r="P419" s="2591"/>
      <c r="Q419" s="2591"/>
      <c r="R419" s="2591"/>
      <c r="S419" s="2591"/>
    </row>
    <row r="420" spans="1:19">
      <c r="A420" s="2642"/>
      <c r="B420" s="2675"/>
      <c r="C420" s="2637" t="s">
        <v>203</v>
      </c>
      <c r="D420" s="2677"/>
      <c r="E420" s="2677"/>
      <c r="F420" s="2677"/>
      <c r="G420" s="2640"/>
      <c r="H420" s="2640">
        <v>100000</v>
      </c>
      <c r="I420" s="2663" t="s">
        <v>1404</v>
      </c>
      <c r="J420" s="2591"/>
      <c r="K420" s="2591"/>
      <c r="L420" s="2591"/>
      <c r="M420" s="2591"/>
      <c r="N420" s="2591"/>
      <c r="O420" s="2591"/>
      <c r="P420" s="2591"/>
      <c r="Q420" s="2591"/>
      <c r="R420" s="2591"/>
      <c r="S420" s="2591"/>
    </row>
    <row r="421" spans="1:19">
      <c r="A421" s="2642"/>
      <c r="B421" s="2675"/>
      <c r="C421" s="2676"/>
      <c r="D421" s="2677"/>
      <c r="E421" s="2677"/>
      <c r="F421" s="2677"/>
      <c r="G421" s="2640"/>
      <c r="H421" s="2640"/>
      <c r="I421" s="2663" t="s">
        <v>1404</v>
      </c>
      <c r="J421" s="2591"/>
      <c r="K421" s="2591"/>
      <c r="L421" s="2591"/>
      <c r="M421" s="2591"/>
      <c r="N421" s="2591"/>
      <c r="O421" s="2591"/>
      <c r="P421" s="2591"/>
      <c r="Q421" s="2591"/>
      <c r="R421" s="2591"/>
      <c r="S421" s="2591"/>
    </row>
    <row r="422" spans="1:19">
      <c r="A422" s="2642">
        <v>21</v>
      </c>
      <c r="B422" s="2636" t="s">
        <v>1679</v>
      </c>
      <c r="C422" s="2636"/>
      <c r="D422" s="2636"/>
      <c r="E422" s="2636"/>
      <c r="F422" s="2636"/>
      <c r="G422" s="2640"/>
      <c r="H422" s="2640"/>
      <c r="I422" s="2663" t="s">
        <v>1404</v>
      </c>
      <c r="J422" s="2591"/>
      <c r="K422" s="2591"/>
      <c r="L422" s="2591"/>
      <c r="M422" s="2591"/>
      <c r="N422" s="2591"/>
      <c r="O422" s="2591"/>
      <c r="P422" s="2591"/>
      <c r="Q422" s="2591"/>
      <c r="R422" s="2591"/>
      <c r="S422" s="2591"/>
    </row>
    <row r="423" spans="1:19">
      <c r="A423" s="2642"/>
      <c r="B423" s="2636"/>
      <c r="C423" s="2636" t="s">
        <v>1657</v>
      </c>
      <c r="D423" s="2636"/>
      <c r="E423" s="2636" t="s">
        <v>1680</v>
      </c>
      <c r="F423" s="2636"/>
      <c r="G423" s="2640">
        <v>116112.71</v>
      </c>
      <c r="H423" s="2640"/>
      <c r="I423" s="2663" t="s">
        <v>1404</v>
      </c>
      <c r="J423" s="2591"/>
      <c r="K423" s="2591"/>
      <c r="L423" s="2591"/>
      <c r="M423" s="2591"/>
      <c r="N423" s="2591"/>
      <c r="O423" s="2591"/>
      <c r="P423" s="2591"/>
      <c r="Q423" s="2591"/>
      <c r="R423" s="2591"/>
      <c r="S423" s="2591"/>
    </row>
    <row r="424" spans="1:19">
      <c r="A424" s="2642"/>
      <c r="B424" s="2636"/>
      <c r="C424" s="2636" t="s">
        <v>1657</v>
      </c>
      <c r="D424" s="2636"/>
      <c r="E424" s="2636" t="s">
        <v>1681</v>
      </c>
      <c r="F424" s="2636"/>
      <c r="G424" s="2640">
        <v>262269.44</v>
      </c>
      <c r="H424" s="2640"/>
      <c r="I424" s="2663" t="s">
        <v>1404</v>
      </c>
      <c r="J424" s="2591"/>
      <c r="K424" s="2591"/>
      <c r="L424" s="2591"/>
      <c r="M424" s="2591"/>
      <c r="N424" s="2591"/>
      <c r="O424" s="2591"/>
      <c r="P424" s="2591"/>
      <c r="Q424" s="2591"/>
      <c r="R424" s="2591"/>
      <c r="S424" s="2591"/>
    </row>
    <row r="425" spans="1:19">
      <c r="A425" s="2642"/>
      <c r="B425" s="2636"/>
      <c r="C425" s="2636" t="s">
        <v>1654</v>
      </c>
      <c r="D425" s="2636"/>
      <c r="E425" s="2636" t="s">
        <v>1682</v>
      </c>
      <c r="F425" s="2636"/>
      <c r="G425" s="2640">
        <v>-16457.04</v>
      </c>
      <c r="H425" s="2640"/>
      <c r="I425" s="2663" t="s">
        <v>1404</v>
      </c>
      <c r="J425" s="2591"/>
      <c r="K425" s="2591"/>
      <c r="L425" s="2591"/>
      <c r="M425" s="2591"/>
      <c r="N425" s="2591"/>
      <c r="O425" s="2591"/>
      <c r="P425" s="2591"/>
      <c r="Q425" s="2591"/>
      <c r="R425" s="2591"/>
      <c r="S425" s="2591"/>
    </row>
    <row r="426" spans="1:19">
      <c r="A426" s="2642"/>
      <c r="B426" s="2636"/>
      <c r="C426" s="2636" t="s">
        <v>1683</v>
      </c>
      <c r="D426" s="2636"/>
      <c r="E426" s="2636" t="s">
        <v>1682</v>
      </c>
      <c r="F426" s="2636"/>
      <c r="G426" s="2640">
        <v>-6556.28999999998</v>
      </c>
      <c r="H426" s="2640"/>
      <c r="I426" s="2663" t="s">
        <v>1404</v>
      </c>
      <c r="J426" s="2591"/>
      <c r="K426" s="2591"/>
      <c r="L426" s="2591"/>
      <c r="M426" s="2591"/>
      <c r="N426" s="2591"/>
      <c r="O426" s="2591"/>
      <c r="P426" s="2591"/>
      <c r="Q426" s="2591"/>
      <c r="R426" s="2591"/>
      <c r="S426" s="2591"/>
    </row>
    <row r="427" spans="1:19">
      <c r="A427" s="2642"/>
      <c r="B427" s="2636"/>
      <c r="C427" s="2636" t="s">
        <v>1683</v>
      </c>
      <c r="D427" s="2636"/>
      <c r="E427" s="2636" t="s">
        <v>1684</v>
      </c>
      <c r="F427" s="2636"/>
      <c r="G427" s="2640">
        <v>-1001.98</v>
      </c>
      <c r="H427" s="2640"/>
      <c r="I427" s="2663" t="s">
        <v>1404</v>
      </c>
      <c r="J427" s="2591"/>
      <c r="K427" s="2591"/>
      <c r="L427" s="2591"/>
      <c r="M427" s="2591"/>
      <c r="N427" s="2591"/>
      <c r="O427" s="2591"/>
      <c r="P427" s="2591"/>
      <c r="Q427" s="2591"/>
      <c r="R427" s="2591"/>
      <c r="S427" s="2591"/>
    </row>
    <row r="428" spans="1:19">
      <c r="A428" s="2642"/>
      <c r="B428" s="2636"/>
      <c r="C428" s="2636" t="s">
        <v>209</v>
      </c>
      <c r="D428" s="2636"/>
      <c r="E428" s="2701" t="s">
        <v>1631</v>
      </c>
      <c r="F428" s="2636"/>
      <c r="G428" s="2640"/>
      <c r="H428" s="2640">
        <v>354366.84</v>
      </c>
      <c r="I428" s="2663" t="s">
        <v>1404</v>
      </c>
      <c r="J428" s="2591"/>
      <c r="K428" s="2591"/>
      <c r="L428" s="2591"/>
      <c r="M428" s="2591"/>
      <c r="N428" s="2591"/>
      <c r="O428" s="2591"/>
      <c r="P428" s="2591"/>
      <c r="Q428" s="2591"/>
      <c r="R428" s="2591"/>
      <c r="S428" s="2591"/>
    </row>
    <row r="429" spans="1:19">
      <c r="A429" s="2642"/>
      <c r="B429" s="2675"/>
      <c r="C429" s="2676"/>
      <c r="D429" s="2677"/>
      <c r="E429" s="2677"/>
      <c r="F429" s="2677"/>
      <c r="G429" s="2640"/>
      <c r="H429" s="2640"/>
      <c r="I429" s="2663" t="s">
        <v>1404</v>
      </c>
      <c r="J429" s="2591"/>
      <c r="K429" s="2591"/>
      <c r="L429" s="2591"/>
      <c r="M429" s="2591"/>
      <c r="N429" s="2591"/>
      <c r="O429" s="2591"/>
      <c r="P429" s="2591"/>
      <c r="Q429" s="2591"/>
      <c r="R429" s="2591"/>
      <c r="S429" s="2591"/>
    </row>
    <row r="430" spans="1:19">
      <c r="A430" s="2642">
        <v>22</v>
      </c>
      <c r="B430" s="2636" t="s">
        <v>1685</v>
      </c>
      <c r="C430" s="2636"/>
      <c r="D430" s="2636"/>
      <c r="E430" s="2636"/>
      <c r="F430" s="2636"/>
      <c r="G430" s="2640"/>
      <c r="H430" s="2640"/>
      <c r="I430" s="2663" t="s">
        <v>1404</v>
      </c>
      <c r="J430" s="2591"/>
      <c r="K430" s="2591"/>
      <c r="L430" s="2591"/>
      <c r="M430" s="2591"/>
      <c r="N430" s="2591"/>
      <c r="O430" s="2591"/>
      <c r="P430" s="2591"/>
      <c r="Q430" s="2591"/>
      <c r="R430" s="2591"/>
      <c r="S430" s="2591"/>
    </row>
    <row r="431" spans="1:19">
      <c r="A431" s="2642"/>
      <c r="B431" s="2636"/>
      <c r="C431" s="2636" t="s">
        <v>1657</v>
      </c>
      <c r="D431" s="2636"/>
      <c r="E431" s="2636" t="s">
        <v>1686</v>
      </c>
      <c r="F431" s="2636"/>
      <c r="G431" s="2640">
        <v>-950280.7</v>
      </c>
      <c r="H431" s="2640"/>
      <c r="I431" s="2663" t="s">
        <v>1404</v>
      </c>
      <c r="J431" s="2591"/>
      <c r="K431" s="2591"/>
      <c r="L431" s="2591"/>
      <c r="M431" s="2591"/>
      <c r="N431" s="2591"/>
      <c r="O431" s="2591"/>
      <c r="P431" s="2591"/>
      <c r="Q431" s="2591"/>
      <c r="R431" s="2591"/>
      <c r="S431" s="2591"/>
    </row>
    <row r="432" spans="1:19">
      <c r="A432" s="2642"/>
      <c r="B432" s="2636"/>
      <c r="C432" s="2636" t="s">
        <v>1683</v>
      </c>
      <c r="D432" s="2636"/>
      <c r="E432" s="2636" t="s">
        <v>1687</v>
      </c>
      <c r="F432" s="2636"/>
      <c r="G432" s="2640">
        <v>950280.7</v>
      </c>
      <c r="H432" s="2640"/>
      <c r="I432" s="2663" t="s">
        <v>1404</v>
      </c>
      <c r="J432" s="2591"/>
      <c r="K432" s="2591"/>
      <c r="L432" s="2591"/>
      <c r="M432" s="2591"/>
      <c r="N432" s="2591"/>
      <c r="O432" s="2591"/>
      <c r="P432" s="2591"/>
      <c r="Q432" s="2591"/>
      <c r="R432" s="2591"/>
      <c r="S432" s="2591"/>
    </row>
    <row r="433" spans="1:19">
      <c r="A433" s="2642"/>
      <c r="B433" s="2675"/>
      <c r="C433" s="2676"/>
      <c r="D433" s="2677"/>
      <c r="E433" s="2677"/>
      <c r="F433" s="2677"/>
      <c r="G433" s="2640"/>
      <c r="H433" s="2640"/>
      <c r="I433" s="2663" t="s">
        <v>1404</v>
      </c>
      <c r="J433" s="2591"/>
      <c r="K433" s="2591"/>
      <c r="L433" s="2591"/>
      <c r="M433" s="2591"/>
      <c r="N433" s="2591"/>
      <c r="O433" s="2591"/>
      <c r="P433" s="2591"/>
      <c r="Q433" s="2591"/>
      <c r="R433" s="2591"/>
      <c r="S433" s="2591"/>
    </row>
    <row r="434" spans="1:19">
      <c r="A434" s="2642"/>
      <c r="B434" s="2675"/>
      <c r="C434" s="2637"/>
      <c r="D434" s="2677"/>
      <c r="E434" s="2639"/>
      <c r="F434" s="2677"/>
      <c r="G434" s="2640"/>
      <c r="H434" s="2640"/>
      <c r="I434" s="2663" t="s">
        <v>1404</v>
      </c>
      <c r="J434" s="2591"/>
      <c r="K434" s="2698"/>
      <c r="L434" s="2698"/>
      <c r="M434" s="2699"/>
      <c r="N434" s="1960"/>
      <c r="O434" s="2591"/>
      <c r="P434" s="2591"/>
      <c r="Q434" s="2591"/>
      <c r="R434" s="2591"/>
      <c r="S434" s="2591"/>
    </row>
    <row r="435" spans="1:19">
      <c r="A435" s="2642">
        <v>23</v>
      </c>
      <c r="B435" s="2636" t="s">
        <v>1688</v>
      </c>
      <c r="C435" s="2637"/>
      <c r="D435" s="2677"/>
      <c r="E435" s="2639"/>
      <c r="F435" s="2677"/>
      <c r="G435" s="2640"/>
      <c r="H435" s="2640"/>
      <c r="I435" s="2663" t="s">
        <v>1404</v>
      </c>
      <c r="J435" s="2591"/>
      <c r="K435" s="2698"/>
      <c r="L435" s="2699"/>
      <c r="M435" s="2698"/>
      <c r="N435" s="2591"/>
      <c r="O435" s="2591"/>
      <c r="P435" s="2591"/>
      <c r="Q435" s="2591"/>
      <c r="R435" s="2591"/>
      <c r="S435" s="2591"/>
    </row>
    <row r="436" spans="1:19">
      <c r="A436" s="2642"/>
      <c r="B436" s="2675"/>
      <c r="C436" s="2637" t="s">
        <v>1657</v>
      </c>
      <c r="D436" s="2677"/>
      <c r="E436" s="2677"/>
      <c r="F436" s="2677"/>
      <c r="G436" s="2640">
        <v>5395983.26</v>
      </c>
      <c r="H436" s="2640"/>
      <c r="I436" s="2663" t="s">
        <v>1404</v>
      </c>
      <c r="J436" s="2591"/>
      <c r="K436" s="2698"/>
      <c r="L436" s="2698"/>
      <c r="M436" s="2699"/>
      <c r="N436" s="2591"/>
      <c r="O436" s="2591"/>
      <c r="P436" s="2591"/>
      <c r="Q436" s="2591"/>
      <c r="R436" s="2591"/>
      <c r="S436" s="2591"/>
    </row>
    <row r="437" spans="1:19">
      <c r="A437" s="2642"/>
      <c r="B437" s="2675"/>
      <c r="C437" s="2637" t="s">
        <v>235</v>
      </c>
      <c r="D437" s="2677"/>
      <c r="E437" s="2677"/>
      <c r="F437" s="2677"/>
      <c r="G437" s="2640"/>
      <c r="H437" s="2640">
        <f>G436</f>
        <v>5395983.26</v>
      </c>
      <c r="I437" s="2663" t="s">
        <v>1404</v>
      </c>
      <c r="J437" s="2591"/>
      <c r="K437" s="2591"/>
      <c r="L437" s="2591"/>
      <c r="M437" s="2591"/>
      <c r="N437" s="2591"/>
      <c r="O437" s="2591"/>
      <c r="P437" s="2591"/>
      <c r="Q437" s="2591"/>
      <c r="R437" s="2591"/>
      <c r="S437" s="2591"/>
    </row>
    <row r="438" spans="1:19">
      <c r="A438" s="2642"/>
      <c r="B438" s="2675"/>
      <c r="C438" s="2637" t="s">
        <v>252</v>
      </c>
      <c r="D438" s="2677"/>
      <c r="E438" s="2677"/>
      <c r="F438" s="2677"/>
      <c r="G438" s="2640">
        <f>G436*15%</f>
        <v>809397.489</v>
      </c>
      <c r="H438" s="2640"/>
      <c r="I438" s="2663" t="s">
        <v>1404</v>
      </c>
      <c r="J438" s="2591"/>
      <c r="K438" s="2666"/>
      <c r="L438" s="2591"/>
      <c r="M438" s="2591"/>
      <c r="N438" s="2591"/>
      <c r="O438" s="2591"/>
      <c r="P438" s="2591"/>
      <c r="Q438" s="2591"/>
      <c r="R438" s="2591"/>
      <c r="S438" s="2591"/>
    </row>
    <row r="439" spans="1:19">
      <c r="A439" s="2642"/>
      <c r="B439" s="2675"/>
      <c r="C439" s="2637" t="s">
        <v>1670</v>
      </c>
      <c r="D439" s="2677"/>
      <c r="E439" s="2677"/>
      <c r="F439" s="2677"/>
      <c r="G439" s="2640"/>
      <c r="H439" s="2640">
        <f>G438</f>
        <v>809397.489</v>
      </c>
      <c r="I439" s="2663" t="s">
        <v>1404</v>
      </c>
      <c r="J439" s="2591"/>
      <c r="K439" s="2698"/>
      <c r="L439" s="1960"/>
      <c r="M439" s="1960"/>
      <c r="N439" s="2591"/>
      <c r="O439" s="2591"/>
      <c r="P439" s="2591"/>
      <c r="Q439" s="2591"/>
      <c r="R439" s="2591"/>
      <c r="S439" s="2591"/>
    </row>
    <row r="440" spans="1:19">
      <c r="A440" s="2642"/>
      <c r="B440" s="2675"/>
      <c r="C440" s="2676"/>
      <c r="D440" s="2677"/>
      <c r="E440" s="2677"/>
      <c r="F440" s="2677"/>
      <c r="G440" s="2640"/>
      <c r="H440" s="2640"/>
      <c r="I440" s="2663" t="s">
        <v>1404</v>
      </c>
      <c r="J440" s="2591"/>
      <c r="K440" s="2698"/>
      <c r="L440" s="1960"/>
      <c r="M440" s="1960"/>
      <c r="N440" s="2591"/>
      <c r="O440" s="2591"/>
      <c r="P440" s="2591"/>
      <c r="Q440" s="2591"/>
      <c r="R440" s="2591"/>
      <c r="S440" s="2591"/>
    </row>
    <row r="441" spans="1:19">
      <c r="A441" s="2642">
        <v>24</v>
      </c>
      <c r="B441" s="2636" t="s">
        <v>1689</v>
      </c>
      <c r="C441" s="2637"/>
      <c r="D441" s="2677"/>
      <c r="E441" s="2677"/>
      <c r="F441" s="2677"/>
      <c r="G441" s="2640"/>
      <c r="H441" s="2640"/>
      <c r="I441" s="2663" t="s">
        <v>1404</v>
      </c>
      <c r="J441" s="2591"/>
      <c r="K441" s="2698"/>
      <c r="L441" s="1960"/>
      <c r="M441" s="1960"/>
      <c r="N441" s="1960"/>
      <c r="O441" s="2591"/>
      <c r="P441" s="2591"/>
      <c r="Q441" s="2591"/>
      <c r="R441" s="2591"/>
      <c r="S441" s="2591"/>
    </row>
    <row r="442" spans="1:19">
      <c r="A442" s="2642"/>
      <c r="B442" s="2675"/>
      <c r="C442" s="2637" t="s">
        <v>1559</v>
      </c>
      <c r="D442" s="2677"/>
      <c r="E442" s="2639" t="s">
        <v>1588</v>
      </c>
      <c r="F442" s="2677"/>
      <c r="G442" s="2640">
        <v>371184.54</v>
      </c>
      <c r="H442" s="2640"/>
      <c r="I442" s="2663" t="s">
        <v>1404</v>
      </c>
      <c r="J442" s="2591"/>
      <c r="K442" s="2698"/>
      <c r="L442" s="1960"/>
      <c r="M442" s="1960"/>
      <c r="N442" s="2591"/>
      <c r="O442" s="2591"/>
      <c r="P442" s="2591"/>
      <c r="Q442" s="2591"/>
      <c r="R442" s="2591"/>
      <c r="S442" s="2591"/>
    </row>
    <row r="443" spans="1:19">
      <c r="A443" s="2642"/>
      <c r="B443" s="2675"/>
      <c r="C443" s="2637" t="s">
        <v>1657</v>
      </c>
      <c r="D443" s="2677"/>
      <c r="E443" s="2677"/>
      <c r="F443" s="2677"/>
      <c r="G443" s="2640"/>
      <c r="H443" s="2640">
        <v>371184.54</v>
      </c>
      <c r="I443" s="2663" t="s">
        <v>1404</v>
      </c>
      <c r="J443" s="2591"/>
      <c r="K443" s="2698"/>
      <c r="L443" s="1960"/>
      <c r="M443" s="1960"/>
      <c r="N443" s="2591"/>
      <c r="O443" s="2591"/>
      <c r="P443" s="2591"/>
      <c r="Q443" s="2591"/>
      <c r="R443" s="2591"/>
      <c r="S443" s="2591"/>
    </row>
    <row r="444" ht="16.5" spans="1:19">
      <c r="A444" s="2642"/>
      <c r="B444" s="2675"/>
      <c r="C444" s="2676"/>
      <c r="D444" s="2677"/>
      <c r="E444" s="2677"/>
      <c r="F444" s="2677"/>
      <c r="G444" s="2640"/>
      <c r="H444" s="2640"/>
      <c r="I444" s="2702"/>
      <c r="J444" s="2591"/>
      <c r="K444" s="2698"/>
      <c r="L444" s="1960"/>
      <c r="M444" s="1960"/>
      <c r="N444" s="2591"/>
      <c r="O444" s="2591"/>
      <c r="P444" s="2591"/>
      <c r="Q444" s="2591"/>
      <c r="R444" s="2591"/>
      <c r="S444" s="2591"/>
    </row>
    <row r="445" ht="16.5" spans="1:19">
      <c r="A445" s="2642"/>
      <c r="B445" s="2675"/>
      <c r="C445" s="2676"/>
      <c r="D445" s="2677"/>
      <c r="E445" s="2677"/>
      <c r="F445" s="2677"/>
      <c r="G445" s="2640"/>
      <c r="H445" s="2640"/>
      <c r="I445" s="2702"/>
      <c r="J445" s="2591"/>
      <c r="K445" s="2591"/>
      <c r="L445" s="2591"/>
      <c r="M445" s="2591"/>
      <c r="N445" s="2591"/>
      <c r="O445" s="2591"/>
      <c r="P445" s="2591"/>
      <c r="Q445" s="2591"/>
      <c r="R445" s="2591"/>
      <c r="S445" s="2591"/>
    </row>
    <row r="446" ht="16.5" spans="1:19">
      <c r="A446" s="2642">
        <v>25</v>
      </c>
      <c r="B446" s="2636" t="s">
        <v>1690</v>
      </c>
      <c r="C446" s="2676"/>
      <c r="D446" s="2677"/>
      <c r="E446" s="2677"/>
      <c r="F446" s="2677"/>
      <c r="G446" s="2640"/>
      <c r="H446" s="2640"/>
      <c r="I446" s="2702"/>
      <c r="J446" s="2591"/>
      <c r="K446" s="2591"/>
      <c r="L446" s="2591"/>
      <c r="M446" s="2591"/>
      <c r="N446" s="2591"/>
      <c r="O446" s="2591"/>
      <c r="P446" s="2591"/>
      <c r="Q446" s="2591"/>
      <c r="R446" s="2591"/>
      <c r="S446" s="2591"/>
    </row>
    <row r="447" ht="16.5" spans="1:19">
      <c r="A447" s="2642"/>
      <c r="B447" s="2675"/>
      <c r="C447" s="2637" t="s">
        <v>1657</v>
      </c>
      <c r="D447" s="2677"/>
      <c r="E447" s="2677"/>
      <c r="F447" s="2677"/>
      <c r="G447" s="2640">
        <v>5395983.26</v>
      </c>
      <c r="H447" s="2640"/>
      <c r="I447" s="2702" t="s">
        <v>1402</v>
      </c>
      <c r="J447" s="2666" t="s">
        <v>1514</v>
      </c>
      <c r="K447" s="2591" t="s">
        <v>1691</v>
      </c>
      <c r="L447" s="2591"/>
      <c r="M447" s="2591"/>
      <c r="N447" s="2591"/>
      <c r="O447" s="2591"/>
      <c r="P447" s="2591"/>
      <c r="Q447" s="2591"/>
      <c r="R447" s="2591"/>
      <c r="S447" s="2591"/>
    </row>
    <row r="448" ht="16.5" spans="1:19">
      <c r="A448" s="2642"/>
      <c r="B448" s="2675"/>
      <c r="C448" s="2637" t="s">
        <v>235</v>
      </c>
      <c r="D448" s="2677"/>
      <c r="E448" s="2677"/>
      <c r="F448" s="2677"/>
      <c r="G448" s="2640"/>
      <c r="H448" s="2640">
        <f>G447</f>
        <v>5395983.26</v>
      </c>
      <c r="I448" s="2702" t="s">
        <v>1402</v>
      </c>
      <c r="J448" s="2666" t="s">
        <v>1514</v>
      </c>
      <c r="K448" s="2591" t="s">
        <v>1691</v>
      </c>
      <c r="L448" s="2591"/>
      <c r="M448" s="2591"/>
      <c r="N448" s="2591"/>
      <c r="O448" s="2591"/>
      <c r="P448" s="2591"/>
      <c r="Q448" s="2591"/>
      <c r="R448" s="2591"/>
      <c r="S448" s="2591"/>
    </row>
    <row r="449" ht="16.5" spans="1:19">
      <c r="A449" s="2642"/>
      <c r="B449" s="2675"/>
      <c r="C449" s="2637" t="s">
        <v>252</v>
      </c>
      <c r="D449" s="2677"/>
      <c r="E449" s="2677"/>
      <c r="F449" s="2677"/>
      <c r="G449" s="2640">
        <v>809397.49</v>
      </c>
      <c r="H449" s="2640"/>
      <c r="I449" s="2702" t="s">
        <v>1402</v>
      </c>
      <c r="J449" s="2666" t="s">
        <v>1514</v>
      </c>
      <c r="K449" s="2591" t="s">
        <v>1692</v>
      </c>
      <c r="L449" s="2591"/>
      <c r="M449" s="2591"/>
      <c r="N449" s="2591"/>
      <c r="O449" s="2591"/>
      <c r="P449" s="2591"/>
      <c r="Q449" s="2591"/>
      <c r="R449" s="2591"/>
      <c r="S449" s="2591"/>
    </row>
    <row r="450" ht="16.5" spans="1:19">
      <c r="A450" s="2642"/>
      <c r="B450" s="2675"/>
      <c r="C450" s="2637" t="s">
        <v>1670</v>
      </c>
      <c r="D450" s="2677"/>
      <c r="E450" s="2677"/>
      <c r="F450" s="2677"/>
      <c r="G450" s="2640"/>
      <c r="H450" s="2640">
        <f>G449</f>
        <v>809397.49</v>
      </c>
      <c r="I450" s="2702" t="s">
        <v>1402</v>
      </c>
      <c r="J450" s="2666" t="s">
        <v>1514</v>
      </c>
      <c r="K450" s="2591" t="s">
        <v>1692</v>
      </c>
      <c r="L450" s="2591"/>
      <c r="M450" s="2591"/>
      <c r="N450" s="2591"/>
      <c r="O450" s="2591"/>
      <c r="P450" s="2591"/>
      <c r="Q450" s="2591"/>
      <c r="R450" s="2591"/>
      <c r="S450" s="2591"/>
    </row>
    <row r="451" ht="16.5" spans="1:19">
      <c r="A451" s="2642"/>
      <c r="B451" s="2675"/>
      <c r="C451" s="2676"/>
      <c r="D451" s="2677"/>
      <c r="E451" s="2677"/>
      <c r="F451" s="2677"/>
      <c r="G451" s="2640"/>
      <c r="H451" s="2640"/>
      <c r="I451" s="2702"/>
      <c r="J451" s="2591"/>
      <c r="K451" s="2591"/>
      <c r="L451" s="2591"/>
      <c r="M451" s="2591"/>
      <c r="N451" s="2591"/>
      <c r="O451" s="2591"/>
      <c r="P451" s="2591"/>
      <c r="Q451" s="2591"/>
      <c r="R451" s="2591"/>
      <c r="S451" s="2591"/>
    </row>
    <row r="452" ht="16.5" spans="1:19">
      <c r="A452" s="2642">
        <v>26</v>
      </c>
      <c r="B452" s="2636" t="s">
        <v>1693</v>
      </c>
      <c r="C452" s="2676"/>
      <c r="D452" s="2677"/>
      <c r="E452" s="2677"/>
      <c r="F452" s="2677"/>
      <c r="G452" s="2640"/>
      <c r="H452" s="2640"/>
      <c r="I452" s="2702"/>
      <c r="J452" s="2591"/>
      <c r="K452" s="2591"/>
      <c r="L452" s="2591"/>
      <c r="M452" s="2591"/>
      <c r="N452" s="2591"/>
      <c r="O452" s="2591"/>
      <c r="P452" s="2591"/>
      <c r="Q452" s="2591"/>
      <c r="R452" s="2591"/>
      <c r="S452" s="2591"/>
    </row>
    <row r="453" ht="16.5" spans="1:19">
      <c r="A453" s="2642"/>
      <c r="B453" s="2675"/>
      <c r="C453" s="2637" t="s">
        <v>252</v>
      </c>
      <c r="D453" s="2677"/>
      <c r="E453" s="2677"/>
      <c r="F453" s="2677"/>
      <c r="G453" s="2640">
        <v>-40653.62</v>
      </c>
      <c r="H453" s="2640"/>
      <c r="I453" s="2702" t="s">
        <v>1402</v>
      </c>
      <c r="J453" s="2666" t="s">
        <v>1544</v>
      </c>
      <c r="K453" s="2591" t="s">
        <v>1600</v>
      </c>
      <c r="L453" s="2591"/>
      <c r="M453" s="2591"/>
      <c r="N453" s="2591"/>
      <c r="O453" s="2591"/>
      <c r="P453" s="2591"/>
      <c r="Q453" s="2591"/>
      <c r="R453" s="2591"/>
      <c r="S453" s="2591"/>
    </row>
    <row r="454" ht="16.5" spans="1:19">
      <c r="A454" s="2642"/>
      <c r="B454" s="2675"/>
      <c r="C454" s="2637" t="s">
        <v>1670</v>
      </c>
      <c r="D454" s="2677"/>
      <c r="E454" s="2639" t="s">
        <v>1342</v>
      </c>
      <c r="F454" s="2677"/>
      <c r="G454" s="2640"/>
      <c r="H454" s="2640">
        <f>G453</f>
        <v>-40653.62</v>
      </c>
      <c r="I454" s="2702" t="s">
        <v>1402</v>
      </c>
      <c r="J454" s="2666" t="s">
        <v>1544</v>
      </c>
      <c r="K454" s="2591" t="s">
        <v>1600</v>
      </c>
      <c r="L454" s="2591"/>
      <c r="M454" s="2591"/>
      <c r="N454" s="2591"/>
      <c r="O454" s="2591"/>
      <c r="P454" s="2591"/>
      <c r="Q454" s="2591"/>
      <c r="R454" s="2591"/>
      <c r="S454" s="2591"/>
    </row>
    <row r="455" ht="16.5" spans="1:19">
      <c r="A455" s="2642"/>
      <c r="B455" s="2675"/>
      <c r="C455" s="2676"/>
      <c r="D455" s="2677"/>
      <c r="E455" s="2677"/>
      <c r="F455" s="2677"/>
      <c r="G455" s="2640"/>
      <c r="H455" s="2640"/>
      <c r="I455" s="2702"/>
      <c r="J455" s="2591"/>
      <c r="K455" s="2591"/>
      <c r="L455" s="2591"/>
      <c r="M455" s="2591"/>
      <c r="N455" s="2591"/>
      <c r="O455" s="2591"/>
      <c r="P455" s="2591"/>
      <c r="Q455" s="2591"/>
      <c r="R455" s="2591"/>
      <c r="S455" s="2591"/>
    </row>
    <row r="456" ht="16.5" spans="1:19">
      <c r="A456" s="2642">
        <v>27</v>
      </c>
      <c r="B456" s="2636" t="s">
        <v>1694</v>
      </c>
      <c r="C456" s="2676"/>
      <c r="D456" s="2677"/>
      <c r="E456" s="2677"/>
      <c r="F456" s="2677"/>
      <c r="G456" s="2640"/>
      <c r="H456" s="2640"/>
      <c r="I456" s="2702"/>
      <c r="J456" s="2591"/>
      <c r="K456" s="2591"/>
      <c r="L456" s="2591"/>
      <c r="M456" s="2591"/>
      <c r="N456" s="2591"/>
      <c r="O456" s="2591"/>
      <c r="P456" s="2591"/>
      <c r="Q456" s="2591"/>
      <c r="R456" s="2591"/>
      <c r="S456" s="2591"/>
    </row>
    <row r="457" ht="16.5" spans="1:19">
      <c r="A457" s="2642"/>
      <c r="B457" s="2675"/>
      <c r="C457" s="2637" t="s">
        <v>209</v>
      </c>
      <c r="D457" s="2677"/>
      <c r="E457" s="2639" t="s">
        <v>1695</v>
      </c>
      <c r="F457" s="2677"/>
      <c r="G457" s="2640">
        <f>K457</f>
        <v>8287528.07</v>
      </c>
      <c r="H457" s="2640"/>
      <c r="I457" s="2702" t="s">
        <v>1402</v>
      </c>
      <c r="J457" s="2666" t="s">
        <v>1506</v>
      </c>
      <c r="K457" s="2591">
        <v>8287528.07</v>
      </c>
      <c r="L457" s="2591"/>
      <c r="M457" s="2591"/>
      <c r="N457" s="2591"/>
      <c r="O457" s="2591"/>
      <c r="P457" s="2591"/>
      <c r="Q457" s="2591"/>
      <c r="R457" s="2591"/>
      <c r="S457" s="2591"/>
    </row>
    <row r="458" ht="16.5" spans="1:19">
      <c r="A458" s="2642"/>
      <c r="B458" s="2675"/>
      <c r="C458" s="2637" t="s">
        <v>219</v>
      </c>
      <c r="D458" s="2677"/>
      <c r="E458" s="2677" t="s">
        <v>1695</v>
      </c>
      <c r="F458" s="2677"/>
      <c r="G458" s="2640"/>
      <c r="H458" s="2640">
        <f>G457</f>
        <v>8287528.07</v>
      </c>
      <c r="I458" s="2702" t="s">
        <v>1402</v>
      </c>
      <c r="J458" s="2666" t="s">
        <v>1506</v>
      </c>
      <c r="K458" s="2591">
        <f>G457-K457</f>
        <v>0</v>
      </c>
      <c r="L458" s="2591"/>
      <c r="M458" s="2591"/>
      <c r="N458" s="2591"/>
      <c r="O458" s="2591"/>
      <c r="P458" s="2591"/>
      <c r="Q458" s="2591"/>
      <c r="R458" s="2591"/>
      <c r="S458" s="2591"/>
    </row>
    <row r="459" ht="16.5" spans="1:19">
      <c r="A459" s="2642"/>
      <c r="B459" s="2675"/>
      <c r="C459" s="2676"/>
      <c r="D459" s="2677"/>
      <c r="E459" s="2677"/>
      <c r="F459" s="2677"/>
      <c r="G459" s="2640"/>
      <c r="H459" s="2640"/>
      <c r="I459" s="2702"/>
      <c r="J459" s="2591"/>
      <c r="K459" s="2591"/>
      <c r="L459" s="2591"/>
      <c r="M459" s="2591"/>
      <c r="N459" s="2591"/>
      <c r="O459" s="2591"/>
      <c r="P459" s="2591"/>
      <c r="Q459" s="2591"/>
      <c r="R459" s="2591"/>
      <c r="S459" s="2591"/>
    </row>
    <row r="460" ht="16.5" spans="1:19">
      <c r="A460" s="2642"/>
      <c r="B460" s="2675"/>
      <c r="C460" s="2676"/>
      <c r="D460" s="2677"/>
      <c r="E460" s="2677"/>
      <c r="F460" s="2677"/>
      <c r="G460" s="2640"/>
      <c r="H460" s="2640"/>
      <c r="I460" s="2702"/>
      <c r="J460" s="2591"/>
      <c r="K460" s="2591"/>
      <c r="L460" s="2591"/>
      <c r="M460" s="2591"/>
      <c r="N460" s="2591"/>
      <c r="O460" s="2591"/>
      <c r="P460" s="2591"/>
      <c r="Q460" s="2591"/>
      <c r="R460" s="2591"/>
      <c r="S460" s="2591"/>
    </row>
    <row r="461" ht="16.5" spans="1:19">
      <c r="A461" s="2642"/>
      <c r="B461" s="2675"/>
      <c r="C461" s="2676"/>
      <c r="D461" s="2677"/>
      <c r="E461" s="2677"/>
      <c r="F461" s="2677"/>
      <c r="G461" s="2703">
        <f>SUBTOTAL(9,G289:G302)</f>
        <v>-1603858.88</v>
      </c>
      <c r="H461" s="2703">
        <f>SUBTOTAL(9,H289:H302)</f>
        <v>-2969247.38</v>
      </c>
      <c r="I461" s="2702"/>
      <c r="J461" s="2591"/>
      <c r="K461" s="2591"/>
      <c r="L461" s="2591"/>
      <c r="M461" s="2591"/>
      <c r="N461" s="2591"/>
      <c r="O461" s="2591"/>
      <c r="P461" s="2591"/>
      <c r="Q461" s="2591"/>
      <c r="R461" s="2591"/>
      <c r="S461" s="2591"/>
    </row>
    <row r="462" ht="16.5" spans="1:19">
      <c r="A462" s="2642"/>
      <c r="B462" s="2675"/>
      <c r="C462" s="2676"/>
      <c r="D462" s="2677"/>
      <c r="E462" s="2677"/>
      <c r="F462" s="2677"/>
      <c r="G462" s="2703"/>
      <c r="H462" s="2703">
        <f>G461-H461</f>
        <v>1365388.5</v>
      </c>
      <c r="I462" s="2702"/>
      <c r="J462" s="2591"/>
      <c r="K462" s="2591"/>
      <c r="L462" s="2591"/>
      <c r="M462" s="2591"/>
      <c r="N462" s="2591"/>
      <c r="O462" s="2591"/>
      <c r="P462" s="2591"/>
      <c r="Q462" s="2591"/>
      <c r="R462" s="2591"/>
      <c r="S462" s="2591"/>
    </row>
    <row r="463" ht="16.5" spans="1:19">
      <c r="A463" s="2642"/>
      <c r="B463" s="2675"/>
      <c r="C463" s="2676"/>
      <c r="D463" s="2677"/>
      <c r="E463" s="2677"/>
      <c r="F463" s="2677"/>
      <c r="G463" s="2640">
        <f>G279-H284</f>
        <v>-287447.94</v>
      </c>
      <c r="H463" s="2640"/>
      <c r="I463" s="2702"/>
      <c r="J463" s="2591"/>
      <c r="K463" s="2591"/>
      <c r="L463" s="2591"/>
      <c r="M463" s="2591"/>
      <c r="N463" s="2591"/>
      <c r="O463" s="2591"/>
      <c r="P463" s="2591"/>
      <c r="Q463" s="2591"/>
      <c r="R463" s="2591"/>
      <c r="S463" s="2591"/>
    </row>
    <row r="464" ht="16.5" spans="1:19">
      <c r="A464" s="2642"/>
      <c r="B464" s="2675"/>
      <c r="C464" s="2676"/>
      <c r="D464" s="2677"/>
      <c r="E464" s="2677"/>
      <c r="F464" s="2677"/>
      <c r="G464" s="2703"/>
      <c r="H464" s="2703"/>
      <c r="I464" s="2702"/>
      <c r="J464" s="1960"/>
      <c r="K464" s="2591"/>
      <c r="L464" s="2591"/>
      <c r="M464" s="2591"/>
      <c r="N464" s="2591"/>
      <c r="O464" s="2591"/>
      <c r="P464" s="2591"/>
      <c r="Q464" s="2591"/>
      <c r="R464" s="2591"/>
      <c r="S464" s="2591"/>
    </row>
    <row r="465" ht="16.5" spans="1:19">
      <c r="A465" s="2642"/>
      <c r="B465" s="2675"/>
      <c r="C465" s="2676"/>
      <c r="D465" s="2677"/>
      <c r="E465" s="2677"/>
      <c r="F465" s="2677"/>
      <c r="G465" s="2640"/>
      <c r="H465" s="2640"/>
      <c r="I465" s="2702"/>
      <c r="J465" s="2591"/>
      <c r="K465" s="2591"/>
      <c r="L465" s="2591"/>
      <c r="M465" s="2591"/>
      <c r="N465" s="2591"/>
      <c r="O465" s="2591"/>
      <c r="P465" s="2591"/>
      <c r="Q465" s="2591"/>
      <c r="R465" s="2591"/>
      <c r="S465" s="2591"/>
    </row>
    <row r="466" ht="16.5" spans="1:19">
      <c r="A466" s="2642"/>
      <c r="B466" s="2675"/>
      <c r="C466" s="2676"/>
      <c r="D466" s="2677"/>
      <c r="E466" s="2677"/>
      <c r="F466" s="2677"/>
      <c r="G466" s="2640"/>
      <c r="H466" s="2640"/>
      <c r="I466" s="2702"/>
      <c r="J466" s="2591"/>
      <c r="K466" s="2591"/>
      <c r="L466" s="2591"/>
      <c r="M466" s="2591"/>
      <c r="N466" s="2591"/>
      <c r="O466" s="2591"/>
      <c r="P466" s="2591"/>
      <c r="Q466" s="2591"/>
      <c r="R466" s="2591"/>
      <c r="S466" s="2591"/>
    </row>
    <row r="467" ht="16.5" spans="1:19">
      <c r="A467" s="2642"/>
      <c r="B467" s="2675"/>
      <c r="C467" s="2676"/>
      <c r="D467" s="2677"/>
      <c r="E467" s="2677"/>
      <c r="F467" s="2677"/>
      <c r="G467" s="2640"/>
      <c r="H467" s="2640"/>
      <c r="I467" s="2702"/>
      <c r="J467" s="2591"/>
      <c r="K467" s="2591"/>
      <c r="L467" s="2591"/>
      <c r="M467" s="2591"/>
      <c r="N467" s="2591"/>
      <c r="O467" s="2591"/>
      <c r="P467" s="2591"/>
      <c r="Q467" s="2591"/>
      <c r="R467" s="2591"/>
      <c r="S467" s="2591"/>
    </row>
    <row r="468" ht="16.5" spans="1:19">
      <c r="A468" s="2642"/>
      <c r="B468" s="2675"/>
      <c r="C468" s="2676"/>
      <c r="D468" s="2677"/>
      <c r="E468" s="2677"/>
      <c r="F468" s="2677"/>
      <c r="G468" s="2640"/>
      <c r="H468" s="2640"/>
      <c r="I468" s="2702"/>
      <c r="J468" s="2591"/>
      <c r="K468" s="2591"/>
      <c r="L468" s="2591"/>
      <c r="M468" s="2591"/>
      <c r="N468" s="2591"/>
      <c r="O468" s="2591"/>
      <c r="P468" s="2591"/>
      <c r="Q468" s="2591"/>
      <c r="R468" s="2591"/>
      <c r="S468" s="2591"/>
    </row>
    <row r="469" ht="16.5" spans="1:19">
      <c r="A469" s="2642"/>
      <c r="B469" s="2675"/>
      <c r="C469" s="2676"/>
      <c r="D469" s="2677"/>
      <c r="E469" s="2677"/>
      <c r="F469" s="2677"/>
      <c r="G469" s="2640"/>
      <c r="H469" s="2640"/>
      <c r="I469" s="2702"/>
      <c r="J469" s="2591"/>
      <c r="K469" s="2591"/>
      <c r="L469" s="2591"/>
      <c r="M469" s="2591"/>
      <c r="N469" s="2591"/>
      <c r="O469" s="2591"/>
      <c r="P469" s="2591"/>
      <c r="Q469" s="2591"/>
      <c r="R469" s="2591"/>
      <c r="S469" s="2591"/>
    </row>
    <row r="470" ht="16.5" spans="1:19">
      <c r="A470" s="2642"/>
      <c r="B470" s="2675"/>
      <c r="C470" s="2676"/>
      <c r="D470" s="2677"/>
      <c r="E470" s="2677"/>
      <c r="F470" s="2677"/>
      <c r="G470" s="2640"/>
      <c r="H470" s="2640"/>
      <c r="I470" s="2702"/>
      <c r="J470" s="2591"/>
      <c r="K470" s="2591"/>
      <c r="L470" s="2591"/>
      <c r="M470" s="2591"/>
      <c r="N470" s="2591"/>
      <c r="O470" s="2591"/>
      <c r="P470" s="2591"/>
      <c r="Q470" s="2591"/>
      <c r="R470" s="2591"/>
      <c r="S470" s="2591"/>
    </row>
    <row r="471" ht="16.5" spans="1:19">
      <c r="A471" s="2642"/>
      <c r="B471" s="2675"/>
      <c r="C471" s="2676"/>
      <c r="D471" s="2677"/>
      <c r="E471" s="2677"/>
      <c r="F471" s="2677"/>
      <c r="G471" s="2640"/>
      <c r="H471" s="2640"/>
      <c r="I471" s="2702"/>
      <c r="J471" s="2591"/>
      <c r="K471" s="2591"/>
      <c r="L471" s="2591"/>
      <c r="M471" s="2591"/>
      <c r="N471" s="2591"/>
      <c r="O471" s="2591"/>
      <c r="P471" s="2591"/>
      <c r="Q471" s="2591"/>
      <c r="R471" s="2591"/>
      <c r="S471" s="2591"/>
    </row>
    <row r="472" ht="16.5" spans="1:19">
      <c r="A472" s="2642"/>
      <c r="B472" s="2675"/>
      <c r="C472" s="2676"/>
      <c r="D472" s="2677"/>
      <c r="E472" s="2677"/>
      <c r="F472" s="2677"/>
      <c r="G472" s="2640"/>
      <c r="H472" s="2640"/>
      <c r="I472" s="2702"/>
      <c r="J472" s="2591"/>
      <c r="K472" s="2591"/>
      <c r="L472" s="2591"/>
      <c r="M472" s="2591"/>
      <c r="N472" s="2591"/>
      <c r="O472" s="2591"/>
      <c r="P472" s="2591"/>
      <c r="Q472" s="2591"/>
      <c r="R472" s="2591"/>
      <c r="S472" s="2591"/>
    </row>
    <row r="473" ht="16.5" spans="1:19">
      <c r="A473" s="2642"/>
      <c r="B473" s="2675"/>
      <c r="C473" s="2676"/>
      <c r="D473" s="2677"/>
      <c r="E473" s="2677"/>
      <c r="F473" s="2677"/>
      <c r="G473" s="2640"/>
      <c r="H473" s="2640"/>
      <c r="I473" s="2702"/>
      <c r="J473" s="2591"/>
      <c r="K473" s="2591"/>
      <c r="L473" s="2591"/>
      <c r="M473" s="2591"/>
      <c r="N473" s="2591"/>
      <c r="O473" s="2591"/>
      <c r="P473" s="2591"/>
      <c r="Q473" s="2591"/>
      <c r="R473" s="2591"/>
      <c r="S473" s="2591"/>
    </row>
    <row r="474" ht="16.5" spans="1:19">
      <c r="A474" s="2642"/>
      <c r="B474" s="2675"/>
      <c r="C474" s="2676"/>
      <c r="D474" s="2677"/>
      <c r="E474" s="2677"/>
      <c r="F474" s="2677"/>
      <c r="G474" s="2640"/>
      <c r="H474" s="2640"/>
      <c r="I474" s="2702"/>
      <c r="J474" s="2591"/>
      <c r="K474" s="2591"/>
      <c r="L474" s="2591"/>
      <c r="M474" s="2591"/>
      <c r="N474" s="2591"/>
      <c r="O474" s="2591"/>
      <c r="P474" s="2591"/>
      <c r="Q474" s="2591"/>
      <c r="R474" s="2591"/>
      <c r="S474" s="2591"/>
    </row>
    <row r="475" ht="16.5" spans="1:19">
      <c r="A475" s="2642"/>
      <c r="B475" s="2675"/>
      <c r="C475" s="2676"/>
      <c r="D475" s="2677"/>
      <c r="E475" s="2677"/>
      <c r="F475" s="2677"/>
      <c r="G475" s="2640"/>
      <c r="H475" s="2640"/>
      <c r="I475" s="2702"/>
      <c r="J475" s="2591"/>
      <c r="K475" s="2591"/>
      <c r="L475" s="2591"/>
      <c r="M475" s="2591"/>
      <c r="N475" s="2591"/>
      <c r="O475" s="2591"/>
      <c r="P475" s="2591"/>
      <c r="Q475" s="2591"/>
      <c r="R475" s="2591"/>
      <c r="S475" s="2591"/>
    </row>
    <row r="476" ht="16.5" spans="1:19">
      <c r="A476" s="2642"/>
      <c r="B476" s="2675"/>
      <c r="C476" s="2676"/>
      <c r="D476" s="2677"/>
      <c r="E476" s="2677"/>
      <c r="F476" s="2677"/>
      <c r="G476" s="2640"/>
      <c r="H476" s="2640"/>
      <c r="I476" s="2702"/>
      <c r="J476" s="2591"/>
      <c r="K476" s="2591"/>
      <c r="L476" s="2591"/>
      <c r="M476" s="2591"/>
      <c r="N476" s="2591"/>
      <c r="O476" s="2591"/>
      <c r="P476" s="2591"/>
      <c r="Q476" s="2591"/>
      <c r="R476" s="2591"/>
      <c r="S476" s="2591"/>
    </row>
    <row r="477" ht="16.5" spans="1:19">
      <c r="A477" s="2642"/>
      <c r="B477" s="2675"/>
      <c r="C477" s="2676"/>
      <c r="D477" s="2677"/>
      <c r="E477" s="2677"/>
      <c r="F477" s="2677"/>
      <c r="G477" s="2640"/>
      <c r="H477" s="2640"/>
      <c r="I477" s="2702"/>
      <c r="J477" s="2591"/>
      <c r="K477" s="2591"/>
      <c r="L477" s="2591"/>
      <c r="M477" s="2591"/>
      <c r="N477" s="2591"/>
      <c r="O477" s="2591"/>
      <c r="P477" s="2591"/>
      <c r="Q477" s="2591"/>
      <c r="R477" s="2591"/>
      <c r="S477" s="2591"/>
    </row>
    <row r="478" ht="16.5" spans="1:19">
      <c r="A478" s="2642"/>
      <c r="B478" s="2675"/>
      <c r="C478" s="2676"/>
      <c r="D478" s="2677"/>
      <c r="E478" s="2677"/>
      <c r="F478" s="2677"/>
      <c r="G478" s="2640"/>
      <c r="H478" s="2640"/>
      <c r="I478" s="2702"/>
      <c r="J478" s="2591"/>
      <c r="K478" s="2591"/>
      <c r="L478" s="2591"/>
      <c r="M478" s="2591"/>
      <c r="N478" s="2591"/>
      <c r="O478" s="2591"/>
      <c r="P478" s="2591"/>
      <c r="Q478" s="2591"/>
      <c r="R478" s="2591"/>
      <c r="S478" s="2591"/>
    </row>
    <row r="479" ht="16.5" spans="1:19">
      <c r="A479" s="2642"/>
      <c r="B479" s="2675"/>
      <c r="C479" s="2676"/>
      <c r="D479" s="2677"/>
      <c r="E479" s="2677"/>
      <c r="F479" s="2677"/>
      <c r="G479" s="2640"/>
      <c r="H479" s="2640"/>
      <c r="I479" s="2702"/>
      <c r="J479" s="2591"/>
      <c r="K479" s="2591"/>
      <c r="L479" s="2591"/>
      <c r="M479" s="2591"/>
      <c r="N479" s="2591"/>
      <c r="O479" s="2591"/>
      <c r="P479" s="2591"/>
      <c r="Q479" s="2591"/>
      <c r="R479" s="2591"/>
      <c r="S479" s="2591"/>
    </row>
    <row r="480" ht="16.5" spans="1:19">
      <c r="A480" s="2642"/>
      <c r="B480" s="2675"/>
      <c r="C480" s="2676"/>
      <c r="D480" s="2677"/>
      <c r="E480" s="2677"/>
      <c r="F480" s="2677"/>
      <c r="G480" s="2640"/>
      <c r="H480" s="2640"/>
      <c r="I480" s="2702"/>
      <c r="J480" s="2591"/>
      <c r="K480" s="2591"/>
      <c r="L480" s="2591"/>
      <c r="M480" s="2591"/>
      <c r="N480" s="2591"/>
      <c r="O480" s="2591"/>
      <c r="P480" s="2591"/>
      <c r="Q480" s="2591"/>
      <c r="R480" s="2591"/>
      <c r="S480" s="2591"/>
    </row>
    <row r="481" ht="16.5" spans="1:19">
      <c r="A481" s="2642"/>
      <c r="B481" s="2675"/>
      <c r="C481" s="2676"/>
      <c r="D481" s="2677"/>
      <c r="E481" s="2677"/>
      <c r="F481" s="2677"/>
      <c r="G481" s="2640"/>
      <c r="H481" s="2640"/>
      <c r="I481" s="2702"/>
      <c r="J481" s="2591"/>
      <c r="K481" s="2591"/>
      <c r="L481" s="2591"/>
      <c r="M481" s="2591"/>
      <c r="N481" s="2591"/>
      <c r="O481" s="2591"/>
      <c r="P481" s="2591"/>
      <c r="Q481" s="2591"/>
      <c r="R481" s="2591"/>
      <c r="S481" s="2591"/>
    </row>
    <row r="482" ht="16.5" spans="1:19">
      <c r="A482" s="2642"/>
      <c r="B482" s="2675"/>
      <c r="C482" s="2676"/>
      <c r="D482" s="2677"/>
      <c r="E482" s="2677"/>
      <c r="F482" s="2677"/>
      <c r="G482" s="2640"/>
      <c r="H482" s="2640"/>
      <c r="I482" s="2702"/>
      <c r="J482" s="2591"/>
      <c r="K482" s="2591"/>
      <c r="L482" s="2591"/>
      <c r="M482" s="2591"/>
      <c r="N482" s="2591"/>
      <c r="O482" s="2591"/>
      <c r="P482" s="2591"/>
      <c r="Q482" s="2591"/>
      <c r="R482" s="2591"/>
      <c r="S482" s="2591"/>
    </row>
    <row r="483" ht="16.5" spans="1:19">
      <c r="A483" s="2642"/>
      <c r="B483" s="2675"/>
      <c r="C483" s="2676"/>
      <c r="D483" s="2677"/>
      <c r="E483" s="2677"/>
      <c r="F483" s="2677"/>
      <c r="G483" s="2640"/>
      <c r="H483" s="2640"/>
      <c r="I483" s="2702"/>
      <c r="J483" s="2591"/>
      <c r="K483" s="2591"/>
      <c r="L483" s="2591"/>
      <c r="M483" s="2591"/>
      <c r="N483" s="2591"/>
      <c r="O483" s="2591"/>
      <c r="P483" s="2591"/>
      <c r="Q483" s="2591"/>
      <c r="R483" s="2591"/>
      <c r="S483" s="2591"/>
    </row>
    <row r="484" ht="16.5" spans="1:19">
      <c r="A484" s="2642"/>
      <c r="B484" s="2675"/>
      <c r="C484" s="2676"/>
      <c r="D484" s="2677"/>
      <c r="E484" s="2677"/>
      <c r="F484" s="2677"/>
      <c r="G484" s="2640"/>
      <c r="H484" s="2640"/>
      <c r="I484" s="2702"/>
      <c r="J484" s="2591"/>
      <c r="K484" s="2591"/>
      <c r="L484" s="2591"/>
      <c r="M484" s="2591"/>
      <c r="N484" s="2591"/>
      <c r="O484" s="2591"/>
      <c r="P484" s="2591"/>
      <c r="Q484" s="2591"/>
      <c r="R484" s="2591"/>
      <c r="S484" s="2591"/>
    </row>
    <row r="485" ht="16.5" spans="1:19">
      <c r="A485" s="2642"/>
      <c r="B485" s="2675"/>
      <c r="C485" s="2676"/>
      <c r="D485" s="2677"/>
      <c r="E485" s="2677"/>
      <c r="F485" s="2677"/>
      <c r="G485" s="2640"/>
      <c r="H485" s="2640"/>
      <c r="I485" s="2702"/>
      <c r="J485" s="2591"/>
      <c r="K485" s="2591"/>
      <c r="L485" s="2591"/>
      <c r="M485" s="2591"/>
      <c r="N485" s="2591"/>
      <c r="O485" s="2591"/>
      <c r="P485" s="2591"/>
      <c r="Q485" s="2591"/>
      <c r="R485" s="2591"/>
      <c r="S485" s="2591"/>
    </row>
    <row r="486" ht="16.5" spans="1:19">
      <c r="A486" s="2642"/>
      <c r="B486" s="2675"/>
      <c r="C486" s="2676"/>
      <c r="D486" s="2677"/>
      <c r="E486" s="2677"/>
      <c r="F486" s="2677"/>
      <c r="G486" s="2640"/>
      <c r="H486" s="2640"/>
      <c r="I486" s="2702"/>
      <c r="J486" s="2591"/>
      <c r="K486" s="2591"/>
      <c r="L486" s="2591"/>
      <c r="M486" s="2591"/>
      <c r="N486" s="2591"/>
      <c r="O486" s="2591"/>
      <c r="P486" s="2591"/>
      <c r="Q486" s="2591"/>
      <c r="R486" s="2591"/>
      <c r="S486" s="2591"/>
    </row>
    <row r="487" ht="16.5" spans="1:19">
      <c r="A487" s="2642"/>
      <c r="B487" s="2675"/>
      <c r="C487" s="2676"/>
      <c r="D487" s="2677"/>
      <c r="E487" s="2677"/>
      <c r="F487" s="2677"/>
      <c r="G487" s="2640"/>
      <c r="H487" s="2640"/>
      <c r="I487" s="2702"/>
      <c r="J487" s="2591"/>
      <c r="K487" s="2591"/>
      <c r="L487" s="2591"/>
      <c r="M487" s="2591"/>
      <c r="N487" s="2591"/>
      <c r="O487" s="2591"/>
      <c r="P487" s="2591"/>
      <c r="Q487" s="2591"/>
      <c r="R487" s="2591"/>
      <c r="S487" s="2591"/>
    </row>
    <row r="488" ht="16.5" spans="1:19">
      <c r="A488" s="2642"/>
      <c r="B488" s="2675"/>
      <c r="C488" s="2676"/>
      <c r="D488" s="2677"/>
      <c r="E488" s="2677"/>
      <c r="F488" s="2677"/>
      <c r="G488" s="2640"/>
      <c r="H488" s="2640"/>
      <c r="I488" s="2702"/>
      <c r="J488" s="2591"/>
      <c r="K488" s="2591"/>
      <c r="L488" s="2591"/>
      <c r="M488" s="2591"/>
      <c r="N488" s="2591"/>
      <c r="O488" s="2591"/>
      <c r="P488" s="2591"/>
      <c r="Q488" s="2591"/>
      <c r="R488" s="2591"/>
      <c r="S488" s="2591"/>
    </row>
    <row r="489" ht="16.5" spans="1:19">
      <c r="A489" s="2642"/>
      <c r="B489" s="2675"/>
      <c r="C489" s="2676"/>
      <c r="D489" s="2677"/>
      <c r="E489" s="2677"/>
      <c r="F489" s="2677"/>
      <c r="G489" s="2640"/>
      <c r="H489" s="2640"/>
      <c r="I489" s="2702"/>
      <c r="J489" s="2591"/>
      <c r="K489" s="2591"/>
      <c r="L489" s="2591"/>
      <c r="M489" s="2591"/>
      <c r="N489" s="2591"/>
      <c r="O489" s="2591"/>
      <c r="P489" s="2591"/>
      <c r="Q489" s="2591"/>
      <c r="R489" s="2591"/>
      <c r="S489" s="2591"/>
    </row>
    <row r="490" ht="16.5" spans="1:19">
      <c r="A490" s="2642"/>
      <c r="B490" s="2675"/>
      <c r="C490" s="2676"/>
      <c r="D490" s="2677"/>
      <c r="E490" s="2677"/>
      <c r="F490" s="2677"/>
      <c r="G490" s="2640"/>
      <c r="H490" s="2640"/>
      <c r="I490" s="2702"/>
      <c r="J490" s="2591"/>
      <c r="K490" s="2591"/>
      <c r="L490" s="2591"/>
      <c r="M490" s="2591"/>
      <c r="N490" s="2591"/>
      <c r="O490" s="2591"/>
      <c r="P490" s="2591"/>
      <c r="Q490" s="2591"/>
      <c r="R490" s="2591"/>
      <c r="S490" s="2591"/>
    </row>
    <row r="491" ht="16.5" spans="1:19">
      <c r="A491" s="2642"/>
      <c r="B491" s="2675"/>
      <c r="C491" s="2676"/>
      <c r="D491" s="2677"/>
      <c r="E491" s="2677"/>
      <c r="F491" s="2677"/>
      <c r="G491" s="2640"/>
      <c r="H491" s="2640"/>
      <c r="I491" s="2702"/>
      <c r="J491" s="2591"/>
      <c r="K491" s="2591"/>
      <c r="L491" s="2591"/>
      <c r="M491" s="2591"/>
      <c r="N491" s="2591"/>
      <c r="O491" s="2591"/>
      <c r="P491" s="2591"/>
      <c r="Q491" s="2591"/>
      <c r="R491" s="2591"/>
      <c r="S491" s="2591"/>
    </row>
    <row r="492" ht="16.5" spans="1:19">
      <c r="A492" s="2642"/>
      <c r="B492" s="2675"/>
      <c r="C492" s="2676"/>
      <c r="D492" s="2677"/>
      <c r="E492" s="2677"/>
      <c r="F492" s="2677"/>
      <c r="G492" s="2640"/>
      <c r="H492" s="2640"/>
      <c r="I492" s="2702"/>
      <c r="J492" s="2591"/>
      <c r="K492" s="2591"/>
      <c r="L492" s="2591"/>
      <c r="M492" s="2591"/>
      <c r="N492" s="2591"/>
      <c r="O492" s="2591"/>
      <c r="P492" s="2591"/>
      <c r="Q492" s="2591"/>
      <c r="R492" s="2591"/>
      <c r="S492" s="2591"/>
    </row>
    <row r="493" ht="16.5" spans="1:19">
      <c r="A493" s="2642"/>
      <c r="B493" s="2675"/>
      <c r="C493" s="2676"/>
      <c r="D493" s="2677"/>
      <c r="E493" s="2677"/>
      <c r="F493" s="2677"/>
      <c r="G493" s="2640"/>
      <c r="H493" s="2640"/>
      <c r="I493" s="2702"/>
      <c r="J493" s="2591"/>
      <c r="K493" s="2591"/>
      <c r="L493" s="2591"/>
      <c r="M493" s="2591"/>
      <c r="N493" s="2591"/>
      <c r="O493" s="2591"/>
      <c r="P493" s="2591"/>
      <c r="Q493" s="2591"/>
      <c r="R493" s="2591"/>
      <c r="S493" s="2591"/>
    </row>
    <row r="494" ht="16.5" spans="1:19">
      <c r="A494" s="2642"/>
      <c r="B494" s="2675"/>
      <c r="C494" s="2676"/>
      <c r="D494" s="2677"/>
      <c r="E494" s="2677"/>
      <c r="F494" s="2677"/>
      <c r="G494" s="2640"/>
      <c r="H494" s="2640"/>
      <c r="I494" s="2702"/>
      <c r="J494" s="2591"/>
      <c r="K494" s="2591"/>
      <c r="L494" s="2591"/>
      <c r="M494" s="2591"/>
      <c r="N494" s="2591"/>
      <c r="O494" s="2591"/>
      <c r="P494" s="2591"/>
      <c r="Q494" s="2591"/>
      <c r="R494" s="2591"/>
      <c r="S494" s="2591"/>
    </row>
    <row r="495" ht="16.5" spans="1:19">
      <c r="A495" s="2642"/>
      <c r="B495" s="2675"/>
      <c r="C495" s="2676"/>
      <c r="D495" s="2677"/>
      <c r="E495" s="2677"/>
      <c r="F495" s="2677"/>
      <c r="G495" s="2640"/>
      <c r="H495" s="2640"/>
      <c r="I495" s="2702"/>
      <c r="J495" s="2591"/>
      <c r="K495" s="2591"/>
      <c r="L495" s="2591"/>
      <c r="M495" s="2591"/>
      <c r="N495" s="2591"/>
      <c r="O495" s="2591"/>
      <c r="P495" s="2591"/>
      <c r="Q495" s="2591"/>
      <c r="R495" s="2591"/>
      <c r="S495" s="2591"/>
    </row>
    <row r="496" ht="16.5" spans="1:19">
      <c r="A496" s="2642"/>
      <c r="B496" s="2675"/>
      <c r="C496" s="2676"/>
      <c r="D496" s="2677"/>
      <c r="E496" s="2677"/>
      <c r="F496" s="2677"/>
      <c r="G496" s="2640"/>
      <c r="H496" s="2640"/>
      <c r="I496" s="2702"/>
      <c r="J496" s="2591"/>
      <c r="K496" s="2591"/>
      <c r="L496" s="2591"/>
      <c r="M496" s="2591"/>
      <c r="N496" s="2591"/>
      <c r="O496" s="2591"/>
      <c r="P496" s="2591"/>
      <c r="Q496" s="2591"/>
      <c r="R496" s="2591"/>
      <c r="S496" s="2591"/>
    </row>
    <row r="497" ht="16.5" spans="1:19">
      <c r="A497" s="2642"/>
      <c r="B497" s="2675"/>
      <c r="C497" s="2676"/>
      <c r="D497" s="2677"/>
      <c r="E497" s="2677"/>
      <c r="F497" s="2677"/>
      <c r="G497" s="2640"/>
      <c r="H497" s="2640"/>
      <c r="I497" s="2702"/>
      <c r="J497" s="2591"/>
      <c r="K497" s="2591"/>
      <c r="L497" s="2591"/>
      <c r="M497" s="2591"/>
      <c r="N497" s="2591"/>
      <c r="O497" s="2591"/>
      <c r="P497" s="2591"/>
      <c r="Q497" s="2591"/>
      <c r="R497" s="2591"/>
      <c r="S497" s="2591"/>
    </row>
    <row r="498" ht="16.5" spans="1:19">
      <c r="A498" s="2642"/>
      <c r="B498" s="2675"/>
      <c r="C498" s="2676"/>
      <c r="D498" s="2677"/>
      <c r="E498" s="2677"/>
      <c r="F498" s="2677"/>
      <c r="G498" s="2640"/>
      <c r="H498" s="2640"/>
      <c r="I498" s="2702"/>
      <c r="J498" s="2591"/>
      <c r="K498" s="2591"/>
      <c r="L498" s="2591"/>
      <c r="M498" s="2591"/>
      <c r="N498" s="2591"/>
      <c r="O498" s="2591"/>
      <c r="P498" s="2591"/>
      <c r="Q498" s="2591"/>
      <c r="R498" s="2591"/>
      <c r="S498" s="2591"/>
    </row>
    <row r="499" ht="16.5" spans="1:19">
      <c r="A499" s="2642"/>
      <c r="B499" s="2675"/>
      <c r="C499" s="2676"/>
      <c r="D499" s="2677"/>
      <c r="E499" s="2677"/>
      <c r="F499" s="2677"/>
      <c r="G499" s="2640"/>
      <c r="H499" s="2640"/>
      <c r="I499" s="2702"/>
      <c r="J499" s="2591"/>
      <c r="K499" s="2591"/>
      <c r="L499" s="2591"/>
      <c r="M499" s="2591"/>
      <c r="N499" s="2591"/>
      <c r="O499" s="2591"/>
      <c r="P499" s="2591"/>
      <c r="Q499" s="2591"/>
      <c r="R499" s="2591"/>
      <c r="S499" s="2591"/>
    </row>
    <row r="500" ht="16.5" spans="1:19">
      <c r="A500" s="2642"/>
      <c r="B500" s="2675"/>
      <c r="C500" s="2676"/>
      <c r="D500" s="2677"/>
      <c r="E500" s="2677"/>
      <c r="F500" s="2677"/>
      <c r="G500" s="2640"/>
      <c r="H500" s="2640"/>
      <c r="I500" s="2702"/>
      <c r="J500" s="2591"/>
      <c r="K500" s="2591"/>
      <c r="L500" s="2591"/>
      <c r="M500" s="2591"/>
      <c r="N500" s="2591"/>
      <c r="O500" s="2591"/>
      <c r="P500" s="2591"/>
      <c r="Q500" s="2591"/>
      <c r="R500" s="2591"/>
      <c r="S500" s="2591"/>
    </row>
    <row r="501" ht="16.5" spans="1:19">
      <c r="A501" s="2642"/>
      <c r="B501" s="2675"/>
      <c r="C501" s="2676"/>
      <c r="D501" s="2677"/>
      <c r="E501" s="2677"/>
      <c r="F501" s="2677"/>
      <c r="G501" s="2640"/>
      <c r="H501" s="2640"/>
      <c r="I501" s="2702"/>
      <c r="J501" s="2591"/>
      <c r="K501" s="2591"/>
      <c r="L501" s="2591"/>
      <c r="M501" s="2591"/>
      <c r="N501" s="2591"/>
      <c r="O501" s="2591"/>
      <c r="P501" s="2591"/>
      <c r="Q501" s="2591"/>
      <c r="R501" s="2591"/>
      <c r="S501" s="2591"/>
    </row>
    <row r="502" ht="16.5" spans="1:19">
      <c r="A502" s="2642"/>
      <c r="B502" s="2675"/>
      <c r="C502" s="2676"/>
      <c r="D502" s="2677"/>
      <c r="E502" s="2677"/>
      <c r="F502" s="2677"/>
      <c r="G502" s="2640"/>
      <c r="H502" s="2640"/>
      <c r="I502" s="2702"/>
      <c r="J502" s="2591"/>
      <c r="K502" s="2591"/>
      <c r="L502" s="2591"/>
      <c r="M502" s="2591"/>
      <c r="N502" s="2591"/>
      <c r="O502" s="2591"/>
      <c r="P502" s="2591"/>
      <c r="Q502" s="2591"/>
      <c r="R502" s="2591"/>
      <c r="S502" s="2591"/>
    </row>
    <row r="503" ht="16.5" spans="1:19">
      <c r="A503" s="2642"/>
      <c r="B503" s="2675"/>
      <c r="C503" s="2676"/>
      <c r="D503" s="2677"/>
      <c r="E503" s="2677"/>
      <c r="F503" s="2677"/>
      <c r="G503" s="2640"/>
      <c r="H503" s="2640"/>
      <c r="I503" s="2702"/>
      <c r="J503" s="2591"/>
      <c r="K503" s="2591"/>
      <c r="L503" s="2591"/>
      <c r="M503" s="2591"/>
      <c r="N503" s="2591"/>
      <c r="O503" s="2591"/>
      <c r="P503" s="2591"/>
      <c r="Q503" s="2591"/>
      <c r="R503" s="2591"/>
      <c r="S503" s="2591"/>
    </row>
    <row r="504" ht="16.5" spans="1:19">
      <c r="A504" s="2642"/>
      <c r="B504" s="2675"/>
      <c r="C504" s="2676"/>
      <c r="D504" s="2677"/>
      <c r="E504" s="2677"/>
      <c r="F504" s="2677"/>
      <c r="G504" s="2640"/>
      <c r="H504" s="2640"/>
      <c r="I504" s="2702"/>
      <c r="J504" s="2591"/>
      <c r="K504" s="2591"/>
      <c r="L504" s="2591"/>
      <c r="M504" s="2591"/>
      <c r="N504" s="2591"/>
      <c r="O504" s="2591"/>
      <c r="P504" s="2591"/>
      <c r="Q504" s="2591"/>
      <c r="R504" s="2591"/>
      <c r="S504" s="2591"/>
    </row>
    <row r="505" ht="16.5" spans="1:19">
      <c r="A505" s="2642"/>
      <c r="B505" s="2675"/>
      <c r="C505" s="2676"/>
      <c r="D505" s="2677"/>
      <c r="E505" s="2677"/>
      <c r="F505" s="2677"/>
      <c r="G505" s="2640"/>
      <c r="H505" s="2640"/>
      <c r="I505" s="2702"/>
      <c r="J505" s="2591"/>
      <c r="K505" s="2591"/>
      <c r="L505" s="2591"/>
      <c r="M505" s="2591"/>
      <c r="N505" s="2591"/>
      <c r="O505" s="2591"/>
      <c r="P505" s="2591"/>
      <c r="Q505" s="2591"/>
      <c r="R505" s="2591"/>
      <c r="S505" s="2591"/>
    </row>
    <row r="506" ht="16.5" spans="1:19">
      <c r="A506" s="2642"/>
      <c r="B506" s="2675"/>
      <c r="C506" s="2676"/>
      <c r="D506" s="2677"/>
      <c r="E506" s="2677"/>
      <c r="F506" s="2677"/>
      <c r="G506" s="2640"/>
      <c r="H506" s="2640"/>
      <c r="I506" s="2702"/>
      <c r="J506" s="2591"/>
      <c r="K506" s="2591"/>
      <c r="L506" s="2591"/>
      <c r="M506" s="2591"/>
      <c r="N506" s="2591"/>
      <c r="O506" s="2591"/>
      <c r="P506" s="2591"/>
      <c r="Q506" s="2591"/>
      <c r="R506" s="2591"/>
      <c r="S506" s="2591"/>
    </row>
    <row r="507" ht="16.5" spans="1:19">
      <c r="A507" s="2642"/>
      <c r="B507" s="2675"/>
      <c r="C507" s="2676"/>
      <c r="D507" s="2677"/>
      <c r="E507" s="2677"/>
      <c r="F507" s="2677"/>
      <c r="G507" s="2640"/>
      <c r="H507" s="2640"/>
      <c r="I507" s="2702"/>
      <c r="J507" s="2591"/>
      <c r="K507" s="2591"/>
      <c r="L507" s="2591"/>
      <c r="M507" s="2591"/>
      <c r="N507" s="2591"/>
      <c r="O507" s="2591"/>
      <c r="P507" s="2591"/>
      <c r="Q507" s="2591"/>
      <c r="R507" s="2591"/>
      <c r="S507" s="2591"/>
    </row>
    <row r="508" ht="16.5" spans="1:19">
      <c r="A508" s="2642"/>
      <c r="B508" s="2675"/>
      <c r="C508" s="2676"/>
      <c r="D508" s="2677"/>
      <c r="E508" s="2677"/>
      <c r="F508" s="2677"/>
      <c r="G508" s="2640"/>
      <c r="H508" s="2640"/>
      <c r="I508" s="2702"/>
      <c r="J508" s="2591"/>
      <c r="K508" s="2591"/>
      <c r="L508" s="2591"/>
      <c r="M508" s="2591"/>
      <c r="N508" s="2591"/>
      <c r="O508" s="2591"/>
      <c r="P508" s="2591"/>
      <c r="Q508" s="2591"/>
      <c r="R508" s="2591"/>
      <c r="S508" s="2591"/>
    </row>
    <row r="509" ht="16.5" spans="1:19">
      <c r="A509" s="2642"/>
      <c r="B509" s="2675"/>
      <c r="C509" s="2676"/>
      <c r="D509" s="2677"/>
      <c r="E509" s="2677"/>
      <c r="F509" s="2677"/>
      <c r="G509" s="2640"/>
      <c r="H509" s="2640"/>
      <c r="I509" s="2702"/>
      <c r="J509" s="2591"/>
      <c r="K509" s="2591"/>
      <c r="L509" s="2591"/>
      <c r="M509" s="2591"/>
      <c r="N509" s="2591"/>
      <c r="O509" s="2591"/>
      <c r="P509" s="2591"/>
      <c r="Q509" s="2591"/>
      <c r="R509" s="2591"/>
      <c r="S509" s="2591"/>
    </row>
    <row r="510" ht="16.5" spans="1:19">
      <c r="A510" s="2642"/>
      <c r="B510" s="2675"/>
      <c r="C510" s="2676"/>
      <c r="D510" s="2677"/>
      <c r="E510" s="2677"/>
      <c r="F510" s="2677"/>
      <c r="G510" s="2640"/>
      <c r="H510" s="2640"/>
      <c r="I510" s="2702"/>
      <c r="J510" s="2591"/>
      <c r="K510" s="2591"/>
      <c r="L510" s="2591"/>
      <c r="M510" s="2591"/>
      <c r="N510" s="2591"/>
      <c r="O510" s="2591"/>
      <c r="P510" s="2591"/>
      <c r="Q510" s="2591"/>
      <c r="R510" s="2591"/>
      <c r="S510" s="2591"/>
    </row>
    <row r="511" ht="16.5" spans="1:19">
      <c r="A511" s="2642"/>
      <c r="B511" s="2675"/>
      <c r="C511" s="2676"/>
      <c r="D511" s="2677"/>
      <c r="E511" s="2677"/>
      <c r="F511" s="2677"/>
      <c r="G511" s="2640"/>
      <c r="H511" s="2640"/>
      <c r="I511" s="2702"/>
      <c r="J511" s="2591"/>
      <c r="K511" s="2591"/>
      <c r="L511" s="2591"/>
      <c r="M511" s="2591"/>
      <c r="N511" s="2591"/>
      <c r="O511" s="2591"/>
      <c r="P511" s="2591"/>
      <c r="Q511" s="2591"/>
      <c r="R511" s="2591"/>
      <c r="S511" s="2591"/>
    </row>
    <row r="512" ht="16.5" spans="1:19">
      <c r="A512" s="2642"/>
      <c r="B512" s="2675"/>
      <c r="C512" s="2676"/>
      <c r="D512" s="2677"/>
      <c r="E512" s="2677"/>
      <c r="F512" s="2677"/>
      <c r="G512" s="2640"/>
      <c r="H512" s="2640"/>
      <c r="I512" s="2702"/>
      <c r="J512" s="2591"/>
      <c r="K512" s="2591"/>
      <c r="L512" s="2591"/>
      <c r="M512" s="2591"/>
      <c r="N512" s="2591"/>
      <c r="O512" s="2591"/>
      <c r="P512" s="2591"/>
      <c r="Q512" s="2591"/>
      <c r="R512" s="2591"/>
      <c r="S512" s="2591"/>
    </row>
    <row r="513" ht="16.5" spans="1:19">
      <c r="A513" s="2642"/>
      <c r="B513" s="2675"/>
      <c r="C513" s="2676"/>
      <c r="D513" s="2677"/>
      <c r="E513" s="2677"/>
      <c r="F513" s="2677"/>
      <c r="G513" s="2640"/>
      <c r="H513" s="2640"/>
      <c r="I513" s="2702"/>
      <c r="J513" s="2591"/>
      <c r="K513" s="2591"/>
      <c r="L513" s="2591"/>
      <c r="M513" s="2591"/>
      <c r="N513" s="2591"/>
      <c r="O513" s="2591"/>
      <c r="P513" s="2591"/>
      <c r="Q513" s="2591"/>
      <c r="R513" s="2591"/>
      <c r="S513" s="2591"/>
    </row>
    <row r="514" ht="16.5" spans="1:19">
      <c r="A514" s="2642"/>
      <c r="B514" s="2675"/>
      <c r="C514" s="2676"/>
      <c r="D514" s="2677"/>
      <c r="E514" s="2677"/>
      <c r="F514" s="2677"/>
      <c r="G514" s="2640"/>
      <c r="H514" s="2640"/>
      <c r="I514" s="2702"/>
      <c r="J514" s="2591"/>
      <c r="K514" s="2591"/>
      <c r="L514" s="2591"/>
      <c r="M514" s="2591"/>
      <c r="N514" s="2591"/>
      <c r="O514" s="2591"/>
      <c r="P514" s="2591"/>
      <c r="Q514" s="2591"/>
      <c r="R514" s="2591"/>
      <c r="S514" s="2591"/>
    </row>
    <row r="515" ht="16.5" spans="1:19">
      <c r="A515" s="2642"/>
      <c r="B515" s="2675"/>
      <c r="C515" s="2676"/>
      <c r="D515" s="2677"/>
      <c r="E515" s="2677"/>
      <c r="F515" s="2677"/>
      <c r="G515" s="2640"/>
      <c r="H515" s="2640"/>
      <c r="I515" s="2702"/>
      <c r="J515" s="2591"/>
      <c r="K515" s="2591"/>
      <c r="L515" s="2591"/>
      <c r="M515" s="2591"/>
      <c r="N515" s="2591"/>
      <c r="O515" s="2591"/>
      <c r="P515" s="2591"/>
      <c r="Q515" s="2591"/>
      <c r="R515" s="2591"/>
      <c r="S515" s="2591"/>
    </row>
    <row r="516" ht="16.5" spans="1:19">
      <c r="A516" s="2642"/>
      <c r="B516" s="2675"/>
      <c r="C516" s="2676"/>
      <c r="D516" s="2677"/>
      <c r="E516" s="2677"/>
      <c r="F516" s="2677"/>
      <c r="G516" s="2640"/>
      <c r="H516" s="2640"/>
      <c r="I516" s="2702"/>
      <c r="J516" s="2591"/>
      <c r="K516" s="2591"/>
      <c r="L516" s="2591"/>
      <c r="M516" s="2591"/>
      <c r="N516" s="2591"/>
      <c r="O516" s="2591"/>
      <c r="P516" s="2591"/>
      <c r="Q516" s="2591"/>
      <c r="R516" s="2591"/>
      <c r="S516" s="2591"/>
    </row>
    <row r="517" ht="16.5" spans="1:19">
      <c r="A517" s="2642"/>
      <c r="B517" s="2675"/>
      <c r="C517" s="2676"/>
      <c r="D517" s="2677"/>
      <c r="E517" s="2677"/>
      <c r="F517" s="2677"/>
      <c r="G517" s="2640"/>
      <c r="H517" s="2640"/>
      <c r="I517" s="2702"/>
      <c r="J517" s="2591"/>
      <c r="K517" s="2591"/>
      <c r="L517" s="2591"/>
      <c r="M517" s="2591"/>
      <c r="N517" s="2591"/>
      <c r="O517" s="2591"/>
      <c r="P517" s="2591"/>
      <c r="Q517" s="2591"/>
      <c r="R517" s="2591"/>
      <c r="S517" s="2591"/>
    </row>
    <row r="518" ht="16.5" spans="1:19">
      <c r="A518" s="2642"/>
      <c r="B518" s="2675"/>
      <c r="C518" s="2676"/>
      <c r="D518" s="2677"/>
      <c r="E518" s="2677"/>
      <c r="F518" s="2677"/>
      <c r="G518" s="2640"/>
      <c r="H518" s="2640"/>
      <c r="I518" s="2702"/>
      <c r="J518" s="2591"/>
      <c r="K518" s="2591"/>
      <c r="L518" s="2591"/>
      <c r="M518" s="2591"/>
      <c r="N518" s="2591"/>
      <c r="O518" s="2591"/>
      <c r="P518" s="2591"/>
      <c r="Q518" s="2591"/>
      <c r="R518" s="2591"/>
      <c r="S518" s="2591"/>
    </row>
    <row r="519" ht="16.5" spans="1:19">
      <c r="A519" s="2642"/>
      <c r="B519" s="2675"/>
      <c r="C519" s="2676"/>
      <c r="D519" s="2677"/>
      <c r="E519" s="2677"/>
      <c r="F519" s="2677"/>
      <c r="G519" s="2640"/>
      <c r="H519" s="2640"/>
      <c r="I519" s="2702"/>
      <c r="J519" s="2591"/>
      <c r="K519" s="2591"/>
      <c r="L519" s="2591"/>
      <c r="M519" s="2591"/>
      <c r="N519" s="2591"/>
      <c r="O519" s="2591"/>
      <c r="P519" s="2591"/>
      <c r="Q519" s="2591"/>
      <c r="R519" s="2591"/>
      <c r="S519" s="2591"/>
    </row>
    <row r="520" ht="16.5" spans="1:19">
      <c r="A520" s="2642"/>
      <c r="B520" s="2675"/>
      <c r="C520" s="2676"/>
      <c r="D520" s="2677"/>
      <c r="E520" s="2677"/>
      <c r="F520" s="2677"/>
      <c r="G520" s="2640"/>
      <c r="H520" s="2640"/>
      <c r="I520" s="2702"/>
      <c r="J520" s="2591"/>
      <c r="K520" s="2591"/>
      <c r="L520" s="2591"/>
      <c r="M520" s="2591"/>
      <c r="N520" s="2591"/>
      <c r="O520" s="2591"/>
      <c r="P520" s="2591"/>
      <c r="Q520" s="2591"/>
      <c r="R520" s="2591"/>
      <c r="S520" s="2591"/>
    </row>
    <row r="521" ht="16.5" spans="1:19">
      <c r="A521" s="2642"/>
      <c r="B521" s="2675"/>
      <c r="C521" s="2676"/>
      <c r="D521" s="2677"/>
      <c r="E521" s="2677"/>
      <c r="F521" s="2677"/>
      <c r="G521" s="2640"/>
      <c r="H521" s="2640"/>
      <c r="I521" s="2702"/>
      <c r="J521" s="2591"/>
      <c r="K521" s="2591"/>
      <c r="L521" s="2591"/>
      <c r="M521" s="2591"/>
      <c r="N521" s="2591"/>
      <c r="O521" s="2591"/>
      <c r="P521" s="2591"/>
      <c r="Q521" s="2591"/>
      <c r="R521" s="2591"/>
      <c r="S521" s="2591"/>
    </row>
    <row r="522" ht="16.5" spans="1:19">
      <c r="A522" s="2642"/>
      <c r="B522" s="2675"/>
      <c r="C522" s="2676"/>
      <c r="D522" s="2677"/>
      <c r="E522" s="2677"/>
      <c r="F522" s="2677"/>
      <c r="G522" s="2640"/>
      <c r="H522" s="2640"/>
      <c r="I522" s="2702"/>
      <c r="J522" s="2591"/>
      <c r="K522" s="2591"/>
      <c r="L522" s="2591"/>
      <c r="M522" s="2591"/>
      <c r="N522" s="2591"/>
      <c r="O522" s="2591"/>
      <c r="P522" s="2591"/>
      <c r="Q522" s="2591"/>
      <c r="R522" s="2591"/>
      <c r="S522" s="2591"/>
    </row>
    <row r="523" ht="16.5" spans="1:19">
      <c r="A523" s="2642"/>
      <c r="B523" s="2675"/>
      <c r="C523" s="2676"/>
      <c r="D523" s="2677"/>
      <c r="E523" s="2677"/>
      <c r="F523" s="2677"/>
      <c r="G523" s="2640"/>
      <c r="H523" s="2640"/>
      <c r="I523" s="2702"/>
      <c r="J523" s="2591"/>
      <c r="K523" s="2591"/>
      <c r="L523" s="2591"/>
      <c r="M523" s="2591"/>
      <c r="N523" s="2591"/>
      <c r="O523" s="2591"/>
      <c r="P523" s="2591"/>
      <c r="Q523" s="2591"/>
      <c r="R523" s="2591"/>
      <c r="S523" s="2591"/>
    </row>
    <row r="524" ht="16.5" spans="1:19">
      <c r="A524" s="2642"/>
      <c r="B524" s="2675"/>
      <c r="C524" s="2676"/>
      <c r="D524" s="2677"/>
      <c r="E524" s="2677"/>
      <c r="F524" s="2677"/>
      <c r="G524" s="2640"/>
      <c r="H524" s="2640"/>
      <c r="I524" s="2702"/>
      <c r="J524" s="2591"/>
      <c r="K524" s="2591"/>
      <c r="L524" s="2591"/>
      <c r="M524" s="2591"/>
      <c r="N524" s="2591"/>
      <c r="O524" s="2591"/>
      <c r="P524" s="2591"/>
      <c r="Q524" s="2591"/>
      <c r="R524" s="2591"/>
      <c r="S524" s="2591"/>
    </row>
    <row r="525" ht="16.5" spans="1:19">
      <c r="A525" s="2642"/>
      <c r="B525" s="2675"/>
      <c r="C525" s="2676"/>
      <c r="D525" s="2677"/>
      <c r="E525" s="2677"/>
      <c r="F525" s="2677"/>
      <c r="G525" s="2640"/>
      <c r="H525" s="2640"/>
      <c r="I525" s="2702"/>
      <c r="J525" s="2591"/>
      <c r="K525" s="2591"/>
      <c r="L525" s="2591"/>
      <c r="M525" s="2591"/>
      <c r="N525" s="2591"/>
      <c r="O525" s="2591"/>
      <c r="P525" s="2591"/>
      <c r="Q525" s="2591"/>
      <c r="R525" s="2591"/>
      <c r="S525" s="2591"/>
    </row>
    <row r="526" ht="16.5" spans="1:19">
      <c r="A526" s="2642"/>
      <c r="B526" s="2675"/>
      <c r="C526" s="2676"/>
      <c r="D526" s="2677"/>
      <c r="E526" s="2677"/>
      <c r="F526" s="2677"/>
      <c r="G526" s="2640"/>
      <c r="H526" s="2640"/>
      <c r="I526" s="2702"/>
      <c r="J526" s="2591"/>
      <c r="K526" s="2591"/>
      <c r="L526" s="2591"/>
      <c r="M526" s="2591"/>
      <c r="N526" s="2591"/>
      <c r="O526" s="2591"/>
      <c r="P526" s="2591"/>
      <c r="Q526" s="2591"/>
      <c r="R526" s="2591"/>
      <c r="S526" s="2591"/>
    </row>
    <row r="527" ht="16.5" spans="1:19">
      <c r="A527" s="2642"/>
      <c r="B527" s="2675"/>
      <c r="C527" s="2676"/>
      <c r="D527" s="2677"/>
      <c r="E527" s="2677"/>
      <c r="F527" s="2677"/>
      <c r="G527" s="2640"/>
      <c r="H527" s="2640"/>
      <c r="I527" s="2702"/>
      <c r="J527" s="2591"/>
      <c r="K527" s="2591"/>
      <c r="L527" s="2591"/>
      <c r="M527" s="2591"/>
      <c r="N527" s="2591"/>
      <c r="O527" s="2591"/>
      <c r="P527" s="2591"/>
      <c r="Q527" s="2591"/>
      <c r="R527" s="2591"/>
      <c r="S527" s="2591"/>
    </row>
    <row r="528" ht="16.5" spans="1:19">
      <c r="A528" s="2642"/>
      <c r="B528" s="2675"/>
      <c r="C528" s="2676"/>
      <c r="D528" s="2677"/>
      <c r="E528" s="2677"/>
      <c r="F528" s="2677"/>
      <c r="G528" s="2640"/>
      <c r="H528" s="2640"/>
      <c r="I528" s="2702"/>
      <c r="J528" s="2591"/>
      <c r="K528" s="2591"/>
      <c r="L528" s="2591"/>
      <c r="M528" s="2591"/>
      <c r="N528" s="2591"/>
      <c r="O528" s="2591"/>
      <c r="P528" s="2591"/>
      <c r="Q528" s="2591"/>
      <c r="R528" s="2591"/>
      <c r="S528" s="2591"/>
    </row>
    <row r="529" ht="16.5" spans="1:19">
      <c r="A529" s="2642"/>
      <c r="B529" s="2675"/>
      <c r="C529" s="2676"/>
      <c r="D529" s="2677"/>
      <c r="E529" s="2677"/>
      <c r="F529" s="2677"/>
      <c r="G529" s="2640"/>
      <c r="H529" s="2640"/>
      <c r="I529" s="2702"/>
      <c r="J529" s="2591"/>
      <c r="K529" s="2591"/>
      <c r="L529" s="2591"/>
      <c r="M529" s="2591"/>
      <c r="N529" s="2591"/>
      <c r="O529" s="2591"/>
      <c r="P529" s="2591"/>
      <c r="Q529" s="2591"/>
      <c r="R529" s="2591"/>
      <c r="S529" s="2591"/>
    </row>
    <row r="530" ht="16.5" spans="1:19">
      <c r="A530" s="2642"/>
      <c r="B530" s="2675"/>
      <c r="C530" s="2676"/>
      <c r="D530" s="2677"/>
      <c r="E530" s="2677"/>
      <c r="F530" s="2677"/>
      <c r="G530" s="2640"/>
      <c r="H530" s="2640"/>
      <c r="I530" s="2702"/>
      <c r="J530" s="2591"/>
      <c r="K530" s="2591"/>
      <c r="L530" s="2591"/>
      <c r="M530" s="2591"/>
      <c r="N530" s="2591"/>
      <c r="O530" s="2591"/>
      <c r="P530" s="2591"/>
      <c r="Q530" s="2591"/>
      <c r="R530" s="2591"/>
      <c r="S530" s="2591"/>
    </row>
    <row r="531" ht="16.5" spans="1:19">
      <c r="A531" s="2642"/>
      <c r="B531" s="2675"/>
      <c r="C531" s="2676"/>
      <c r="D531" s="2677"/>
      <c r="E531" s="2677"/>
      <c r="F531" s="2677"/>
      <c r="G531" s="2640"/>
      <c r="H531" s="2640"/>
      <c r="I531" s="2702"/>
      <c r="J531" s="2591"/>
      <c r="K531" s="2591"/>
      <c r="L531" s="2591"/>
      <c r="M531" s="2591"/>
      <c r="N531" s="2591"/>
      <c r="O531" s="2591"/>
      <c r="P531" s="2591"/>
      <c r="Q531" s="2591"/>
      <c r="R531" s="2591"/>
      <c r="S531" s="2591"/>
    </row>
    <row r="532" ht="16.5" spans="1:19">
      <c r="A532" s="2642"/>
      <c r="B532" s="2675"/>
      <c r="C532" s="2676"/>
      <c r="D532" s="2677"/>
      <c r="E532" s="2677"/>
      <c r="F532" s="2677"/>
      <c r="G532" s="2640"/>
      <c r="H532" s="2640"/>
      <c r="I532" s="2702"/>
      <c r="J532" s="2591"/>
      <c r="K532" s="2591"/>
      <c r="L532" s="2591"/>
      <c r="M532" s="2591"/>
      <c r="N532" s="2591"/>
      <c r="O532" s="2591"/>
      <c r="P532" s="2591"/>
      <c r="Q532" s="2591"/>
      <c r="R532" s="2591"/>
      <c r="S532" s="2591"/>
    </row>
    <row r="533" ht="16.5" spans="1:19">
      <c r="A533" s="2642"/>
      <c r="B533" s="2675"/>
      <c r="C533" s="2676"/>
      <c r="D533" s="2677"/>
      <c r="E533" s="2677"/>
      <c r="F533" s="2677"/>
      <c r="G533" s="2640"/>
      <c r="H533" s="2640"/>
      <c r="I533" s="2702"/>
      <c r="J533" s="2591"/>
      <c r="K533" s="2591"/>
      <c r="L533" s="2591"/>
      <c r="M533" s="2591"/>
      <c r="N533" s="2591"/>
      <c r="O533" s="2591"/>
      <c r="P533" s="2591"/>
      <c r="Q533" s="2591"/>
      <c r="R533" s="2591"/>
      <c r="S533" s="2591"/>
    </row>
    <row r="534" ht="16.5" spans="1:19">
      <c r="A534" s="2642"/>
      <c r="B534" s="2675"/>
      <c r="C534" s="2676"/>
      <c r="D534" s="2677"/>
      <c r="E534" s="2677"/>
      <c r="F534" s="2677"/>
      <c r="G534" s="2640"/>
      <c r="H534" s="2640"/>
      <c r="I534" s="2702"/>
      <c r="J534" s="2591"/>
      <c r="K534" s="2591"/>
      <c r="L534" s="2591"/>
      <c r="M534" s="2591"/>
      <c r="N534" s="2591"/>
      <c r="O534" s="2591"/>
      <c r="P534" s="2591"/>
      <c r="Q534" s="2591"/>
      <c r="R534" s="2591"/>
      <c r="S534" s="2591"/>
    </row>
    <row r="535" ht="16.5" spans="1:19">
      <c r="A535" s="2642"/>
      <c r="B535" s="2675"/>
      <c r="C535" s="2676"/>
      <c r="D535" s="2677"/>
      <c r="E535" s="2677"/>
      <c r="F535" s="2677"/>
      <c r="G535" s="2640"/>
      <c r="H535" s="2640"/>
      <c r="I535" s="2702"/>
      <c r="J535" s="2591"/>
      <c r="K535" s="2591"/>
      <c r="L535" s="2591"/>
      <c r="M535" s="2591"/>
      <c r="N535" s="2591"/>
      <c r="O535" s="2591"/>
      <c r="P535" s="2591"/>
      <c r="Q535" s="2591"/>
      <c r="R535" s="2591"/>
      <c r="S535" s="2591"/>
    </row>
    <row r="536" ht="16.5" spans="1:19">
      <c r="A536" s="2642"/>
      <c r="B536" s="2675"/>
      <c r="C536" s="2676"/>
      <c r="D536" s="2677"/>
      <c r="E536" s="2677"/>
      <c r="F536" s="2677"/>
      <c r="G536" s="2640"/>
      <c r="H536" s="2640"/>
      <c r="I536" s="2702"/>
      <c r="J536" s="2591"/>
      <c r="K536" s="2591"/>
      <c r="L536" s="2591"/>
      <c r="M536" s="2591"/>
      <c r="N536" s="2591"/>
      <c r="O536" s="2591"/>
      <c r="P536" s="2591"/>
      <c r="Q536" s="2591"/>
      <c r="R536" s="2591"/>
      <c r="S536" s="2591"/>
    </row>
    <row r="537" ht="16.5" spans="1:19">
      <c r="A537" s="2642"/>
      <c r="B537" s="2675"/>
      <c r="C537" s="2676"/>
      <c r="D537" s="2677"/>
      <c r="E537" s="2677"/>
      <c r="F537" s="2677"/>
      <c r="G537" s="2640"/>
      <c r="H537" s="2640"/>
      <c r="I537" s="2702"/>
      <c r="J537" s="2591"/>
      <c r="K537" s="2591"/>
      <c r="L537" s="2591"/>
      <c r="M537" s="2591"/>
      <c r="N537" s="2591"/>
      <c r="O537" s="2591"/>
      <c r="P537" s="2591"/>
      <c r="Q537" s="2591"/>
      <c r="R537" s="2591"/>
      <c r="S537" s="2591"/>
    </row>
    <row r="538" ht="16.5" spans="1:19">
      <c r="A538" s="2642"/>
      <c r="B538" s="2675"/>
      <c r="C538" s="2676"/>
      <c r="D538" s="2677"/>
      <c r="E538" s="2677"/>
      <c r="F538" s="2677"/>
      <c r="G538" s="2640"/>
      <c r="H538" s="2640"/>
      <c r="I538" s="2702"/>
      <c r="J538" s="2591"/>
      <c r="K538" s="2591"/>
      <c r="L538" s="2591"/>
      <c r="M538" s="2591"/>
      <c r="N538" s="2591"/>
      <c r="O538" s="2591"/>
      <c r="P538" s="2591"/>
      <c r="Q538" s="2591"/>
      <c r="R538" s="2591"/>
      <c r="S538" s="2591"/>
    </row>
    <row r="539" ht="16.5" spans="1:19">
      <c r="A539" s="2642"/>
      <c r="B539" s="2675"/>
      <c r="C539" s="2676"/>
      <c r="D539" s="2677"/>
      <c r="E539" s="2677"/>
      <c r="F539" s="2677"/>
      <c r="G539" s="2640"/>
      <c r="H539" s="2640"/>
      <c r="I539" s="2702"/>
      <c r="J539" s="2591"/>
      <c r="K539" s="2591"/>
      <c r="L539" s="2591"/>
      <c r="M539" s="2591"/>
      <c r="N539" s="2591"/>
      <c r="O539" s="2591"/>
      <c r="P539" s="2591"/>
      <c r="Q539" s="2591"/>
      <c r="R539" s="2591"/>
      <c r="S539" s="2591"/>
    </row>
    <row r="540" ht="16.5" spans="1:19">
      <c r="A540" s="2642"/>
      <c r="B540" s="2675"/>
      <c r="C540" s="2676"/>
      <c r="D540" s="2677"/>
      <c r="E540" s="2677"/>
      <c r="F540" s="2677"/>
      <c r="G540" s="2640"/>
      <c r="H540" s="2640"/>
      <c r="I540" s="2702"/>
      <c r="J540" s="2591"/>
      <c r="K540" s="2591"/>
      <c r="L540" s="2591"/>
      <c r="M540" s="2591"/>
      <c r="N540" s="2591"/>
      <c r="O540" s="2591"/>
      <c r="P540" s="2591"/>
      <c r="Q540" s="2591"/>
      <c r="R540" s="2591"/>
      <c r="S540" s="2591"/>
    </row>
    <row r="541" ht="16.5" spans="1:19">
      <c r="A541" s="2642"/>
      <c r="B541" s="2675"/>
      <c r="C541" s="2676"/>
      <c r="D541" s="2677"/>
      <c r="E541" s="2677"/>
      <c r="F541" s="2677"/>
      <c r="G541" s="2640"/>
      <c r="H541" s="2640"/>
      <c r="I541" s="2702"/>
      <c r="J541" s="2591"/>
      <c r="K541" s="2591"/>
      <c r="L541" s="2591"/>
      <c r="M541" s="2591"/>
      <c r="N541" s="2591"/>
      <c r="O541" s="2591"/>
      <c r="P541" s="2591"/>
      <c r="Q541" s="2591"/>
      <c r="R541" s="2591"/>
      <c r="S541" s="2591"/>
    </row>
    <row r="542" ht="16.5" spans="1:19">
      <c r="A542" s="2642"/>
      <c r="B542" s="2675"/>
      <c r="C542" s="2676"/>
      <c r="D542" s="2677"/>
      <c r="E542" s="2677"/>
      <c r="F542" s="2677"/>
      <c r="G542" s="2640"/>
      <c r="H542" s="2640"/>
      <c r="I542" s="2702"/>
      <c r="J542" s="2591"/>
      <c r="K542" s="2591"/>
      <c r="L542" s="2591"/>
      <c r="M542" s="2591"/>
      <c r="N542" s="2591"/>
      <c r="O542" s="2591"/>
      <c r="P542" s="2591"/>
      <c r="Q542" s="2591"/>
      <c r="R542" s="2591"/>
      <c r="S542" s="2591"/>
    </row>
    <row r="543" ht="16.5" spans="1:19">
      <c r="A543" s="2642"/>
      <c r="B543" s="2675"/>
      <c r="C543" s="2676"/>
      <c r="D543" s="2677"/>
      <c r="E543" s="2677"/>
      <c r="F543" s="2677"/>
      <c r="G543" s="2640"/>
      <c r="H543" s="2640"/>
      <c r="I543" s="2702"/>
      <c r="J543" s="2591"/>
      <c r="K543" s="2591"/>
      <c r="L543" s="2591"/>
      <c r="M543" s="2591"/>
      <c r="N543" s="2591"/>
      <c r="O543" s="2591"/>
      <c r="P543" s="2591"/>
      <c r="Q543" s="2591"/>
      <c r="R543" s="2591"/>
      <c r="S543" s="2591"/>
    </row>
    <row r="544" ht="16.5" spans="1:19">
      <c r="A544" s="2642"/>
      <c r="B544" s="2675"/>
      <c r="C544" s="2676"/>
      <c r="D544" s="2677"/>
      <c r="E544" s="2677"/>
      <c r="F544" s="2677"/>
      <c r="G544" s="2640"/>
      <c r="H544" s="2640"/>
      <c r="I544" s="2702"/>
      <c r="J544" s="2591"/>
      <c r="K544" s="2591"/>
      <c r="L544" s="2591"/>
      <c r="M544" s="2591"/>
      <c r="N544" s="2591"/>
      <c r="O544" s="2591"/>
      <c r="P544" s="2591"/>
      <c r="Q544" s="2591"/>
      <c r="R544" s="2591"/>
      <c r="S544" s="2591"/>
    </row>
    <row r="545" ht="16.5" spans="1:19">
      <c r="A545" s="2642"/>
      <c r="B545" s="2675"/>
      <c r="C545" s="2676"/>
      <c r="D545" s="2677"/>
      <c r="E545" s="2677"/>
      <c r="F545" s="2677"/>
      <c r="G545" s="2640"/>
      <c r="H545" s="2640"/>
      <c r="I545" s="2702"/>
      <c r="J545" s="2591"/>
      <c r="K545" s="2591"/>
      <c r="L545" s="2591"/>
      <c r="M545" s="2591"/>
      <c r="N545" s="2591"/>
      <c r="O545" s="2591"/>
      <c r="P545" s="2591"/>
      <c r="Q545" s="2591"/>
      <c r="R545" s="2591"/>
      <c r="S545" s="2591"/>
    </row>
    <row r="546" ht="16.5" spans="1:19">
      <c r="A546" s="2642"/>
      <c r="B546" s="2675"/>
      <c r="C546" s="2676"/>
      <c r="D546" s="2677"/>
      <c r="E546" s="2677"/>
      <c r="F546" s="2677"/>
      <c r="G546" s="2640"/>
      <c r="H546" s="2640"/>
      <c r="I546" s="2702"/>
      <c r="J546" s="2591"/>
      <c r="K546" s="2591"/>
      <c r="L546" s="2591"/>
      <c r="M546" s="2591"/>
      <c r="N546" s="2591"/>
      <c r="O546" s="2591"/>
      <c r="P546" s="2591"/>
      <c r="Q546" s="2591"/>
      <c r="R546" s="2591"/>
      <c r="S546" s="2591"/>
    </row>
    <row r="547" ht="16.5" spans="1:19">
      <c r="A547" s="2642"/>
      <c r="B547" s="2675"/>
      <c r="C547" s="2676"/>
      <c r="D547" s="2677"/>
      <c r="E547" s="2677"/>
      <c r="F547" s="2677"/>
      <c r="G547" s="2640"/>
      <c r="H547" s="2640"/>
      <c r="I547" s="2702"/>
      <c r="J547" s="2591"/>
      <c r="K547" s="2591"/>
      <c r="L547" s="2591"/>
      <c r="M547" s="2591"/>
      <c r="N547" s="2591"/>
      <c r="O547" s="2591"/>
      <c r="P547" s="2591"/>
      <c r="Q547" s="2591"/>
      <c r="R547" s="2591"/>
      <c r="S547" s="2591"/>
    </row>
    <row r="548" ht="16.5" spans="1:19">
      <c r="A548" s="2642"/>
      <c r="B548" s="2675"/>
      <c r="C548" s="2676"/>
      <c r="D548" s="2677"/>
      <c r="E548" s="2677"/>
      <c r="F548" s="2677"/>
      <c r="G548" s="2640"/>
      <c r="H548" s="2640"/>
      <c r="I548" s="2702"/>
      <c r="J548" s="2591"/>
      <c r="K548" s="2591"/>
      <c r="L548" s="2591"/>
      <c r="M548" s="2591"/>
      <c r="N548" s="2591"/>
      <c r="O548" s="2591"/>
      <c r="P548" s="2591"/>
      <c r="Q548" s="2591"/>
      <c r="R548" s="2591"/>
      <c r="S548" s="2591"/>
    </row>
    <row r="549" ht="16.5" spans="1:19">
      <c r="A549" s="2642"/>
      <c r="B549" s="2675"/>
      <c r="C549" s="2676"/>
      <c r="D549" s="2677"/>
      <c r="E549" s="2677"/>
      <c r="F549" s="2677"/>
      <c r="G549" s="2640"/>
      <c r="H549" s="2640"/>
      <c r="I549" s="2702"/>
      <c r="J549" s="2591"/>
      <c r="K549" s="2591"/>
      <c r="L549" s="2591"/>
      <c r="M549" s="2591"/>
      <c r="N549" s="2591"/>
      <c r="O549" s="2591"/>
      <c r="P549" s="2591"/>
      <c r="Q549" s="2591"/>
      <c r="R549" s="2591"/>
      <c r="S549" s="2591"/>
    </row>
    <row r="550" ht="16.5" spans="1:19">
      <c r="A550" s="2642"/>
      <c r="B550" s="2675"/>
      <c r="C550" s="2676"/>
      <c r="D550" s="2677"/>
      <c r="E550" s="2677"/>
      <c r="F550" s="2677"/>
      <c r="G550" s="2640"/>
      <c r="H550" s="2640"/>
      <c r="I550" s="2702"/>
      <c r="J550" s="2591"/>
      <c r="K550" s="2591"/>
      <c r="L550" s="2591"/>
      <c r="M550" s="2591"/>
      <c r="N550" s="2591"/>
      <c r="O550" s="2591"/>
      <c r="P550" s="2591"/>
      <c r="Q550" s="2591"/>
      <c r="R550" s="2591"/>
      <c r="S550" s="2591"/>
    </row>
    <row r="551" ht="16.5" spans="1:19">
      <c r="A551" s="2642"/>
      <c r="B551" s="2675"/>
      <c r="C551" s="2676"/>
      <c r="D551" s="2677"/>
      <c r="E551" s="2677"/>
      <c r="F551" s="2677"/>
      <c r="G551" s="2640"/>
      <c r="H551" s="2640"/>
      <c r="I551" s="2702"/>
      <c r="J551" s="2591"/>
      <c r="K551" s="2591"/>
      <c r="L551" s="2591"/>
      <c r="M551" s="2591"/>
      <c r="N551" s="2591"/>
      <c r="O551" s="2591"/>
      <c r="P551" s="2591"/>
      <c r="Q551" s="2591"/>
      <c r="R551" s="2591"/>
      <c r="S551" s="2591"/>
    </row>
    <row r="552" ht="16.5" spans="1:19">
      <c r="A552" s="2642"/>
      <c r="B552" s="2675"/>
      <c r="C552" s="2676"/>
      <c r="D552" s="2677"/>
      <c r="E552" s="2677"/>
      <c r="F552" s="2677"/>
      <c r="G552" s="2640"/>
      <c r="H552" s="2640"/>
      <c r="I552" s="2702"/>
      <c r="J552" s="2591"/>
      <c r="K552" s="2591"/>
      <c r="L552" s="2591"/>
      <c r="M552" s="2591"/>
      <c r="N552" s="2591"/>
      <c r="O552" s="2591"/>
      <c r="P552" s="2591"/>
      <c r="Q552" s="2591"/>
      <c r="R552" s="2591"/>
      <c r="S552" s="2591"/>
    </row>
    <row r="553" ht="16.5" spans="1:19">
      <c r="A553" s="2642"/>
      <c r="B553" s="2675"/>
      <c r="C553" s="2676"/>
      <c r="D553" s="2677"/>
      <c r="E553" s="2677"/>
      <c r="F553" s="2677"/>
      <c r="G553" s="2640"/>
      <c r="H553" s="2640"/>
      <c r="I553" s="2702"/>
      <c r="J553" s="2591"/>
      <c r="K553" s="2591"/>
      <c r="L553" s="2591"/>
      <c r="M553" s="2591"/>
      <c r="N553" s="2591"/>
      <c r="O553" s="2591"/>
      <c r="P553" s="2591"/>
      <c r="Q553" s="2591"/>
      <c r="R553" s="2591"/>
      <c r="S553" s="2591"/>
    </row>
    <row r="554" ht="16.5" spans="1:19">
      <c r="A554" s="2642"/>
      <c r="B554" s="2675"/>
      <c r="C554" s="2676"/>
      <c r="D554" s="2677"/>
      <c r="E554" s="2677"/>
      <c r="F554" s="2677"/>
      <c r="G554" s="2640"/>
      <c r="H554" s="2640"/>
      <c r="I554" s="2702"/>
      <c r="J554" s="2591"/>
      <c r="K554" s="2591"/>
      <c r="L554" s="2591"/>
      <c r="M554" s="2591"/>
      <c r="N554" s="2591"/>
      <c r="O554" s="2591"/>
      <c r="P554" s="2591"/>
      <c r="Q554" s="2591"/>
      <c r="R554" s="2591"/>
      <c r="S554" s="2591"/>
    </row>
    <row r="555" ht="16.5" spans="1:19">
      <c r="A555" s="2642"/>
      <c r="B555" s="2675"/>
      <c r="C555" s="2676"/>
      <c r="D555" s="2677"/>
      <c r="E555" s="2677"/>
      <c r="F555" s="2677"/>
      <c r="G555" s="2640"/>
      <c r="H555" s="2640"/>
      <c r="I555" s="2702"/>
      <c r="J555" s="2591"/>
      <c r="K555" s="2591"/>
      <c r="L555" s="2591"/>
      <c r="M555" s="2591"/>
      <c r="N555" s="2591"/>
      <c r="O555" s="2591"/>
      <c r="P555" s="2591"/>
      <c r="Q555" s="2591"/>
      <c r="R555" s="2591"/>
      <c r="S555" s="2591"/>
    </row>
    <row r="556" ht="16.5" spans="1:19">
      <c r="A556" s="2642"/>
      <c r="B556" s="2675"/>
      <c r="C556" s="2676"/>
      <c r="D556" s="2677"/>
      <c r="E556" s="2677"/>
      <c r="F556" s="2677"/>
      <c r="G556" s="2640"/>
      <c r="H556" s="2640"/>
      <c r="I556" s="2702"/>
      <c r="J556" s="2591"/>
      <c r="K556" s="2591"/>
      <c r="L556" s="2591"/>
      <c r="M556" s="2591"/>
      <c r="N556" s="2591"/>
      <c r="O556" s="2591"/>
      <c r="P556" s="2591"/>
      <c r="Q556" s="2591"/>
      <c r="R556" s="2591"/>
      <c r="S556" s="2591"/>
    </row>
    <row r="557" ht="16.5" spans="1:19">
      <c r="A557" s="2642"/>
      <c r="B557" s="2675"/>
      <c r="C557" s="2676"/>
      <c r="D557" s="2677"/>
      <c r="E557" s="2677"/>
      <c r="F557" s="2677"/>
      <c r="G557" s="2640"/>
      <c r="H557" s="2640"/>
      <c r="I557" s="2702"/>
      <c r="J557" s="2591"/>
      <c r="K557" s="2591"/>
      <c r="L557" s="2591"/>
      <c r="M557" s="2591"/>
      <c r="N557" s="2591"/>
      <c r="O557" s="2591"/>
      <c r="P557" s="2591"/>
      <c r="Q557" s="2591"/>
      <c r="R557" s="2591"/>
      <c r="S557" s="2591"/>
    </row>
    <row r="558" ht="16.5" spans="1:19">
      <c r="A558" s="2642"/>
      <c r="B558" s="2675"/>
      <c r="C558" s="2676"/>
      <c r="D558" s="2677"/>
      <c r="E558" s="2677"/>
      <c r="F558" s="2677"/>
      <c r="G558" s="2640"/>
      <c r="H558" s="2640"/>
      <c r="I558" s="2702"/>
      <c r="J558" s="2591"/>
      <c r="K558" s="2591"/>
      <c r="L558" s="2591"/>
      <c r="M558" s="2591"/>
      <c r="N558" s="2591"/>
      <c r="O558" s="2591"/>
      <c r="P558" s="2591"/>
      <c r="Q558" s="2591"/>
      <c r="R558" s="2591"/>
      <c r="S558" s="2591"/>
    </row>
    <row r="559" ht="16.5" spans="1:19">
      <c r="A559" s="2642"/>
      <c r="B559" s="2675"/>
      <c r="C559" s="2676"/>
      <c r="D559" s="2677"/>
      <c r="E559" s="2677"/>
      <c r="F559" s="2677"/>
      <c r="G559" s="2640"/>
      <c r="H559" s="2640"/>
      <c r="I559" s="2702"/>
      <c r="J559" s="2591"/>
      <c r="K559" s="2591"/>
      <c r="L559" s="2591"/>
      <c r="M559" s="2591"/>
      <c r="N559" s="2591"/>
      <c r="O559" s="2591"/>
      <c r="P559" s="2591"/>
      <c r="Q559" s="2591"/>
      <c r="R559" s="2591"/>
      <c r="S559" s="2591"/>
    </row>
    <row r="560" ht="16.5" spans="1:19">
      <c r="A560" s="2642"/>
      <c r="B560" s="2675"/>
      <c r="C560" s="2676"/>
      <c r="D560" s="2677"/>
      <c r="E560" s="2677"/>
      <c r="F560" s="2677"/>
      <c r="G560" s="2640"/>
      <c r="H560" s="2640"/>
      <c r="I560" s="2702"/>
      <c r="J560" s="2591"/>
      <c r="K560" s="2591"/>
      <c r="L560" s="2591"/>
      <c r="M560" s="2591"/>
      <c r="N560" s="2591"/>
      <c r="O560" s="2591"/>
      <c r="P560" s="2591"/>
      <c r="Q560" s="2591"/>
      <c r="R560" s="2591"/>
      <c r="S560" s="2591"/>
    </row>
    <row r="561" ht="16.5" spans="1:19">
      <c r="A561" s="2642"/>
      <c r="B561" s="2675"/>
      <c r="C561" s="2676"/>
      <c r="D561" s="2677"/>
      <c r="E561" s="2677"/>
      <c r="F561" s="2677"/>
      <c r="G561" s="2640"/>
      <c r="H561" s="2640"/>
      <c r="I561" s="2702"/>
      <c r="J561" s="2591"/>
      <c r="K561" s="2591"/>
      <c r="L561" s="2591"/>
      <c r="M561" s="2591"/>
      <c r="N561" s="2591"/>
      <c r="O561" s="2591"/>
      <c r="P561" s="2591"/>
      <c r="Q561" s="2591"/>
      <c r="R561" s="2591"/>
      <c r="S561" s="2591"/>
    </row>
    <row r="562" ht="16.5" spans="1:19">
      <c r="A562" s="2642"/>
      <c r="B562" s="2675"/>
      <c r="C562" s="2676"/>
      <c r="D562" s="2677"/>
      <c r="E562" s="2677"/>
      <c r="F562" s="2677"/>
      <c r="G562" s="2640"/>
      <c r="H562" s="2640"/>
      <c r="I562" s="2702"/>
      <c r="J562" s="2591"/>
      <c r="K562" s="2591"/>
      <c r="L562" s="2591"/>
      <c r="M562" s="2591"/>
      <c r="N562" s="2591"/>
      <c r="O562" s="2591"/>
      <c r="P562" s="2591"/>
      <c r="Q562" s="2591"/>
      <c r="R562" s="2591"/>
      <c r="S562" s="2591"/>
    </row>
    <row r="563" ht="16.5" spans="1:19">
      <c r="A563" s="2642"/>
      <c r="B563" s="2675"/>
      <c r="C563" s="2676"/>
      <c r="D563" s="2677"/>
      <c r="E563" s="2677"/>
      <c r="F563" s="2677"/>
      <c r="G563" s="2640"/>
      <c r="H563" s="2640"/>
      <c r="I563" s="2702"/>
      <c r="J563" s="2591"/>
      <c r="K563" s="2591"/>
      <c r="L563" s="2591"/>
      <c r="M563" s="2591"/>
      <c r="N563" s="2591"/>
      <c r="O563" s="2591"/>
      <c r="P563" s="2591"/>
      <c r="Q563" s="2591"/>
      <c r="R563" s="2591"/>
      <c r="S563" s="2591"/>
    </row>
    <row r="564" ht="16.5" spans="1:19">
      <c r="A564" s="2642"/>
      <c r="B564" s="2675"/>
      <c r="C564" s="2676"/>
      <c r="D564" s="2677"/>
      <c r="E564" s="2677"/>
      <c r="F564" s="2677"/>
      <c r="G564" s="2640"/>
      <c r="H564" s="2640"/>
      <c r="I564" s="2702"/>
      <c r="J564" s="2591"/>
      <c r="K564" s="2591"/>
      <c r="L564" s="2591"/>
      <c r="M564" s="2591"/>
      <c r="N564" s="2591"/>
      <c r="O564" s="2591"/>
      <c r="P564" s="2591"/>
      <c r="Q564" s="2591"/>
      <c r="R564" s="2591"/>
      <c r="S564" s="2591"/>
    </row>
    <row r="565" ht="16.5" spans="1:19">
      <c r="A565" s="2642"/>
      <c r="B565" s="2675"/>
      <c r="C565" s="2676"/>
      <c r="D565" s="2677"/>
      <c r="E565" s="2677"/>
      <c r="F565" s="2677"/>
      <c r="G565" s="2640"/>
      <c r="H565" s="2640"/>
      <c r="I565" s="2702"/>
      <c r="J565" s="2591"/>
      <c r="K565" s="2591"/>
      <c r="L565" s="2591"/>
      <c r="M565" s="2591"/>
      <c r="N565" s="2591"/>
      <c r="O565" s="2591"/>
      <c r="P565" s="2591"/>
      <c r="Q565" s="2591"/>
      <c r="R565" s="2591"/>
      <c r="S565" s="2591"/>
    </row>
    <row r="566" ht="16.5" spans="1:19">
      <c r="A566" s="2642"/>
      <c r="B566" s="2675"/>
      <c r="C566" s="2676"/>
      <c r="D566" s="2677"/>
      <c r="E566" s="2677"/>
      <c r="F566" s="2677"/>
      <c r="G566" s="2640"/>
      <c r="H566" s="2640"/>
      <c r="I566" s="2702"/>
      <c r="J566" s="2591"/>
      <c r="K566" s="2591"/>
      <c r="L566" s="2591"/>
      <c r="M566" s="2591"/>
      <c r="N566" s="2591"/>
      <c r="O566" s="2591"/>
      <c r="P566" s="2591"/>
      <c r="Q566" s="2591"/>
      <c r="R566" s="2591"/>
      <c r="S566" s="2591"/>
    </row>
    <row r="567" ht="16.5" spans="1:19">
      <c r="A567" s="2642"/>
      <c r="B567" s="2675"/>
      <c r="C567" s="2676"/>
      <c r="D567" s="2677"/>
      <c r="E567" s="2677"/>
      <c r="F567" s="2677"/>
      <c r="G567" s="2640"/>
      <c r="H567" s="2640"/>
      <c r="I567" s="2702"/>
      <c r="J567" s="2591"/>
      <c r="K567" s="2591"/>
      <c r="L567" s="2591"/>
      <c r="M567" s="2591"/>
      <c r="N567" s="2591"/>
      <c r="O567" s="2591"/>
      <c r="P567" s="2591"/>
      <c r="Q567" s="2591"/>
      <c r="R567" s="2591"/>
      <c r="S567" s="2591"/>
    </row>
    <row r="568" ht="16.5" spans="1:19">
      <c r="A568" s="2642"/>
      <c r="B568" s="2675"/>
      <c r="C568" s="2676"/>
      <c r="D568" s="2677"/>
      <c r="E568" s="2677"/>
      <c r="F568" s="2677"/>
      <c r="G568" s="2640"/>
      <c r="H568" s="2640"/>
      <c r="I568" s="2702"/>
      <c r="J568" s="2591"/>
      <c r="K568" s="2591"/>
      <c r="L568" s="2591"/>
      <c r="M568" s="2591"/>
      <c r="N568" s="2591"/>
      <c r="O568" s="2591"/>
      <c r="P568" s="2591"/>
      <c r="Q568" s="2591"/>
      <c r="R568" s="2591"/>
      <c r="S568" s="2591"/>
    </row>
    <row r="569" ht="16.5" spans="1:19">
      <c r="A569" s="2642"/>
      <c r="B569" s="2675"/>
      <c r="C569" s="2676"/>
      <c r="D569" s="2677"/>
      <c r="E569" s="2677"/>
      <c r="F569" s="2677"/>
      <c r="G569" s="2640"/>
      <c r="H569" s="2640"/>
      <c r="I569" s="2702"/>
      <c r="J569" s="2591"/>
      <c r="K569" s="2591"/>
      <c r="L569" s="2591"/>
      <c r="M569" s="2591"/>
      <c r="N569" s="2591"/>
      <c r="O569" s="2591"/>
      <c r="P569" s="2591"/>
      <c r="Q569" s="2591"/>
      <c r="R569" s="2591"/>
      <c r="S569" s="2591"/>
    </row>
    <row r="570" ht="16.5" spans="1:19">
      <c r="A570" s="2642"/>
      <c r="B570" s="2675"/>
      <c r="C570" s="2676"/>
      <c r="D570" s="2677"/>
      <c r="E570" s="2677"/>
      <c r="F570" s="2677"/>
      <c r="G570" s="2640"/>
      <c r="H570" s="2640"/>
      <c r="I570" s="2702"/>
      <c r="J570" s="2591"/>
      <c r="K570" s="2591"/>
      <c r="L570" s="2591"/>
      <c r="M570" s="2591"/>
      <c r="N570" s="2591"/>
      <c r="O570" s="2591"/>
      <c r="P570" s="2591"/>
      <c r="Q570" s="2591"/>
      <c r="R570" s="2591"/>
      <c r="S570" s="2591"/>
    </row>
    <row r="571" ht="16.5" spans="1:19">
      <c r="A571" s="2642"/>
      <c r="B571" s="2675"/>
      <c r="C571" s="2676"/>
      <c r="D571" s="2677"/>
      <c r="E571" s="2677"/>
      <c r="F571" s="2677"/>
      <c r="G571" s="2640"/>
      <c r="H571" s="2640"/>
      <c r="I571" s="2702"/>
      <c r="J571" s="2591"/>
      <c r="K571" s="2591"/>
      <c r="L571" s="2591"/>
      <c r="M571" s="2591"/>
      <c r="N571" s="2591"/>
      <c r="O571" s="2591"/>
      <c r="P571" s="2591"/>
      <c r="Q571" s="2591"/>
      <c r="R571" s="2591"/>
      <c r="S571" s="2591"/>
    </row>
    <row r="572" ht="16.5" spans="1:19">
      <c r="A572" s="2642"/>
      <c r="B572" s="2675"/>
      <c r="C572" s="2676"/>
      <c r="D572" s="2677"/>
      <c r="E572" s="2677"/>
      <c r="F572" s="2677"/>
      <c r="G572" s="2640"/>
      <c r="H572" s="2640"/>
      <c r="I572" s="2702"/>
      <c r="J572" s="2591"/>
      <c r="K572" s="2591"/>
      <c r="L572" s="2591"/>
      <c r="M572" s="2591"/>
      <c r="N572" s="2591"/>
      <c r="O572" s="2591"/>
      <c r="P572" s="2591"/>
      <c r="Q572" s="2591"/>
      <c r="R572" s="2591"/>
      <c r="S572" s="2591"/>
    </row>
    <row r="573" ht="16.5" spans="1:19">
      <c r="A573" s="2642"/>
      <c r="B573" s="2675"/>
      <c r="C573" s="2676"/>
      <c r="D573" s="2677"/>
      <c r="E573" s="2677"/>
      <c r="F573" s="2677"/>
      <c r="G573" s="2640"/>
      <c r="H573" s="2640"/>
      <c r="I573" s="2702"/>
      <c r="J573" s="2591"/>
      <c r="K573" s="2591"/>
      <c r="L573" s="2591"/>
      <c r="M573" s="2591"/>
      <c r="N573" s="2591"/>
      <c r="O573" s="2591"/>
      <c r="P573" s="2591"/>
      <c r="Q573" s="2591"/>
      <c r="R573" s="2591"/>
      <c r="S573" s="2591"/>
    </row>
    <row r="574" ht="16.5" spans="1:19">
      <c r="A574" s="2642"/>
      <c r="B574" s="2675"/>
      <c r="C574" s="2676"/>
      <c r="D574" s="2677"/>
      <c r="E574" s="2677"/>
      <c r="F574" s="2677"/>
      <c r="G574" s="2640"/>
      <c r="H574" s="2640"/>
      <c r="I574" s="2702"/>
      <c r="J574" s="2591"/>
      <c r="K574" s="2591"/>
      <c r="L574" s="2591"/>
      <c r="M574" s="2591"/>
      <c r="N574" s="2591"/>
      <c r="O574" s="2591"/>
      <c r="P574" s="2591"/>
      <c r="Q574" s="2591"/>
      <c r="R574" s="2591"/>
      <c r="S574" s="2591"/>
    </row>
    <row r="575" ht="16.5" spans="1:19">
      <c r="A575" s="2642"/>
      <c r="B575" s="2675"/>
      <c r="C575" s="2676"/>
      <c r="D575" s="2677"/>
      <c r="E575" s="2677"/>
      <c r="F575" s="2677"/>
      <c r="G575" s="2640"/>
      <c r="H575" s="2640"/>
      <c r="I575" s="2702"/>
      <c r="J575" s="2591"/>
      <c r="K575" s="2591"/>
      <c r="L575" s="2591"/>
      <c r="M575" s="2591"/>
      <c r="N575" s="2591"/>
      <c r="O575" s="2591"/>
      <c r="P575" s="2591"/>
      <c r="Q575" s="2591"/>
      <c r="R575" s="2591"/>
      <c r="S575" s="2591"/>
    </row>
    <row r="576" ht="16.5" spans="1:19">
      <c r="A576" s="2642"/>
      <c r="B576" s="2675"/>
      <c r="C576" s="2676"/>
      <c r="D576" s="2677"/>
      <c r="E576" s="2677"/>
      <c r="F576" s="2677"/>
      <c r="G576" s="2640"/>
      <c r="H576" s="2640"/>
      <c r="I576" s="2702"/>
      <c r="J576" s="2591"/>
      <c r="K576" s="2591"/>
      <c r="L576" s="2591"/>
      <c r="M576" s="2591"/>
      <c r="N576" s="2591"/>
      <c r="O576" s="2591"/>
      <c r="P576" s="2591"/>
      <c r="Q576" s="2591"/>
      <c r="R576" s="2591"/>
      <c r="S576" s="2591"/>
    </row>
    <row r="577" ht="16.5" spans="1:19">
      <c r="A577" s="2642"/>
      <c r="B577" s="2675"/>
      <c r="C577" s="2676"/>
      <c r="D577" s="2677"/>
      <c r="E577" s="2677"/>
      <c r="F577" s="2677"/>
      <c r="G577" s="2640"/>
      <c r="H577" s="2640"/>
      <c r="I577" s="2702"/>
      <c r="J577" s="2591"/>
      <c r="K577" s="2591"/>
      <c r="L577" s="2591"/>
      <c r="M577" s="2591"/>
      <c r="N577" s="2591"/>
      <c r="O577" s="2591"/>
      <c r="P577" s="2591"/>
      <c r="Q577" s="2591"/>
      <c r="R577" s="2591"/>
      <c r="S577" s="2591"/>
    </row>
    <row r="578" ht="16.5" spans="1:19">
      <c r="A578" s="2642"/>
      <c r="B578" s="2675"/>
      <c r="C578" s="2676"/>
      <c r="D578" s="2677"/>
      <c r="E578" s="2677"/>
      <c r="F578" s="2677"/>
      <c r="G578" s="2640"/>
      <c r="H578" s="2640"/>
      <c r="I578" s="2702"/>
      <c r="J578" s="2591"/>
      <c r="K578" s="2591"/>
      <c r="L578" s="2591"/>
      <c r="M578" s="2591"/>
      <c r="N578" s="2591"/>
      <c r="O578" s="2591"/>
      <c r="P578" s="2591"/>
      <c r="Q578" s="2591"/>
      <c r="R578" s="2591"/>
      <c r="S578" s="2591"/>
    </row>
    <row r="579" ht="16.5" spans="1:19">
      <c r="A579" s="2642"/>
      <c r="B579" s="2675"/>
      <c r="C579" s="2676"/>
      <c r="D579" s="2677"/>
      <c r="E579" s="2677"/>
      <c r="F579" s="2677"/>
      <c r="G579" s="2640"/>
      <c r="H579" s="2640"/>
      <c r="I579" s="2702"/>
      <c r="J579" s="2591"/>
      <c r="K579" s="2591"/>
      <c r="L579" s="2591"/>
      <c r="M579" s="2591"/>
      <c r="N579" s="2591"/>
      <c r="O579" s="2591"/>
      <c r="P579" s="2591"/>
      <c r="Q579" s="2591"/>
      <c r="R579" s="2591"/>
      <c r="S579" s="2591"/>
    </row>
    <row r="580" ht="16.5" spans="1:19">
      <c r="A580" s="2642"/>
      <c r="B580" s="2675"/>
      <c r="C580" s="2676"/>
      <c r="D580" s="2677"/>
      <c r="E580" s="2677"/>
      <c r="F580" s="2677"/>
      <c r="G580" s="2640"/>
      <c r="H580" s="2640"/>
      <c r="I580" s="2702"/>
      <c r="J580" s="2591"/>
      <c r="K580" s="2591"/>
      <c r="L580" s="2591"/>
      <c r="M580" s="2591"/>
      <c r="N580" s="2591"/>
      <c r="O580" s="2591"/>
      <c r="P580" s="2591"/>
      <c r="Q580" s="2591"/>
      <c r="R580" s="2591"/>
      <c r="S580" s="2591"/>
    </row>
    <row r="581" ht="16.5" spans="1:19">
      <c r="A581" s="2642"/>
      <c r="B581" s="2675"/>
      <c r="C581" s="2676"/>
      <c r="D581" s="2677"/>
      <c r="E581" s="2677"/>
      <c r="F581" s="2677"/>
      <c r="G581" s="2640"/>
      <c r="H581" s="2640"/>
      <c r="I581" s="2702"/>
      <c r="J581" s="2591"/>
      <c r="K581" s="2591"/>
      <c r="L581" s="2591"/>
      <c r="M581" s="2591"/>
      <c r="N581" s="2591"/>
      <c r="O581" s="2591"/>
      <c r="P581" s="2591"/>
      <c r="Q581" s="2591"/>
      <c r="R581" s="2591"/>
      <c r="S581" s="2591"/>
    </row>
    <row r="582" ht="16.5" spans="1:19">
      <c r="A582" s="2642"/>
      <c r="B582" s="2675"/>
      <c r="C582" s="2676"/>
      <c r="D582" s="2677"/>
      <c r="E582" s="2677"/>
      <c r="F582" s="2677"/>
      <c r="G582" s="2640"/>
      <c r="H582" s="2640"/>
      <c r="I582" s="2702"/>
      <c r="J582" s="2591"/>
      <c r="K582" s="2591"/>
      <c r="L582" s="2591"/>
      <c r="M582" s="2591"/>
      <c r="N582" s="2591"/>
      <c r="O582" s="2591"/>
      <c r="P582" s="2591"/>
      <c r="Q582" s="2591"/>
      <c r="R582" s="2591"/>
      <c r="S582" s="2591"/>
    </row>
    <row r="583" ht="16.5" spans="1:19">
      <c r="A583" s="2642"/>
      <c r="B583" s="2675"/>
      <c r="C583" s="2676"/>
      <c r="D583" s="2677"/>
      <c r="E583" s="2677"/>
      <c r="F583" s="2677"/>
      <c r="G583" s="2640"/>
      <c r="H583" s="2640"/>
      <c r="I583" s="2702"/>
      <c r="J583" s="2591"/>
      <c r="K583" s="2591"/>
      <c r="L583" s="2591"/>
      <c r="M583" s="2591"/>
      <c r="N583" s="2591"/>
      <c r="O583" s="2591"/>
      <c r="P583" s="2591"/>
      <c r="Q583" s="2591"/>
      <c r="R583" s="2591"/>
      <c r="S583" s="2591"/>
    </row>
    <row r="584" ht="16.5" spans="1:19">
      <c r="A584" s="2642"/>
      <c r="B584" s="2675"/>
      <c r="C584" s="2676"/>
      <c r="D584" s="2677"/>
      <c r="E584" s="2677"/>
      <c r="F584" s="2677"/>
      <c r="G584" s="2640"/>
      <c r="H584" s="2640"/>
      <c r="I584" s="2702"/>
      <c r="J584" s="2591"/>
      <c r="K584" s="2591"/>
      <c r="L584" s="2591"/>
      <c r="M584" s="2591"/>
      <c r="N584" s="2591"/>
      <c r="O584" s="2591"/>
      <c r="P584" s="2591"/>
      <c r="Q584" s="2591"/>
      <c r="R584" s="2591"/>
      <c r="S584" s="2591"/>
    </row>
    <row r="585" ht="16.5" spans="1:19">
      <c r="A585" s="2642"/>
      <c r="B585" s="2675"/>
      <c r="C585" s="2676"/>
      <c r="D585" s="2677"/>
      <c r="E585" s="2677"/>
      <c r="F585" s="2677"/>
      <c r="G585" s="2640"/>
      <c r="H585" s="2640"/>
      <c r="I585" s="2702"/>
      <c r="J585" s="2591"/>
      <c r="K585" s="2591"/>
      <c r="L585" s="2591"/>
      <c r="M585" s="2591"/>
      <c r="N585" s="2591"/>
      <c r="O585" s="2591"/>
      <c r="P585" s="2591"/>
      <c r="Q585" s="2591"/>
      <c r="R585" s="2591"/>
      <c r="S585" s="2591"/>
    </row>
    <row r="586" ht="16.5" spans="1:19">
      <c r="A586" s="2642"/>
      <c r="B586" s="2675"/>
      <c r="C586" s="2676"/>
      <c r="D586" s="2677"/>
      <c r="E586" s="2677"/>
      <c r="F586" s="2677"/>
      <c r="G586" s="2640"/>
      <c r="H586" s="2640"/>
      <c r="I586" s="2702"/>
      <c r="J586" s="2591"/>
      <c r="K586" s="2591"/>
      <c r="L586" s="2591"/>
      <c r="M586" s="2591"/>
      <c r="N586" s="2591"/>
      <c r="O586" s="2591"/>
      <c r="P586" s="2591"/>
      <c r="Q586" s="2591"/>
      <c r="R586" s="2591"/>
      <c r="S586" s="2591"/>
    </row>
    <row r="587" ht="16.5" spans="1:19">
      <c r="A587" s="2642"/>
      <c r="B587" s="2675"/>
      <c r="C587" s="2676"/>
      <c r="D587" s="2677"/>
      <c r="E587" s="2677"/>
      <c r="F587" s="2677"/>
      <c r="G587" s="2640"/>
      <c r="H587" s="2640"/>
      <c r="I587" s="2702"/>
      <c r="J587" s="2591"/>
      <c r="K587" s="2591"/>
      <c r="L587" s="2591"/>
      <c r="M587" s="2591"/>
      <c r="N587" s="2591"/>
      <c r="O587" s="2591"/>
      <c r="P587" s="2591"/>
      <c r="Q587" s="2591"/>
      <c r="R587" s="2591"/>
      <c r="S587" s="2591"/>
    </row>
    <row r="588" ht="16.5" spans="1:19">
      <c r="A588" s="2642"/>
      <c r="B588" s="2675"/>
      <c r="C588" s="2676"/>
      <c r="D588" s="2677"/>
      <c r="E588" s="2677"/>
      <c r="F588" s="2677"/>
      <c r="G588" s="2640"/>
      <c r="H588" s="2640"/>
      <c r="I588" s="2702"/>
      <c r="J588" s="2591"/>
      <c r="K588" s="2591"/>
      <c r="L588" s="2591"/>
      <c r="M588" s="2591"/>
      <c r="N588" s="2591"/>
      <c r="O588" s="2591"/>
      <c r="P588" s="2591"/>
      <c r="Q588" s="2591"/>
      <c r="R588" s="2591"/>
      <c r="S588" s="2591"/>
    </row>
    <row r="589" ht="16.5" spans="1:19">
      <c r="A589" s="2642"/>
      <c r="B589" s="2675"/>
      <c r="C589" s="2676"/>
      <c r="D589" s="2677"/>
      <c r="E589" s="2677"/>
      <c r="F589" s="2677"/>
      <c r="G589" s="2640"/>
      <c r="H589" s="2640"/>
      <c r="I589" s="2702"/>
      <c r="J589" s="2591"/>
      <c r="K589" s="2591"/>
      <c r="L589" s="2591"/>
      <c r="M589" s="2591"/>
      <c r="N589" s="2591"/>
      <c r="O589" s="2591"/>
      <c r="P589" s="2591"/>
      <c r="Q589" s="2591"/>
      <c r="R589" s="2591"/>
      <c r="S589" s="2591"/>
    </row>
    <row r="590" ht="16.5" spans="1:19">
      <c r="A590" s="2642"/>
      <c r="B590" s="2675"/>
      <c r="C590" s="2676"/>
      <c r="D590" s="2677"/>
      <c r="E590" s="2677"/>
      <c r="F590" s="2677"/>
      <c r="G590" s="2640"/>
      <c r="H590" s="2640"/>
      <c r="I590" s="2702"/>
      <c r="J590" s="2591"/>
      <c r="K590" s="2591"/>
      <c r="L590" s="2591"/>
      <c r="M590" s="2591"/>
      <c r="N590" s="2591"/>
      <c r="O590" s="2591"/>
      <c r="P590" s="2591"/>
      <c r="Q590" s="2591"/>
      <c r="R590" s="2591"/>
      <c r="S590" s="2591"/>
    </row>
    <row r="591" ht="16.5" spans="1:19">
      <c r="A591" s="2642"/>
      <c r="B591" s="2675"/>
      <c r="C591" s="2676"/>
      <c r="D591" s="2677"/>
      <c r="E591" s="2677"/>
      <c r="F591" s="2677"/>
      <c r="G591" s="2640"/>
      <c r="H591" s="2640"/>
      <c r="I591" s="2702"/>
      <c r="J591" s="2591"/>
      <c r="K591" s="2591"/>
      <c r="L591" s="2591"/>
      <c r="M591" s="2591"/>
      <c r="N591" s="2591"/>
      <c r="O591" s="2591"/>
      <c r="P591" s="2591"/>
      <c r="Q591" s="2591"/>
      <c r="R591" s="2591"/>
      <c r="S591" s="2591"/>
    </row>
    <row r="592" ht="16.5" spans="1:19">
      <c r="A592" s="2642"/>
      <c r="B592" s="2675"/>
      <c r="C592" s="2676"/>
      <c r="D592" s="2677"/>
      <c r="E592" s="2677"/>
      <c r="F592" s="2677"/>
      <c r="G592" s="2640"/>
      <c r="H592" s="2640"/>
      <c r="I592" s="2702"/>
      <c r="J592" s="2591"/>
      <c r="K592" s="2591"/>
      <c r="L592" s="2591"/>
      <c r="M592" s="2591"/>
      <c r="N592" s="2591"/>
      <c r="O592" s="2591"/>
      <c r="P592" s="2591"/>
      <c r="Q592" s="2591"/>
      <c r="R592" s="2591"/>
      <c r="S592" s="2591"/>
    </row>
    <row r="593" ht="16.5" spans="1:19">
      <c r="A593" s="2642"/>
      <c r="B593" s="2675"/>
      <c r="C593" s="2676"/>
      <c r="D593" s="2677"/>
      <c r="E593" s="2677"/>
      <c r="F593" s="2677"/>
      <c r="G593" s="2640"/>
      <c r="H593" s="2640"/>
      <c r="I593" s="2702"/>
      <c r="J593" s="2591"/>
      <c r="K593" s="2591"/>
      <c r="L593" s="2591"/>
      <c r="M593" s="2591"/>
      <c r="N593" s="2591"/>
      <c r="O593" s="2591"/>
      <c r="P593" s="2591"/>
      <c r="Q593" s="2591"/>
      <c r="R593" s="2591"/>
      <c r="S593" s="2591"/>
    </row>
    <row r="594" ht="16.5" spans="1:19">
      <c r="A594" s="2642"/>
      <c r="B594" s="2675"/>
      <c r="C594" s="2676"/>
      <c r="D594" s="2677"/>
      <c r="E594" s="2677"/>
      <c r="F594" s="2677"/>
      <c r="G594" s="2640"/>
      <c r="H594" s="2640"/>
      <c r="I594" s="2702"/>
      <c r="J594" s="2591"/>
      <c r="K594" s="2591"/>
      <c r="L594" s="2591"/>
      <c r="M594" s="2591"/>
      <c r="N594" s="2591"/>
      <c r="O594" s="2591"/>
      <c r="P594" s="2591"/>
      <c r="Q594" s="2591"/>
      <c r="R594" s="2591"/>
      <c r="S594" s="2591"/>
    </row>
    <row r="595" ht="16.5" spans="1:19">
      <c r="A595" s="2642"/>
      <c r="B595" s="2675"/>
      <c r="C595" s="2676"/>
      <c r="D595" s="2677"/>
      <c r="E595" s="2677"/>
      <c r="F595" s="2677"/>
      <c r="G595" s="2640"/>
      <c r="H595" s="2640"/>
      <c r="I595" s="2702"/>
      <c r="J595" s="2591"/>
      <c r="K595" s="2591"/>
      <c r="L595" s="2591"/>
      <c r="M595" s="2591"/>
      <c r="N595" s="2591"/>
      <c r="O595" s="2591"/>
      <c r="P595" s="2591"/>
      <c r="Q595" s="2591"/>
      <c r="R595" s="2591"/>
      <c r="S595" s="2591"/>
    </row>
    <row r="596" ht="16.5" spans="1:19">
      <c r="A596" s="2642"/>
      <c r="B596" s="2675"/>
      <c r="C596" s="2676"/>
      <c r="D596" s="2677"/>
      <c r="E596" s="2677"/>
      <c r="F596" s="2677"/>
      <c r="G596" s="2640"/>
      <c r="H596" s="2640"/>
      <c r="I596" s="2702"/>
      <c r="J596" s="2591"/>
      <c r="K596" s="2591"/>
      <c r="L596" s="2591"/>
      <c r="M596" s="2591"/>
      <c r="N596" s="2591"/>
      <c r="O596" s="2591"/>
      <c r="P596" s="2591"/>
      <c r="Q596" s="2591"/>
      <c r="R596" s="2591"/>
      <c r="S596" s="2591"/>
    </row>
    <row r="597" ht="16.5" spans="1:19">
      <c r="A597" s="2642"/>
      <c r="B597" s="2675"/>
      <c r="C597" s="2676"/>
      <c r="D597" s="2677"/>
      <c r="E597" s="2677"/>
      <c r="F597" s="2677"/>
      <c r="G597" s="2640"/>
      <c r="H597" s="2640"/>
      <c r="I597" s="2702"/>
      <c r="J597" s="2591"/>
      <c r="K597" s="2591"/>
      <c r="L597" s="2591"/>
      <c r="M597" s="2591"/>
      <c r="N597" s="2591"/>
      <c r="O597" s="2591"/>
      <c r="P597" s="2591"/>
      <c r="Q597" s="2591"/>
      <c r="R597" s="2591"/>
      <c r="S597" s="2591"/>
    </row>
    <row r="598" ht="16.5" spans="1:19">
      <c r="A598" s="2642"/>
      <c r="B598" s="2675"/>
      <c r="C598" s="2676"/>
      <c r="D598" s="2677"/>
      <c r="E598" s="2677"/>
      <c r="F598" s="2677"/>
      <c r="G598" s="2640"/>
      <c r="H598" s="2640"/>
      <c r="I598" s="2702"/>
      <c r="J598" s="2591"/>
      <c r="K598" s="2591"/>
      <c r="L598" s="2591"/>
      <c r="M598" s="2591"/>
      <c r="N598" s="2591"/>
      <c r="O598" s="2591"/>
      <c r="P598" s="2591"/>
      <c r="Q598" s="2591"/>
      <c r="R598" s="2591"/>
      <c r="S598" s="2591"/>
    </row>
    <row r="599" ht="16.5" spans="1:19">
      <c r="A599" s="2642"/>
      <c r="B599" s="2675"/>
      <c r="C599" s="2676"/>
      <c r="D599" s="2677"/>
      <c r="E599" s="2677"/>
      <c r="F599" s="2677"/>
      <c r="G599" s="2640"/>
      <c r="H599" s="2640"/>
      <c r="I599" s="2702"/>
      <c r="J599" s="2591"/>
      <c r="K599" s="2591"/>
      <c r="L599" s="2591"/>
      <c r="M599" s="2591"/>
      <c r="N599" s="2591"/>
      <c r="O599" s="2591"/>
      <c r="P599" s="2591"/>
      <c r="Q599" s="2591"/>
      <c r="R599" s="2591"/>
      <c r="S599" s="2591"/>
    </row>
    <row r="600" ht="16.5" spans="1:19">
      <c r="A600" s="2642"/>
      <c r="B600" s="2675"/>
      <c r="C600" s="2676"/>
      <c r="D600" s="2677"/>
      <c r="E600" s="2677"/>
      <c r="F600" s="2677"/>
      <c r="G600" s="2640"/>
      <c r="H600" s="2640"/>
      <c r="I600" s="2702"/>
      <c r="J600" s="2591"/>
      <c r="K600" s="2591"/>
      <c r="L600" s="2591"/>
      <c r="M600" s="2591"/>
      <c r="N600" s="2591"/>
      <c r="O600" s="2591"/>
      <c r="P600" s="2591"/>
      <c r="Q600" s="2591"/>
      <c r="R600" s="2591"/>
      <c r="S600" s="2591"/>
    </row>
    <row r="601" ht="16.5" spans="1:19">
      <c r="A601" s="2642"/>
      <c r="B601" s="2675"/>
      <c r="C601" s="2676"/>
      <c r="D601" s="2677"/>
      <c r="E601" s="2677"/>
      <c r="F601" s="2677"/>
      <c r="G601" s="2640"/>
      <c r="H601" s="2640"/>
      <c r="I601" s="2702"/>
      <c r="J601" s="2591"/>
      <c r="K601" s="2591"/>
      <c r="L601" s="2591"/>
      <c r="M601" s="2591"/>
      <c r="N601" s="2591"/>
      <c r="O601" s="2591"/>
      <c r="P601" s="2591"/>
      <c r="Q601" s="2591"/>
      <c r="R601" s="2591"/>
      <c r="S601" s="2591"/>
    </row>
    <row r="602" ht="16.5" spans="1:19">
      <c r="A602" s="2642"/>
      <c r="B602" s="2675"/>
      <c r="C602" s="2676"/>
      <c r="D602" s="2677"/>
      <c r="E602" s="2677"/>
      <c r="F602" s="2677"/>
      <c r="G602" s="2640"/>
      <c r="H602" s="2640"/>
      <c r="I602" s="2702"/>
      <c r="J602" s="2591"/>
      <c r="K602" s="2591"/>
      <c r="L602" s="2591"/>
      <c r="M602" s="2591"/>
      <c r="N602" s="2591"/>
      <c r="O602" s="2591"/>
      <c r="P602" s="2591"/>
      <c r="Q602" s="2591"/>
      <c r="R602" s="2591"/>
      <c r="S602" s="2591"/>
    </row>
    <row r="603" ht="16.5" spans="1:19">
      <c r="A603" s="2642"/>
      <c r="B603" s="2675"/>
      <c r="C603" s="2676"/>
      <c r="D603" s="2677"/>
      <c r="E603" s="2677"/>
      <c r="F603" s="2677"/>
      <c r="G603" s="2640"/>
      <c r="H603" s="2640"/>
      <c r="I603" s="2702"/>
      <c r="J603" s="2591"/>
      <c r="K603" s="2591"/>
      <c r="L603" s="2591"/>
      <c r="M603" s="2591"/>
      <c r="N603" s="2591"/>
      <c r="O603" s="2591"/>
      <c r="P603" s="2591"/>
      <c r="Q603" s="2591"/>
      <c r="R603" s="2591"/>
      <c r="S603" s="2591"/>
    </row>
    <row r="604" ht="16.5" spans="1:19">
      <c r="A604" s="2642"/>
      <c r="B604" s="2675"/>
      <c r="C604" s="2676"/>
      <c r="D604" s="2677"/>
      <c r="E604" s="2677"/>
      <c r="F604" s="2677"/>
      <c r="G604" s="2640"/>
      <c r="H604" s="2640"/>
      <c r="I604" s="2702"/>
      <c r="J604" s="2591"/>
      <c r="K604" s="2591"/>
      <c r="L604" s="2591"/>
      <c r="M604" s="2591"/>
      <c r="N604" s="2591"/>
      <c r="O604" s="2591"/>
      <c r="P604" s="2591"/>
      <c r="Q604" s="2591"/>
      <c r="R604" s="2591"/>
      <c r="S604" s="2591"/>
    </row>
    <row r="605" ht="16.5" spans="1:19">
      <c r="A605" s="2642"/>
      <c r="B605" s="2675"/>
      <c r="C605" s="2676"/>
      <c r="D605" s="2677"/>
      <c r="E605" s="2677"/>
      <c r="F605" s="2677"/>
      <c r="G605" s="2640"/>
      <c r="H605" s="2640"/>
      <c r="I605" s="2702"/>
      <c r="J605" s="2591"/>
      <c r="K605" s="2591"/>
      <c r="L605" s="2591"/>
      <c r="M605" s="2591"/>
      <c r="N605" s="2591"/>
      <c r="O605" s="2591"/>
      <c r="P605" s="2591"/>
      <c r="Q605" s="2591"/>
      <c r="R605" s="2591"/>
      <c r="S605" s="2591"/>
    </row>
    <row r="606" ht="16.5" spans="1:19">
      <c r="A606" s="2642"/>
      <c r="B606" s="2675"/>
      <c r="C606" s="2676"/>
      <c r="D606" s="2677"/>
      <c r="E606" s="2677"/>
      <c r="F606" s="2677"/>
      <c r="G606" s="2640"/>
      <c r="H606" s="2640"/>
      <c r="I606" s="2702"/>
      <c r="J606" s="2591"/>
      <c r="K606" s="2591"/>
      <c r="L606" s="2591"/>
      <c r="M606" s="2591"/>
      <c r="N606" s="2591"/>
      <c r="O606" s="2591"/>
      <c r="P606" s="2591"/>
      <c r="Q606" s="2591"/>
      <c r="R606" s="2591"/>
      <c r="S606" s="2591"/>
    </row>
    <row r="607" ht="16.5" spans="1:19">
      <c r="A607" s="2642"/>
      <c r="B607" s="2675"/>
      <c r="C607" s="2676"/>
      <c r="D607" s="2677"/>
      <c r="E607" s="2677"/>
      <c r="F607" s="2677"/>
      <c r="G607" s="2640"/>
      <c r="H607" s="2640"/>
      <c r="I607" s="2702"/>
      <c r="J607" s="2591"/>
      <c r="K607" s="2591"/>
      <c r="L607" s="2591"/>
      <c r="M607" s="2591"/>
      <c r="N607" s="2591"/>
      <c r="O607" s="2591"/>
      <c r="P607" s="2591"/>
      <c r="Q607" s="2591"/>
      <c r="R607" s="2591"/>
      <c r="S607" s="2591"/>
    </row>
    <row r="608" ht="16.5" spans="1:19">
      <c r="A608" s="2642"/>
      <c r="B608" s="2675"/>
      <c r="C608" s="2676"/>
      <c r="D608" s="2677"/>
      <c r="E608" s="2677"/>
      <c r="F608" s="2677"/>
      <c r="G608" s="2640"/>
      <c r="H608" s="2640"/>
      <c r="I608" s="2702"/>
      <c r="J608" s="2591"/>
      <c r="K608" s="2591"/>
      <c r="L608" s="2591"/>
      <c r="M608" s="2591"/>
      <c r="N608" s="2591"/>
      <c r="O608" s="2591"/>
      <c r="P608" s="2591"/>
      <c r="Q608" s="2591"/>
      <c r="R608" s="2591"/>
      <c r="S608" s="2591"/>
    </row>
    <row r="609" ht="16.5" spans="1:19">
      <c r="A609" s="2642"/>
      <c r="B609" s="2675"/>
      <c r="C609" s="2676"/>
      <c r="D609" s="2677"/>
      <c r="E609" s="2677"/>
      <c r="F609" s="2677"/>
      <c r="G609" s="2640"/>
      <c r="H609" s="2640"/>
      <c r="I609" s="2702"/>
      <c r="J609" s="2591"/>
      <c r="K609" s="2591"/>
      <c r="L609" s="2591"/>
      <c r="M609" s="2591"/>
      <c r="N609" s="2591"/>
      <c r="O609" s="2591"/>
      <c r="P609" s="2591"/>
      <c r="Q609" s="2591"/>
      <c r="R609" s="2591"/>
      <c r="S609" s="2591"/>
    </row>
    <row r="610" ht="16.5" spans="1:19">
      <c r="A610" s="2642"/>
      <c r="B610" s="2675"/>
      <c r="C610" s="2676"/>
      <c r="D610" s="2677"/>
      <c r="E610" s="2677"/>
      <c r="F610" s="2677"/>
      <c r="G610" s="2640"/>
      <c r="H610" s="2640"/>
      <c r="I610" s="2702"/>
      <c r="J610" s="2591"/>
      <c r="K610" s="2591"/>
      <c r="L610" s="2591"/>
      <c r="M610" s="2591"/>
      <c r="N610" s="2591"/>
      <c r="O610" s="2591"/>
      <c r="P610" s="2591"/>
      <c r="Q610" s="2591"/>
      <c r="R610" s="2591"/>
      <c r="S610" s="2591"/>
    </row>
    <row r="611" ht="16.5" spans="1:19">
      <c r="A611" s="2642"/>
      <c r="B611" s="2675"/>
      <c r="C611" s="2676"/>
      <c r="D611" s="2677"/>
      <c r="E611" s="2677"/>
      <c r="F611" s="2677"/>
      <c r="G611" s="2640"/>
      <c r="H611" s="2640"/>
      <c r="I611" s="2702"/>
      <c r="J611" s="2591"/>
      <c r="K611" s="2591"/>
      <c r="L611" s="2591"/>
      <c r="M611" s="2591"/>
      <c r="N611" s="2591"/>
      <c r="O611" s="2591"/>
      <c r="P611" s="2591"/>
      <c r="Q611" s="2591"/>
      <c r="R611" s="2591"/>
      <c r="S611" s="2591"/>
    </row>
    <row r="612" ht="16.5" spans="1:19">
      <c r="A612" s="2642"/>
      <c r="B612" s="2675"/>
      <c r="C612" s="2676"/>
      <c r="D612" s="2677"/>
      <c r="E612" s="2677"/>
      <c r="F612" s="2677"/>
      <c r="G612" s="2640"/>
      <c r="H612" s="2640"/>
      <c r="I612" s="2702"/>
      <c r="J612" s="2591"/>
      <c r="K612" s="2591"/>
      <c r="L612" s="2591"/>
      <c r="M612" s="2591"/>
      <c r="N612" s="2591"/>
      <c r="O612" s="2591"/>
      <c r="P612" s="2591"/>
      <c r="Q612" s="2591"/>
      <c r="R612" s="2591"/>
      <c r="S612" s="2591"/>
    </row>
    <row r="613" ht="16.5" spans="1:19">
      <c r="A613" s="2642"/>
      <c r="B613" s="2675"/>
      <c r="C613" s="2676"/>
      <c r="D613" s="2677"/>
      <c r="E613" s="2677"/>
      <c r="F613" s="2677"/>
      <c r="G613" s="2640"/>
      <c r="H613" s="2640"/>
      <c r="I613" s="2702"/>
      <c r="J613" s="2591"/>
      <c r="K613" s="2591"/>
      <c r="L613" s="2591"/>
      <c r="M613" s="2591"/>
      <c r="N613" s="2591"/>
      <c r="O613" s="2591"/>
      <c r="P613" s="2591"/>
      <c r="Q613" s="2591"/>
      <c r="R613" s="2591"/>
      <c r="S613" s="2591"/>
    </row>
    <row r="614" ht="16.5" spans="1:19">
      <c r="A614" s="2642"/>
      <c r="B614" s="2675"/>
      <c r="C614" s="2676"/>
      <c r="D614" s="2677"/>
      <c r="E614" s="2677"/>
      <c r="F614" s="2677"/>
      <c r="G614" s="2640"/>
      <c r="H614" s="2640"/>
      <c r="I614" s="2702"/>
      <c r="J614" s="2591"/>
      <c r="K614" s="2591"/>
      <c r="L614" s="2591"/>
      <c r="M614" s="2591"/>
      <c r="N614" s="2591"/>
      <c r="O614" s="2591"/>
      <c r="P614" s="2591"/>
      <c r="Q614" s="2591"/>
      <c r="R614" s="2591"/>
      <c r="S614" s="2591"/>
    </row>
    <row r="615" ht="16.5" spans="1:19">
      <c r="A615" s="2642"/>
      <c r="B615" s="2675"/>
      <c r="C615" s="2676"/>
      <c r="D615" s="2677"/>
      <c r="E615" s="2677"/>
      <c r="F615" s="2677"/>
      <c r="G615" s="2640"/>
      <c r="H615" s="2640"/>
      <c r="I615" s="2702"/>
      <c r="J615" s="2591"/>
      <c r="K615" s="2591"/>
      <c r="L615" s="2591"/>
      <c r="M615" s="2591"/>
      <c r="N615" s="2591"/>
      <c r="O615" s="2591"/>
      <c r="P615" s="2591"/>
      <c r="Q615" s="2591"/>
      <c r="R615" s="2591"/>
      <c r="S615" s="2591"/>
    </row>
    <row r="616" ht="16.5" spans="1:19">
      <c r="A616" s="2642"/>
      <c r="B616" s="2675"/>
      <c r="C616" s="2676"/>
      <c r="D616" s="2677"/>
      <c r="E616" s="2677"/>
      <c r="F616" s="2677"/>
      <c r="G616" s="2640"/>
      <c r="H616" s="2640"/>
      <c r="I616" s="2702"/>
      <c r="J616" s="2591"/>
      <c r="K616" s="2591"/>
      <c r="L616" s="2591"/>
      <c r="M616" s="2591"/>
      <c r="N616" s="2591"/>
      <c r="O616" s="2591"/>
      <c r="P616" s="2591"/>
      <c r="Q616" s="2591"/>
      <c r="R616" s="2591"/>
      <c r="S616" s="2591"/>
    </row>
    <row r="617" ht="16.5" spans="1:19">
      <c r="A617" s="2642"/>
      <c r="B617" s="2675"/>
      <c r="C617" s="2676"/>
      <c r="D617" s="2677"/>
      <c r="E617" s="2677"/>
      <c r="F617" s="2677"/>
      <c r="G617" s="2640"/>
      <c r="H617" s="2640"/>
      <c r="I617" s="2702"/>
      <c r="J617" s="2591"/>
      <c r="K617" s="2591"/>
      <c r="L617" s="2591"/>
      <c r="M617" s="2591"/>
      <c r="N617" s="2591"/>
      <c r="O617" s="2591"/>
      <c r="P617" s="2591"/>
      <c r="Q617" s="2591"/>
      <c r="R617" s="2591"/>
      <c r="S617" s="2591"/>
    </row>
    <row r="618" ht="16.5" spans="1:19">
      <c r="A618" s="2642"/>
      <c r="B618" s="2675"/>
      <c r="C618" s="2676"/>
      <c r="D618" s="2677"/>
      <c r="E618" s="2677"/>
      <c r="F618" s="2677"/>
      <c r="G618" s="2640"/>
      <c r="H618" s="2640"/>
      <c r="I618" s="2702"/>
      <c r="J618" s="2591"/>
      <c r="K618" s="2591"/>
      <c r="L618" s="2591"/>
      <c r="M618" s="2591"/>
      <c r="N618" s="2591"/>
      <c r="O618" s="2591"/>
      <c r="P618" s="2591"/>
      <c r="Q618" s="2591"/>
      <c r="R618" s="2591"/>
      <c r="S618" s="2591"/>
    </row>
    <row r="619" ht="16.5" spans="1:19">
      <c r="A619" s="2642"/>
      <c r="B619" s="2675"/>
      <c r="C619" s="2676"/>
      <c r="D619" s="2677"/>
      <c r="E619" s="2677"/>
      <c r="F619" s="2677"/>
      <c r="G619" s="2640"/>
      <c r="H619" s="2640"/>
      <c r="I619" s="2702"/>
      <c r="J619" s="2591"/>
      <c r="K619" s="2591"/>
      <c r="L619" s="2591"/>
      <c r="M619" s="2591"/>
      <c r="N619" s="2591"/>
      <c r="O619" s="2591"/>
      <c r="P619" s="2591"/>
      <c r="Q619" s="2591"/>
      <c r="R619" s="2591"/>
      <c r="S619" s="2591"/>
    </row>
    <row r="620" ht="16.5" spans="1:19">
      <c r="A620" s="2642"/>
      <c r="B620" s="2675"/>
      <c r="C620" s="2676"/>
      <c r="D620" s="2677"/>
      <c r="E620" s="2677"/>
      <c r="F620" s="2677"/>
      <c r="G620" s="2640"/>
      <c r="H620" s="2640"/>
      <c r="I620" s="2702"/>
      <c r="J620" s="2591"/>
      <c r="K620" s="2591"/>
      <c r="L620" s="2591"/>
      <c r="M620" s="2591"/>
      <c r="N620" s="2591"/>
      <c r="O620" s="2591"/>
      <c r="P620" s="2591"/>
      <c r="Q620" s="2591"/>
      <c r="R620" s="2591"/>
      <c r="S620" s="2591"/>
    </row>
    <row r="621" ht="16.5" spans="1:19">
      <c r="A621" s="2642"/>
      <c r="B621" s="2675"/>
      <c r="C621" s="2676"/>
      <c r="D621" s="2677"/>
      <c r="E621" s="2677"/>
      <c r="F621" s="2677"/>
      <c r="G621" s="2640"/>
      <c r="H621" s="2640"/>
      <c r="I621" s="2702"/>
      <c r="J621" s="2591"/>
      <c r="K621" s="2591"/>
      <c r="L621" s="2591"/>
      <c r="M621" s="2591"/>
      <c r="N621" s="2591"/>
      <c r="O621" s="2591"/>
      <c r="P621" s="2591"/>
      <c r="Q621" s="2591"/>
      <c r="R621" s="2591"/>
      <c r="S621" s="2591"/>
    </row>
    <row r="622" ht="16.5" spans="1:19">
      <c r="A622" s="2642"/>
      <c r="B622" s="2675"/>
      <c r="C622" s="2676"/>
      <c r="D622" s="2677"/>
      <c r="E622" s="2677"/>
      <c r="F622" s="2677"/>
      <c r="G622" s="2640"/>
      <c r="H622" s="2640"/>
      <c r="I622" s="2702"/>
      <c r="J622" s="2591"/>
      <c r="K622" s="2591"/>
      <c r="L622" s="2591"/>
      <c r="M622" s="2591"/>
      <c r="N622" s="2591"/>
      <c r="O622" s="2591"/>
      <c r="P622" s="2591"/>
      <c r="Q622" s="2591"/>
      <c r="R622" s="2591"/>
      <c r="S622" s="2591"/>
    </row>
    <row r="623" ht="16.5" spans="1:19">
      <c r="A623" s="2642"/>
      <c r="B623" s="2675"/>
      <c r="C623" s="2676"/>
      <c r="D623" s="2677"/>
      <c r="E623" s="2677"/>
      <c r="F623" s="2677"/>
      <c r="G623" s="2640"/>
      <c r="H623" s="2640"/>
      <c r="I623" s="2702"/>
      <c r="J623" s="2591"/>
      <c r="K623" s="2591"/>
      <c r="L623" s="2591"/>
      <c r="M623" s="2591"/>
      <c r="N623" s="2591"/>
      <c r="O623" s="2591"/>
      <c r="P623" s="2591"/>
      <c r="Q623" s="2591"/>
      <c r="R623" s="2591"/>
      <c r="S623" s="2591"/>
    </row>
    <row r="624" ht="16.5" spans="1:19">
      <c r="A624" s="2642"/>
      <c r="B624" s="2675"/>
      <c r="C624" s="2676"/>
      <c r="D624" s="2677"/>
      <c r="E624" s="2677"/>
      <c r="F624" s="2677"/>
      <c r="G624" s="2640"/>
      <c r="H624" s="2640"/>
      <c r="I624" s="2702"/>
      <c r="J624" s="2591"/>
      <c r="K624" s="2591"/>
      <c r="L624" s="2591"/>
      <c r="M624" s="2591"/>
      <c r="N624" s="2591"/>
      <c r="O624" s="2591"/>
      <c r="P624" s="2591"/>
      <c r="Q624" s="2591"/>
      <c r="R624" s="2591"/>
      <c r="S624" s="2591"/>
    </row>
    <row r="625" ht="16.5" spans="1:19">
      <c r="A625" s="2642"/>
      <c r="B625" s="2675"/>
      <c r="C625" s="2676"/>
      <c r="D625" s="2677"/>
      <c r="E625" s="2677"/>
      <c r="F625" s="2677"/>
      <c r="G625" s="2640"/>
      <c r="H625" s="2640"/>
      <c r="I625" s="2702"/>
      <c r="J625" s="2591"/>
      <c r="K625" s="2591"/>
      <c r="L625" s="2591"/>
      <c r="M625" s="2591"/>
      <c r="N625" s="2591"/>
      <c r="O625" s="2591"/>
      <c r="P625" s="2591"/>
      <c r="Q625" s="2591"/>
      <c r="R625" s="2591"/>
      <c r="S625" s="2591"/>
    </row>
    <row r="626" ht="16.5" spans="1:19">
      <c r="A626" s="2642"/>
      <c r="B626" s="2675"/>
      <c r="C626" s="2676"/>
      <c r="D626" s="2677"/>
      <c r="E626" s="2677"/>
      <c r="F626" s="2677"/>
      <c r="G626" s="2640"/>
      <c r="H626" s="2640"/>
      <c r="I626" s="2702"/>
      <c r="J626" s="2591"/>
      <c r="K626" s="2591"/>
      <c r="L626" s="2591"/>
      <c r="M626" s="2591"/>
      <c r="N626" s="2591"/>
      <c r="O626" s="2591"/>
      <c r="P626" s="2591"/>
      <c r="Q626" s="2591"/>
      <c r="R626" s="2591"/>
      <c r="S626" s="2591"/>
    </row>
    <row r="627" ht="16.5" spans="1:19">
      <c r="A627" s="2642"/>
      <c r="B627" s="2675"/>
      <c r="C627" s="2676"/>
      <c r="D627" s="2677"/>
      <c r="E627" s="2677"/>
      <c r="F627" s="2677"/>
      <c r="G627" s="2640"/>
      <c r="H627" s="2640"/>
      <c r="I627" s="2702"/>
      <c r="J627" s="2591"/>
      <c r="K627" s="2591"/>
      <c r="L627" s="2591"/>
      <c r="M627" s="2591"/>
      <c r="N627" s="2591"/>
      <c r="O627" s="2591"/>
      <c r="P627" s="2591"/>
      <c r="Q627" s="2591"/>
      <c r="R627" s="2591"/>
      <c r="S627" s="2591"/>
    </row>
    <row r="628" ht="16.5" spans="1:19">
      <c r="A628" s="2642"/>
      <c r="B628" s="2675"/>
      <c r="C628" s="2676"/>
      <c r="D628" s="2677"/>
      <c r="E628" s="2677"/>
      <c r="F628" s="2677"/>
      <c r="G628" s="2640"/>
      <c r="H628" s="2640"/>
      <c r="I628" s="2702"/>
      <c r="J628" s="2591"/>
      <c r="K628" s="2591"/>
      <c r="L628" s="2591"/>
      <c r="M628" s="2591"/>
      <c r="N628" s="2591"/>
      <c r="O628" s="2591"/>
      <c r="P628" s="2591"/>
      <c r="Q628" s="2591"/>
      <c r="R628" s="2591"/>
      <c r="S628" s="2591"/>
    </row>
    <row r="629" ht="16.5" spans="1:19">
      <c r="A629" s="2642"/>
      <c r="B629" s="2675"/>
      <c r="C629" s="2676"/>
      <c r="D629" s="2677"/>
      <c r="E629" s="2677"/>
      <c r="F629" s="2677"/>
      <c r="G629" s="2640"/>
      <c r="H629" s="2640"/>
      <c r="I629" s="2702"/>
      <c r="J629" s="2591"/>
      <c r="K629" s="2591"/>
      <c r="L629" s="2591"/>
      <c r="M629" s="2591"/>
      <c r="N629" s="2591"/>
      <c r="O629" s="2591"/>
      <c r="P629" s="2591"/>
      <c r="Q629" s="2591"/>
      <c r="R629" s="2591"/>
      <c r="S629" s="2591"/>
    </row>
    <row r="630" ht="16.5" spans="1:19">
      <c r="A630" s="2642"/>
      <c r="B630" s="2675"/>
      <c r="C630" s="2676"/>
      <c r="D630" s="2677"/>
      <c r="E630" s="2677"/>
      <c r="F630" s="2677"/>
      <c r="G630" s="2640"/>
      <c r="H630" s="2640"/>
      <c r="I630" s="2702"/>
      <c r="J630" s="2591"/>
      <c r="K630" s="2591"/>
      <c r="L630" s="2591"/>
      <c r="M630" s="2591"/>
      <c r="N630" s="2591"/>
      <c r="O630" s="2591"/>
      <c r="P630" s="2591"/>
      <c r="Q630" s="2591"/>
      <c r="R630" s="2591"/>
      <c r="S630" s="2591"/>
    </row>
    <row r="631" ht="16.5" spans="1:19">
      <c r="A631" s="2642"/>
      <c r="B631" s="2675"/>
      <c r="C631" s="2676"/>
      <c r="D631" s="2677"/>
      <c r="E631" s="2677"/>
      <c r="F631" s="2677"/>
      <c r="G631" s="2640"/>
      <c r="H631" s="2640"/>
      <c r="I631" s="2702"/>
      <c r="J631" s="2591"/>
      <c r="K631" s="2591"/>
      <c r="L631" s="2591"/>
      <c r="M631" s="2591"/>
      <c r="N631" s="2591"/>
      <c r="O631" s="2591"/>
      <c r="P631" s="2591"/>
      <c r="Q631" s="2591"/>
      <c r="R631" s="2591"/>
      <c r="S631" s="2591"/>
    </row>
    <row r="632" ht="16.5" spans="1:19">
      <c r="A632" s="2642"/>
      <c r="B632" s="2675"/>
      <c r="C632" s="2676"/>
      <c r="D632" s="2677"/>
      <c r="E632" s="2677"/>
      <c r="F632" s="2677"/>
      <c r="G632" s="2640"/>
      <c r="H632" s="2640"/>
      <c r="I632" s="2702"/>
      <c r="J632" s="2591"/>
      <c r="K632" s="2591"/>
      <c r="L632" s="2591"/>
      <c r="M632" s="2591"/>
      <c r="N632" s="2591"/>
      <c r="O632" s="2591"/>
      <c r="P632" s="2591"/>
      <c r="Q632" s="2591"/>
      <c r="R632" s="2591"/>
      <c r="S632" s="2591"/>
    </row>
    <row r="633" ht="16.5" spans="1:19">
      <c r="A633" s="2642"/>
      <c r="B633" s="2675"/>
      <c r="C633" s="2676"/>
      <c r="D633" s="2677"/>
      <c r="E633" s="2677"/>
      <c r="F633" s="2677"/>
      <c r="G633" s="2640"/>
      <c r="H633" s="2640"/>
      <c r="I633" s="2702"/>
      <c r="J633" s="2591"/>
      <c r="K633" s="2591"/>
      <c r="L633" s="2591"/>
      <c r="M633" s="2591"/>
      <c r="N633" s="2591"/>
      <c r="O633" s="2591"/>
      <c r="P633" s="2591"/>
      <c r="Q633" s="2591"/>
      <c r="R633" s="2591"/>
      <c r="S633" s="2591"/>
    </row>
    <row r="634" ht="16.5" spans="1:19">
      <c r="A634" s="2642"/>
      <c r="B634" s="2675"/>
      <c r="C634" s="2676"/>
      <c r="D634" s="2677"/>
      <c r="E634" s="2677"/>
      <c r="F634" s="2677"/>
      <c r="G634" s="2640"/>
      <c r="H634" s="2640"/>
      <c r="I634" s="2702"/>
      <c r="J634" s="2591"/>
      <c r="K634" s="2591"/>
      <c r="L634" s="2591"/>
      <c r="M634" s="2591"/>
      <c r="N634" s="2591"/>
      <c r="O634" s="2591"/>
      <c r="P634" s="2591"/>
      <c r="Q634" s="2591"/>
      <c r="R634" s="2591"/>
      <c r="S634" s="2591"/>
    </row>
    <row r="635" ht="16.5" spans="1:19">
      <c r="A635" s="2642"/>
      <c r="B635" s="2675"/>
      <c r="C635" s="2676"/>
      <c r="D635" s="2677"/>
      <c r="E635" s="2677"/>
      <c r="F635" s="2677"/>
      <c r="G635" s="2640"/>
      <c r="H635" s="2640"/>
      <c r="I635" s="2702"/>
      <c r="J635" s="2591"/>
      <c r="K635" s="2591"/>
      <c r="L635" s="2591"/>
      <c r="M635" s="2591"/>
      <c r="N635" s="2591"/>
      <c r="O635" s="2591"/>
      <c r="P635" s="2591"/>
      <c r="Q635" s="2591"/>
      <c r="R635" s="2591"/>
      <c r="S635" s="2591"/>
    </row>
    <row r="636" ht="16.5" spans="1:19">
      <c r="A636" s="2642"/>
      <c r="B636" s="2675"/>
      <c r="C636" s="2676"/>
      <c r="D636" s="2677"/>
      <c r="E636" s="2677"/>
      <c r="F636" s="2677"/>
      <c r="G636" s="2640"/>
      <c r="H636" s="2640"/>
      <c r="I636" s="2702"/>
      <c r="J636" s="2591"/>
      <c r="K636" s="2591"/>
      <c r="L636" s="2591"/>
      <c r="M636" s="2591"/>
      <c r="N636" s="2591"/>
      <c r="O636" s="2591"/>
      <c r="P636" s="2591"/>
      <c r="Q636" s="2591"/>
      <c r="R636" s="2591"/>
      <c r="S636" s="2591"/>
    </row>
    <row r="637" ht="16.5" spans="1:19">
      <c r="A637" s="2642"/>
      <c r="B637" s="2675"/>
      <c r="C637" s="2676"/>
      <c r="D637" s="2677"/>
      <c r="E637" s="2677"/>
      <c r="F637" s="2677"/>
      <c r="G637" s="2640"/>
      <c r="H637" s="2640"/>
      <c r="I637" s="2702"/>
      <c r="J637" s="2591"/>
      <c r="K637" s="2591"/>
      <c r="L637" s="2591"/>
      <c r="M637" s="2591"/>
      <c r="N637" s="2591"/>
      <c r="O637" s="2591"/>
      <c r="P637" s="2591"/>
      <c r="Q637" s="2591"/>
      <c r="R637" s="2591"/>
      <c r="S637" s="2591"/>
    </row>
    <row r="638" ht="16.5" spans="1:19">
      <c r="A638" s="2642"/>
      <c r="B638" s="2675"/>
      <c r="C638" s="2676"/>
      <c r="D638" s="2677"/>
      <c r="E638" s="2677"/>
      <c r="F638" s="2677"/>
      <c r="G638" s="2640"/>
      <c r="H638" s="2640"/>
      <c r="I638" s="2702"/>
      <c r="J638" s="2591"/>
      <c r="K638" s="2591"/>
      <c r="L638" s="2591"/>
      <c r="M638" s="2591"/>
      <c r="N638" s="2591"/>
      <c r="O638" s="2591"/>
      <c r="P638" s="2591"/>
      <c r="Q638" s="2591"/>
      <c r="R638" s="2591"/>
      <c r="S638" s="2591"/>
    </row>
    <row r="639" ht="16.5" spans="1:19">
      <c r="A639" s="2642"/>
      <c r="B639" s="2675"/>
      <c r="C639" s="2676"/>
      <c r="D639" s="2677"/>
      <c r="E639" s="2677"/>
      <c r="F639" s="2677"/>
      <c r="G639" s="2640"/>
      <c r="H639" s="2640"/>
      <c r="I639" s="2702"/>
      <c r="J639" s="2591"/>
      <c r="K639" s="2591"/>
      <c r="L639" s="2591"/>
      <c r="M639" s="2591"/>
      <c r="N639" s="2591"/>
      <c r="O639" s="2591"/>
      <c r="P639" s="2591"/>
      <c r="Q639" s="2591"/>
      <c r="R639" s="2591"/>
      <c r="S639" s="2591"/>
    </row>
    <row r="640" ht="16.5" spans="1:19">
      <c r="A640" s="2642"/>
      <c r="B640" s="2675"/>
      <c r="C640" s="2676"/>
      <c r="D640" s="2677"/>
      <c r="E640" s="2677"/>
      <c r="F640" s="2677"/>
      <c r="G640" s="2640"/>
      <c r="H640" s="2640"/>
      <c r="I640" s="2702"/>
      <c r="J640" s="2591"/>
      <c r="K640" s="2591"/>
      <c r="L640" s="2591"/>
      <c r="M640" s="2591"/>
      <c r="N640" s="2591"/>
      <c r="O640" s="2591"/>
      <c r="P640" s="2591"/>
      <c r="Q640" s="2591"/>
      <c r="R640" s="2591"/>
      <c r="S640" s="2591"/>
    </row>
    <row r="641" ht="16.5" spans="1:19">
      <c r="A641" s="2642"/>
      <c r="B641" s="2675"/>
      <c r="C641" s="2676"/>
      <c r="D641" s="2677"/>
      <c r="E641" s="2677"/>
      <c r="F641" s="2677"/>
      <c r="G641" s="2640"/>
      <c r="H641" s="2640"/>
      <c r="I641" s="2702"/>
      <c r="J641" s="2591"/>
      <c r="K641" s="2591"/>
      <c r="L641" s="2591"/>
      <c r="M641" s="2591"/>
      <c r="N641" s="2591"/>
      <c r="O641" s="2591"/>
      <c r="P641" s="2591"/>
      <c r="Q641" s="2591"/>
      <c r="R641" s="2591"/>
      <c r="S641" s="2591"/>
    </row>
    <row r="642" ht="16.5" spans="1:19">
      <c r="A642" s="2642"/>
      <c r="B642" s="2675"/>
      <c r="C642" s="2676"/>
      <c r="D642" s="2677"/>
      <c r="E642" s="2677"/>
      <c r="F642" s="2677"/>
      <c r="G642" s="2640"/>
      <c r="H642" s="2640"/>
      <c r="I642" s="2702"/>
      <c r="J642" s="2591"/>
      <c r="K642" s="2591"/>
      <c r="L642" s="2591"/>
      <c r="M642" s="2591"/>
      <c r="N642" s="2591"/>
      <c r="O642" s="2591"/>
      <c r="P642" s="2591"/>
      <c r="Q642" s="2591"/>
      <c r="R642" s="2591"/>
      <c r="S642" s="2591"/>
    </row>
    <row r="643" ht="16.5" spans="1:19">
      <c r="A643" s="2642"/>
      <c r="B643" s="2675"/>
      <c r="C643" s="2676"/>
      <c r="D643" s="2677"/>
      <c r="E643" s="2677"/>
      <c r="F643" s="2677"/>
      <c r="G643" s="2640"/>
      <c r="H643" s="2640"/>
      <c r="I643" s="2702"/>
      <c r="J643" s="2591"/>
      <c r="K643" s="2591"/>
      <c r="L643" s="2591"/>
      <c r="M643" s="2591"/>
      <c r="N643" s="2591"/>
      <c r="O643" s="2591"/>
      <c r="P643" s="2591"/>
      <c r="Q643" s="2591"/>
      <c r="R643" s="2591"/>
      <c r="S643" s="2591"/>
    </row>
    <row r="644" ht="16.5" spans="1:19">
      <c r="A644" s="2642"/>
      <c r="B644" s="2675"/>
      <c r="C644" s="2676"/>
      <c r="D644" s="2677"/>
      <c r="E644" s="2677"/>
      <c r="F644" s="2677"/>
      <c r="G644" s="2640"/>
      <c r="H644" s="2640"/>
      <c r="I644" s="2702"/>
      <c r="J644" s="2591"/>
      <c r="K644" s="2591"/>
      <c r="L644" s="2591"/>
      <c r="M644" s="2591"/>
      <c r="N644" s="2591"/>
      <c r="O644" s="2591"/>
      <c r="P644" s="2591"/>
      <c r="Q644" s="2591"/>
      <c r="R644" s="2591"/>
      <c r="S644" s="2591"/>
    </row>
    <row r="645" ht="16.5" spans="1:19">
      <c r="A645" s="2642"/>
      <c r="B645" s="2675"/>
      <c r="C645" s="2676"/>
      <c r="D645" s="2677"/>
      <c r="E645" s="2677"/>
      <c r="F645" s="2677"/>
      <c r="G645" s="2640"/>
      <c r="H645" s="2640"/>
      <c r="I645" s="2702"/>
      <c r="J645" s="2591"/>
      <c r="K645" s="2591"/>
      <c r="L645" s="2591"/>
      <c r="M645" s="2591"/>
      <c r="N645" s="2591"/>
      <c r="O645" s="2591"/>
      <c r="P645" s="2591"/>
      <c r="Q645" s="2591"/>
      <c r="R645" s="2591"/>
      <c r="S645" s="2591"/>
    </row>
    <row r="646" ht="16.5" spans="1:19">
      <c r="A646" s="2642"/>
      <c r="B646" s="2675"/>
      <c r="C646" s="2676"/>
      <c r="D646" s="2677"/>
      <c r="E646" s="2677"/>
      <c r="F646" s="2677"/>
      <c r="G646" s="2640"/>
      <c r="H646" s="2640"/>
      <c r="I646" s="2702"/>
      <c r="J646" s="2591"/>
      <c r="K646" s="2591"/>
      <c r="L646" s="2591"/>
      <c r="M646" s="2591"/>
      <c r="N646" s="2591"/>
      <c r="O646" s="2591"/>
      <c r="P646" s="2591"/>
      <c r="Q646" s="2591"/>
      <c r="R646" s="2591"/>
      <c r="S646" s="2591"/>
    </row>
    <row r="647" ht="16.5" spans="1:19">
      <c r="A647" s="2642"/>
      <c r="B647" s="2675"/>
      <c r="C647" s="2676"/>
      <c r="D647" s="2677"/>
      <c r="E647" s="2677"/>
      <c r="F647" s="2677"/>
      <c r="G647" s="2640"/>
      <c r="H647" s="2640"/>
      <c r="I647" s="2702"/>
      <c r="J647" s="2591"/>
      <c r="K647" s="2591"/>
      <c r="L647" s="2591"/>
      <c r="M647" s="2591"/>
      <c r="N647" s="2591"/>
      <c r="O647" s="2591"/>
      <c r="P647" s="2591"/>
      <c r="Q647" s="2591"/>
      <c r="R647" s="2591"/>
      <c r="S647" s="2591"/>
    </row>
    <row r="648" ht="16.5" spans="1:19">
      <c r="A648" s="2642"/>
      <c r="B648" s="2675"/>
      <c r="C648" s="2676"/>
      <c r="D648" s="2677"/>
      <c r="E648" s="2677"/>
      <c r="F648" s="2677"/>
      <c r="G648" s="2640"/>
      <c r="H648" s="2640"/>
      <c r="I648" s="2702"/>
      <c r="J648" s="2591"/>
      <c r="K648" s="2591"/>
      <c r="L648" s="2591"/>
      <c r="M648" s="2591"/>
      <c r="N648" s="2591"/>
      <c r="O648" s="2591"/>
      <c r="P648" s="2591"/>
      <c r="Q648" s="2591"/>
      <c r="R648" s="2591"/>
      <c r="S648" s="2591"/>
    </row>
    <row r="649" ht="16.5" spans="1:19">
      <c r="A649" s="2642"/>
      <c r="B649" s="2675"/>
      <c r="C649" s="2676"/>
      <c r="D649" s="2677"/>
      <c r="E649" s="2677"/>
      <c r="F649" s="2677"/>
      <c r="G649" s="2640"/>
      <c r="H649" s="2640"/>
      <c r="I649" s="2702"/>
      <c r="J649" s="2591"/>
      <c r="K649" s="2591"/>
      <c r="L649" s="2591"/>
      <c r="M649" s="2591"/>
      <c r="N649" s="2591"/>
      <c r="O649" s="2591"/>
      <c r="P649" s="2591"/>
      <c r="Q649" s="2591"/>
      <c r="R649" s="2591"/>
      <c r="S649" s="2591"/>
    </row>
    <row r="650" ht="16.5" spans="1:19">
      <c r="A650" s="2642"/>
      <c r="B650" s="2675"/>
      <c r="C650" s="2676"/>
      <c r="D650" s="2677"/>
      <c r="E650" s="2677"/>
      <c r="F650" s="2677"/>
      <c r="G650" s="2640"/>
      <c r="H650" s="2640"/>
      <c r="I650" s="2702"/>
      <c r="J650" s="2591"/>
      <c r="K650" s="2591"/>
      <c r="L650" s="2591"/>
      <c r="M650" s="2591"/>
      <c r="N650" s="2591"/>
      <c r="O650" s="2591"/>
      <c r="P650" s="2591"/>
      <c r="Q650" s="2591"/>
      <c r="R650" s="2591"/>
      <c r="S650" s="2591"/>
    </row>
    <row r="651" ht="16.5" spans="1:19">
      <c r="A651" s="2642"/>
      <c r="B651" s="2675"/>
      <c r="C651" s="2676"/>
      <c r="D651" s="2677"/>
      <c r="E651" s="2677"/>
      <c r="F651" s="2677"/>
      <c r="G651" s="2640"/>
      <c r="H651" s="2640"/>
      <c r="I651" s="2702"/>
      <c r="J651" s="2591"/>
      <c r="K651" s="2591"/>
      <c r="L651" s="2591"/>
      <c r="M651" s="2591"/>
      <c r="N651" s="2591"/>
      <c r="O651" s="2591"/>
      <c r="P651" s="2591"/>
      <c r="Q651" s="2591"/>
      <c r="R651" s="2591"/>
      <c r="S651" s="2591"/>
    </row>
    <row r="652" ht="16.5" spans="1:19">
      <c r="A652" s="2642"/>
      <c r="B652" s="2675"/>
      <c r="C652" s="2676"/>
      <c r="D652" s="2677"/>
      <c r="E652" s="2677"/>
      <c r="F652" s="2677"/>
      <c r="G652" s="2640"/>
      <c r="H652" s="2640"/>
      <c r="I652" s="2702"/>
      <c r="J652" s="2591"/>
      <c r="K652" s="2591"/>
      <c r="L652" s="2591"/>
      <c r="M652" s="2591"/>
      <c r="N652" s="2591"/>
      <c r="O652" s="2591"/>
      <c r="P652" s="2591"/>
      <c r="Q652" s="2591"/>
      <c r="R652" s="2591"/>
      <c r="S652" s="2591"/>
    </row>
    <row r="653" ht="16.5" spans="1:19">
      <c r="A653" s="2642"/>
      <c r="B653" s="2675"/>
      <c r="C653" s="2676"/>
      <c r="D653" s="2677"/>
      <c r="E653" s="2677"/>
      <c r="F653" s="2677"/>
      <c r="G653" s="2640"/>
      <c r="H653" s="2640"/>
      <c r="I653" s="2702"/>
      <c r="J653" s="2591"/>
      <c r="K653" s="2591"/>
      <c r="L653" s="2591"/>
      <c r="M653" s="2591"/>
      <c r="N653" s="2591"/>
      <c r="O653" s="2591"/>
      <c r="P653" s="2591"/>
      <c r="Q653" s="2591"/>
      <c r="R653" s="2591"/>
      <c r="S653" s="2591"/>
    </row>
    <row r="654" ht="16.5" spans="1:19">
      <c r="A654" s="2642"/>
      <c r="B654" s="2675"/>
      <c r="C654" s="2676"/>
      <c r="D654" s="2677"/>
      <c r="E654" s="2677"/>
      <c r="F654" s="2677"/>
      <c r="G654" s="2640"/>
      <c r="H654" s="2640"/>
      <c r="I654" s="2702"/>
      <c r="J654" s="2591"/>
      <c r="K654" s="2591"/>
      <c r="L654" s="2591"/>
      <c r="M654" s="2591"/>
      <c r="N654" s="2591"/>
      <c r="O654" s="2591"/>
      <c r="P654" s="2591"/>
      <c r="Q654" s="2591"/>
      <c r="R654" s="2591"/>
      <c r="S654" s="2591"/>
    </row>
    <row r="655" ht="16.5" spans="1:19">
      <c r="A655" s="2642"/>
      <c r="B655" s="2675"/>
      <c r="C655" s="2676"/>
      <c r="D655" s="2677"/>
      <c r="E655" s="2677"/>
      <c r="F655" s="2677"/>
      <c r="G655" s="2640"/>
      <c r="H655" s="2640"/>
      <c r="I655" s="2702"/>
      <c r="J655" s="2591"/>
      <c r="K655" s="2591"/>
      <c r="L655" s="2591"/>
      <c r="M655" s="2591"/>
      <c r="N655" s="2591"/>
      <c r="O655" s="2591"/>
      <c r="P655" s="2591"/>
      <c r="Q655" s="2591"/>
      <c r="R655" s="2591"/>
      <c r="S655" s="2591"/>
    </row>
    <row r="656" ht="16.5" spans="1:19">
      <c r="A656" s="2642"/>
      <c r="B656" s="2675"/>
      <c r="C656" s="2676"/>
      <c r="D656" s="2677"/>
      <c r="E656" s="2677"/>
      <c r="F656" s="2677"/>
      <c r="G656" s="2640"/>
      <c r="H656" s="2640"/>
      <c r="I656" s="2702"/>
      <c r="J656" s="2591"/>
      <c r="K656" s="2591"/>
      <c r="L656" s="2591"/>
      <c r="M656" s="2591"/>
      <c r="N656" s="2591"/>
      <c r="O656" s="2591"/>
      <c r="P656" s="2591"/>
      <c r="Q656" s="2591"/>
      <c r="R656" s="2591"/>
      <c r="S656" s="2591"/>
    </row>
    <row r="657" ht="16.5" spans="1:19">
      <c r="A657" s="2642"/>
      <c r="B657" s="2675"/>
      <c r="C657" s="2676"/>
      <c r="D657" s="2677"/>
      <c r="E657" s="2677"/>
      <c r="F657" s="2677"/>
      <c r="G657" s="2640"/>
      <c r="H657" s="2640"/>
      <c r="I657" s="2702"/>
      <c r="J657" s="2591"/>
      <c r="K657" s="2591"/>
      <c r="L657" s="2591"/>
      <c r="M657" s="2591"/>
      <c r="N657" s="2591"/>
      <c r="O657" s="2591"/>
      <c r="P657" s="2591"/>
      <c r="Q657" s="2591"/>
      <c r="R657" s="2591"/>
      <c r="S657" s="2591"/>
    </row>
    <row r="658" ht="16.5" spans="1:19">
      <c r="A658" s="2642"/>
      <c r="B658" s="2675"/>
      <c r="C658" s="2676"/>
      <c r="D658" s="2677"/>
      <c r="E658" s="2677"/>
      <c r="F658" s="2677"/>
      <c r="G658" s="2640"/>
      <c r="H658" s="2640"/>
      <c r="I658" s="2702"/>
      <c r="J658" s="2591"/>
      <c r="K658" s="2591"/>
      <c r="L658" s="2591"/>
      <c r="M658" s="2591"/>
      <c r="N658" s="2591"/>
      <c r="O658" s="2591"/>
      <c r="P658" s="2591"/>
      <c r="Q658" s="2591"/>
      <c r="R658" s="2591"/>
      <c r="S658" s="2591"/>
    </row>
    <row r="659" ht="16.5" spans="1:19">
      <c r="A659" s="2642"/>
      <c r="B659" s="2675"/>
      <c r="C659" s="2676"/>
      <c r="D659" s="2677"/>
      <c r="E659" s="2677"/>
      <c r="F659" s="2677"/>
      <c r="G659" s="2640"/>
      <c r="H659" s="2640"/>
      <c r="I659" s="2702"/>
      <c r="J659" s="2591"/>
      <c r="K659" s="2591"/>
      <c r="L659" s="2591"/>
      <c r="M659" s="2591"/>
      <c r="N659" s="2591"/>
      <c r="O659" s="2591"/>
      <c r="P659" s="2591"/>
      <c r="Q659" s="2591"/>
      <c r="R659" s="2591"/>
      <c r="S659" s="2591"/>
    </row>
    <row r="660" ht="16.5" spans="1:19">
      <c r="A660" s="2642"/>
      <c r="B660" s="2675"/>
      <c r="C660" s="2676"/>
      <c r="D660" s="2677"/>
      <c r="E660" s="2677"/>
      <c r="F660" s="2677"/>
      <c r="G660" s="2640"/>
      <c r="H660" s="2640"/>
      <c r="I660" s="2702"/>
      <c r="J660" s="2591"/>
      <c r="K660" s="2591"/>
      <c r="L660" s="2591"/>
      <c r="M660" s="2591"/>
      <c r="N660" s="2591"/>
      <c r="O660" s="2591"/>
      <c r="P660" s="2591"/>
      <c r="Q660" s="2591"/>
      <c r="R660" s="2591"/>
      <c r="S660" s="2591"/>
    </row>
    <row r="661" ht="16.5" spans="1:19">
      <c r="A661" s="2642"/>
      <c r="B661" s="2675"/>
      <c r="C661" s="2676"/>
      <c r="D661" s="2677"/>
      <c r="E661" s="2677"/>
      <c r="F661" s="2677"/>
      <c r="G661" s="2640"/>
      <c r="H661" s="2640"/>
      <c r="I661" s="2702"/>
      <c r="J661" s="2591"/>
      <c r="K661" s="2591"/>
      <c r="L661" s="2591"/>
      <c r="M661" s="2591"/>
      <c r="N661" s="2591"/>
      <c r="O661" s="2591"/>
      <c r="P661" s="2591"/>
      <c r="Q661" s="2591"/>
      <c r="R661" s="2591"/>
      <c r="S661" s="2591"/>
    </row>
    <row r="662" ht="16.5" spans="1:19">
      <c r="A662" s="2642"/>
      <c r="B662" s="2675"/>
      <c r="C662" s="2676"/>
      <c r="D662" s="2677"/>
      <c r="E662" s="2677"/>
      <c r="F662" s="2677"/>
      <c r="G662" s="2640"/>
      <c r="H662" s="2640"/>
      <c r="I662" s="2702"/>
      <c r="J662" s="2591"/>
      <c r="K662" s="2591"/>
      <c r="L662" s="2591"/>
      <c r="M662" s="2591"/>
      <c r="N662" s="2591"/>
      <c r="O662" s="2591"/>
      <c r="P662" s="2591"/>
      <c r="Q662" s="2591"/>
      <c r="R662" s="2591"/>
      <c r="S662" s="2591"/>
    </row>
    <row r="663" ht="16.5" spans="1:19">
      <c r="A663" s="2642"/>
      <c r="B663" s="2675"/>
      <c r="C663" s="2676"/>
      <c r="D663" s="2677"/>
      <c r="E663" s="2677"/>
      <c r="F663" s="2677"/>
      <c r="G663" s="2640"/>
      <c r="H663" s="2640"/>
      <c r="I663" s="2702"/>
      <c r="J663" s="2591"/>
      <c r="K663" s="2591"/>
      <c r="L663" s="2591"/>
      <c r="M663" s="2591"/>
      <c r="N663" s="2591"/>
      <c r="O663" s="2591"/>
      <c r="P663" s="2591"/>
      <c r="Q663" s="2591"/>
      <c r="R663" s="2591"/>
      <c r="S663" s="2591"/>
    </row>
    <row r="664" ht="16.5" spans="1:19">
      <c r="A664" s="2642"/>
      <c r="B664" s="2675"/>
      <c r="C664" s="2676"/>
      <c r="D664" s="2677"/>
      <c r="E664" s="2677"/>
      <c r="F664" s="2677"/>
      <c r="G664" s="2640"/>
      <c r="H664" s="2640"/>
      <c r="I664" s="2702"/>
      <c r="J664" s="2591"/>
      <c r="K664" s="2591"/>
      <c r="L664" s="2591"/>
      <c r="M664" s="2591"/>
      <c r="N664" s="2591"/>
      <c r="O664" s="2591"/>
      <c r="P664" s="2591"/>
      <c r="Q664" s="2591"/>
      <c r="R664" s="2591"/>
      <c r="S664" s="2591"/>
    </row>
    <row r="665" ht="16.5" spans="1:19">
      <c r="A665" s="2642"/>
      <c r="B665" s="2675"/>
      <c r="C665" s="2676"/>
      <c r="D665" s="2677"/>
      <c r="E665" s="2677"/>
      <c r="F665" s="2677"/>
      <c r="G665" s="2640"/>
      <c r="H665" s="2640"/>
      <c r="I665" s="2702"/>
      <c r="J665" s="2591"/>
      <c r="K665" s="2591"/>
      <c r="L665" s="2591"/>
      <c r="M665" s="2591"/>
      <c r="N665" s="2591"/>
      <c r="O665" s="2591"/>
      <c r="P665" s="2591"/>
      <c r="Q665" s="2591"/>
      <c r="R665" s="2591"/>
      <c r="S665" s="2591"/>
    </row>
    <row r="666" ht="16.5" spans="1:19">
      <c r="A666" s="2642"/>
      <c r="B666" s="2675"/>
      <c r="C666" s="2676"/>
      <c r="D666" s="2677"/>
      <c r="E666" s="2677"/>
      <c r="F666" s="2677"/>
      <c r="G666" s="2640"/>
      <c r="H666" s="2640"/>
      <c r="I666" s="2702"/>
      <c r="J666" s="2591"/>
      <c r="K666" s="2591"/>
      <c r="L666" s="2591"/>
      <c r="M666" s="2591"/>
      <c r="N666" s="2591"/>
      <c r="O666" s="2591"/>
      <c r="P666" s="2591"/>
      <c r="Q666" s="2591"/>
      <c r="R666" s="2591"/>
      <c r="S666" s="2591"/>
    </row>
    <row r="667" ht="16.5" spans="1:19">
      <c r="A667" s="2642"/>
      <c r="B667" s="2675"/>
      <c r="C667" s="2676"/>
      <c r="D667" s="2677"/>
      <c r="E667" s="2677"/>
      <c r="F667" s="2677"/>
      <c r="G667" s="2640"/>
      <c r="H667" s="2640"/>
      <c r="I667" s="2702"/>
      <c r="J667" s="2591"/>
      <c r="K667" s="2591"/>
      <c r="L667" s="2591"/>
      <c r="M667" s="2591"/>
      <c r="N667" s="2591"/>
      <c r="O667" s="2591"/>
      <c r="P667" s="2591"/>
      <c r="Q667" s="2591"/>
      <c r="R667" s="2591"/>
      <c r="S667" s="2591"/>
    </row>
    <row r="668" ht="16.5" spans="1:19">
      <c r="A668" s="2642"/>
      <c r="B668" s="2675"/>
      <c r="C668" s="2676"/>
      <c r="D668" s="2677"/>
      <c r="E668" s="2677"/>
      <c r="F668" s="2677"/>
      <c r="G668" s="2640"/>
      <c r="H668" s="2640"/>
      <c r="I668" s="2702"/>
      <c r="J668" s="2591"/>
      <c r="K668" s="2591"/>
      <c r="L668" s="2591"/>
      <c r="M668" s="2591"/>
      <c r="N668" s="2591"/>
      <c r="O668" s="2591"/>
      <c r="P668" s="2591"/>
      <c r="Q668" s="2591"/>
      <c r="R668" s="2591"/>
      <c r="S668" s="2591"/>
    </row>
    <row r="669" ht="16.5" spans="1:19">
      <c r="A669" s="2642"/>
      <c r="B669" s="2675"/>
      <c r="C669" s="2676"/>
      <c r="D669" s="2677"/>
      <c r="E669" s="2677"/>
      <c r="F669" s="2677"/>
      <c r="G669" s="2640"/>
      <c r="H669" s="2640"/>
      <c r="I669" s="2702"/>
      <c r="J669" s="2591"/>
      <c r="K669" s="2591"/>
      <c r="L669" s="2591"/>
      <c r="M669" s="2591"/>
      <c r="N669" s="2591"/>
      <c r="O669" s="2591"/>
      <c r="P669" s="2591"/>
      <c r="Q669" s="2591"/>
      <c r="R669" s="2591"/>
      <c r="S669" s="2591"/>
    </row>
    <row r="670" ht="16.5" spans="1:19">
      <c r="A670" s="2642"/>
      <c r="B670" s="2675"/>
      <c r="C670" s="2676"/>
      <c r="D670" s="2677"/>
      <c r="E670" s="2677"/>
      <c r="F670" s="2677"/>
      <c r="G670" s="2640"/>
      <c r="H670" s="2640"/>
      <c r="I670" s="2702"/>
      <c r="J670" s="2591"/>
      <c r="K670" s="2591"/>
      <c r="L670" s="2591"/>
      <c r="M670" s="2591"/>
      <c r="N670" s="2591"/>
      <c r="O670" s="2591"/>
      <c r="P670" s="2591"/>
      <c r="Q670" s="2591"/>
      <c r="R670" s="2591"/>
      <c r="S670" s="2591"/>
    </row>
    <row r="671" ht="16.5" spans="1:19">
      <c r="A671" s="2642"/>
      <c r="B671" s="2675"/>
      <c r="C671" s="2676"/>
      <c r="D671" s="2677"/>
      <c r="E671" s="2677"/>
      <c r="F671" s="2677"/>
      <c r="G671" s="2640"/>
      <c r="H671" s="2640"/>
      <c r="I671" s="2702"/>
      <c r="J671" s="2591"/>
      <c r="K671" s="2591"/>
      <c r="L671" s="2591"/>
      <c r="M671" s="2591"/>
      <c r="N671" s="2591"/>
      <c r="O671" s="2591"/>
      <c r="P671" s="2591"/>
      <c r="Q671" s="2591"/>
      <c r="R671" s="2591"/>
      <c r="S671" s="2591"/>
    </row>
    <row r="672" ht="16.5" spans="1:19">
      <c r="A672" s="2642"/>
      <c r="B672" s="2675"/>
      <c r="C672" s="2676"/>
      <c r="D672" s="2677"/>
      <c r="E672" s="2677"/>
      <c r="F672" s="2677"/>
      <c r="G672" s="2640"/>
      <c r="H672" s="2640"/>
      <c r="I672" s="2702"/>
      <c r="J672" s="2591"/>
      <c r="K672" s="2591"/>
      <c r="L672" s="2591"/>
      <c r="M672" s="2591"/>
      <c r="N672" s="2591"/>
      <c r="O672" s="2591"/>
      <c r="P672" s="2591"/>
      <c r="Q672" s="2591"/>
      <c r="R672" s="2591"/>
      <c r="S672" s="2591"/>
    </row>
    <row r="673" ht="16.5" spans="1:19">
      <c r="A673" s="2642"/>
      <c r="B673" s="2675"/>
      <c r="C673" s="2676"/>
      <c r="D673" s="2677"/>
      <c r="E673" s="2677"/>
      <c r="F673" s="2677"/>
      <c r="G673" s="2640"/>
      <c r="H673" s="2640"/>
      <c r="I673" s="2702"/>
      <c r="J673" s="2591"/>
      <c r="K673" s="2591"/>
      <c r="L673" s="2591"/>
      <c r="M673" s="2591"/>
      <c r="N673" s="2591"/>
      <c r="O673" s="2591"/>
      <c r="P673" s="2591"/>
      <c r="Q673" s="2591"/>
      <c r="R673" s="2591"/>
      <c r="S673" s="2591"/>
    </row>
    <row r="674" ht="16.5" spans="1:19">
      <c r="A674" s="2642"/>
      <c r="B674" s="2675"/>
      <c r="C674" s="2676"/>
      <c r="D674" s="2677"/>
      <c r="E674" s="2677"/>
      <c r="F674" s="2677"/>
      <c r="G674" s="2640"/>
      <c r="H674" s="2640"/>
      <c r="I674" s="2702"/>
      <c r="J674" s="2591"/>
      <c r="K674" s="2591"/>
      <c r="L674" s="2591"/>
      <c r="M674" s="2591"/>
      <c r="N674" s="2591"/>
      <c r="O674" s="2591"/>
      <c r="P674" s="2591"/>
      <c r="Q674" s="2591"/>
      <c r="R674" s="2591"/>
      <c r="S674" s="2591"/>
    </row>
    <row r="675" ht="16.5" spans="1:19">
      <c r="A675" s="2642"/>
      <c r="B675" s="2675"/>
      <c r="C675" s="2676"/>
      <c r="D675" s="2677"/>
      <c r="E675" s="2677"/>
      <c r="F675" s="2677"/>
      <c r="G675" s="2640"/>
      <c r="H675" s="2640"/>
      <c r="I675" s="2702"/>
      <c r="J675" s="2591"/>
      <c r="K675" s="2591"/>
      <c r="L675" s="2591"/>
      <c r="M675" s="2591"/>
      <c r="N675" s="2591"/>
      <c r="O675" s="2591"/>
      <c r="P675" s="2591"/>
      <c r="Q675" s="2591"/>
      <c r="R675" s="2591"/>
      <c r="S675" s="2591"/>
    </row>
    <row r="676" ht="16.5" spans="1:19">
      <c r="A676" s="2642"/>
      <c r="B676" s="2675"/>
      <c r="C676" s="2676"/>
      <c r="D676" s="2677"/>
      <c r="E676" s="2677"/>
      <c r="F676" s="2677"/>
      <c r="G676" s="2640"/>
      <c r="H676" s="2640"/>
      <c r="I676" s="2702"/>
      <c r="J676" s="2591"/>
      <c r="K676" s="2591"/>
      <c r="L676" s="2591"/>
      <c r="M676" s="2591"/>
      <c r="N676" s="2591"/>
      <c r="O676" s="2591"/>
      <c r="P676" s="2591"/>
      <c r="Q676" s="2591"/>
      <c r="R676" s="2591"/>
      <c r="S676" s="2591"/>
    </row>
    <row r="677" ht="16.5" spans="1:19">
      <c r="A677" s="2642"/>
      <c r="B677" s="2675"/>
      <c r="C677" s="2676"/>
      <c r="D677" s="2677"/>
      <c r="E677" s="2677"/>
      <c r="F677" s="2677"/>
      <c r="G677" s="2640"/>
      <c r="H677" s="2640"/>
      <c r="I677" s="2702"/>
      <c r="J677" s="2591"/>
      <c r="K677" s="2591"/>
      <c r="L677" s="2591"/>
      <c r="M677" s="2591"/>
      <c r="N677" s="2591"/>
      <c r="O677" s="2591"/>
      <c r="P677" s="2591"/>
      <c r="Q677" s="2591"/>
      <c r="R677" s="2591"/>
      <c r="S677" s="2591"/>
    </row>
    <row r="678" ht="16.5" spans="1:19">
      <c r="A678" s="2642"/>
      <c r="B678" s="2675"/>
      <c r="C678" s="2676"/>
      <c r="D678" s="2677"/>
      <c r="E678" s="2677"/>
      <c r="F678" s="2677"/>
      <c r="G678" s="2640"/>
      <c r="H678" s="2640"/>
      <c r="I678" s="2702"/>
      <c r="J678" s="2591"/>
      <c r="K678" s="2591"/>
      <c r="L678" s="2591"/>
      <c r="M678" s="2591"/>
      <c r="N678" s="2591"/>
      <c r="O678" s="2591"/>
      <c r="P678" s="2591"/>
      <c r="Q678" s="2591"/>
      <c r="R678" s="2591"/>
      <c r="S678" s="2591"/>
    </row>
    <row r="679" ht="16.5" spans="1:19">
      <c r="A679" s="2642"/>
      <c r="B679" s="2675"/>
      <c r="C679" s="2676"/>
      <c r="D679" s="2677"/>
      <c r="E679" s="2677"/>
      <c r="F679" s="2677"/>
      <c r="G679" s="2640"/>
      <c r="H679" s="2640"/>
      <c r="I679" s="2702"/>
      <c r="J679" s="2591"/>
      <c r="K679" s="2591"/>
      <c r="L679" s="2591"/>
      <c r="M679" s="2591"/>
      <c r="N679" s="2591"/>
      <c r="O679" s="2591"/>
      <c r="P679" s="2591"/>
      <c r="Q679" s="2591"/>
      <c r="R679" s="2591"/>
      <c r="S679" s="2591"/>
    </row>
    <row r="680" ht="16.5" spans="1:19">
      <c r="A680" s="2642"/>
      <c r="B680" s="2675"/>
      <c r="C680" s="2676"/>
      <c r="D680" s="2677"/>
      <c r="E680" s="2677"/>
      <c r="F680" s="2677"/>
      <c r="G680" s="2640"/>
      <c r="H680" s="2640"/>
      <c r="I680" s="2702"/>
      <c r="J680" s="2591"/>
      <c r="K680" s="2591"/>
      <c r="L680" s="2591"/>
      <c r="M680" s="2591"/>
      <c r="N680" s="2591"/>
      <c r="O680" s="2591"/>
      <c r="P680" s="2591"/>
      <c r="Q680" s="2591"/>
      <c r="R680" s="2591"/>
      <c r="S680" s="2591"/>
    </row>
    <row r="681" ht="16.5" spans="1:19">
      <c r="A681" s="2642"/>
      <c r="B681" s="2675"/>
      <c r="C681" s="2676"/>
      <c r="D681" s="2677"/>
      <c r="E681" s="2677"/>
      <c r="F681" s="2677"/>
      <c r="G681" s="2640"/>
      <c r="H681" s="2640"/>
      <c r="I681" s="2702"/>
      <c r="J681" s="2591"/>
      <c r="K681" s="2591"/>
      <c r="L681" s="2591"/>
      <c r="M681" s="2591"/>
      <c r="N681" s="2591"/>
      <c r="O681" s="2591"/>
      <c r="P681" s="2591"/>
      <c r="Q681" s="2591"/>
      <c r="R681" s="2591"/>
      <c r="S681" s="2591"/>
    </row>
    <row r="682" ht="16.5" spans="1:19">
      <c r="A682" s="2642"/>
      <c r="B682" s="2675"/>
      <c r="C682" s="2676"/>
      <c r="D682" s="2677"/>
      <c r="E682" s="2677"/>
      <c r="F682" s="2677"/>
      <c r="G682" s="2640"/>
      <c r="H682" s="2640"/>
      <c r="I682" s="2702"/>
      <c r="J682" s="2591"/>
      <c r="K682" s="2591"/>
      <c r="L682" s="2591"/>
      <c r="M682" s="2591"/>
      <c r="N682" s="2591"/>
      <c r="O682" s="2591"/>
      <c r="P682" s="2591"/>
      <c r="Q682" s="2591"/>
      <c r="R682" s="2591"/>
      <c r="S682" s="2591"/>
    </row>
    <row r="683" ht="16.5" spans="1:19">
      <c r="A683" s="2642"/>
      <c r="B683" s="2675"/>
      <c r="C683" s="2676"/>
      <c r="D683" s="2677"/>
      <c r="E683" s="2677"/>
      <c r="F683" s="2677"/>
      <c r="G683" s="2640"/>
      <c r="H683" s="2640"/>
      <c r="I683" s="2702"/>
      <c r="J683" s="2591"/>
      <c r="K683" s="2591"/>
      <c r="L683" s="2591"/>
      <c r="M683" s="2591"/>
      <c r="N683" s="2591"/>
      <c r="O683" s="2591"/>
      <c r="P683" s="2591"/>
      <c r="Q683" s="2591"/>
      <c r="R683" s="2591"/>
      <c r="S683" s="2591"/>
    </row>
    <row r="684" ht="16.5" spans="1:19">
      <c r="A684" s="2642"/>
      <c r="B684" s="2675"/>
      <c r="C684" s="2676"/>
      <c r="D684" s="2677"/>
      <c r="E684" s="2677"/>
      <c r="F684" s="2677"/>
      <c r="G684" s="2640"/>
      <c r="H684" s="2640"/>
      <c r="I684" s="2702"/>
      <c r="J684" s="2591"/>
      <c r="K684" s="2591"/>
      <c r="L684" s="2591"/>
      <c r="M684" s="2591"/>
      <c r="N684" s="2591"/>
      <c r="O684" s="2591"/>
      <c r="P684" s="2591"/>
      <c r="Q684" s="2591"/>
      <c r="R684" s="2591"/>
      <c r="S684" s="2591"/>
    </row>
    <row r="685" ht="16.5" spans="1:19">
      <c r="A685" s="2642"/>
      <c r="B685" s="2675"/>
      <c r="C685" s="2676"/>
      <c r="D685" s="2677"/>
      <c r="E685" s="2677"/>
      <c r="F685" s="2677"/>
      <c r="G685" s="2640"/>
      <c r="H685" s="2640"/>
      <c r="I685" s="2702"/>
      <c r="J685" s="2591"/>
      <c r="K685" s="2591"/>
      <c r="L685" s="2591"/>
      <c r="M685" s="2591"/>
      <c r="N685" s="2591"/>
      <c r="O685" s="2591"/>
      <c r="P685" s="2591"/>
      <c r="Q685" s="2591"/>
      <c r="R685" s="2591"/>
      <c r="S685" s="2591"/>
    </row>
    <row r="686" ht="16.5" spans="1:19">
      <c r="A686" s="2642"/>
      <c r="B686" s="2675"/>
      <c r="C686" s="2676"/>
      <c r="D686" s="2677"/>
      <c r="E686" s="2677"/>
      <c r="F686" s="2677"/>
      <c r="G686" s="2640"/>
      <c r="H686" s="2640"/>
      <c r="I686" s="2702"/>
      <c r="J686" s="2591"/>
      <c r="K686" s="2591"/>
      <c r="L686" s="2591"/>
      <c r="M686" s="2591"/>
      <c r="N686" s="2591"/>
      <c r="O686" s="2591"/>
      <c r="P686" s="2591"/>
      <c r="Q686" s="2591"/>
      <c r="R686" s="2591"/>
      <c r="S686" s="2591"/>
    </row>
    <row r="687" ht="16.5" spans="1:19">
      <c r="A687" s="2642"/>
      <c r="B687" s="2675"/>
      <c r="C687" s="2676"/>
      <c r="D687" s="2677"/>
      <c r="E687" s="2677"/>
      <c r="F687" s="2677"/>
      <c r="G687" s="2640"/>
      <c r="H687" s="2640"/>
      <c r="I687" s="2702"/>
      <c r="J687" s="2591"/>
      <c r="K687" s="2591"/>
      <c r="L687" s="2591"/>
      <c r="M687" s="2591"/>
      <c r="N687" s="2591"/>
      <c r="O687" s="2591"/>
      <c r="P687" s="2591"/>
      <c r="Q687" s="2591"/>
      <c r="R687" s="2591"/>
      <c r="S687" s="2591"/>
    </row>
    <row r="688" ht="16.5" spans="1:19">
      <c r="A688" s="2642"/>
      <c r="B688" s="2675"/>
      <c r="C688" s="2676"/>
      <c r="D688" s="2677"/>
      <c r="E688" s="2677"/>
      <c r="F688" s="2677"/>
      <c r="G688" s="2640"/>
      <c r="H688" s="2640"/>
      <c r="I688" s="2702"/>
      <c r="J688" s="2591"/>
      <c r="K688" s="2591"/>
      <c r="L688" s="2591"/>
      <c r="M688" s="2591"/>
      <c r="N688" s="2591"/>
      <c r="O688" s="2591"/>
      <c r="P688" s="2591"/>
      <c r="Q688" s="2591"/>
      <c r="R688" s="2591"/>
      <c r="S688" s="2591"/>
    </row>
    <row r="689" ht="16.5" spans="1:19">
      <c r="A689" s="2642"/>
      <c r="B689" s="2675"/>
      <c r="C689" s="2676"/>
      <c r="D689" s="2677"/>
      <c r="E689" s="2677"/>
      <c r="F689" s="2677"/>
      <c r="G689" s="2640"/>
      <c r="H689" s="2640"/>
      <c r="I689" s="2702"/>
      <c r="J689" s="2591"/>
      <c r="K689" s="2591"/>
      <c r="L689" s="2591"/>
      <c r="M689" s="2591"/>
      <c r="N689" s="2591"/>
      <c r="O689" s="2591"/>
      <c r="P689" s="2591"/>
      <c r="Q689" s="2591"/>
      <c r="R689" s="2591"/>
      <c r="S689" s="2591"/>
    </row>
    <row r="690" ht="16.5" spans="1:19">
      <c r="A690" s="2642"/>
      <c r="B690" s="2675"/>
      <c r="C690" s="2676"/>
      <c r="D690" s="2677"/>
      <c r="E690" s="2677"/>
      <c r="F690" s="2677"/>
      <c r="G690" s="2640"/>
      <c r="H690" s="2640"/>
      <c r="I690" s="2702"/>
      <c r="J690" s="2591"/>
      <c r="K690" s="2591"/>
      <c r="L690" s="2591"/>
      <c r="M690" s="2591"/>
      <c r="N690" s="2591"/>
      <c r="O690" s="2591"/>
      <c r="P690" s="2591"/>
      <c r="Q690" s="2591"/>
      <c r="R690" s="2591"/>
      <c r="S690" s="2591"/>
    </row>
    <row r="691" ht="16.5" spans="1:19">
      <c r="A691" s="2642"/>
      <c r="B691" s="2675"/>
      <c r="C691" s="2676"/>
      <c r="D691" s="2677"/>
      <c r="E691" s="2677"/>
      <c r="F691" s="2677"/>
      <c r="G691" s="2640"/>
      <c r="H691" s="2640"/>
      <c r="I691" s="2702"/>
      <c r="J691" s="2591"/>
      <c r="K691" s="2591"/>
      <c r="L691" s="2591"/>
      <c r="M691" s="2591"/>
      <c r="N691" s="2591"/>
      <c r="O691" s="2591"/>
      <c r="P691" s="2591"/>
      <c r="Q691" s="2591"/>
      <c r="R691" s="2591"/>
      <c r="S691" s="2591"/>
    </row>
    <row r="692" ht="16.5" spans="1:19">
      <c r="A692" s="2642"/>
      <c r="B692" s="2675"/>
      <c r="C692" s="2676"/>
      <c r="D692" s="2677"/>
      <c r="E692" s="2677"/>
      <c r="F692" s="2677"/>
      <c r="G692" s="2640"/>
      <c r="H692" s="2640"/>
      <c r="I692" s="2702"/>
      <c r="J692" s="2591"/>
      <c r="K692" s="2591"/>
      <c r="L692" s="2591"/>
      <c r="M692" s="2591"/>
      <c r="N692" s="2591"/>
      <c r="O692" s="2591"/>
      <c r="P692" s="2591"/>
      <c r="Q692" s="2591"/>
      <c r="R692" s="2591"/>
      <c r="S692" s="2591"/>
    </row>
    <row r="693" ht="16.5" spans="1:19">
      <c r="A693" s="2642"/>
      <c r="B693" s="2675"/>
      <c r="C693" s="2676"/>
      <c r="D693" s="2677"/>
      <c r="E693" s="2677"/>
      <c r="F693" s="2677"/>
      <c r="G693" s="2640"/>
      <c r="H693" s="2640"/>
      <c r="I693" s="2702"/>
      <c r="J693" s="2591"/>
      <c r="K693" s="2591"/>
      <c r="L693" s="2591"/>
      <c r="M693" s="2591"/>
      <c r="N693" s="2591"/>
      <c r="O693" s="2591"/>
      <c r="P693" s="2591"/>
      <c r="Q693" s="2591"/>
      <c r="R693" s="2591"/>
      <c r="S693" s="2591"/>
    </row>
    <row r="694" ht="16.5" spans="1:19">
      <c r="A694" s="2642"/>
      <c r="B694" s="2675"/>
      <c r="C694" s="2676"/>
      <c r="D694" s="2677"/>
      <c r="E694" s="2677"/>
      <c r="F694" s="2677"/>
      <c r="G694" s="2640"/>
      <c r="H694" s="2640"/>
      <c r="I694" s="2702"/>
      <c r="J694" s="2591"/>
      <c r="K694" s="2591"/>
      <c r="L694" s="2591"/>
      <c r="M694" s="2591"/>
      <c r="N694" s="2591"/>
      <c r="O694" s="2591"/>
      <c r="P694" s="2591"/>
      <c r="Q694" s="2591"/>
      <c r="R694" s="2591"/>
      <c r="S694" s="2591"/>
    </row>
    <row r="695" ht="16.5" spans="1:19">
      <c r="A695" s="2642"/>
      <c r="B695" s="2675"/>
      <c r="C695" s="2676"/>
      <c r="D695" s="2677"/>
      <c r="E695" s="2677"/>
      <c r="F695" s="2677"/>
      <c r="G695" s="2640"/>
      <c r="H695" s="2640"/>
      <c r="I695" s="2702"/>
      <c r="J695" s="2591"/>
      <c r="K695" s="2591"/>
      <c r="L695" s="2591"/>
      <c r="M695" s="2591"/>
      <c r="N695" s="2591"/>
      <c r="O695" s="2591"/>
      <c r="P695" s="2591"/>
      <c r="Q695" s="2591"/>
      <c r="R695" s="2591"/>
      <c r="S695" s="2591"/>
    </row>
    <row r="696" ht="16.5" spans="1:19">
      <c r="A696" s="2642"/>
      <c r="B696" s="2675"/>
      <c r="C696" s="2676"/>
      <c r="D696" s="2677"/>
      <c r="E696" s="2677"/>
      <c r="F696" s="2677"/>
      <c r="G696" s="2640"/>
      <c r="H696" s="2640"/>
      <c r="I696" s="2702"/>
      <c r="J696" s="2591"/>
      <c r="K696" s="2591"/>
      <c r="L696" s="2591"/>
      <c r="M696" s="2591"/>
      <c r="N696" s="2591"/>
      <c r="O696" s="2591"/>
      <c r="P696" s="2591"/>
      <c r="Q696" s="2591"/>
      <c r="R696" s="2591"/>
      <c r="S696" s="2591"/>
    </row>
    <row r="697" ht="16.5" spans="1:19">
      <c r="A697" s="2642"/>
      <c r="B697" s="2675"/>
      <c r="C697" s="2676"/>
      <c r="D697" s="2677"/>
      <c r="E697" s="2677"/>
      <c r="F697" s="2677"/>
      <c r="G697" s="2640"/>
      <c r="H697" s="2640"/>
      <c r="I697" s="2702"/>
      <c r="J697" s="2591"/>
      <c r="K697" s="2591"/>
      <c r="L697" s="2591"/>
      <c r="M697" s="2591"/>
      <c r="N697" s="2591"/>
      <c r="O697" s="2591"/>
      <c r="P697" s="2591"/>
      <c r="Q697" s="2591"/>
      <c r="R697" s="2591"/>
      <c r="S697" s="2591"/>
    </row>
    <row r="698" ht="16.5" spans="1:19">
      <c r="A698" s="2642"/>
      <c r="B698" s="2675"/>
      <c r="C698" s="2676"/>
      <c r="D698" s="2677"/>
      <c r="E698" s="2677"/>
      <c r="F698" s="2677"/>
      <c r="G698" s="2640"/>
      <c r="H698" s="2640"/>
      <c r="I698" s="2702"/>
      <c r="J698" s="2591"/>
      <c r="K698" s="2591"/>
      <c r="L698" s="2591"/>
      <c r="M698" s="2591"/>
      <c r="N698" s="2591"/>
      <c r="O698" s="2591"/>
      <c r="P698" s="2591"/>
      <c r="Q698" s="2591"/>
      <c r="R698" s="2591"/>
      <c r="S698" s="2591"/>
    </row>
    <row r="699" ht="16.5" spans="1:19">
      <c r="A699" s="2642"/>
      <c r="B699" s="2675"/>
      <c r="C699" s="2676"/>
      <c r="D699" s="2677"/>
      <c r="E699" s="2677"/>
      <c r="F699" s="2677"/>
      <c r="G699" s="2640"/>
      <c r="H699" s="2640"/>
      <c r="I699" s="2702"/>
      <c r="J699" s="2591"/>
      <c r="K699" s="2591"/>
      <c r="L699" s="2591"/>
      <c r="M699" s="2591"/>
      <c r="N699" s="2591"/>
      <c r="O699" s="2591"/>
      <c r="P699" s="2591"/>
      <c r="Q699" s="2591"/>
      <c r="R699" s="2591"/>
      <c r="S699" s="2591"/>
    </row>
    <row r="700" ht="16.5" spans="1:19">
      <c r="A700" s="2642"/>
      <c r="B700" s="2675"/>
      <c r="C700" s="2676"/>
      <c r="D700" s="2677"/>
      <c r="E700" s="2677"/>
      <c r="F700" s="2677"/>
      <c r="G700" s="2640"/>
      <c r="H700" s="2640"/>
      <c r="I700" s="2702"/>
      <c r="J700" s="2591"/>
      <c r="K700" s="2591"/>
      <c r="L700" s="2591"/>
      <c r="M700" s="2591"/>
      <c r="N700" s="2591"/>
      <c r="O700" s="2591"/>
      <c r="P700" s="2591"/>
      <c r="Q700" s="2591"/>
      <c r="R700" s="2591"/>
      <c r="S700" s="2591"/>
    </row>
    <row r="701" ht="16.5" spans="1:19">
      <c r="A701" s="2642"/>
      <c r="B701" s="2675"/>
      <c r="C701" s="2676"/>
      <c r="D701" s="2677"/>
      <c r="E701" s="2677"/>
      <c r="F701" s="2677"/>
      <c r="G701" s="2640"/>
      <c r="H701" s="2640"/>
      <c r="I701" s="2702"/>
      <c r="J701" s="2591"/>
      <c r="K701" s="2591"/>
      <c r="L701" s="2591"/>
      <c r="M701" s="2591"/>
      <c r="N701" s="2591"/>
      <c r="O701" s="2591"/>
      <c r="P701" s="2591"/>
      <c r="Q701" s="2591"/>
      <c r="R701" s="2591"/>
      <c r="S701" s="2591"/>
    </row>
    <row r="702" ht="16.5" spans="1:19">
      <c r="A702" s="2642"/>
      <c r="B702" s="2675"/>
      <c r="C702" s="2676"/>
      <c r="D702" s="2677"/>
      <c r="E702" s="2677"/>
      <c r="F702" s="2677"/>
      <c r="G702" s="2640"/>
      <c r="H702" s="2640"/>
      <c r="I702" s="2702"/>
      <c r="J702" s="2591"/>
      <c r="K702" s="2591"/>
      <c r="L702" s="2591"/>
      <c r="M702" s="2591"/>
      <c r="N702" s="2591"/>
      <c r="O702" s="2591"/>
      <c r="P702" s="2591"/>
      <c r="Q702" s="2591"/>
      <c r="R702" s="2591"/>
      <c r="S702" s="2591"/>
    </row>
    <row r="703" ht="16.5" spans="1:19">
      <c r="A703" s="2642"/>
      <c r="B703" s="2675"/>
      <c r="C703" s="2676"/>
      <c r="D703" s="2677"/>
      <c r="E703" s="2677"/>
      <c r="F703" s="2677"/>
      <c r="G703" s="2640"/>
      <c r="H703" s="2640"/>
      <c r="I703" s="2702"/>
      <c r="J703" s="2591"/>
      <c r="K703" s="2591"/>
      <c r="L703" s="2591"/>
      <c r="M703" s="2591"/>
      <c r="N703" s="2591"/>
      <c r="O703" s="2591"/>
      <c r="P703" s="2591"/>
      <c r="Q703" s="2591"/>
      <c r="R703" s="2591"/>
      <c r="S703" s="2591"/>
    </row>
    <row r="704" ht="16.5" spans="1:19">
      <c r="A704" s="2642"/>
      <c r="B704" s="2675"/>
      <c r="C704" s="2676"/>
      <c r="D704" s="2677"/>
      <c r="E704" s="2677"/>
      <c r="F704" s="2677"/>
      <c r="G704" s="2640"/>
      <c r="H704" s="2640"/>
      <c r="I704" s="2702"/>
      <c r="J704" s="2591"/>
      <c r="K704" s="2591"/>
      <c r="L704" s="2591"/>
      <c r="M704" s="2591"/>
      <c r="N704" s="2591"/>
      <c r="O704" s="2591"/>
      <c r="P704" s="2591"/>
      <c r="Q704" s="2591"/>
      <c r="R704" s="2591"/>
      <c r="S704" s="2591"/>
    </row>
    <row r="705" ht="16.5" spans="1:19">
      <c r="A705" s="2642"/>
      <c r="B705" s="2675"/>
      <c r="C705" s="2676"/>
      <c r="D705" s="2677"/>
      <c r="E705" s="2677"/>
      <c r="F705" s="2677"/>
      <c r="G705" s="2640"/>
      <c r="H705" s="2640"/>
      <c r="I705" s="2702"/>
      <c r="J705" s="2591"/>
      <c r="K705" s="2591"/>
      <c r="L705" s="2591"/>
      <c r="M705" s="2591"/>
      <c r="N705" s="2591"/>
      <c r="O705" s="2591"/>
      <c r="P705" s="2591"/>
      <c r="Q705" s="2591"/>
      <c r="R705" s="2591"/>
      <c r="S705" s="2591"/>
    </row>
    <row r="706" ht="16.5" spans="1:19">
      <c r="A706" s="2642"/>
      <c r="B706" s="2675"/>
      <c r="C706" s="2676"/>
      <c r="D706" s="2677"/>
      <c r="E706" s="2677"/>
      <c r="F706" s="2677"/>
      <c r="G706" s="2640"/>
      <c r="H706" s="2640"/>
      <c r="I706" s="2702"/>
      <c r="J706" s="2591"/>
      <c r="K706" s="2591"/>
      <c r="L706" s="2591"/>
      <c r="M706" s="2591"/>
      <c r="N706" s="2591"/>
      <c r="O706" s="2591"/>
      <c r="P706" s="2591"/>
      <c r="Q706" s="2591"/>
      <c r="R706" s="2591"/>
      <c r="S706" s="2591"/>
    </row>
    <row r="707" ht="16.5" spans="1:19">
      <c r="A707" s="2642"/>
      <c r="B707" s="2675"/>
      <c r="C707" s="2676"/>
      <c r="D707" s="2677"/>
      <c r="E707" s="2677"/>
      <c r="F707" s="2677"/>
      <c r="G707" s="2640"/>
      <c r="H707" s="2640"/>
      <c r="I707" s="2702"/>
      <c r="J707" s="2591"/>
      <c r="K707" s="2591"/>
      <c r="L707" s="2591"/>
      <c r="M707" s="2591"/>
      <c r="N707" s="2591"/>
      <c r="O707" s="2591"/>
      <c r="P707" s="2591"/>
      <c r="Q707" s="2591"/>
      <c r="R707" s="2591"/>
      <c r="S707" s="2591"/>
    </row>
    <row r="708" ht="16.5" spans="1:19">
      <c r="A708" s="2642"/>
      <c r="B708" s="2675"/>
      <c r="C708" s="2676"/>
      <c r="D708" s="2677"/>
      <c r="E708" s="2677"/>
      <c r="F708" s="2677"/>
      <c r="G708" s="2640"/>
      <c r="H708" s="2640"/>
      <c r="I708" s="2702"/>
      <c r="J708" s="2591"/>
      <c r="K708" s="2591"/>
      <c r="L708" s="2591"/>
      <c r="M708" s="2591"/>
      <c r="N708" s="2591"/>
      <c r="O708" s="2591"/>
      <c r="P708" s="2591"/>
      <c r="Q708" s="2591"/>
      <c r="R708" s="2591"/>
      <c r="S708" s="2591"/>
    </row>
    <row r="709" ht="16.5" spans="1:19">
      <c r="A709" s="2642"/>
      <c r="B709" s="2675"/>
      <c r="C709" s="2676"/>
      <c r="D709" s="2677"/>
      <c r="E709" s="2677"/>
      <c r="F709" s="2677"/>
      <c r="G709" s="2640"/>
      <c r="H709" s="2640"/>
      <c r="I709" s="2702"/>
      <c r="J709" s="2591"/>
      <c r="K709" s="2591"/>
      <c r="L709" s="2591"/>
      <c r="M709" s="2591"/>
      <c r="N709" s="2591"/>
      <c r="O709" s="2591"/>
      <c r="P709" s="2591"/>
      <c r="Q709" s="2591"/>
      <c r="R709" s="2591"/>
      <c r="S709" s="2591"/>
    </row>
    <row r="710" ht="16.5" spans="1:19">
      <c r="A710" s="2642"/>
      <c r="B710" s="2675"/>
      <c r="C710" s="2676"/>
      <c r="D710" s="2677"/>
      <c r="E710" s="2677"/>
      <c r="F710" s="2677"/>
      <c r="G710" s="2640"/>
      <c r="H710" s="2640"/>
      <c r="I710" s="2702"/>
      <c r="J710" s="2591"/>
      <c r="K710" s="2591"/>
      <c r="L710" s="2591"/>
      <c r="M710" s="2591"/>
      <c r="N710" s="2591"/>
      <c r="O710" s="2591"/>
      <c r="P710" s="2591"/>
      <c r="Q710" s="2591"/>
      <c r="R710" s="2591"/>
      <c r="S710" s="2591"/>
    </row>
    <row r="711" ht="16.5" spans="1:19">
      <c r="A711" s="2642"/>
      <c r="B711" s="2675"/>
      <c r="C711" s="2676"/>
      <c r="D711" s="2677"/>
      <c r="E711" s="2677"/>
      <c r="F711" s="2677"/>
      <c r="G711" s="2640"/>
      <c r="H711" s="2640"/>
      <c r="I711" s="2702"/>
      <c r="J711" s="2591"/>
      <c r="K711" s="2591"/>
      <c r="L711" s="2591"/>
      <c r="M711" s="2591"/>
      <c r="N711" s="2591"/>
      <c r="O711" s="2591"/>
      <c r="P711" s="2591"/>
      <c r="Q711" s="2591"/>
      <c r="R711" s="2591"/>
      <c r="S711" s="2591"/>
    </row>
    <row r="712" ht="16.5" spans="1:19">
      <c r="A712" s="2642"/>
      <c r="B712" s="2675"/>
      <c r="C712" s="2676"/>
      <c r="D712" s="2677"/>
      <c r="E712" s="2677"/>
      <c r="F712" s="2677"/>
      <c r="G712" s="2640"/>
      <c r="H712" s="2640"/>
      <c r="I712" s="2702"/>
      <c r="J712" s="2591"/>
      <c r="K712" s="2591"/>
      <c r="L712" s="2591"/>
      <c r="M712" s="2591"/>
      <c r="N712" s="2591"/>
      <c r="O712" s="2591"/>
      <c r="P712" s="2591"/>
      <c r="Q712" s="2591"/>
      <c r="R712" s="2591"/>
      <c r="S712" s="2591"/>
    </row>
    <row r="713" ht="16.5" spans="1:19">
      <c r="A713" s="2642"/>
      <c r="B713" s="2675"/>
      <c r="C713" s="2676"/>
      <c r="D713" s="2677"/>
      <c r="E713" s="2677"/>
      <c r="F713" s="2677"/>
      <c r="G713" s="2640"/>
      <c r="H713" s="2640"/>
      <c r="I713" s="2702"/>
      <c r="J713" s="2591"/>
      <c r="K713" s="2591"/>
      <c r="L713" s="2591"/>
      <c r="M713" s="2591"/>
      <c r="N713" s="2591"/>
      <c r="O713" s="2591"/>
      <c r="P713" s="2591"/>
      <c r="Q713" s="2591"/>
      <c r="R713" s="2591"/>
      <c r="S713" s="2591"/>
    </row>
    <row r="714" ht="16.5" spans="1:19">
      <c r="A714" s="2642"/>
      <c r="B714" s="2675"/>
      <c r="C714" s="2676"/>
      <c r="D714" s="2677"/>
      <c r="E714" s="2677"/>
      <c r="F714" s="2677"/>
      <c r="G714" s="2640"/>
      <c r="H714" s="2640"/>
      <c r="I714" s="2702"/>
      <c r="J714" s="2591"/>
      <c r="K714" s="2591"/>
      <c r="L714" s="2591"/>
      <c r="M714" s="2591"/>
      <c r="N714" s="2591"/>
      <c r="O714" s="2591"/>
      <c r="P714" s="2591"/>
      <c r="Q714" s="2591"/>
      <c r="R714" s="2591"/>
      <c r="S714" s="2591"/>
    </row>
    <row r="715" ht="16.5" spans="1:19">
      <c r="A715" s="2642"/>
      <c r="B715" s="2675"/>
      <c r="C715" s="2676"/>
      <c r="D715" s="2677"/>
      <c r="E715" s="2677"/>
      <c r="F715" s="2677"/>
      <c r="G715" s="2640"/>
      <c r="H715" s="2640"/>
      <c r="I715" s="2702"/>
      <c r="J715" s="2591"/>
      <c r="K715" s="2591"/>
      <c r="L715" s="2591"/>
      <c r="M715" s="2591"/>
      <c r="N715" s="2591"/>
      <c r="O715" s="2591"/>
      <c r="P715" s="2591"/>
      <c r="Q715" s="2591"/>
      <c r="R715" s="2591"/>
      <c r="S715" s="2591"/>
    </row>
    <row r="716" ht="16.5" spans="1:19">
      <c r="A716" s="2642"/>
      <c r="B716" s="2675"/>
      <c r="C716" s="2676"/>
      <c r="D716" s="2677"/>
      <c r="E716" s="2677"/>
      <c r="F716" s="2677"/>
      <c r="G716" s="2640"/>
      <c r="H716" s="2640"/>
      <c r="I716" s="2702"/>
      <c r="J716" s="2591"/>
      <c r="K716" s="2591"/>
      <c r="L716" s="2591"/>
      <c r="M716" s="2591"/>
      <c r="N716" s="2591"/>
      <c r="O716" s="2591"/>
      <c r="P716" s="2591"/>
      <c r="Q716" s="2591"/>
      <c r="R716" s="2591"/>
      <c r="S716" s="2591"/>
    </row>
    <row r="717" ht="16.5" spans="1:19">
      <c r="A717" s="2642"/>
      <c r="B717" s="2675"/>
      <c r="C717" s="2676"/>
      <c r="D717" s="2677"/>
      <c r="E717" s="2677"/>
      <c r="F717" s="2677"/>
      <c r="G717" s="2640"/>
      <c r="H717" s="2640"/>
      <c r="I717" s="2702"/>
      <c r="J717" s="2591"/>
      <c r="K717" s="2591"/>
      <c r="L717" s="2591"/>
      <c r="M717" s="2591"/>
      <c r="N717" s="2591"/>
      <c r="O717" s="2591"/>
      <c r="P717" s="2591"/>
      <c r="Q717" s="2591"/>
      <c r="R717" s="2591"/>
      <c r="S717" s="2591"/>
    </row>
    <row r="718" ht="16.5" spans="1:19">
      <c r="A718" s="2642"/>
      <c r="B718" s="2675"/>
      <c r="C718" s="2676"/>
      <c r="D718" s="2677"/>
      <c r="E718" s="2677"/>
      <c r="F718" s="2677"/>
      <c r="G718" s="2640"/>
      <c r="H718" s="2640"/>
      <c r="I718" s="2702"/>
      <c r="J718" s="2591"/>
      <c r="K718" s="2591"/>
      <c r="L718" s="2591"/>
      <c r="M718" s="2591"/>
      <c r="N718" s="2591"/>
      <c r="O718" s="2591"/>
      <c r="P718" s="2591"/>
      <c r="Q718" s="2591"/>
      <c r="R718" s="2591"/>
      <c r="S718" s="2591"/>
    </row>
    <row r="719" ht="16.5" spans="1:19">
      <c r="A719" s="2642"/>
      <c r="B719" s="2675"/>
      <c r="C719" s="2676"/>
      <c r="D719" s="2677"/>
      <c r="E719" s="2677"/>
      <c r="F719" s="2677"/>
      <c r="G719" s="2640"/>
      <c r="H719" s="2640"/>
      <c r="I719" s="2702"/>
      <c r="J719" s="2591"/>
      <c r="K719" s="2591"/>
      <c r="L719" s="2591"/>
      <c r="M719" s="2591"/>
      <c r="N719" s="2591"/>
      <c r="O719" s="2591"/>
      <c r="P719" s="2591"/>
      <c r="Q719" s="2591"/>
      <c r="R719" s="2591"/>
      <c r="S719" s="2591"/>
    </row>
    <row r="720" ht="16.5" spans="1:19">
      <c r="A720" s="2642"/>
      <c r="B720" s="2675"/>
      <c r="C720" s="2676"/>
      <c r="D720" s="2677"/>
      <c r="E720" s="2677"/>
      <c r="F720" s="2677"/>
      <c r="G720" s="2640"/>
      <c r="H720" s="2640"/>
      <c r="I720" s="2702"/>
      <c r="J720" s="2591"/>
      <c r="K720" s="2591"/>
      <c r="L720" s="2591"/>
      <c r="M720" s="2591"/>
      <c r="N720" s="2591"/>
      <c r="O720" s="2591"/>
      <c r="P720" s="2591"/>
      <c r="Q720" s="2591"/>
      <c r="R720" s="2591"/>
      <c r="S720" s="2591"/>
    </row>
    <row r="721" ht="16.5" spans="1:19">
      <c r="A721" s="2642"/>
      <c r="B721" s="2675"/>
      <c r="C721" s="2676"/>
      <c r="D721" s="2677"/>
      <c r="E721" s="2677"/>
      <c r="F721" s="2677"/>
      <c r="G721" s="2640"/>
      <c r="H721" s="2640"/>
      <c r="I721" s="2702"/>
      <c r="J721" s="2591"/>
      <c r="K721" s="2591"/>
      <c r="L721" s="2591"/>
      <c r="M721" s="2591"/>
      <c r="N721" s="2591"/>
      <c r="O721" s="2591"/>
      <c r="P721" s="2591"/>
      <c r="Q721" s="2591"/>
      <c r="R721" s="2591"/>
      <c r="S721" s="2591"/>
    </row>
    <row r="722" ht="16.5" spans="1:19">
      <c r="A722" s="2642"/>
      <c r="B722" s="2675"/>
      <c r="C722" s="2676"/>
      <c r="D722" s="2677"/>
      <c r="E722" s="2677"/>
      <c r="F722" s="2677"/>
      <c r="G722" s="2640"/>
      <c r="H722" s="2640"/>
      <c r="I722" s="2702"/>
      <c r="J722" s="2591"/>
      <c r="K722" s="2591"/>
      <c r="L722" s="2591"/>
      <c r="M722" s="2591"/>
      <c r="N722" s="2591"/>
      <c r="O722" s="2591"/>
      <c r="P722" s="2591"/>
      <c r="Q722" s="2591"/>
      <c r="R722" s="2591"/>
      <c r="S722" s="2591"/>
    </row>
    <row r="723" ht="16.5" spans="1:19">
      <c r="A723" s="2642"/>
      <c r="B723" s="2675"/>
      <c r="C723" s="2676"/>
      <c r="D723" s="2677"/>
      <c r="E723" s="2677"/>
      <c r="F723" s="2677"/>
      <c r="G723" s="2640"/>
      <c r="H723" s="2640"/>
      <c r="I723" s="2702"/>
      <c r="J723" s="2591"/>
      <c r="K723" s="2591"/>
      <c r="L723" s="2591"/>
      <c r="M723" s="2591"/>
      <c r="N723" s="2591"/>
      <c r="O723" s="2591"/>
      <c r="P723" s="2591"/>
      <c r="Q723" s="2591"/>
      <c r="R723" s="2591"/>
      <c r="S723" s="2591"/>
    </row>
    <row r="724" ht="16.5" spans="1:19">
      <c r="A724" s="2642"/>
      <c r="B724" s="2675"/>
      <c r="C724" s="2676"/>
      <c r="D724" s="2677"/>
      <c r="E724" s="2677"/>
      <c r="F724" s="2677"/>
      <c r="G724" s="2640"/>
      <c r="H724" s="2640"/>
      <c r="I724" s="2702"/>
      <c r="J724" s="2591"/>
      <c r="K724" s="2591"/>
      <c r="L724" s="2591"/>
      <c r="M724" s="2591"/>
      <c r="N724" s="2591"/>
      <c r="O724" s="2591"/>
      <c r="P724" s="2591"/>
      <c r="Q724" s="2591"/>
      <c r="R724" s="2591"/>
      <c r="S724" s="2591"/>
    </row>
    <row r="725" ht="16.5" spans="1:19">
      <c r="A725" s="2642"/>
      <c r="B725" s="2675"/>
      <c r="C725" s="2676"/>
      <c r="D725" s="2677"/>
      <c r="E725" s="2677"/>
      <c r="F725" s="2677"/>
      <c r="G725" s="2640"/>
      <c r="H725" s="2640"/>
      <c r="I725" s="2702"/>
      <c r="J725" s="2591"/>
      <c r="K725" s="2591"/>
      <c r="L725" s="2591"/>
      <c r="M725" s="2591"/>
      <c r="N725" s="2591"/>
      <c r="O725" s="2591"/>
      <c r="P725" s="2591"/>
      <c r="Q725" s="2591"/>
      <c r="R725" s="2591"/>
      <c r="S725" s="2591"/>
    </row>
    <row r="726" ht="16.5" spans="1:19">
      <c r="A726" s="2642"/>
      <c r="B726" s="2675"/>
      <c r="C726" s="2676"/>
      <c r="D726" s="2677"/>
      <c r="E726" s="2677"/>
      <c r="F726" s="2677"/>
      <c r="G726" s="2640"/>
      <c r="H726" s="2640"/>
      <c r="I726" s="2702"/>
      <c r="J726" s="2591"/>
      <c r="K726" s="2591"/>
      <c r="L726" s="2591"/>
      <c r="M726" s="2591"/>
      <c r="N726" s="2591"/>
      <c r="O726" s="2591"/>
      <c r="P726" s="2591"/>
      <c r="Q726" s="2591"/>
      <c r="R726" s="2591"/>
      <c r="S726" s="2591"/>
    </row>
    <row r="727" ht="16.5" spans="1:19">
      <c r="A727" s="2642"/>
      <c r="B727" s="2675"/>
      <c r="C727" s="2676"/>
      <c r="D727" s="2677"/>
      <c r="E727" s="2677"/>
      <c r="F727" s="2677"/>
      <c r="G727" s="2640"/>
      <c r="H727" s="2640"/>
      <c r="I727" s="2702"/>
      <c r="J727" s="2591"/>
      <c r="K727" s="2591"/>
      <c r="L727" s="2591"/>
      <c r="M727" s="2591"/>
      <c r="N727" s="2591"/>
      <c r="O727" s="2591"/>
      <c r="P727" s="2591"/>
      <c r="Q727" s="2591"/>
      <c r="R727" s="2591"/>
      <c r="S727" s="2591"/>
    </row>
    <row r="728" ht="16.5" spans="1:19">
      <c r="A728" s="2642"/>
      <c r="B728" s="2675"/>
      <c r="C728" s="2676"/>
      <c r="D728" s="2677"/>
      <c r="E728" s="2677"/>
      <c r="F728" s="2677"/>
      <c r="G728" s="2640"/>
      <c r="H728" s="2640"/>
      <c r="I728" s="2702"/>
      <c r="J728" s="2591"/>
      <c r="K728" s="2591"/>
      <c r="L728" s="2591"/>
      <c r="M728" s="2591"/>
      <c r="N728" s="2591"/>
      <c r="O728" s="2591"/>
      <c r="P728" s="2591"/>
      <c r="Q728" s="2591"/>
      <c r="R728" s="2591"/>
      <c r="S728" s="2591"/>
    </row>
    <row r="729" ht="16.5" spans="1:19">
      <c r="A729" s="2642"/>
      <c r="B729" s="2675"/>
      <c r="C729" s="2676"/>
      <c r="D729" s="2677"/>
      <c r="E729" s="2677"/>
      <c r="F729" s="2677"/>
      <c r="G729" s="2640"/>
      <c r="H729" s="2640"/>
      <c r="I729" s="2702"/>
      <c r="J729" s="2591"/>
      <c r="K729" s="2591"/>
      <c r="L729" s="2591"/>
      <c r="M729" s="2591"/>
      <c r="N729" s="2591"/>
      <c r="O729" s="2591"/>
      <c r="P729" s="2591"/>
      <c r="Q729" s="2591"/>
      <c r="R729" s="2591"/>
      <c r="S729" s="2591"/>
    </row>
    <row r="730" ht="16.5" spans="1:19">
      <c r="A730" s="2642"/>
      <c r="B730" s="2675"/>
      <c r="C730" s="2676"/>
      <c r="D730" s="2677"/>
      <c r="E730" s="2677"/>
      <c r="F730" s="2677"/>
      <c r="G730" s="2640"/>
      <c r="H730" s="2640"/>
      <c r="I730" s="2702"/>
      <c r="J730" s="2591"/>
      <c r="K730" s="2591"/>
      <c r="L730" s="2591"/>
      <c r="M730" s="2591"/>
      <c r="N730" s="2591"/>
      <c r="O730" s="2591"/>
      <c r="P730" s="2591"/>
      <c r="Q730" s="2591"/>
      <c r="R730" s="2591"/>
      <c r="S730" s="2591"/>
    </row>
    <row r="731" ht="16.5" spans="1:19">
      <c r="A731" s="2642"/>
      <c r="B731" s="2675"/>
      <c r="C731" s="2676"/>
      <c r="D731" s="2677"/>
      <c r="E731" s="2677"/>
      <c r="F731" s="2677"/>
      <c r="G731" s="2640"/>
      <c r="H731" s="2640"/>
      <c r="I731" s="2702"/>
      <c r="J731" s="2591"/>
      <c r="K731" s="2591"/>
      <c r="L731" s="2591"/>
      <c r="M731" s="2591"/>
      <c r="N731" s="2591"/>
      <c r="O731" s="2591"/>
      <c r="P731" s="2591"/>
      <c r="Q731" s="2591"/>
      <c r="R731" s="2591"/>
      <c r="S731" s="2591"/>
    </row>
    <row r="732" ht="16.5" spans="1:19">
      <c r="A732" s="2642"/>
      <c r="B732" s="2675"/>
      <c r="C732" s="2676"/>
      <c r="D732" s="2677"/>
      <c r="E732" s="2677"/>
      <c r="F732" s="2677"/>
      <c r="G732" s="2640"/>
      <c r="H732" s="2640"/>
      <c r="I732" s="2702"/>
      <c r="J732" s="2591"/>
      <c r="K732" s="2591"/>
      <c r="L732" s="2591"/>
      <c r="M732" s="2591"/>
      <c r="N732" s="2591"/>
      <c r="O732" s="2591"/>
      <c r="P732" s="2591"/>
      <c r="Q732" s="2591"/>
      <c r="R732" s="2591"/>
      <c r="S732" s="2591"/>
    </row>
    <row r="733" ht="16.5" spans="1:19">
      <c r="A733" s="2642"/>
      <c r="B733" s="2675"/>
      <c r="C733" s="2676"/>
      <c r="D733" s="2677"/>
      <c r="E733" s="2677"/>
      <c r="F733" s="2677"/>
      <c r="G733" s="2640"/>
      <c r="H733" s="2640"/>
      <c r="I733" s="2702"/>
      <c r="J733" s="2591"/>
      <c r="K733" s="2591"/>
      <c r="L733" s="2591"/>
      <c r="M733" s="2591"/>
      <c r="N733" s="2591"/>
      <c r="O733" s="2591"/>
      <c r="P733" s="2591"/>
      <c r="Q733" s="2591"/>
      <c r="R733" s="2591"/>
      <c r="S733" s="2591"/>
    </row>
    <row r="734" ht="16.5" spans="1:19">
      <c r="A734" s="2642"/>
      <c r="B734" s="2675"/>
      <c r="C734" s="2676"/>
      <c r="D734" s="2677"/>
      <c r="E734" s="2677"/>
      <c r="F734" s="2677"/>
      <c r="G734" s="2640"/>
      <c r="H734" s="2640"/>
      <c r="I734" s="2702"/>
      <c r="J734" s="2591"/>
      <c r="K734" s="2591"/>
      <c r="L734" s="2591"/>
      <c r="M734" s="2591"/>
      <c r="N734" s="2591"/>
      <c r="O734" s="2591"/>
      <c r="P734" s="2591"/>
      <c r="Q734" s="2591"/>
      <c r="R734" s="2591"/>
      <c r="S734" s="2591"/>
    </row>
    <row r="735" ht="16.5" spans="1:19">
      <c r="A735" s="2642"/>
      <c r="B735" s="2675"/>
      <c r="C735" s="2676"/>
      <c r="D735" s="2677"/>
      <c r="E735" s="2677"/>
      <c r="F735" s="2677"/>
      <c r="G735" s="2640"/>
      <c r="H735" s="2640"/>
      <c r="I735" s="2702"/>
      <c r="J735" s="2591"/>
      <c r="K735" s="2591"/>
      <c r="L735" s="2591"/>
      <c r="M735" s="2591"/>
      <c r="N735" s="2591"/>
      <c r="O735" s="2591"/>
      <c r="P735" s="2591"/>
      <c r="Q735" s="2591"/>
      <c r="R735" s="2591"/>
      <c r="S735" s="2591"/>
    </row>
    <row r="736" ht="16.5" spans="1:19">
      <c r="A736" s="2642"/>
      <c r="B736" s="2675"/>
      <c r="C736" s="2676"/>
      <c r="D736" s="2677"/>
      <c r="E736" s="2677"/>
      <c r="F736" s="2677"/>
      <c r="G736" s="2640"/>
      <c r="H736" s="2640"/>
      <c r="I736" s="2702"/>
      <c r="J736" s="2591"/>
      <c r="K736" s="2591"/>
      <c r="L736" s="2591"/>
      <c r="M736" s="2591"/>
      <c r="N736" s="2591"/>
      <c r="O736" s="2591"/>
      <c r="P736" s="2591"/>
      <c r="Q736" s="2591"/>
      <c r="R736" s="2591"/>
      <c r="S736" s="2591"/>
    </row>
    <row r="737" ht="16.5" spans="1:19">
      <c r="A737" s="2642"/>
      <c r="B737" s="2675"/>
      <c r="C737" s="2676"/>
      <c r="D737" s="2677"/>
      <c r="E737" s="2677"/>
      <c r="F737" s="2677"/>
      <c r="G737" s="2640"/>
      <c r="H737" s="2640"/>
      <c r="I737" s="2702"/>
      <c r="J737" s="2591"/>
      <c r="K737" s="2591"/>
      <c r="L737" s="2591"/>
      <c r="M737" s="2591"/>
      <c r="N737" s="2591"/>
      <c r="O737" s="2591"/>
      <c r="P737" s="2591"/>
      <c r="Q737" s="2591"/>
      <c r="R737" s="2591"/>
      <c r="S737" s="2591"/>
    </row>
    <row r="738" ht="16.5" spans="1:19">
      <c r="A738" s="2642"/>
      <c r="B738" s="2675"/>
      <c r="C738" s="2676"/>
      <c r="D738" s="2677"/>
      <c r="E738" s="2677"/>
      <c r="F738" s="2677"/>
      <c r="G738" s="2640"/>
      <c r="H738" s="2640"/>
      <c r="I738" s="2702"/>
      <c r="J738" s="2591"/>
      <c r="K738" s="2591"/>
      <c r="L738" s="2591"/>
      <c r="M738" s="2591"/>
      <c r="N738" s="2591"/>
      <c r="O738" s="2591"/>
      <c r="P738" s="2591"/>
      <c r="Q738" s="2591"/>
      <c r="R738" s="2591"/>
      <c r="S738" s="2591"/>
    </row>
    <row r="739" ht="16.5" spans="1:19">
      <c r="A739" s="2642"/>
      <c r="B739" s="2675"/>
      <c r="C739" s="2676"/>
      <c r="D739" s="2677"/>
      <c r="E739" s="2677"/>
      <c r="F739" s="2677"/>
      <c r="G739" s="2640"/>
      <c r="H739" s="2640"/>
      <c r="I739" s="2702"/>
      <c r="J739" s="2591"/>
      <c r="K739" s="2591"/>
      <c r="L739" s="2591"/>
      <c r="M739" s="2591"/>
      <c r="N739" s="2591"/>
      <c r="O739" s="2591"/>
      <c r="P739" s="2591"/>
      <c r="Q739" s="2591"/>
      <c r="R739" s="2591"/>
      <c r="S739" s="2591"/>
    </row>
    <row r="740" ht="16.5" spans="1:19">
      <c r="A740" s="2642"/>
      <c r="B740" s="2675"/>
      <c r="C740" s="2676"/>
      <c r="D740" s="2677"/>
      <c r="E740" s="2677"/>
      <c r="F740" s="2677"/>
      <c r="G740" s="2640"/>
      <c r="H740" s="2640"/>
      <c r="I740" s="2702"/>
      <c r="J740" s="2591"/>
      <c r="K740" s="2591"/>
      <c r="L740" s="2591"/>
      <c r="M740" s="2591"/>
      <c r="N740" s="2591"/>
      <c r="O740" s="2591"/>
      <c r="P740" s="2591"/>
      <c r="Q740" s="2591"/>
      <c r="R740" s="2591"/>
      <c r="S740" s="2591"/>
    </row>
    <row r="741" ht="16.5" spans="1:19">
      <c r="A741" s="2642"/>
      <c r="B741" s="2675"/>
      <c r="C741" s="2676"/>
      <c r="D741" s="2677"/>
      <c r="E741" s="2677"/>
      <c r="F741" s="2677"/>
      <c r="G741" s="2640"/>
      <c r="H741" s="2640"/>
      <c r="I741" s="2702"/>
      <c r="J741" s="2591"/>
      <c r="K741" s="2591"/>
      <c r="L741" s="2591"/>
      <c r="M741" s="2591"/>
      <c r="N741" s="2591"/>
      <c r="O741" s="2591"/>
      <c r="P741" s="2591"/>
      <c r="Q741" s="2591"/>
      <c r="R741" s="2591"/>
      <c r="S741" s="2591"/>
    </row>
    <row r="742" ht="16.5" spans="1:19">
      <c r="A742" s="2642"/>
      <c r="B742" s="2675"/>
      <c r="C742" s="2676"/>
      <c r="D742" s="2677"/>
      <c r="E742" s="2677"/>
      <c r="F742" s="2677"/>
      <c r="G742" s="2640"/>
      <c r="H742" s="2640"/>
      <c r="I742" s="2702"/>
      <c r="J742" s="2591"/>
      <c r="K742" s="2591"/>
      <c r="L742" s="2591"/>
      <c r="M742" s="2591"/>
      <c r="N742" s="2591"/>
      <c r="O742" s="2591"/>
      <c r="P742" s="2591"/>
      <c r="Q742" s="2591"/>
      <c r="R742" s="2591"/>
      <c r="S742" s="2591"/>
    </row>
    <row r="743" ht="16.5" spans="1:19">
      <c r="A743" s="2642"/>
      <c r="B743" s="2675"/>
      <c r="C743" s="2676"/>
      <c r="D743" s="2677"/>
      <c r="E743" s="2677"/>
      <c r="F743" s="2677"/>
      <c r="G743" s="2640"/>
      <c r="H743" s="2640"/>
      <c r="I743" s="2702"/>
      <c r="J743" s="2591"/>
      <c r="K743" s="2591"/>
      <c r="L743" s="2591"/>
      <c r="M743" s="2591"/>
      <c r="N743" s="2591"/>
      <c r="O743" s="2591"/>
      <c r="P743" s="2591"/>
      <c r="Q743" s="2591"/>
      <c r="R743" s="2591"/>
      <c r="S743" s="2591"/>
    </row>
    <row r="744" ht="16.5" spans="1:19">
      <c r="A744" s="2642"/>
      <c r="B744" s="2675"/>
      <c r="C744" s="2676"/>
      <c r="D744" s="2677"/>
      <c r="E744" s="2677"/>
      <c r="F744" s="2677"/>
      <c r="G744" s="2640"/>
      <c r="H744" s="2640"/>
      <c r="I744" s="2702"/>
      <c r="J744" s="2591"/>
      <c r="K744" s="2591"/>
      <c r="L744" s="2591"/>
      <c r="M744" s="2591"/>
      <c r="N744" s="2591"/>
      <c r="O744" s="2591"/>
      <c r="P744" s="2591"/>
      <c r="Q744" s="2591"/>
      <c r="R744" s="2591"/>
      <c r="S744" s="2591"/>
    </row>
    <row r="745" ht="16.5" spans="1:19">
      <c r="A745" s="2642"/>
      <c r="B745" s="2675"/>
      <c r="C745" s="2676"/>
      <c r="D745" s="2677"/>
      <c r="E745" s="2677"/>
      <c r="F745" s="2677"/>
      <c r="G745" s="2640"/>
      <c r="H745" s="2640"/>
      <c r="I745" s="2702"/>
      <c r="J745" s="2591"/>
      <c r="K745" s="2591"/>
      <c r="L745" s="2591"/>
      <c r="M745" s="2591"/>
      <c r="N745" s="2591"/>
      <c r="O745" s="2591"/>
      <c r="P745" s="2591"/>
      <c r="Q745" s="2591"/>
      <c r="R745" s="2591"/>
      <c r="S745" s="2591"/>
    </row>
    <row r="746" ht="16.5" spans="1:19">
      <c r="A746" s="2642"/>
      <c r="B746" s="2675"/>
      <c r="C746" s="2676"/>
      <c r="D746" s="2677"/>
      <c r="E746" s="2677"/>
      <c r="F746" s="2677"/>
      <c r="G746" s="2640"/>
      <c r="H746" s="2640"/>
      <c r="I746" s="2702"/>
      <c r="J746" s="2591"/>
      <c r="K746" s="2591"/>
      <c r="L746" s="2591"/>
      <c r="M746" s="2591"/>
      <c r="N746" s="2591"/>
      <c r="O746" s="2591"/>
      <c r="P746" s="2591"/>
      <c r="Q746" s="2591"/>
      <c r="R746" s="2591"/>
      <c r="S746" s="2591"/>
    </row>
    <row r="747" ht="16.5" spans="1:19">
      <c r="A747" s="2642"/>
      <c r="B747" s="2675"/>
      <c r="C747" s="2676"/>
      <c r="D747" s="2677"/>
      <c r="E747" s="2677"/>
      <c r="F747" s="2677"/>
      <c r="G747" s="2640"/>
      <c r="H747" s="2640"/>
      <c r="I747" s="2702"/>
      <c r="J747" s="2591"/>
      <c r="K747" s="2591"/>
      <c r="L747" s="2591"/>
      <c r="M747" s="2591"/>
      <c r="N747" s="2591"/>
      <c r="O747" s="2591"/>
      <c r="P747" s="2591"/>
      <c r="Q747" s="2591"/>
      <c r="R747" s="2591"/>
      <c r="S747" s="2591"/>
    </row>
    <row r="748" ht="16.5" spans="1:19">
      <c r="A748" s="2642"/>
      <c r="B748" s="2675"/>
      <c r="C748" s="2676"/>
      <c r="D748" s="2677"/>
      <c r="E748" s="2677"/>
      <c r="F748" s="2677"/>
      <c r="G748" s="2640"/>
      <c r="H748" s="2640"/>
      <c r="I748" s="2702"/>
      <c r="J748" s="2591"/>
      <c r="K748" s="2591"/>
      <c r="L748" s="2591"/>
      <c r="M748" s="2591"/>
      <c r="N748" s="2591"/>
      <c r="O748" s="2591"/>
      <c r="P748" s="2591"/>
      <c r="Q748" s="2591"/>
      <c r="R748" s="2591"/>
      <c r="S748" s="2591"/>
    </row>
    <row r="749" ht="16.5" spans="1:19">
      <c r="A749" s="2642"/>
      <c r="B749" s="2675"/>
      <c r="C749" s="2676"/>
      <c r="D749" s="2677"/>
      <c r="E749" s="2677"/>
      <c r="F749" s="2677"/>
      <c r="G749" s="2640"/>
      <c r="H749" s="2640"/>
      <c r="I749" s="2702"/>
      <c r="J749" s="2591"/>
      <c r="K749" s="2591"/>
      <c r="L749" s="2591"/>
      <c r="M749" s="2591"/>
      <c r="N749" s="2591"/>
      <c r="O749" s="2591"/>
      <c r="P749" s="2591"/>
      <c r="Q749" s="2591"/>
      <c r="R749" s="2591"/>
      <c r="S749" s="2591"/>
    </row>
    <row r="750" ht="16.5" spans="1:19">
      <c r="A750" s="2642"/>
      <c r="B750" s="2675"/>
      <c r="C750" s="2676"/>
      <c r="D750" s="2677"/>
      <c r="E750" s="2677"/>
      <c r="F750" s="2677"/>
      <c r="G750" s="2640"/>
      <c r="H750" s="2640"/>
      <c r="I750" s="2702"/>
      <c r="J750" s="2591"/>
      <c r="K750" s="2591"/>
      <c r="L750" s="2591"/>
      <c r="M750" s="2591"/>
      <c r="N750" s="2591"/>
      <c r="O750" s="2591"/>
      <c r="P750" s="2591"/>
      <c r="Q750" s="2591"/>
      <c r="R750" s="2591"/>
      <c r="S750" s="2591"/>
    </row>
    <row r="751" ht="16.5" spans="1:19">
      <c r="A751" s="2642"/>
      <c r="B751" s="2675"/>
      <c r="C751" s="2676"/>
      <c r="D751" s="2677"/>
      <c r="E751" s="2677"/>
      <c r="F751" s="2677"/>
      <c r="G751" s="2640"/>
      <c r="H751" s="2640"/>
      <c r="I751" s="2702"/>
      <c r="J751" s="2591"/>
      <c r="K751" s="2591"/>
      <c r="L751" s="2591"/>
      <c r="M751" s="2591"/>
      <c r="N751" s="2591"/>
      <c r="O751" s="2591"/>
      <c r="P751" s="2591"/>
      <c r="Q751" s="2591"/>
      <c r="R751" s="2591"/>
      <c r="S751" s="2591"/>
    </row>
    <row r="752" ht="16.5" spans="1:19">
      <c r="A752" s="2642"/>
      <c r="B752" s="2675"/>
      <c r="C752" s="2676"/>
      <c r="D752" s="2677"/>
      <c r="E752" s="2677"/>
      <c r="F752" s="2677"/>
      <c r="G752" s="2640"/>
      <c r="H752" s="2640"/>
      <c r="I752" s="2702"/>
      <c r="J752" s="2591"/>
      <c r="K752" s="2591"/>
      <c r="L752" s="2591"/>
      <c r="M752" s="2591"/>
      <c r="N752" s="2591"/>
      <c r="O752" s="2591"/>
      <c r="P752" s="2591"/>
      <c r="Q752" s="2591"/>
      <c r="R752" s="2591"/>
      <c r="S752" s="2591"/>
    </row>
    <row r="753" ht="16.5" spans="1:19">
      <c r="A753" s="2642"/>
      <c r="B753" s="2675"/>
      <c r="C753" s="2676"/>
      <c r="D753" s="2677"/>
      <c r="E753" s="2677"/>
      <c r="F753" s="2677"/>
      <c r="G753" s="2640"/>
      <c r="H753" s="2640"/>
      <c r="I753" s="2702"/>
      <c r="J753" s="2591"/>
      <c r="K753" s="2591"/>
      <c r="L753" s="2591"/>
      <c r="M753" s="2591"/>
      <c r="N753" s="2591"/>
      <c r="O753" s="2591"/>
      <c r="P753" s="2591"/>
      <c r="Q753" s="2591"/>
      <c r="R753" s="2591"/>
      <c r="S753" s="2591"/>
    </row>
    <row r="754" ht="16.5" spans="1:19">
      <c r="A754" s="2642"/>
      <c r="B754" s="2675"/>
      <c r="C754" s="2676"/>
      <c r="D754" s="2677"/>
      <c r="E754" s="2677"/>
      <c r="F754" s="2677"/>
      <c r="G754" s="2640"/>
      <c r="H754" s="2640"/>
      <c r="I754" s="2702"/>
      <c r="J754" s="2591"/>
      <c r="K754" s="2591"/>
      <c r="L754" s="2591"/>
      <c r="M754" s="2591"/>
      <c r="N754" s="2591"/>
      <c r="O754" s="2591"/>
      <c r="P754" s="2591"/>
      <c r="Q754" s="2591"/>
      <c r="R754" s="2591"/>
      <c r="S754" s="2591"/>
    </row>
    <row r="755" ht="16.5" spans="1:19">
      <c r="A755" s="2642"/>
      <c r="B755" s="2675"/>
      <c r="C755" s="2676"/>
      <c r="D755" s="2677"/>
      <c r="E755" s="2677"/>
      <c r="F755" s="2677"/>
      <c r="G755" s="2640"/>
      <c r="H755" s="2640"/>
      <c r="I755" s="2702"/>
      <c r="J755" s="2591"/>
      <c r="K755" s="2591"/>
      <c r="L755" s="2591"/>
      <c r="M755" s="2591"/>
      <c r="N755" s="2591"/>
      <c r="O755" s="2591"/>
      <c r="P755" s="2591"/>
      <c r="Q755" s="2591"/>
      <c r="R755" s="2591"/>
      <c r="S755" s="2591"/>
    </row>
    <row r="756" ht="16.5" spans="1:19">
      <c r="A756" s="2642"/>
      <c r="B756" s="2675"/>
      <c r="C756" s="2676"/>
      <c r="D756" s="2677"/>
      <c r="E756" s="2677"/>
      <c r="F756" s="2677"/>
      <c r="G756" s="2640"/>
      <c r="H756" s="2640"/>
      <c r="I756" s="2702"/>
      <c r="J756" s="2591"/>
      <c r="K756" s="2591"/>
      <c r="L756" s="2591"/>
      <c r="M756" s="2591"/>
      <c r="N756" s="2591"/>
      <c r="O756" s="2591"/>
      <c r="P756" s="2591"/>
      <c r="Q756" s="2591"/>
      <c r="R756" s="2591"/>
      <c r="S756" s="2591"/>
    </row>
    <row r="757" ht="16.5" spans="1:19">
      <c r="A757" s="2642"/>
      <c r="B757" s="2675"/>
      <c r="C757" s="2676"/>
      <c r="D757" s="2677"/>
      <c r="E757" s="2677"/>
      <c r="F757" s="2677"/>
      <c r="G757" s="2640"/>
      <c r="H757" s="2640"/>
      <c r="I757" s="2702"/>
      <c r="J757" s="2591"/>
      <c r="K757" s="2591"/>
      <c r="L757" s="2591"/>
      <c r="M757" s="2591"/>
      <c r="N757" s="2591"/>
      <c r="O757" s="2591"/>
      <c r="P757" s="2591"/>
      <c r="Q757" s="2591"/>
      <c r="R757" s="2591"/>
      <c r="S757" s="2591"/>
    </row>
    <row r="758" ht="16.5" spans="1:19">
      <c r="A758" s="2642"/>
      <c r="B758" s="2675"/>
      <c r="C758" s="2676"/>
      <c r="D758" s="2677"/>
      <c r="E758" s="2677"/>
      <c r="F758" s="2677"/>
      <c r="G758" s="2640"/>
      <c r="H758" s="2640"/>
      <c r="I758" s="2702"/>
      <c r="J758" s="2591"/>
      <c r="K758" s="2591"/>
      <c r="L758" s="2591"/>
      <c r="M758" s="2591"/>
      <c r="N758" s="2591"/>
      <c r="O758" s="2591"/>
      <c r="P758" s="2591"/>
      <c r="Q758" s="2591"/>
      <c r="R758" s="2591"/>
      <c r="S758" s="2591"/>
    </row>
    <row r="759" ht="16.5" spans="1:19">
      <c r="A759" s="2642"/>
      <c r="B759" s="2675"/>
      <c r="C759" s="2676"/>
      <c r="D759" s="2677"/>
      <c r="E759" s="2677"/>
      <c r="F759" s="2677"/>
      <c r="G759" s="2640"/>
      <c r="H759" s="2640"/>
      <c r="I759" s="2702"/>
      <c r="J759" s="2591"/>
      <c r="K759" s="2591"/>
      <c r="L759" s="2591"/>
      <c r="M759" s="2591"/>
      <c r="N759" s="2591"/>
      <c r="O759" s="2591"/>
      <c r="P759" s="2591"/>
      <c r="Q759" s="2591"/>
      <c r="R759" s="2591"/>
      <c r="S759" s="2591"/>
    </row>
    <row r="760" ht="16.5" spans="1:19">
      <c r="A760" s="2642"/>
      <c r="B760" s="2675"/>
      <c r="C760" s="2676"/>
      <c r="D760" s="2677"/>
      <c r="E760" s="2677"/>
      <c r="F760" s="2677"/>
      <c r="G760" s="2640"/>
      <c r="H760" s="2640"/>
      <c r="I760" s="2702"/>
      <c r="J760" s="2591"/>
      <c r="K760" s="2591"/>
      <c r="L760" s="2591"/>
      <c r="M760" s="2591"/>
      <c r="N760" s="2591"/>
      <c r="O760" s="2591"/>
      <c r="P760" s="2591"/>
      <c r="Q760" s="2591"/>
      <c r="R760" s="2591"/>
      <c r="S760" s="2591"/>
    </row>
    <row r="761" ht="16.5" spans="1:19">
      <c r="A761" s="2642"/>
      <c r="B761" s="2675"/>
      <c r="C761" s="2676"/>
      <c r="D761" s="2677"/>
      <c r="E761" s="2677"/>
      <c r="F761" s="2677"/>
      <c r="G761" s="2640"/>
      <c r="H761" s="2640"/>
      <c r="I761" s="2702"/>
      <c r="J761" s="2591"/>
      <c r="K761" s="2591"/>
      <c r="L761" s="2591"/>
      <c r="M761" s="2591"/>
      <c r="N761" s="2591"/>
      <c r="O761" s="2591"/>
      <c r="P761" s="2591"/>
      <c r="Q761" s="2591"/>
      <c r="R761" s="2591"/>
      <c r="S761" s="2591"/>
    </row>
    <row r="762" ht="16.5" spans="1:19">
      <c r="A762" s="2642"/>
      <c r="B762" s="2675"/>
      <c r="C762" s="2676"/>
      <c r="D762" s="2677"/>
      <c r="E762" s="2677"/>
      <c r="F762" s="2677"/>
      <c r="G762" s="2640"/>
      <c r="H762" s="2640"/>
      <c r="I762" s="2702"/>
      <c r="J762" s="2591"/>
      <c r="K762" s="2591"/>
      <c r="L762" s="2591"/>
      <c r="M762" s="2591"/>
      <c r="N762" s="2591"/>
      <c r="O762" s="2591"/>
      <c r="P762" s="2591"/>
      <c r="Q762" s="2591"/>
      <c r="R762" s="2591"/>
      <c r="S762" s="2591"/>
    </row>
    <row r="763" ht="16.5" spans="1:19">
      <c r="A763" s="2642"/>
      <c r="B763" s="2675"/>
      <c r="C763" s="2676"/>
      <c r="D763" s="2677"/>
      <c r="E763" s="2677"/>
      <c r="F763" s="2677"/>
      <c r="G763" s="2640"/>
      <c r="H763" s="2640"/>
      <c r="I763" s="2702"/>
      <c r="J763" s="2591"/>
      <c r="K763" s="2591"/>
      <c r="L763" s="2591"/>
      <c r="M763" s="2591"/>
      <c r="N763" s="2591"/>
      <c r="O763" s="2591"/>
      <c r="P763" s="2591"/>
      <c r="Q763" s="2591"/>
      <c r="R763" s="2591"/>
      <c r="S763" s="2591"/>
    </row>
    <row r="764" ht="16.5" spans="1:19">
      <c r="A764" s="2642"/>
      <c r="B764" s="2675"/>
      <c r="C764" s="2676"/>
      <c r="D764" s="2677"/>
      <c r="E764" s="2677"/>
      <c r="F764" s="2677"/>
      <c r="G764" s="2640"/>
      <c r="H764" s="2640"/>
      <c r="I764" s="2702"/>
      <c r="J764" s="2591"/>
      <c r="K764" s="2591"/>
      <c r="L764" s="2591"/>
      <c r="M764" s="2591"/>
      <c r="N764" s="2591"/>
      <c r="O764" s="2591"/>
      <c r="P764" s="2591"/>
      <c r="Q764" s="2591"/>
      <c r="R764" s="2591"/>
      <c r="S764" s="2591"/>
    </row>
    <row r="765" ht="16.5" spans="1:19">
      <c r="A765" s="2642"/>
      <c r="B765" s="2675"/>
      <c r="C765" s="2676"/>
      <c r="D765" s="2677"/>
      <c r="E765" s="2677"/>
      <c r="F765" s="2677"/>
      <c r="G765" s="2640"/>
      <c r="H765" s="2640"/>
      <c r="I765" s="2702"/>
      <c r="J765" s="2591"/>
      <c r="K765" s="2591"/>
      <c r="L765" s="2591"/>
      <c r="M765" s="2591"/>
      <c r="N765" s="2591"/>
      <c r="O765" s="2591"/>
      <c r="P765" s="2591"/>
      <c r="Q765" s="2591"/>
      <c r="R765" s="2591"/>
      <c r="S765" s="2591"/>
    </row>
    <row r="766" ht="16.5" spans="1:19">
      <c r="A766" s="2642"/>
      <c r="B766" s="2675"/>
      <c r="C766" s="2676"/>
      <c r="D766" s="2677"/>
      <c r="E766" s="2677"/>
      <c r="F766" s="2677"/>
      <c r="G766" s="2640"/>
      <c r="H766" s="2640"/>
      <c r="I766" s="2702"/>
      <c r="J766" s="2591"/>
      <c r="K766" s="2591"/>
      <c r="L766" s="2591"/>
      <c r="M766" s="2591"/>
      <c r="N766" s="2591"/>
      <c r="O766" s="2591"/>
      <c r="P766" s="2591"/>
      <c r="Q766" s="2591"/>
      <c r="R766" s="2591"/>
      <c r="S766" s="2591"/>
    </row>
    <row r="767" ht="16.5" spans="1:19">
      <c r="A767" s="2642"/>
      <c r="B767" s="2675"/>
      <c r="C767" s="2676"/>
      <c r="D767" s="2677"/>
      <c r="E767" s="2677"/>
      <c r="F767" s="2677"/>
      <c r="G767" s="2640"/>
      <c r="H767" s="2640"/>
      <c r="I767" s="2702"/>
      <c r="J767" s="2591"/>
      <c r="K767" s="2591"/>
      <c r="L767" s="2591"/>
      <c r="M767" s="2591"/>
      <c r="N767" s="2591"/>
      <c r="O767" s="2591"/>
      <c r="P767" s="2591"/>
      <c r="Q767" s="2591"/>
      <c r="R767" s="2591"/>
      <c r="S767" s="2591"/>
    </row>
    <row r="768" ht="16.5" spans="1:19">
      <c r="A768" s="2642"/>
      <c r="B768" s="2675"/>
      <c r="C768" s="2676"/>
      <c r="D768" s="2677"/>
      <c r="E768" s="2677"/>
      <c r="F768" s="2677"/>
      <c r="G768" s="2640"/>
      <c r="H768" s="2640"/>
      <c r="I768" s="2702"/>
      <c r="J768" s="2591"/>
      <c r="K768" s="2591"/>
      <c r="L768" s="2591"/>
      <c r="M768" s="2591"/>
      <c r="N768" s="2591"/>
      <c r="O768" s="2591"/>
      <c r="P768" s="2591"/>
      <c r="Q768" s="2591"/>
      <c r="R768" s="2591"/>
      <c r="S768" s="2591"/>
    </row>
    <row r="769" ht="16.5" spans="1:19">
      <c r="A769" s="2642"/>
      <c r="B769" s="2675"/>
      <c r="C769" s="2676"/>
      <c r="D769" s="2677"/>
      <c r="E769" s="2677"/>
      <c r="F769" s="2677"/>
      <c r="G769" s="2640"/>
      <c r="H769" s="2640"/>
      <c r="I769" s="2702"/>
      <c r="J769" s="2591"/>
      <c r="K769" s="2591"/>
      <c r="L769" s="2591"/>
      <c r="M769" s="2591"/>
      <c r="N769" s="2591"/>
      <c r="O769" s="2591"/>
      <c r="P769" s="2591"/>
      <c r="Q769" s="2591"/>
      <c r="R769" s="2591"/>
      <c r="S769" s="2591"/>
    </row>
    <row r="770" ht="16.5" spans="1:19">
      <c r="A770" s="2642"/>
      <c r="B770" s="2675"/>
      <c r="C770" s="2676"/>
      <c r="D770" s="2677"/>
      <c r="E770" s="2677"/>
      <c r="F770" s="2677"/>
      <c r="G770" s="2640"/>
      <c r="H770" s="2640"/>
      <c r="I770" s="2702"/>
      <c r="J770" s="2591"/>
      <c r="K770" s="2591"/>
      <c r="L770" s="2591"/>
      <c r="M770" s="2591"/>
      <c r="N770" s="2591"/>
      <c r="O770" s="2591"/>
      <c r="P770" s="2591"/>
      <c r="Q770" s="2591"/>
      <c r="R770" s="2591"/>
      <c r="S770" s="2591"/>
    </row>
    <row r="771" ht="16.5" spans="1:19">
      <c r="A771" s="2642"/>
      <c r="B771" s="2675"/>
      <c r="C771" s="2676"/>
      <c r="D771" s="2677"/>
      <c r="E771" s="2677"/>
      <c r="F771" s="2677"/>
      <c r="G771" s="2640"/>
      <c r="H771" s="2640"/>
      <c r="I771" s="2702"/>
      <c r="J771" s="2591"/>
      <c r="K771" s="2591"/>
      <c r="L771" s="2591"/>
      <c r="M771" s="2591"/>
      <c r="N771" s="2591"/>
      <c r="O771" s="2591"/>
      <c r="P771" s="2591"/>
      <c r="Q771" s="2591"/>
      <c r="R771" s="2591"/>
      <c r="S771" s="2591"/>
    </row>
    <row r="772" ht="16.5" spans="1:19">
      <c r="A772" s="2642"/>
      <c r="B772" s="2675"/>
      <c r="C772" s="2676"/>
      <c r="D772" s="2677"/>
      <c r="E772" s="2677"/>
      <c r="F772" s="2677"/>
      <c r="G772" s="2640"/>
      <c r="H772" s="2640"/>
      <c r="I772" s="2702"/>
      <c r="J772" s="2591"/>
      <c r="K772" s="2591"/>
      <c r="L772" s="2591"/>
      <c r="M772" s="2591"/>
      <c r="N772" s="2591"/>
      <c r="O772" s="2591"/>
      <c r="P772" s="2591"/>
      <c r="Q772" s="2591"/>
      <c r="R772" s="2591"/>
      <c r="S772" s="2591"/>
    </row>
    <row r="773" ht="16.5" spans="1:19">
      <c r="A773" s="2642"/>
      <c r="B773" s="2675"/>
      <c r="C773" s="2676"/>
      <c r="D773" s="2677"/>
      <c r="E773" s="2677"/>
      <c r="F773" s="2677"/>
      <c r="G773" s="2640"/>
      <c r="H773" s="2640"/>
      <c r="I773" s="2702"/>
      <c r="J773" s="2591"/>
      <c r="K773" s="2591"/>
      <c r="L773" s="2591"/>
      <c r="M773" s="2591"/>
      <c r="N773" s="2591"/>
      <c r="O773" s="2591"/>
      <c r="P773" s="2591"/>
      <c r="Q773" s="2591"/>
      <c r="R773" s="2591"/>
      <c r="S773" s="2591"/>
    </row>
    <row r="774" ht="16.5" spans="1:19">
      <c r="A774" s="2642"/>
      <c r="B774" s="2675"/>
      <c r="C774" s="2676"/>
      <c r="D774" s="2677"/>
      <c r="E774" s="2677"/>
      <c r="F774" s="2677"/>
      <c r="G774" s="2640"/>
      <c r="H774" s="2640"/>
      <c r="I774" s="2702"/>
      <c r="J774" s="2591"/>
      <c r="K774" s="2591"/>
      <c r="L774" s="2591"/>
      <c r="M774" s="2591"/>
      <c r="N774" s="2591"/>
      <c r="O774" s="2591"/>
      <c r="P774" s="2591"/>
      <c r="Q774" s="2591"/>
      <c r="R774" s="2591"/>
      <c r="S774" s="2591"/>
    </row>
    <row r="775" ht="16.5" spans="1:19">
      <c r="A775" s="2642"/>
      <c r="B775" s="2675"/>
      <c r="C775" s="2676"/>
      <c r="D775" s="2677"/>
      <c r="E775" s="2677"/>
      <c r="F775" s="2677"/>
      <c r="G775" s="2640"/>
      <c r="H775" s="2640"/>
      <c r="I775" s="2702"/>
      <c r="J775" s="2591"/>
      <c r="K775" s="2591"/>
      <c r="L775" s="2591"/>
      <c r="M775" s="2591"/>
      <c r="N775" s="2591"/>
      <c r="O775" s="2591"/>
      <c r="P775" s="2591"/>
      <c r="Q775" s="2591"/>
      <c r="R775" s="2591"/>
      <c r="S775" s="2591"/>
    </row>
    <row r="776" ht="16.5" spans="1:19">
      <c r="A776" s="2642"/>
      <c r="B776" s="2675"/>
      <c r="C776" s="2676"/>
      <c r="D776" s="2677"/>
      <c r="E776" s="2677"/>
      <c r="F776" s="2677"/>
      <c r="G776" s="2640"/>
      <c r="H776" s="2640"/>
      <c r="I776" s="2702"/>
      <c r="J776" s="2591"/>
      <c r="K776" s="2591"/>
      <c r="L776" s="2591"/>
      <c r="M776" s="2591"/>
      <c r="N776" s="2591"/>
      <c r="O776" s="2591"/>
      <c r="P776" s="2591"/>
      <c r="Q776" s="2591"/>
      <c r="R776" s="2591"/>
      <c r="S776" s="2591"/>
    </row>
    <row r="777" ht="16.5" spans="1:19">
      <c r="A777" s="2642"/>
      <c r="B777" s="2675"/>
      <c r="C777" s="2676"/>
      <c r="D777" s="2677"/>
      <c r="E777" s="2677"/>
      <c r="F777" s="2677"/>
      <c r="G777" s="2640"/>
      <c r="H777" s="2640"/>
      <c r="I777" s="2702"/>
      <c r="J777" s="2591"/>
      <c r="K777" s="2591"/>
      <c r="L777" s="2591"/>
      <c r="M777" s="2591"/>
      <c r="N777" s="2591"/>
      <c r="O777" s="2591"/>
      <c r="P777" s="2591"/>
      <c r="Q777" s="2591"/>
      <c r="R777" s="2591"/>
      <c r="S777" s="2591"/>
    </row>
    <row r="778" ht="16.5" spans="1:19">
      <c r="A778" s="2642"/>
      <c r="B778" s="2675"/>
      <c r="C778" s="2676"/>
      <c r="D778" s="2677"/>
      <c r="E778" s="2677"/>
      <c r="F778" s="2677"/>
      <c r="G778" s="2640"/>
      <c r="H778" s="2640"/>
      <c r="I778" s="2702"/>
      <c r="J778" s="2591"/>
      <c r="K778" s="2591"/>
      <c r="L778" s="2591"/>
      <c r="M778" s="2591"/>
      <c r="N778" s="2591"/>
      <c r="O778" s="2591"/>
      <c r="P778" s="2591"/>
      <c r="Q778" s="2591"/>
      <c r="R778" s="2591"/>
      <c r="S778" s="2591"/>
    </row>
    <row r="779" ht="16.5" spans="1:19">
      <c r="A779" s="2642"/>
      <c r="B779" s="2675"/>
      <c r="C779" s="2676"/>
      <c r="D779" s="2677"/>
      <c r="E779" s="2677"/>
      <c r="F779" s="2677"/>
      <c r="G779" s="2640"/>
      <c r="H779" s="2640"/>
      <c r="I779" s="2702"/>
      <c r="J779" s="2591"/>
      <c r="K779" s="2591"/>
      <c r="L779" s="2591"/>
      <c r="M779" s="2591"/>
      <c r="N779" s="2591"/>
      <c r="O779" s="2591"/>
      <c r="P779" s="2591"/>
      <c r="Q779" s="2591"/>
      <c r="R779" s="2591"/>
      <c r="S779" s="2591"/>
    </row>
    <row r="780" ht="16.5" spans="1:19">
      <c r="A780" s="2642"/>
      <c r="B780" s="2675"/>
      <c r="C780" s="2676"/>
      <c r="D780" s="2677"/>
      <c r="E780" s="2677"/>
      <c r="F780" s="2677"/>
      <c r="G780" s="2640"/>
      <c r="H780" s="2640"/>
      <c r="I780" s="2702"/>
      <c r="J780" s="2591"/>
      <c r="K780" s="2591"/>
      <c r="L780" s="2591"/>
      <c r="M780" s="2591"/>
      <c r="N780" s="2591"/>
      <c r="O780" s="2591"/>
      <c r="P780" s="2591"/>
      <c r="Q780" s="2591"/>
      <c r="R780" s="2591"/>
      <c r="S780" s="2591"/>
    </row>
    <row r="781" ht="16.5" spans="1:19">
      <c r="A781" s="2642"/>
      <c r="B781" s="2675"/>
      <c r="C781" s="2676"/>
      <c r="D781" s="2677"/>
      <c r="E781" s="2677"/>
      <c r="F781" s="2677"/>
      <c r="G781" s="2640"/>
      <c r="H781" s="2640"/>
      <c r="I781" s="2702"/>
      <c r="J781" s="2591"/>
      <c r="K781" s="2591"/>
      <c r="L781" s="2591"/>
      <c r="M781" s="2591"/>
      <c r="N781" s="2591"/>
      <c r="O781" s="2591"/>
      <c r="P781" s="2591"/>
      <c r="Q781" s="2591"/>
      <c r="R781" s="2591"/>
      <c r="S781" s="2591"/>
    </row>
    <row r="782" ht="16.5" spans="1:19">
      <c r="A782" s="2642"/>
      <c r="B782" s="2675"/>
      <c r="C782" s="2676"/>
      <c r="D782" s="2677"/>
      <c r="E782" s="2677"/>
      <c r="F782" s="2677"/>
      <c r="G782" s="2640"/>
      <c r="H782" s="2640"/>
      <c r="I782" s="2702"/>
      <c r="J782" s="2591"/>
      <c r="K782" s="2591"/>
      <c r="L782" s="2591"/>
      <c r="M782" s="2591"/>
      <c r="N782" s="2591"/>
      <c r="O782" s="2591"/>
      <c r="P782" s="2591"/>
      <c r="Q782" s="2591"/>
      <c r="R782" s="2591"/>
      <c r="S782" s="2591"/>
    </row>
    <row r="783" ht="16.5" spans="1:19">
      <c r="A783" s="2642"/>
      <c r="B783" s="2675"/>
      <c r="C783" s="2676"/>
      <c r="D783" s="2677"/>
      <c r="E783" s="2677"/>
      <c r="F783" s="2677"/>
      <c r="G783" s="2640"/>
      <c r="H783" s="2640"/>
      <c r="I783" s="2702"/>
      <c r="J783" s="2591"/>
      <c r="K783" s="2591"/>
      <c r="L783" s="2591"/>
      <c r="M783" s="2591"/>
      <c r="N783" s="2591"/>
      <c r="O783" s="2591"/>
      <c r="P783" s="2591"/>
      <c r="Q783" s="2591"/>
      <c r="R783" s="2591"/>
      <c r="S783" s="2591"/>
    </row>
    <row r="784" ht="16.5" spans="1:19">
      <c r="A784" s="2642"/>
      <c r="B784" s="2675"/>
      <c r="C784" s="2676"/>
      <c r="D784" s="2677"/>
      <c r="E784" s="2677"/>
      <c r="F784" s="2677"/>
      <c r="G784" s="2640"/>
      <c r="H784" s="2640"/>
      <c r="I784" s="2702"/>
      <c r="J784" s="2591"/>
      <c r="K784" s="2591"/>
      <c r="L784" s="2591"/>
      <c r="M784" s="2591"/>
      <c r="N784" s="2591"/>
      <c r="O784" s="2591"/>
      <c r="P784" s="2591"/>
      <c r="Q784" s="2591"/>
      <c r="R784" s="2591"/>
      <c r="S784" s="2591"/>
    </row>
    <row r="785" ht="16.5" spans="1:19">
      <c r="A785" s="2642"/>
      <c r="B785" s="2675"/>
      <c r="C785" s="2676"/>
      <c r="D785" s="2677"/>
      <c r="E785" s="2677"/>
      <c r="F785" s="2677"/>
      <c r="G785" s="2640"/>
      <c r="H785" s="2640"/>
      <c r="I785" s="2702"/>
      <c r="J785" s="2591"/>
      <c r="K785" s="2591"/>
      <c r="L785" s="2591"/>
      <c r="M785" s="2591"/>
      <c r="N785" s="2591"/>
      <c r="O785" s="2591"/>
      <c r="P785" s="2591"/>
      <c r="Q785" s="2591"/>
      <c r="R785" s="2591"/>
      <c r="S785" s="2591"/>
    </row>
    <row r="786" ht="16.5" spans="1:19">
      <c r="A786" s="2642"/>
      <c r="B786" s="2675"/>
      <c r="C786" s="2676"/>
      <c r="D786" s="2677"/>
      <c r="E786" s="2677"/>
      <c r="F786" s="2677"/>
      <c r="G786" s="2640"/>
      <c r="H786" s="2640"/>
      <c r="I786" s="2702"/>
      <c r="J786" s="2591"/>
      <c r="K786" s="2591"/>
      <c r="L786" s="2591"/>
      <c r="M786" s="2591"/>
      <c r="N786" s="2591"/>
      <c r="O786" s="2591"/>
      <c r="P786" s="2591"/>
      <c r="Q786" s="2591"/>
      <c r="R786" s="2591"/>
      <c r="S786" s="2591"/>
    </row>
    <row r="787" ht="16.5" spans="1:19">
      <c r="A787" s="2642"/>
      <c r="B787" s="2675"/>
      <c r="C787" s="2676"/>
      <c r="D787" s="2677"/>
      <c r="E787" s="2677"/>
      <c r="F787" s="2677"/>
      <c r="G787" s="2640"/>
      <c r="H787" s="2640"/>
      <c r="I787" s="2702"/>
      <c r="J787" s="2591"/>
      <c r="K787" s="2591"/>
      <c r="L787" s="2591"/>
      <c r="M787" s="2591"/>
      <c r="N787" s="2591"/>
      <c r="O787" s="2591"/>
      <c r="P787" s="2591"/>
      <c r="Q787" s="2591"/>
      <c r="R787" s="2591"/>
      <c r="S787" s="2591"/>
    </row>
    <row r="788" ht="16.5" spans="1:19">
      <c r="A788" s="2642"/>
      <c r="B788" s="2675"/>
      <c r="C788" s="2676"/>
      <c r="D788" s="2677"/>
      <c r="E788" s="2677"/>
      <c r="F788" s="2677"/>
      <c r="G788" s="2640"/>
      <c r="H788" s="2640"/>
      <c r="I788" s="2702"/>
      <c r="J788" s="2591"/>
      <c r="K788" s="2591"/>
      <c r="L788" s="2591"/>
      <c r="M788" s="2591"/>
      <c r="N788" s="2591"/>
      <c r="O788" s="2591"/>
      <c r="P788" s="2591"/>
      <c r="Q788" s="2591"/>
      <c r="R788" s="2591"/>
      <c r="S788" s="2591"/>
    </row>
    <row r="789" ht="16.5" spans="1:19">
      <c r="A789" s="2642"/>
      <c r="B789" s="2675"/>
      <c r="C789" s="2676"/>
      <c r="D789" s="2677"/>
      <c r="E789" s="2677"/>
      <c r="F789" s="2677"/>
      <c r="G789" s="2640"/>
      <c r="H789" s="2640"/>
      <c r="I789" s="2702"/>
      <c r="J789" s="2591"/>
      <c r="K789" s="2591"/>
      <c r="L789" s="2591"/>
      <c r="M789" s="2591"/>
      <c r="N789" s="2591"/>
      <c r="O789" s="2591"/>
      <c r="P789" s="2591"/>
      <c r="Q789" s="2591"/>
      <c r="R789" s="2591"/>
      <c r="S789" s="2591"/>
    </row>
    <row r="790" ht="16.5" spans="1:19">
      <c r="A790" s="2642"/>
      <c r="B790" s="2675"/>
      <c r="C790" s="2676"/>
      <c r="D790" s="2677"/>
      <c r="E790" s="2677"/>
      <c r="F790" s="2677"/>
      <c r="G790" s="2640"/>
      <c r="H790" s="2640"/>
      <c r="I790" s="2702"/>
      <c r="J790" s="2591"/>
      <c r="K790" s="2591"/>
      <c r="L790" s="2591"/>
      <c r="M790" s="2591"/>
      <c r="N790" s="2591"/>
      <c r="O790" s="2591"/>
      <c r="P790" s="2591"/>
      <c r="Q790" s="2591"/>
      <c r="R790" s="2591"/>
      <c r="S790" s="2591"/>
    </row>
    <row r="791" ht="16.5" spans="1:19">
      <c r="A791" s="2642"/>
      <c r="B791" s="2675"/>
      <c r="C791" s="2676"/>
      <c r="D791" s="2677"/>
      <c r="E791" s="2677"/>
      <c r="F791" s="2677"/>
      <c r="G791" s="2640"/>
      <c r="H791" s="2640"/>
      <c r="I791" s="2702"/>
      <c r="J791" s="2591"/>
      <c r="K791" s="2591"/>
      <c r="L791" s="2591"/>
      <c r="M791" s="2591"/>
      <c r="N791" s="2591"/>
      <c r="O791" s="2591"/>
      <c r="P791" s="2591"/>
      <c r="Q791" s="2591"/>
      <c r="R791" s="2591"/>
      <c r="S791" s="2591"/>
    </row>
    <row r="792" ht="16.5" spans="1:19">
      <c r="A792" s="2642"/>
      <c r="B792" s="2675"/>
      <c r="C792" s="2676"/>
      <c r="D792" s="2677"/>
      <c r="E792" s="2677"/>
      <c r="F792" s="2677"/>
      <c r="G792" s="2640"/>
      <c r="H792" s="2640"/>
      <c r="I792" s="2702"/>
      <c r="J792" s="2591"/>
      <c r="K792" s="2591"/>
      <c r="L792" s="2591"/>
      <c r="M792" s="2591"/>
      <c r="N792" s="2591"/>
      <c r="O792" s="2591"/>
      <c r="P792" s="2591"/>
      <c r="Q792" s="2591"/>
      <c r="R792" s="2591"/>
      <c r="S792" s="2591"/>
    </row>
    <row r="793" ht="16.5" spans="1:19">
      <c r="A793" s="2642"/>
      <c r="B793" s="2675"/>
      <c r="C793" s="2676"/>
      <c r="D793" s="2677"/>
      <c r="E793" s="2677"/>
      <c r="F793" s="2677"/>
      <c r="G793" s="2640"/>
      <c r="H793" s="2640"/>
      <c r="I793" s="2702"/>
      <c r="J793" s="2591"/>
      <c r="K793" s="2591"/>
      <c r="L793" s="2591"/>
      <c r="M793" s="2591"/>
      <c r="N793" s="2591"/>
      <c r="O793" s="2591"/>
      <c r="P793" s="2591"/>
      <c r="Q793" s="2591"/>
      <c r="R793" s="2591"/>
      <c r="S793" s="2591"/>
    </row>
    <row r="794" ht="16.5" spans="1:19">
      <c r="A794" s="2642"/>
      <c r="B794" s="2675"/>
      <c r="C794" s="2676"/>
      <c r="D794" s="2677"/>
      <c r="E794" s="2677"/>
      <c r="F794" s="2677"/>
      <c r="G794" s="2640"/>
      <c r="H794" s="2640"/>
      <c r="I794" s="2702"/>
      <c r="J794" s="2591"/>
      <c r="K794" s="2591"/>
      <c r="L794" s="2591"/>
      <c r="M794" s="2591"/>
      <c r="N794" s="2591"/>
      <c r="O794" s="2591"/>
      <c r="P794" s="2591"/>
      <c r="Q794" s="2591"/>
      <c r="R794" s="2591"/>
      <c r="S794" s="2591"/>
    </row>
    <row r="795" ht="16.5" spans="1:19">
      <c r="A795" s="2642"/>
      <c r="B795" s="2675"/>
      <c r="C795" s="2676"/>
      <c r="D795" s="2677"/>
      <c r="E795" s="2677"/>
      <c r="F795" s="2677"/>
      <c r="G795" s="2640"/>
      <c r="H795" s="2640"/>
      <c r="I795" s="2702"/>
      <c r="J795" s="2591"/>
      <c r="K795" s="2591"/>
      <c r="L795" s="2591"/>
      <c r="M795" s="2591"/>
      <c r="N795" s="2591"/>
      <c r="O795" s="2591"/>
      <c r="P795" s="2591"/>
      <c r="Q795" s="2591"/>
      <c r="R795" s="2591"/>
      <c r="S795" s="2591"/>
    </row>
    <row r="796" ht="16.5" spans="1:19">
      <c r="A796" s="2642"/>
      <c r="B796" s="2675"/>
      <c r="C796" s="2676"/>
      <c r="D796" s="2677"/>
      <c r="E796" s="2677"/>
      <c r="F796" s="2677"/>
      <c r="G796" s="2640"/>
      <c r="H796" s="2640"/>
      <c r="I796" s="2702"/>
      <c r="J796" s="2591"/>
      <c r="K796" s="2591"/>
      <c r="L796" s="2591"/>
      <c r="M796" s="2591"/>
      <c r="N796" s="2591"/>
      <c r="O796" s="2591"/>
      <c r="P796" s="2591"/>
      <c r="Q796" s="2591"/>
      <c r="R796" s="2591"/>
      <c r="S796" s="2591"/>
    </row>
    <row r="797" ht="16.5" spans="1:19">
      <c r="A797" s="2642"/>
      <c r="B797" s="2675"/>
      <c r="C797" s="2676"/>
      <c r="D797" s="2677"/>
      <c r="E797" s="2677"/>
      <c r="F797" s="2677"/>
      <c r="G797" s="2640"/>
      <c r="H797" s="2640"/>
      <c r="I797" s="2702"/>
      <c r="J797" s="2591"/>
      <c r="K797" s="2591"/>
      <c r="L797" s="2591"/>
      <c r="M797" s="2591"/>
      <c r="N797" s="2591"/>
      <c r="O797" s="2591"/>
      <c r="P797" s="2591"/>
      <c r="Q797" s="2591"/>
      <c r="R797" s="2591"/>
      <c r="S797" s="2591"/>
    </row>
    <row r="798" ht="16.5" spans="1:19">
      <c r="A798" s="2642"/>
      <c r="B798" s="2675"/>
      <c r="C798" s="2676"/>
      <c r="D798" s="2677"/>
      <c r="E798" s="2677"/>
      <c r="F798" s="2677"/>
      <c r="G798" s="2640"/>
      <c r="H798" s="2640"/>
      <c r="I798" s="2702"/>
      <c r="J798" s="2591"/>
      <c r="K798" s="2591"/>
      <c r="L798" s="2591"/>
      <c r="M798" s="2591"/>
      <c r="N798" s="2591"/>
      <c r="O798" s="2591"/>
      <c r="P798" s="2591"/>
      <c r="Q798" s="2591"/>
      <c r="R798" s="2591"/>
      <c r="S798" s="2591"/>
    </row>
    <row r="799" ht="16.5" spans="1:19">
      <c r="A799" s="2642"/>
      <c r="B799" s="2675"/>
      <c r="C799" s="2676"/>
      <c r="D799" s="2677"/>
      <c r="E799" s="2677"/>
      <c r="F799" s="2677"/>
      <c r="G799" s="2640"/>
      <c r="H799" s="2640"/>
      <c r="I799" s="2702"/>
      <c r="J799" s="2591"/>
      <c r="K799" s="2591"/>
      <c r="L799" s="2591"/>
      <c r="M799" s="2591"/>
      <c r="N799" s="2591"/>
      <c r="O799" s="2591"/>
      <c r="P799" s="2591"/>
      <c r="Q799" s="2591"/>
      <c r="R799" s="2591"/>
      <c r="S799" s="2591"/>
    </row>
    <row r="800" ht="16.5" spans="1:19">
      <c r="A800" s="2642"/>
      <c r="B800" s="2675"/>
      <c r="C800" s="2676"/>
      <c r="D800" s="2677"/>
      <c r="E800" s="2677"/>
      <c r="F800" s="2677"/>
      <c r="G800" s="2640"/>
      <c r="H800" s="2640"/>
      <c r="I800" s="2702"/>
      <c r="J800" s="2591"/>
      <c r="K800" s="2591"/>
      <c r="L800" s="2591"/>
      <c r="M800" s="2591"/>
      <c r="N800" s="2591"/>
      <c r="O800" s="2591"/>
      <c r="P800" s="2591"/>
      <c r="Q800" s="2591"/>
      <c r="R800" s="2591"/>
      <c r="S800" s="2591"/>
    </row>
    <row r="801" ht="16.5" spans="1:19">
      <c r="A801" s="2642"/>
      <c r="B801" s="2675"/>
      <c r="C801" s="2676"/>
      <c r="D801" s="2677"/>
      <c r="E801" s="2677"/>
      <c r="F801" s="2677"/>
      <c r="G801" s="2640"/>
      <c r="H801" s="2640"/>
      <c r="I801" s="2702"/>
      <c r="J801" s="2591"/>
      <c r="K801" s="2591"/>
      <c r="L801" s="2591"/>
      <c r="M801" s="2591"/>
      <c r="N801" s="2591"/>
      <c r="O801" s="2591"/>
      <c r="P801" s="2591"/>
      <c r="Q801" s="2591"/>
      <c r="R801" s="2591"/>
      <c r="S801" s="2591"/>
    </row>
    <row r="802" ht="16.5" spans="1:19">
      <c r="A802" s="2642"/>
      <c r="B802" s="2675"/>
      <c r="C802" s="2676"/>
      <c r="D802" s="2677"/>
      <c r="E802" s="2677"/>
      <c r="F802" s="2677"/>
      <c r="G802" s="2640"/>
      <c r="H802" s="2640"/>
      <c r="I802" s="2702"/>
      <c r="J802" s="2591"/>
      <c r="K802" s="2591"/>
      <c r="L802" s="2591"/>
      <c r="M802" s="2591"/>
      <c r="N802" s="2591"/>
      <c r="O802" s="2591"/>
      <c r="P802" s="2591"/>
      <c r="Q802" s="2591"/>
      <c r="R802" s="2591"/>
      <c r="S802" s="2591"/>
    </row>
    <row r="803" ht="16.5" spans="1:19">
      <c r="A803" s="2642"/>
      <c r="B803" s="2675"/>
      <c r="C803" s="2676"/>
      <c r="D803" s="2677"/>
      <c r="E803" s="2677"/>
      <c r="F803" s="2677"/>
      <c r="G803" s="2640"/>
      <c r="H803" s="2640"/>
      <c r="I803" s="2702"/>
      <c r="J803" s="2591"/>
      <c r="K803" s="2591"/>
      <c r="L803" s="2591"/>
      <c r="M803" s="2591"/>
      <c r="N803" s="2591"/>
      <c r="O803" s="2591"/>
      <c r="P803" s="2591"/>
      <c r="Q803" s="2591"/>
      <c r="R803" s="2591"/>
      <c r="S803" s="2591"/>
    </row>
    <row r="804" ht="16.5" spans="1:19">
      <c r="A804" s="2642"/>
      <c r="B804" s="2675"/>
      <c r="C804" s="2676"/>
      <c r="D804" s="2677"/>
      <c r="E804" s="2677"/>
      <c r="F804" s="2677"/>
      <c r="G804" s="2640"/>
      <c r="H804" s="2640"/>
      <c r="I804" s="2702"/>
      <c r="J804" s="2591"/>
      <c r="K804" s="2591"/>
      <c r="L804" s="2591"/>
      <c r="M804" s="2591"/>
      <c r="N804" s="2591"/>
      <c r="O804" s="2591"/>
      <c r="P804" s="2591"/>
      <c r="Q804" s="2591"/>
      <c r="R804" s="2591"/>
      <c r="S804" s="2591"/>
    </row>
    <row r="805" ht="16.5" spans="1:19">
      <c r="A805" s="2642"/>
      <c r="B805" s="2675"/>
      <c r="C805" s="2676"/>
      <c r="D805" s="2677"/>
      <c r="E805" s="2677"/>
      <c r="F805" s="2677"/>
      <c r="G805" s="2640"/>
      <c r="H805" s="2640"/>
      <c r="I805" s="2702"/>
      <c r="J805" s="2591"/>
      <c r="K805" s="2591"/>
      <c r="L805" s="2591"/>
      <c r="M805" s="2591"/>
      <c r="N805" s="2591"/>
      <c r="O805" s="2591"/>
      <c r="P805" s="2591"/>
      <c r="Q805" s="2591"/>
      <c r="R805" s="2591"/>
      <c r="S805" s="2591"/>
    </row>
    <row r="806" ht="16.5" spans="1:19">
      <c r="A806" s="2642"/>
      <c r="B806" s="2675"/>
      <c r="C806" s="2676"/>
      <c r="D806" s="2677"/>
      <c r="E806" s="2677"/>
      <c r="F806" s="2677"/>
      <c r="G806" s="2640"/>
      <c r="H806" s="2640"/>
      <c r="I806" s="2702"/>
      <c r="J806" s="2591"/>
      <c r="K806" s="2591"/>
      <c r="L806" s="2591"/>
      <c r="M806" s="2591"/>
      <c r="N806" s="2591"/>
      <c r="O806" s="2591"/>
      <c r="P806" s="2591"/>
      <c r="Q806" s="2591"/>
      <c r="R806" s="2591"/>
      <c r="S806" s="2591"/>
    </row>
    <row r="807" ht="16.5" spans="1:19">
      <c r="A807" s="2642"/>
      <c r="B807" s="2675"/>
      <c r="C807" s="2676"/>
      <c r="D807" s="2677"/>
      <c r="E807" s="2677"/>
      <c r="F807" s="2677"/>
      <c r="G807" s="2640"/>
      <c r="H807" s="2640"/>
      <c r="I807" s="2702"/>
      <c r="J807" s="2591"/>
      <c r="K807" s="2591"/>
      <c r="L807" s="2591"/>
      <c r="M807" s="2591"/>
      <c r="N807" s="2591"/>
      <c r="O807" s="2591"/>
      <c r="P807" s="2591"/>
      <c r="Q807" s="2591"/>
      <c r="R807" s="2591"/>
      <c r="S807" s="2591"/>
    </row>
    <row r="808" ht="16.5" spans="1:19">
      <c r="A808" s="2642"/>
      <c r="B808" s="2675"/>
      <c r="C808" s="2676"/>
      <c r="D808" s="2677"/>
      <c r="E808" s="2677"/>
      <c r="F808" s="2677"/>
      <c r="G808" s="2640"/>
      <c r="H808" s="2640"/>
      <c r="I808" s="2702"/>
      <c r="J808" s="2591"/>
      <c r="K808" s="2591"/>
      <c r="L808" s="2591"/>
      <c r="M808" s="2591"/>
      <c r="N808" s="2591"/>
      <c r="O808" s="2591"/>
      <c r="P808" s="2591"/>
      <c r="Q808" s="2591"/>
      <c r="R808" s="2591"/>
      <c r="S808" s="2591"/>
    </row>
    <row r="809" ht="16.5" spans="1:19">
      <c r="A809" s="2642"/>
      <c r="B809" s="2675"/>
      <c r="C809" s="2676"/>
      <c r="D809" s="2677"/>
      <c r="E809" s="2677"/>
      <c r="F809" s="2677"/>
      <c r="G809" s="2640"/>
      <c r="H809" s="2640"/>
      <c r="I809" s="2702"/>
      <c r="J809" s="2591"/>
      <c r="K809" s="2591"/>
      <c r="L809" s="2591"/>
      <c r="M809" s="2591"/>
      <c r="N809" s="2591"/>
      <c r="O809" s="2591"/>
      <c r="P809" s="2591"/>
      <c r="Q809" s="2591"/>
      <c r="R809" s="2591"/>
      <c r="S809" s="2591"/>
    </row>
    <row r="810" ht="16.5" spans="1:19">
      <c r="A810" s="2642"/>
      <c r="B810" s="2675"/>
      <c r="C810" s="2676"/>
      <c r="D810" s="2677"/>
      <c r="E810" s="2677"/>
      <c r="F810" s="2677"/>
      <c r="G810" s="2640"/>
      <c r="H810" s="2640"/>
      <c r="I810" s="2702"/>
      <c r="J810" s="2591"/>
      <c r="K810" s="2591"/>
      <c r="L810" s="2591"/>
      <c r="M810" s="2591"/>
      <c r="N810" s="2591"/>
      <c r="O810" s="2591"/>
      <c r="P810" s="2591"/>
      <c r="Q810" s="2591"/>
      <c r="R810" s="2591"/>
      <c r="S810" s="2591"/>
    </row>
    <row r="811" ht="16.5" spans="1:19">
      <c r="A811" s="2642"/>
      <c r="B811" s="2675"/>
      <c r="C811" s="2676"/>
      <c r="D811" s="2677"/>
      <c r="E811" s="2677"/>
      <c r="F811" s="2677"/>
      <c r="G811" s="2640"/>
      <c r="H811" s="2640"/>
      <c r="I811" s="2702"/>
      <c r="J811" s="2591"/>
      <c r="K811" s="2591"/>
      <c r="L811" s="2591"/>
      <c r="M811" s="2591"/>
      <c r="N811" s="2591"/>
      <c r="O811" s="2591"/>
      <c r="P811" s="2591"/>
      <c r="Q811" s="2591"/>
      <c r="R811" s="2591"/>
      <c r="S811" s="2591"/>
    </row>
    <row r="812" ht="16.5" spans="1:19">
      <c r="A812" s="2642"/>
      <c r="B812" s="2675"/>
      <c r="C812" s="2676"/>
      <c r="D812" s="2677"/>
      <c r="E812" s="2677"/>
      <c r="F812" s="2677"/>
      <c r="G812" s="2640"/>
      <c r="H812" s="2640"/>
      <c r="I812" s="2702"/>
      <c r="J812" s="2591"/>
      <c r="K812" s="2591"/>
      <c r="L812" s="2591"/>
      <c r="M812" s="2591"/>
      <c r="N812" s="2591"/>
      <c r="O812" s="2591"/>
      <c r="P812" s="2591"/>
      <c r="Q812" s="2591"/>
      <c r="R812" s="2591"/>
      <c r="S812" s="2591"/>
    </row>
    <row r="813" ht="16.5" spans="1:19">
      <c r="A813" s="2642"/>
      <c r="B813" s="2675"/>
      <c r="C813" s="2676"/>
      <c r="D813" s="2677"/>
      <c r="E813" s="2677"/>
      <c r="F813" s="2677"/>
      <c r="G813" s="2640"/>
      <c r="H813" s="2640"/>
      <c r="I813" s="2702"/>
      <c r="J813" s="2591"/>
      <c r="K813" s="2591"/>
      <c r="L813" s="2591"/>
      <c r="M813" s="2591"/>
      <c r="N813" s="2591"/>
      <c r="O813" s="2591"/>
      <c r="P813" s="2591"/>
      <c r="Q813" s="2591"/>
      <c r="R813" s="2591"/>
      <c r="S813" s="2591"/>
    </row>
    <row r="814" ht="16.5" spans="1:19">
      <c r="A814" s="2642"/>
      <c r="B814" s="2675"/>
      <c r="C814" s="2676"/>
      <c r="D814" s="2677"/>
      <c r="E814" s="2677"/>
      <c r="F814" s="2677"/>
      <c r="G814" s="2640"/>
      <c r="H814" s="2640"/>
      <c r="I814" s="2702"/>
      <c r="J814" s="2591"/>
      <c r="K814" s="2591"/>
      <c r="L814" s="2591"/>
      <c r="M814" s="2591"/>
      <c r="N814" s="2591"/>
      <c r="O814" s="2591"/>
      <c r="P814" s="2591"/>
      <c r="Q814" s="2591"/>
      <c r="R814" s="2591"/>
      <c r="S814" s="2591"/>
    </row>
    <row r="815" ht="16.5" spans="1:19">
      <c r="A815" s="2642"/>
      <c r="B815" s="2675"/>
      <c r="C815" s="2676"/>
      <c r="D815" s="2677"/>
      <c r="E815" s="2677"/>
      <c r="F815" s="2677"/>
      <c r="G815" s="2640"/>
      <c r="H815" s="2640"/>
      <c r="I815" s="2702"/>
      <c r="J815" s="2591"/>
      <c r="K815" s="2591"/>
      <c r="L815" s="2591"/>
      <c r="M815" s="2591"/>
      <c r="N815" s="2591"/>
      <c r="O815" s="2591"/>
      <c r="P815" s="2591"/>
      <c r="Q815" s="2591"/>
      <c r="R815" s="2591"/>
      <c r="S815" s="2591"/>
    </row>
    <row r="816" ht="16.5" spans="1:19">
      <c r="A816" s="2642"/>
      <c r="B816" s="2675"/>
      <c r="C816" s="2676"/>
      <c r="D816" s="2677"/>
      <c r="E816" s="2677"/>
      <c r="F816" s="2677"/>
      <c r="G816" s="2640"/>
      <c r="H816" s="2640"/>
      <c r="I816" s="2702"/>
      <c r="J816" s="2591"/>
      <c r="K816" s="2591"/>
      <c r="L816" s="2591"/>
      <c r="M816" s="2591"/>
      <c r="N816" s="2591"/>
      <c r="O816" s="2591"/>
      <c r="P816" s="2591"/>
      <c r="Q816" s="2591"/>
      <c r="R816" s="2591"/>
      <c r="S816" s="2591"/>
    </row>
    <row r="817" ht="16.5" spans="1:19">
      <c r="A817" s="2642"/>
      <c r="B817" s="2675"/>
      <c r="C817" s="2676"/>
      <c r="D817" s="2677"/>
      <c r="E817" s="2677"/>
      <c r="F817" s="2677"/>
      <c r="G817" s="2640"/>
      <c r="H817" s="2640"/>
      <c r="I817" s="2702"/>
      <c r="J817" s="2591"/>
      <c r="K817" s="2591"/>
      <c r="L817" s="2591"/>
      <c r="M817" s="2591"/>
      <c r="N817" s="2591"/>
      <c r="O817" s="2591"/>
      <c r="P817" s="2591"/>
      <c r="Q817" s="2591"/>
      <c r="R817" s="2591"/>
      <c r="S817" s="2591"/>
    </row>
    <row r="818" ht="16.5" spans="1:19">
      <c r="A818" s="2642"/>
      <c r="B818" s="2675"/>
      <c r="C818" s="2676"/>
      <c r="D818" s="2677"/>
      <c r="E818" s="2677"/>
      <c r="F818" s="2677"/>
      <c r="G818" s="2640"/>
      <c r="H818" s="2640"/>
      <c r="I818" s="2702"/>
      <c r="J818" s="2591"/>
      <c r="K818" s="2591"/>
      <c r="L818" s="2591"/>
      <c r="M818" s="2591"/>
      <c r="N818" s="2591"/>
      <c r="O818" s="2591"/>
      <c r="P818" s="2591"/>
      <c r="Q818" s="2591"/>
      <c r="R818" s="2591"/>
      <c r="S818" s="2591"/>
    </row>
    <row r="819" ht="16.5" spans="1:19">
      <c r="A819" s="2642"/>
      <c r="B819" s="2675"/>
      <c r="C819" s="2676"/>
      <c r="D819" s="2677"/>
      <c r="E819" s="2677"/>
      <c r="F819" s="2677"/>
      <c r="G819" s="2640"/>
      <c r="H819" s="2640"/>
      <c r="I819" s="2702"/>
      <c r="J819" s="2591"/>
      <c r="K819" s="2591"/>
      <c r="L819" s="2591"/>
      <c r="M819" s="2591"/>
      <c r="N819" s="2591"/>
      <c r="O819" s="2591"/>
      <c r="P819" s="2591"/>
      <c r="Q819" s="2591"/>
      <c r="R819" s="2591"/>
      <c r="S819" s="2591"/>
    </row>
    <row r="820" ht="16.5" spans="1:19">
      <c r="A820" s="2642"/>
      <c r="B820" s="2675"/>
      <c r="C820" s="2676"/>
      <c r="D820" s="2677"/>
      <c r="E820" s="2677"/>
      <c r="F820" s="2677"/>
      <c r="G820" s="2640"/>
      <c r="H820" s="2640"/>
      <c r="I820" s="2702"/>
      <c r="J820" s="2591"/>
      <c r="K820" s="2591"/>
      <c r="L820" s="2591"/>
      <c r="M820" s="2591"/>
      <c r="N820" s="2591"/>
      <c r="O820" s="2591"/>
      <c r="P820" s="2591"/>
      <c r="Q820" s="2591"/>
      <c r="R820" s="2591"/>
      <c r="S820" s="2591"/>
    </row>
    <row r="821" ht="16.5" spans="1:19">
      <c r="A821" s="2642"/>
      <c r="B821" s="2675"/>
      <c r="C821" s="2676"/>
      <c r="D821" s="2677"/>
      <c r="E821" s="2677"/>
      <c r="F821" s="2677"/>
      <c r="G821" s="2640"/>
      <c r="H821" s="2640"/>
      <c r="I821" s="2702"/>
      <c r="J821" s="2591"/>
      <c r="K821" s="2591"/>
      <c r="L821" s="2591"/>
      <c r="M821" s="2591"/>
      <c r="N821" s="2591"/>
      <c r="O821" s="2591"/>
      <c r="P821" s="2591"/>
      <c r="Q821" s="2591"/>
      <c r="R821" s="2591"/>
      <c r="S821" s="2591"/>
    </row>
    <row r="822" ht="16.5" spans="1:19">
      <c r="A822" s="2642"/>
      <c r="B822" s="2675"/>
      <c r="C822" s="2676"/>
      <c r="D822" s="2677"/>
      <c r="E822" s="2677"/>
      <c r="F822" s="2677"/>
      <c r="G822" s="2640"/>
      <c r="H822" s="2640"/>
      <c r="I822" s="2702"/>
      <c r="J822" s="2591"/>
      <c r="K822" s="2591"/>
      <c r="L822" s="2591"/>
      <c r="M822" s="2591"/>
      <c r="N822" s="2591"/>
      <c r="O822" s="2591"/>
      <c r="P822" s="2591"/>
      <c r="Q822" s="2591"/>
      <c r="R822" s="2591"/>
      <c r="S822" s="2591"/>
    </row>
    <row r="823" ht="16.5" spans="1:19">
      <c r="A823" s="2642"/>
      <c r="B823" s="2675"/>
      <c r="C823" s="2676"/>
      <c r="D823" s="2677"/>
      <c r="E823" s="2677"/>
      <c r="F823" s="2677"/>
      <c r="G823" s="2640"/>
      <c r="H823" s="2640"/>
      <c r="I823" s="2702"/>
      <c r="J823" s="2591"/>
      <c r="K823" s="2591"/>
      <c r="L823" s="2591"/>
      <c r="M823" s="2591"/>
      <c r="N823" s="2591"/>
      <c r="O823" s="2591"/>
      <c r="P823" s="2591"/>
      <c r="Q823" s="2591"/>
      <c r="R823" s="2591"/>
      <c r="S823" s="2591"/>
    </row>
    <row r="824" ht="16.5" spans="1:19">
      <c r="A824" s="2642"/>
      <c r="B824" s="2675"/>
      <c r="C824" s="2676"/>
      <c r="D824" s="2677"/>
      <c r="E824" s="2677"/>
      <c r="F824" s="2677"/>
      <c r="G824" s="2640"/>
      <c r="H824" s="2640"/>
      <c r="I824" s="2702"/>
      <c r="J824" s="2591"/>
      <c r="K824" s="2591"/>
      <c r="L824" s="2591"/>
      <c r="M824" s="2591"/>
      <c r="N824" s="2591"/>
      <c r="O824" s="2591"/>
      <c r="P824" s="2591"/>
      <c r="Q824" s="2591"/>
      <c r="R824" s="2591"/>
      <c r="S824" s="2591"/>
    </row>
    <row r="825" ht="16.5" spans="1:19">
      <c r="A825" s="2642"/>
      <c r="B825" s="2675"/>
      <c r="C825" s="2676"/>
      <c r="D825" s="2677"/>
      <c r="E825" s="2677"/>
      <c r="F825" s="2677"/>
      <c r="G825" s="2640"/>
      <c r="H825" s="2640"/>
      <c r="I825" s="2702"/>
      <c r="J825" s="2591"/>
      <c r="K825" s="2591"/>
      <c r="L825" s="2591"/>
      <c r="M825" s="2591"/>
      <c r="N825" s="2591"/>
      <c r="O825" s="2591"/>
      <c r="P825" s="2591"/>
      <c r="Q825" s="2591"/>
      <c r="R825" s="2591"/>
      <c r="S825" s="2591"/>
    </row>
    <row r="826" ht="16.5" spans="1:19">
      <c r="A826" s="2642"/>
      <c r="B826" s="2675"/>
      <c r="C826" s="2676"/>
      <c r="D826" s="2677"/>
      <c r="E826" s="2677"/>
      <c r="F826" s="2677"/>
      <c r="G826" s="2640"/>
      <c r="H826" s="2640"/>
      <c r="I826" s="2702"/>
      <c r="J826" s="2591"/>
      <c r="K826" s="2591"/>
      <c r="L826" s="2591"/>
      <c r="M826" s="2591"/>
      <c r="N826" s="2591"/>
      <c r="O826" s="2591"/>
      <c r="P826" s="2591"/>
      <c r="Q826" s="2591"/>
      <c r="R826" s="2591"/>
      <c r="S826" s="2591"/>
    </row>
    <row r="827" ht="16.5" spans="1:19">
      <c r="A827" s="2642"/>
      <c r="B827" s="2675"/>
      <c r="C827" s="2676"/>
      <c r="D827" s="2677"/>
      <c r="E827" s="2677"/>
      <c r="F827" s="2677"/>
      <c r="G827" s="2640"/>
      <c r="H827" s="2640"/>
      <c r="I827" s="2702"/>
      <c r="J827" s="2591"/>
      <c r="K827" s="2591"/>
      <c r="L827" s="2591"/>
      <c r="M827" s="2591"/>
      <c r="N827" s="2591"/>
      <c r="O827" s="2591"/>
      <c r="P827" s="2591"/>
      <c r="Q827" s="2591"/>
      <c r="R827" s="2591"/>
      <c r="S827" s="2591"/>
    </row>
    <row r="828" ht="16.5" spans="1:19">
      <c r="A828" s="2642"/>
      <c r="B828" s="2675"/>
      <c r="C828" s="2676"/>
      <c r="D828" s="2677"/>
      <c r="E828" s="2677"/>
      <c r="F828" s="2677"/>
      <c r="G828" s="2640"/>
      <c r="H828" s="2640"/>
      <c r="I828" s="2702"/>
      <c r="J828" s="2591"/>
      <c r="K828" s="2591"/>
      <c r="L828" s="2591"/>
      <c r="M828" s="2591"/>
      <c r="N828" s="2591"/>
      <c r="O828" s="2591"/>
      <c r="P828" s="2591"/>
      <c r="Q828" s="2591"/>
      <c r="R828" s="2591"/>
      <c r="S828" s="2591"/>
    </row>
    <row r="829" ht="16.5" spans="1:19">
      <c r="A829" s="2642"/>
      <c r="B829" s="2675"/>
      <c r="C829" s="2676"/>
      <c r="D829" s="2677"/>
      <c r="E829" s="2677"/>
      <c r="F829" s="2677"/>
      <c r="G829" s="2640"/>
      <c r="H829" s="2640"/>
      <c r="I829" s="2702"/>
      <c r="J829" s="2591"/>
      <c r="K829" s="2591"/>
      <c r="L829" s="2591"/>
      <c r="M829" s="2591"/>
      <c r="N829" s="2591"/>
      <c r="O829" s="2591"/>
      <c r="P829" s="2591"/>
      <c r="Q829" s="2591"/>
      <c r="R829" s="2591"/>
      <c r="S829" s="2591"/>
    </row>
    <row r="830" ht="16.5" spans="1:19">
      <c r="A830" s="2642"/>
      <c r="B830" s="2675"/>
      <c r="C830" s="2676"/>
      <c r="D830" s="2677"/>
      <c r="E830" s="2677"/>
      <c r="F830" s="2677"/>
      <c r="G830" s="2640"/>
      <c r="H830" s="2640"/>
      <c r="I830" s="2702"/>
      <c r="J830" s="2591"/>
      <c r="K830" s="2591"/>
      <c r="L830" s="2591"/>
      <c r="M830" s="2591"/>
      <c r="N830" s="2591"/>
      <c r="O830" s="2591"/>
      <c r="P830" s="2591"/>
      <c r="Q830" s="2591"/>
      <c r="R830" s="2591"/>
      <c r="S830" s="2591"/>
    </row>
    <row r="831" ht="16.5" spans="1:19">
      <c r="A831" s="2642"/>
      <c r="B831" s="2675"/>
      <c r="C831" s="2676"/>
      <c r="D831" s="2677"/>
      <c r="E831" s="2677"/>
      <c r="F831" s="2677"/>
      <c r="G831" s="2640"/>
      <c r="H831" s="2640"/>
      <c r="I831" s="2702"/>
      <c r="J831" s="2591"/>
      <c r="K831" s="2591"/>
      <c r="L831" s="2591"/>
      <c r="M831" s="2591"/>
      <c r="N831" s="2591"/>
      <c r="O831" s="2591"/>
      <c r="P831" s="2591"/>
      <c r="Q831" s="2591"/>
      <c r="R831" s="2591"/>
      <c r="S831" s="2591"/>
    </row>
    <row r="832" ht="16.5" spans="1:19">
      <c r="A832" s="2642"/>
      <c r="B832" s="2675"/>
      <c r="C832" s="2676"/>
      <c r="D832" s="2677"/>
      <c r="E832" s="2677"/>
      <c r="F832" s="2677"/>
      <c r="G832" s="2640"/>
      <c r="H832" s="2640"/>
      <c r="I832" s="2702"/>
      <c r="J832" s="2591"/>
      <c r="K832" s="2591"/>
      <c r="L832" s="2591"/>
      <c r="M832" s="2591"/>
      <c r="N832" s="2591"/>
      <c r="O832" s="2591"/>
      <c r="P832" s="2591"/>
      <c r="Q832" s="2591"/>
      <c r="R832" s="2591"/>
      <c r="S832" s="2591"/>
    </row>
    <row r="833" ht="16.5" spans="1:19">
      <c r="A833" s="2642"/>
      <c r="B833" s="2675"/>
      <c r="C833" s="2676"/>
      <c r="D833" s="2677"/>
      <c r="E833" s="2677"/>
      <c r="F833" s="2677"/>
      <c r="G833" s="2640"/>
      <c r="H833" s="2640"/>
      <c r="I833" s="2702"/>
      <c r="J833" s="2591"/>
      <c r="K833" s="2591"/>
      <c r="L833" s="2591"/>
      <c r="M833" s="2591"/>
      <c r="N833" s="2591"/>
      <c r="O833" s="2591"/>
      <c r="P833" s="2591"/>
      <c r="Q833" s="2591"/>
      <c r="R833" s="2591"/>
      <c r="S833" s="2591"/>
    </row>
    <row r="834" ht="16.5" spans="1:19">
      <c r="A834" s="2642"/>
      <c r="B834" s="2675"/>
      <c r="C834" s="2676"/>
      <c r="D834" s="2677"/>
      <c r="E834" s="2677"/>
      <c r="F834" s="2677"/>
      <c r="G834" s="2640"/>
      <c r="H834" s="2640"/>
      <c r="I834" s="2702"/>
      <c r="J834" s="2591"/>
      <c r="K834" s="2591"/>
      <c r="L834" s="2591"/>
      <c r="M834" s="2591"/>
      <c r="N834" s="2591"/>
      <c r="O834" s="2591"/>
      <c r="P834" s="2591"/>
      <c r="Q834" s="2591"/>
      <c r="R834" s="2591"/>
      <c r="S834" s="2591"/>
    </row>
    <row r="835" ht="16.5" spans="1:19">
      <c r="A835" s="2642"/>
      <c r="B835" s="2675"/>
      <c r="C835" s="2676"/>
      <c r="D835" s="2677"/>
      <c r="E835" s="2677"/>
      <c r="F835" s="2677"/>
      <c r="G835" s="2640"/>
      <c r="H835" s="2640"/>
      <c r="I835" s="2702"/>
      <c r="J835" s="2591"/>
      <c r="K835" s="2591"/>
      <c r="L835" s="2591"/>
      <c r="M835" s="2591"/>
      <c r="N835" s="2591"/>
      <c r="O835" s="2591"/>
      <c r="P835" s="2591"/>
      <c r="Q835" s="2591"/>
      <c r="R835" s="2591"/>
      <c r="S835" s="2591"/>
    </row>
    <row r="836" ht="16.5" spans="1:19">
      <c r="A836" s="2642"/>
      <c r="B836" s="2675"/>
      <c r="C836" s="2676"/>
      <c r="D836" s="2677"/>
      <c r="E836" s="2677"/>
      <c r="F836" s="2677"/>
      <c r="G836" s="2640"/>
      <c r="H836" s="2640"/>
      <c r="I836" s="2702"/>
      <c r="J836" s="2591"/>
      <c r="K836" s="2591"/>
      <c r="L836" s="2591"/>
      <c r="M836" s="2591"/>
      <c r="N836" s="2591"/>
      <c r="O836" s="2591"/>
      <c r="P836" s="2591"/>
      <c r="Q836" s="2591"/>
      <c r="R836" s="2591"/>
      <c r="S836" s="2591"/>
    </row>
    <row r="837" ht="16.5" spans="1:19">
      <c r="A837" s="2642"/>
      <c r="B837" s="2675"/>
      <c r="C837" s="2676"/>
      <c r="D837" s="2677"/>
      <c r="E837" s="2677"/>
      <c r="F837" s="2677"/>
      <c r="G837" s="2640"/>
      <c r="H837" s="2640"/>
      <c r="I837" s="2702"/>
      <c r="J837" s="2591"/>
      <c r="K837" s="2591"/>
      <c r="L837" s="2591"/>
      <c r="M837" s="2591"/>
      <c r="N837" s="2591"/>
      <c r="O837" s="2591"/>
      <c r="P837" s="2591"/>
      <c r="Q837" s="2591"/>
      <c r="R837" s="2591"/>
      <c r="S837" s="2591"/>
    </row>
    <row r="838" ht="16.5" spans="1:19">
      <c r="A838" s="2642"/>
      <c r="B838" s="2675"/>
      <c r="C838" s="2676"/>
      <c r="D838" s="2677"/>
      <c r="E838" s="2677"/>
      <c r="F838" s="2677"/>
      <c r="G838" s="2640"/>
      <c r="H838" s="2640"/>
      <c r="I838" s="2702"/>
      <c r="J838" s="2591"/>
      <c r="K838" s="2591"/>
      <c r="L838" s="2591"/>
      <c r="M838" s="2591"/>
      <c r="N838" s="2591"/>
      <c r="O838" s="2591"/>
      <c r="P838" s="2591"/>
      <c r="Q838" s="2591"/>
      <c r="R838" s="2591"/>
      <c r="S838" s="2591"/>
    </row>
    <row r="839" ht="16.5" spans="1:19">
      <c r="A839" s="2642"/>
      <c r="B839" s="2675"/>
      <c r="C839" s="2676"/>
      <c r="D839" s="2677"/>
      <c r="E839" s="2677"/>
      <c r="F839" s="2677"/>
      <c r="G839" s="2640"/>
      <c r="H839" s="2640"/>
      <c r="I839" s="2702"/>
      <c r="J839" s="2591"/>
      <c r="K839" s="2591"/>
      <c r="L839" s="2591"/>
      <c r="M839" s="2591"/>
      <c r="N839" s="2591"/>
      <c r="O839" s="2591"/>
      <c r="P839" s="2591"/>
      <c r="Q839" s="2591"/>
      <c r="R839" s="2591"/>
      <c r="S839" s="2591"/>
    </row>
    <row r="840" ht="16.5" spans="1:19">
      <c r="A840" s="2642"/>
      <c r="B840" s="2675"/>
      <c r="C840" s="2676"/>
      <c r="D840" s="2677"/>
      <c r="E840" s="2677"/>
      <c r="F840" s="2677"/>
      <c r="G840" s="2640"/>
      <c r="H840" s="2640"/>
      <c r="I840" s="2702"/>
      <c r="J840" s="2591"/>
      <c r="K840" s="2591"/>
      <c r="L840" s="2591"/>
      <c r="M840" s="2591"/>
      <c r="N840" s="2591"/>
      <c r="O840" s="2591"/>
      <c r="P840" s="2591"/>
      <c r="Q840" s="2591"/>
      <c r="R840" s="2591"/>
      <c r="S840" s="2591"/>
    </row>
    <row r="841" ht="16.5" spans="1:19">
      <c r="A841" s="2642"/>
      <c r="B841" s="2675"/>
      <c r="C841" s="2676"/>
      <c r="D841" s="2677"/>
      <c r="E841" s="2677"/>
      <c r="F841" s="2677"/>
      <c r="G841" s="2640"/>
      <c r="H841" s="2640"/>
      <c r="I841" s="2702"/>
      <c r="J841" s="2591"/>
      <c r="K841" s="2591"/>
      <c r="L841" s="2591"/>
      <c r="M841" s="2591"/>
      <c r="N841" s="2591"/>
      <c r="O841" s="2591"/>
      <c r="P841" s="2591"/>
      <c r="Q841" s="2591"/>
      <c r="R841" s="2591"/>
      <c r="S841" s="2591"/>
    </row>
    <row r="842" ht="16.5" spans="1:19">
      <c r="A842" s="2642"/>
      <c r="B842" s="2675"/>
      <c r="C842" s="2676"/>
      <c r="D842" s="2677"/>
      <c r="E842" s="2677"/>
      <c r="F842" s="2677"/>
      <c r="G842" s="2640"/>
      <c r="H842" s="2640"/>
      <c r="I842" s="2702"/>
      <c r="J842" s="2591"/>
      <c r="K842" s="2591"/>
      <c r="L842" s="2591"/>
      <c r="M842" s="2591"/>
      <c r="N842" s="2591"/>
      <c r="O842" s="2591"/>
      <c r="P842" s="2591"/>
      <c r="Q842" s="2591"/>
      <c r="R842" s="2591"/>
      <c r="S842" s="2591"/>
    </row>
    <row r="843" ht="16.5" spans="1:19">
      <c r="A843" s="2642"/>
      <c r="B843" s="2675"/>
      <c r="C843" s="2676"/>
      <c r="D843" s="2677"/>
      <c r="E843" s="2677"/>
      <c r="F843" s="2677"/>
      <c r="G843" s="2640"/>
      <c r="H843" s="2640"/>
      <c r="I843" s="2702"/>
      <c r="J843" s="2591"/>
      <c r="K843" s="2591"/>
      <c r="L843" s="2591"/>
      <c r="M843" s="2591"/>
      <c r="N843" s="2591"/>
      <c r="O843" s="2591"/>
      <c r="P843" s="2591"/>
      <c r="Q843" s="2591"/>
      <c r="R843" s="2591"/>
      <c r="S843" s="2591"/>
    </row>
    <row r="844" ht="16.5" spans="1:19">
      <c r="A844" s="2642"/>
      <c r="B844" s="2675"/>
      <c r="C844" s="2676"/>
      <c r="D844" s="2677"/>
      <c r="E844" s="2677"/>
      <c r="F844" s="2677"/>
      <c r="G844" s="2640"/>
      <c r="H844" s="2640"/>
      <c r="I844" s="2702"/>
      <c r="J844" s="2591"/>
      <c r="K844" s="2591"/>
      <c r="L844" s="2591"/>
      <c r="M844" s="2591"/>
      <c r="N844" s="2591"/>
      <c r="O844" s="2591"/>
      <c r="P844" s="2591"/>
      <c r="Q844" s="2591"/>
      <c r="R844" s="2591"/>
      <c r="S844" s="2591"/>
    </row>
    <row r="845" ht="16.5" spans="1:19">
      <c r="A845" s="2642"/>
      <c r="B845" s="2675"/>
      <c r="C845" s="2676"/>
      <c r="D845" s="2677"/>
      <c r="E845" s="2677"/>
      <c r="F845" s="2677"/>
      <c r="G845" s="2640"/>
      <c r="H845" s="2640"/>
      <c r="I845" s="2702"/>
      <c r="J845" s="2591"/>
      <c r="K845" s="2591"/>
      <c r="L845" s="2591"/>
      <c r="M845" s="2591"/>
      <c r="N845" s="2591"/>
      <c r="O845" s="2591"/>
      <c r="P845" s="2591"/>
      <c r="Q845" s="2591"/>
      <c r="R845" s="2591"/>
      <c r="S845" s="2591"/>
    </row>
    <row r="846" ht="16.5" spans="1:19">
      <c r="A846" s="2642"/>
      <c r="B846" s="2675"/>
      <c r="C846" s="2676"/>
      <c r="D846" s="2677"/>
      <c r="E846" s="2677"/>
      <c r="F846" s="2677"/>
      <c r="G846" s="2640"/>
      <c r="H846" s="2640"/>
      <c r="I846" s="2702"/>
      <c r="J846" s="2591"/>
      <c r="K846" s="2591"/>
      <c r="L846" s="2591"/>
      <c r="M846" s="2591"/>
      <c r="N846" s="2591"/>
      <c r="O846" s="2591"/>
      <c r="P846" s="2591"/>
      <c r="Q846" s="2591"/>
      <c r="R846" s="2591"/>
      <c r="S846" s="2591"/>
    </row>
    <row r="847" ht="16.5" spans="1:19">
      <c r="A847" s="2642"/>
      <c r="B847" s="2675"/>
      <c r="C847" s="2676"/>
      <c r="D847" s="2677"/>
      <c r="E847" s="2677"/>
      <c r="F847" s="2677"/>
      <c r="G847" s="2640"/>
      <c r="H847" s="2640"/>
      <c r="I847" s="2702"/>
      <c r="J847" s="2591"/>
      <c r="K847" s="2591"/>
      <c r="L847" s="2591"/>
      <c r="M847" s="2591"/>
      <c r="N847" s="2591"/>
      <c r="O847" s="2591"/>
      <c r="P847" s="2591"/>
      <c r="Q847" s="2591"/>
      <c r="R847" s="2591"/>
      <c r="S847" s="2591"/>
    </row>
    <row r="848" ht="16.5" spans="1:19">
      <c r="A848" s="2642"/>
      <c r="B848" s="2675"/>
      <c r="C848" s="2676"/>
      <c r="D848" s="2677"/>
      <c r="E848" s="2677"/>
      <c r="F848" s="2677"/>
      <c r="G848" s="2640"/>
      <c r="H848" s="2640"/>
      <c r="I848" s="2702"/>
      <c r="J848" s="2591"/>
      <c r="K848" s="2591"/>
      <c r="L848" s="2591"/>
      <c r="M848" s="2591"/>
      <c r="N848" s="2591"/>
      <c r="O848" s="2591"/>
      <c r="P848" s="2591"/>
      <c r="Q848" s="2591"/>
      <c r="R848" s="2591"/>
      <c r="S848" s="2591"/>
    </row>
    <row r="849" ht="16.5" spans="1:19">
      <c r="A849" s="2642"/>
      <c r="B849" s="2675"/>
      <c r="C849" s="2676"/>
      <c r="D849" s="2677"/>
      <c r="E849" s="2677"/>
      <c r="F849" s="2677"/>
      <c r="G849" s="2640"/>
      <c r="H849" s="2640"/>
      <c r="I849" s="2702"/>
      <c r="J849" s="2591"/>
      <c r="K849" s="2591"/>
      <c r="L849" s="2591"/>
      <c r="M849" s="2591"/>
      <c r="N849" s="2591"/>
      <c r="O849" s="2591"/>
      <c r="P849" s="2591"/>
      <c r="Q849" s="2591"/>
      <c r="R849" s="2591"/>
      <c r="S849" s="2591"/>
    </row>
    <row r="850" ht="16.5" spans="1:19">
      <c r="A850" s="2642"/>
      <c r="B850" s="2675"/>
      <c r="C850" s="2676"/>
      <c r="D850" s="2677"/>
      <c r="E850" s="2677"/>
      <c r="F850" s="2677"/>
      <c r="G850" s="2640"/>
      <c r="H850" s="2640"/>
      <c r="I850" s="2702"/>
      <c r="J850" s="2591"/>
      <c r="K850" s="2591"/>
      <c r="L850" s="2591"/>
      <c r="M850" s="2591"/>
      <c r="N850" s="2591"/>
      <c r="O850" s="2591"/>
      <c r="P850" s="2591"/>
      <c r="Q850" s="2591"/>
      <c r="R850" s="2591"/>
      <c r="S850" s="2591"/>
    </row>
    <row r="851" ht="16.5" spans="1:19">
      <c r="A851" s="2642"/>
      <c r="B851" s="2675"/>
      <c r="C851" s="2676"/>
      <c r="D851" s="2677"/>
      <c r="E851" s="2677"/>
      <c r="F851" s="2677"/>
      <c r="G851" s="2640"/>
      <c r="H851" s="2640"/>
      <c r="I851" s="2702"/>
      <c r="J851" s="2591"/>
      <c r="K851" s="2591"/>
      <c r="L851" s="2591"/>
      <c r="M851" s="2591"/>
      <c r="N851" s="2591"/>
      <c r="O851" s="2591"/>
      <c r="P851" s="2591"/>
      <c r="Q851" s="2591"/>
      <c r="R851" s="2591"/>
      <c r="S851" s="2591"/>
    </row>
    <row r="852" ht="16.5" spans="1:19">
      <c r="A852" s="2642"/>
      <c r="B852" s="2675"/>
      <c r="C852" s="2676"/>
      <c r="D852" s="2677"/>
      <c r="E852" s="2677"/>
      <c r="F852" s="2677"/>
      <c r="G852" s="2640"/>
      <c r="H852" s="2640"/>
      <c r="I852" s="2702"/>
      <c r="J852" s="2591"/>
      <c r="K852" s="2591"/>
      <c r="L852" s="2591"/>
      <c r="M852" s="2591"/>
      <c r="N852" s="2591"/>
      <c r="O852" s="2591"/>
      <c r="P852" s="2591"/>
      <c r="Q852" s="2591"/>
      <c r="R852" s="2591"/>
      <c r="S852" s="2591"/>
    </row>
    <row r="853" ht="16.5" spans="1:19">
      <c r="A853" s="2642"/>
      <c r="B853" s="2675"/>
      <c r="C853" s="2676"/>
      <c r="D853" s="2677"/>
      <c r="E853" s="2677"/>
      <c r="F853" s="2677"/>
      <c r="G853" s="2640"/>
      <c r="H853" s="2640"/>
      <c r="I853" s="2702"/>
      <c r="J853" s="2591"/>
      <c r="K853" s="2591"/>
      <c r="L853" s="2591"/>
      <c r="M853" s="2591"/>
      <c r="N853" s="2591"/>
      <c r="O853" s="2591"/>
      <c r="P853" s="2591"/>
      <c r="Q853" s="2591"/>
      <c r="R853" s="2591"/>
      <c r="S853" s="2591"/>
    </row>
    <row r="854" ht="16.5" spans="1:19">
      <c r="A854" s="2642"/>
      <c r="B854" s="2675"/>
      <c r="C854" s="2676"/>
      <c r="D854" s="2677"/>
      <c r="E854" s="2677"/>
      <c r="F854" s="2677"/>
      <c r="G854" s="2640"/>
      <c r="H854" s="2640"/>
      <c r="I854" s="2702"/>
      <c r="J854" s="2591"/>
      <c r="K854" s="2591"/>
      <c r="L854" s="2591"/>
      <c r="M854" s="2591"/>
      <c r="N854" s="2591"/>
      <c r="O854" s="2591"/>
      <c r="P854" s="2591"/>
      <c r="Q854" s="2591"/>
      <c r="R854" s="2591"/>
      <c r="S854" s="2591"/>
    </row>
    <row r="855" ht="16.5" spans="1:19">
      <c r="A855" s="2642"/>
      <c r="B855" s="2675"/>
      <c r="C855" s="2676"/>
      <c r="D855" s="2677"/>
      <c r="E855" s="2677"/>
      <c r="F855" s="2677"/>
      <c r="G855" s="2640"/>
      <c r="H855" s="2640"/>
      <c r="I855" s="2702"/>
      <c r="J855" s="2591"/>
      <c r="K855" s="2591"/>
      <c r="L855" s="2591"/>
      <c r="M855" s="2591"/>
      <c r="N855" s="2591"/>
      <c r="O855" s="2591"/>
      <c r="P855" s="2591"/>
      <c r="Q855" s="2591"/>
      <c r="R855" s="2591"/>
      <c r="S855" s="2591"/>
    </row>
    <row r="856" ht="16.5" spans="1:19">
      <c r="A856" s="2642"/>
      <c r="B856" s="2675"/>
      <c r="C856" s="2676"/>
      <c r="D856" s="2677"/>
      <c r="E856" s="2677"/>
      <c r="F856" s="2677"/>
      <c r="G856" s="2640"/>
      <c r="H856" s="2640"/>
      <c r="I856" s="2702"/>
      <c r="J856" s="2591"/>
      <c r="K856" s="2591"/>
      <c r="L856" s="2591"/>
      <c r="M856" s="2591"/>
      <c r="N856" s="2591"/>
      <c r="O856" s="2591"/>
      <c r="P856" s="2591"/>
      <c r="Q856" s="2591"/>
      <c r="R856" s="2591"/>
      <c r="S856" s="2591"/>
    </row>
    <row r="857" ht="16.5" spans="1:19">
      <c r="A857" s="2642"/>
      <c r="B857" s="2675"/>
      <c r="C857" s="2676"/>
      <c r="D857" s="2677"/>
      <c r="E857" s="2677"/>
      <c r="F857" s="2677"/>
      <c r="G857" s="2640"/>
      <c r="H857" s="2640"/>
      <c r="I857" s="2702"/>
      <c r="J857" s="2591"/>
      <c r="K857" s="2591"/>
      <c r="L857" s="2591"/>
      <c r="M857" s="2591"/>
      <c r="N857" s="2591"/>
      <c r="O857" s="2591"/>
      <c r="P857" s="2591"/>
      <c r="Q857" s="2591"/>
      <c r="R857" s="2591"/>
      <c r="S857" s="2591"/>
    </row>
    <row r="858" ht="16.5" spans="1:19">
      <c r="A858" s="2642"/>
      <c r="B858" s="2675"/>
      <c r="C858" s="2676"/>
      <c r="D858" s="2677"/>
      <c r="E858" s="2677"/>
      <c r="F858" s="2677"/>
      <c r="G858" s="2640"/>
      <c r="H858" s="2640"/>
      <c r="I858" s="2702"/>
      <c r="J858" s="2591"/>
      <c r="K858" s="2591"/>
      <c r="L858" s="2591"/>
      <c r="M858" s="2591"/>
      <c r="N858" s="2591"/>
      <c r="O858" s="2591"/>
      <c r="P858" s="2591"/>
      <c r="Q858" s="2591"/>
      <c r="R858" s="2591"/>
      <c r="S858" s="2591"/>
    </row>
    <row r="859" ht="16.5" spans="1:19">
      <c r="A859" s="2642"/>
      <c r="B859" s="2675"/>
      <c r="C859" s="2676"/>
      <c r="D859" s="2677"/>
      <c r="E859" s="2677"/>
      <c r="F859" s="2677"/>
      <c r="G859" s="2640"/>
      <c r="H859" s="2640"/>
      <c r="I859" s="2702"/>
      <c r="J859" s="2591"/>
      <c r="K859" s="2591"/>
      <c r="L859" s="2591"/>
      <c r="M859" s="2591"/>
      <c r="N859" s="2591"/>
      <c r="O859" s="2591"/>
      <c r="P859" s="2591"/>
      <c r="Q859" s="2591"/>
      <c r="R859" s="2591"/>
      <c r="S859" s="2591"/>
    </row>
    <row r="860" ht="16.5" spans="1:19">
      <c r="A860" s="2642"/>
      <c r="B860" s="2675"/>
      <c r="C860" s="2676"/>
      <c r="D860" s="2677"/>
      <c r="E860" s="2677"/>
      <c r="F860" s="2677"/>
      <c r="G860" s="2640"/>
      <c r="H860" s="2640"/>
      <c r="I860" s="2702"/>
      <c r="J860" s="2591"/>
      <c r="K860" s="2591"/>
      <c r="L860" s="2591"/>
      <c r="M860" s="2591"/>
      <c r="N860" s="2591"/>
      <c r="O860" s="2591"/>
      <c r="P860" s="2591"/>
      <c r="Q860" s="2591"/>
      <c r="R860" s="2591"/>
      <c r="S860" s="2591"/>
    </row>
    <row r="861" ht="16.5" spans="1:19">
      <c r="A861" s="2642"/>
      <c r="B861" s="2675"/>
      <c r="C861" s="2676"/>
      <c r="D861" s="2677"/>
      <c r="E861" s="2677"/>
      <c r="F861" s="2677"/>
      <c r="G861" s="2640"/>
      <c r="H861" s="2640"/>
      <c r="I861" s="2702"/>
      <c r="J861" s="2591"/>
      <c r="K861" s="2591"/>
      <c r="L861" s="2591"/>
      <c r="M861" s="2591"/>
      <c r="N861" s="2591"/>
      <c r="O861" s="2591"/>
      <c r="P861" s="2591"/>
      <c r="Q861" s="2591"/>
      <c r="R861" s="2591"/>
      <c r="S861" s="2591"/>
    </row>
    <row r="862" ht="16.5" spans="1:19">
      <c r="A862" s="2642"/>
      <c r="B862" s="2675"/>
      <c r="C862" s="2676"/>
      <c r="D862" s="2677"/>
      <c r="E862" s="2677"/>
      <c r="F862" s="2677"/>
      <c r="G862" s="2640"/>
      <c r="H862" s="2640"/>
      <c r="I862" s="2702"/>
      <c r="J862" s="2591"/>
      <c r="K862" s="2591"/>
      <c r="L862" s="2591"/>
      <c r="M862" s="2591"/>
      <c r="N862" s="2591"/>
      <c r="O862" s="2591"/>
      <c r="P862" s="2591"/>
      <c r="Q862" s="2591"/>
      <c r="R862" s="2591"/>
      <c r="S862" s="2591"/>
    </row>
    <row r="863" ht="16.5" spans="1:19">
      <c r="A863" s="2642"/>
      <c r="B863" s="2675"/>
      <c r="C863" s="2676"/>
      <c r="D863" s="2677"/>
      <c r="E863" s="2677"/>
      <c r="F863" s="2677"/>
      <c r="G863" s="2640"/>
      <c r="H863" s="2640"/>
      <c r="I863" s="2702"/>
      <c r="J863" s="2591"/>
      <c r="K863" s="2591"/>
      <c r="L863" s="2591"/>
      <c r="M863" s="2591"/>
      <c r="N863" s="2591"/>
      <c r="O863" s="2591"/>
      <c r="P863" s="2591"/>
      <c r="Q863" s="2591"/>
      <c r="R863" s="2591"/>
      <c r="S863" s="2591"/>
    </row>
    <row r="864" ht="16.5" spans="1:19">
      <c r="A864" s="2642"/>
      <c r="B864" s="2675"/>
      <c r="C864" s="2676"/>
      <c r="D864" s="2677"/>
      <c r="E864" s="2677"/>
      <c r="F864" s="2677"/>
      <c r="G864" s="2640"/>
      <c r="H864" s="2640"/>
      <c r="I864" s="2702"/>
      <c r="J864" s="2591"/>
      <c r="K864" s="2591"/>
      <c r="L864" s="2591"/>
      <c r="M864" s="2591"/>
      <c r="N864" s="2591"/>
      <c r="O864" s="2591"/>
      <c r="P864" s="2591"/>
      <c r="Q864" s="2591"/>
      <c r="R864" s="2591"/>
      <c r="S864" s="2591"/>
    </row>
    <row r="865" ht="16.5" spans="1:19">
      <c r="A865" s="2642"/>
      <c r="B865" s="2675"/>
      <c r="C865" s="2676"/>
      <c r="D865" s="2677"/>
      <c r="E865" s="2677"/>
      <c r="F865" s="2677"/>
      <c r="G865" s="2640"/>
      <c r="H865" s="2640"/>
      <c r="I865" s="2702"/>
      <c r="J865" s="2591"/>
      <c r="K865" s="2591"/>
      <c r="L865" s="2591"/>
      <c r="M865" s="2591"/>
      <c r="N865" s="2591"/>
      <c r="O865" s="2591"/>
      <c r="P865" s="2591"/>
      <c r="Q865" s="2591"/>
      <c r="R865" s="2591"/>
      <c r="S865" s="2591"/>
    </row>
    <row r="866" ht="16.5" spans="1:19">
      <c r="A866" s="2642"/>
      <c r="B866" s="2675"/>
      <c r="C866" s="2676"/>
      <c r="D866" s="2677"/>
      <c r="E866" s="2677"/>
      <c r="F866" s="2677"/>
      <c r="G866" s="2640"/>
      <c r="H866" s="2640"/>
      <c r="I866" s="2702"/>
      <c r="J866" s="2591"/>
      <c r="K866" s="2591"/>
      <c r="L866" s="2591"/>
      <c r="M866" s="2591"/>
      <c r="N866" s="2591"/>
      <c r="O866" s="2591"/>
      <c r="P866" s="2591"/>
      <c r="Q866" s="2591"/>
      <c r="R866" s="2591"/>
      <c r="S866" s="2591"/>
    </row>
    <row r="867" ht="16.5" spans="1:19">
      <c r="A867" s="2642"/>
      <c r="B867" s="2675"/>
      <c r="C867" s="2676"/>
      <c r="D867" s="2677"/>
      <c r="E867" s="2677"/>
      <c r="F867" s="2677"/>
      <c r="G867" s="2640"/>
      <c r="H867" s="2640"/>
      <c r="I867" s="2702"/>
      <c r="J867" s="2591"/>
      <c r="K867" s="2591"/>
      <c r="L867" s="2591"/>
      <c r="M867" s="2591"/>
      <c r="N867" s="2591"/>
      <c r="O867" s="2591"/>
      <c r="P867" s="2591"/>
      <c r="Q867" s="2591"/>
      <c r="R867" s="2591"/>
      <c r="S867" s="2591"/>
    </row>
    <row r="868" ht="16.5" spans="1:19">
      <c r="A868" s="2642"/>
      <c r="B868" s="2675"/>
      <c r="C868" s="2676"/>
      <c r="D868" s="2677"/>
      <c r="E868" s="2677"/>
      <c r="F868" s="2677"/>
      <c r="G868" s="2640"/>
      <c r="H868" s="2640"/>
      <c r="I868" s="2702"/>
      <c r="J868" s="2591"/>
      <c r="K868" s="2591"/>
      <c r="L868" s="2591"/>
      <c r="M868" s="2591"/>
      <c r="N868" s="2591"/>
      <c r="O868" s="2591"/>
      <c r="P868" s="2591"/>
      <c r="Q868" s="2591"/>
      <c r="R868" s="2591"/>
      <c r="S868" s="2591"/>
    </row>
    <row r="869" ht="16.5" spans="1:19">
      <c r="A869" s="2642"/>
      <c r="B869" s="2675"/>
      <c r="C869" s="2676"/>
      <c r="D869" s="2677"/>
      <c r="E869" s="2677"/>
      <c r="F869" s="2677"/>
      <c r="G869" s="2640"/>
      <c r="H869" s="2640"/>
      <c r="I869" s="2702"/>
      <c r="J869" s="2591"/>
      <c r="K869" s="2591"/>
      <c r="L869" s="2591"/>
      <c r="M869" s="2591"/>
      <c r="N869" s="2591"/>
      <c r="O869" s="2591"/>
      <c r="P869" s="2591"/>
      <c r="Q869" s="2591"/>
      <c r="R869" s="2591"/>
      <c r="S869" s="2591"/>
    </row>
    <row r="870" ht="16.5" spans="1:19">
      <c r="A870" s="2642"/>
      <c r="B870" s="2675"/>
      <c r="C870" s="2676"/>
      <c r="D870" s="2677"/>
      <c r="E870" s="2677"/>
      <c r="F870" s="2677"/>
      <c r="G870" s="2640"/>
      <c r="H870" s="2640"/>
      <c r="I870" s="2702"/>
      <c r="J870" s="2591"/>
      <c r="K870" s="2591"/>
      <c r="L870" s="2591"/>
      <c r="M870" s="2591"/>
      <c r="N870" s="2591"/>
      <c r="O870" s="2591"/>
      <c r="P870" s="2591"/>
      <c r="Q870" s="2591"/>
      <c r="R870" s="2591"/>
      <c r="S870" s="2591"/>
    </row>
    <row r="871" ht="16.5" spans="1:19">
      <c r="A871" s="2642"/>
      <c r="B871" s="2675"/>
      <c r="C871" s="2676"/>
      <c r="D871" s="2677"/>
      <c r="E871" s="2677"/>
      <c r="F871" s="2677"/>
      <c r="G871" s="2640"/>
      <c r="H871" s="2640"/>
      <c r="I871" s="2702"/>
      <c r="J871" s="2591"/>
      <c r="K871" s="2591"/>
      <c r="L871" s="2591"/>
      <c r="M871" s="2591"/>
      <c r="N871" s="2591"/>
      <c r="O871" s="2591"/>
      <c r="P871" s="2591"/>
      <c r="Q871" s="2591"/>
      <c r="R871" s="2591"/>
      <c r="S871" s="2591"/>
    </row>
    <row r="872" ht="16.5" spans="1:19">
      <c r="A872" s="2642"/>
      <c r="B872" s="2675"/>
      <c r="C872" s="2676"/>
      <c r="D872" s="2677"/>
      <c r="E872" s="2677"/>
      <c r="F872" s="2677"/>
      <c r="G872" s="2640"/>
      <c r="H872" s="2640"/>
      <c r="I872" s="2702"/>
      <c r="J872" s="2591"/>
      <c r="K872" s="2591"/>
      <c r="L872" s="2591"/>
      <c r="M872" s="2591"/>
      <c r="N872" s="2591"/>
      <c r="O872" s="2591"/>
      <c r="P872" s="2591"/>
      <c r="Q872" s="2591"/>
      <c r="R872" s="2591"/>
      <c r="S872" s="2591"/>
    </row>
    <row r="873" ht="16.5" spans="1:19">
      <c r="A873" s="2642"/>
      <c r="B873" s="2675"/>
      <c r="C873" s="2676"/>
      <c r="D873" s="2677"/>
      <c r="E873" s="2677"/>
      <c r="F873" s="2677"/>
      <c r="G873" s="2640"/>
      <c r="H873" s="2640"/>
      <c r="I873" s="2702"/>
      <c r="J873" s="2591"/>
      <c r="K873" s="2591"/>
      <c r="L873" s="2591"/>
      <c r="M873" s="2591"/>
      <c r="N873" s="2591"/>
      <c r="O873" s="2591"/>
      <c r="P873" s="2591"/>
      <c r="Q873" s="2591"/>
      <c r="R873" s="2591"/>
      <c r="S873" s="2591"/>
    </row>
    <row r="874" ht="16.5" spans="1:19">
      <c r="A874" s="2642"/>
      <c r="B874" s="2675"/>
      <c r="C874" s="2676"/>
      <c r="D874" s="2677"/>
      <c r="E874" s="2677"/>
      <c r="F874" s="2677"/>
      <c r="G874" s="2640"/>
      <c r="H874" s="2640"/>
      <c r="I874" s="2702"/>
      <c r="J874" s="2591"/>
      <c r="K874" s="2591"/>
      <c r="L874" s="2591"/>
      <c r="M874" s="2591"/>
      <c r="N874" s="2591"/>
      <c r="O874" s="2591"/>
      <c r="P874" s="2591"/>
      <c r="Q874" s="2591"/>
      <c r="R874" s="2591"/>
      <c r="S874" s="2591"/>
    </row>
    <row r="875" ht="16.5" spans="1:19">
      <c r="A875" s="2642"/>
      <c r="B875" s="2675"/>
      <c r="C875" s="2676"/>
      <c r="D875" s="2677"/>
      <c r="E875" s="2677"/>
      <c r="F875" s="2677"/>
      <c r="G875" s="2640"/>
      <c r="H875" s="2640"/>
      <c r="I875" s="2702"/>
      <c r="J875" s="2591"/>
      <c r="K875" s="2591"/>
      <c r="L875" s="2591"/>
      <c r="M875" s="2591"/>
      <c r="N875" s="2591"/>
      <c r="O875" s="2591"/>
      <c r="P875" s="2591"/>
      <c r="Q875" s="2591"/>
      <c r="R875" s="2591"/>
      <c r="S875" s="2591"/>
    </row>
    <row r="876" ht="16.5" spans="1:19">
      <c r="A876" s="2642"/>
      <c r="B876" s="2675"/>
      <c r="C876" s="2676"/>
      <c r="D876" s="2677"/>
      <c r="E876" s="2677"/>
      <c r="F876" s="2677"/>
      <c r="G876" s="2640"/>
      <c r="H876" s="2640"/>
      <c r="I876" s="2702"/>
      <c r="J876" s="2591"/>
      <c r="K876" s="2591"/>
      <c r="L876" s="2591"/>
      <c r="M876" s="2591"/>
      <c r="N876" s="2591"/>
      <c r="O876" s="2591"/>
      <c r="P876" s="2591"/>
      <c r="Q876" s="2591"/>
      <c r="R876" s="2591"/>
      <c r="S876" s="2591"/>
    </row>
    <row r="877" ht="16.5" spans="1:19">
      <c r="A877" s="2642"/>
      <c r="B877" s="2675"/>
      <c r="C877" s="2676"/>
      <c r="D877" s="2677"/>
      <c r="E877" s="2677"/>
      <c r="F877" s="2677"/>
      <c r="G877" s="2640"/>
      <c r="H877" s="2640"/>
      <c r="I877" s="2702"/>
      <c r="J877" s="2591"/>
      <c r="K877" s="2591"/>
      <c r="L877" s="2591"/>
      <c r="M877" s="2591"/>
      <c r="N877" s="2591"/>
      <c r="O877" s="2591"/>
      <c r="P877" s="2591"/>
      <c r="Q877" s="2591"/>
      <c r="R877" s="2591"/>
      <c r="S877" s="2591"/>
    </row>
    <row r="878" ht="16.5" spans="1:19">
      <c r="A878" s="2642"/>
      <c r="B878" s="2675"/>
      <c r="C878" s="2676"/>
      <c r="D878" s="2677"/>
      <c r="E878" s="2677"/>
      <c r="F878" s="2677"/>
      <c r="G878" s="2640"/>
      <c r="H878" s="2640"/>
      <c r="I878" s="2702"/>
      <c r="J878" s="2591"/>
      <c r="K878" s="2591"/>
      <c r="L878" s="2591"/>
      <c r="M878" s="2591"/>
      <c r="N878" s="2591"/>
      <c r="O878" s="2591"/>
      <c r="P878" s="2591"/>
      <c r="Q878" s="2591"/>
      <c r="R878" s="2591"/>
      <c r="S878" s="2591"/>
    </row>
    <row r="879" ht="16.5" spans="1:19">
      <c r="A879" s="2642"/>
      <c r="B879" s="2675"/>
      <c r="C879" s="2676"/>
      <c r="D879" s="2677"/>
      <c r="E879" s="2677"/>
      <c r="F879" s="2677"/>
      <c r="G879" s="2640"/>
      <c r="H879" s="2640"/>
      <c r="I879" s="2702"/>
      <c r="J879" s="2591"/>
      <c r="K879" s="2591"/>
      <c r="L879" s="2591"/>
      <c r="M879" s="2591"/>
      <c r="N879" s="2591"/>
      <c r="O879" s="2591"/>
      <c r="P879" s="2591"/>
      <c r="Q879" s="2591"/>
      <c r="R879" s="2591"/>
      <c r="S879" s="2591"/>
    </row>
    <row r="880" ht="16.5" spans="1:19">
      <c r="A880" s="2642"/>
      <c r="B880" s="2675"/>
      <c r="C880" s="2676"/>
      <c r="D880" s="2677"/>
      <c r="E880" s="2677"/>
      <c r="F880" s="2677"/>
      <c r="G880" s="2640"/>
      <c r="H880" s="2640"/>
      <c r="I880" s="2702"/>
      <c r="J880" s="2591"/>
      <c r="K880" s="2591"/>
      <c r="L880" s="2591"/>
      <c r="M880" s="2591"/>
      <c r="N880" s="2591"/>
      <c r="O880" s="2591"/>
      <c r="P880" s="2591"/>
      <c r="Q880" s="2591"/>
      <c r="R880" s="2591"/>
      <c r="S880" s="2591"/>
    </row>
    <row r="881" ht="16.5" spans="1:19">
      <c r="A881" s="2642"/>
      <c r="B881" s="2675"/>
      <c r="C881" s="2676"/>
      <c r="D881" s="2677"/>
      <c r="E881" s="2677"/>
      <c r="F881" s="2677"/>
      <c r="G881" s="2640"/>
      <c r="H881" s="2640"/>
      <c r="I881" s="2702"/>
      <c r="J881" s="2591"/>
      <c r="K881" s="2591"/>
      <c r="L881" s="2591"/>
      <c r="M881" s="2591"/>
      <c r="N881" s="2591"/>
      <c r="O881" s="2591"/>
      <c r="P881" s="2591"/>
      <c r="Q881" s="2591"/>
      <c r="R881" s="2591"/>
      <c r="S881" s="2591"/>
    </row>
    <row r="882" ht="16.5" spans="1:19">
      <c r="A882" s="2642"/>
      <c r="B882" s="2675"/>
      <c r="C882" s="2676"/>
      <c r="D882" s="2677"/>
      <c r="E882" s="2677"/>
      <c r="F882" s="2677"/>
      <c r="G882" s="2640"/>
      <c r="H882" s="2640"/>
      <c r="I882" s="2702"/>
      <c r="J882" s="2591"/>
      <c r="K882" s="2591"/>
      <c r="L882" s="2591"/>
      <c r="M882" s="2591"/>
      <c r="N882" s="2591"/>
      <c r="O882" s="2591"/>
      <c r="P882" s="2591"/>
      <c r="Q882" s="2591"/>
      <c r="R882" s="2591"/>
      <c r="S882" s="2591"/>
    </row>
    <row r="883" ht="16.5" spans="1:19">
      <c r="A883" s="2642"/>
      <c r="B883" s="2675"/>
      <c r="C883" s="2676"/>
      <c r="D883" s="2677"/>
      <c r="E883" s="2677"/>
      <c r="F883" s="2677"/>
      <c r="G883" s="2640"/>
      <c r="H883" s="2640"/>
      <c r="I883" s="2702"/>
      <c r="J883" s="2591"/>
      <c r="K883" s="2591"/>
      <c r="L883" s="2591"/>
      <c r="M883" s="2591"/>
      <c r="N883" s="2591"/>
      <c r="O883" s="2591"/>
      <c r="P883" s="2591"/>
      <c r="Q883" s="2591"/>
      <c r="R883" s="2591"/>
      <c r="S883" s="2591"/>
    </row>
    <row r="884" ht="16.5" spans="1:19">
      <c r="A884" s="2642"/>
      <c r="B884" s="2675"/>
      <c r="C884" s="2676"/>
      <c r="D884" s="2677"/>
      <c r="E884" s="2677"/>
      <c r="F884" s="2677"/>
      <c r="G884" s="2640"/>
      <c r="H884" s="2640"/>
      <c r="I884" s="2702"/>
      <c r="J884" s="2591"/>
      <c r="K884" s="2591"/>
      <c r="L884" s="2591"/>
      <c r="M884" s="2591"/>
      <c r="N884" s="2591"/>
      <c r="O884" s="2591"/>
      <c r="P884" s="2591"/>
      <c r="Q884" s="2591"/>
      <c r="R884" s="2591"/>
      <c r="S884" s="2591"/>
    </row>
    <row r="885" ht="16.5" spans="1:19">
      <c r="A885" s="2642"/>
      <c r="B885" s="2675"/>
      <c r="C885" s="2676"/>
      <c r="D885" s="2677"/>
      <c r="E885" s="2677"/>
      <c r="F885" s="2677"/>
      <c r="G885" s="2640"/>
      <c r="H885" s="2640"/>
      <c r="I885" s="2702"/>
      <c r="J885" s="2591"/>
      <c r="K885" s="2591"/>
      <c r="L885" s="2591"/>
      <c r="M885" s="2591"/>
      <c r="N885" s="2591"/>
      <c r="O885" s="2591"/>
      <c r="P885" s="2591"/>
      <c r="Q885" s="2591"/>
      <c r="R885" s="2591"/>
      <c r="S885" s="2591"/>
    </row>
    <row r="886" ht="16.5" spans="1:19">
      <c r="A886" s="2642"/>
      <c r="B886" s="2675"/>
      <c r="C886" s="2676"/>
      <c r="D886" s="2677"/>
      <c r="E886" s="2677"/>
      <c r="F886" s="2677"/>
      <c r="G886" s="2640"/>
      <c r="H886" s="2640"/>
      <c r="I886" s="2702"/>
      <c r="J886" s="2591"/>
      <c r="K886" s="2591"/>
      <c r="L886" s="2591"/>
      <c r="M886" s="2591"/>
      <c r="N886" s="2591"/>
      <c r="O886" s="2591"/>
      <c r="P886" s="2591"/>
      <c r="Q886" s="2591"/>
      <c r="R886" s="2591"/>
      <c r="S886" s="2591"/>
    </row>
    <row r="887" ht="16.5" spans="1:19">
      <c r="A887" s="2642"/>
      <c r="B887" s="2675"/>
      <c r="C887" s="2676"/>
      <c r="D887" s="2677"/>
      <c r="E887" s="2677"/>
      <c r="F887" s="2677"/>
      <c r="G887" s="2640"/>
      <c r="H887" s="2640"/>
      <c r="I887" s="2702"/>
      <c r="J887" s="2591"/>
      <c r="K887" s="2591"/>
      <c r="L887" s="2591"/>
      <c r="M887" s="2591"/>
      <c r="N887" s="2591"/>
      <c r="O887" s="2591"/>
      <c r="P887" s="2591"/>
      <c r="Q887" s="2591"/>
      <c r="R887" s="2591"/>
      <c r="S887" s="2591"/>
    </row>
    <row r="888" ht="16.5" spans="1:19">
      <c r="A888" s="2642"/>
      <c r="B888" s="2675"/>
      <c r="C888" s="2676"/>
      <c r="D888" s="2677"/>
      <c r="E888" s="2677"/>
      <c r="F888" s="2677"/>
      <c r="G888" s="2640"/>
      <c r="H888" s="2640"/>
      <c r="I888" s="2702"/>
      <c r="J888" s="2591"/>
      <c r="K888" s="2591"/>
      <c r="L888" s="2591"/>
      <c r="M888" s="2591"/>
      <c r="N888" s="2591"/>
      <c r="O888" s="2591"/>
      <c r="P888" s="2591"/>
      <c r="Q888" s="2591"/>
      <c r="R888" s="2591"/>
      <c r="S888" s="2591"/>
    </row>
    <row r="889" ht="16.5" spans="1:19">
      <c r="A889" s="2642"/>
      <c r="B889" s="2675"/>
      <c r="C889" s="2676"/>
      <c r="D889" s="2677"/>
      <c r="E889" s="2677"/>
      <c r="F889" s="2677"/>
      <c r="G889" s="2640"/>
      <c r="H889" s="2640"/>
      <c r="I889" s="2702"/>
      <c r="J889" s="2591"/>
      <c r="K889" s="2591"/>
      <c r="L889" s="2591"/>
      <c r="M889" s="2591"/>
      <c r="N889" s="2591"/>
      <c r="O889" s="2591"/>
      <c r="P889" s="2591"/>
      <c r="Q889" s="2591"/>
      <c r="R889" s="2591"/>
      <c r="S889" s="2591"/>
    </row>
    <row r="890" ht="16.5" spans="1:19">
      <c r="A890" s="2642"/>
      <c r="B890" s="2675"/>
      <c r="C890" s="2676"/>
      <c r="D890" s="2677"/>
      <c r="E890" s="2677"/>
      <c r="F890" s="2677"/>
      <c r="G890" s="2640"/>
      <c r="H890" s="2640"/>
      <c r="I890" s="2702"/>
      <c r="J890" s="2591"/>
      <c r="K890" s="2591"/>
      <c r="L890" s="2591"/>
      <c r="M890" s="2591"/>
      <c r="N890" s="2591"/>
      <c r="O890" s="2591"/>
      <c r="P890" s="2591"/>
      <c r="Q890" s="2591"/>
      <c r="R890" s="2591"/>
      <c r="S890" s="2591"/>
    </row>
    <row r="891" ht="16.5" spans="1:19">
      <c r="A891" s="2642"/>
      <c r="B891" s="2675"/>
      <c r="C891" s="2676"/>
      <c r="D891" s="2677"/>
      <c r="E891" s="2677"/>
      <c r="F891" s="2677"/>
      <c r="G891" s="2640"/>
      <c r="H891" s="2640"/>
      <c r="I891" s="2702"/>
      <c r="J891" s="2591"/>
      <c r="K891" s="2591"/>
      <c r="L891" s="2591"/>
      <c r="M891" s="2591"/>
      <c r="N891" s="2591"/>
      <c r="O891" s="2591"/>
      <c r="P891" s="2591"/>
      <c r="Q891" s="2591"/>
      <c r="R891" s="2591"/>
      <c r="S891" s="2591"/>
    </row>
    <row r="892" ht="16.5" spans="1:19">
      <c r="A892" s="2642"/>
      <c r="B892" s="2675"/>
      <c r="C892" s="2676"/>
      <c r="D892" s="2677"/>
      <c r="E892" s="2677"/>
      <c r="F892" s="2677"/>
      <c r="G892" s="2640"/>
      <c r="H892" s="2640"/>
      <c r="I892" s="2702"/>
      <c r="J892" s="2591"/>
      <c r="K892" s="2591"/>
      <c r="L892" s="2591"/>
      <c r="M892" s="2591"/>
      <c r="N892" s="2591"/>
      <c r="O892" s="2591"/>
      <c r="P892" s="2591"/>
      <c r="Q892" s="2591"/>
      <c r="R892" s="2591"/>
      <c r="S892" s="2591"/>
    </row>
    <row r="893" ht="16.5" spans="1:19">
      <c r="A893" s="2642"/>
      <c r="B893" s="2675"/>
      <c r="C893" s="2676"/>
      <c r="D893" s="2677"/>
      <c r="E893" s="2677"/>
      <c r="F893" s="2677"/>
      <c r="G893" s="2640"/>
      <c r="H893" s="2640"/>
      <c r="I893" s="2702"/>
      <c r="J893" s="2591"/>
      <c r="K893" s="2591"/>
      <c r="L893" s="2591"/>
      <c r="M893" s="2591"/>
      <c r="N893" s="2591"/>
      <c r="O893" s="2591"/>
      <c r="P893" s="2591"/>
      <c r="Q893" s="2591"/>
      <c r="R893" s="2591"/>
      <c r="S893" s="2591"/>
    </row>
    <row r="894" ht="16.5" spans="1:19">
      <c r="A894" s="2642"/>
      <c r="B894" s="2675"/>
      <c r="C894" s="2676"/>
      <c r="D894" s="2677"/>
      <c r="E894" s="2677"/>
      <c r="F894" s="2677"/>
      <c r="G894" s="2640"/>
      <c r="H894" s="2640"/>
      <c r="I894" s="2702"/>
      <c r="J894" s="2591"/>
      <c r="K894" s="2591"/>
      <c r="L894" s="2591"/>
      <c r="M894" s="2591"/>
      <c r="N894" s="2591"/>
      <c r="O894" s="2591"/>
      <c r="P894" s="2591"/>
      <c r="Q894" s="2591"/>
      <c r="R894" s="2591"/>
      <c r="S894" s="2591"/>
    </row>
    <row r="895" ht="16.5" spans="1:19">
      <c r="A895" s="2642"/>
      <c r="B895" s="2675"/>
      <c r="C895" s="2676"/>
      <c r="D895" s="2677"/>
      <c r="E895" s="2677"/>
      <c r="F895" s="2677"/>
      <c r="G895" s="2640"/>
      <c r="H895" s="2640"/>
      <c r="I895" s="2702"/>
      <c r="J895" s="2591"/>
      <c r="K895" s="2591"/>
      <c r="L895" s="2591"/>
      <c r="M895" s="2591"/>
      <c r="N895" s="2591"/>
      <c r="O895" s="2591"/>
      <c r="P895" s="2591"/>
      <c r="Q895" s="2591"/>
      <c r="R895" s="2591"/>
      <c r="S895" s="2591"/>
    </row>
    <row r="896" ht="16.5" spans="1:19">
      <c r="A896" s="2642"/>
      <c r="B896" s="2675"/>
      <c r="C896" s="2676"/>
      <c r="D896" s="2677"/>
      <c r="E896" s="2677"/>
      <c r="F896" s="2677"/>
      <c r="G896" s="2640"/>
      <c r="H896" s="2640"/>
      <c r="I896" s="2702"/>
      <c r="J896" s="2591"/>
      <c r="K896" s="2591"/>
      <c r="L896" s="2591"/>
      <c r="M896" s="2591"/>
      <c r="N896" s="2591"/>
      <c r="O896" s="2591"/>
      <c r="P896" s="2591"/>
      <c r="Q896" s="2591"/>
      <c r="R896" s="2591"/>
      <c r="S896" s="2591"/>
    </row>
    <row r="897" ht="16.5" spans="1:19">
      <c r="A897" s="2642"/>
      <c r="B897" s="2675"/>
      <c r="C897" s="2676"/>
      <c r="D897" s="2677"/>
      <c r="E897" s="2677"/>
      <c r="F897" s="2677"/>
      <c r="G897" s="2640"/>
      <c r="H897" s="2640"/>
      <c r="I897" s="2702"/>
      <c r="J897" s="2591"/>
      <c r="K897" s="2591"/>
      <c r="L897" s="2591"/>
      <c r="M897" s="2591"/>
      <c r="N897" s="2591"/>
      <c r="O897" s="2591"/>
      <c r="P897" s="2591"/>
      <c r="Q897" s="2591"/>
      <c r="R897" s="2591"/>
      <c r="S897" s="2591"/>
    </row>
    <row r="898" ht="16.5" spans="1:19">
      <c r="A898" s="2642"/>
      <c r="B898" s="2675"/>
      <c r="C898" s="2676"/>
      <c r="D898" s="2677"/>
      <c r="E898" s="2677"/>
      <c r="F898" s="2677"/>
      <c r="G898" s="2640"/>
      <c r="H898" s="2640"/>
      <c r="I898" s="2702"/>
      <c r="J898" s="2591"/>
      <c r="K898" s="2591"/>
      <c r="L898" s="2591"/>
      <c r="M898" s="2591"/>
      <c r="N898" s="2591"/>
      <c r="O898" s="2591"/>
      <c r="P898" s="2591"/>
      <c r="Q898" s="2591"/>
      <c r="R898" s="2591"/>
      <c r="S898" s="2591"/>
    </row>
    <row r="899" ht="16.5" spans="1:19">
      <c r="A899" s="2642"/>
      <c r="B899" s="2675"/>
      <c r="C899" s="2676"/>
      <c r="D899" s="2677"/>
      <c r="E899" s="2677"/>
      <c r="F899" s="2677"/>
      <c r="G899" s="2640"/>
      <c r="H899" s="2640"/>
      <c r="I899" s="2702"/>
      <c r="J899" s="2591"/>
      <c r="K899" s="2591"/>
      <c r="L899" s="2591"/>
      <c r="M899" s="2591"/>
      <c r="N899" s="2591"/>
      <c r="O899" s="2591"/>
      <c r="P899" s="2591"/>
      <c r="Q899" s="2591"/>
      <c r="R899" s="2591"/>
      <c r="S899" s="2591"/>
    </row>
    <row r="900" ht="16.5" spans="1:19">
      <c r="A900" s="2642"/>
      <c r="B900" s="2675"/>
      <c r="C900" s="2676"/>
      <c r="D900" s="2677"/>
      <c r="E900" s="2677"/>
      <c r="F900" s="2677"/>
      <c r="G900" s="2640"/>
      <c r="H900" s="2640"/>
      <c r="I900" s="2702"/>
      <c r="J900" s="2591"/>
      <c r="K900" s="2591"/>
      <c r="L900" s="2591"/>
      <c r="M900" s="2591"/>
      <c r="N900" s="2591"/>
      <c r="O900" s="2591"/>
      <c r="P900" s="2591"/>
      <c r="Q900" s="2591"/>
      <c r="R900" s="2591"/>
      <c r="S900" s="2591"/>
    </row>
    <row r="901" ht="16.5" spans="1:19">
      <c r="A901" s="2642"/>
      <c r="B901" s="2675"/>
      <c r="C901" s="2676"/>
      <c r="D901" s="2677"/>
      <c r="E901" s="2677"/>
      <c r="F901" s="2677"/>
      <c r="G901" s="2640"/>
      <c r="H901" s="2640"/>
      <c r="I901" s="2702"/>
      <c r="J901" s="2591"/>
      <c r="K901" s="2591"/>
      <c r="L901" s="2591"/>
      <c r="M901" s="2591"/>
      <c r="N901" s="2591"/>
      <c r="O901" s="2591"/>
      <c r="P901" s="2591"/>
      <c r="Q901" s="2591"/>
      <c r="R901" s="2591"/>
      <c r="S901" s="2591"/>
    </row>
    <row r="902" ht="16.5" spans="1:19">
      <c r="A902" s="2642"/>
      <c r="B902" s="2675"/>
      <c r="C902" s="2676"/>
      <c r="D902" s="2677"/>
      <c r="E902" s="2677"/>
      <c r="F902" s="2677"/>
      <c r="G902" s="2640"/>
      <c r="H902" s="2640"/>
      <c r="I902" s="2702"/>
      <c r="J902" s="2591"/>
      <c r="K902" s="2591"/>
      <c r="L902" s="2591"/>
      <c r="M902" s="2591"/>
      <c r="N902" s="2591"/>
      <c r="O902" s="2591"/>
      <c r="P902" s="2591"/>
      <c r="Q902" s="2591"/>
      <c r="R902" s="2591"/>
      <c r="S902" s="2591"/>
    </row>
    <row r="903" ht="16.5" spans="1:19">
      <c r="A903" s="2642"/>
      <c r="B903" s="2675"/>
      <c r="C903" s="2676"/>
      <c r="D903" s="2677"/>
      <c r="E903" s="2677"/>
      <c r="F903" s="2677"/>
      <c r="G903" s="2640"/>
      <c r="H903" s="2640"/>
      <c r="I903" s="2702"/>
      <c r="J903" s="2591"/>
      <c r="K903" s="2591"/>
      <c r="L903" s="2591"/>
      <c r="M903" s="2591"/>
      <c r="N903" s="2591"/>
      <c r="O903" s="2591"/>
      <c r="P903" s="2591"/>
      <c r="Q903" s="2591"/>
      <c r="R903" s="2591"/>
      <c r="S903" s="2591"/>
    </row>
    <row r="904" ht="16.5" spans="1:19">
      <c r="A904" s="2642"/>
      <c r="B904" s="2675"/>
      <c r="C904" s="2676"/>
      <c r="D904" s="2677"/>
      <c r="E904" s="2677"/>
      <c r="F904" s="2677"/>
      <c r="G904" s="2640"/>
      <c r="H904" s="2640"/>
      <c r="I904" s="2702"/>
      <c r="J904" s="2591"/>
      <c r="K904" s="2591"/>
      <c r="L904" s="2591"/>
      <c r="M904" s="2591"/>
      <c r="N904" s="2591"/>
      <c r="O904" s="2591"/>
      <c r="P904" s="2591"/>
      <c r="Q904" s="2591"/>
      <c r="R904" s="2591"/>
      <c r="S904" s="2591"/>
    </row>
    <row r="905" ht="16.5" spans="1:19">
      <c r="A905" s="2642"/>
      <c r="B905" s="2675"/>
      <c r="C905" s="2676"/>
      <c r="D905" s="2677"/>
      <c r="E905" s="2677"/>
      <c r="F905" s="2677"/>
      <c r="G905" s="2640"/>
      <c r="H905" s="2640"/>
      <c r="I905" s="2702"/>
      <c r="J905" s="2591"/>
      <c r="K905" s="2591"/>
      <c r="L905" s="2591"/>
      <c r="M905" s="2591"/>
      <c r="N905" s="2591"/>
      <c r="O905" s="2591"/>
      <c r="P905" s="2591"/>
      <c r="Q905" s="2591"/>
      <c r="R905" s="2591"/>
      <c r="S905" s="2591"/>
    </row>
    <row r="906" ht="16.5" spans="1:19">
      <c r="A906" s="2642"/>
      <c r="B906" s="2675"/>
      <c r="C906" s="2676"/>
      <c r="D906" s="2677"/>
      <c r="E906" s="2677"/>
      <c r="F906" s="2677"/>
      <c r="G906" s="2640"/>
      <c r="H906" s="2640"/>
      <c r="I906" s="2702"/>
      <c r="J906" s="2591"/>
      <c r="K906" s="2591"/>
      <c r="L906" s="2591"/>
      <c r="M906" s="2591"/>
      <c r="N906" s="2591"/>
      <c r="O906" s="2591"/>
      <c r="P906" s="2591"/>
      <c r="Q906" s="2591"/>
      <c r="R906" s="2591"/>
      <c r="S906" s="2591"/>
    </row>
    <row r="907" ht="16.5" spans="1:19">
      <c r="A907" s="2642"/>
      <c r="B907" s="2675"/>
      <c r="C907" s="2676"/>
      <c r="D907" s="2677"/>
      <c r="E907" s="2677"/>
      <c r="F907" s="2677"/>
      <c r="G907" s="2640"/>
      <c r="H907" s="2640"/>
      <c r="I907" s="2702"/>
      <c r="J907" s="2591"/>
      <c r="K907" s="2591"/>
      <c r="L907" s="2591"/>
      <c r="M907" s="2591"/>
      <c r="N907" s="2591"/>
      <c r="O907" s="2591"/>
      <c r="P907" s="2591"/>
      <c r="Q907" s="2591"/>
      <c r="R907" s="2591"/>
      <c r="S907" s="2591"/>
    </row>
    <row r="908" ht="16.5" spans="1:19">
      <c r="A908" s="2642"/>
      <c r="B908" s="2675"/>
      <c r="C908" s="2676"/>
      <c r="D908" s="2677"/>
      <c r="E908" s="2677"/>
      <c r="F908" s="2677"/>
      <c r="G908" s="2640"/>
      <c r="H908" s="2640"/>
      <c r="I908" s="2702"/>
      <c r="J908" s="2591"/>
      <c r="K908" s="2591"/>
      <c r="L908" s="2591"/>
      <c r="M908" s="2591"/>
      <c r="N908" s="2591"/>
      <c r="O908" s="2591"/>
      <c r="P908" s="2591"/>
      <c r="Q908" s="2591"/>
      <c r="R908" s="2591"/>
      <c r="S908" s="2591"/>
    </row>
    <row r="909" ht="16.5" spans="1:19">
      <c r="A909" s="2642"/>
      <c r="B909" s="2675"/>
      <c r="C909" s="2676"/>
      <c r="D909" s="2677"/>
      <c r="E909" s="2677"/>
      <c r="F909" s="2677"/>
      <c r="G909" s="2640"/>
      <c r="H909" s="2640"/>
      <c r="I909" s="2702"/>
      <c r="J909" s="2591"/>
      <c r="K909" s="2591"/>
      <c r="L909" s="2591"/>
      <c r="M909" s="2591"/>
      <c r="N909" s="2591"/>
      <c r="O909" s="2591"/>
      <c r="P909" s="2591"/>
      <c r="Q909" s="2591"/>
      <c r="R909" s="2591"/>
      <c r="S909" s="2591"/>
    </row>
    <row r="910" ht="16.5" spans="1:19">
      <c r="A910" s="2642"/>
      <c r="B910" s="2675"/>
      <c r="C910" s="2676"/>
      <c r="D910" s="2677"/>
      <c r="E910" s="2677"/>
      <c r="F910" s="2677"/>
      <c r="G910" s="2640"/>
      <c r="H910" s="2640"/>
      <c r="I910" s="2702"/>
      <c r="J910" s="2591"/>
      <c r="K910" s="2591"/>
      <c r="L910" s="2591"/>
      <c r="M910" s="2591"/>
      <c r="N910" s="2591"/>
      <c r="O910" s="2591"/>
      <c r="P910" s="2591"/>
      <c r="Q910" s="2591"/>
      <c r="R910" s="2591"/>
      <c r="S910" s="2591"/>
    </row>
    <row r="911" ht="16.5" spans="1:19">
      <c r="A911" s="2642"/>
      <c r="B911" s="2675"/>
      <c r="C911" s="2676"/>
      <c r="D911" s="2677"/>
      <c r="E911" s="2677"/>
      <c r="F911" s="2677"/>
      <c r="G911" s="2640"/>
      <c r="H911" s="2640"/>
      <c r="I911" s="2702"/>
      <c r="J911" s="2591"/>
      <c r="K911" s="2591"/>
      <c r="L911" s="2591"/>
      <c r="M911" s="2591"/>
      <c r="N911" s="2591"/>
      <c r="O911" s="2591"/>
      <c r="P911" s="2591"/>
      <c r="Q911" s="2591"/>
      <c r="R911" s="2591"/>
      <c r="S911" s="2591"/>
    </row>
    <row r="912" ht="16.5" spans="1:19">
      <c r="A912" s="2642"/>
      <c r="B912" s="2675"/>
      <c r="C912" s="2676"/>
      <c r="D912" s="2677"/>
      <c r="E912" s="2677"/>
      <c r="F912" s="2677"/>
      <c r="G912" s="2640"/>
      <c r="H912" s="2640"/>
      <c r="I912" s="2702"/>
      <c r="J912" s="2591"/>
      <c r="K912" s="2591"/>
      <c r="L912" s="2591"/>
      <c r="M912" s="2591"/>
      <c r="N912" s="2591"/>
      <c r="O912" s="2591"/>
      <c r="P912" s="2591"/>
      <c r="Q912" s="2591"/>
      <c r="R912" s="2591"/>
      <c r="S912" s="2591"/>
    </row>
    <row r="913" ht="16.5" spans="1:19">
      <c r="A913" s="2642"/>
      <c r="B913" s="2675"/>
      <c r="C913" s="2676"/>
      <c r="D913" s="2677"/>
      <c r="E913" s="2677"/>
      <c r="F913" s="2677"/>
      <c r="G913" s="2640"/>
      <c r="H913" s="2640"/>
      <c r="I913" s="2702"/>
      <c r="J913" s="2591"/>
      <c r="K913" s="2591"/>
      <c r="L913" s="2591"/>
      <c r="M913" s="2591"/>
      <c r="N913" s="2591"/>
      <c r="O913" s="2591"/>
      <c r="P913" s="2591"/>
      <c r="Q913" s="2591"/>
      <c r="R913" s="2591"/>
      <c r="S913" s="2591"/>
    </row>
    <row r="914" ht="16.5" spans="1:19">
      <c r="A914" s="2642"/>
      <c r="B914" s="2675"/>
      <c r="C914" s="2676"/>
      <c r="D914" s="2677"/>
      <c r="E914" s="2677"/>
      <c r="F914" s="2677"/>
      <c r="G914" s="2640"/>
      <c r="H914" s="2640"/>
      <c r="I914" s="2702"/>
      <c r="J914" s="2591"/>
      <c r="K914" s="2591"/>
      <c r="L914" s="2591"/>
      <c r="M914" s="2591"/>
      <c r="N914" s="2591"/>
      <c r="O914" s="2591"/>
      <c r="P914" s="2591"/>
      <c r="Q914" s="2591"/>
      <c r="R914" s="2591"/>
      <c r="S914" s="2591"/>
    </row>
    <row r="915" ht="16.5" spans="1:19">
      <c r="A915" s="2642"/>
      <c r="B915" s="2675"/>
      <c r="C915" s="2676"/>
      <c r="D915" s="2677"/>
      <c r="E915" s="2677"/>
      <c r="F915" s="2677"/>
      <c r="G915" s="2640"/>
      <c r="H915" s="2640"/>
      <c r="I915" s="2702"/>
      <c r="J915" s="2591"/>
      <c r="K915" s="2591"/>
      <c r="L915" s="2591"/>
      <c r="M915" s="2591"/>
      <c r="N915" s="2591"/>
      <c r="O915" s="2591"/>
      <c r="P915" s="2591"/>
      <c r="Q915" s="2591"/>
      <c r="R915" s="2591"/>
      <c r="S915" s="2591"/>
    </row>
    <row r="916" ht="16.5" spans="1:19">
      <c r="A916" s="2642"/>
      <c r="B916" s="2675"/>
      <c r="C916" s="2676"/>
      <c r="D916" s="2677"/>
      <c r="E916" s="2677"/>
      <c r="F916" s="2677"/>
      <c r="G916" s="2640"/>
      <c r="H916" s="2640"/>
      <c r="I916" s="2702"/>
      <c r="J916" s="2591"/>
      <c r="K916" s="2591"/>
      <c r="L916" s="2591"/>
      <c r="M916" s="2591"/>
      <c r="N916" s="2591"/>
      <c r="O916" s="2591"/>
      <c r="P916" s="2591"/>
      <c r="Q916" s="2591"/>
      <c r="R916" s="2591"/>
      <c r="S916" s="2591"/>
    </row>
    <row r="917" ht="16.5" spans="1:19">
      <c r="A917" s="2642"/>
      <c r="B917" s="2675"/>
      <c r="C917" s="2676"/>
      <c r="D917" s="2677"/>
      <c r="E917" s="2677"/>
      <c r="F917" s="2677"/>
      <c r="G917" s="2640"/>
      <c r="H917" s="2640"/>
      <c r="I917" s="2702"/>
      <c r="J917" s="2591"/>
      <c r="K917" s="2591"/>
      <c r="L917" s="2591"/>
      <c r="M917" s="2591"/>
      <c r="N917" s="2591"/>
      <c r="O917" s="2591"/>
      <c r="P917" s="2591"/>
      <c r="Q917" s="2591"/>
      <c r="R917" s="2591"/>
      <c r="S917" s="2591"/>
    </row>
    <row r="918" ht="16.5" spans="1:19">
      <c r="A918" s="2642"/>
      <c r="B918" s="2675"/>
      <c r="C918" s="2676"/>
      <c r="D918" s="2677"/>
      <c r="E918" s="2677"/>
      <c r="F918" s="2677"/>
      <c r="G918" s="2640"/>
      <c r="H918" s="2640"/>
      <c r="I918" s="2702"/>
      <c r="J918" s="2591"/>
      <c r="K918" s="2591"/>
      <c r="L918" s="2591"/>
      <c r="M918" s="2591"/>
      <c r="N918" s="2591"/>
      <c r="O918" s="2591"/>
      <c r="P918" s="2591"/>
      <c r="Q918" s="2591"/>
      <c r="R918" s="2591"/>
      <c r="S918" s="2591"/>
    </row>
    <row r="919" ht="16.5" spans="1:19">
      <c r="A919" s="2642"/>
      <c r="B919" s="2675"/>
      <c r="C919" s="2676"/>
      <c r="D919" s="2677"/>
      <c r="E919" s="2677"/>
      <c r="F919" s="2677"/>
      <c r="G919" s="2640"/>
      <c r="H919" s="2640"/>
      <c r="I919" s="2702"/>
      <c r="J919" s="2591"/>
      <c r="K919" s="2591"/>
      <c r="L919" s="2591"/>
      <c r="M919" s="2591"/>
      <c r="N919" s="2591"/>
      <c r="O919" s="2591"/>
      <c r="P919" s="2591"/>
      <c r="Q919" s="2591"/>
      <c r="R919" s="2591"/>
      <c r="S919" s="2591"/>
    </row>
    <row r="920" ht="16.5" spans="1:19">
      <c r="A920" s="2642"/>
      <c r="B920" s="2675"/>
      <c r="C920" s="2676"/>
      <c r="D920" s="2677"/>
      <c r="E920" s="2677"/>
      <c r="F920" s="2677"/>
      <c r="G920" s="2640"/>
      <c r="H920" s="2640"/>
      <c r="I920" s="2702"/>
      <c r="J920" s="2591"/>
      <c r="K920" s="2591"/>
      <c r="L920" s="2591"/>
      <c r="M920" s="2591"/>
      <c r="N920" s="2591"/>
      <c r="O920" s="2591"/>
      <c r="P920" s="2591"/>
      <c r="Q920" s="2591"/>
      <c r="R920" s="2591"/>
      <c r="S920" s="2591"/>
    </row>
    <row r="921" ht="16.5" spans="1:19">
      <c r="A921" s="2642"/>
      <c r="B921" s="2675"/>
      <c r="C921" s="2676"/>
      <c r="D921" s="2677"/>
      <c r="E921" s="2677"/>
      <c r="F921" s="2677"/>
      <c r="G921" s="2640"/>
      <c r="H921" s="2640"/>
      <c r="I921" s="2702"/>
      <c r="J921" s="2591"/>
      <c r="K921" s="2591"/>
      <c r="L921" s="2591"/>
      <c r="M921" s="2591"/>
      <c r="N921" s="2591"/>
      <c r="O921" s="2591"/>
      <c r="P921" s="2591"/>
      <c r="Q921" s="2591"/>
      <c r="R921" s="2591"/>
      <c r="S921" s="2591"/>
    </row>
    <row r="922" ht="16.5" spans="1:19">
      <c r="A922" s="2642"/>
      <c r="B922" s="2675"/>
      <c r="C922" s="2676"/>
      <c r="D922" s="2677"/>
      <c r="E922" s="2677"/>
      <c r="F922" s="2677"/>
      <c r="G922" s="2640"/>
      <c r="H922" s="2640"/>
      <c r="I922" s="2702"/>
      <c r="J922" s="2591"/>
      <c r="K922" s="2591"/>
      <c r="L922" s="2591"/>
      <c r="M922" s="2591"/>
      <c r="N922" s="2591"/>
      <c r="O922" s="2591"/>
      <c r="P922" s="2591"/>
      <c r="Q922" s="2591"/>
      <c r="R922" s="2591"/>
      <c r="S922" s="2591"/>
    </row>
    <row r="923" ht="16.5" spans="1:19">
      <c r="A923" s="2642"/>
      <c r="B923" s="2675"/>
      <c r="C923" s="2676"/>
      <c r="D923" s="2677"/>
      <c r="E923" s="2677"/>
      <c r="F923" s="2677"/>
      <c r="G923" s="2640"/>
      <c r="H923" s="2640"/>
      <c r="I923" s="2702"/>
      <c r="J923" s="2591"/>
      <c r="K923" s="2591"/>
      <c r="L923" s="2591"/>
      <c r="M923" s="2591"/>
      <c r="N923" s="2591"/>
      <c r="O923" s="2591"/>
      <c r="P923" s="2591"/>
      <c r="Q923" s="2591"/>
      <c r="R923" s="2591"/>
      <c r="S923" s="2591"/>
    </row>
    <row r="924" ht="16.5" spans="1:19">
      <c r="A924" s="2642"/>
      <c r="B924" s="2675"/>
      <c r="C924" s="2676"/>
      <c r="D924" s="2677"/>
      <c r="E924" s="2677"/>
      <c r="F924" s="2677"/>
      <c r="G924" s="2640"/>
      <c r="H924" s="2640"/>
      <c r="I924" s="2702"/>
      <c r="J924" s="2591"/>
      <c r="K924" s="2591"/>
      <c r="L924" s="2591"/>
      <c r="M924" s="2591"/>
      <c r="N924" s="2591"/>
      <c r="O924" s="2591"/>
      <c r="P924" s="2591"/>
      <c r="Q924" s="2591"/>
      <c r="R924" s="2591"/>
      <c r="S924" s="2591"/>
    </row>
    <row r="925" ht="16.5" spans="1:19">
      <c r="A925" s="2642"/>
      <c r="B925" s="2675"/>
      <c r="C925" s="2676"/>
      <c r="D925" s="2677"/>
      <c r="E925" s="2677"/>
      <c r="F925" s="2677"/>
      <c r="G925" s="2640"/>
      <c r="H925" s="2640"/>
      <c r="I925" s="2702"/>
      <c r="J925" s="2591"/>
      <c r="K925" s="2591"/>
      <c r="L925" s="2591"/>
      <c r="M925" s="2591"/>
      <c r="N925" s="2591"/>
      <c r="O925" s="2591"/>
      <c r="P925" s="2591"/>
      <c r="Q925" s="2591"/>
      <c r="R925" s="2591"/>
      <c r="S925" s="2591"/>
    </row>
    <row r="926" ht="16.5" spans="1:19">
      <c r="A926" s="2642"/>
      <c r="B926" s="2675"/>
      <c r="C926" s="2676"/>
      <c r="D926" s="2677"/>
      <c r="E926" s="2677"/>
      <c r="F926" s="2677"/>
      <c r="G926" s="2640"/>
      <c r="H926" s="2640"/>
      <c r="I926" s="2702"/>
      <c r="J926" s="2591"/>
      <c r="K926" s="2591"/>
      <c r="L926" s="2591"/>
      <c r="M926" s="2591"/>
      <c r="N926" s="2591"/>
      <c r="O926" s="2591"/>
      <c r="P926" s="2591"/>
      <c r="Q926" s="2591"/>
      <c r="R926" s="2591"/>
      <c r="S926" s="2591"/>
    </row>
    <row r="927" ht="16.5" spans="1:19">
      <c r="A927" s="2642"/>
      <c r="B927" s="2675"/>
      <c r="C927" s="2676"/>
      <c r="D927" s="2677"/>
      <c r="E927" s="2677"/>
      <c r="F927" s="2677"/>
      <c r="G927" s="2640"/>
      <c r="H927" s="2640"/>
      <c r="I927" s="2702"/>
      <c r="J927" s="2591"/>
      <c r="K927" s="2591"/>
      <c r="L927" s="2591"/>
      <c r="M927" s="2591"/>
      <c r="N927" s="2591"/>
      <c r="O927" s="2591"/>
      <c r="P927" s="2591"/>
      <c r="Q927" s="2591"/>
      <c r="R927" s="2591"/>
      <c r="S927" s="2591"/>
    </row>
    <row r="928" ht="16.5" spans="1:19">
      <c r="A928" s="2642"/>
      <c r="B928" s="2675"/>
      <c r="C928" s="2676"/>
      <c r="D928" s="2677"/>
      <c r="E928" s="2677"/>
      <c r="F928" s="2677"/>
      <c r="G928" s="2640"/>
      <c r="H928" s="2640"/>
      <c r="I928" s="2702"/>
      <c r="J928" s="2591"/>
      <c r="K928" s="2591"/>
      <c r="L928" s="2591"/>
      <c r="M928" s="2591"/>
      <c r="N928" s="2591"/>
      <c r="O928" s="2591"/>
      <c r="P928" s="2591"/>
      <c r="Q928" s="2591"/>
      <c r="R928" s="2591"/>
      <c r="S928" s="2591"/>
    </row>
    <row r="929" ht="16.5" spans="1:19">
      <c r="A929" s="2642"/>
      <c r="B929" s="2675"/>
      <c r="C929" s="2676"/>
      <c r="D929" s="2677"/>
      <c r="E929" s="2677"/>
      <c r="F929" s="2677"/>
      <c r="G929" s="2640"/>
      <c r="H929" s="2640"/>
      <c r="I929" s="2702"/>
      <c r="J929" s="2591"/>
      <c r="K929" s="2591"/>
      <c r="L929" s="2591"/>
      <c r="M929" s="2591"/>
      <c r="N929" s="2591"/>
      <c r="O929" s="2591"/>
      <c r="P929" s="2591"/>
      <c r="Q929" s="2591"/>
      <c r="R929" s="2591"/>
      <c r="S929" s="2591"/>
    </row>
    <row r="930" ht="16.5" spans="1:19">
      <c r="A930" s="2642"/>
      <c r="B930" s="2675"/>
      <c r="C930" s="2676"/>
      <c r="D930" s="2677"/>
      <c r="E930" s="2677"/>
      <c r="F930" s="2677"/>
      <c r="G930" s="2640"/>
      <c r="H930" s="2640"/>
      <c r="I930" s="2702"/>
      <c r="J930" s="2591"/>
      <c r="K930" s="2591"/>
      <c r="L930" s="2591"/>
      <c r="M930" s="2591"/>
      <c r="N930" s="2591"/>
      <c r="O930" s="2591"/>
      <c r="P930" s="2591"/>
      <c r="Q930" s="2591"/>
      <c r="R930" s="2591"/>
      <c r="S930" s="2591"/>
    </row>
    <row r="931" ht="16.5" spans="1:19">
      <c r="A931" s="2642"/>
      <c r="B931" s="2675"/>
      <c r="C931" s="2676"/>
      <c r="D931" s="2677"/>
      <c r="E931" s="2677"/>
      <c r="F931" s="2677"/>
      <c r="G931" s="2640"/>
      <c r="H931" s="2640"/>
      <c r="I931" s="2702"/>
      <c r="J931" s="2591"/>
      <c r="K931" s="2591"/>
      <c r="L931" s="2591"/>
      <c r="M931" s="2591"/>
      <c r="N931" s="2591"/>
      <c r="O931" s="2591"/>
      <c r="P931" s="2591"/>
      <c r="Q931" s="2591"/>
      <c r="R931" s="2591"/>
      <c r="S931" s="2591"/>
    </row>
    <row r="932" ht="16.5" spans="1:19">
      <c r="A932" s="2642"/>
      <c r="B932" s="2675"/>
      <c r="C932" s="2676"/>
      <c r="D932" s="2677"/>
      <c r="E932" s="2677"/>
      <c r="F932" s="2677"/>
      <c r="G932" s="2640"/>
      <c r="H932" s="2640"/>
      <c r="I932" s="2702"/>
      <c r="J932" s="2591"/>
      <c r="K932" s="2591"/>
      <c r="L932" s="2591"/>
      <c r="M932" s="2591"/>
      <c r="N932" s="2591"/>
      <c r="O932" s="2591"/>
      <c r="P932" s="2591"/>
      <c r="Q932" s="2591"/>
      <c r="R932" s="2591"/>
      <c r="S932" s="2591"/>
    </row>
    <row r="933" ht="16.5" spans="1:19">
      <c r="A933" s="2642"/>
      <c r="B933" s="2675"/>
      <c r="C933" s="2676"/>
      <c r="D933" s="2677"/>
      <c r="E933" s="2677"/>
      <c r="F933" s="2677"/>
      <c r="G933" s="2640"/>
      <c r="H933" s="2640"/>
      <c r="I933" s="2702"/>
      <c r="J933" s="2591"/>
      <c r="K933" s="2591"/>
      <c r="L933" s="2591"/>
      <c r="M933" s="2591"/>
      <c r="N933" s="2591"/>
      <c r="O933" s="2591"/>
      <c r="P933" s="2591"/>
      <c r="Q933" s="2591"/>
      <c r="R933" s="2591"/>
      <c r="S933" s="2591"/>
    </row>
    <row r="934" ht="16.5" spans="1:19">
      <c r="A934" s="2642"/>
      <c r="B934" s="2675"/>
      <c r="C934" s="2676"/>
      <c r="D934" s="2677"/>
      <c r="E934" s="2677"/>
      <c r="F934" s="2677"/>
      <c r="G934" s="2640"/>
      <c r="H934" s="2640"/>
      <c r="I934" s="2702"/>
      <c r="J934" s="2591"/>
      <c r="K934" s="2591"/>
      <c r="L934" s="2591"/>
      <c r="M934" s="2591"/>
      <c r="N934" s="2591"/>
      <c r="O934" s="2591"/>
      <c r="P934" s="2591"/>
      <c r="Q934" s="2591"/>
      <c r="R934" s="2591"/>
      <c r="S934" s="2591"/>
    </row>
    <row r="935" ht="16.5" spans="1:19">
      <c r="A935" s="2642"/>
      <c r="B935" s="2675"/>
      <c r="C935" s="2676"/>
      <c r="D935" s="2677"/>
      <c r="E935" s="2677"/>
      <c r="F935" s="2677"/>
      <c r="G935" s="2640"/>
      <c r="H935" s="2640"/>
      <c r="I935" s="2702"/>
      <c r="J935" s="2591"/>
      <c r="K935" s="2591"/>
      <c r="L935" s="2591"/>
      <c r="M935" s="2591"/>
      <c r="N935" s="2591"/>
      <c r="O935" s="2591"/>
      <c r="P935" s="2591"/>
      <c r="Q935" s="2591"/>
      <c r="R935" s="2591"/>
      <c r="S935" s="2591"/>
    </row>
    <row r="936" ht="16.5" spans="1:19">
      <c r="A936" s="2642"/>
      <c r="B936" s="2675"/>
      <c r="C936" s="2676"/>
      <c r="D936" s="2677"/>
      <c r="E936" s="2677"/>
      <c r="F936" s="2677"/>
      <c r="G936" s="2640"/>
      <c r="H936" s="2640"/>
      <c r="I936" s="2702"/>
      <c r="J936" s="2591"/>
      <c r="K936" s="2591"/>
      <c r="L936" s="2591"/>
      <c r="M936" s="2591"/>
      <c r="N936" s="2591"/>
      <c r="O936" s="2591"/>
      <c r="P936" s="2591"/>
      <c r="Q936" s="2591"/>
      <c r="R936" s="2591"/>
      <c r="S936" s="2591"/>
    </row>
    <row r="937" ht="16.5" spans="1:19">
      <c r="A937" s="2642"/>
      <c r="B937" s="2675"/>
      <c r="C937" s="2676"/>
      <c r="D937" s="2677"/>
      <c r="E937" s="2677"/>
      <c r="F937" s="2677"/>
      <c r="G937" s="2640"/>
      <c r="H937" s="2640"/>
      <c r="I937" s="2702"/>
      <c r="J937" s="2591"/>
      <c r="K937" s="2591"/>
      <c r="L937" s="2591"/>
      <c r="M937" s="2591"/>
      <c r="N937" s="2591"/>
      <c r="O937" s="2591"/>
      <c r="P937" s="2591"/>
      <c r="Q937" s="2591"/>
      <c r="R937" s="2591"/>
      <c r="S937" s="2591"/>
    </row>
    <row r="938" ht="16.5" spans="1:19">
      <c r="A938" s="2642"/>
      <c r="B938" s="2675"/>
      <c r="C938" s="2676"/>
      <c r="D938" s="2677"/>
      <c r="E938" s="2677"/>
      <c r="F938" s="2677"/>
      <c r="G938" s="2640"/>
      <c r="H938" s="2640"/>
      <c r="I938" s="2702"/>
      <c r="J938" s="2591"/>
      <c r="K938" s="2591"/>
      <c r="L938" s="2591"/>
      <c r="M938" s="2591"/>
      <c r="N938" s="2591"/>
      <c r="O938" s="2591"/>
      <c r="P938" s="2591"/>
      <c r="Q938" s="2591"/>
      <c r="R938" s="2591"/>
      <c r="S938" s="2591"/>
    </row>
    <row r="939" ht="16.5" spans="1:19">
      <c r="A939" s="2642"/>
      <c r="B939" s="2675"/>
      <c r="C939" s="2676"/>
      <c r="D939" s="2677"/>
      <c r="E939" s="2677"/>
      <c r="F939" s="2677"/>
      <c r="G939" s="2640"/>
      <c r="H939" s="2640"/>
      <c r="I939" s="2702"/>
      <c r="J939" s="2591"/>
      <c r="K939" s="2591"/>
      <c r="L939" s="2591"/>
      <c r="M939" s="2591"/>
      <c r="N939" s="2591"/>
      <c r="O939" s="2591"/>
      <c r="P939" s="2591"/>
      <c r="Q939" s="2591"/>
      <c r="R939" s="2591"/>
      <c r="S939" s="2591"/>
    </row>
    <row r="940" ht="16.5" spans="1:19">
      <c r="A940" s="2642"/>
      <c r="B940" s="2675"/>
      <c r="C940" s="2676"/>
      <c r="D940" s="2677"/>
      <c r="E940" s="2677"/>
      <c r="F940" s="2677"/>
      <c r="G940" s="2640"/>
      <c r="H940" s="2640"/>
      <c r="I940" s="2702"/>
      <c r="J940" s="2591"/>
      <c r="K940" s="2591"/>
      <c r="L940" s="2591"/>
      <c r="M940" s="2591"/>
      <c r="N940" s="2591"/>
      <c r="O940" s="2591"/>
      <c r="P940" s="2591"/>
      <c r="Q940" s="2591"/>
      <c r="R940" s="2591"/>
      <c r="S940" s="2591"/>
    </row>
    <row r="941" ht="16.5" spans="1:19">
      <c r="A941" s="2642"/>
      <c r="B941" s="2675"/>
      <c r="C941" s="2676"/>
      <c r="D941" s="2677"/>
      <c r="E941" s="2677"/>
      <c r="F941" s="2677"/>
      <c r="G941" s="2640"/>
      <c r="H941" s="2640"/>
      <c r="I941" s="2702"/>
      <c r="J941" s="2591"/>
      <c r="K941" s="2591"/>
      <c r="L941" s="2591"/>
      <c r="M941" s="2591"/>
      <c r="N941" s="2591"/>
      <c r="O941" s="2591"/>
      <c r="P941" s="2591"/>
      <c r="Q941" s="2591"/>
      <c r="R941" s="2591"/>
      <c r="S941" s="2591"/>
    </row>
    <row r="942" ht="16.5" spans="1:19">
      <c r="A942" s="2642"/>
      <c r="B942" s="2675"/>
      <c r="C942" s="2676"/>
      <c r="D942" s="2677"/>
      <c r="E942" s="2677"/>
      <c r="F942" s="2677"/>
      <c r="G942" s="2640"/>
      <c r="H942" s="2640"/>
      <c r="I942" s="2702"/>
      <c r="J942" s="2591"/>
      <c r="K942" s="2591"/>
      <c r="L942" s="2591"/>
      <c r="M942" s="2591"/>
      <c r="N942" s="2591"/>
      <c r="O942" s="2591"/>
      <c r="P942" s="2591"/>
      <c r="Q942" s="2591"/>
      <c r="R942" s="2591"/>
      <c r="S942" s="2591"/>
    </row>
    <row r="943" ht="16.5" spans="1:19">
      <c r="A943" s="2642"/>
      <c r="B943" s="2675"/>
      <c r="C943" s="2676"/>
      <c r="D943" s="2677"/>
      <c r="E943" s="2677"/>
      <c r="F943" s="2677"/>
      <c r="G943" s="2640"/>
      <c r="H943" s="2640"/>
      <c r="I943" s="2702"/>
      <c r="J943" s="2591"/>
      <c r="K943" s="2591"/>
      <c r="L943" s="2591"/>
      <c r="M943" s="2591"/>
      <c r="N943" s="2591"/>
      <c r="O943" s="2591"/>
      <c r="P943" s="2591"/>
      <c r="Q943" s="2591"/>
      <c r="R943" s="2591"/>
      <c r="S943" s="2591"/>
    </row>
    <row r="944" ht="16.5" spans="1:19">
      <c r="A944" s="2642"/>
      <c r="B944" s="2675"/>
      <c r="C944" s="2676"/>
      <c r="D944" s="2677"/>
      <c r="E944" s="2677"/>
      <c r="F944" s="2677"/>
      <c r="G944" s="2640"/>
      <c r="H944" s="2640"/>
      <c r="I944" s="2702"/>
      <c r="J944" s="2591"/>
      <c r="K944" s="2591"/>
      <c r="L944" s="2591"/>
      <c r="M944" s="2591"/>
      <c r="N944" s="2591"/>
      <c r="O944" s="2591"/>
      <c r="P944" s="2591"/>
      <c r="Q944" s="2591"/>
      <c r="R944" s="2591"/>
      <c r="S944" s="2591"/>
    </row>
    <row r="945" ht="16.5" spans="1:19">
      <c r="A945" s="2642"/>
      <c r="B945" s="2675"/>
      <c r="C945" s="2676"/>
      <c r="D945" s="2677"/>
      <c r="E945" s="2677"/>
      <c r="F945" s="2677"/>
      <c r="G945" s="2640"/>
      <c r="H945" s="2640"/>
      <c r="I945" s="2702"/>
      <c r="J945" s="2591"/>
      <c r="K945" s="2591"/>
      <c r="L945" s="2591"/>
      <c r="M945" s="2591"/>
      <c r="N945" s="2591"/>
      <c r="O945" s="2591"/>
      <c r="P945" s="2591"/>
      <c r="Q945" s="2591"/>
      <c r="R945" s="2591"/>
      <c r="S945" s="2591"/>
    </row>
    <row r="946" ht="16.5" spans="1:19">
      <c r="A946" s="2642"/>
      <c r="B946" s="2675"/>
      <c r="C946" s="2676"/>
      <c r="D946" s="2677"/>
      <c r="E946" s="2677"/>
      <c r="F946" s="2677"/>
      <c r="G946" s="2640"/>
      <c r="H946" s="2640"/>
      <c r="I946" s="2702"/>
      <c r="J946" s="2591"/>
      <c r="K946" s="2591"/>
      <c r="L946" s="2591"/>
      <c r="M946" s="2591"/>
      <c r="N946" s="2591"/>
      <c r="O946" s="2591"/>
      <c r="P946" s="2591"/>
      <c r="Q946" s="2591"/>
      <c r="R946" s="2591"/>
      <c r="S946" s="2591"/>
    </row>
    <row r="947" ht="16.5" spans="1:19">
      <c r="A947" s="2642"/>
      <c r="B947" s="2675"/>
      <c r="C947" s="2676"/>
      <c r="D947" s="2677"/>
      <c r="E947" s="2677"/>
      <c r="F947" s="2677"/>
      <c r="G947" s="2640"/>
      <c r="H947" s="2640"/>
      <c r="I947" s="2702"/>
      <c r="J947" s="2591"/>
      <c r="K947" s="2591"/>
      <c r="L947" s="2591"/>
      <c r="M947" s="2591"/>
      <c r="N947" s="2591"/>
      <c r="O947" s="2591"/>
      <c r="P947" s="2591"/>
      <c r="Q947" s="2591"/>
      <c r="R947" s="2591"/>
      <c r="S947" s="2591"/>
    </row>
    <row r="948" ht="16.5" spans="1:19">
      <c r="A948" s="2642"/>
      <c r="B948" s="2675"/>
      <c r="C948" s="2676"/>
      <c r="D948" s="2677"/>
      <c r="E948" s="2677"/>
      <c r="F948" s="2677"/>
      <c r="G948" s="2640"/>
      <c r="H948" s="2640"/>
      <c r="I948" s="2702"/>
      <c r="J948" s="2591"/>
      <c r="K948" s="2591"/>
      <c r="L948" s="2591"/>
      <c r="M948" s="2591"/>
      <c r="N948" s="2591"/>
      <c r="O948" s="2591"/>
      <c r="P948" s="2591"/>
      <c r="Q948" s="2591"/>
      <c r="R948" s="2591"/>
      <c r="S948" s="2591"/>
    </row>
    <row r="949" ht="16.5" spans="1:19">
      <c r="A949" s="2642"/>
      <c r="B949" s="2675"/>
      <c r="C949" s="2676"/>
      <c r="D949" s="2677"/>
      <c r="E949" s="2677"/>
      <c r="F949" s="2677"/>
      <c r="G949" s="2640"/>
      <c r="H949" s="2640"/>
      <c r="I949" s="2702"/>
      <c r="J949" s="2591"/>
      <c r="K949" s="2591"/>
      <c r="L949" s="2591"/>
      <c r="M949" s="2591"/>
      <c r="N949" s="2591"/>
      <c r="O949" s="2591"/>
      <c r="P949" s="2591"/>
      <c r="Q949" s="2591"/>
      <c r="R949" s="2591"/>
      <c r="S949" s="2591"/>
    </row>
    <row r="950" ht="16.5" spans="1:19">
      <c r="A950" s="2642"/>
      <c r="B950" s="2675"/>
      <c r="C950" s="2676"/>
      <c r="D950" s="2677"/>
      <c r="E950" s="2677"/>
      <c r="F950" s="2677"/>
      <c r="G950" s="2640"/>
      <c r="H950" s="2640"/>
      <c r="I950" s="2702"/>
      <c r="J950" s="2591"/>
      <c r="K950" s="2591"/>
      <c r="L950" s="2591"/>
      <c r="M950" s="2591"/>
      <c r="N950" s="2591"/>
      <c r="O950" s="2591"/>
      <c r="P950" s="2591"/>
      <c r="Q950" s="2591"/>
      <c r="R950" s="2591"/>
      <c r="S950" s="2591"/>
    </row>
    <row r="951" ht="16.5" spans="1:19">
      <c r="A951" s="2642"/>
      <c r="B951" s="2675"/>
      <c r="C951" s="2676"/>
      <c r="D951" s="2677"/>
      <c r="E951" s="2677"/>
      <c r="F951" s="2677"/>
      <c r="G951" s="2640"/>
      <c r="H951" s="2640"/>
      <c r="I951" s="2702"/>
      <c r="J951" s="2591"/>
      <c r="K951" s="2591"/>
      <c r="L951" s="2591"/>
      <c r="M951" s="2591"/>
      <c r="N951" s="2591"/>
      <c r="O951" s="2591"/>
      <c r="P951" s="2591"/>
      <c r="Q951" s="2591"/>
      <c r="R951" s="2591"/>
      <c r="S951" s="2591"/>
    </row>
    <row r="952" ht="16.5" spans="1:19">
      <c r="A952" s="2642"/>
      <c r="B952" s="2675"/>
      <c r="C952" s="2676"/>
      <c r="D952" s="2677"/>
      <c r="E952" s="2677"/>
      <c r="F952" s="2677"/>
      <c r="G952" s="2640"/>
      <c r="H952" s="2640"/>
      <c r="I952" s="2702"/>
      <c r="J952" s="2591"/>
      <c r="K952" s="2591"/>
      <c r="L952" s="2591"/>
      <c r="M952" s="2591"/>
      <c r="N952" s="2591"/>
      <c r="O952" s="2591"/>
      <c r="P952" s="2591"/>
      <c r="Q952" s="2591"/>
      <c r="R952" s="2591"/>
      <c r="S952" s="2591"/>
    </row>
    <row r="953" ht="16.5" spans="1:19">
      <c r="A953" s="2642"/>
      <c r="B953" s="2675"/>
      <c r="C953" s="2676"/>
      <c r="D953" s="2677"/>
      <c r="E953" s="2677"/>
      <c r="F953" s="2677"/>
      <c r="G953" s="2640"/>
      <c r="H953" s="2640"/>
      <c r="I953" s="2702"/>
      <c r="J953" s="2591"/>
      <c r="K953" s="2591"/>
      <c r="L953" s="2591"/>
      <c r="M953" s="2591"/>
      <c r="N953" s="2591"/>
      <c r="O953" s="2591"/>
      <c r="P953" s="2591"/>
      <c r="Q953" s="2591"/>
      <c r="R953" s="2591"/>
      <c r="S953" s="2591"/>
    </row>
    <row r="954" ht="16.5" spans="1:19">
      <c r="A954" s="2642"/>
      <c r="B954" s="2675"/>
      <c r="C954" s="2676"/>
      <c r="D954" s="2677"/>
      <c r="E954" s="2677"/>
      <c r="F954" s="2677"/>
      <c r="G954" s="2640"/>
      <c r="H954" s="2640"/>
      <c r="I954" s="2702"/>
      <c r="J954" s="2591"/>
      <c r="K954" s="2591"/>
      <c r="L954" s="2591"/>
      <c r="M954" s="2591"/>
      <c r="N954" s="2591"/>
      <c r="O954" s="2591"/>
      <c r="P954" s="2591"/>
      <c r="Q954" s="2591"/>
      <c r="R954" s="2591"/>
      <c r="S954" s="2591"/>
    </row>
    <row r="955" ht="16.5" spans="1:19">
      <c r="A955" s="2642"/>
      <c r="B955" s="2675"/>
      <c r="C955" s="2676"/>
      <c r="D955" s="2677"/>
      <c r="E955" s="2677"/>
      <c r="F955" s="2677"/>
      <c r="G955" s="2640"/>
      <c r="H955" s="2640"/>
      <c r="I955" s="2702"/>
      <c r="J955" s="2591"/>
      <c r="K955" s="2591"/>
      <c r="L955" s="2591"/>
      <c r="M955" s="2591"/>
      <c r="N955" s="2591"/>
      <c r="O955" s="2591"/>
      <c r="P955" s="2591"/>
      <c r="Q955" s="2591"/>
      <c r="R955" s="2591"/>
      <c r="S955" s="2591"/>
    </row>
    <row r="956" ht="16.5" spans="1:19">
      <c r="A956" s="2642"/>
      <c r="B956" s="2675"/>
      <c r="C956" s="2676"/>
      <c r="D956" s="2677"/>
      <c r="E956" s="2677"/>
      <c r="F956" s="2677"/>
      <c r="G956" s="2640"/>
      <c r="H956" s="2640"/>
      <c r="I956" s="2702"/>
      <c r="J956" s="2591"/>
      <c r="K956" s="2591"/>
      <c r="L956" s="2591"/>
      <c r="M956" s="2591"/>
      <c r="N956" s="2591"/>
      <c r="O956" s="2591"/>
      <c r="P956" s="2591"/>
      <c r="Q956" s="2591"/>
      <c r="R956" s="2591"/>
      <c r="S956" s="2591"/>
    </row>
    <row r="957" ht="16.5" spans="1:19">
      <c r="A957" s="2642"/>
      <c r="B957" s="2675"/>
      <c r="C957" s="2676"/>
      <c r="D957" s="2677"/>
      <c r="E957" s="2677"/>
      <c r="F957" s="2677"/>
      <c r="G957" s="2640"/>
      <c r="H957" s="2640"/>
      <c r="I957" s="2702"/>
      <c r="J957" s="2591"/>
      <c r="K957" s="2591"/>
      <c r="L957" s="2591"/>
      <c r="M957" s="2591"/>
      <c r="N957" s="2591"/>
      <c r="O957" s="2591"/>
      <c r="P957" s="2591"/>
      <c r="Q957" s="2591"/>
      <c r="R957" s="2591"/>
      <c r="S957" s="2591"/>
    </row>
    <row r="958" ht="16.5" spans="1:19">
      <c r="A958" s="2642"/>
      <c r="B958" s="2675"/>
      <c r="C958" s="2676"/>
      <c r="D958" s="2677"/>
      <c r="E958" s="2677"/>
      <c r="F958" s="2677"/>
      <c r="G958" s="2640"/>
      <c r="H958" s="2640"/>
      <c r="I958" s="2702"/>
      <c r="J958" s="2591"/>
      <c r="K958" s="2591"/>
      <c r="L958" s="2591"/>
      <c r="M958" s="2591"/>
      <c r="N958" s="2591"/>
      <c r="O958" s="2591"/>
      <c r="P958" s="2591"/>
      <c r="Q958" s="2591"/>
      <c r="R958" s="2591"/>
      <c r="S958" s="2591"/>
    </row>
    <row r="959" ht="16.5" spans="1:19">
      <c r="A959" s="2642"/>
      <c r="B959" s="2675"/>
      <c r="C959" s="2676"/>
      <c r="D959" s="2677"/>
      <c r="E959" s="2677"/>
      <c r="F959" s="2677"/>
      <c r="G959" s="2640"/>
      <c r="H959" s="2640"/>
      <c r="I959" s="2702"/>
      <c r="J959" s="2591"/>
      <c r="K959" s="2591"/>
      <c r="L959" s="2591"/>
      <c r="M959" s="2591"/>
      <c r="N959" s="2591"/>
      <c r="O959" s="2591"/>
      <c r="P959" s="2591"/>
      <c r="Q959" s="2591"/>
      <c r="R959" s="2591"/>
      <c r="S959" s="2591"/>
    </row>
    <row r="960" ht="16.5" spans="1:19">
      <c r="A960" s="2642"/>
      <c r="B960" s="2675"/>
      <c r="C960" s="2676"/>
      <c r="D960" s="2677"/>
      <c r="E960" s="2677"/>
      <c r="F960" s="2677"/>
      <c r="G960" s="2640"/>
      <c r="H960" s="2640"/>
      <c r="I960" s="2702"/>
      <c r="J960" s="2591"/>
      <c r="K960" s="2591"/>
      <c r="L960" s="2591"/>
      <c r="M960" s="2591"/>
      <c r="N960" s="2591"/>
      <c r="O960" s="2591"/>
      <c r="P960" s="2591"/>
      <c r="Q960" s="2591"/>
      <c r="R960" s="2591"/>
      <c r="S960" s="2591"/>
    </row>
    <row r="961" ht="16.5" spans="1:19">
      <c r="A961" s="2642"/>
      <c r="B961" s="2675"/>
      <c r="C961" s="2676"/>
      <c r="D961" s="2677"/>
      <c r="E961" s="2677"/>
      <c r="F961" s="2677"/>
      <c r="G961" s="2640"/>
      <c r="H961" s="2640"/>
      <c r="I961" s="2702"/>
      <c r="J961" s="2591"/>
      <c r="K961" s="2591"/>
      <c r="L961" s="2591"/>
      <c r="M961" s="2591"/>
      <c r="N961" s="2591"/>
      <c r="O961" s="2591"/>
      <c r="P961" s="2591"/>
      <c r="Q961" s="2591"/>
      <c r="R961" s="2591"/>
      <c r="S961" s="2591"/>
    </row>
    <row r="962" ht="16.5" spans="1:19">
      <c r="A962" s="2642"/>
      <c r="B962" s="2675"/>
      <c r="C962" s="2676"/>
      <c r="D962" s="2677"/>
      <c r="E962" s="2677"/>
      <c r="F962" s="2677"/>
      <c r="G962" s="2640"/>
      <c r="H962" s="2640"/>
      <c r="I962" s="2702"/>
      <c r="J962" s="2591"/>
      <c r="K962" s="2591"/>
      <c r="L962" s="2591"/>
      <c r="M962" s="2591"/>
      <c r="N962" s="2591"/>
      <c r="O962" s="2591"/>
      <c r="P962" s="2591"/>
      <c r="Q962" s="2591"/>
      <c r="R962" s="2591"/>
      <c r="S962" s="2591"/>
    </row>
    <row r="963" ht="16.5" spans="1:19">
      <c r="A963" s="2642"/>
      <c r="B963" s="2675"/>
      <c r="C963" s="2676"/>
      <c r="D963" s="2677"/>
      <c r="E963" s="2677"/>
      <c r="F963" s="2677"/>
      <c r="G963" s="2640"/>
      <c r="H963" s="2640"/>
      <c r="I963" s="2702"/>
      <c r="J963" s="2591"/>
      <c r="K963" s="2591"/>
      <c r="L963" s="2591"/>
      <c r="M963" s="2591"/>
      <c r="N963" s="2591"/>
      <c r="O963" s="2591"/>
      <c r="P963" s="2591"/>
      <c r="Q963" s="2591"/>
      <c r="R963" s="2591"/>
      <c r="S963" s="2591"/>
    </row>
    <row r="964" ht="16.5" spans="1:19">
      <c r="A964" s="2642"/>
      <c r="B964" s="2675"/>
      <c r="C964" s="2676"/>
      <c r="D964" s="2677"/>
      <c r="E964" s="2677"/>
      <c r="F964" s="2677"/>
      <c r="G964" s="2640"/>
      <c r="H964" s="2640"/>
      <c r="I964" s="2702"/>
      <c r="J964" s="2591"/>
      <c r="K964" s="2591"/>
      <c r="L964" s="2591"/>
      <c r="M964" s="2591"/>
      <c r="N964" s="2591"/>
      <c r="O964" s="2591"/>
      <c r="P964" s="2591"/>
      <c r="Q964" s="2591"/>
      <c r="R964" s="2591"/>
      <c r="S964" s="2591"/>
    </row>
    <row r="965" ht="16.5" spans="1:19">
      <c r="A965" s="2642"/>
      <c r="B965" s="2675"/>
      <c r="C965" s="2676"/>
      <c r="D965" s="2677"/>
      <c r="E965" s="2677"/>
      <c r="F965" s="2677"/>
      <c r="G965" s="2640"/>
      <c r="H965" s="2640"/>
      <c r="I965" s="2702"/>
      <c r="J965" s="2591"/>
      <c r="K965" s="2591"/>
      <c r="L965" s="2591"/>
      <c r="M965" s="2591"/>
      <c r="N965" s="2591"/>
      <c r="O965" s="2591"/>
      <c r="P965" s="2591"/>
      <c r="Q965" s="2591"/>
      <c r="R965" s="2591"/>
      <c r="S965" s="2591"/>
    </row>
    <row r="966" ht="16.5" spans="1:19">
      <c r="A966" s="2642"/>
      <c r="B966" s="2675"/>
      <c r="C966" s="2676"/>
      <c r="D966" s="2677"/>
      <c r="E966" s="2677"/>
      <c r="F966" s="2677"/>
      <c r="G966" s="2640"/>
      <c r="H966" s="2640"/>
      <c r="I966" s="2702"/>
      <c r="J966" s="2591"/>
      <c r="K966" s="2591"/>
      <c r="L966" s="2591"/>
      <c r="M966" s="2591"/>
      <c r="N966" s="2591"/>
      <c r="O966" s="2591"/>
      <c r="P966" s="2591"/>
      <c r="Q966" s="2591"/>
      <c r="R966" s="2591"/>
      <c r="S966" s="2591"/>
    </row>
    <row r="967" ht="16.5" spans="1:19">
      <c r="A967" s="2642"/>
      <c r="B967" s="2675"/>
      <c r="C967" s="2676"/>
      <c r="D967" s="2677"/>
      <c r="E967" s="2677"/>
      <c r="F967" s="2677"/>
      <c r="G967" s="2640"/>
      <c r="H967" s="2640"/>
      <c r="I967" s="2702"/>
      <c r="J967" s="2591"/>
      <c r="K967" s="2591"/>
      <c r="L967" s="2591"/>
      <c r="M967" s="2591"/>
      <c r="N967" s="2591"/>
      <c r="O967" s="2591"/>
      <c r="P967" s="2591"/>
      <c r="Q967" s="2591"/>
      <c r="R967" s="2591"/>
      <c r="S967" s="2591"/>
    </row>
    <row r="968" ht="16.5" spans="1:19">
      <c r="A968" s="2642"/>
      <c r="B968" s="2675"/>
      <c r="C968" s="2676"/>
      <c r="D968" s="2677"/>
      <c r="E968" s="2677"/>
      <c r="F968" s="2677"/>
      <c r="G968" s="2640"/>
      <c r="H968" s="2640"/>
      <c r="I968" s="2702"/>
      <c r="J968" s="2591"/>
      <c r="K968" s="2591"/>
      <c r="L968" s="2591"/>
      <c r="M968" s="2591"/>
      <c r="N968" s="2591"/>
      <c r="O968" s="2591"/>
      <c r="P968" s="2591"/>
      <c r="Q968" s="2591"/>
      <c r="R968" s="2591"/>
      <c r="S968" s="2591"/>
    </row>
    <row r="969" ht="16.5" spans="1:19">
      <c r="A969" s="2642"/>
      <c r="B969" s="2675"/>
      <c r="C969" s="2676"/>
      <c r="D969" s="2677"/>
      <c r="E969" s="2677"/>
      <c r="F969" s="2677"/>
      <c r="G969" s="2640"/>
      <c r="H969" s="2640"/>
      <c r="I969" s="2702"/>
      <c r="J969" s="2591"/>
      <c r="K969" s="2591"/>
      <c r="L969" s="2591"/>
      <c r="M969" s="2591"/>
      <c r="N969" s="2591"/>
      <c r="O969" s="2591"/>
      <c r="P969" s="2591"/>
      <c r="Q969" s="2591"/>
      <c r="R969" s="2591"/>
      <c r="S969" s="2591"/>
    </row>
    <row r="970" ht="16.5" spans="1:19">
      <c r="A970" s="2642"/>
      <c r="B970" s="2675"/>
      <c r="C970" s="2676"/>
      <c r="D970" s="2677"/>
      <c r="E970" s="2677"/>
      <c r="F970" s="2677"/>
      <c r="G970" s="2640"/>
      <c r="H970" s="2640"/>
      <c r="I970" s="2702"/>
      <c r="J970" s="2591"/>
      <c r="K970" s="2591"/>
      <c r="L970" s="2591"/>
      <c r="M970" s="2591"/>
      <c r="N970" s="2591"/>
      <c r="O970" s="2591"/>
      <c r="P970" s="2591"/>
      <c r="Q970" s="2591"/>
      <c r="R970" s="2591"/>
      <c r="S970" s="2591"/>
    </row>
    <row r="971" ht="16.5" spans="1:19">
      <c r="A971" s="2642"/>
      <c r="B971" s="2675"/>
      <c r="C971" s="2676"/>
      <c r="D971" s="2677"/>
      <c r="E971" s="2677"/>
      <c r="F971" s="2677"/>
      <c r="G971" s="2640"/>
      <c r="H971" s="2640"/>
      <c r="I971" s="2702"/>
      <c r="J971" s="2591"/>
      <c r="K971" s="2591"/>
      <c r="L971" s="2591"/>
      <c r="M971" s="2591"/>
      <c r="N971" s="2591"/>
      <c r="O971" s="2591"/>
      <c r="P971" s="2591"/>
      <c r="Q971" s="2591"/>
      <c r="R971" s="2591"/>
      <c r="S971" s="2591"/>
    </row>
    <row r="972" ht="16.5" spans="1:19">
      <c r="A972" s="2642"/>
      <c r="B972" s="2675"/>
      <c r="C972" s="2676"/>
      <c r="D972" s="2677"/>
      <c r="E972" s="2677"/>
      <c r="F972" s="2677"/>
      <c r="G972" s="2640"/>
      <c r="H972" s="2640"/>
      <c r="I972" s="2702"/>
      <c r="J972" s="2591"/>
      <c r="K972" s="2591"/>
      <c r="L972" s="2591"/>
      <c r="M972" s="2591"/>
      <c r="N972" s="2591"/>
      <c r="O972" s="2591"/>
      <c r="P972" s="2591"/>
      <c r="Q972" s="2591"/>
      <c r="R972" s="2591"/>
      <c r="S972" s="2591"/>
    </row>
    <row r="973" ht="16.5" spans="1:19">
      <c r="A973" s="2642"/>
      <c r="B973" s="2675"/>
      <c r="C973" s="2676"/>
      <c r="D973" s="2677"/>
      <c r="E973" s="2677"/>
      <c r="F973" s="2677"/>
      <c r="G973" s="2640"/>
      <c r="H973" s="2640"/>
      <c r="I973" s="2702"/>
      <c r="J973" s="2591"/>
      <c r="K973" s="2591"/>
      <c r="L973" s="2591"/>
      <c r="M973" s="2591"/>
      <c r="N973" s="2591"/>
      <c r="O973" s="2591"/>
      <c r="P973" s="2591"/>
      <c r="Q973" s="2591"/>
      <c r="R973" s="2591"/>
      <c r="S973" s="2591"/>
    </row>
    <row r="974" ht="16.5" spans="1:19">
      <c r="A974" s="2642"/>
      <c r="B974" s="2675"/>
      <c r="C974" s="2676"/>
      <c r="D974" s="2677"/>
      <c r="E974" s="2677"/>
      <c r="F974" s="2677"/>
      <c r="G974" s="2640"/>
      <c r="H974" s="2640"/>
      <c r="I974" s="2702"/>
      <c r="J974" s="2591"/>
      <c r="K974" s="2591"/>
      <c r="L974" s="2591"/>
      <c r="M974" s="2591"/>
      <c r="N974" s="2591"/>
      <c r="O974" s="2591"/>
      <c r="P974" s="2591"/>
      <c r="Q974" s="2591"/>
      <c r="R974" s="2591"/>
      <c r="S974" s="2591"/>
    </row>
    <row r="975" ht="16.5" spans="1:19">
      <c r="A975" s="2642"/>
      <c r="B975" s="2675"/>
      <c r="C975" s="2676"/>
      <c r="D975" s="2677"/>
      <c r="E975" s="2677"/>
      <c r="F975" s="2677"/>
      <c r="G975" s="2640"/>
      <c r="H975" s="2640"/>
      <c r="I975" s="2702"/>
      <c r="J975" s="2591"/>
      <c r="K975" s="2591"/>
      <c r="L975" s="2591"/>
      <c r="M975" s="2591"/>
      <c r="N975" s="2591"/>
      <c r="O975" s="2591"/>
      <c r="P975" s="2591"/>
      <c r="Q975" s="2591"/>
      <c r="R975" s="2591"/>
      <c r="S975" s="2591"/>
    </row>
    <row r="976" ht="16.5" spans="1:19">
      <c r="A976" s="2642"/>
      <c r="B976" s="2675"/>
      <c r="C976" s="2676"/>
      <c r="D976" s="2677"/>
      <c r="E976" s="2677"/>
      <c r="F976" s="2677"/>
      <c r="G976" s="2640"/>
      <c r="H976" s="2640"/>
      <c r="I976" s="2702"/>
      <c r="J976" s="2591"/>
      <c r="K976" s="2591"/>
      <c r="L976" s="2591"/>
      <c r="M976" s="2591"/>
      <c r="N976" s="2591"/>
      <c r="O976" s="2591"/>
      <c r="P976" s="2591"/>
      <c r="Q976" s="2591"/>
      <c r="R976" s="2591"/>
      <c r="S976" s="2591"/>
    </row>
    <row r="977" ht="16.5" spans="1:19">
      <c r="A977" s="2642"/>
      <c r="B977" s="2675"/>
      <c r="C977" s="2676"/>
      <c r="D977" s="2677"/>
      <c r="E977" s="2677"/>
      <c r="F977" s="2677"/>
      <c r="G977" s="2640"/>
      <c r="H977" s="2640"/>
      <c r="I977" s="2702"/>
      <c r="J977" s="2591"/>
      <c r="K977" s="2591"/>
      <c r="L977" s="2591"/>
      <c r="M977" s="2591"/>
      <c r="N977" s="2591"/>
      <c r="O977" s="2591"/>
      <c r="P977" s="2591"/>
      <c r="Q977" s="2591"/>
      <c r="R977" s="2591"/>
      <c r="S977" s="2591"/>
    </row>
    <row r="978" ht="16.5" spans="1:19">
      <c r="A978" s="2642"/>
      <c r="B978" s="2675"/>
      <c r="C978" s="2676"/>
      <c r="D978" s="2677"/>
      <c r="E978" s="2677"/>
      <c r="F978" s="2677"/>
      <c r="G978" s="2640"/>
      <c r="H978" s="2640"/>
      <c r="I978" s="2702"/>
      <c r="J978" s="2591"/>
      <c r="K978" s="2591"/>
      <c r="L978" s="2591"/>
      <c r="M978" s="2591"/>
      <c r="N978" s="2591"/>
      <c r="O978" s="2591"/>
      <c r="P978" s="2591"/>
      <c r="Q978" s="2591"/>
      <c r="R978" s="2591"/>
      <c r="S978" s="2591"/>
    </row>
    <row r="979" ht="16.5" spans="1:19">
      <c r="A979" s="2642"/>
      <c r="B979" s="2675"/>
      <c r="C979" s="2676"/>
      <c r="D979" s="2677"/>
      <c r="E979" s="2677"/>
      <c r="F979" s="2677"/>
      <c r="G979" s="2640"/>
      <c r="H979" s="2640"/>
      <c r="I979" s="2702"/>
      <c r="J979" s="2591"/>
      <c r="K979" s="2591"/>
      <c r="L979" s="2591"/>
      <c r="M979" s="2591"/>
      <c r="N979" s="2591"/>
      <c r="O979" s="2591"/>
      <c r="P979" s="2591"/>
      <c r="Q979" s="2591"/>
      <c r="R979" s="2591"/>
      <c r="S979" s="2591"/>
    </row>
    <row r="980" ht="16.5" spans="1:19">
      <c r="A980" s="2642"/>
      <c r="B980" s="2675"/>
      <c r="C980" s="2676"/>
      <c r="D980" s="2677"/>
      <c r="E980" s="2677"/>
      <c r="F980" s="2677"/>
      <c r="G980" s="2640"/>
      <c r="H980" s="2640"/>
      <c r="I980" s="2702"/>
      <c r="J980" s="2591"/>
      <c r="K980" s="2591"/>
      <c r="L980" s="2591"/>
      <c r="M980" s="2591"/>
      <c r="N980" s="2591"/>
      <c r="O980" s="2591"/>
      <c r="P980" s="2591"/>
      <c r="Q980" s="2591"/>
      <c r="R980" s="2591"/>
      <c r="S980" s="2591"/>
    </row>
    <row r="981" ht="16.5" spans="1:19">
      <c r="A981" s="2642"/>
      <c r="B981" s="2675"/>
      <c r="C981" s="2676"/>
      <c r="D981" s="2677"/>
      <c r="E981" s="2677"/>
      <c r="F981" s="2677"/>
      <c r="G981" s="2640"/>
      <c r="H981" s="2640"/>
      <c r="I981" s="2702"/>
      <c r="J981" s="2591"/>
      <c r="K981" s="2591"/>
      <c r="L981" s="2591"/>
      <c r="M981" s="2591"/>
      <c r="N981" s="2591"/>
      <c r="O981" s="2591"/>
      <c r="P981" s="2591"/>
      <c r="Q981" s="2591"/>
      <c r="R981" s="2591"/>
      <c r="S981" s="2591"/>
    </row>
    <row r="982" ht="16.5" spans="1:19">
      <c r="A982" s="2642"/>
      <c r="B982" s="2675"/>
      <c r="C982" s="2676"/>
      <c r="D982" s="2677"/>
      <c r="E982" s="2677"/>
      <c r="F982" s="2677"/>
      <c r="G982" s="2640"/>
      <c r="H982" s="2640"/>
      <c r="I982" s="2702"/>
      <c r="J982" s="2591"/>
      <c r="K982" s="2591"/>
      <c r="L982" s="2591"/>
      <c r="M982" s="2591"/>
      <c r="N982" s="2591"/>
      <c r="O982" s="2591"/>
      <c r="P982" s="2591"/>
      <c r="Q982" s="2591"/>
      <c r="R982" s="2591"/>
      <c r="S982" s="2591"/>
    </row>
    <row r="983" ht="16.5" spans="1:19">
      <c r="A983" s="2642"/>
      <c r="B983" s="2675"/>
      <c r="C983" s="2676"/>
      <c r="D983" s="2677"/>
      <c r="E983" s="2677"/>
      <c r="F983" s="2677"/>
      <c r="G983" s="2640"/>
      <c r="H983" s="2640"/>
      <c r="I983" s="2702"/>
      <c r="J983" s="2591"/>
      <c r="K983" s="2591"/>
      <c r="L983" s="2591"/>
      <c r="M983" s="2591"/>
      <c r="N983" s="2591"/>
      <c r="O983" s="2591"/>
      <c r="P983" s="2591"/>
      <c r="Q983" s="2591"/>
      <c r="R983" s="2591"/>
      <c r="S983" s="2591"/>
    </row>
    <row r="984" ht="16.5" spans="1:19">
      <c r="A984" s="2642"/>
      <c r="B984" s="2675"/>
      <c r="C984" s="2676"/>
      <c r="D984" s="2677"/>
      <c r="E984" s="2677"/>
      <c r="F984" s="2677"/>
      <c r="G984" s="2640"/>
      <c r="H984" s="2640"/>
      <c r="I984" s="2702"/>
      <c r="J984" s="2591"/>
      <c r="K984" s="2591"/>
      <c r="L984" s="2591"/>
      <c r="M984" s="2591"/>
      <c r="N984" s="2591"/>
      <c r="O984" s="2591"/>
      <c r="P984" s="2591"/>
      <c r="Q984" s="2591"/>
      <c r="R984" s="2591"/>
      <c r="S984" s="2591"/>
    </row>
    <row r="985" ht="16.5" spans="1:19">
      <c r="A985" s="2642"/>
      <c r="B985" s="2675"/>
      <c r="C985" s="2676"/>
      <c r="D985" s="2677"/>
      <c r="E985" s="2677"/>
      <c r="F985" s="2677"/>
      <c r="G985" s="2640"/>
      <c r="H985" s="2640"/>
      <c r="I985" s="2702"/>
      <c r="J985" s="2591"/>
      <c r="K985" s="2591"/>
      <c r="L985" s="2591"/>
      <c r="M985" s="2591"/>
      <c r="N985" s="2591"/>
      <c r="O985" s="2591"/>
      <c r="P985" s="2591"/>
      <c r="Q985" s="2591"/>
      <c r="R985" s="2591"/>
      <c r="S985" s="2591"/>
    </row>
    <row r="986" ht="16.5" spans="1:19">
      <c r="A986" s="2642"/>
      <c r="B986" s="2675"/>
      <c r="C986" s="2676"/>
      <c r="D986" s="2677"/>
      <c r="E986" s="2677"/>
      <c r="F986" s="2677"/>
      <c r="G986" s="2640"/>
      <c r="H986" s="2640"/>
      <c r="I986" s="2702"/>
      <c r="J986" s="2591"/>
      <c r="K986" s="2591"/>
      <c r="L986" s="2591"/>
      <c r="M986" s="2591"/>
      <c r="N986" s="2591"/>
      <c r="O986" s="2591"/>
      <c r="P986" s="2591"/>
      <c r="Q986" s="2591"/>
      <c r="R986" s="2591"/>
      <c r="S986" s="2591"/>
    </row>
    <row r="987" ht="16.5" spans="1:19">
      <c r="A987" s="2642"/>
      <c r="B987" s="2675"/>
      <c r="C987" s="2676"/>
      <c r="D987" s="2677"/>
      <c r="E987" s="2677"/>
      <c r="F987" s="2677"/>
      <c r="G987" s="2640"/>
      <c r="H987" s="2640"/>
      <c r="I987" s="2702"/>
      <c r="J987" s="2591"/>
      <c r="K987" s="2591"/>
      <c r="L987" s="2591"/>
      <c r="M987" s="2591"/>
      <c r="N987" s="2591"/>
      <c r="O987" s="2591"/>
      <c r="P987" s="2591"/>
      <c r="Q987" s="2591"/>
      <c r="R987" s="2591"/>
      <c r="S987" s="2591"/>
    </row>
    <row r="988" ht="16.5" spans="1:19">
      <c r="A988" s="2642"/>
      <c r="B988" s="2675"/>
      <c r="C988" s="2676"/>
      <c r="D988" s="2677"/>
      <c r="E988" s="2677"/>
      <c r="F988" s="2677"/>
      <c r="G988" s="2640"/>
      <c r="H988" s="2640"/>
      <c r="I988" s="2702"/>
      <c r="J988" s="2591"/>
      <c r="K988" s="2591"/>
      <c r="L988" s="2591"/>
      <c r="M988" s="2591"/>
      <c r="N988" s="2591"/>
      <c r="O988" s="2591"/>
      <c r="P988" s="2591"/>
      <c r="Q988" s="2591"/>
      <c r="R988" s="2591"/>
      <c r="S988" s="2591"/>
    </row>
    <row r="989" ht="16.5" spans="1:19">
      <c r="A989" s="2642"/>
      <c r="B989" s="2675"/>
      <c r="C989" s="2676"/>
      <c r="D989" s="2677"/>
      <c r="E989" s="2677"/>
      <c r="F989" s="2677"/>
      <c r="G989" s="2640"/>
      <c r="H989" s="2640"/>
      <c r="I989" s="2702"/>
      <c r="J989" s="2591"/>
      <c r="K989" s="2591"/>
      <c r="L989" s="2591"/>
      <c r="M989" s="2591"/>
      <c r="N989" s="2591"/>
      <c r="O989" s="2591"/>
      <c r="P989" s="2591"/>
      <c r="Q989" s="2591"/>
      <c r="R989" s="2591"/>
      <c r="S989" s="2591"/>
    </row>
    <row r="990" ht="16.5" spans="1:19">
      <c r="A990" s="2642"/>
      <c r="B990" s="2675"/>
      <c r="C990" s="2676"/>
      <c r="D990" s="2677"/>
      <c r="E990" s="2677"/>
      <c r="F990" s="2677"/>
      <c r="G990" s="2640"/>
      <c r="H990" s="2640"/>
      <c r="I990" s="2702"/>
      <c r="J990" s="2591"/>
      <c r="K990" s="2591"/>
      <c r="L990" s="2591"/>
      <c r="M990" s="2591"/>
      <c r="N990" s="2591"/>
      <c r="O990" s="2591"/>
      <c r="P990" s="2591"/>
      <c r="Q990" s="2591"/>
      <c r="R990" s="2591"/>
      <c r="S990" s="2591"/>
    </row>
    <row r="991" ht="16.5" spans="1:19">
      <c r="A991" s="2642"/>
      <c r="B991" s="2675"/>
      <c r="C991" s="2676"/>
      <c r="D991" s="2677"/>
      <c r="E991" s="2677"/>
      <c r="F991" s="2677"/>
      <c r="G991" s="2640"/>
      <c r="H991" s="2640"/>
      <c r="I991" s="2702"/>
      <c r="J991" s="2591"/>
      <c r="K991" s="2591"/>
      <c r="L991" s="2591"/>
      <c r="M991" s="2591"/>
      <c r="N991" s="2591"/>
      <c r="O991" s="2591"/>
      <c r="P991" s="2591"/>
      <c r="Q991" s="2591"/>
      <c r="R991" s="2591"/>
      <c r="S991" s="2591"/>
    </row>
    <row r="992" ht="16.5" spans="1:19">
      <c r="A992" s="2642"/>
      <c r="B992" s="2675"/>
      <c r="C992" s="2676"/>
      <c r="D992" s="2677"/>
      <c r="E992" s="2677"/>
      <c r="F992" s="2677"/>
      <c r="G992" s="2640"/>
      <c r="H992" s="2640"/>
      <c r="I992" s="2702"/>
      <c r="J992" s="2591"/>
      <c r="K992" s="2591"/>
      <c r="L992" s="2591"/>
      <c r="M992" s="2591"/>
      <c r="N992" s="2591"/>
      <c r="O992" s="2591"/>
      <c r="P992" s="2591"/>
      <c r="Q992" s="2591"/>
      <c r="R992" s="2591"/>
      <c r="S992" s="2591"/>
    </row>
    <row r="993" ht="16.5" spans="1:19">
      <c r="A993" s="2642"/>
      <c r="B993" s="2675"/>
      <c r="C993" s="2676"/>
      <c r="D993" s="2677"/>
      <c r="E993" s="2677"/>
      <c r="F993" s="2677"/>
      <c r="G993" s="2640"/>
      <c r="H993" s="2640"/>
      <c r="I993" s="2702"/>
      <c r="J993" s="2591"/>
      <c r="K993" s="2591"/>
      <c r="L993" s="2591"/>
      <c r="M993" s="2591"/>
      <c r="N993" s="2591"/>
      <c r="O993" s="2591"/>
      <c r="P993" s="2591"/>
      <c r="Q993" s="2591"/>
      <c r="R993" s="2591"/>
      <c r="S993" s="2591"/>
    </row>
    <row r="994" ht="16.5" spans="1:19">
      <c r="A994" s="2642"/>
      <c r="B994" s="2675"/>
      <c r="C994" s="2676"/>
      <c r="D994" s="2677"/>
      <c r="E994" s="2677"/>
      <c r="F994" s="2677"/>
      <c r="G994" s="2640"/>
      <c r="H994" s="2640"/>
      <c r="I994" s="2702"/>
      <c r="J994" s="2591"/>
      <c r="K994" s="2591"/>
      <c r="L994" s="2591"/>
      <c r="M994" s="2591"/>
      <c r="N994" s="2591"/>
      <c r="O994" s="2591"/>
      <c r="P994" s="2591"/>
      <c r="Q994" s="2591"/>
      <c r="R994" s="2591"/>
      <c r="S994" s="2591"/>
    </row>
    <row r="995" ht="16.5" spans="1:19">
      <c r="A995" s="2642"/>
      <c r="B995" s="2675"/>
      <c r="C995" s="2676"/>
      <c r="D995" s="2677"/>
      <c r="E995" s="2677"/>
      <c r="F995" s="2677"/>
      <c r="G995" s="2640"/>
      <c r="H995" s="2640"/>
      <c r="I995" s="2702"/>
      <c r="J995" s="2591"/>
      <c r="K995" s="2591"/>
      <c r="L995" s="2591"/>
      <c r="M995" s="2591"/>
      <c r="N995" s="2591"/>
      <c r="O995" s="2591"/>
      <c r="P995" s="2591"/>
      <c r="Q995" s="2591"/>
      <c r="R995" s="2591"/>
      <c r="S995" s="2591"/>
    </row>
    <row r="996" ht="16.5" spans="1:19">
      <c r="A996" s="2642"/>
      <c r="B996" s="2675"/>
      <c r="C996" s="2676"/>
      <c r="D996" s="2677"/>
      <c r="E996" s="2677"/>
      <c r="F996" s="2677"/>
      <c r="G996" s="2640"/>
      <c r="H996" s="2640"/>
      <c r="I996" s="2702"/>
      <c r="J996" s="2591"/>
      <c r="K996" s="2591"/>
      <c r="L996" s="2591"/>
      <c r="M996" s="2591"/>
      <c r="N996" s="2591"/>
      <c r="O996" s="2591"/>
      <c r="P996" s="2591"/>
      <c r="Q996" s="2591"/>
      <c r="R996" s="2591"/>
      <c r="S996" s="2591"/>
    </row>
    <row r="997" ht="16.5" spans="1:19">
      <c r="A997" s="2642"/>
      <c r="B997" s="2675"/>
      <c r="C997" s="2676"/>
      <c r="D997" s="2677"/>
      <c r="E997" s="2677"/>
      <c r="F997" s="2677"/>
      <c r="G997" s="2640"/>
      <c r="H997" s="2640"/>
      <c r="I997" s="2702"/>
      <c r="J997" s="2591"/>
      <c r="K997" s="2591"/>
      <c r="L997" s="2591"/>
      <c r="M997" s="2591"/>
      <c r="N997" s="2591"/>
      <c r="O997" s="2591"/>
      <c r="P997" s="2591"/>
      <c r="Q997" s="2591"/>
      <c r="R997" s="2591"/>
      <c r="S997" s="2591"/>
    </row>
    <row r="998" ht="16.5" spans="1:19">
      <c r="A998" s="2642"/>
      <c r="B998" s="2675"/>
      <c r="C998" s="2676"/>
      <c r="D998" s="2677"/>
      <c r="E998" s="2677"/>
      <c r="F998" s="2677"/>
      <c r="G998" s="2640"/>
      <c r="H998" s="2640"/>
      <c r="I998" s="2702"/>
      <c r="J998" s="2591"/>
      <c r="K998" s="2591"/>
      <c r="L998" s="2591"/>
      <c r="M998" s="2591"/>
      <c r="N998" s="2591"/>
      <c r="O998" s="2591"/>
      <c r="P998" s="2591"/>
      <c r="Q998" s="2591"/>
      <c r="R998" s="2591"/>
      <c r="S998" s="2591"/>
    </row>
    <row r="999" ht="16.5" spans="1:19">
      <c r="A999" s="2642"/>
      <c r="B999" s="2675"/>
      <c r="C999" s="2676"/>
      <c r="D999" s="2677"/>
      <c r="E999" s="2677"/>
      <c r="F999" s="2677"/>
      <c r="G999" s="2640"/>
      <c r="H999" s="2640"/>
      <c r="I999" s="2702"/>
      <c r="J999" s="2591"/>
      <c r="K999" s="2591"/>
      <c r="L999" s="2591"/>
      <c r="M999" s="2591"/>
      <c r="N999" s="2591"/>
      <c r="O999" s="2591"/>
      <c r="P999" s="2591"/>
      <c r="Q999" s="2591"/>
      <c r="R999" s="2591"/>
      <c r="S999" s="2591"/>
    </row>
    <row r="1000" ht="16.5" spans="1:19">
      <c r="A1000" s="2642"/>
      <c r="B1000" s="2675"/>
      <c r="C1000" s="2676"/>
      <c r="D1000" s="2677"/>
      <c r="E1000" s="2677"/>
      <c r="F1000" s="2677"/>
      <c r="G1000" s="2640"/>
      <c r="H1000" s="2640"/>
      <c r="I1000" s="2702"/>
      <c r="J1000" s="2591"/>
      <c r="K1000" s="2591"/>
      <c r="L1000" s="2591"/>
      <c r="M1000" s="2591"/>
      <c r="N1000" s="2591"/>
      <c r="O1000" s="2591"/>
      <c r="P1000" s="2591"/>
      <c r="Q1000" s="2591"/>
      <c r="R1000" s="2591"/>
      <c r="S1000" s="2591"/>
    </row>
    <row r="1001" ht="16.5" spans="1:19">
      <c r="A1001" s="2642"/>
      <c r="B1001" s="2675"/>
      <c r="C1001" s="2676"/>
      <c r="D1001" s="2677"/>
      <c r="E1001" s="2677"/>
      <c r="F1001" s="2677"/>
      <c r="G1001" s="2640"/>
      <c r="H1001" s="2640"/>
      <c r="I1001" s="2702"/>
      <c r="J1001" s="2591"/>
      <c r="K1001" s="2591"/>
      <c r="L1001" s="2591"/>
      <c r="M1001" s="2591"/>
      <c r="N1001" s="2591"/>
      <c r="O1001" s="2591"/>
      <c r="P1001" s="2591"/>
      <c r="Q1001" s="2591"/>
      <c r="R1001" s="2591"/>
      <c r="S1001" s="2591"/>
    </row>
    <row r="1002" ht="16.5" spans="1:19">
      <c r="A1002" s="2642"/>
      <c r="B1002" s="2675"/>
      <c r="C1002" s="2676"/>
      <c r="D1002" s="2677"/>
      <c r="E1002" s="2677"/>
      <c r="F1002" s="2677"/>
      <c r="G1002" s="2640"/>
      <c r="H1002" s="2640"/>
      <c r="I1002" s="2702"/>
      <c r="J1002" s="2591"/>
      <c r="K1002" s="2591"/>
      <c r="L1002" s="2591"/>
      <c r="M1002" s="2591"/>
      <c r="N1002" s="2591"/>
      <c r="O1002" s="2591"/>
      <c r="P1002" s="2591"/>
      <c r="Q1002" s="2591"/>
      <c r="R1002" s="2591"/>
      <c r="S1002" s="2591"/>
    </row>
    <row r="1003" ht="16.5" spans="1:19">
      <c r="A1003" s="2642"/>
      <c r="B1003" s="2675"/>
      <c r="C1003" s="2676"/>
      <c r="D1003" s="2677"/>
      <c r="E1003" s="2677"/>
      <c r="F1003" s="2677"/>
      <c r="G1003" s="2640"/>
      <c r="H1003" s="2640"/>
      <c r="I1003" s="2702"/>
      <c r="J1003" s="2591"/>
      <c r="K1003" s="2591"/>
      <c r="L1003" s="2591"/>
      <c r="M1003" s="2591"/>
      <c r="N1003" s="2591"/>
      <c r="O1003" s="2591"/>
      <c r="P1003" s="2591"/>
      <c r="Q1003" s="2591"/>
      <c r="R1003" s="2591"/>
      <c r="S1003" s="2591"/>
    </row>
    <row r="1004" ht="16.5" spans="1:19">
      <c r="A1004" s="2642"/>
      <c r="B1004" s="2675"/>
      <c r="C1004" s="2676"/>
      <c r="D1004" s="2677"/>
      <c r="E1004" s="2677"/>
      <c r="F1004" s="2677"/>
      <c r="G1004" s="2640"/>
      <c r="H1004" s="2640"/>
      <c r="I1004" s="2702"/>
      <c r="J1004" s="2591"/>
      <c r="K1004" s="2591"/>
      <c r="L1004" s="2591"/>
      <c r="M1004" s="2591"/>
      <c r="N1004" s="2591"/>
      <c r="O1004" s="2591"/>
      <c r="P1004" s="2591"/>
      <c r="Q1004" s="2591"/>
      <c r="R1004" s="2591"/>
      <c r="S1004" s="2591"/>
    </row>
    <row r="1005" ht="16.5" spans="1:19">
      <c r="A1005" s="2642"/>
      <c r="B1005" s="2675"/>
      <c r="C1005" s="2676"/>
      <c r="D1005" s="2677"/>
      <c r="E1005" s="2677"/>
      <c r="F1005" s="2677"/>
      <c r="G1005" s="2640"/>
      <c r="H1005" s="2640"/>
      <c r="I1005" s="2702"/>
      <c r="J1005" s="2591"/>
      <c r="K1005" s="2591"/>
      <c r="L1005" s="2591"/>
      <c r="M1005" s="2591"/>
      <c r="N1005" s="2591"/>
      <c r="O1005" s="2591"/>
      <c r="P1005" s="2591"/>
      <c r="Q1005" s="2591"/>
      <c r="R1005" s="2591"/>
      <c r="S1005" s="2591"/>
    </row>
    <row r="1006" ht="16.5" spans="1:19">
      <c r="A1006" s="2642"/>
      <c r="B1006" s="2675"/>
      <c r="C1006" s="2676"/>
      <c r="D1006" s="2677"/>
      <c r="E1006" s="2677"/>
      <c r="F1006" s="2677"/>
      <c r="G1006" s="2640"/>
      <c r="H1006" s="2640"/>
      <c r="I1006" s="2702"/>
      <c r="J1006" s="2591"/>
      <c r="K1006" s="2591"/>
      <c r="L1006" s="2591"/>
      <c r="M1006" s="2591"/>
      <c r="N1006" s="2591"/>
      <c r="O1006" s="2591"/>
      <c r="P1006" s="2591"/>
      <c r="Q1006" s="2591"/>
      <c r="R1006" s="2591"/>
      <c r="S1006" s="2591"/>
    </row>
    <row r="1007" ht="16.5" spans="1:19">
      <c r="A1007" s="2642"/>
      <c r="B1007" s="2675"/>
      <c r="C1007" s="2676"/>
      <c r="D1007" s="2677"/>
      <c r="E1007" s="2677"/>
      <c r="F1007" s="2677"/>
      <c r="G1007" s="2640"/>
      <c r="H1007" s="2640"/>
      <c r="I1007" s="2702"/>
      <c r="J1007" s="2591"/>
      <c r="K1007" s="2591"/>
      <c r="L1007" s="2591"/>
      <c r="M1007" s="2591"/>
      <c r="N1007" s="2591"/>
      <c r="O1007" s="2591"/>
      <c r="P1007" s="2591"/>
      <c r="Q1007" s="2591"/>
      <c r="R1007" s="2591"/>
      <c r="S1007" s="2591"/>
    </row>
    <row r="1008" ht="16.5" spans="1:19">
      <c r="A1008" s="2642"/>
      <c r="B1008" s="2675"/>
      <c r="C1008" s="2676"/>
      <c r="D1008" s="2677"/>
      <c r="E1008" s="2677"/>
      <c r="F1008" s="2677"/>
      <c r="G1008" s="2640"/>
      <c r="H1008" s="2640"/>
      <c r="I1008" s="2702"/>
      <c r="J1008" s="2591"/>
      <c r="K1008" s="2591"/>
      <c r="L1008" s="2591"/>
      <c r="M1008" s="2591"/>
      <c r="N1008" s="2591"/>
      <c r="O1008" s="2591"/>
      <c r="P1008" s="2591"/>
      <c r="Q1008" s="2591"/>
      <c r="R1008" s="2591"/>
      <c r="S1008" s="2591"/>
    </row>
    <row r="1009" ht="16.5" spans="1:19">
      <c r="A1009" s="2642"/>
      <c r="B1009" s="2675"/>
      <c r="C1009" s="2676"/>
      <c r="D1009" s="2677"/>
      <c r="E1009" s="2677"/>
      <c r="F1009" s="2677"/>
      <c r="G1009" s="2640"/>
      <c r="H1009" s="2640"/>
      <c r="I1009" s="2702"/>
      <c r="J1009" s="2591"/>
      <c r="K1009" s="2591"/>
      <c r="L1009" s="2591"/>
      <c r="M1009" s="2591"/>
      <c r="N1009" s="2591"/>
      <c r="O1009" s="2591"/>
      <c r="P1009" s="2591"/>
      <c r="Q1009" s="2591"/>
      <c r="R1009" s="2591"/>
      <c r="S1009" s="2591"/>
    </row>
    <row r="1010" ht="16.5" spans="1:19">
      <c r="A1010" s="2642"/>
      <c r="B1010" s="2675"/>
      <c r="C1010" s="2676"/>
      <c r="D1010" s="2677"/>
      <c r="E1010" s="2677"/>
      <c r="F1010" s="2677"/>
      <c r="G1010" s="2640"/>
      <c r="H1010" s="2640"/>
      <c r="I1010" s="2702"/>
      <c r="J1010" s="2591"/>
      <c r="K1010" s="2591"/>
      <c r="L1010" s="2591"/>
      <c r="M1010" s="2591"/>
      <c r="N1010" s="2591"/>
      <c r="O1010" s="2591"/>
      <c r="P1010" s="2591"/>
      <c r="Q1010" s="2591"/>
      <c r="R1010" s="2591"/>
      <c r="S1010" s="2591"/>
    </row>
    <row r="1011" ht="16.5" spans="1:19">
      <c r="A1011" s="2642"/>
      <c r="B1011" s="2675"/>
      <c r="C1011" s="2676"/>
      <c r="D1011" s="2677"/>
      <c r="E1011" s="2677"/>
      <c r="F1011" s="2677"/>
      <c r="G1011" s="2640"/>
      <c r="H1011" s="2640"/>
      <c r="I1011" s="2702"/>
      <c r="J1011" s="2591"/>
      <c r="K1011" s="2591"/>
      <c r="L1011" s="2591"/>
      <c r="M1011" s="2591"/>
      <c r="N1011" s="2591"/>
      <c r="O1011" s="2591"/>
      <c r="P1011" s="2591"/>
      <c r="Q1011" s="2591"/>
      <c r="R1011" s="2591"/>
      <c r="S1011" s="2591"/>
    </row>
    <row r="1012" ht="16.5" spans="1:19">
      <c r="A1012" s="2642"/>
      <c r="B1012" s="2675"/>
      <c r="C1012" s="2676"/>
      <c r="D1012" s="2677"/>
      <c r="E1012" s="2677"/>
      <c r="F1012" s="2677"/>
      <c r="G1012" s="2640"/>
      <c r="H1012" s="2640"/>
      <c r="I1012" s="2702"/>
      <c r="J1012" s="2591"/>
      <c r="K1012" s="2591"/>
      <c r="L1012" s="2591"/>
      <c r="M1012" s="2591"/>
      <c r="N1012" s="2591"/>
      <c r="O1012" s="2591"/>
      <c r="P1012" s="2591"/>
      <c r="Q1012" s="2591"/>
      <c r="R1012" s="2591"/>
      <c r="S1012" s="2591"/>
    </row>
    <row r="1013" ht="16.5" spans="1:19">
      <c r="A1013" s="2642"/>
      <c r="B1013" s="2675"/>
      <c r="C1013" s="2676"/>
      <c r="D1013" s="2677"/>
      <c r="E1013" s="2677"/>
      <c r="F1013" s="2677"/>
      <c r="G1013" s="2640"/>
      <c r="H1013" s="2640"/>
      <c r="I1013" s="2702"/>
      <c r="J1013" s="2591"/>
      <c r="K1013" s="2591"/>
      <c r="L1013" s="2591"/>
      <c r="M1013" s="2591"/>
      <c r="N1013" s="2591"/>
      <c r="O1013" s="2591"/>
      <c r="P1013" s="2591"/>
      <c r="Q1013" s="2591"/>
      <c r="R1013" s="2591"/>
      <c r="S1013" s="2591"/>
    </row>
    <row r="1014" ht="16.5" spans="1:19">
      <c r="A1014" s="2642"/>
      <c r="B1014" s="2675"/>
      <c r="C1014" s="2676"/>
      <c r="D1014" s="2677"/>
      <c r="E1014" s="2677"/>
      <c r="F1014" s="2677"/>
      <c r="G1014" s="2640"/>
      <c r="H1014" s="2640"/>
      <c r="I1014" s="2702"/>
      <c r="J1014" s="2591"/>
      <c r="K1014" s="2591"/>
      <c r="L1014" s="2591"/>
      <c r="M1014" s="2591"/>
      <c r="N1014" s="2591"/>
      <c r="O1014" s="2591"/>
      <c r="P1014" s="2591"/>
      <c r="Q1014" s="2591"/>
      <c r="R1014" s="2591"/>
      <c r="S1014" s="2591"/>
    </row>
    <row r="1015" ht="16.5" spans="1:19">
      <c r="A1015" s="2642"/>
      <c r="B1015" s="2675"/>
      <c r="C1015" s="2676"/>
      <c r="D1015" s="2677"/>
      <c r="E1015" s="2677"/>
      <c r="F1015" s="2677"/>
      <c r="G1015" s="2640"/>
      <c r="H1015" s="2640"/>
      <c r="I1015" s="2702"/>
      <c r="J1015" s="2591"/>
      <c r="K1015" s="2591"/>
      <c r="L1015" s="2591"/>
      <c r="M1015" s="2591"/>
      <c r="N1015" s="2591"/>
      <c r="O1015" s="2591"/>
      <c r="P1015" s="2591"/>
      <c r="Q1015" s="2591"/>
      <c r="R1015" s="2591"/>
      <c r="S1015" s="2591"/>
    </row>
    <row r="1016" ht="16.5" spans="1:19">
      <c r="A1016" s="2642"/>
      <c r="B1016" s="2675"/>
      <c r="C1016" s="2676"/>
      <c r="D1016" s="2677"/>
      <c r="E1016" s="2677"/>
      <c r="F1016" s="2677"/>
      <c r="G1016" s="2640"/>
      <c r="H1016" s="2640"/>
      <c r="I1016" s="2702"/>
      <c r="J1016" s="2591"/>
      <c r="K1016" s="2591"/>
      <c r="L1016" s="2591"/>
      <c r="M1016" s="2591"/>
      <c r="N1016" s="2591"/>
      <c r="O1016" s="2591"/>
      <c r="P1016" s="2591"/>
      <c r="Q1016" s="2591"/>
      <c r="R1016" s="2591"/>
      <c r="S1016" s="2591"/>
    </row>
    <row r="1017" ht="16.5" spans="1:19">
      <c r="A1017" s="2642"/>
      <c r="B1017" s="2675"/>
      <c r="C1017" s="2676"/>
      <c r="D1017" s="2677"/>
      <c r="E1017" s="2677"/>
      <c r="F1017" s="2677"/>
      <c r="G1017" s="2640"/>
      <c r="H1017" s="2640"/>
      <c r="I1017" s="2702"/>
      <c r="J1017" s="2591"/>
      <c r="K1017" s="2591"/>
      <c r="L1017" s="2591"/>
      <c r="M1017" s="2591"/>
      <c r="N1017" s="2591"/>
      <c r="O1017" s="2591"/>
      <c r="P1017" s="2591"/>
      <c r="Q1017" s="2591"/>
      <c r="R1017" s="2591"/>
      <c r="S1017" s="2591"/>
    </row>
    <row r="1018" ht="16.5" spans="1:19">
      <c r="A1018" s="2642"/>
      <c r="B1018" s="2675"/>
      <c r="C1018" s="2676"/>
      <c r="D1018" s="2677"/>
      <c r="E1018" s="2677"/>
      <c r="F1018" s="2677"/>
      <c r="G1018" s="2640"/>
      <c r="H1018" s="2640"/>
      <c r="I1018" s="2702"/>
      <c r="J1018" s="2591"/>
      <c r="K1018" s="2591"/>
      <c r="L1018" s="2591"/>
      <c r="M1018" s="2591"/>
      <c r="N1018" s="2591"/>
      <c r="O1018" s="2591"/>
      <c r="P1018" s="2591"/>
      <c r="Q1018" s="2591"/>
      <c r="R1018" s="2591"/>
      <c r="S1018" s="2591"/>
    </row>
    <row r="1019" ht="16.5" spans="1:19">
      <c r="A1019" s="2642"/>
      <c r="B1019" s="2675"/>
      <c r="C1019" s="2676"/>
      <c r="D1019" s="2677"/>
      <c r="E1019" s="2677"/>
      <c r="F1019" s="2677"/>
      <c r="G1019" s="2640"/>
      <c r="H1019" s="2640"/>
      <c r="I1019" s="2702"/>
      <c r="J1019" s="2591"/>
      <c r="K1019" s="2591"/>
      <c r="L1019" s="2591"/>
      <c r="M1019" s="2591"/>
      <c r="N1019" s="2591"/>
      <c r="O1019" s="2591"/>
      <c r="P1019" s="2591"/>
      <c r="Q1019" s="2591"/>
      <c r="R1019" s="2591"/>
      <c r="S1019" s="2591"/>
    </row>
    <row r="1020" ht="16.5" spans="1:19">
      <c r="A1020" s="2642"/>
      <c r="B1020" s="2675"/>
      <c r="C1020" s="2676"/>
      <c r="D1020" s="2677"/>
      <c r="E1020" s="2677"/>
      <c r="F1020" s="2677"/>
      <c r="G1020" s="2640"/>
      <c r="H1020" s="2640"/>
      <c r="I1020" s="2702"/>
      <c r="J1020" s="2591"/>
      <c r="K1020" s="2591"/>
      <c r="L1020" s="2591"/>
      <c r="M1020" s="2591"/>
      <c r="N1020" s="2591"/>
      <c r="O1020" s="2591"/>
      <c r="P1020" s="2591"/>
      <c r="Q1020" s="2591"/>
      <c r="R1020" s="2591"/>
      <c r="S1020" s="2591"/>
    </row>
    <row r="1021" ht="16.5" spans="1:19">
      <c r="A1021" s="2642"/>
      <c r="B1021" s="2675"/>
      <c r="C1021" s="2676"/>
      <c r="D1021" s="2677"/>
      <c r="E1021" s="2677"/>
      <c r="F1021" s="2677"/>
      <c r="G1021" s="2640"/>
      <c r="H1021" s="2640"/>
      <c r="I1021" s="2702"/>
      <c r="J1021" s="2591"/>
      <c r="K1021" s="2591"/>
      <c r="L1021" s="2591"/>
      <c r="M1021" s="2591"/>
      <c r="N1021" s="2591"/>
      <c r="O1021" s="2591"/>
      <c r="P1021" s="2591"/>
      <c r="Q1021" s="2591"/>
      <c r="R1021" s="2591"/>
      <c r="S1021" s="2591"/>
    </row>
    <row r="1022" ht="16.5" spans="1:19">
      <c r="A1022" s="2642"/>
      <c r="B1022" s="2675"/>
      <c r="C1022" s="2676"/>
      <c r="D1022" s="2677"/>
      <c r="E1022" s="2677"/>
      <c r="F1022" s="2677"/>
      <c r="G1022" s="2640"/>
      <c r="H1022" s="2640"/>
      <c r="I1022" s="2702"/>
      <c r="J1022" s="2591"/>
      <c r="K1022" s="2591"/>
      <c r="L1022" s="2591"/>
      <c r="M1022" s="2591"/>
      <c r="N1022" s="2591"/>
      <c r="O1022" s="2591"/>
      <c r="P1022" s="2591"/>
      <c r="Q1022" s="2591"/>
      <c r="R1022" s="2591"/>
      <c r="S1022" s="2591"/>
    </row>
    <row r="1023" ht="16.5" spans="1:19">
      <c r="A1023" s="2642"/>
      <c r="B1023" s="2675"/>
      <c r="C1023" s="2676"/>
      <c r="D1023" s="2677"/>
      <c r="E1023" s="2677"/>
      <c r="F1023" s="2677"/>
      <c r="G1023" s="2640"/>
      <c r="H1023" s="2640"/>
      <c r="I1023" s="2702"/>
      <c r="J1023" s="2591"/>
      <c r="K1023" s="2591"/>
      <c r="L1023" s="2591"/>
      <c r="M1023" s="2591"/>
      <c r="N1023" s="2591"/>
      <c r="O1023" s="2591"/>
      <c r="P1023" s="2591"/>
      <c r="Q1023" s="2591"/>
      <c r="R1023" s="2591"/>
      <c r="S1023" s="2591"/>
    </row>
    <row r="1024" ht="16.5" spans="1:19">
      <c r="A1024" s="2642"/>
      <c r="B1024" s="2675"/>
      <c r="C1024" s="2676"/>
      <c r="D1024" s="2677"/>
      <c r="E1024" s="2677"/>
      <c r="F1024" s="2677"/>
      <c r="G1024" s="2640"/>
      <c r="H1024" s="2640"/>
      <c r="I1024" s="2702"/>
      <c r="J1024" s="2591"/>
      <c r="K1024" s="2591"/>
      <c r="L1024" s="2591"/>
      <c r="M1024" s="2591"/>
      <c r="N1024" s="2591"/>
      <c r="O1024" s="2591"/>
      <c r="P1024" s="2591"/>
      <c r="Q1024" s="2591"/>
      <c r="R1024" s="2591"/>
      <c r="S1024" s="2591"/>
    </row>
    <row r="1025" ht="16.5" spans="1:19">
      <c r="A1025" s="2642"/>
      <c r="B1025" s="2675"/>
      <c r="C1025" s="2676"/>
      <c r="D1025" s="2677"/>
      <c r="E1025" s="2677"/>
      <c r="F1025" s="2677"/>
      <c r="G1025" s="2640"/>
      <c r="H1025" s="2640"/>
      <c r="I1025" s="2702"/>
      <c r="J1025" s="2591"/>
      <c r="K1025" s="2591"/>
      <c r="L1025" s="2591"/>
      <c r="M1025" s="2591"/>
      <c r="N1025" s="2591"/>
      <c r="O1025" s="2591"/>
      <c r="P1025" s="2591"/>
      <c r="Q1025" s="2591"/>
      <c r="R1025" s="2591"/>
      <c r="S1025" s="2591"/>
    </row>
    <row r="1026" ht="16.5" spans="1:19">
      <c r="A1026" s="2642"/>
      <c r="B1026" s="2675"/>
      <c r="C1026" s="2676"/>
      <c r="D1026" s="2677"/>
      <c r="E1026" s="2677"/>
      <c r="F1026" s="2677"/>
      <c r="G1026" s="2640"/>
      <c r="H1026" s="2640"/>
      <c r="I1026" s="2702"/>
      <c r="J1026" s="2591"/>
      <c r="K1026" s="2591"/>
      <c r="L1026" s="2591"/>
      <c r="M1026" s="2591"/>
      <c r="N1026" s="2591"/>
      <c r="O1026" s="2591"/>
      <c r="P1026" s="2591"/>
      <c r="Q1026" s="2591"/>
      <c r="R1026" s="2591"/>
      <c r="S1026" s="2591"/>
    </row>
    <row r="1027" ht="16.5" spans="1:19">
      <c r="A1027" s="2642"/>
      <c r="B1027" s="2675"/>
      <c r="C1027" s="2676"/>
      <c r="D1027" s="2677"/>
      <c r="E1027" s="2677"/>
      <c r="F1027" s="2677"/>
      <c r="G1027" s="2640"/>
      <c r="H1027" s="2640"/>
      <c r="I1027" s="2702"/>
      <c r="J1027" s="2591"/>
      <c r="K1027" s="2591"/>
      <c r="L1027" s="2591"/>
      <c r="M1027" s="2591"/>
      <c r="N1027" s="2591"/>
      <c r="O1027" s="2591"/>
      <c r="P1027" s="2591"/>
      <c r="Q1027" s="2591"/>
      <c r="R1027" s="2591"/>
      <c r="S1027" s="2591"/>
    </row>
    <row r="1028" ht="16.5" spans="1:19">
      <c r="A1028" s="2642"/>
      <c r="B1028" s="2675"/>
      <c r="C1028" s="2676"/>
      <c r="D1028" s="2677"/>
      <c r="E1028" s="2677"/>
      <c r="F1028" s="2677"/>
      <c r="G1028" s="2640"/>
      <c r="H1028" s="2640"/>
      <c r="I1028" s="2702"/>
      <c r="J1028" s="2591"/>
      <c r="K1028" s="2591"/>
      <c r="L1028" s="2591"/>
      <c r="M1028" s="2591"/>
      <c r="N1028" s="2591"/>
      <c r="O1028" s="2591"/>
      <c r="P1028" s="2591"/>
      <c r="Q1028" s="2591"/>
      <c r="R1028" s="2591"/>
      <c r="S1028" s="2591"/>
    </row>
    <row r="1029" ht="16.5" spans="1:19">
      <c r="A1029" s="2642"/>
      <c r="B1029" s="2675"/>
      <c r="C1029" s="2676"/>
      <c r="D1029" s="2677"/>
      <c r="E1029" s="2677"/>
      <c r="F1029" s="2677"/>
      <c r="G1029" s="2640"/>
      <c r="H1029" s="2640"/>
      <c r="I1029" s="2702"/>
      <c r="J1029" s="2591"/>
      <c r="K1029" s="2591"/>
      <c r="L1029" s="2591"/>
      <c r="M1029" s="2591"/>
      <c r="N1029" s="2591"/>
      <c r="O1029" s="2591"/>
      <c r="P1029" s="2591"/>
      <c r="Q1029" s="2591"/>
      <c r="R1029" s="2591"/>
      <c r="S1029" s="2591"/>
    </row>
    <row r="1030" ht="16.5" spans="1:19">
      <c r="A1030" s="2642"/>
      <c r="B1030" s="2675"/>
      <c r="C1030" s="2676"/>
      <c r="D1030" s="2677"/>
      <c r="E1030" s="2677"/>
      <c r="F1030" s="2677"/>
      <c r="G1030" s="2640"/>
      <c r="H1030" s="2640"/>
      <c r="I1030" s="2702"/>
      <c r="J1030" s="2591"/>
      <c r="K1030" s="2591"/>
      <c r="L1030" s="2591"/>
      <c r="M1030" s="2591"/>
      <c r="N1030" s="2591"/>
      <c r="O1030" s="2591"/>
      <c r="P1030" s="2591"/>
      <c r="Q1030" s="2591"/>
      <c r="R1030" s="2591"/>
      <c r="S1030" s="2591"/>
    </row>
    <row r="1031" ht="16.5" spans="1:19">
      <c r="A1031" s="2642"/>
      <c r="B1031" s="2675"/>
      <c r="C1031" s="2676"/>
      <c r="D1031" s="2677"/>
      <c r="E1031" s="2677"/>
      <c r="F1031" s="2677"/>
      <c r="G1031" s="2640"/>
      <c r="H1031" s="2640"/>
      <c r="I1031" s="2702"/>
      <c r="J1031" s="2591"/>
      <c r="K1031" s="2591"/>
      <c r="L1031" s="2591"/>
      <c r="M1031" s="2591"/>
      <c r="N1031" s="2591"/>
      <c r="O1031" s="2591"/>
      <c r="P1031" s="2591"/>
      <c r="Q1031" s="2591"/>
      <c r="R1031" s="2591"/>
      <c r="S1031" s="2591"/>
    </row>
    <row r="1032" ht="16.5" spans="1:19">
      <c r="A1032" s="2642"/>
      <c r="B1032" s="2675"/>
      <c r="C1032" s="2676"/>
      <c r="D1032" s="2677"/>
      <c r="E1032" s="2677"/>
      <c r="F1032" s="2677"/>
      <c r="G1032" s="2640"/>
      <c r="H1032" s="2640"/>
      <c r="I1032" s="2702"/>
      <c r="J1032" s="2591"/>
      <c r="K1032" s="2591"/>
      <c r="L1032" s="2591"/>
      <c r="M1032" s="2591"/>
      <c r="N1032" s="2591"/>
      <c r="O1032" s="2591"/>
      <c r="P1032" s="2591"/>
      <c r="Q1032" s="2591"/>
      <c r="R1032" s="2591"/>
      <c r="S1032" s="2591"/>
    </row>
    <row r="1033" ht="16.5" spans="1:19">
      <c r="A1033" s="2642"/>
      <c r="B1033" s="2675"/>
      <c r="C1033" s="2676"/>
      <c r="D1033" s="2677"/>
      <c r="E1033" s="2677"/>
      <c r="F1033" s="2677"/>
      <c r="G1033" s="2640"/>
      <c r="H1033" s="2640"/>
      <c r="I1033" s="2702"/>
      <c r="J1033" s="2591"/>
      <c r="K1033" s="2591"/>
      <c r="L1033" s="2591"/>
      <c r="M1033" s="2591"/>
      <c r="N1033" s="2591"/>
      <c r="O1033" s="2591"/>
      <c r="P1033" s="2591"/>
      <c r="Q1033" s="2591"/>
      <c r="R1033" s="2591"/>
      <c r="S1033" s="2591"/>
    </row>
    <row r="1034" ht="16.5" spans="1:19">
      <c r="A1034" s="2642"/>
      <c r="B1034" s="2675"/>
      <c r="C1034" s="2676"/>
      <c r="D1034" s="2677"/>
      <c r="E1034" s="2677"/>
      <c r="F1034" s="2677"/>
      <c r="G1034" s="2640"/>
      <c r="H1034" s="2640"/>
      <c r="I1034" s="2702"/>
      <c r="J1034" s="2591"/>
      <c r="K1034" s="2591"/>
      <c r="L1034" s="2591"/>
      <c r="M1034" s="2591"/>
      <c r="N1034" s="2591"/>
      <c r="O1034" s="2591"/>
      <c r="P1034" s="2591"/>
      <c r="Q1034" s="2591"/>
      <c r="R1034" s="2591"/>
      <c r="S1034" s="2591"/>
    </row>
    <row r="1035" ht="16.5" spans="1:19">
      <c r="A1035" s="2642"/>
      <c r="B1035" s="2675"/>
      <c r="C1035" s="2676"/>
      <c r="D1035" s="2677"/>
      <c r="E1035" s="2677"/>
      <c r="F1035" s="2677"/>
      <c r="G1035" s="2640"/>
      <c r="H1035" s="2640"/>
      <c r="I1035" s="2702"/>
      <c r="J1035" s="2591"/>
      <c r="K1035" s="2591"/>
      <c r="L1035" s="2591"/>
      <c r="M1035" s="2591"/>
      <c r="N1035" s="2591"/>
      <c r="O1035" s="2591"/>
      <c r="P1035" s="2591"/>
      <c r="Q1035" s="2591"/>
      <c r="R1035" s="2591"/>
      <c r="S1035" s="2591"/>
    </row>
    <row r="1036" ht="16.5" spans="1:19">
      <c r="A1036" s="2642"/>
      <c r="B1036" s="2675"/>
      <c r="C1036" s="2676"/>
      <c r="D1036" s="2677"/>
      <c r="E1036" s="2677"/>
      <c r="F1036" s="2677"/>
      <c r="G1036" s="2640"/>
      <c r="H1036" s="2640"/>
      <c r="I1036" s="2702"/>
      <c r="J1036" s="2591"/>
      <c r="K1036" s="2591"/>
      <c r="L1036" s="2591"/>
      <c r="M1036" s="2591"/>
      <c r="N1036" s="2591"/>
      <c r="O1036" s="2591"/>
      <c r="P1036" s="2591"/>
      <c r="Q1036" s="2591"/>
      <c r="R1036" s="2591"/>
      <c r="S1036" s="2591"/>
    </row>
    <row r="1037" ht="16.5" spans="1:19">
      <c r="A1037" s="2642"/>
      <c r="B1037" s="2675"/>
      <c r="C1037" s="2676"/>
      <c r="D1037" s="2677"/>
      <c r="E1037" s="2677"/>
      <c r="F1037" s="2677"/>
      <c r="G1037" s="2640"/>
      <c r="H1037" s="2640"/>
      <c r="I1037" s="2702"/>
      <c r="J1037" s="2591"/>
      <c r="K1037" s="2591"/>
      <c r="L1037" s="2591"/>
      <c r="M1037" s="2591"/>
      <c r="N1037" s="2591"/>
      <c r="O1037" s="2591"/>
      <c r="P1037" s="2591"/>
      <c r="Q1037" s="2591"/>
      <c r="R1037" s="2591"/>
      <c r="S1037" s="2591"/>
    </row>
    <row r="1038" ht="16.5" spans="1:19">
      <c r="A1038" s="2642"/>
      <c r="B1038" s="2675"/>
      <c r="C1038" s="2676"/>
      <c r="D1038" s="2677"/>
      <c r="E1038" s="2677"/>
      <c r="F1038" s="2677"/>
      <c r="G1038" s="2640"/>
      <c r="H1038" s="2640"/>
      <c r="I1038" s="2702"/>
      <c r="J1038" s="2591"/>
      <c r="K1038" s="2591"/>
      <c r="L1038" s="2591"/>
      <c r="M1038" s="2591"/>
      <c r="N1038" s="2591"/>
      <c r="O1038" s="2591"/>
      <c r="P1038" s="2591"/>
      <c r="Q1038" s="2591"/>
      <c r="R1038" s="2591"/>
      <c r="S1038" s="2591"/>
    </row>
    <row r="1039" ht="16.5" spans="1:19">
      <c r="A1039" s="2642"/>
      <c r="B1039" s="2675"/>
      <c r="C1039" s="2676"/>
      <c r="D1039" s="2677"/>
      <c r="E1039" s="2677"/>
      <c r="F1039" s="2677"/>
      <c r="G1039" s="2640"/>
      <c r="H1039" s="2640"/>
      <c r="I1039" s="2702"/>
      <c r="J1039" s="2591"/>
      <c r="K1039" s="2591"/>
      <c r="L1039" s="2591"/>
      <c r="M1039" s="2591"/>
      <c r="N1039" s="2591"/>
      <c r="O1039" s="2591"/>
      <c r="P1039" s="2591"/>
      <c r="Q1039" s="2591"/>
      <c r="R1039" s="2591"/>
      <c r="S1039" s="2591"/>
    </row>
    <row r="1040" ht="16.5" spans="1:19">
      <c r="A1040" s="2642"/>
      <c r="B1040" s="2675"/>
      <c r="C1040" s="2676"/>
      <c r="D1040" s="2677"/>
      <c r="E1040" s="2677"/>
      <c r="F1040" s="2677"/>
      <c r="G1040" s="2640"/>
      <c r="H1040" s="2640"/>
      <c r="I1040" s="2702"/>
      <c r="J1040" s="2591"/>
      <c r="K1040" s="2591"/>
      <c r="L1040" s="2591"/>
      <c r="M1040" s="2591"/>
      <c r="N1040" s="2591"/>
      <c r="O1040" s="2591"/>
      <c r="P1040" s="2591"/>
      <c r="Q1040" s="2591"/>
      <c r="R1040" s="2591"/>
      <c r="S1040" s="2591"/>
    </row>
    <row r="1041" ht="16.5" spans="1:19">
      <c r="A1041" s="2642"/>
      <c r="B1041" s="2675"/>
      <c r="C1041" s="2676"/>
      <c r="D1041" s="2677"/>
      <c r="E1041" s="2677"/>
      <c r="F1041" s="2677"/>
      <c r="G1041" s="2640"/>
      <c r="H1041" s="2640"/>
      <c r="I1041" s="2702"/>
      <c r="J1041" s="2591"/>
      <c r="K1041" s="2591"/>
      <c r="L1041" s="2591"/>
      <c r="M1041" s="2591"/>
      <c r="N1041" s="2591"/>
      <c r="O1041" s="2591"/>
      <c r="P1041" s="2591"/>
      <c r="Q1041" s="2591"/>
      <c r="R1041" s="2591"/>
      <c r="S1041" s="2591"/>
    </row>
    <row r="1042" ht="16.5" spans="1:19">
      <c r="A1042" s="2642"/>
      <c r="B1042" s="2675"/>
      <c r="C1042" s="2676"/>
      <c r="D1042" s="2677"/>
      <c r="E1042" s="2677"/>
      <c r="F1042" s="2677"/>
      <c r="G1042" s="2640"/>
      <c r="H1042" s="2640"/>
      <c r="I1042" s="2702"/>
      <c r="J1042" s="2591"/>
      <c r="K1042" s="2591"/>
      <c r="L1042" s="2591"/>
      <c r="M1042" s="2591"/>
      <c r="N1042" s="2591"/>
      <c r="O1042" s="2591"/>
      <c r="P1042" s="2591"/>
      <c r="Q1042" s="2591"/>
      <c r="R1042" s="2591"/>
      <c r="S1042" s="2591"/>
    </row>
    <row r="1043" ht="16.5" spans="1:19">
      <c r="A1043" s="2642"/>
      <c r="B1043" s="2675"/>
      <c r="C1043" s="2676"/>
      <c r="D1043" s="2677"/>
      <c r="E1043" s="2677"/>
      <c r="F1043" s="2677"/>
      <c r="G1043" s="2640"/>
      <c r="H1043" s="2640"/>
      <c r="I1043" s="2702"/>
      <c r="J1043" s="2591"/>
      <c r="K1043" s="2591"/>
      <c r="L1043" s="2591"/>
      <c r="M1043" s="2591"/>
      <c r="N1043" s="2591"/>
      <c r="O1043" s="2591"/>
      <c r="P1043" s="2591"/>
      <c r="Q1043" s="2591"/>
      <c r="R1043" s="2591"/>
      <c r="S1043" s="2591"/>
    </row>
    <row r="1044" ht="16.5" spans="1:19">
      <c r="A1044" s="2642"/>
      <c r="B1044" s="2675"/>
      <c r="C1044" s="2676"/>
      <c r="D1044" s="2677"/>
      <c r="E1044" s="2677"/>
      <c r="F1044" s="2677"/>
      <c r="G1044" s="2640"/>
      <c r="H1044" s="2640"/>
      <c r="I1044" s="2702"/>
      <c r="J1044" s="2591"/>
      <c r="K1044" s="2591"/>
      <c r="L1044" s="2591"/>
      <c r="M1044" s="2591"/>
      <c r="N1044" s="2591"/>
      <c r="O1044" s="2591"/>
      <c r="P1044" s="2591"/>
      <c r="Q1044" s="2591"/>
      <c r="R1044" s="2591"/>
      <c r="S1044" s="2591"/>
    </row>
    <row r="1045" ht="16.5" spans="1:19">
      <c r="A1045" s="2642"/>
      <c r="B1045" s="2675"/>
      <c r="C1045" s="2676"/>
      <c r="D1045" s="2677"/>
      <c r="E1045" s="2677"/>
      <c r="F1045" s="2677"/>
      <c r="G1045" s="2640"/>
      <c r="H1045" s="2640"/>
      <c r="I1045" s="2702"/>
      <c r="J1045" s="2591"/>
      <c r="K1045" s="2591"/>
      <c r="L1045" s="2591"/>
      <c r="M1045" s="2591"/>
      <c r="N1045" s="2591"/>
      <c r="O1045" s="2591"/>
      <c r="P1045" s="2591"/>
      <c r="Q1045" s="2591"/>
      <c r="R1045" s="2591"/>
      <c r="S1045" s="2591"/>
    </row>
    <row r="1046" ht="16.5" spans="1:19">
      <c r="A1046" s="2642"/>
      <c r="B1046" s="2675"/>
      <c r="C1046" s="2676"/>
      <c r="D1046" s="2677"/>
      <c r="E1046" s="2677"/>
      <c r="F1046" s="2677"/>
      <c r="G1046" s="2640"/>
      <c r="H1046" s="2640"/>
      <c r="I1046" s="2702"/>
      <c r="J1046" s="2591"/>
      <c r="K1046" s="2591"/>
      <c r="L1046" s="2591"/>
      <c r="M1046" s="2591"/>
      <c r="N1046" s="2591"/>
      <c r="O1046" s="2591"/>
      <c r="P1046" s="2591"/>
      <c r="Q1046" s="2591"/>
      <c r="R1046" s="2591"/>
      <c r="S1046" s="2591"/>
    </row>
    <row r="1047" ht="16.5" spans="1:19">
      <c r="A1047" s="2642"/>
      <c r="B1047" s="2675"/>
      <c r="C1047" s="2676"/>
      <c r="D1047" s="2677"/>
      <c r="E1047" s="2677"/>
      <c r="F1047" s="2677"/>
      <c r="G1047" s="2640"/>
      <c r="H1047" s="2640"/>
      <c r="I1047" s="2702"/>
      <c r="J1047" s="2591"/>
      <c r="K1047" s="2591"/>
      <c r="L1047" s="2591"/>
      <c r="M1047" s="2591"/>
      <c r="N1047" s="2591"/>
      <c r="O1047" s="2591"/>
      <c r="P1047" s="2591"/>
      <c r="Q1047" s="2591"/>
      <c r="R1047" s="2591"/>
      <c r="S1047" s="2591"/>
    </row>
    <row r="1048" ht="16.5" spans="1:19">
      <c r="A1048" s="2642"/>
      <c r="B1048" s="2675"/>
      <c r="C1048" s="2676"/>
      <c r="D1048" s="2677"/>
      <c r="E1048" s="2677"/>
      <c r="F1048" s="2677"/>
      <c r="G1048" s="2640"/>
      <c r="H1048" s="2640"/>
      <c r="I1048" s="2702"/>
      <c r="J1048" s="2591"/>
      <c r="K1048" s="2591"/>
      <c r="L1048" s="2591"/>
      <c r="M1048" s="2591"/>
      <c r="N1048" s="2591"/>
      <c r="O1048" s="2591"/>
      <c r="P1048" s="2591"/>
      <c r="Q1048" s="2591"/>
      <c r="R1048" s="2591"/>
      <c r="S1048" s="2591"/>
    </row>
    <row r="1049" ht="16.5" spans="1:19">
      <c r="A1049" s="2642"/>
      <c r="B1049" s="2675"/>
      <c r="C1049" s="2676"/>
      <c r="D1049" s="2677"/>
      <c r="E1049" s="2677"/>
      <c r="F1049" s="2677"/>
      <c r="G1049" s="2640"/>
      <c r="H1049" s="2640"/>
      <c r="I1049" s="2702"/>
      <c r="J1049" s="2591"/>
      <c r="K1049" s="2591"/>
      <c r="L1049" s="2591"/>
      <c r="M1049" s="2591"/>
      <c r="N1049" s="2591"/>
      <c r="O1049" s="2591"/>
      <c r="P1049" s="2591"/>
      <c r="Q1049" s="2591"/>
      <c r="R1049" s="2591"/>
      <c r="S1049" s="2591"/>
    </row>
    <row r="1050" ht="16.5" spans="1:19">
      <c r="A1050" s="2642"/>
      <c r="B1050" s="2675"/>
      <c r="C1050" s="2676"/>
      <c r="D1050" s="2677"/>
      <c r="E1050" s="2677"/>
      <c r="F1050" s="2677"/>
      <c r="G1050" s="2640"/>
      <c r="H1050" s="2640"/>
      <c r="I1050" s="2702"/>
      <c r="J1050" s="2591"/>
      <c r="K1050" s="2591"/>
      <c r="L1050" s="2591"/>
      <c r="M1050" s="2591"/>
      <c r="N1050" s="2591"/>
      <c r="O1050" s="2591"/>
      <c r="P1050" s="2591"/>
      <c r="Q1050" s="2591"/>
      <c r="R1050" s="2591"/>
      <c r="S1050" s="2591"/>
    </row>
    <row r="1051" ht="16.5" spans="1:19">
      <c r="A1051" s="2642"/>
      <c r="B1051" s="2675"/>
      <c r="C1051" s="2676"/>
      <c r="D1051" s="2677"/>
      <c r="E1051" s="2677"/>
      <c r="F1051" s="2677"/>
      <c r="G1051" s="2640"/>
      <c r="H1051" s="2640"/>
      <c r="I1051" s="2702"/>
      <c r="J1051" s="2591"/>
      <c r="K1051" s="2591"/>
      <c r="L1051" s="2591"/>
      <c r="M1051" s="2591"/>
      <c r="N1051" s="2591"/>
      <c r="O1051" s="2591"/>
      <c r="P1051" s="2591"/>
      <c r="Q1051" s="2591"/>
      <c r="R1051" s="2591"/>
      <c r="S1051" s="2591"/>
    </row>
    <row r="1052" ht="16.5" spans="1:19">
      <c r="A1052" s="2642"/>
      <c r="B1052" s="2675"/>
      <c r="C1052" s="2676"/>
      <c r="D1052" s="2677"/>
      <c r="E1052" s="2677"/>
      <c r="F1052" s="2677"/>
      <c r="G1052" s="2640"/>
      <c r="H1052" s="2640"/>
      <c r="I1052" s="2702"/>
      <c r="J1052" s="2591"/>
      <c r="K1052" s="2591"/>
      <c r="L1052" s="2591"/>
      <c r="M1052" s="2591"/>
      <c r="N1052" s="2591"/>
      <c r="O1052" s="2591"/>
      <c r="P1052" s="2591"/>
      <c r="Q1052" s="2591"/>
      <c r="R1052" s="2591"/>
      <c r="S1052" s="2591"/>
    </row>
    <row r="1053" ht="16.5" spans="1:19">
      <c r="A1053" s="2642"/>
      <c r="B1053" s="2675"/>
      <c r="C1053" s="2676"/>
      <c r="D1053" s="2677"/>
      <c r="E1053" s="2677"/>
      <c r="F1053" s="2677"/>
      <c r="G1053" s="2640"/>
      <c r="H1053" s="2640"/>
      <c r="I1053" s="2702"/>
      <c r="J1053" s="2591"/>
      <c r="K1053" s="2591"/>
      <c r="L1053" s="2591"/>
      <c r="M1053" s="2591"/>
      <c r="N1053" s="2591"/>
      <c r="O1053" s="2591"/>
      <c r="P1053" s="2591"/>
      <c r="Q1053" s="2591"/>
      <c r="R1053" s="2591"/>
      <c r="S1053" s="2591"/>
    </row>
    <row r="1054" ht="16.5" spans="1:19">
      <c r="A1054" s="2642"/>
      <c r="B1054" s="2675"/>
      <c r="C1054" s="2676"/>
      <c r="D1054" s="2677"/>
      <c r="E1054" s="2677"/>
      <c r="F1054" s="2677"/>
      <c r="G1054" s="2640"/>
      <c r="H1054" s="2640"/>
      <c r="I1054" s="2702"/>
      <c r="J1054" s="2591"/>
      <c r="K1054" s="2591"/>
      <c r="L1054" s="2591"/>
      <c r="M1054" s="2591"/>
      <c r="N1054" s="2591"/>
      <c r="O1054" s="2591"/>
      <c r="P1054" s="2591"/>
      <c r="Q1054" s="2591"/>
      <c r="R1054" s="2591"/>
      <c r="S1054" s="2591"/>
    </row>
    <row r="1055" ht="16.5" spans="1:19">
      <c r="A1055" s="2642"/>
      <c r="B1055" s="2675"/>
      <c r="C1055" s="2676"/>
      <c r="D1055" s="2677"/>
      <c r="E1055" s="2677"/>
      <c r="F1055" s="2677"/>
      <c r="G1055" s="2640"/>
      <c r="H1055" s="2640"/>
      <c r="I1055" s="2702"/>
      <c r="J1055" s="2591"/>
      <c r="K1055" s="2591"/>
      <c r="L1055" s="2591"/>
      <c r="M1055" s="2591"/>
      <c r="N1055" s="2591"/>
      <c r="O1055" s="2591"/>
      <c r="P1055" s="2591"/>
      <c r="Q1055" s="2591"/>
      <c r="R1055" s="2591"/>
      <c r="S1055" s="2591"/>
    </row>
    <row r="1056" ht="16.5" spans="1:19">
      <c r="A1056" s="2642"/>
      <c r="B1056" s="2675"/>
      <c r="C1056" s="2676"/>
      <c r="D1056" s="2677"/>
      <c r="E1056" s="2677"/>
      <c r="F1056" s="2677"/>
      <c r="G1056" s="2640"/>
      <c r="H1056" s="2640"/>
      <c r="I1056" s="2702"/>
      <c r="J1056" s="2591"/>
      <c r="K1056" s="2591"/>
      <c r="L1056" s="2591"/>
      <c r="M1056" s="2591"/>
      <c r="N1056" s="2591"/>
      <c r="O1056" s="2591"/>
      <c r="P1056" s="2591"/>
      <c r="Q1056" s="2591"/>
      <c r="R1056" s="2591"/>
      <c r="S1056" s="2591"/>
    </row>
    <row r="1057" ht="16.5" spans="1:19">
      <c r="A1057" s="2642"/>
      <c r="B1057" s="2675"/>
      <c r="C1057" s="2676"/>
      <c r="D1057" s="2677"/>
      <c r="E1057" s="2677"/>
      <c r="F1057" s="2677"/>
      <c r="G1057" s="2640"/>
      <c r="H1057" s="2640"/>
      <c r="I1057" s="2702"/>
      <c r="J1057" s="2591"/>
      <c r="K1057" s="2591"/>
      <c r="L1057" s="2591"/>
      <c r="M1057" s="2591"/>
      <c r="N1057" s="2591"/>
      <c r="O1057" s="2591"/>
      <c r="P1057" s="2591"/>
      <c r="Q1057" s="2591"/>
      <c r="R1057" s="2591"/>
      <c r="S1057" s="2591"/>
    </row>
    <row r="1058" ht="16.5" spans="1:19">
      <c r="A1058" s="2642"/>
      <c r="B1058" s="2675"/>
      <c r="C1058" s="2676"/>
      <c r="D1058" s="2677"/>
      <c r="E1058" s="2677"/>
      <c r="F1058" s="2677"/>
      <c r="G1058" s="2640"/>
      <c r="H1058" s="2640"/>
      <c r="I1058" s="2702"/>
      <c r="J1058" s="2591"/>
      <c r="K1058" s="2591"/>
      <c r="L1058" s="2591"/>
      <c r="M1058" s="2591"/>
      <c r="N1058" s="2591"/>
      <c r="O1058" s="2591"/>
      <c r="P1058" s="2591"/>
      <c r="Q1058" s="2591"/>
      <c r="R1058" s="2591"/>
      <c r="S1058" s="2591"/>
    </row>
    <row r="1059" ht="16.5" spans="1:19">
      <c r="A1059" s="2642"/>
      <c r="B1059" s="2675"/>
      <c r="C1059" s="2676"/>
      <c r="D1059" s="2677"/>
      <c r="E1059" s="2677"/>
      <c r="F1059" s="2677"/>
      <c r="G1059" s="2640"/>
      <c r="H1059" s="2640"/>
      <c r="I1059" s="2702"/>
      <c r="J1059" s="2591"/>
      <c r="K1059" s="2591"/>
      <c r="L1059" s="2591"/>
      <c r="M1059" s="2591"/>
      <c r="N1059" s="2591"/>
      <c r="O1059" s="2591"/>
      <c r="P1059" s="2591"/>
      <c r="Q1059" s="2591"/>
      <c r="R1059" s="2591"/>
      <c r="S1059" s="2591"/>
    </row>
    <row r="1060" ht="16.5" spans="1:19">
      <c r="A1060" s="2642"/>
      <c r="B1060" s="2675"/>
      <c r="C1060" s="2676"/>
      <c r="D1060" s="2677"/>
      <c r="E1060" s="2677"/>
      <c r="F1060" s="2677"/>
      <c r="G1060" s="2640"/>
      <c r="H1060" s="2640"/>
      <c r="I1060" s="2702"/>
      <c r="J1060" s="2591"/>
      <c r="K1060" s="2591"/>
      <c r="L1060" s="2591"/>
      <c r="M1060" s="2591"/>
      <c r="N1060" s="2591"/>
      <c r="O1060" s="2591"/>
      <c r="P1060" s="2591"/>
      <c r="Q1060" s="2591"/>
      <c r="R1060" s="2591"/>
      <c r="S1060" s="2591"/>
    </row>
    <row r="1061" ht="16.5" spans="1:19">
      <c r="A1061" s="2642"/>
      <c r="B1061" s="2675"/>
      <c r="C1061" s="2676"/>
      <c r="D1061" s="2677"/>
      <c r="E1061" s="2677"/>
      <c r="F1061" s="2677"/>
      <c r="G1061" s="2640"/>
      <c r="H1061" s="2640"/>
      <c r="I1061" s="2702"/>
      <c r="J1061" s="2591"/>
      <c r="K1061" s="2591"/>
      <c r="L1061" s="2591"/>
      <c r="M1061" s="2591"/>
      <c r="N1061" s="2591"/>
      <c r="O1061" s="2591"/>
      <c r="P1061" s="2591"/>
      <c r="Q1061" s="2591"/>
      <c r="R1061" s="2591"/>
      <c r="S1061" s="2591"/>
    </row>
    <row r="1062" ht="16.5" spans="1:19">
      <c r="A1062" s="2642"/>
      <c r="B1062" s="2675"/>
      <c r="C1062" s="2676"/>
      <c r="D1062" s="2677"/>
      <c r="E1062" s="2677"/>
      <c r="F1062" s="2677"/>
      <c r="G1062" s="2640"/>
      <c r="H1062" s="2640"/>
      <c r="I1062" s="2702"/>
      <c r="J1062" s="2591"/>
      <c r="K1062" s="2591"/>
      <c r="L1062" s="2591"/>
      <c r="M1062" s="2591"/>
      <c r="N1062" s="2591"/>
      <c r="O1062" s="2591"/>
      <c r="P1062" s="2591"/>
      <c r="Q1062" s="2591"/>
      <c r="R1062" s="2591"/>
      <c r="S1062" s="2591"/>
    </row>
    <row r="1063" ht="16.5" spans="1:19">
      <c r="A1063" s="2642"/>
      <c r="B1063" s="2675"/>
      <c r="C1063" s="2676"/>
      <c r="D1063" s="2677"/>
      <c r="E1063" s="2677"/>
      <c r="F1063" s="2677"/>
      <c r="G1063" s="2640"/>
      <c r="H1063" s="2640"/>
      <c r="I1063" s="2702"/>
      <c r="J1063" s="2591"/>
      <c r="K1063" s="2591"/>
      <c r="L1063" s="2591"/>
      <c r="M1063" s="2591"/>
      <c r="N1063" s="2591"/>
      <c r="O1063" s="2591"/>
      <c r="P1063" s="2591"/>
      <c r="Q1063" s="2591"/>
      <c r="R1063" s="2591"/>
      <c r="S1063" s="2591"/>
    </row>
    <row r="1064" ht="16.5" spans="1:19">
      <c r="A1064" s="2642"/>
      <c r="B1064" s="2675"/>
      <c r="C1064" s="2676"/>
      <c r="D1064" s="2677"/>
      <c r="E1064" s="2677"/>
      <c r="F1064" s="2677"/>
      <c r="G1064" s="2640"/>
      <c r="H1064" s="2640"/>
      <c r="I1064" s="2702"/>
      <c r="J1064" s="2591"/>
      <c r="K1064" s="2591"/>
      <c r="L1064" s="2591"/>
      <c r="M1064" s="2591"/>
      <c r="N1064" s="2591"/>
      <c r="O1064" s="2591"/>
      <c r="P1064" s="2591"/>
      <c r="Q1064" s="2591"/>
      <c r="R1064" s="2591"/>
      <c r="S1064" s="2591"/>
    </row>
    <row r="1065" ht="16.5" spans="1:19">
      <c r="A1065" s="2642"/>
      <c r="B1065" s="2675"/>
      <c r="C1065" s="2676"/>
      <c r="D1065" s="2677"/>
      <c r="E1065" s="2677"/>
      <c r="F1065" s="2677"/>
      <c r="G1065" s="2640"/>
      <c r="H1065" s="2640"/>
      <c r="I1065" s="2702"/>
      <c r="J1065" s="2591"/>
      <c r="K1065" s="2591"/>
      <c r="L1065" s="2591"/>
      <c r="M1065" s="2591"/>
      <c r="N1065" s="2591"/>
      <c r="O1065" s="2591"/>
      <c r="P1065" s="2591"/>
      <c r="Q1065" s="2591"/>
      <c r="R1065" s="2591"/>
      <c r="S1065" s="2591"/>
    </row>
    <row r="1066" ht="16.5" spans="1:19">
      <c r="A1066" s="2642"/>
      <c r="B1066" s="2675"/>
      <c r="C1066" s="2676"/>
      <c r="D1066" s="2677"/>
      <c r="E1066" s="2677"/>
      <c r="F1066" s="2677"/>
      <c r="G1066" s="2640"/>
      <c r="H1066" s="2640"/>
      <c r="I1066" s="2702"/>
      <c r="J1066" s="2591"/>
      <c r="K1066" s="2591"/>
      <c r="L1066" s="2591"/>
      <c r="M1066" s="2591"/>
      <c r="N1066" s="2591"/>
      <c r="O1066" s="2591"/>
      <c r="P1066" s="2591"/>
      <c r="Q1066" s="2591"/>
      <c r="R1066" s="2591"/>
      <c r="S1066" s="2591"/>
    </row>
    <row r="1067" ht="16.5" spans="1:19">
      <c r="A1067" s="2642"/>
      <c r="B1067" s="2675"/>
      <c r="C1067" s="2676"/>
      <c r="D1067" s="2677"/>
      <c r="E1067" s="2677"/>
      <c r="F1067" s="2677"/>
      <c r="G1067" s="2640"/>
      <c r="H1067" s="2640"/>
      <c r="I1067" s="2702"/>
      <c r="J1067" s="2591"/>
      <c r="K1067" s="2591"/>
      <c r="L1067" s="2591"/>
      <c r="M1067" s="2591"/>
      <c r="N1067" s="2591"/>
      <c r="O1067" s="2591"/>
      <c r="P1067" s="2591"/>
      <c r="Q1067" s="2591"/>
      <c r="R1067" s="2591"/>
      <c r="S1067" s="2591"/>
    </row>
    <row r="1068" ht="16.5" spans="1:19">
      <c r="A1068" s="2642"/>
      <c r="B1068" s="2675"/>
      <c r="C1068" s="2676"/>
      <c r="D1068" s="2677"/>
      <c r="E1068" s="2677"/>
      <c r="F1068" s="2677"/>
      <c r="G1068" s="2640"/>
      <c r="H1068" s="2640"/>
      <c r="I1068" s="2702"/>
      <c r="J1068" s="2591"/>
      <c r="K1068" s="2591"/>
      <c r="L1068" s="2591"/>
      <c r="M1068" s="2591"/>
      <c r="N1068" s="2591"/>
      <c r="O1068" s="2591"/>
      <c r="P1068" s="2591"/>
      <c r="Q1068" s="2591"/>
      <c r="R1068" s="2591"/>
      <c r="S1068" s="2591"/>
    </row>
    <row r="1069" ht="16.5" spans="1:19">
      <c r="A1069" s="2642"/>
      <c r="B1069" s="2675"/>
      <c r="C1069" s="2676"/>
      <c r="D1069" s="2677"/>
      <c r="E1069" s="2677"/>
      <c r="F1069" s="2677"/>
      <c r="G1069" s="2640"/>
      <c r="H1069" s="2640"/>
      <c r="I1069" s="2702"/>
      <c r="J1069" s="2591"/>
      <c r="K1069" s="2591"/>
      <c r="L1069" s="2591"/>
      <c r="M1069" s="2591"/>
      <c r="N1069" s="2591"/>
      <c r="O1069" s="2591"/>
      <c r="P1069" s="2591"/>
      <c r="Q1069" s="2591"/>
      <c r="R1069" s="2591"/>
      <c r="S1069" s="2591"/>
    </row>
    <row r="1070" ht="16.5" spans="1:19">
      <c r="A1070" s="2642"/>
      <c r="B1070" s="2675"/>
      <c r="C1070" s="2676"/>
      <c r="D1070" s="2677"/>
      <c r="E1070" s="2677"/>
      <c r="F1070" s="2677"/>
      <c r="G1070" s="2640"/>
      <c r="H1070" s="2640"/>
      <c r="I1070" s="2702"/>
      <c r="J1070" s="2591"/>
      <c r="K1070" s="2591"/>
      <c r="L1070" s="2591"/>
      <c r="M1070" s="2591"/>
      <c r="N1070" s="2591"/>
      <c r="O1070" s="2591"/>
      <c r="P1070" s="2591"/>
      <c r="Q1070" s="2591"/>
      <c r="R1070" s="2591"/>
      <c r="S1070" s="2591"/>
    </row>
    <row r="1071" ht="16.5" spans="1:19">
      <c r="A1071" s="2642"/>
      <c r="B1071" s="2675"/>
      <c r="C1071" s="2676"/>
      <c r="D1071" s="2677"/>
      <c r="E1071" s="2677"/>
      <c r="F1071" s="2677"/>
      <c r="G1071" s="2640"/>
      <c r="H1071" s="2640"/>
      <c r="I1071" s="2702"/>
      <c r="J1071" s="2591"/>
      <c r="K1071" s="2591"/>
      <c r="L1071" s="2591"/>
      <c r="M1071" s="2591"/>
      <c r="N1071" s="2591"/>
      <c r="O1071" s="2591"/>
      <c r="P1071" s="2591"/>
      <c r="Q1071" s="2591"/>
      <c r="R1071" s="2591"/>
      <c r="S1071" s="2591"/>
    </row>
    <row r="1072" ht="16.5" spans="1:19">
      <c r="A1072" s="2642"/>
      <c r="B1072" s="2675"/>
      <c r="C1072" s="2676"/>
      <c r="D1072" s="2677"/>
      <c r="E1072" s="2677"/>
      <c r="F1072" s="2677"/>
      <c r="G1072" s="2640"/>
      <c r="H1072" s="2640"/>
      <c r="I1072" s="2702"/>
      <c r="J1072" s="2591"/>
      <c r="K1072" s="2591"/>
      <c r="L1072" s="2591"/>
      <c r="M1072" s="2591"/>
      <c r="N1072" s="2591"/>
      <c r="O1072" s="2591"/>
      <c r="P1072" s="2591"/>
      <c r="Q1072" s="2591"/>
      <c r="R1072" s="2591"/>
      <c r="S1072" s="2591"/>
    </row>
    <row r="1073" ht="16.5" spans="1:19">
      <c r="A1073" s="2642"/>
      <c r="B1073" s="2675"/>
      <c r="C1073" s="2676"/>
      <c r="D1073" s="2677"/>
      <c r="E1073" s="2677"/>
      <c r="F1073" s="2677"/>
      <c r="G1073" s="2640"/>
      <c r="H1073" s="2640"/>
      <c r="I1073" s="2702"/>
      <c r="J1073" s="2591"/>
      <c r="K1073" s="2591"/>
      <c r="L1073" s="2591"/>
      <c r="M1073" s="2591"/>
      <c r="N1073" s="2591"/>
      <c r="O1073" s="2591"/>
      <c r="P1073" s="2591"/>
      <c r="Q1073" s="2591"/>
      <c r="R1073" s="2591"/>
      <c r="S1073" s="2591"/>
    </row>
    <row r="1074" ht="16.5" spans="1:19">
      <c r="A1074" s="2642"/>
      <c r="B1074" s="2675"/>
      <c r="C1074" s="2676"/>
      <c r="D1074" s="2677"/>
      <c r="E1074" s="2677"/>
      <c r="F1074" s="2677"/>
      <c r="G1074" s="2640"/>
      <c r="H1074" s="2640"/>
      <c r="I1074" s="2702"/>
      <c r="J1074" s="2591"/>
      <c r="K1074" s="2591"/>
      <c r="L1074" s="2591"/>
      <c r="M1074" s="2591"/>
      <c r="N1074" s="2591"/>
      <c r="O1074" s="2591"/>
      <c r="P1074" s="2591"/>
      <c r="Q1074" s="2591"/>
      <c r="R1074" s="2591"/>
      <c r="S1074" s="2591"/>
    </row>
    <row r="1075" ht="16.5" spans="1:19">
      <c r="A1075" s="2642"/>
      <c r="B1075" s="2675"/>
      <c r="C1075" s="2676"/>
      <c r="D1075" s="2677"/>
      <c r="E1075" s="2677"/>
      <c r="F1075" s="2677"/>
      <c r="G1075" s="2640"/>
      <c r="H1075" s="2640"/>
      <c r="I1075" s="2702"/>
      <c r="J1075" s="2591"/>
      <c r="K1075" s="2591"/>
      <c r="L1075" s="2591"/>
      <c r="M1075" s="2591"/>
      <c r="N1075" s="2591"/>
      <c r="O1075" s="2591"/>
      <c r="P1075" s="2591"/>
      <c r="Q1075" s="2591"/>
      <c r="R1075" s="2591"/>
      <c r="S1075" s="2591"/>
    </row>
    <row r="1076" ht="16.5" spans="1:19">
      <c r="A1076" s="2642"/>
      <c r="B1076" s="2675"/>
      <c r="C1076" s="2676"/>
      <c r="D1076" s="2677"/>
      <c r="E1076" s="2677"/>
      <c r="F1076" s="2677"/>
      <c r="G1076" s="2640"/>
      <c r="H1076" s="2640"/>
      <c r="I1076" s="2702"/>
      <c r="J1076" s="2591"/>
      <c r="K1076" s="2591"/>
      <c r="L1076" s="2591"/>
      <c r="M1076" s="2591"/>
      <c r="N1076" s="2591"/>
      <c r="O1076" s="2591"/>
      <c r="P1076" s="2591"/>
      <c r="Q1076" s="2591"/>
      <c r="R1076" s="2591"/>
      <c r="S1076" s="2591"/>
    </row>
    <row r="1077" ht="16.5" spans="1:19">
      <c r="A1077" s="2642"/>
      <c r="B1077" s="2675"/>
      <c r="C1077" s="2676"/>
      <c r="D1077" s="2677"/>
      <c r="E1077" s="2677"/>
      <c r="F1077" s="2677"/>
      <c r="G1077" s="2640"/>
      <c r="H1077" s="2640"/>
      <c r="I1077" s="2702"/>
      <c r="J1077" s="2591"/>
      <c r="K1077" s="2591"/>
      <c r="L1077" s="2591"/>
      <c r="M1077" s="2591"/>
      <c r="N1077" s="2591"/>
      <c r="O1077" s="2591"/>
      <c r="P1077" s="2591"/>
      <c r="Q1077" s="2591"/>
      <c r="R1077" s="2591"/>
      <c r="S1077" s="2591"/>
    </row>
    <row r="1078" ht="16.5" spans="1:19">
      <c r="A1078" s="2642"/>
      <c r="B1078" s="2675"/>
      <c r="C1078" s="2676"/>
      <c r="D1078" s="2677"/>
      <c r="E1078" s="2677"/>
      <c r="F1078" s="2677"/>
      <c r="G1078" s="2640"/>
      <c r="H1078" s="2640"/>
      <c r="I1078" s="2702"/>
      <c r="J1078" s="2591"/>
      <c r="K1078" s="2591"/>
      <c r="L1078" s="2591"/>
      <c r="M1078" s="2591"/>
      <c r="N1078" s="2591"/>
      <c r="O1078" s="2591"/>
      <c r="P1078" s="2591"/>
      <c r="Q1078" s="2591"/>
      <c r="R1078" s="2591"/>
      <c r="S1078" s="2591"/>
    </row>
    <row r="1079" ht="16.5" spans="1:19">
      <c r="A1079" s="2642"/>
      <c r="B1079" s="2675"/>
      <c r="C1079" s="2676"/>
      <c r="D1079" s="2677"/>
      <c r="E1079" s="2677"/>
      <c r="F1079" s="2677"/>
      <c r="G1079" s="2640"/>
      <c r="H1079" s="2640"/>
      <c r="I1079" s="2702"/>
      <c r="J1079" s="2591"/>
      <c r="K1079" s="2591"/>
      <c r="L1079" s="2591"/>
      <c r="M1079" s="2591"/>
      <c r="N1079" s="2591"/>
      <c r="O1079" s="2591"/>
      <c r="P1079" s="2591"/>
      <c r="Q1079" s="2591"/>
      <c r="R1079" s="2591"/>
      <c r="S1079" s="2591"/>
    </row>
    <row r="1080" ht="16.5" spans="1:19">
      <c r="A1080" s="2642"/>
      <c r="B1080" s="2675"/>
      <c r="C1080" s="2676"/>
      <c r="D1080" s="2677"/>
      <c r="E1080" s="2677"/>
      <c r="F1080" s="2677"/>
      <c r="G1080" s="2640"/>
      <c r="H1080" s="2640"/>
      <c r="I1080" s="2702"/>
      <c r="J1080" s="2591"/>
      <c r="K1080" s="2591"/>
      <c r="L1080" s="2591"/>
      <c r="M1080" s="2591"/>
      <c r="N1080" s="2591"/>
      <c r="O1080" s="2591"/>
      <c r="P1080" s="2591"/>
      <c r="Q1080" s="2591"/>
      <c r="R1080" s="2591"/>
      <c r="S1080" s="2591"/>
    </row>
    <row r="1081" ht="16.5" spans="1:19">
      <c r="A1081" s="2642"/>
      <c r="B1081" s="2675"/>
      <c r="C1081" s="2676"/>
      <c r="D1081" s="2677"/>
      <c r="E1081" s="2677"/>
      <c r="F1081" s="2677"/>
      <c r="G1081" s="2640"/>
      <c r="H1081" s="2640"/>
      <c r="I1081" s="2702"/>
      <c r="J1081" s="2591"/>
      <c r="K1081" s="2591"/>
      <c r="L1081" s="2591"/>
      <c r="M1081" s="2591"/>
      <c r="N1081" s="2591"/>
      <c r="O1081" s="2591"/>
      <c r="P1081" s="2591"/>
      <c r="Q1081" s="2591"/>
      <c r="R1081" s="2591"/>
      <c r="S1081" s="2591"/>
    </row>
    <row r="1082" ht="16.5" spans="1:19">
      <c r="A1082" s="2642"/>
      <c r="B1082" s="2675"/>
      <c r="C1082" s="2676"/>
      <c r="D1082" s="2677"/>
      <c r="E1082" s="2677"/>
      <c r="F1082" s="2677"/>
      <c r="G1082" s="2640"/>
      <c r="H1082" s="2640"/>
      <c r="I1082" s="2702"/>
      <c r="J1082" s="2591"/>
      <c r="K1082" s="2591"/>
      <c r="L1082" s="2591"/>
      <c r="M1082" s="2591"/>
      <c r="N1082" s="2591"/>
      <c r="O1082" s="2591"/>
      <c r="P1082" s="2591"/>
      <c r="Q1082" s="2591"/>
      <c r="R1082" s="2591"/>
      <c r="S1082" s="2591"/>
    </row>
    <row r="1083" ht="16.5" spans="1:19">
      <c r="A1083" s="2642"/>
      <c r="B1083" s="2675"/>
      <c r="C1083" s="2676"/>
      <c r="D1083" s="2677"/>
      <c r="E1083" s="2677"/>
      <c r="F1083" s="2677"/>
      <c r="G1083" s="2640"/>
      <c r="H1083" s="2640"/>
      <c r="I1083" s="2702"/>
      <c r="J1083" s="2591"/>
      <c r="K1083" s="2591"/>
      <c r="L1083" s="2591"/>
      <c r="M1083" s="2591"/>
      <c r="N1083" s="2591"/>
      <c r="O1083" s="2591"/>
      <c r="P1083" s="2591"/>
      <c r="Q1083" s="2591"/>
      <c r="R1083" s="2591"/>
      <c r="S1083" s="2591"/>
    </row>
    <row r="1084" ht="16.5" spans="1:19">
      <c r="A1084" s="2642"/>
      <c r="B1084" s="2675"/>
      <c r="C1084" s="2676"/>
      <c r="D1084" s="2677"/>
      <c r="E1084" s="2677"/>
      <c r="F1084" s="2677"/>
      <c r="G1084" s="2640"/>
      <c r="H1084" s="2640"/>
      <c r="I1084" s="2702"/>
      <c r="J1084" s="2591"/>
      <c r="K1084" s="2591"/>
      <c r="L1084" s="2591"/>
      <c r="M1084" s="2591"/>
      <c r="N1084" s="2591"/>
      <c r="O1084" s="2591"/>
      <c r="P1084" s="2591"/>
      <c r="Q1084" s="2591"/>
      <c r="R1084" s="2591"/>
      <c r="S1084" s="2591"/>
    </row>
    <row r="1085" ht="16.5" spans="1:19">
      <c r="A1085" s="2642"/>
      <c r="B1085" s="2675"/>
      <c r="C1085" s="2676"/>
      <c r="D1085" s="2677"/>
      <c r="E1085" s="2677"/>
      <c r="F1085" s="2677"/>
      <c r="G1085" s="2640"/>
      <c r="H1085" s="2640"/>
      <c r="I1085" s="2702"/>
      <c r="J1085" s="2591"/>
      <c r="K1085" s="2591"/>
      <c r="L1085" s="2591"/>
      <c r="M1085" s="2591"/>
      <c r="N1085" s="2591"/>
      <c r="O1085" s="2591"/>
      <c r="P1085" s="2591"/>
      <c r="Q1085" s="2591"/>
      <c r="R1085" s="2591"/>
      <c r="S1085" s="2591"/>
    </row>
    <row r="1086" ht="16.5" spans="1:19">
      <c r="A1086" s="2642"/>
      <c r="B1086" s="2675"/>
      <c r="C1086" s="2676"/>
      <c r="D1086" s="2677"/>
      <c r="E1086" s="2677"/>
      <c r="F1086" s="2677"/>
      <c r="G1086" s="2640"/>
      <c r="H1086" s="2640"/>
      <c r="I1086" s="2702"/>
      <c r="J1086" s="2591"/>
      <c r="K1086" s="2591"/>
      <c r="L1086" s="2591"/>
      <c r="M1086" s="2591"/>
      <c r="N1086" s="2591"/>
      <c r="O1086" s="2591"/>
      <c r="P1086" s="2591"/>
      <c r="Q1086" s="2591"/>
      <c r="R1086" s="2591"/>
      <c r="S1086" s="2591"/>
    </row>
    <row r="1087" ht="16.5" spans="1:19">
      <c r="A1087" s="2642"/>
      <c r="B1087" s="2675"/>
      <c r="C1087" s="2676"/>
      <c r="D1087" s="2677"/>
      <c r="E1087" s="2677"/>
      <c r="F1087" s="2677"/>
      <c r="G1087" s="2640"/>
      <c r="H1087" s="2640"/>
      <c r="I1087" s="2702"/>
      <c r="J1087" s="2591"/>
      <c r="K1087" s="2591"/>
      <c r="L1087" s="2591"/>
      <c r="M1087" s="2591"/>
      <c r="N1087" s="2591"/>
      <c r="O1087" s="2591"/>
      <c r="P1087" s="2591"/>
      <c r="Q1087" s="2591"/>
      <c r="R1087" s="2591"/>
      <c r="S1087" s="2591"/>
    </row>
    <row r="1088" ht="16.5" spans="1:19">
      <c r="A1088" s="2642"/>
      <c r="B1088" s="2675"/>
      <c r="C1088" s="2676"/>
      <c r="D1088" s="2677"/>
      <c r="E1088" s="2677"/>
      <c r="F1088" s="2677"/>
      <c r="G1088" s="2640"/>
      <c r="H1088" s="2640"/>
      <c r="I1088" s="2702"/>
      <c r="J1088" s="2591"/>
      <c r="K1088" s="2591"/>
      <c r="L1088" s="2591"/>
      <c r="M1088" s="2591"/>
      <c r="N1088" s="2591"/>
      <c r="O1088" s="2591"/>
      <c r="P1088" s="2591"/>
      <c r="Q1088" s="2591"/>
      <c r="R1088" s="2591"/>
      <c r="S1088" s="2591"/>
    </row>
    <row r="1089" ht="16.5" spans="1:19">
      <c r="A1089" s="2642"/>
      <c r="B1089" s="2675"/>
      <c r="C1089" s="2676"/>
      <c r="D1089" s="2677"/>
      <c r="E1089" s="2677"/>
      <c r="F1089" s="2677"/>
      <c r="G1089" s="2640"/>
      <c r="H1089" s="2640"/>
      <c r="I1089" s="2702"/>
      <c r="J1089" s="2591"/>
      <c r="K1089" s="2591"/>
      <c r="L1089" s="2591"/>
      <c r="M1089" s="2591"/>
      <c r="N1089" s="2591"/>
      <c r="O1089" s="2591"/>
      <c r="P1089" s="2591"/>
      <c r="Q1089" s="2591"/>
      <c r="R1089" s="2591"/>
      <c r="S1089" s="2591"/>
    </row>
    <row r="1090" ht="16.5" spans="1:19">
      <c r="A1090" s="2642"/>
      <c r="B1090" s="2675"/>
      <c r="C1090" s="2676"/>
      <c r="D1090" s="2677"/>
      <c r="E1090" s="2677"/>
      <c r="F1090" s="2677"/>
      <c r="G1090" s="2640"/>
      <c r="H1090" s="2640"/>
      <c r="I1090" s="2702"/>
      <c r="J1090" s="2591"/>
      <c r="K1090" s="2591"/>
      <c r="L1090" s="2591"/>
      <c r="M1090" s="2591"/>
      <c r="N1090" s="2591"/>
      <c r="O1090" s="2591"/>
      <c r="P1090" s="2591"/>
      <c r="Q1090" s="2591"/>
      <c r="R1090" s="2591"/>
      <c r="S1090" s="2591"/>
    </row>
    <row r="1091" ht="16.5" spans="1:19">
      <c r="A1091" s="2642"/>
      <c r="B1091" s="2675"/>
      <c r="C1091" s="2676"/>
      <c r="D1091" s="2677"/>
      <c r="E1091" s="2677"/>
      <c r="F1091" s="2677"/>
      <c r="G1091" s="2640"/>
      <c r="H1091" s="2640"/>
      <c r="I1091" s="2702"/>
      <c r="J1091" s="2591"/>
      <c r="K1091" s="2591"/>
      <c r="L1091" s="2591"/>
      <c r="M1091" s="2591"/>
      <c r="N1091" s="2591"/>
      <c r="O1091" s="2591"/>
      <c r="P1091" s="2591"/>
      <c r="Q1091" s="2591"/>
      <c r="R1091" s="2591"/>
      <c r="S1091" s="2591"/>
    </row>
    <row r="1092" ht="16.5" spans="1:19">
      <c r="A1092" s="2642"/>
      <c r="B1092" s="2675"/>
      <c r="C1092" s="2676"/>
      <c r="D1092" s="2677"/>
      <c r="E1092" s="2677"/>
      <c r="F1092" s="2677"/>
      <c r="G1092" s="2640"/>
      <c r="H1092" s="2640"/>
      <c r="I1092" s="2702"/>
      <c r="J1092" s="2591"/>
      <c r="K1092" s="2591"/>
      <c r="L1092" s="2591"/>
      <c r="M1092" s="2591"/>
      <c r="N1092" s="2591"/>
      <c r="O1092" s="2591"/>
      <c r="P1092" s="2591"/>
      <c r="Q1092" s="2591"/>
      <c r="R1092" s="2591"/>
      <c r="S1092" s="2591"/>
    </row>
    <row r="1093" ht="16.5" spans="1:19">
      <c r="A1093" s="2642"/>
      <c r="B1093" s="2675"/>
      <c r="C1093" s="2676"/>
      <c r="D1093" s="2677"/>
      <c r="E1093" s="2677"/>
      <c r="F1093" s="2677"/>
      <c r="G1093" s="2640"/>
      <c r="H1093" s="2640"/>
      <c r="I1093" s="2702"/>
      <c r="J1093" s="2591"/>
      <c r="K1093" s="2591"/>
      <c r="L1093" s="2591"/>
      <c r="M1093" s="2591"/>
      <c r="N1093" s="2591"/>
      <c r="O1093" s="2591"/>
      <c r="P1093" s="2591"/>
      <c r="Q1093" s="2591"/>
      <c r="R1093" s="2591"/>
      <c r="S1093" s="2591"/>
    </row>
    <row r="1094" ht="16.5" spans="1:19">
      <c r="A1094" s="2642"/>
      <c r="B1094" s="2675"/>
      <c r="C1094" s="2676"/>
      <c r="D1094" s="2677"/>
      <c r="E1094" s="2677"/>
      <c r="F1094" s="2677"/>
      <c r="G1094" s="2640"/>
      <c r="H1094" s="2640"/>
      <c r="I1094" s="2702"/>
      <c r="J1094" s="2591"/>
      <c r="K1094" s="2591"/>
      <c r="L1094" s="2591"/>
      <c r="M1094" s="2591"/>
      <c r="N1094" s="2591"/>
      <c r="O1094" s="2591"/>
      <c r="P1094" s="2591"/>
      <c r="Q1094" s="2591"/>
      <c r="R1094" s="2591"/>
      <c r="S1094" s="2591"/>
    </row>
    <row r="1095" ht="16.5" spans="1:19">
      <c r="A1095" s="2642"/>
      <c r="B1095" s="2675"/>
      <c r="C1095" s="2676"/>
      <c r="D1095" s="2677"/>
      <c r="E1095" s="2677"/>
      <c r="F1095" s="2677"/>
      <c r="G1095" s="2640"/>
      <c r="H1095" s="2640"/>
      <c r="I1095" s="2702"/>
      <c r="J1095" s="2591"/>
      <c r="K1095" s="2591"/>
      <c r="L1095" s="2591"/>
      <c r="M1095" s="2591"/>
      <c r="N1095" s="2591"/>
      <c r="O1095" s="2591"/>
      <c r="P1095" s="2591"/>
      <c r="Q1095" s="2591"/>
      <c r="R1095" s="2591"/>
      <c r="S1095" s="2591"/>
    </row>
    <row r="1096" ht="16.5" spans="1:19">
      <c r="A1096" s="2642"/>
      <c r="B1096" s="2675"/>
      <c r="C1096" s="2676"/>
      <c r="D1096" s="2677"/>
      <c r="E1096" s="2677"/>
      <c r="F1096" s="2677"/>
      <c r="G1096" s="2640"/>
      <c r="H1096" s="2640"/>
      <c r="I1096" s="2702"/>
      <c r="J1096" s="2591"/>
      <c r="K1096" s="2591"/>
      <c r="L1096" s="2591"/>
      <c r="M1096" s="2591"/>
      <c r="N1096" s="2591"/>
      <c r="O1096" s="2591"/>
      <c r="P1096" s="2591"/>
      <c r="Q1096" s="2591"/>
      <c r="R1096" s="2591"/>
      <c r="S1096" s="2591"/>
    </row>
    <row r="1097" ht="16.5" spans="1:19">
      <c r="A1097" s="2642"/>
      <c r="B1097" s="2675"/>
      <c r="C1097" s="2676"/>
      <c r="D1097" s="2677"/>
      <c r="E1097" s="2677"/>
      <c r="F1097" s="2677"/>
      <c r="G1097" s="2640"/>
      <c r="H1097" s="2640"/>
      <c r="I1097" s="2702"/>
      <c r="J1097" s="2591"/>
      <c r="K1097" s="2591"/>
      <c r="L1097" s="2591"/>
      <c r="M1097" s="2591"/>
      <c r="N1097" s="2591"/>
      <c r="O1097" s="2591"/>
      <c r="P1097" s="2591"/>
      <c r="Q1097" s="2591"/>
      <c r="R1097" s="2591"/>
      <c r="S1097" s="2591"/>
    </row>
    <row r="1098" ht="16.5" spans="1:19">
      <c r="A1098" s="2642"/>
      <c r="B1098" s="2675"/>
      <c r="C1098" s="2676"/>
      <c r="D1098" s="2677"/>
      <c r="E1098" s="2677"/>
      <c r="F1098" s="2677"/>
      <c r="G1098" s="2640"/>
      <c r="H1098" s="2640"/>
      <c r="I1098" s="2702"/>
      <c r="J1098" s="2591"/>
      <c r="K1098" s="2591"/>
      <c r="L1098" s="2591"/>
      <c r="M1098" s="2591"/>
      <c r="N1098" s="2591"/>
      <c r="O1098" s="2591"/>
      <c r="P1098" s="2591"/>
      <c r="Q1098" s="2591"/>
      <c r="R1098" s="2591"/>
      <c r="S1098" s="2591"/>
    </row>
    <row r="1099" ht="16.5" spans="1:19">
      <c r="A1099" s="2642"/>
      <c r="B1099" s="2675"/>
      <c r="C1099" s="2676"/>
      <c r="D1099" s="2677"/>
      <c r="E1099" s="2677"/>
      <c r="F1099" s="2677"/>
      <c r="G1099" s="2640"/>
      <c r="H1099" s="2640"/>
      <c r="I1099" s="2702"/>
      <c r="J1099" s="2591"/>
      <c r="K1099" s="2591"/>
      <c r="L1099" s="2591"/>
      <c r="M1099" s="2591"/>
      <c r="N1099" s="2591"/>
      <c r="O1099" s="2591"/>
      <c r="P1099" s="2591"/>
      <c r="Q1099" s="2591"/>
      <c r="R1099" s="2591"/>
      <c r="S1099" s="2591"/>
    </row>
    <row r="1100" ht="16.5" spans="1:19">
      <c r="A1100" s="2642"/>
      <c r="B1100" s="2675"/>
      <c r="C1100" s="2676"/>
      <c r="D1100" s="2677"/>
      <c r="E1100" s="2677"/>
      <c r="F1100" s="2677"/>
      <c r="G1100" s="2640"/>
      <c r="H1100" s="2640"/>
      <c r="I1100" s="2702"/>
      <c r="J1100" s="2591"/>
      <c r="K1100" s="2591"/>
      <c r="L1100" s="2591"/>
      <c r="M1100" s="2591"/>
      <c r="N1100" s="2591"/>
      <c r="O1100" s="2591"/>
      <c r="P1100" s="2591"/>
      <c r="Q1100" s="2591"/>
      <c r="R1100" s="2591"/>
      <c r="S1100" s="2591"/>
    </row>
    <row r="1101" ht="16.5" spans="1:19">
      <c r="A1101" s="2642"/>
      <c r="B1101" s="2675"/>
      <c r="C1101" s="2676"/>
      <c r="D1101" s="2677"/>
      <c r="E1101" s="2677"/>
      <c r="F1101" s="2677"/>
      <c r="G1101" s="2640"/>
      <c r="H1101" s="2640"/>
      <c r="I1101" s="2702"/>
      <c r="J1101" s="2591"/>
      <c r="K1101" s="2591"/>
      <c r="L1101" s="2591"/>
      <c r="M1101" s="2591"/>
      <c r="N1101" s="2591"/>
      <c r="O1101" s="2591"/>
      <c r="P1101" s="2591"/>
      <c r="Q1101" s="2591"/>
      <c r="R1101" s="2591"/>
      <c r="S1101" s="2591"/>
    </row>
    <row r="1102" ht="16.5" spans="1:19">
      <c r="A1102" s="2642"/>
      <c r="B1102" s="2675"/>
      <c r="C1102" s="2676"/>
      <c r="D1102" s="2677"/>
      <c r="E1102" s="2677"/>
      <c r="F1102" s="2677"/>
      <c r="G1102" s="2640"/>
      <c r="H1102" s="2640"/>
      <c r="I1102" s="2702"/>
      <c r="J1102" s="2591"/>
      <c r="K1102" s="2591"/>
      <c r="L1102" s="2591"/>
      <c r="M1102" s="2591"/>
      <c r="N1102" s="2591"/>
      <c r="O1102" s="2591"/>
      <c r="P1102" s="2591"/>
      <c r="Q1102" s="2591"/>
      <c r="R1102" s="2591"/>
      <c r="S1102" s="2591"/>
    </row>
    <row r="1103" ht="16.5" spans="1:19">
      <c r="A1103" s="2642"/>
      <c r="B1103" s="2675"/>
      <c r="C1103" s="2676"/>
      <c r="D1103" s="2677"/>
      <c r="E1103" s="2677"/>
      <c r="F1103" s="2677"/>
      <c r="G1103" s="2640"/>
      <c r="H1103" s="2640"/>
      <c r="I1103" s="2702"/>
      <c r="J1103" s="2591"/>
      <c r="K1103" s="2591"/>
      <c r="L1103" s="2591"/>
      <c r="M1103" s="2591"/>
      <c r="N1103" s="2591"/>
      <c r="O1103" s="2591"/>
      <c r="P1103" s="2591"/>
      <c r="Q1103" s="2591"/>
      <c r="R1103" s="2591"/>
      <c r="S1103" s="2591"/>
    </row>
    <row r="1104" ht="16.5" spans="1:19">
      <c r="A1104" s="2642"/>
      <c r="B1104" s="2675"/>
      <c r="C1104" s="2676"/>
      <c r="D1104" s="2677"/>
      <c r="E1104" s="2677"/>
      <c r="F1104" s="2677"/>
      <c r="G1104" s="2640"/>
      <c r="H1104" s="2640"/>
      <c r="I1104" s="2702"/>
      <c r="J1104" s="2591"/>
      <c r="K1104" s="2591"/>
      <c r="L1104" s="2591"/>
      <c r="M1104" s="2591"/>
      <c r="N1104" s="2591"/>
      <c r="O1104" s="2591"/>
      <c r="P1104" s="2591"/>
      <c r="Q1104" s="2591"/>
      <c r="R1104" s="2591"/>
      <c r="S1104" s="2591"/>
    </row>
    <row r="1105" ht="16.5" spans="1:19">
      <c r="A1105" s="2642"/>
      <c r="B1105" s="2675"/>
      <c r="C1105" s="2676"/>
      <c r="D1105" s="2677"/>
      <c r="E1105" s="2677"/>
      <c r="F1105" s="2677"/>
      <c r="G1105" s="2640"/>
      <c r="H1105" s="2640"/>
      <c r="I1105" s="2702"/>
      <c r="J1105" s="2591"/>
      <c r="K1105" s="2591"/>
      <c r="L1105" s="2591"/>
      <c r="M1105" s="2591"/>
      <c r="N1105" s="2591"/>
      <c r="O1105" s="2591"/>
      <c r="P1105" s="2591"/>
      <c r="Q1105" s="2591"/>
      <c r="R1105" s="2591"/>
      <c r="S1105" s="2591"/>
    </row>
    <row r="1106" ht="16.5" spans="1:19">
      <c r="A1106" s="2642"/>
      <c r="B1106" s="2675"/>
      <c r="C1106" s="2676"/>
      <c r="D1106" s="2677"/>
      <c r="E1106" s="2677"/>
      <c r="F1106" s="2677"/>
      <c r="G1106" s="2640"/>
      <c r="H1106" s="2640"/>
      <c r="I1106" s="2702"/>
      <c r="J1106" s="2591"/>
      <c r="K1106" s="2591"/>
      <c r="L1106" s="2591"/>
      <c r="M1106" s="2591"/>
      <c r="N1106" s="2591"/>
      <c r="O1106" s="2591"/>
      <c r="P1106" s="2591"/>
      <c r="Q1106" s="2591"/>
      <c r="R1106" s="2591"/>
      <c r="S1106" s="2591"/>
    </row>
    <row r="1107" ht="16.5" spans="1:19">
      <c r="A1107" s="2642"/>
      <c r="B1107" s="2675"/>
      <c r="C1107" s="2676"/>
      <c r="D1107" s="2677"/>
      <c r="E1107" s="2677"/>
      <c r="F1107" s="2677"/>
      <c r="G1107" s="2640"/>
      <c r="H1107" s="2640"/>
      <c r="I1107" s="2702"/>
      <c r="J1107" s="2591"/>
      <c r="K1107" s="2591"/>
      <c r="L1107" s="2591"/>
      <c r="M1107" s="2591"/>
      <c r="N1107" s="2591"/>
      <c r="O1107" s="2591"/>
      <c r="P1107" s="2591"/>
      <c r="Q1107" s="2591"/>
      <c r="R1107" s="2591"/>
      <c r="S1107" s="2591"/>
    </row>
    <row r="1108" ht="16.5" spans="1:19">
      <c r="A1108" s="2642"/>
      <c r="B1108" s="2675"/>
      <c r="C1108" s="2676"/>
      <c r="D1108" s="2677"/>
      <c r="E1108" s="2677"/>
      <c r="F1108" s="2677"/>
      <c r="G1108" s="2640"/>
      <c r="H1108" s="2640"/>
      <c r="I1108" s="2702"/>
      <c r="J1108" s="2591"/>
      <c r="K1108" s="2591"/>
      <c r="L1108" s="2591"/>
      <c r="M1108" s="2591"/>
      <c r="N1108" s="2591"/>
      <c r="O1108" s="2591"/>
      <c r="P1108" s="2591"/>
      <c r="Q1108" s="2591"/>
      <c r="R1108" s="2591"/>
      <c r="S1108" s="2591"/>
    </row>
    <row r="1109" ht="16.5" spans="1:19">
      <c r="A1109" s="2642"/>
      <c r="B1109" s="2675"/>
      <c r="C1109" s="2676"/>
      <c r="D1109" s="2677"/>
      <c r="E1109" s="2677"/>
      <c r="F1109" s="2677"/>
      <c r="G1109" s="2640"/>
      <c r="H1109" s="2640"/>
      <c r="I1109" s="2702"/>
      <c r="J1109" s="2591"/>
      <c r="K1109" s="2591"/>
      <c r="L1109" s="2591"/>
      <c r="M1109" s="2591"/>
      <c r="N1109" s="2591"/>
      <c r="O1109" s="2591"/>
      <c r="P1109" s="2591"/>
      <c r="Q1109" s="2591"/>
      <c r="R1109" s="2591"/>
      <c r="S1109" s="2591"/>
    </row>
    <row r="1110" ht="16.5" spans="1:19">
      <c r="A1110" s="2642"/>
      <c r="B1110" s="2675"/>
      <c r="C1110" s="2676"/>
      <c r="D1110" s="2677"/>
      <c r="E1110" s="2677"/>
      <c r="F1110" s="2677"/>
      <c r="G1110" s="2640"/>
      <c r="H1110" s="2640"/>
      <c r="I1110" s="2702"/>
      <c r="J1110" s="2591"/>
      <c r="K1110" s="2591"/>
      <c r="L1110" s="2591"/>
      <c r="M1110" s="2591"/>
      <c r="N1110" s="2591"/>
      <c r="O1110" s="2591"/>
      <c r="P1110" s="2591"/>
      <c r="Q1110" s="2591"/>
      <c r="R1110" s="2591"/>
      <c r="S1110" s="2591"/>
    </row>
    <row r="1111" ht="16.5" spans="1:19">
      <c r="A1111" s="2642"/>
      <c r="B1111" s="2675"/>
      <c r="C1111" s="2676"/>
      <c r="D1111" s="2677"/>
      <c r="E1111" s="2677"/>
      <c r="F1111" s="2677"/>
      <c r="G1111" s="2640"/>
      <c r="H1111" s="2640"/>
      <c r="I1111" s="2702"/>
      <c r="J1111" s="2591"/>
      <c r="K1111" s="2591"/>
      <c r="L1111" s="2591"/>
      <c r="M1111" s="2591"/>
      <c r="N1111" s="2591"/>
      <c r="O1111" s="2591"/>
      <c r="P1111" s="2591"/>
      <c r="Q1111" s="2591"/>
      <c r="R1111" s="2591"/>
      <c r="S1111" s="2591"/>
    </row>
    <row r="1112" ht="16.5" spans="1:19">
      <c r="A1112" s="2642"/>
      <c r="B1112" s="2675"/>
      <c r="C1112" s="2676"/>
      <c r="D1112" s="2677"/>
      <c r="E1112" s="2677"/>
      <c r="F1112" s="2677"/>
      <c r="G1112" s="2640"/>
      <c r="H1112" s="2640"/>
      <c r="I1112" s="2702"/>
      <c r="J1112" s="2591"/>
      <c r="K1112" s="2591"/>
      <c r="L1112" s="2591"/>
      <c r="M1112" s="2591"/>
      <c r="N1112" s="2591"/>
      <c r="O1112" s="2591"/>
      <c r="P1112" s="2591"/>
      <c r="Q1112" s="2591"/>
      <c r="R1112" s="2591"/>
      <c r="S1112" s="2591"/>
    </row>
    <row r="1113" ht="16.5" spans="1:19">
      <c r="A1113" s="2642"/>
      <c r="B1113" s="2675"/>
      <c r="C1113" s="2676"/>
      <c r="D1113" s="2677"/>
      <c r="E1113" s="2677"/>
      <c r="F1113" s="2677"/>
      <c r="G1113" s="2640"/>
      <c r="H1113" s="2640"/>
      <c r="I1113" s="2702"/>
      <c r="J1113" s="2591"/>
      <c r="K1113" s="2591"/>
      <c r="L1113" s="2591"/>
      <c r="M1113" s="2591"/>
      <c r="N1113" s="2591"/>
      <c r="O1113" s="2591"/>
      <c r="P1113" s="2591"/>
      <c r="Q1113" s="2591"/>
      <c r="R1113" s="2591"/>
      <c r="S1113" s="2591"/>
    </row>
    <row r="1114" ht="16.5" spans="1:19">
      <c r="A1114" s="2642"/>
      <c r="B1114" s="2675"/>
      <c r="C1114" s="2676"/>
      <c r="D1114" s="2677"/>
      <c r="E1114" s="2677"/>
      <c r="F1114" s="2677"/>
      <c r="G1114" s="2640"/>
      <c r="H1114" s="2640"/>
      <c r="I1114" s="2702"/>
      <c r="J1114" s="2591"/>
      <c r="K1114" s="2591"/>
      <c r="L1114" s="2591"/>
      <c r="M1114" s="2591"/>
      <c r="N1114" s="2591"/>
      <c r="O1114" s="2591"/>
      <c r="P1114" s="2591"/>
      <c r="Q1114" s="2591"/>
      <c r="R1114" s="2591"/>
      <c r="S1114" s="2591"/>
    </row>
    <row r="1115" ht="16.5" spans="1:19">
      <c r="A1115" s="2642"/>
      <c r="B1115" s="2675"/>
      <c r="C1115" s="2676"/>
      <c r="D1115" s="2677"/>
      <c r="E1115" s="2677"/>
      <c r="F1115" s="2677"/>
      <c r="G1115" s="2640"/>
      <c r="H1115" s="2640"/>
      <c r="I1115" s="2702"/>
      <c r="J1115" s="2591"/>
      <c r="K1115" s="2591"/>
      <c r="L1115" s="2591"/>
      <c r="M1115" s="2591"/>
      <c r="N1115" s="2591"/>
      <c r="O1115" s="2591"/>
      <c r="P1115" s="2591"/>
      <c r="Q1115" s="2591"/>
      <c r="R1115" s="2591"/>
      <c r="S1115" s="2591"/>
    </row>
    <row r="1116" ht="16.5" spans="1:19">
      <c r="A1116" s="2642"/>
      <c r="B1116" s="2675"/>
      <c r="C1116" s="2676"/>
      <c r="D1116" s="2677"/>
      <c r="E1116" s="2677"/>
      <c r="F1116" s="2677"/>
      <c r="G1116" s="2640"/>
      <c r="H1116" s="2640"/>
      <c r="I1116" s="2702"/>
      <c r="J1116" s="2591"/>
      <c r="K1116" s="2591"/>
      <c r="L1116" s="2591"/>
      <c r="M1116" s="2591"/>
      <c r="N1116" s="2591"/>
      <c r="O1116" s="2591"/>
      <c r="P1116" s="2591"/>
      <c r="Q1116" s="2591"/>
      <c r="R1116" s="2591"/>
      <c r="S1116" s="2591"/>
    </row>
    <row r="1117" ht="16.5" spans="1:19">
      <c r="A1117" s="2642"/>
      <c r="B1117" s="2675"/>
      <c r="C1117" s="2676"/>
      <c r="D1117" s="2677"/>
      <c r="E1117" s="2677"/>
      <c r="F1117" s="2677"/>
      <c r="G1117" s="2640"/>
      <c r="H1117" s="2640"/>
      <c r="I1117" s="2702"/>
      <c r="J1117" s="2591"/>
      <c r="K1117" s="2591"/>
      <c r="L1117" s="2591"/>
      <c r="M1117" s="2591"/>
      <c r="N1117" s="2591"/>
      <c r="O1117" s="2591"/>
      <c r="P1117" s="2591"/>
      <c r="Q1117" s="2591"/>
      <c r="R1117" s="2591"/>
      <c r="S1117" s="2591"/>
    </row>
    <row r="1118" ht="16.5" spans="1:19">
      <c r="A1118" s="2642"/>
      <c r="B1118" s="2675"/>
      <c r="C1118" s="2676"/>
      <c r="D1118" s="2677"/>
      <c r="E1118" s="2677"/>
      <c r="F1118" s="2677"/>
      <c r="G1118" s="2640"/>
      <c r="H1118" s="2640"/>
      <c r="I1118" s="2702"/>
      <c r="J1118" s="2591"/>
      <c r="K1118" s="2591"/>
      <c r="L1118" s="2591"/>
      <c r="M1118" s="2591"/>
      <c r="N1118" s="2591"/>
      <c r="O1118" s="2591"/>
      <c r="P1118" s="2591"/>
      <c r="Q1118" s="2591"/>
      <c r="R1118" s="2591"/>
      <c r="S1118" s="2591"/>
    </row>
    <row r="1119" ht="16.5" spans="1:19">
      <c r="A1119" s="2642"/>
      <c r="B1119" s="2675"/>
      <c r="C1119" s="2676"/>
      <c r="D1119" s="2677"/>
      <c r="E1119" s="2677"/>
      <c r="F1119" s="2677"/>
      <c r="G1119" s="2640"/>
      <c r="H1119" s="2640"/>
      <c r="I1119" s="2702"/>
      <c r="J1119" s="2591"/>
      <c r="K1119" s="2591"/>
      <c r="L1119" s="2591"/>
      <c r="M1119" s="2591"/>
      <c r="N1119" s="2591"/>
      <c r="O1119" s="2591"/>
      <c r="P1119" s="2591"/>
      <c r="Q1119" s="2591"/>
      <c r="R1119" s="2591"/>
      <c r="S1119" s="2591"/>
    </row>
    <row r="1120" ht="16.5" spans="1:19">
      <c r="A1120" s="2642"/>
      <c r="B1120" s="2675"/>
      <c r="C1120" s="2676"/>
      <c r="D1120" s="2677"/>
      <c r="E1120" s="2677"/>
      <c r="F1120" s="2677"/>
      <c r="G1120" s="2640"/>
      <c r="H1120" s="2640"/>
      <c r="I1120" s="2702"/>
      <c r="J1120" s="2591"/>
      <c r="K1120" s="2591"/>
      <c r="L1120" s="2591"/>
      <c r="M1120" s="2591"/>
      <c r="N1120" s="2591"/>
      <c r="O1120" s="2591"/>
      <c r="P1120" s="2591"/>
      <c r="Q1120" s="2591"/>
      <c r="R1120" s="2591"/>
      <c r="S1120" s="2591"/>
    </row>
    <row r="1121" ht="16.5" spans="1:19">
      <c r="A1121" s="2642"/>
      <c r="B1121" s="2675"/>
      <c r="C1121" s="2676"/>
      <c r="D1121" s="2677"/>
      <c r="E1121" s="2677"/>
      <c r="F1121" s="2677"/>
      <c r="G1121" s="2640"/>
      <c r="H1121" s="2640"/>
      <c r="I1121" s="2702"/>
      <c r="J1121" s="2591"/>
      <c r="K1121" s="2591"/>
      <c r="L1121" s="2591"/>
      <c r="M1121" s="2591"/>
      <c r="N1121" s="2591"/>
      <c r="O1121" s="2591"/>
      <c r="P1121" s="2591"/>
      <c r="Q1121" s="2591"/>
      <c r="R1121" s="2591"/>
      <c r="S1121" s="2591"/>
    </row>
    <row r="1122" ht="16.5" spans="1:19">
      <c r="A1122" s="2642"/>
      <c r="B1122" s="2675"/>
      <c r="C1122" s="2676"/>
      <c r="D1122" s="2677"/>
      <c r="E1122" s="2677"/>
      <c r="F1122" s="2677"/>
      <c r="G1122" s="2640"/>
      <c r="H1122" s="2640"/>
      <c r="I1122" s="2702"/>
      <c r="J1122" s="2591"/>
      <c r="K1122" s="2591"/>
      <c r="L1122" s="2591"/>
      <c r="M1122" s="2591"/>
      <c r="N1122" s="2591"/>
      <c r="O1122" s="2591"/>
      <c r="P1122" s="2591"/>
      <c r="Q1122" s="2591"/>
      <c r="R1122" s="2591"/>
      <c r="S1122" s="2591"/>
    </row>
    <row r="1123" ht="16.5" spans="1:19">
      <c r="A1123" s="2642"/>
      <c r="B1123" s="2675"/>
      <c r="C1123" s="2676"/>
      <c r="D1123" s="2677"/>
      <c r="E1123" s="2677"/>
      <c r="F1123" s="2677"/>
      <c r="G1123" s="2640"/>
      <c r="H1123" s="2640"/>
      <c r="I1123" s="2702"/>
      <c r="J1123" s="2591"/>
      <c r="K1123" s="2591"/>
      <c r="L1123" s="2591"/>
      <c r="M1123" s="2591"/>
      <c r="N1123" s="2591"/>
      <c r="O1123" s="2591"/>
      <c r="P1123" s="2591"/>
      <c r="Q1123" s="2591"/>
      <c r="R1123" s="2591"/>
      <c r="S1123" s="2591"/>
    </row>
    <row r="1124" ht="16.5" spans="1:19">
      <c r="A1124" s="2642"/>
      <c r="B1124" s="2675"/>
      <c r="C1124" s="2676"/>
      <c r="D1124" s="2677"/>
      <c r="E1124" s="2677"/>
      <c r="F1124" s="2677"/>
      <c r="G1124" s="2640"/>
      <c r="H1124" s="2640"/>
      <c r="I1124" s="2702"/>
      <c r="J1124" s="2591"/>
      <c r="K1124" s="2591"/>
      <c r="L1124" s="2591"/>
      <c r="M1124" s="2591"/>
      <c r="N1124" s="2591"/>
      <c r="O1124" s="2591"/>
      <c r="P1124" s="2591"/>
      <c r="Q1124" s="2591"/>
      <c r="R1124" s="2591"/>
      <c r="S1124" s="2591"/>
    </row>
    <row r="1125" ht="16.5" spans="1:19">
      <c r="A1125" s="2642"/>
      <c r="B1125" s="2675"/>
      <c r="C1125" s="2676"/>
      <c r="D1125" s="2677"/>
      <c r="E1125" s="2677"/>
      <c r="F1125" s="2677"/>
      <c r="G1125" s="2640"/>
      <c r="H1125" s="2640"/>
      <c r="I1125" s="2702"/>
      <c r="J1125" s="2591"/>
      <c r="K1125" s="2591"/>
      <c r="L1125" s="2591"/>
      <c r="M1125" s="2591"/>
      <c r="N1125" s="2591"/>
      <c r="O1125" s="2591"/>
      <c r="P1125" s="2591"/>
      <c r="Q1125" s="2591"/>
      <c r="R1125" s="2591"/>
      <c r="S1125" s="2591"/>
    </row>
    <row r="1126" ht="16.5" spans="1:19">
      <c r="A1126" s="2642"/>
      <c r="B1126" s="2675"/>
      <c r="C1126" s="2676"/>
      <c r="D1126" s="2677"/>
      <c r="E1126" s="2677"/>
      <c r="F1126" s="2677"/>
      <c r="G1126" s="2640"/>
      <c r="H1126" s="2640"/>
      <c r="I1126" s="2702"/>
      <c r="J1126" s="2591"/>
      <c r="K1126" s="2591"/>
      <c r="L1126" s="2591"/>
      <c r="M1126" s="2591"/>
      <c r="N1126" s="2591"/>
      <c r="O1126" s="2591"/>
      <c r="P1126" s="2591"/>
      <c r="Q1126" s="2591"/>
      <c r="R1126" s="2591"/>
      <c r="S1126" s="2591"/>
    </row>
    <row r="1127" ht="16.5" spans="1:19">
      <c r="A1127" s="2642"/>
      <c r="B1127" s="2675"/>
      <c r="C1127" s="2676"/>
      <c r="D1127" s="2677"/>
      <c r="E1127" s="2677"/>
      <c r="F1127" s="2677"/>
      <c r="G1127" s="2640"/>
      <c r="H1127" s="2640"/>
      <c r="I1127" s="2702"/>
      <c r="J1127" s="2591"/>
      <c r="K1127" s="2591"/>
      <c r="L1127" s="2591"/>
      <c r="M1127" s="2591"/>
      <c r="N1127" s="2591"/>
      <c r="O1127" s="2591"/>
      <c r="P1127" s="2591"/>
      <c r="Q1127" s="2591"/>
      <c r="R1127" s="2591"/>
      <c r="S1127" s="2591"/>
    </row>
    <row r="1128" ht="16.5" spans="1:19">
      <c r="A1128" s="2642"/>
      <c r="B1128" s="2675"/>
      <c r="C1128" s="2676"/>
      <c r="D1128" s="2677"/>
      <c r="E1128" s="2677"/>
      <c r="F1128" s="2677"/>
      <c r="G1128" s="2640"/>
      <c r="H1128" s="2640"/>
      <c r="I1128" s="2702"/>
      <c r="J1128" s="2591"/>
      <c r="K1128" s="2591"/>
      <c r="L1128" s="2591"/>
      <c r="M1128" s="2591"/>
      <c r="N1128" s="2591"/>
      <c r="O1128" s="2591"/>
      <c r="P1128" s="2591"/>
      <c r="Q1128" s="2591"/>
      <c r="R1128" s="2591"/>
      <c r="S1128" s="2591"/>
    </row>
    <row r="1129" ht="16.5" spans="1:19">
      <c r="A1129" s="2642"/>
      <c r="B1129" s="2675"/>
      <c r="C1129" s="2676"/>
      <c r="D1129" s="2677"/>
      <c r="E1129" s="2677"/>
      <c r="F1129" s="2677"/>
      <c r="G1129" s="2640"/>
      <c r="H1129" s="2640"/>
      <c r="I1129" s="2702"/>
      <c r="J1129" s="2591"/>
      <c r="K1129" s="2591"/>
      <c r="L1129" s="2591"/>
      <c r="M1129" s="2591"/>
      <c r="N1129" s="2591"/>
      <c r="O1129" s="2591"/>
      <c r="P1129" s="2591"/>
      <c r="Q1129" s="2591"/>
      <c r="R1129" s="2591"/>
      <c r="S1129" s="2591"/>
    </row>
    <row r="1130" ht="16.5" spans="1:19">
      <c r="A1130" s="2642"/>
      <c r="B1130" s="2675"/>
      <c r="C1130" s="2676"/>
      <c r="D1130" s="2677"/>
      <c r="E1130" s="2677"/>
      <c r="F1130" s="2677"/>
      <c r="G1130" s="2640"/>
      <c r="H1130" s="2640"/>
      <c r="I1130" s="2702"/>
      <c r="J1130" s="2591"/>
      <c r="K1130" s="2591"/>
      <c r="L1130" s="2591"/>
      <c r="M1130" s="2591"/>
      <c r="N1130" s="2591"/>
      <c r="O1130" s="2591"/>
      <c r="P1130" s="2591"/>
      <c r="Q1130" s="2591"/>
      <c r="R1130" s="2591"/>
      <c r="S1130" s="2591"/>
    </row>
    <row r="1131" ht="16.5" spans="1:19">
      <c r="A1131" s="2642"/>
      <c r="B1131" s="2675"/>
      <c r="C1131" s="2676"/>
      <c r="D1131" s="2677"/>
      <c r="E1131" s="2677"/>
      <c r="F1131" s="2677"/>
      <c r="G1131" s="2640"/>
      <c r="H1131" s="2640"/>
      <c r="I1131" s="2702"/>
      <c r="J1131" s="2591"/>
      <c r="K1131" s="2591"/>
      <c r="L1131" s="2591"/>
      <c r="M1131" s="2591"/>
      <c r="N1131" s="2591"/>
      <c r="O1131" s="2591"/>
      <c r="P1131" s="2591"/>
      <c r="Q1131" s="2591"/>
      <c r="R1131" s="2591"/>
      <c r="S1131" s="2591"/>
    </row>
    <row r="1132" ht="16.5" spans="1:19">
      <c r="A1132" s="2642"/>
      <c r="B1132" s="2675"/>
      <c r="C1132" s="2676"/>
      <c r="D1132" s="2677"/>
      <c r="E1132" s="2677"/>
      <c r="F1132" s="2677"/>
      <c r="G1132" s="2640"/>
      <c r="H1132" s="2640"/>
      <c r="I1132" s="2702"/>
      <c r="J1132" s="2591"/>
      <c r="K1132" s="2591"/>
      <c r="L1132" s="2591"/>
      <c r="M1132" s="2591"/>
      <c r="N1132" s="2591"/>
      <c r="O1132" s="2591"/>
      <c r="P1132" s="2591"/>
      <c r="Q1132" s="2591"/>
      <c r="R1132" s="2591"/>
      <c r="S1132" s="2591"/>
    </row>
    <row r="1133" ht="16.5" spans="1:19">
      <c r="A1133" s="2642"/>
      <c r="B1133" s="2675"/>
      <c r="C1133" s="2676"/>
      <c r="D1133" s="2677"/>
      <c r="E1133" s="2677"/>
      <c r="F1133" s="2677"/>
      <c r="G1133" s="2640"/>
      <c r="H1133" s="2640"/>
      <c r="I1133" s="2702"/>
      <c r="J1133" s="2591"/>
      <c r="K1133" s="2591"/>
      <c r="L1133" s="2591"/>
      <c r="M1133" s="2591"/>
      <c r="N1133" s="2591"/>
      <c r="O1133" s="2591"/>
      <c r="P1133" s="2591"/>
      <c r="Q1133" s="2591"/>
      <c r="R1133" s="2591"/>
      <c r="S1133" s="2591"/>
    </row>
    <row r="1134" ht="16.5" spans="1:19">
      <c r="A1134" s="2642"/>
      <c r="B1134" s="2675"/>
      <c r="C1134" s="2676"/>
      <c r="D1134" s="2677"/>
      <c r="E1134" s="2677"/>
      <c r="F1134" s="2677"/>
      <c r="G1134" s="2640"/>
      <c r="H1134" s="2640"/>
      <c r="I1134" s="2702"/>
      <c r="J1134" s="2591"/>
      <c r="K1134" s="2591"/>
      <c r="L1134" s="2591"/>
      <c r="M1134" s="2591"/>
      <c r="N1134" s="2591"/>
      <c r="O1134" s="2591"/>
      <c r="P1134" s="2591"/>
      <c r="Q1134" s="2591"/>
      <c r="R1134" s="2591"/>
      <c r="S1134" s="2591"/>
    </row>
    <row r="1135" ht="16.5" spans="1:19">
      <c r="A1135" s="2642"/>
      <c r="B1135" s="2675"/>
      <c r="C1135" s="2676"/>
      <c r="D1135" s="2677"/>
      <c r="E1135" s="2677"/>
      <c r="F1135" s="2677"/>
      <c r="G1135" s="2640"/>
      <c r="H1135" s="2640"/>
      <c r="I1135" s="2702"/>
      <c r="J1135" s="2591"/>
      <c r="K1135" s="2591"/>
      <c r="L1135" s="2591"/>
      <c r="M1135" s="2591"/>
      <c r="N1135" s="2591"/>
      <c r="O1135" s="2591"/>
      <c r="P1135" s="2591"/>
      <c r="Q1135" s="2591"/>
      <c r="R1135" s="2591"/>
      <c r="S1135" s="2591"/>
    </row>
    <row r="1136" ht="16.5" spans="1:19">
      <c r="A1136" s="2642"/>
      <c r="B1136" s="2675"/>
      <c r="C1136" s="2676"/>
      <c r="D1136" s="2677"/>
      <c r="E1136" s="2677"/>
      <c r="F1136" s="2677"/>
      <c r="G1136" s="2640"/>
      <c r="H1136" s="2640"/>
      <c r="I1136" s="2702"/>
      <c r="J1136" s="2591"/>
      <c r="K1136" s="2591"/>
      <c r="L1136" s="2591"/>
      <c r="M1136" s="2591"/>
      <c r="N1136" s="2591"/>
      <c r="O1136" s="2591"/>
      <c r="P1136" s="2591"/>
      <c r="Q1136" s="2591"/>
      <c r="R1136" s="2591"/>
      <c r="S1136" s="2591"/>
    </row>
    <row r="1137" ht="16.5" spans="1:19">
      <c r="A1137" s="2642"/>
      <c r="B1137" s="2675"/>
      <c r="C1137" s="2676"/>
      <c r="D1137" s="2677"/>
      <c r="E1137" s="2677"/>
      <c r="F1137" s="2677"/>
      <c r="G1137" s="2640"/>
      <c r="H1137" s="2640"/>
      <c r="I1137" s="2702"/>
      <c r="J1137" s="2591"/>
      <c r="K1137" s="2591"/>
      <c r="L1137" s="2591"/>
      <c r="M1137" s="2591"/>
      <c r="N1137" s="2591"/>
      <c r="O1137" s="2591"/>
      <c r="P1137" s="2591"/>
      <c r="Q1137" s="2591"/>
      <c r="R1137" s="2591"/>
      <c r="S1137" s="2591"/>
    </row>
    <row r="1138" ht="16.5" spans="1:19">
      <c r="A1138" s="2642"/>
      <c r="B1138" s="2675"/>
      <c r="C1138" s="2676"/>
      <c r="D1138" s="2677"/>
      <c r="E1138" s="2677"/>
      <c r="F1138" s="2677"/>
      <c r="G1138" s="2640"/>
      <c r="H1138" s="2640"/>
      <c r="I1138" s="2702"/>
      <c r="J1138" s="2591"/>
      <c r="K1138" s="2591"/>
      <c r="L1138" s="2591"/>
      <c r="M1138" s="2591"/>
      <c r="N1138" s="2591"/>
      <c r="O1138" s="2591"/>
      <c r="P1138" s="2591"/>
      <c r="Q1138" s="2591"/>
      <c r="R1138" s="2591"/>
      <c r="S1138" s="2591"/>
    </row>
    <row r="1139" ht="16.5" spans="1:19">
      <c r="A1139" s="2642"/>
      <c r="B1139" s="2675"/>
      <c r="C1139" s="2676"/>
      <c r="D1139" s="2677"/>
      <c r="E1139" s="2677"/>
      <c r="F1139" s="2677"/>
      <c r="G1139" s="2640"/>
      <c r="H1139" s="2640"/>
      <c r="I1139" s="2702"/>
      <c r="J1139" s="2591"/>
      <c r="K1139" s="2591"/>
      <c r="L1139" s="2591"/>
      <c r="M1139" s="2591"/>
      <c r="N1139" s="2591"/>
      <c r="O1139" s="2591"/>
      <c r="P1139" s="2591"/>
      <c r="Q1139" s="2591"/>
      <c r="R1139" s="2591"/>
      <c r="S1139" s="2591"/>
    </row>
    <row r="1140" ht="16.5" spans="1:19">
      <c r="A1140" s="2642"/>
      <c r="B1140" s="2675"/>
      <c r="C1140" s="2676"/>
      <c r="D1140" s="2677"/>
      <c r="E1140" s="2677"/>
      <c r="F1140" s="2677"/>
      <c r="G1140" s="2640"/>
      <c r="H1140" s="2640"/>
      <c r="I1140" s="2702"/>
      <c r="J1140" s="2591"/>
      <c r="K1140" s="2591"/>
      <c r="L1140" s="2591"/>
      <c r="M1140" s="2591"/>
      <c r="N1140" s="2591"/>
      <c r="O1140" s="2591"/>
      <c r="P1140" s="2591"/>
      <c r="Q1140" s="2591"/>
      <c r="R1140" s="2591"/>
      <c r="S1140" s="2591"/>
    </row>
    <row r="1141" ht="16.5" spans="1:19">
      <c r="A1141" s="2642"/>
      <c r="B1141" s="2675"/>
      <c r="C1141" s="2676"/>
      <c r="D1141" s="2677"/>
      <c r="E1141" s="2677"/>
      <c r="F1141" s="2677"/>
      <c r="G1141" s="2640"/>
      <c r="H1141" s="2640"/>
      <c r="I1141" s="2702"/>
      <c r="J1141" s="2591"/>
      <c r="K1141" s="2591"/>
      <c r="L1141" s="2591"/>
      <c r="M1141" s="2591"/>
      <c r="N1141" s="2591"/>
      <c r="O1141" s="2591"/>
      <c r="P1141" s="2591"/>
      <c r="Q1141" s="2591"/>
      <c r="R1141" s="2591"/>
      <c r="S1141" s="2591"/>
    </row>
    <row r="1142" ht="16.5" spans="1:19">
      <c r="A1142" s="2642"/>
      <c r="B1142" s="2675"/>
      <c r="C1142" s="2676"/>
      <c r="D1142" s="2677"/>
      <c r="E1142" s="2677"/>
      <c r="F1142" s="2677"/>
      <c r="G1142" s="2640"/>
      <c r="H1142" s="2640"/>
      <c r="I1142" s="2702"/>
      <c r="J1142" s="2591"/>
      <c r="K1142" s="2591"/>
      <c r="L1142" s="2591"/>
      <c r="M1142" s="2591"/>
      <c r="N1142" s="2591"/>
      <c r="O1142" s="2591"/>
      <c r="P1142" s="2591"/>
      <c r="Q1142" s="2591"/>
      <c r="R1142" s="2591"/>
      <c r="S1142" s="2591"/>
    </row>
    <row r="1143" ht="16.5" spans="1:19">
      <c r="A1143" s="2642"/>
      <c r="B1143" s="2675"/>
      <c r="C1143" s="2676"/>
      <c r="D1143" s="2677"/>
      <c r="E1143" s="2677"/>
      <c r="F1143" s="2677"/>
      <c r="G1143" s="2640"/>
      <c r="H1143" s="2640"/>
      <c r="I1143" s="2702"/>
      <c r="J1143" s="2591"/>
      <c r="K1143" s="2591"/>
      <c r="L1143" s="2591"/>
      <c r="M1143" s="2591"/>
      <c r="N1143" s="2591"/>
      <c r="O1143" s="2591"/>
      <c r="P1143" s="2591"/>
      <c r="Q1143" s="2591"/>
      <c r="R1143" s="2591"/>
      <c r="S1143" s="2591"/>
    </row>
    <row r="1144" ht="16.5" spans="1:19">
      <c r="A1144" s="2642"/>
      <c r="B1144" s="2675"/>
      <c r="C1144" s="2676"/>
      <c r="D1144" s="2677"/>
      <c r="E1144" s="2677"/>
      <c r="F1144" s="2677"/>
      <c r="G1144" s="2640"/>
      <c r="H1144" s="2640"/>
      <c r="I1144" s="2702"/>
      <c r="J1144" s="2591"/>
      <c r="K1144" s="2591"/>
      <c r="L1144" s="2591"/>
      <c r="M1144" s="2591"/>
      <c r="N1144" s="2591"/>
      <c r="O1144" s="2591"/>
      <c r="P1144" s="2591"/>
      <c r="Q1144" s="2591"/>
      <c r="R1144" s="2591"/>
      <c r="S1144" s="2591"/>
    </row>
    <row r="1145" ht="16.5" spans="1:19">
      <c r="A1145" s="2642"/>
      <c r="B1145" s="2675"/>
      <c r="C1145" s="2676"/>
      <c r="D1145" s="2677"/>
      <c r="E1145" s="2677"/>
      <c r="F1145" s="2677"/>
      <c r="G1145" s="2640"/>
      <c r="H1145" s="2640"/>
      <c r="I1145" s="2702"/>
      <c r="J1145" s="2591"/>
      <c r="K1145" s="2591"/>
      <c r="L1145" s="2591"/>
      <c r="M1145" s="2591"/>
      <c r="N1145" s="2591"/>
      <c r="O1145" s="2591"/>
      <c r="P1145" s="2591"/>
      <c r="Q1145" s="2591"/>
      <c r="R1145" s="2591"/>
      <c r="S1145" s="2591"/>
    </row>
    <row r="1146" ht="16.5" spans="1:19">
      <c r="A1146" s="2642"/>
      <c r="B1146" s="2675"/>
      <c r="C1146" s="2676"/>
      <c r="D1146" s="2677"/>
      <c r="E1146" s="2677"/>
      <c r="F1146" s="2677"/>
      <c r="G1146" s="2640"/>
      <c r="H1146" s="2640"/>
      <c r="I1146" s="2702"/>
      <c r="J1146" s="2591"/>
      <c r="K1146" s="2591"/>
      <c r="L1146" s="2591"/>
      <c r="M1146" s="2591"/>
      <c r="N1146" s="2591"/>
      <c r="O1146" s="2591"/>
      <c r="P1146" s="2591"/>
      <c r="Q1146" s="2591"/>
      <c r="R1146" s="2591"/>
      <c r="S1146" s="2591"/>
    </row>
    <row r="1147" ht="16.5" spans="1:19">
      <c r="A1147" s="2642"/>
      <c r="B1147" s="2675"/>
      <c r="C1147" s="2676"/>
      <c r="D1147" s="2677"/>
      <c r="E1147" s="2677"/>
      <c r="F1147" s="2677"/>
      <c r="G1147" s="2640"/>
      <c r="H1147" s="2640"/>
      <c r="I1147" s="2702"/>
      <c r="J1147" s="2591"/>
      <c r="K1147" s="2591"/>
      <c r="L1147" s="2591"/>
      <c r="M1147" s="2591"/>
      <c r="N1147" s="2591"/>
      <c r="O1147" s="2591"/>
      <c r="P1147" s="2591"/>
      <c r="Q1147" s="2591"/>
      <c r="R1147" s="2591"/>
      <c r="S1147" s="2591"/>
    </row>
    <row r="1148" ht="16.5" spans="1:19">
      <c r="A1148" s="2642"/>
      <c r="B1148" s="2675"/>
      <c r="C1148" s="2676"/>
      <c r="D1148" s="2677"/>
      <c r="E1148" s="2677"/>
      <c r="F1148" s="2677"/>
      <c r="G1148" s="2640"/>
      <c r="H1148" s="2640"/>
      <c r="I1148" s="2702"/>
      <c r="J1148" s="2591"/>
      <c r="K1148" s="2591"/>
      <c r="L1148" s="2591"/>
      <c r="M1148" s="2591"/>
      <c r="N1148" s="2591"/>
      <c r="O1148" s="2591"/>
      <c r="P1148" s="2591"/>
      <c r="Q1148" s="2591"/>
      <c r="R1148" s="2591"/>
      <c r="S1148" s="2591"/>
    </row>
    <row r="1149" ht="16.5" spans="1:19">
      <c r="A1149" s="2642"/>
      <c r="B1149" s="2675"/>
      <c r="C1149" s="2676"/>
      <c r="D1149" s="2677"/>
      <c r="E1149" s="2677"/>
      <c r="F1149" s="2677"/>
      <c r="G1149" s="2640"/>
      <c r="H1149" s="2640"/>
      <c r="I1149" s="2702"/>
      <c r="J1149" s="2591"/>
      <c r="K1149" s="2591"/>
      <c r="L1149" s="2591"/>
      <c r="M1149" s="2591"/>
      <c r="N1149" s="2591"/>
      <c r="O1149" s="2591"/>
      <c r="P1149" s="2591"/>
      <c r="Q1149" s="2591"/>
      <c r="R1149" s="2591"/>
      <c r="S1149" s="2591"/>
    </row>
    <row r="1150" ht="16.5" spans="1:19">
      <c r="A1150" s="2642"/>
      <c r="B1150" s="2675"/>
      <c r="C1150" s="2676"/>
      <c r="D1150" s="2677"/>
      <c r="E1150" s="2677"/>
      <c r="F1150" s="2677"/>
      <c r="G1150" s="2640"/>
      <c r="H1150" s="2640"/>
      <c r="I1150" s="2702"/>
      <c r="J1150" s="2591"/>
      <c r="K1150" s="2591"/>
      <c r="L1150" s="2591"/>
      <c r="M1150" s="2591"/>
      <c r="N1150" s="2591"/>
      <c r="O1150" s="2591"/>
      <c r="P1150" s="2591"/>
      <c r="Q1150" s="2591"/>
      <c r="R1150" s="2591"/>
      <c r="S1150" s="2591"/>
    </row>
    <row r="1151" ht="16.5" spans="1:19">
      <c r="A1151" s="2642"/>
      <c r="B1151" s="2675"/>
      <c r="C1151" s="2676"/>
      <c r="D1151" s="2677"/>
      <c r="E1151" s="2677"/>
      <c r="F1151" s="2677"/>
      <c r="G1151" s="2640"/>
      <c r="H1151" s="2640"/>
      <c r="I1151" s="2702"/>
      <c r="J1151" s="2591"/>
      <c r="K1151" s="2591"/>
      <c r="L1151" s="2591"/>
      <c r="M1151" s="2591"/>
      <c r="N1151" s="2591"/>
      <c r="O1151" s="2591"/>
      <c r="P1151" s="2591"/>
      <c r="Q1151" s="2591"/>
      <c r="R1151" s="2591"/>
      <c r="S1151" s="2591"/>
    </row>
    <row r="1152" ht="16.5" spans="1:19">
      <c r="A1152" s="2642"/>
      <c r="B1152" s="2675"/>
      <c r="C1152" s="2676"/>
      <c r="D1152" s="2677"/>
      <c r="E1152" s="2677"/>
      <c r="F1152" s="2677"/>
      <c r="G1152" s="2640"/>
      <c r="H1152" s="2640"/>
      <c r="I1152" s="2702"/>
      <c r="J1152" s="2591"/>
      <c r="K1152" s="2591"/>
      <c r="L1152" s="2591"/>
      <c r="M1152" s="2591"/>
      <c r="N1152" s="2591"/>
      <c r="O1152" s="2591"/>
      <c r="P1152" s="2591"/>
      <c r="Q1152" s="2591"/>
      <c r="R1152" s="2591"/>
      <c r="S1152" s="2591"/>
    </row>
    <row r="1153" ht="16.5" spans="1:19">
      <c r="A1153" s="2642"/>
      <c r="B1153" s="2675"/>
      <c r="C1153" s="2676"/>
      <c r="D1153" s="2677"/>
      <c r="E1153" s="2677"/>
      <c r="F1153" s="2677"/>
      <c r="G1153" s="2640"/>
      <c r="H1153" s="2640"/>
      <c r="I1153" s="2702"/>
      <c r="J1153" s="2591"/>
      <c r="K1153" s="2591"/>
      <c r="L1153" s="2591"/>
      <c r="M1153" s="2591"/>
      <c r="N1153" s="2591"/>
      <c r="O1153" s="2591"/>
      <c r="P1153" s="2591"/>
      <c r="Q1153" s="2591"/>
      <c r="R1153" s="2591"/>
      <c r="S1153" s="2591"/>
    </row>
    <row r="1154" ht="16.5" spans="1:19">
      <c r="A1154" s="2642"/>
      <c r="B1154" s="2675"/>
      <c r="C1154" s="2676"/>
      <c r="D1154" s="2677"/>
      <c r="E1154" s="2677"/>
      <c r="F1154" s="2677"/>
      <c r="G1154" s="2640"/>
      <c r="H1154" s="2640"/>
      <c r="I1154" s="2702"/>
      <c r="J1154" s="2591"/>
      <c r="K1154" s="2591"/>
      <c r="L1154" s="2591"/>
      <c r="M1154" s="2591"/>
      <c r="N1154" s="2591"/>
      <c r="O1154" s="2591"/>
      <c r="P1154" s="2591"/>
      <c r="Q1154" s="2591"/>
      <c r="R1154" s="2591"/>
      <c r="S1154" s="2591"/>
    </row>
    <row r="1155" ht="16.5" spans="1:19">
      <c r="A1155" s="2642"/>
      <c r="B1155" s="2675"/>
      <c r="C1155" s="2676"/>
      <c r="D1155" s="2677"/>
      <c r="E1155" s="2677"/>
      <c r="F1155" s="2677"/>
      <c r="G1155" s="2640"/>
      <c r="H1155" s="2640"/>
      <c r="I1155" s="2702"/>
      <c r="J1155" s="2591"/>
      <c r="K1155" s="2591"/>
      <c r="L1155" s="2591"/>
      <c r="M1155" s="2591"/>
      <c r="N1155" s="2591"/>
      <c r="O1155" s="2591"/>
      <c r="P1155" s="2591"/>
      <c r="Q1155" s="2591"/>
      <c r="R1155" s="2591"/>
      <c r="S1155" s="2591"/>
    </row>
    <row r="1156" ht="16.5" spans="1:19">
      <c r="A1156" s="2642"/>
      <c r="B1156" s="2675"/>
      <c r="C1156" s="2676"/>
      <c r="D1156" s="2677"/>
      <c r="E1156" s="2677"/>
      <c r="F1156" s="2677"/>
      <c r="G1156" s="2640"/>
      <c r="H1156" s="2640"/>
      <c r="I1156" s="2702"/>
      <c r="J1156" s="2591"/>
      <c r="K1156" s="2591"/>
      <c r="L1156" s="2591"/>
      <c r="M1156" s="2591"/>
      <c r="N1156" s="2591"/>
      <c r="O1156" s="2591"/>
      <c r="P1156" s="2591"/>
      <c r="Q1156" s="2591"/>
      <c r="R1156" s="2591"/>
      <c r="S1156" s="2591"/>
    </row>
    <row r="1157" ht="16.5" spans="1:19">
      <c r="A1157" s="2642"/>
      <c r="B1157" s="2675"/>
      <c r="C1157" s="2676"/>
      <c r="D1157" s="2677"/>
      <c r="E1157" s="2677"/>
      <c r="F1157" s="2677"/>
      <c r="G1157" s="2640"/>
      <c r="H1157" s="2640"/>
      <c r="I1157" s="2702"/>
      <c r="J1157" s="2591"/>
      <c r="K1157" s="2591"/>
      <c r="L1157" s="2591"/>
      <c r="M1157" s="2591"/>
      <c r="N1157" s="2591"/>
      <c r="O1157" s="2591"/>
      <c r="P1157" s="2591"/>
      <c r="Q1157" s="2591"/>
      <c r="R1157" s="2591"/>
      <c r="S1157" s="2591"/>
    </row>
    <row r="1158" ht="16.5" spans="1:19">
      <c r="A1158" s="2642"/>
      <c r="B1158" s="2675"/>
      <c r="C1158" s="2676"/>
      <c r="D1158" s="2677"/>
      <c r="E1158" s="2677"/>
      <c r="F1158" s="2677"/>
      <c r="G1158" s="2640"/>
      <c r="H1158" s="2640"/>
      <c r="I1158" s="2702"/>
      <c r="J1158" s="2591"/>
      <c r="K1158" s="2591"/>
      <c r="L1158" s="2591"/>
      <c r="M1158" s="2591"/>
      <c r="N1158" s="2591"/>
      <c r="O1158" s="2591"/>
      <c r="P1158" s="2591"/>
      <c r="Q1158" s="2591"/>
      <c r="R1158" s="2591"/>
      <c r="S1158" s="2591"/>
    </row>
    <row r="1159" ht="16.5" spans="1:19">
      <c r="A1159" s="2642"/>
      <c r="B1159" s="2675"/>
      <c r="C1159" s="2676"/>
      <c r="D1159" s="2677"/>
      <c r="E1159" s="2677"/>
      <c r="F1159" s="2677"/>
      <c r="G1159" s="2640"/>
      <c r="H1159" s="2640"/>
      <c r="I1159" s="2702"/>
      <c r="J1159" s="2591"/>
      <c r="K1159" s="2591"/>
      <c r="L1159" s="2591"/>
      <c r="M1159" s="2591"/>
      <c r="N1159" s="2591"/>
      <c r="O1159" s="2591"/>
      <c r="P1159" s="2591"/>
      <c r="Q1159" s="2591"/>
      <c r="R1159" s="2591"/>
      <c r="S1159" s="2591"/>
    </row>
    <row r="1160" ht="16.5" spans="1:19">
      <c r="A1160" s="2642"/>
      <c r="B1160" s="2675"/>
      <c r="C1160" s="2676"/>
      <c r="D1160" s="2677"/>
      <c r="E1160" s="2677"/>
      <c r="F1160" s="2677"/>
      <c r="G1160" s="2640"/>
      <c r="H1160" s="2640"/>
      <c r="I1160" s="2702"/>
      <c r="J1160" s="2591"/>
      <c r="K1160" s="2591"/>
      <c r="L1160" s="2591"/>
      <c r="M1160" s="2591"/>
      <c r="N1160" s="2591"/>
      <c r="O1160" s="2591"/>
      <c r="P1160" s="2591"/>
      <c r="Q1160" s="2591"/>
      <c r="R1160" s="2591"/>
      <c r="S1160" s="2591"/>
    </row>
    <row r="1161" ht="16.5" spans="1:19">
      <c r="A1161" s="2642"/>
      <c r="B1161" s="2675"/>
      <c r="C1161" s="2676"/>
      <c r="D1161" s="2677"/>
      <c r="E1161" s="2677"/>
      <c r="F1161" s="2677"/>
      <c r="G1161" s="2640"/>
      <c r="H1161" s="2640"/>
      <c r="I1161" s="2702"/>
      <c r="J1161" s="2591"/>
      <c r="K1161" s="2591"/>
      <c r="L1161" s="2591"/>
      <c r="M1161" s="2591"/>
      <c r="N1161" s="2591"/>
      <c r="O1161" s="2591"/>
      <c r="P1161" s="2591"/>
      <c r="Q1161" s="2591"/>
      <c r="R1161" s="2591"/>
      <c r="S1161" s="2591"/>
    </row>
    <row r="1162" ht="16.5" spans="1:19">
      <c r="A1162" s="2642"/>
      <c r="B1162" s="2675"/>
      <c r="C1162" s="2676"/>
      <c r="D1162" s="2677"/>
      <c r="E1162" s="2677"/>
      <c r="F1162" s="2677"/>
      <c r="G1162" s="2640"/>
      <c r="H1162" s="2640"/>
      <c r="I1162" s="2702"/>
      <c r="J1162" s="2591"/>
      <c r="K1162" s="2591"/>
      <c r="L1162" s="2591"/>
      <c r="M1162" s="2591"/>
      <c r="N1162" s="2591"/>
      <c r="O1162" s="2591"/>
      <c r="P1162" s="2591"/>
      <c r="Q1162" s="2591"/>
      <c r="R1162" s="2591"/>
      <c r="S1162" s="2591"/>
    </row>
    <row r="1163" ht="16.5" spans="1:19">
      <c r="A1163" s="2642"/>
      <c r="B1163" s="2675"/>
      <c r="C1163" s="2676"/>
      <c r="D1163" s="2677"/>
      <c r="E1163" s="2677"/>
      <c r="F1163" s="2677"/>
      <c r="G1163" s="2640"/>
      <c r="H1163" s="2640"/>
      <c r="I1163" s="2702"/>
      <c r="J1163" s="2591"/>
      <c r="K1163" s="2591"/>
      <c r="L1163" s="2591"/>
      <c r="M1163" s="2591"/>
      <c r="N1163" s="2591"/>
      <c r="O1163" s="2591"/>
      <c r="P1163" s="2591"/>
      <c r="Q1163" s="2591"/>
      <c r="R1163" s="2591"/>
      <c r="S1163" s="2591"/>
    </row>
    <row r="1164" ht="16.5" spans="1:19">
      <c r="A1164" s="2642"/>
      <c r="B1164" s="2675"/>
      <c r="C1164" s="2676"/>
      <c r="D1164" s="2677"/>
      <c r="E1164" s="2677"/>
      <c r="F1164" s="2677"/>
      <c r="G1164" s="2640"/>
      <c r="H1164" s="2640"/>
      <c r="I1164" s="2702"/>
      <c r="J1164" s="2591"/>
      <c r="K1164" s="2591"/>
      <c r="L1164" s="2591"/>
      <c r="M1164" s="2591"/>
      <c r="N1164" s="2591"/>
      <c r="O1164" s="2591"/>
      <c r="P1164" s="2591"/>
      <c r="Q1164" s="2591"/>
      <c r="R1164" s="2591"/>
      <c r="S1164" s="2591"/>
    </row>
    <row r="1165" ht="16.5" spans="1:19">
      <c r="A1165" s="2642"/>
      <c r="B1165" s="2675"/>
      <c r="C1165" s="2676"/>
      <c r="D1165" s="2677"/>
      <c r="E1165" s="2677"/>
      <c r="F1165" s="2677"/>
      <c r="G1165" s="2640"/>
      <c r="H1165" s="2640"/>
      <c r="I1165" s="2702"/>
      <c r="J1165" s="2591"/>
      <c r="K1165" s="2591"/>
      <c r="L1165" s="2591"/>
      <c r="M1165" s="2591"/>
      <c r="N1165" s="2591"/>
      <c r="O1165" s="2591"/>
      <c r="P1165" s="2591"/>
      <c r="Q1165" s="2591"/>
      <c r="R1165" s="2591"/>
      <c r="S1165" s="2591"/>
    </row>
    <row r="1166" ht="16.5" spans="1:19">
      <c r="A1166" s="2642"/>
      <c r="B1166" s="2675"/>
      <c r="C1166" s="2676"/>
      <c r="D1166" s="2677"/>
      <c r="E1166" s="2677"/>
      <c r="F1166" s="2677"/>
      <c r="G1166" s="2640"/>
      <c r="H1166" s="2640"/>
      <c r="I1166" s="2702"/>
      <c r="J1166" s="2591"/>
      <c r="K1166" s="2591"/>
      <c r="L1166" s="2591"/>
      <c r="M1166" s="2591"/>
      <c r="N1166" s="2591"/>
      <c r="O1166" s="2591"/>
      <c r="P1166" s="2591"/>
      <c r="Q1166" s="2591"/>
      <c r="R1166" s="2591"/>
      <c r="S1166" s="2591"/>
    </row>
    <row r="1167" ht="16.5" spans="1:19">
      <c r="A1167" s="2642"/>
      <c r="B1167" s="2675"/>
      <c r="C1167" s="2676"/>
      <c r="D1167" s="2677"/>
      <c r="E1167" s="2677"/>
      <c r="F1167" s="2677"/>
      <c r="G1167" s="2640"/>
      <c r="H1167" s="2640"/>
      <c r="I1167" s="2702"/>
      <c r="J1167" s="2591"/>
      <c r="K1167" s="2591"/>
      <c r="L1167" s="2591"/>
      <c r="M1167" s="2591"/>
      <c r="N1167" s="2591"/>
      <c r="O1167" s="2591"/>
      <c r="P1167" s="2591"/>
      <c r="Q1167" s="2591"/>
      <c r="R1167" s="2591"/>
      <c r="S1167" s="2591"/>
    </row>
    <row r="1168" ht="16.5" spans="1:19">
      <c r="A1168" s="2642"/>
      <c r="B1168" s="2675"/>
      <c r="C1168" s="2676"/>
      <c r="D1168" s="2677"/>
      <c r="E1168" s="2677"/>
      <c r="F1168" s="2677"/>
      <c r="G1168" s="2640"/>
      <c r="H1168" s="2640"/>
      <c r="I1168" s="2702"/>
      <c r="J1168" s="2591"/>
      <c r="K1168" s="2591"/>
      <c r="L1168" s="2591"/>
      <c r="M1168" s="2591"/>
      <c r="N1168" s="2591"/>
      <c r="O1168" s="2591"/>
      <c r="P1168" s="2591"/>
      <c r="Q1168" s="2591"/>
      <c r="R1168" s="2591"/>
      <c r="S1168" s="2591"/>
    </row>
    <row r="1169" ht="16.5" spans="1:19">
      <c r="A1169" s="2642"/>
      <c r="B1169" s="2675"/>
      <c r="C1169" s="2676"/>
      <c r="D1169" s="2677"/>
      <c r="E1169" s="2677"/>
      <c r="F1169" s="2677"/>
      <c r="G1169" s="2640"/>
      <c r="H1169" s="2640"/>
      <c r="I1169" s="2702"/>
      <c r="J1169" s="2591"/>
      <c r="K1169" s="2591"/>
      <c r="L1169" s="2591"/>
      <c r="M1169" s="2591"/>
      <c r="N1169" s="2591"/>
      <c r="O1169" s="2591"/>
      <c r="P1169" s="2591"/>
      <c r="Q1169" s="2591"/>
      <c r="R1169" s="2591"/>
      <c r="S1169" s="2591"/>
    </row>
    <row r="1170" ht="16.5" spans="1:19">
      <c r="A1170" s="2642"/>
      <c r="B1170" s="2675"/>
      <c r="C1170" s="2676"/>
      <c r="D1170" s="2677"/>
      <c r="E1170" s="2677"/>
      <c r="F1170" s="2677"/>
      <c r="G1170" s="2640"/>
      <c r="H1170" s="2640"/>
      <c r="I1170" s="2702"/>
      <c r="J1170" s="2591"/>
      <c r="K1170" s="2591"/>
      <c r="L1170" s="2591"/>
      <c r="M1170" s="2591"/>
      <c r="N1170" s="2591"/>
      <c r="O1170" s="2591"/>
      <c r="P1170" s="2591"/>
      <c r="Q1170" s="2591"/>
      <c r="R1170" s="2591"/>
      <c r="S1170" s="2591"/>
    </row>
    <row r="1171" ht="16.5" spans="1:19">
      <c r="A1171" s="2642"/>
      <c r="B1171" s="2675"/>
      <c r="C1171" s="2676"/>
      <c r="D1171" s="2677"/>
      <c r="E1171" s="2677"/>
      <c r="F1171" s="2677"/>
      <c r="G1171" s="2640"/>
      <c r="H1171" s="2640"/>
      <c r="I1171" s="2702"/>
      <c r="J1171" s="2591"/>
      <c r="K1171" s="2591"/>
      <c r="L1171" s="2591"/>
      <c r="M1171" s="2591"/>
      <c r="N1171" s="2591"/>
      <c r="O1171" s="2591"/>
      <c r="P1171" s="2591"/>
      <c r="Q1171" s="2591"/>
      <c r="R1171" s="2591"/>
      <c r="S1171" s="2591"/>
    </row>
    <row r="1172" ht="16.5" spans="1:19">
      <c r="A1172" s="2642"/>
      <c r="B1172" s="2675"/>
      <c r="C1172" s="2676"/>
      <c r="D1172" s="2677"/>
      <c r="E1172" s="2677"/>
      <c r="F1172" s="2677"/>
      <c r="G1172" s="2640"/>
      <c r="H1172" s="2640"/>
      <c r="I1172" s="2702"/>
      <c r="J1172" s="2591"/>
      <c r="K1172" s="2591"/>
      <c r="L1172" s="2591"/>
      <c r="M1172" s="2591"/>
      <c r="N1172" s="2591"/>
      <c r="O1172" s="2591"/>
      <c r="P1172" s="2591"/>
      <c r="Q1172" s="2591"/>
      <c r="R1172" s="2591"/>
      <c r="S1172" s="2591"/>
    </row>
    <row r="1173" ht="16.5" spans="1:19">
      <c r="A1173" s="2642"/>
      <c r="B1173" s="2675"/>
      <c r="C1173" s="2676"/>
      <c r="D1173" s="2677"/>
      <c r="E1173" s="2677"/>
      <c r="F1173" s="2677"/>
      <c r="G1173" s="2640"/>
      <c r="H1173" s="2640"/>
      <c r="I1173" s="2702"/>
      <c r="J1173" s="2591"/>
      <c r="K1173" s="2591"/>
      <c r="L1173" s="2591"/>
      <c r="M1173" s="2591"/>
      <c r="N1173" s="2591"/>
      <c r="O1173" s="2591"/>
      <c r="P1173" s="2591"/>
      <c r="Q1173" s="2591"/>
      <c r="R1173" s="2591"/>
      <c r="S1173" s="2591"/>
    </row>
    <row r="1174" ht="16.5" spans="1:19">
      <c r="A1174" s="2642"/>
      <c r="B1174" s="2675"/>
      <c r="C1174" s="2676"/>
      <c r="D1174" s="2677"/>
      <c r="E1174" s="2677"/>
      <c r="F1174" s="2677"/>
      <c r="G1174" s="2640"/>
      <c r="H1174" s="2640"/>
      <c r="I1174" s="2702"/>
      <c r="J1174" s="2591"/>
      <c r="K1174" s="2591"/>
      <c r="L1174" s="2591"/>
      <c r="M1174" s="2591"/>
      <c r="N1174" s="2591"/>
      <c r="O1174" s="2591"/>
      <c r="P1174" s="2591"/>
      <c r="Q1174" s="2591"/>
      <c r="R1174" s="2591"/>
      <c r="S1174" s="2591"/>
    </row>
    <row r="1175" ht="16.5" spans="1:19">
      <c r="A1175" s="2642"/>
      <c r="B1175" s="2675"/>
      <c r="C1175" s="2676"/>
      <c r="D1175" s="2677"/>
      <c r="E1175" s="2677"/>
      <c r="F1175" s="2677"/>
      <c r="G1175" s="2640"/>
      <c r="H1175" s="2640"/>
      <c r="I1175" s="2702"/>
      <c r="J1175" s="2591"/>
      <c r="K1175" s="2591"/>
      <c r="L1175" s="2591"/>
      <c r="M1175" s="2591"/>
      <c r="N1175" s="2591"/>
      <c r="O1175" s="2591"/>
      <c r="P1175" s="2591"/>
      <c r="Q1175" s="2591"/>
      <c r="R1175" s="2591"/>
      <c r="S1175" s="2591"/>
    </row>
    <row r="1176" ht="16.5" spans="1:19">
      <c r="A1176" s="2642"/>
      <c r="B1176" s="2675"/>
      <c r="C1176" s="2676"/>
      <c r="D1176" s="2677"/>
      <c r="E1176" s="2677"/>
      <c r="F1176" s="2677"/>
      <c r="G1176" s="2640"/>
      <c r="H1176" s="2640"/>
      <c r="I1176" s="2702"/>
      <c r="J1176" s="2591"/>
      <c r="K1176" s="2591"/>
      <c r="L1176" s="2591"/>
      <c r="M1176" s="2591"/>
      <c r="N1176" s="2591"/>
      <c r="O1176" s="2591"/>
      <c r="P1176" s="2591"/>
      <c r="Q1176" s="2591"/>
      <c r="R1176" s="2591"/>
      <c r="S1176" s="2591"/>
    </row>
    <row r="1177" ht="16.5" spans="1:19">
      <c r="A1177" s="2642"/>
      <c r="B1177" s="2675"/>
      <c r="C1177" s="2676"/>
      <c r="D1177" s="2677"/>
      <c r="E1177" s="2677"/>
      <c r="F1177" s="2677"/>
      <c r="G1177" s="2640"/>
      <c r="H1177" s="2640"/>
      <c r="I1177" s="2702"/>
      <c r="J1177" s="2591"/>
      <c r="K1177" s="2591"/>
      <c r="L1177" s="2591"/>
      <c r="M1177" s="2591"/>
      <c r="N1177" s="2591"/>
      <c r="O1177" s="2591"/>
      <c r="P1177" s="2591"/>
      <c r="Q1177" s="2591"/>
      <c r="R1177" s="2591"/>
      <c r="S1177" s="2591"/>
    </row>
    <row r="1178" ht="16.5" spans="1:19">
      <c r="A1178" s="2642"/>
      <c r="B1178" s="2675"/>
      <c r="C1178" s="2676"/>
      <c r="D1178" s="2677"/>
      <c r="E1178" s="2677"/>
      <c r="F1178" s="2677"/>
      <c r="G1178" s="2640"/>
      <c r="H1178" s="2640"/>
      <c r="I1178" s="2702"/>
      <c r="J1178" s="2591"/>
      <c r="K1178" s="2591"/>
      <c r="L1178" s="2591"/>
      <c r="M1178" s="2591"/>
      <c r="N1178" s="2591"/>
      <c r="O1178" s="2591"/>
      <c r="P1178" s="2591"/>
      <c r="Q1178" s="2591"/>
      <c r="R1178" s="2591"/>
      <c r="S1178" s="2591"/>
    </row>
    <row r="1179" ht="16.5" spans="1:19">
      <c r="A1179" s="2642"/>
      <c r="B1179" s="2675"/>
      <c r="C1179" s="2676"/>
      <c r="D1179" s="2677"/>
      <c r="E1179" s="2677"/>
      <c r="F1179" s="2677"/>
      <c r="G1179" s="2640"/>
      <c r="H1179" s="2640"/>
      <c r="I1179" s="2702"/>
      <c r="J1179" s="2591"/>
      <c r="K1179" s="2591"/>
      <c r="L1179" s="2591"/>
      <c r="M1179" s="2591"/>
      <c r="N1179" s="2591"/>
      <c r="O1179" s="2591"/>
      <c r="P1179" s="2591"/>
      <c r="Q1179" s="2591"/>
      <c r="R1179" s="2591"/>
      <c r="S1179" s="2591"/>
    </row>
    <row r="1180" ht="16.5" spans="1:19">
      <c r="A1180" s="2642"/>
      <c r="B1180" s="2675"/>
      <c r="C1180" s="2676"/>
      <c r="D1180" s="2677"/>
      <c r="E1180" s="2677"/>
      <c r="F1180" s="2677"/>
      <c r="G1180" s="2640"/>
      <c r="H1180" s="2640"/>
      <c r="I1180" s="2702"/>
      <c r="J1180" s="2591"/>
      <c r="K1180" s="2591"/>
      <c r="L1180" s="2591"/>
      <c r="M1180" s="2591"/>
      <c r="N1180" s="2591"/>
      <c r="O1180" s="2591"/>
      <c r="P1180" s="2591"/>
      <c r="Q1180" s="2591"/>
      <c r="R1180" s="2591"/>
      <c r="S1180" s="2591"/>
    </row>
    <row r="1181" ht="16.5" spans="1:19">
      <c r="A1181" s="2642"/>
      <c r="B1181" s="2675"/>
      <c r="C1181" s="2676"/>
      <c r="D1181" s="2677"/>
      <c r="E1181" s="2677"/>
      <c r="F1181" s="2677"/>
      <c r="G1181" s="2640"/>
      <c r="H1181" s="2640"/>
      <c r="I1181" s="2702"/>
      <c r="J1181" s="2591"/>
      <c r="K1181" s="2591"/>
      <c r="L1181" s="2591"/>
      <c r="M1181" s="2591"/>
      <c r="N1181" s="2591"/>
      <c r="O1181" s="2591"/>
      <c r="P1181" s="2591"/>
      <c r="Q1181" s="2591"/>
      <c r="R1181" s="2591"/>
      <c r="S1181" s="2591"/>
    </row>
    <row r="1182" ht="16.5" spans="1:19">
      <c r="A1182" s="2642"/>
      <c r="B1182" s="2675"/>
      <c r="C1182" s="2676"/>
      <c r="D1182" s="2677"/>
      <c r="E1182" s="2677"/>
      <c r="F1182" s="2677"/>
      <c r="G1182" s="2640"/>
      <c r="H1182" s="2640"/>
      <c r="I1182" s="2702"/>
      <c r="J1182" s="2591"/>
      <c r="K1182" s="2591"/>
      <c r="L1182" s="2591"/>
      <c r="M1182" s="2591"/>
      <c r="N1182" s="2591"/>
      <c r="O1182" s="2591"/>
      <c r="P1182" s="2591"/>
      <c r="Q1182" s="2591"/>
      <c r="R1182" s="2591"/>
      <c r="S1182" s="2591"/>
    </row>
    <row r="1183" ht="16.5" spans="1:19">
      <c r="A1183" s="2642"/>
      <c r="B1183" s="2675"/>
      <c r="C1183" s="2676"/>
      <c r="D1183" s="2677"/>
      <c r="E1183" s="2677"/>
      <c r="F1183" s="2677"/>
      <c r="G1183" s="2640"/>
      <c r="H1183" s="2640"/>
      <c r="I1183" s="2702"/>
      <c r="J1183" s="2591"/>
      <c r="K1183" s="2591"/>
      <c r="L1183" s="2591"/>
      <c r="M1183" s="2591"/>
      <c r="N1183" s="2591"/>
      <c r="O1183" s="2591"/>
      <c r="P1183" s="2591"/>
      <c r="Q1183" s="2591"/>
      <c r="R1183" s="2591"/>
      <c r="S1183" s="2591"/>
    </row>
    <row r="1184" ht="16.5" spans="1:19">
      <c r="A1184" s="2642"/>
      <c r="B1184" s="2675"/>
      <c r="C1184" s="2676"/>
      <c r="D1184" s="2677"/>
      <c r="E1184" s="2677"/>
      <c r="F1184" s="2677"/>
      <c r="G1184" s="2640"/>
      <c r="H1184" s="2640"/>
      <c r="I1184" s="2702"/>
      <c r="J1184" s="2591"/>
      <c r="K1184" s="2591"/>
      <c r="L1184" s="2591"/>
      <c r="M1184" s="2591"/>
      <c r="N1184" s="2591"/>
      <c r="O1184" s="2591"/>
      <c r="P1184" s="2591"/>
      <c r="Q1184" s="2591"/>
      <c r="R1184" s="2591"/>
      <c r="S1184" s="2591"/>
    </row>
    <row r="1185" ht="16.5" spans="1:19">
      <c r="A1185" s="2642"/>
      <c r="B1185" s="2675"/>
      <c r="C1185" s="2676"/>
      <c r="D1185" s="2677"/>
      <c r="E1185" s="2677"/>
      <c r="F1185" s="2677"/>
      <c r="G1185" s="2640"/>
      <c r="H1185" s="2640"/>
      <c r="I1185" s="2702"/>
      <c r="J1185" s="2591"/>
      <c r="K1185" s="2591"/>
      <c r="L1185" s="2591"/>
      <c r="M1185" s="2591"/>
      <c r="N1185" s="2591"/>
      <c r="O1185" s="2591"/>
      <c r="P1185" s="2591"/>
      <c r="Q1185" s="2591"/>
      <c r="R1185" s="2591"/>
      <c r="S1185" s="2591"/>
    </row>
    <row r="1186" ht="16.5" spans="1:19">
      <c r="A1186" s="2642"/>
      <c r="B1186" s="2675"/>
      <c r="C1186" s="2676"/>
      <c r="D1186" s="2677"/>
      <c r="E1186" s="2677"/>
      <c r="F1186" s="2677"/>
      <c r="G1186" s="2640"/>
      <c r="H1186" s="2640"/>
      <c r="I1186" s="2702"/>
      <c r="J1186" s="2591"/>
      <c r="K1186" s="2591"/>
      <c r="L1186" s="2591"/>
      <c r="M1186" s="2591"/>
      <c r="N1186" s="2591"/>
      <c r="O1186" s="2591"/>
      <c r="P1186" s="2591"/>
      <c r="Q1186" s="2591"/>
      <c r="R1186" s="2591"/>
      <c r="S1186" s="2591"/>
    </row>
    <row r="1187" ht="16.5" spans="1:19">
      <c r="A1187" s="2642"/>
      <c r="B1187" s="2675"/>
      <c r="C1187" s="2676"/>
      <c r="D1187" s="2677"/>
      <c r="E1187" s="2677"/>
      <c r="F1187" s="2677"/>
      <c r="G1187" s="2640"/>
      <c r="H1187" s="2640"/>
      <c r="I1187" s="2702"/>
      <c r="J1187" s="2591"/>
      <c r="K1187" s="2591"/>
      <c r="L1187" s="2591"/>
      <c r="M1187" s="2591"/>
      <c r="N1187" s="2591"/>
      <c r="O1187" s="2591"/>
      <c r="P1187" s="2591"/>
      <c r="Q1187" s="2591"/>
      <c r="R1187" s="2591"/>
      <c r="S1187" s="2591"/>
    </row>
    <row r="1188" ht="16.5" spans="1:19">
      <c r="A1188" s="2642"/>
      <c r="B1188" s="2675"/>
      <c r="C1188" s="2676"/>
      <c r="D1188" s="2677"/>
      <c r="E1188" s="2677"/>
      <c r="F1188" s="2677"/>
      <c r="G1188" s="2640"/>
      <c r="H1188" s="2640"/>
      <c r="I1188" s="2702"/>
      <c r="J1188" s="2591"/>
      <c r="K1188" s="2591"/>
      <c r="L1188" s="2591"/>
      <c r="M1188" s="2591"/>
      <c r="N1188" s="2591"/>
      <c r="O1188" s="2591"/>
      <c r="P1188" s="2591"/>
      <c r="Q1188" s="2591"/>
      <c r="R1188" s="2591"/>
      <c r="S1188" s="2591"/>
    </row>
    <row r="1189" ht="16.5" spans="1:19">
      <c r="A1189" s="2642"/>
      <c r="B1189" s="2675"/>
      <c r="C1189" s="2676"/>
      <c r="D1189" s="2677"/>
      <c r="E1189" s="2677"/>
      <c r="F1189" s="2677"/>
      <c r="G1189" s="2640"/>
      <c r="H1189" s="2640"/>
      <c r="I1189" s="2702"/>
      <c r="J1189" s="2591"/>
      <c r="K1189" s="2591"/>
      <c r="L1189" s="2591"/>
      <c r="M1189" s="2591"/>
      <c r="N1189" s="2591"/>
      <c r="O1189" s="2591"/>
      <c r="P1189" s="2591"/>
      <c r="Q1189" s="2591"/>
      <c r="R1189" s="2591"/>
      <c r="S1189" s="2591"/>
    </row>
    <row r="1190" ht="16.5" spans="1:19">
      <c r="A1190" s="2642"/>
      <c r="B1190" s="2675"/>
      <c r="C1190" s="2676"/>
      <c r="D1190" s="2677"/>
      <c r="E1190" s="2677"/>
      <c r="F1190" s="2677"/>
      <c r="G1190" s="2640"/>
      <c r="H1190" s="2640"/>
      <c r="I1190" s="2702"/>
      <c r="J1190" s="2591"/>
      <c r="K1190" s="2591"/>
      <c r="L1190" s="2591"/>
      <c r="M1190" s="2591"/>
      <c r="N1190" s="2591"/>
      <c r="O1190" s="2591"/>
      <c r="P1190" s="2591"/>
      <c r="Q1190" s="2591"/>
      <c r="R1190" s="2591"/>
      <c r="S1190" s="2591"/>
    </row>
    <row r="1191" ht="16.5" spans="1:19">
      <c r="A1191" s="2642"/>
      <c r="B1191" s="2675"/>
      <c r="C1191" s="2676"/>
      <c r="D1191" s="2677"/>
      <c r="E1191" s="2677"/>
      <c r="F1191" s="2677"/>
      <c r="G1191" s="2640"/>
      <c r="H1191" s="2640"/>
      <c r="I1191" s="2702"/>
      <c r="J1191" s="2591"/>
      <c r="K1191" s="2591"/>
      <c r="L1191" s="2591"/>
      <c r="M1191" s="2591"/>
      <c r="N1191" s="2591"/>
      <c r="O1191" s="2591"/>
      <c r="P1191" s="2591"/>
      <c r="Q1191" s="2591"/>
      <c r="R1191" s="2591"/>
      <c r="S1191" s="2591"/>
    </row>
    <row r="1192" ht="16.5" spans="1:19">
      <c r="A1192" s="2642"/>
      <c r="B1192" s="2675"/>
      <c r="C1192" s="2676"/>
      <c r="D1192" s="2677"/>
      <c r="E1192" s="2677"/>
      <c r="F1192" s="2677"/>
      <c r="G1192" s="2640"/>
      <c r="H1192" s="2640"/>
      <c r="I1192" s="2702"/>
      <c r="J1192" s="2591"/>
      <c r="K1192" s="2591"/>
      <c r="L1192" s="2591"/>
      <c r="M1192" s="2591"/>
      <c r="N1192" s="2591"/>
      <c r="O1192" s="2591"/>
      <c r="P1192" s="2591"/>
      <c r="Q1192" s="2591"/>
      <c r="R1192" s="2591"/>
      <c r="S1192" s="2591"/>
    </row>
    <row r="1193" ht="16.5" spans="1:19">
      <c r="A1193" s="2642"/>
      <c r="B1193" s="2675"/>
      <c r="C1193" s="2676"/>
      <c r="D1193" s="2677"/>
      <c r="E1193" s="2677"/>
      <c r="F1193" s="2677"/>
      <c r="G1193" s="2640"/>
      <c r="H1193" s="2640"/>
      <c r="I1193" s="2702"/>
      <c r="J1193" s="2591"/>
      <c r="K1193" s="2591"/>
      <c r="L1193" s="2591"/>
      <c r="M1193" s="2591"/>
      <c r="N1193" s="2591"/>
      <c r="O1193" s="2591"/>
      <c r="P1193" s="2591"/>
      <c r="Q1193" s="2591"/>
      <c r="R1193" s="2591"/>
      <c r="S1193" s="2591"/>
    </row>
    <row r="1194" ht="16.5" spans="1:19">
      <c r="A1194" s="2642"/>
      <c r="B1194" s="2675"/>
      <c r="C1194" s="2676"/>
      <c r="D1194" s="2677"/>
      <c r="E1194" s="2677"/>
      <c r="F1194" s="2677"/>
      <c r="G1194" s="2640"/>
      <c r="H1194" s="2640"/>
      <c r="I1194" s="2702"/>
      <c r="J1194" s="2591"/>
      <c r="K1194" s="2591"/>
      <c r="L1194" s="2591"/>
      <c r="M1194" s="2591"/>
      <c r="N1194" s="2591"/>
      <c r="O1194" s="2591"/>
      <c r="P1194" s="2591"/>
      <c r="Q1194" s="2591"/>
      <c r="R1194" s="2591"/>
      <c r="S1194" s="2591"/>
    </row>
    <row r="1195" ht="16.5" spans="1:19">
      <c r="A1195" s="2642"/>
      <c r="B1195" s="2675"/>
      <c r="C1195" s="2676"/>
      <c r="D1195" s="2677"/>
      <c r="E1195" s="2677"/>
      <c r="F1195" s="2677"/>
      <c r="G1195" s="2640"/>
      <c r="H1195" s="2640"/>
      <c r="I1195" s="2702"/>
      <c r="J1195" s="2591"/>
      <c r="K1195" s="2591"/>
      <c r="L1195" s="2591"/>
      <c r="M1195" s="2591"/>
      <c r="N1195" s="2591"/>
      <c r="O1195" s="2591"/>
      <c r="P1195" s="2591"/>
      <c r="Q1195" s="2591"/>
      <c r="R1195" s="2591"/>
      <c r="S1195" s="2591"/>
    </row>
    <row r="1196" ht="16.5" spans="1:19">
      <c r="A1196" s="2642"/>
      <c r="B1196" s="2675"/>
      <c r="C1196" s="2676"/>
      <c r="D1196" s="2677"/>
      <c r="E1196" s="2677"/>
      <c r="F1196" s="2677"/>
      <c r="G1196" s="2640"/>
      <c r="H1196" s="2640"/>
      <c r="I1196" s="2702"/>
      <c r="J1196" s="2591"/>
      <c r="K1196" s="2591"/>
      <c r="L1196" s="2591"/>
      <c r="M1196" s="2591"/>
      <c r="N1196" s="2591"/>
      <c r="O1196" s="2591"/>
      <c r="P1196" s="2591"/>
      <c r="Q1196" s="2591"/>
      <c r="R1196" s="2591"/>
      <c r="S1196" s="2591"/>
    </row>
    <row r="1197" ht="16.5" spans="1:19">
      <c r="A1197" s="2642"/>
      <c r="B1197" s="2675"/>
      <c r="C1197" s="2676"/>
      <c r="D1197" s="2677"/>
      <c r="E1197" s="2677"/>
      <c r="F1197" s="2677"/>
      <c r="G1197" s="2640"/>
      <c r="H1197" s="2640"/>
      <c r="I1197" s="2702"/>
      <c r="J1197" s="2591"/>
      <c r="K1197" s="2591"/>
      <c r="L1197" s="2591"/>
      <c r="M1197" s="2591"/>
      <c r="N1197" s="2591"/>
      <c r="O1197" s="2591"/>
      <c r="P1197" s="2591"/>
      <c r="Q1197" s="2591"/>
      <c r="R1197" s="2591"/>
      <c r="S1197" s="2591"/>
    </row>
    <row r="1198" ht="16.5" spans="1:19">
      <c r="A1198" s="2642"/>
      <c r="B1198" s="2675"/>
      <c r="C1198" s="2676"/>
      <c r="D1198" s="2677"/>
      <c r="E1198" s="2677"/>
      <c r="F1198" s="2677"/>
      <c r="G1198" s="2640"/>
      <c r="H1198" s="2640"/>
      <c r="I1198" s="2702"/>
      <c r="J1198" s="2591"/>
      <c r="K1198" s="2591"/>
      <c r="L1198" s="2591"/>
      <c r="M1198" s="2591"/>
      <c r="N1198" s="2591"/>
      <c r="O1198" s="2591"/>
      <c r="P1198" s="2591"/>
      <c r="Q1198" s="2591"/>
      <c r="R1198" s="2591"/>
      <c r="S1198" s="2591"/>
    </row>
    <row r="1199" ht="16.5" spans="1:19">
      <c r="A1199" s="2642"/>
      <c r="B1199" s="2675"/>
      <c r="C1199" s="2676"/>
      <c r="D1199" s="2677"/>
      <c r="E1199" s="2677"/>
      <c r="F1199" s="2677"/>
      <c r="G1199" s="2640"/>
      <c r="H1199" s="2640"/>
      <c r="I1199" s="2702"/>
      <c r="J1199" s="2591"/>
      <c r="K1199" s="2591"/>
      <c r="L1199" s="2591"/>
      <c r="M1199" s="2591"/>
      <c r="N1199" s="2591"/>
      <c r="O1199" s="2591"/>
      <c r="P1199" s="2591"/>
      <c r="Q1199" s="2591"/>
      <c r="R1199" s="2591"/>
      <c r="S1199" s="2591"/>
    </row>
    <row r="1200" ht="16.5" spans="1:19">
      <c r="A1200" s="2642"/>
      <c r="B1200" s="2675"/>
      <c r="C1200" s="2676"/>
      <c r="D1200" s="2677"/>
      <c r="E1200" s="2677"/>
      <c r="F1200" s="2677"/>
      <c r="G1200" s="2640"/>
      <c r="H1200" s="2640"/>
      <c r="I1200" s="2702"/>
      <c r="J1200" s="2591"/>
      <c r="K1200" s="2591"/>
      <c r="L1200" s="2591"/>
      <c r="M1200" s="2591"/>
      <c r="N1200" s="2591"/>
      <c r="O1200" s="2591"/>
      <c r="P1200" s="2591"/>
      <c r="Q1200" s="2591"/>
      <c r="R1200" s="2591"/>
      <c r="S1200" s="2591"/>
    </row>
    <row r="1201" ht="16.5" spans="1:19">
      <c r="A1201" s="2642"/>
      <c r="B1201" s="2675"/>
      <c r="C1201" s="2676"/>
      <c r="D1201" s="2677"/>
      <c r="E1201" s="2677"/>
      <c r="F1201" s="2677"/>
      <c r="G1201" s="2640"/>
      <c r="H1201" s="2640"/>
      <c r="I1201" s="2702"/>
      <c r="J1201" s="2591"/>
      <c r="K1201" s="2591"/>
      <c r="L1201" s="2591"/>
      <c r="M1201" s="2591"/>
      <c r="N1201" s="2591"/>
      <c r="O1201" s="2591"/>
      <c r="P1201" s="2591"/>
      <c r="Q1201" s="2591"/>
      <c r="R1201" s="2591"/>
      <c r="S1201" s="2591"/>
    </row>
    <row r="1202" ht="16.5" spans="1:19">
      <c r="A1202" s="2642"/>
      <c r="B1202" s="2675"/>
      <c r="C1202" s="2676"/>
      <c r="D1202" s="2677"/>
      <c r="E1202" s="2677"/>
      <c r="F1202" s="2677"/>
      <c r="G1202" s="2640"/>
      <c r="H1202" s="2640"/>
      <c r="I1202" s="2702"/>
      <c r="J1202" s="2591"/>
      <c r="K1202" s="2591"/>
      <c r="L1202" s="2591"/>
      <c r="M1202" s="2591"/>
      <c r="N1202" s="2591"/>
      <c r="O1202" s="2591"/>
      <c r="P1202" s="2591"/>
      <c r="Q1202" s="2591"/>
      <c r="R1202" s="2591"/>
      <c r="S1202" s="2591"/>
    </row>
    <row r="1203" ht="16.5" spans="1:19">
      <c r="A1203" s="2642"/>
      <c r="B1203" s="2675"/>
      <c r="C1203" s="2676"/>
      <c r="D1203" s="2677"/>
      <c r="E1203" s="2677"/>
      <c r="F1203" s="2677"/>
      <c r="G1203" s="2640"/>
      <c r="H1203" s="2640"/>
      <c r="I1203" s="2702"/>
      <c r="J1203" s="2591"/>
      <c r="K1203" s="2591"/>
      <c r="L1203" s="2591"/>
      <c r="M1203" s="2591"/>
      <c r="N1203" s="2591"/>
      <c r="O1203" s="2591"/>
      <c r="P1203" s="2591"/>
      <c r="Q1203" s="2591"/>
      <c r="R1203" s="2591"/>
      <c r="S1203" s="2591"/>
    </row>
    <row r="1204" ht="16.5" spans="1:19">
      <c r="A1204" s="2642"/>
      <c r="B1204" s="2675"/>
      <c r="C1204" s="2676"/>
      <c r="D1204" s="2677"/>
      <c r="E1204" s="2677"/>
      <c r="F1204" s="2677"/>
      <c r="G1204" s="2640"/>
      <c r="H1204" s="2640"/>
      <c r="I1204" s="2702"/>
      <c r="J1204" s="2591"/>
      <c r="K1204" s="2591"/>
      <c r="L1204" s="2591"/>
      <c r="M1204" s="2591"/>
      <c r="N1204" s="2591"/>
      <c r="O1204" s="2591"/>
      <c r="P1204" s="2591"/>
      <c r="Q1204" s="2591"/>
      <c r="R1204" s="2591"/>
      <c r="S1204" s="2591"/>
    </row>
    <row r="1205" ht="16.5" spans="1:19">
      <c r="A1205" s="2642"/>
      <c r="B1205" s="2675"/>
      <c r="C1205" s="2676"/>
      <c r="D1205" s="2677"/>
      <c r="E1205" s="2677"/>
      <c r="F1205" s="2677"/>
      <c r="G1205" s="2640"/>
      <c r="H1205" s="2640"/>
      <c r="I1205" s="2702"/>
      <c r="J1205" s="2591"/>
      <c r="K1205" s="2591"/>
      <c r="L1205" s="2591"/>
      <c r="M1205" s="2591"/>
      <c r="N1205" s="2591"/>
      <c r="O1205" s="2591"/>
      <c r="P1205" s="2591"/>
      <c r="Q1205" s="2591"/>
      <c r="R1205" s="2591"/>
      <c r="S1205" s="2591"/>
    </row>
    <row r="1206" ht="16.5" spans="1:19">
      <c r="A1206" s="2642"/>
      <c r="B1206" s="2675"/>
      <c r="C1206" s="2676"/>
      <c r="D1206" s="2677"/>
      <c r="E1206" s="2677"/>
      <c r="F1206" s="2677"/>
      <c r="G1206" s="2640"/>
      <c r="H1206" s="2640"/>
      <c r="I1206" s="2702"/>
      <c r="J1206" s="2591"/>
      <c r="K1206" s="2591"/>
      <c r="L1206" s="2591"/>
      <c r="M1206" s="2591"/>
      <c r="N1206" s="2591"/>
      <c r="O1206" s="2591"/>
      <c r="P1206" s="2591"/>
      <c r="Q1206" s="2591"/>
      <c r="R1206" s="2591"/>
      <c r="S1206" s="2591"/>
    </row>
    <row r="1207" ht="16.5" spans="1:19">
      <c r="A1207" s="2642"/>
      <c r="B1207" s="2675"/>
      <c r="C1207" s="2676"/>
      <c r="D1207" s="2677"/>
      <c r="E1207" s="2677"/>
      <c r="F1207" s="2677"/>
      <c r="G1207" s="2640"/>
      <c r="H1207" s="2640"/>
      <c r="I1207" s="2702"/>
      <c r="J1207" s="2591"/>
      <c r="K1207" s="2591"/>
      <c r="L1207" s="2591"/>
      <c r="M1207" s="2591"/>
      <c r="N1207" s="2591"/>
      <c r="O1207" s="2591"/>
      <c r="P1207" s="2591"/>
      <c r="Q1207" s="2591"/>
      <c r="R1207" s="2591"/>
      <c r="S1207" s="2591"/>
    </row>
    <row r="1208" ht="16.5" spans="1:19">
      <c r="A1208" s="2642"/>
      <c r="B1208" s="2675"/>
      <c r="C1208" s="2676"/>
      <c r="D1208" s="2677"/>
      <c r="E1208" s="2677"/>
      <c r="F1208" s="2677"/>
      <c r="G1208" s="2640"/>
      <c r="H1208" s="2640"/>
      <c r="I1208" s="2702"/>
      <c r="J1208" s="2591"/>
      <c r="K1208" s="2591"/>
      <c r="L1208" s="2591"/>
      <c r="M1208" s="2591"/>
      <c r="N1208" s="2591"/>
      <c r="O1208" s="2591"/>
      <c r="P1208" s="2591"/>
      <c r="Q1208" s="2591"/>
      <c r="R1208" s="2591"/>
      <c r="S1208" s="2591"/>
    </row>
    <row r="1209" ht="16.5" spans="1:19">
      <c r="A1209" s="2642"/>
      <c r="B1209" s="2675"/>
      <c r="C1209" s="2676"/>
      <c r="D1209" s="2677"/>
      <c r="E1209" s="2677"/>
      <c r="F1209" s="2677"/>
      <c r="G1209" s="2640"/>
      <c r="H1209" s="2640"/>
      <c r="I1209" s="2702"/>
      <c r="J1209" s="2591"/>
      <c r="K1209" s="2591"/>
      <c r="L1209" s="2591"/>
      <c r="M1209" s="2591"/>
      <c r="N1209" s="2591"/>
      <c r="O1209" s="2591"/>
      <c r="P1209" s="2591"/>
      <c r="Q1209" s="2591"/>
      <c r="R1209" s="2591"/>
      <c r="S1209" s="2591"/>
    </row>
    <row r="1210" ht="16.5" spans="1:19">
      <c r="A1210" s="2642"/>
      <c r="B1210" s="2675"/>
      <c r="C1210" s="2676"/>
      <c r="D1210" s="2677"/>
      <c r="E1210" s="2677"/>
      <c r="F1210" s="2677"/>
      <c r="G1210" s="2640"/>
      <c r="H1210" s="2640"/>
      <c r="I1210" s="2702"/>
      <c r="J1210" s="2591"/>
      <c r="K1210" s="2591"/>
      <c r="L1210" s="2591"/>
      <c r="M1210" s="2591"/>
      <c r="N1210" s="2591"/>
      <c r="O1210" s="2591"/>
      <c r="P1210" s="2591"/>
      <c r="Q1210" s="2591"/>
      <c r="R1210" s="2591"/>
      <c r="S1210" s="2591"/>
    </row>
    <row r="1211" ht="16.5" spans="1:19">
      <c r="A1211" s="2642"/>
      <c r="B1211" s="2675"/>
      <c r="C1211" s="2676"/>
      <c r="D1211" s="2677"/>
      <c r="E1211" s="2677"/>
      <c r="F1211" s="2677"/>
      <c r="G1211" s="2640"/>
      <c r="H1211" s="2640"/>
      <c r="I1211" s="2702"/>
      <c r="J1211" s="2591"/>
      <c r="K1211" s="2591"/>
      <c r="L1211" s="2591"/>
      <c r="M1211" s="2591"/>
      <c r="N1211" s="2591"/>
      <c r="O1211" s="2591"/>
      <c r="P1211" s="2591"/>
      <c r="Q1211" s="2591"/>
      <c r="R1211" s="2591"/>
      <c r="S1211" s="2591"/>
    </row>
    <row r="1212" ht="16.5" spans="1:19">
      <c r="A1212" s="2642"/>
      <c r="B1212" s="2675"/>
      <c r="C1212" s="2676"/>
      <c r="D1212" s="2677"/>
      <c r="E1212" s="2677"/>
      <c r="F1212" s="2677"/>
      <c r="G1212" s="2640"/>
      <c r="H1212" s="2640"/>
      <c r="I1212" s="2702"/>
      <c r="J1212" s="2591"/>
      <c r="K1212" s="2591"/>
      <c r="L1212" s="2591"/>
      <c r="M1212" s="2591"/>
      <c r="N1212" s="2591"/>
      <c r="O1212" s="2591"/>
      <c r="P1212" s="2591"/>
      <c r="Q1212" s="2591"/>
      <c r="R1212" s="2591"/>
      <c r="S1212" s="2591"/>
    </row>
    <row r="1213" ht="16.5" spans="1:19">
      <c r="A1213" s="2642"/>
      <c r="B1213" s="2675"/>
      <c r="C1213" s="2676"/>
      <c r="D1213" s="2677"/>
      <c r="E1213" s="2677"/>
      <c r="F1213" s="2677"/>
      <c r="G1213" s="2640"/>
      <c r="H1213" s="2640"/>
      <c r="I1213" s="2702"/>
      <c r="J1213" s="2591"/>
      <c r="K1213" s="2591"/>
      <c r="L1213" s="2591"/>
      <c r="M1213" s="2591"/>
      <c r="N1213" s="2591"/>
      <c r="O1213" s="2591"/>
      <c r="P1213" s="2591"/>
      <c r="Q1213" s="2591"/>
      <c r="R1213" s="2591"/>
      <c r="S1213" s="2591"/>
    </row>
    <row r="1214" ht="16.5" spans="1:19">
      <c r="A1214" s="2642"/>
      <c r="B1214" s="2675"/>
      <c r="C1214" s="2676"/>
      <c r="D1214" s="2677"/>
      <c r="E1214" s="2677"/>
      <c r="F1214" s="2677"/>
      <c r="G1214" s="2640"/>
      <c r="H1214" s="2640"/>
      <c r="I1214" s="2702"/>
      <c r="J1214" s="2591"/>
      <c r="K1214" s="2591"/>
      <c r="L1214" s="2591"/>
      <c r="M1214" s="2591"/>
      <c r="N1214" s="2591"/>
      <c r="O1214" s="2591"/>
      <c r="P1214" s="2591"/>
      <c r="Q1214" s="2591"/>
      <c r="R1214" s="2591"/>
      <c r="S1214" s="2591"/>
    </row>
    <row r="1215" ht="16.5" spans="1:19">
      <c r="A1215" s="2642"/>
      <c r="B1215" s="2675"/>
      <c r="C1215" s="2676"/>
      <c r="D1215" s="2677"/>
      <c r="E1215" s="2677"/>
      <c r="F1215" s="2677"/>
      <c r="G1215" s="2640"/>
      <c r="H1215" s="2640"/>
      <c r="I1215" s="2702"/>
      <c r="J1215" s="2591"/>
      <c r="K1215" s="2591"/>
      <c r="L1215" s="2591"/>
      <c r="M1215" s="2591"/>
      <c r="N1215" s="2591"/>
      <c r="O1215" s="2591"/>
      <c r="P1215" s="2591"/>
      <c r="Q1215" s="2591"/>
      <c r="R1215" s="2591"/>
      <c r="S1215" s="2591"/>
    </row>
    <row r="1216" ht="16.5" spans="1:19">
      <c r="A1216" s="2642"/>
      <c r="B1216" s="2675"/>
      <c r="C1216" s="2676"/>
      <c r="D1216" s="2677"/>
      <c r="E1216" s="2677"/>
      <c r="F1216" s="2677"/>
      <c r="G1216" s="2640"/>
      <c r="H1216" s="2640"/>
      <c r="I1216" s="2702"/>
      <c r="J1216" s="2591"/>
      <c r="K1216" s="2591"/>
      <c r="L1216" s="2591"/>
      <c r="M1216" s="2591"/>
      <c r="N1216" s="2591"/>
      <c r="O1216" s="2591"/>
      <c r="P1216" s="2591"/>
      <c r="Q1216" s="2591"/>
      <c r="R1216" s="2591"/>
      <c r="S1216" s="2591"/>
    </row>
    <row r="1217" ht="16.5" spans="1:19">
      <c r="A1217" s="2642"/>
      <c r="B1217" s="2675"/>
      <c r="C1217" s="2676"/>
      <c r="D1217" s="2677"/>
      <c r="E1217" s="2677"/>
      <c r="F1217" s="2677"/>
      <c r="G1217" s="2640"/>
      <c r="H1217" s="2640"/>
      <c r="I1217" s="2702"/>
      <c r="J1217" s="2591"/>
      <c r="K1217" s="2591"/>
      <c r="L1217" s="2591"/>
      <c r="M1217" s="2591"/>
      <c r="N1217" s="2591"/>
      <c r="O1217" s="2591"/>
      <c r="P1217" s="2591"/>
      <c r="Q1217" s="2591"/>
      <c r="R1217" s="2591"/>
      <c r="S1217" s="2591"/>
    </row>
    <row r="1218" ht="16.5" spans="1:19">
      <c r="A1218" s="2704"/>
      <c r="B1218" s="2675"/>
      <c r="C1218" s="2676"/>
      <c r="D1218" s="2677"/>
      <c r="E1218" s="2677"/>
      <c r="F1218" s="2677"/>
      <c r="G1218" s="2640"/>
      <c r="H1218" s="2640"/>
      <c r="I1218" s="2702"/>
      <c r="J1218" s="2591"/>
      <c r="K1218" s="2591"/>
      <c r="L1218" s="2591"/>
      <c r="M1218" s="2591"/>
      <c r="N1218" s="2591"/>
      <c r="O1218" s="2591"/>
      <c r="P1218" s="2591"/>
      <c r="Q1218" s="2591"/>
      <c r="R1218" s="2591"/>
      <c r="S1218" s="2591"/>
    </row>
    <row r="1219" ht="16.5" spans="1:19">
      <c r="A1219" s="2704"/>
      <c r="B1219" s="2675"/>
      <c r="C1219" s="2676"/>
      <c r="D1219" s="2677"/>
      <c r="E1219" s="2677"/>
      <c r="F1219" s="2677"/>
      <c r="G1219" s="2640"/>
      <c r="H1219" s="2640"/>
      <c r="I1219" s="2702"/>
      <c r="J1219" s="2591"/>
      <c r="K1219" s="2591"/>
      <c r="L1219" s="2591"/>
      <c r="M1219" s="2591"/>
      <c r="N1219" s="2591"/>
      <c r="O1219" s="2591"/>
      <c r="P1219" s="2591"/>
      <c r="Q1219" s="2591"/>
      <c r="R1219" s="2591"/>
      <c r="S1219" s="2591"/>
    </row>
    <row r="1220" ht="16.5" spans="1:19">
      <c r="A1220" s="2704"/>
      <c r="B1220" s="2675"/>
      <c r="C1220" s="2676"/>
      <c r="D1220" s="2677"/>
      <c r="E1220" s="2677"/>
      <c r="F1220" s="2677"/>
      <c r="G1220" s="2640"/>
      <c r="H1220" s="2640"/>
      <c r="I1220" s="2702"/>
      <c r="J1220" s="2591"/>
      <c r="K1220" s="2591"/>
      <c r="L1220" s="2591"/>
      <c r="M1220" s="2591"/>
      <c r="N1220" s="2591"/>
      <c r="O1220" s="2591"/>
      <c r="P1220" s="2591"/>
      <c r="Q1220" s="2591"/>
      <c r="R1220" s="2591"/>
      <c r="S1220" s="2591"/>
    </row>
    <row r="1221" ht="16.5" spans="1:19">
      <c r="A1221" s="2704"/>
      <c r="B1221" s="2675"/>
      <c r="C1221" s="2676"/>
      <c r="D1221" s="2677"/>
      <c r="E1221" s="2677"/>
      <c r="F1221" s="2677"/>
      <c r="G1221" s="2640"/>
      <c r="H1221" s="2640"/>
      <c r="I1221" s="2702"/>
      <c r="J1221" s="2591"/>
      <c r="K1221" s="2591"/>
      <c r="L1221" s="2591"/>
      <c r="M1221" s="2591"/>
      <c r="N1221" s="2591"/>
      <c r="O1221" s="2591"/>
      <c r="P1221" s="2591"/>
      <c r="Q1221" s="2591"/>
      <c r="R1221" s="2591"/>
      <c r="S1221" s="2591"/>
    </row>
    <row r="1222" ht="16.5" spans="1:19">
      <c r="A1222" s="2704"/>
      <c r="B1222" s="2675"/>
      <c r="C1222" s="2676"/>
      <c r="D1222" s="2677"/>
      <c r="E1222" s="2677"/>
      <c r="F1222" s="2677"/>
      <c r="G1222" s="2640"/>
      <c r="H1222" s="2640"/>
      <c r="I1222" s="2702"/>
      <c r="J1222" s="2591"/>
      <c r="K1222" s="2591"/>
      <c r="L1222" s="2591"/>
      <c r="M1222" s="2591"/>
      <c r="N1222" s="2591"/>
      <c r="O1222" s="2591"/>
      <c r="P1222" s="2591"/>
      <c r="Q1222" s="2591"/>
      <c r="R1222" s="2591"/>
      <c r="S1222" s="2591"/>
    </row>
    <row r="1223" ht="16.5" spans="1:19">
      <c r="A1223" s="2642"/>
      <c r="B1223" s="2675"/>
      <c r="C1223" s="2676"/>
      <c r="D1223" s="2677"/>
      <c r="E1223" s="2677"/>
      <c r="F1223" s="2677"/>
      <c r="G1223" s="2640"/>
      <c r="H1223" s="2640"/>
      <c r="I1223" s="2702"/>
      <c r="J1223" s="2591"/>
      <c r="K1223" s="2591"/>
      <c r="L1223" s="2591"/>
      <c r="M1223" s="2591"/>
      <c r="N1223" s="2591"/>
      <c r="O1223" s="2591"/>
      <c r="P1223" s="2591"/>
      <c r="Q1223" s="2591"/>
      <c r="R1223" s="2591"/>
      <c r="S1223" s="2591"/>
    </row>
    <row r="1224" ht="16.5" spans="1:19">
      <c r="A1224" s="2642"/>
      <c r="B1224" s="2675"/>
      <c r="C1224" s="2676"/>
      <c r="D1224" s="2677"/>
      <c r="E1224" s="2677"/>
      <c r="F1224" s="2677"/>
      <c r="G1224" s="2640"/>
      <c r="H1224" s="2640"/>
      <c r="I1224" s="2702"/>
      <c r="J1224" s="2591"/>
      <c r="K1224" s="2591"/>
      <c r="L1224" s="2591"/>
      <c r="M1224" s="2591"/>
      <c r="N1224" s="2591"/>
      <c r="O1224" s="2591"/>
      <c r="P1224" s="2591"/>
      <c r="Q1224" s="2591"/>
      <c r="R1224" s="2591"/>
      <c r="S1224" s="2591"/>
    </row>
    <row r="1225" ht="16.5" spans="1:19">
      <c r="A1225" s="2642"/>
      <c r="B1225" s="2675"/>
      <c r="C1225" s="2676"/>
      <c r="D1225" s="2677"/>
      <c r="E1225" s="2677"/>
      <c r="F1225" s="2677"/>
      <c r="G1225" s="2640"/>
      <c r="H1225" s="2640"/>
      <c r="I1225" s="2702"/>
      <c r="J1225" s="2591"/>
      <c r="K1225" s="2591"/>
      <c r="L1225" s="2591"/>
      <c r="M1225" s="2591"/>
      <c r="N1225" s="2591"/>
      <c r="O1225" s="2591"/>
      <c r="P1225" s="2591"/>
      <c r="Q1225" s="2591"/>
      <c r="R1225" s="2591"/>
      <c r="S1225" s="2591"/>
    </row>
    <row r="1226" ht="16.5" spans="1:19">
      <c r="A1226" s="2642"/>
      <c r="B1226" s="2675"/>
      <c r="C1226" s="2676"/>
      <c r="D1226" s="2677"/>
      <c r="E1226" s="2677"/>
      <c r="F1226" s="2677"/>
      <c r="G1226" s="2640"/>
      <c r="H1226" s="2640"/>
      <c r="I1226" s="2702"/>
      <c r="J1226" s="2591"/>
      <c r="K1226" s="2591"/>
      <c r="L1226" s="2591"/>
      <c r="M1226" s="2591"/>
      <c r="N1226" s="2591"/>
      <c r="O1226" s="2591"/>
      <c r="P1226" s="2591"/>
      <c r="Q1226" s="2591"/>
      <c r="R1226" s="2591"/>
      <c r="S1226" s="2591"/>
    </row>
    <row r="1227" ht="16.5" spans="1:19">
      <c r="A1227" s="2642"/>
      <c r="B1227" s="2675"/>
      <c r="C1227" s="2633"/>
      <c r="D1227" s="2632"/>
      <c r="E1227" s="2632"/>
      <c r="F1227" s="2632"/>
      <c r="G1227" s="2634"/>
      <c r="H1227" s="2634"/>
      <c r="I1227" s="2702"/>
      <c r="J1227" s="2591"/>
      <c r="K1227" s="2591"/>
      <c r="L1227" s="2591"/>
      <c r="M1227" s="2591"/>
      <c r="N1227" s="2591"/>
      <c r="O1227" s="2591"/>
      <c r="P1227" s="2591"/>
      <c r="Q1227" s="2591"/>
      <c r="R1227" s="2591"/>
      <c r="S1227" s="2591"/>
    </row>
    <row r="1228" spans="1:19">
      <c r="A1228" s="2705" t="s">
        <v>1696</v>
      </c>
      <c r="B1228" s="2706"/>
      <c r="C1228" s="2707"/>
      <c r="D1228" s="2706"/>
      <c r="E1228" s="2706"/>
      <c r="F1228" s="2706"/>
      <c r="G1228" s="2706"/>
      <c r="H1228" s="2706"/>
      <c r="I1228" s="2706"/>
      <c r="J1228" s="2591"/>
      <c r="K1228" s="2591"/>
      <c r="L1228" s="2591"/>
      <c r="M1228" s="2591"/>
      <c r="N1228" s="2591"/>
      <c r="O1228" s="2591"/>
      <c r="P1228" s="2591"/>
      <c r="Q1228" s="2591"/>
      <c r="R1228" s="2591"/>
      <c r="S1228" s="2591"/>
    </row>
    <row r="1229" spans="1:19">
      <c r="A1229" s="2708"/>
      <c r="B1229" s="2706"/>
      <c r="C1229" s="2706"/>
      <c r="D1229" s="2706"/>
      <c r="E1229" s="2706"/>
      <c r="F1229" s="2706"/>
      <c r="G1229" s="2706"/>
      <c r="H1229" s="2706"/>
      <c r="I1229" s="2706"/>
      <c r="J1229" s="2591"/>
      <c r="K1229" s="2591"/>
      <c r="L1229" s="2591"/>
      <c r="M1229" s="2591"/>
      <c r="N1229" s="2591"/>
      <c r="O1229" s="2591"/>
      <c r="P1229" s="2591"/>
      <c r="Q1229" s="2591"/>
      <c r="R1229" s="2591"/>
      <c r="S1229" s="2591"/>
    </row>
    <row r="1230" spans="1:19">
      <c r="A1230" s="2590"/>
      <c r="B1230" s="2591"/>
      <c r="C1230" s="2591"/>
      <c r="D1230" s="2591"/>
      <c r="E1230" s="2591"/>
      <c r="F1230" s="2591"/>
      <c r="G1230" s="2603">
        <f>SUBTOTAL(9,G177:G322)</f>
        <v>18450163.25</v>
      </c>
      <c r="H1230" s="2603">
        <f>SUBTOTAL(9,H177:H323)</f>
        <v>18450163.25</v>
      </c>
      <c r="I1230" s="2591"/>
      <c r="J1230" s="2591"/>
      <c r="K1230" s="2591"/>
      <c r="L1230" s="2591"/>
      <c r="M1230" s="2591"/>
      <c r="N1230" s="2591"/>
      <c r="O1230" s="2591"/>
      <c r="P1230" s="2591"/>
      <c r="Q1230" s="2591"/>
      <c r="R1230" s="2591"/>
      <c r="S1230" s="2591"/>
    </row>
    <row r="1231" spans="1:19">
      <c r="A1231" s="2590"/>
      <c r="B1231" s="2591"/>
      <c r="C1231" s="2591"/>
      <c r="D1231" s="2591"/>
      <c r="E1231" s="2591"/>
      <c r="F1231" s="2591"/>
      <c r="G1231" s="1960">
        <v>9057815.84</v>
      </c>
      <c r="H1231" s="1960">
        <v>9057815.84</v>
      </c>
      <c r="I1231" s="2591"/>
      <c r="J1231" s="2603"/>
      <c r="K1231" s="2591"/>
      <c r="L1231" s="2591"/>
      <c r="M1231" s="2591"/>
      <c r="N1231" s="2591"/>
      <c r="O1231" s="2591"/>
      <c r="P1231" s="2591"/>
      <c r="Q1231" s="2591"/>
      <c r="R1231" s="2591"/>
      <c r="S1231" s="2591"/>
    </row>
    <row r="1232" spans="1:19">
      <c r="A1232" s="2590"/>
      <c r="B1232" s="2591"/>
      <c r="C1232" s="2591"/>
      <c r="D1232" s="2591"/>
      <c r="E1232" s="2591"/>
      <c r="F1232" s="2591"/>
      <c r="G1232" s="1960"/>
      <c r="H1232" s="1960">
        <f>H1230-H1231</f>
        <v>9392347.41</v>
      </c>
      <c r="I1232" s="2591"/>
      <c r="J1232" s="2591"/>
      <c r="K1232" s="2591"/>
      <c r="L1232" s="2591"/>
      <c r="M1232" s="2591"/>
      <c r="N1232" s="2591"/>
      <c r="O1232" s="2591"/>
      <c r="P1232" s="2591"/>
      <c r="Q1232" s="2591"/>
      <c r="R1232" s="2591"/>
      <c r="S1232" s="2591"/>
    </row>
    <row r="1233" spans="1:19">
      <c r="A1233" s="2590"/>
      <c r="B1233" s="2591"/>
      <c r="C1233" s="2591"/>
      <c r="D1233" s="2591"/>
      <c r="E1233" s="2591"/>
      <c r="F1233" s="2591"/>
      <c r="G1233" s="1960"/>
      <c r="H1233" s="1960"/>
      <c r="I1233" s="2591"/>
      <c r="J1233" s="2591"/>
      <c r="K1233" s="2591"/>
      <c r="L1233" s="2591"/>
      <c r="M1233" s="2591"/>
      <c r="N1233" s="2591"/>
      <c r="O1233" s="2591"/>
      <c r="P1233" s="2591"/>
      <c r="Q1233" s="2591"/>
      <c r="R1233" s="2591"/>
      <c r="S1233" s="2591"/>
    </row>
    <row r="1234" spans="1:19">
      <c r="A1234" s="2590"/>
      <c r="B1234" s="2591"/>
      <c r="C1234" s="2591"/>
      <c r="D1234" s="2591"/>
      <c r="E1234" s="2591"/>
      <c r="F1234" s="2591"/>
      <c r="G1234" s="2603"/>
      <c r="H1234" s="2603"/>
      <c r="I1234" s="2591"/>
      <c r="J1234" s="2591"/>
      <c r="K1234" s="2591"/>
      <c r="L1234" s="2591"/>
      <c r="M1234" s="2591"/>
      <c r="N1234" s="2591"/>
      <c r="O1234" s="2591"/>
      <c r="P1234" s="2591"/>
      <c r="Q1234" s="2591"/>
      <c r="R1234" s="2591"/>
      <c r="S1234" s="2591"/>
    </row>
    <row r="1235" spans="1:19">
      <c r="A1235" s="2590"/>
      <c r="B1235" s="2591"/>
      <c r="C1235" s="2591"/>
      <c r="D1235" s="2591"/>
      <c r="E1235" s="2591"/>
      <c r="F1235" s="2591"/>
      <c r="G1235" s="2603"/>
      <c r="H1235" s="2603"/>
      <c r="I1235" s="2591"/>
      <c r="J1235" s="2591"/>
      <c r="K1235" s="2591"/>
      <c r="L1235" s="2591"/>
      <c r="M1235" s="2591"/>
      <c r="N1235" s="2591"/>
      <c r="O1235" s="2591"/>
      <c r="P1235" s="2591"/>
      <c r="Q1235" s="2591"/>
      <c r="R1235" s="2591"/>
      <c r="S1235" s="2591"/>
    </row>
    <row r="1236" spans="1:19">
      <c r="A1236" s="2590"/>
      <c r="B1236" s="2591"/>
      <c r="C1236" s="2591"/>
      <c r="D1236" s="2591"/>
      <c r="E1236" s="2591"/>
      <c r="F1236" s="2591"/>
      <c r="G1236" s="2591"/>
      <c r="H1236" s="2603"/>
      <c r="I1236" s="2591"/>
      <c r="J1236" s="2591"/>
      <c r="K1236" s="2591"/>
      <c r="L1236" s="2591"/>
      <c r="M1236" s="2591"/>
      <c r="N1236" s="2591"/>
      <c r="O1236" s="2591"/>
      <c r="P1236" s="2591"/>
      <c r="Q1236" s="2591"/>
      <c r="R1236" s="2591"/>
      <c r="S1236" s="2591"/>
    </row>
    <row r="1237" spans="1:19">
      <c r="A1237" s="2590"/>
      <c r="B1237" s="2591"/>
      <c r="C1237" s="2591"/>
      <c r="D1237" s="2591"/>
      <c r="E1237" s="2591"/>
      <c r="F1237" s="2591"/>
      <c r="G1237" s="2591"/>
      <c r="H1237" s="2591"/>
      <c r="I1237" s="2591"/>
      <c r="J1237" s="2591"/>
      <c r="K1237" s="2591"/>
      <c r="L1237" s="2591"/>
      <c r="M1237" s="2591"/>
      <c r="N1237" s="2591"/>
      <c r="O1237" s="2591"/>
      <c r="P1237" s="2591"/>
      <c r="Q1237" s="2591"/>
      <c r="R1237" s="2591"/>
      <c r="S1237" s="2591"/>
    </row>
    <row r="1238" spans="1:19">
      <c r="A1238" s="2590"/>
      <c r="B1238" s="2591"/>
      <c r="C1238" s="2591"/>
      <c r="D1238" s="2591"/>
      <c r="E1238" s="2591"/>
      <c r="F1238" s="2591"/>
      <c r="G1238" s="2591"/>
      <c r="H1238" s="2591"/>
      <c r="I1238" s="2591"/>
      <c r="J1238" s="2591"/>
      <c r="K1238" s="2591"/>
      <c r="L1238" s="2591"/>
      <c r="M1238" s="2591"/>
      <c r="N1238" s="2591"/>
      <c r="O1238" s="2591"/>
      <c r="P1238" s="2591"/>
      <c r="Q1238" s="2591"/>
      <c r="R1238" s="2591"/>
      <c r="S1238" s="2591"/>
    </row>
    <row r="1239" spans="1:19">
      <c r="A1239" s="2590"/>
      <c r="B1239" s="2591"/>
      <c r="C1239" s="2591"/>
      <c r="D1239" s="2591"/>
      <c r="E1239" s="2591"/>
      <c r="F1239" s="2591"/>
      <c r="G1239" s="2591"/>
      <c r="H1239" s="2591"/>
      <c r="I1239" s="2591"/>
      <c r="J1239" s="2591"/>
      <c r="K1239" s="2591"/>
      <c r="L1239" s="2591"/>
      <c r="M1239" s="2591"/>
      <c r="N1239" s="2591"/>
      <c r="O1239" s="2591"/>
      <c r="P1239" s="2591"/>
      <c r="Q1239" s="2591"/>
      <c r="R1239" s="2591"/>
      <c r="S1239" s="2591"/>
    </row>
    <row r="1240" spans="1:19">
      <c r="A1240" s="2590"/>
      <c r="B1240" s="2591"/>
      <c r="C1240" s="2591"/>
      <c r="D1240" s="2591"/>
      <c r="E1240" s="2591"/>
      <c r="F1240" s="2591"/>
      <c r="G1240" s="2591"/>
      <c r="H1240" s="2591"/>
      <c r="I1240" s="2591"/>
      <c r="J1240" s="2591"/>
      <c r="K1240" s="2591"/>
      <c r="L1240" s="2591"/>
      <c r="M1240" s="2591"/>
      <c r="N1240" s="2591"/>
      <c r="O1240" s="2591"/>
      <c r="P1240" s="2591"/>
      <c r="Q1240" s="2591"/>
      <c r="R1240" s="2591"/>
      <c r="S1240" s="2591"/>
    </row>
    <row r="1241" spans="1:19">
      <c r="A1241" s="2590"/>
      <c r="B1241" s="2591"/>
      <c r="C1241" s="2591"/>
      <c r="D1241" s="2591"/>
      <c r="E1241" s="2591"/>
      <c r="F1241" s="2591"/>
      <c r="G1241" s="2591"/>
      <c r="H1241" s="2591"/>
      <c r="I1241" s="2591"/>
      <c r="J1241" s="2591"/>
      <c r="K1241" s="2591"/>
      <c r="L1241" s="2591"/>
      <c r="M1241" s="2591"/>
      <c r="N1241" s="2591"/>
      <c r="O1241" s="2591"/>
      <c r="P1241" s="2591"/>
      <c r="Q1241" s="2591"/>
      <c r="R1241" s="2591"/>
      <c r="S1241" s="2591"/>
    </row>
    <row r="1242" spans="1:19">
      <c r="A1242" s="2590"/>
      <c r="B1242" s="2591"/>
      <c r="C1242" s="2591"/>
      <c r="D1242" s="2591"/>
      <c r="E1242" s="2591"/>
      <c r="F1242" s="2591"/>
      <c r="G1242" s="2591"/>
      <c r="H1242" s="2591"/>
      <c r="I1242" s="2591"/>
      <c r="J1242" s="2591"/>
      <c r="K1242" s="2591"/>
      <c r="L1242" s="2591"/>
      <c r="M1242" s="2591"/>
      <c r="N1242" s="2591"/>
      <c r="O1242" s="2591"/>
      <c r="P1242" s="2591"/>
      <c r="Q1242" s="2591"/>
      <c r="R1242" s="2591"/>
      <c r="S1242" s="2591"/>
    </row>
    <row r="1243" spans="1:19">
      <c r="A1243" s="2590"/>
      <c r="B1243" s="2591"/>
      <c r="C1243" s="2591"/>
      <c r="D1243" s="2591"/>
      <c r="E1243" s="2591"/>
      <c r="F1243" s="2591"/>
      <c r="G1243" s="2591"/>
      <c r="H1243" s="2591"/>
      <c r="I1243" s="2591"/>
      <c r="J1243" s="2591"/>
      <c r="K1243" s="2591"/>
      <c r="L1243" s="2591"/>
      <c r="M1243" s="2591"/>
      <c r="N1243" s="2591"/>
      <c r="O1243" s="2591"/>
      <c r="P1243" s="2591"/>
      <c r="Q1243" s="2591"/>
      <c r="R1243" s="2591"/>
      <c r="S1243" s="2591"/>
    </row>
    <row r="1244" spans="1:19">
      <c r="A1244" s="2590"/>
      <c r="B1244" s="2591"/>
      <c r="C1244" s="2591"/>
      <c r="D1244" s="2591"/>
      <c r="E1244" s="2591"/>
      <c r="F1244" s="2591"/>
      <c r="G1244" s="2591"/>
      <c r="H1244" s="2591"/>
      <c r="I1244" s="2591"/>
      <c r="J1244" s="2591"/>
      <c r="K1244" s="2591"/>
      <c r="L1244" s="2591"/>
      <c r="M1244" s="2591"/>
      <c r="N1244" s="2591"/>
      <c r="O1244" s="2591"/>
      <c r="P1244" s="2591"/>
      <c r="Q1244" s="2591"/>
      <c r="R1244" s="2591"/>
      <c r="S1244" s="2591"/>
    </row>
    <row r="1245" spans="1:19">
      <c r="A1245" s="2590"/>
      <c r="B1245" s="2591"/>
      <c r="C1245" s="2591"/>
      <c r="D1245" s="2591"/>
      <c r="E1245" s="2591"/>
      <c r="F1245" s="2591"/>
      <c r="G1245" s="2591"/>
      <c r="H1245" s="2591"/>
      <c r="I1245" s="2591"/>
      <c r="J1245" s="2591"/>
      <c r="K1245" s="2591"/>
      <c r="L1245" s="2591"/>
      <c r="M1245" s="2591"/>
      <c r="N1245" s="2591"/>
      <c r="O1245" s="2591"/>
      <c r="P1245" s="2591"/>
      <c r="Q1245" s="2591"/>
      <c r="R1245" s="2591"/>
      <c r="S1245" s="2591"/>
    </row>
    <row r="1246" spans="1:19">
      <c r="A1246" s="2590"/>
      <c r="B1246" s="2591"/>
      <c r="C1246" s="2591"/>
      <c r="D1246" s="2591"/>
      <c r="E1246" s="2591"/>
      <c r="F1246" s="2591"/>
      <c r="G1246" s="2591"/>
      <c r="H1246" s="2591"/>
      <c r="I1246" s="2591"/>
      <c r="J1246" s="2591"/>
      <c r="K1246" s="2591"/>
      <c r="L1246" s="2591"/>
      <c r="M1246" s="2591"/>
      <c r="N1246" s="2591"/>
      <c r="O1246" s="2591"/>
      <c r="P1246" s="2591"/>
      <c r="Q1246" s="2591"/>
      <c r="R1246" s="2591"/>
      <c r="S1246" s="2591"/>
    </row>
    <row r="1247" spans="1:19">
      <c r="A1247" s="2590"/>
      <c r="B1247" s="2591"/>
      <c r="C1247" s="2591"/>
      <c r="D1247" s="2591"/>
      <c r="E1247" s="2591"/>
      <c r="F1247" s="2591"/>
      <c r="G1247" s="2591"/>
      <c r="H1247" s="2591"/>
      <c r="I1247" s="2591"/>
      <c r="J1247" s="2591"/>
      <c r="K1247" s="2591"/>
      <c r="L1247" s="2591"/>
      <c r="M1247" s="2591"/>
      <c r="N1247" s="2591"/>
      <c r="O1247" s="2591"/>
      <c r="P1247" s="2591"/>
      <c r="Q1247" s="2591"/>
      <c r="R1247" s="2591"/>
      <c r="S1247" s="2591"/>
    </row>
    <row r="1248" spans="1:19">
      <c r="A1248" s="2590"/>
      <c r="B1248" s="2591"/>
      <c r="C1248" s="2591"/>
      <c r="D1248" s="2591"/>
      <c r="E1248" s="2591"/>
      <c r="F1248" s="2591"/>
      <c r="G1248" s="2591"/>
      <c r="H1248" s="2591"/>
      <c r="I1248" s="2591"/>
      <c r="J1248" s="2591"/>
      <c r="K1248" s="2591"/>
      <c r="L1248" s="2591"/>
      <c r="M1248" s="2591"/>
      <c r="N1248" s="2591"/>
      <c r="O1248" s="2591"/>
      <c r="P1248" s="2591"/>
      <c r="Q1248" s="2591"/>
      <c r="R1248" s="2591"/>
      <c r="S1248" s="2591"/>
    </row>
    <row r="1249" spans="1:19">
      <c r="A1249" s="2590"/>
      <c r="B1249" s="2591"/>
      <c r="C1249" s="2591"/>
      <c r="D1249" s="2591"/>
      <c r="E1249" s="2591"/>
      <c r="F1249" s="2591"/>
      <c r="G1249" s="2591"/>
      <c r="H1249" s="2591"/>
      <c r="I1249" s="2591"/>
      <c r="J1249" s="2591"/>
      <c r="K1249" s="2591"/>
      <c r="L1249" s="2591"/>
      <c r="M1249" s="2591"/>
      <c r="N1249" s="2591"/>
      <c r="O1249" s="2591"/>
      <c r="P1249" s="2591"/>
      <c r="Q1249" s="2591"/>
      <c r="R1249" s="2591"/>
      <c r="S1249" s="2591"/>
    </row>
    <row r="1250" spans="1:19">
      <c r="A1250" s="2590"/>
      <c r="B1250" s="2591"/>
      <c r="C1250" s="2591"/>
      <c r="D1250" s="2591"/>
      <c r="E1250" s="2591"/>
      <c r="F1250" s="2591"/>
      <c r="G1250" s="2591"/>
      <c r="H1250" s="2591"/>
      <c r="I1250" s="2591"/>
      <c r="J1250" s="2591"/>
      <c r="K1250" s="2591"/>
      <c r="L1250" s="2591"/>
      <c r="M1250" s="2591"/>
      <c r="N1250" s="2591"/>
      <c r="O1250" s="2591"/>
      <c r="P1250" s="2591"/>
      <c r="Q1250" s="2591"/>
      <c r="R1250" s="2591"/>
      <c r="S1250" s="2591"/>
    </row>
    <row r="1251" spans="1:19">
      <c r="A1251" s="2590"/>
      <c r="B1251" s="2591"/>
      <c r="C1251" s="2591"/>
      <c r="D1251" s="2591"/>
      <c r="E1251" s="2591"/>
      <c r="F1251" s="2591"/>
      <c r="G1251" s="2591"/>
      <c r="H1251" s="2591"/>
      <c r="I1251" s="2591"/>
      <c r="J1251" s="2591"/>
      <c r="K1251" s="2591"/>
      <c r="L1251" s="2591"/>
      <c r="M1251" s="2591"/>
      <c r="N1251" s="2591"/>
      <c r="O1251" s="2591"/>
      <c r="P1251" s="2591"/>
      <c r="Q1251" s="2591"/>
      <c r="R1251" s="2591"/>
      <c r="S1251" s="2591"/>
    </row>
    <row r="1252" spans="1:19">
      <c r="A1252" s="2590"/>
      <c r="B1252" s="2591"/>
      <c r="C1252" s="2591"/>
      <c r="D1252" s="2591"/>
      <c r="E1252" s="2591"/>
      <c r="F1252" s="2591"/>
      <c r="G1252" s="2591"/>
      <c r="H1252" s="2591"/>
      <c r="I1252" s="2591"/>
      <c r="J1252" s="2591"/>
      <c r="K1252" s="2591"/>
      <c r="L1252" s="2591"/>
      <c r="M1252" s="2591"/>
      <c r="N1252" s="2591"/>
      <c r="O1252" s="2591"/>
      <c r="P1252" s="2591"/>
      <c r="Q1252" s="2591"/>
      <c r="R1252" s="2591"/>
      <c r="S1252" s="2591"/>
    </row>
    <row r="1253" spans="1:19">
      <c r="A1253" s="2590"/>
      <c r="B1253" s="2591"/>
      <c r="C1253" s="2591"/>
      <c r="D1253" s="2591"/>
      <c r="E1253" s="2591"/>
      <c r="F1253" s="2591"/>
      <c r="G1253" s="2591"/>
      <c r="H1253" s="2591"/>
      <c r="I1253" s="2591"/>
      <c r="J1253" s="2591"/>
      <c r="K1253" s="2591"/>
      <c r="L1253" s="2591"/>
      <c r="M1253" s="2591"/>
      <c r="N1253" s="2591"/>
      <c r="O1253" s="2591"/>
      <c r="P1253" s="2591"/>
      <c r="Q1253" s="2591"/>
      <c r="R1253" s="2591"/>
      <c r="S1253" s="2591"/>
    </row>
    <row r="1254" spans="1:19">
      <c r="A1254" s="2590"/>
      <c r="B1254" s="2591"/>
      <c r="C1254" s="2591"/>
      <c r="D1254" s="2591"/>
      <c r="E1254" s="2591"/>
      <c r="F1254" s="2591"/>
      <c r="G1254" s="2591"/>
      <c r="H1254" s="2591"/>
      <c r="I1254" s="2591"/>
      <c r="J1254" s="2591"/>
      <c r="K1254" s="2591"/>
      <c r="L1254" s="2591"/>
      <c r="M1254" s="2591"/>
      <c r="N1254" s="2591"/>
      <c r="O1254" s="2591"/>
      <c r="P1254" s="2591"/>
      <c r="Q1254" s="2591"/>
      <c r="R1254" s="2591"/>
      <c r="S1254" s="2591"/>
    </row>
    <row r="1255" spans="1:19">
      <c r="A1255" s="2590"/>
      <c r="B1255" s="2591"/>
      <c r="C1255" s="2591"/>
      <c r="D1255" s="2591"/>
      <c r="E1255" s="2591"/>
      <c r="F1255" s="2591"/>
      <c r="G1255" s="2591"/>
      <c r="H1255" s="2591"/>
      <c r="I1255" s="2591"/>
      <c r="J1255" s="2591"/>
      <c r="K1255" s="2591"/>
      <c r="L1255" s="2591"/>
      <c r="M1255" s="2591"/>
      <c r="N1255" s="2591"/>
      <c r="O1255" s="2591"/>
      <c r="P1255" s="2591"/>
      <c r="Q1255" s="2591"/>
      <c r="R1255" s="2591"/>
      <c r="S1255" s="2591"/>
    </row>
    <row r="1256" spans="1:19">
      <c r="A1256" s="2590"/>
      <c r="B1256" s="2591"/>
      <c r="C1256" s="2591"/>
      <c r="D1256" s="2591"/>
      <c r="E1256" s="2591"/>
      <c r="F1256" s="2591"/>
      <c r="G1256" s="2591"/>
      <c r="H1256" s="2591"/>
      <c r="I1256" s="2591"/>
      <c r="J1256" s="2591"/>
      <c r="K1256" s="2591"/>
      <c r="L1256" s="2591"/>
      <c r="M1256" s="2591"/>
      <c r="N1256" s="2591"/>
      <c r="O1256" s="2591"/>
      <c r="P1256" s="2591"/>
      <c r="Q1256" s="2591"/>
      <c r="R1256" s="2591"/>
      <c r="S1256" s="2591"/>
    </row>
    <row r="1257" spans="1:19">
      <c r="A1257" s="2590"/>
      <c r="B1257" s="2591"/>
      <c r="C1257" s="2591"/>
      <c r="D1257" s="2591"/>
      <c r="E1257" s="2591"/>
      <c r="F1257" s="2591"/>
      <c r="G1257" s="2591"/>
      <c r="H1257" s="2591"/>
      <c r="I1257" s="2591"/>
      <c r="J1257" s="2591"/>
      <c r="K1257" s="2591"/>
      <c r="L1257" s="2591"/>
      <c r="M1257" s="2591"/>
      <c r="N1257" s="2591"/>
      <c r="O1257" s="2591"/>
      <c r="P1257" s="2591"/>
      <c r="Q1257" s="2591"/>
      <c r="R1257" s="2591"/>
      <c r="S1257" s="2591"/>
    </row>
    <row r="1258" spans="1:19">
      <c r="A1258" s="2590"/>
      <c r="B1258" s="2591"/>
      <c r="C1258" s="2591"/>
      <c r="D1258" s="2591"/>
      <c r="E1258" s="2591"/>
      <c r="F1258" s="2591"/>
      <c r="G1258" s="2591"/>
      <c r="H1258" s="2591"/>
      <c r="I1258" s="2591"/>
      <c r="J1258" s="2591"/>
      <c r="K1258" s="2591"/>
      <c r="L1258" s="2591"/>
      <c r="M1258" s="2591"/>
      <c r="N1258" s="2591"/>
      <c r="O1258" s="2591"/>
      <c r="P1258" s="2591"/>
      <c r="Q1258" s="2591"/>
      <c r="R1258" s="2591"/>
      <c r="S1258" s="2591"/>
    </row>
    <row r="1259" spans="1:19">
      <c r="A1259" s="2590"/>
      <c r="B1259" s="2591"/>
      <c r="C1259" s="2591"/>
      <c r="D1259" s="2591"/>
      <c r="E1259" s="2591"/>
      <c r="F1259" s="2591"/>
      <c r="G1259" s="2591"/>
      <c r="H1259" s="2591"/>
      <c r="I1259" s="2591"/>
      <c r="J1259" s="2591"/>
      <c r="K1259" s="2591"/>
      <c r="L1259" s="2591"/>
      <c r="M1259" s="2591"/>
      <c r="N1259" s="2591"/>
      <c r="O1259" s="2591"/>
      <c r="P1259" s="2591"/>
      <c r="Q1259" s="2591"/>
      <c r="R1259" s="2591"/>
      <c r="S1259" s="2591"/>
    </row>
    <row r="1260" spans="1:19">
      <c r="A1260" s="2590"/>
      <c r="B1260" s="2591"/>
      <c r="C1260" s="2591"/>
      <c r="D1260" s="2591"/>
      <c r="E1260" s="2591"/>
      <c r="F1260" s="2591"/>
      <c r="G1260" s="2591"/>
      <c r="H1260" s="2591"/>
      <c r="I1260" s="2591"/>
      <c r="J1260" s="2591"/>
      <c r="K1260" s="2591"/>
      <c r="L1260" s="2591"/>
      <c r="M1260" s="2591"/>
      <c r="N1260" s="2591"/>
      <c r="O1260" s="2591"/>
      <c r="P1260" s="2591"/>
      <c r="Q1260" s="2591"/>
      <c r="R1260" s="2591"/>
      <c r="S1260" s="2591"/>
    </row>
    <row r="1261" spans="1:19">
      <c r="A1261" s="2590"/>
      <c r="B1261" s="2591"/>
      <c r="C1261" s="2591"/>
      <c r="D1261" s="2591"/>
      <c r="E1261" s="2591"/>
      <c r="F1261" s="2591"/>
      <c r="G1261" s="2591"/>
      <c r="H1261" s="2591"/>
      <c r="I1261" s="2591"/>
      <c r="J1261" s="2591"/>
      <c r="K1261" s="2591"/>
      <c r="L1261" s="2591"/>
      <c r="M1261" s="2591"/>
      <c r="N1261" s="2591"/>
      <c r="O1261" s="2591"/>
      <c r="P1261" s="2591"/>
      <c r="Q1261" s="2591"/>
      <c r="R1261" s="2591"/>
      <c r="S1261" s="2591"/>
    </row>
    <row r="1262" spans="1:19">
      <c r="A1262" s="2590"/>
      <c r="B1262" s="2591"/>
      <c r="C1262" s="2591"/>
      <c r="D1262" s="2591"/>
      <c r="E1262" s="2591"/>
      <c r="F1262" s="2591"/>
      <c r="G1262" s="2591"/>
      <c r="H1262" s="2591"/>
      <c r="I1262" s="2591"/>
      <c r="J1262" s="2591"/>
      <c r="K1262" s="2591"/>
      <c r="L1262" s="2591"/>
      <c r="M1262" s="2591"/>
      <c r="N1262" s="2591"/>
      <c r="O1262" s="2591"/>
      <c r="P1262" s="2591"/>
      <c r="Q1262" s="2591"/>
      <c r="R1262" s="2591"/>
      <c r="S1262" s="2591"/>
    </row>
    <row r="1263" spans="1:19">
      <c r="A1263" s="2590"/>
      <c r="B1263" s="2591"/>
      <c r="C1263" s="2591"/>
      <c r="D1263" s="2591"/>
      <c r="E1263" s="2591"/>
      <c r="F1263" s="2591"/>
      <c r="G1263" s="2591"/>
      <c r="H1263" s="2591"/>
      <c r="I1263" s="2591"/>
      <c r="J1263" s="2591"/>
      <c r="K1263" s="2591"/>
      <c r="L1263" s="2591"/>
      <c r="M1263" s="2591"/>
      <c r="N1263" s="2591"/>
      <c r="O1263" s="2591"/>
      <c r="P1263" s="2591"/>
      <c r="Q1263" s="2591"/>
      <c r="R1263" s="2591"/>
      <c r="S1263" s="2591"/>
    </row>
    <row r="1264" spans="1:19">
      <c r="A1264" s="2590"/>
      <c r="B1264" s="2591"/>
      <c r="C1264" s="2591"/>
      <c r="D1264" s="2591"/>
      <c r="E1264" s="2591"/>
      <c r="F1264" s="2591"/>
      <c r="G1264" s="2591"/>
      <c r="H1264" s="2591"/>
      <c r="I1264" s="2591"/>
      <c r="J1264" s="2591"/>
      <c r="K1264" s="2591"/>
      <c r="L1264" s="2591"/>
      <c r="M1264" s="2591"/>
      <c r="N1264" s="2591"/>
      <c r="O1264" s="2591"/>
      <c r="P1264" s="2591"/>
      <c r="Q1264" s="2591"/>
      <c r="R1264" s="2591"/>
      <c r="S1264" s="2591"/>
    </row>
    <row r="1265" spans="1:19">
      <c r="A1265" s="2590"/>
      <c r="B1265" s="2591"/>
      <c r="C1265" s="2591"/>
      <c r="D1265" s="2591"/>
      <c r="E1265" s="2591"/>
      <c r="F1265" s="2591"/>
      <c r="G1265" s="2591"/>
      <c r="H1265" s="2591"/>
      <c r="I1265" s="2591"/>
      <c r="J1265" s="2591"/>
      <c r="K1265" s="2591"/>
      <c r="L1265" s="2591"/>
      <c r="M1265" s="2591"/>
      <c r="N1265" s="2591"/>
      <c r="O1265" s="2591"/>
      <c r="P1265" s="2591"/>
      <c r="Q1265" s="2591"/>
      <c r="R1265" s="2591"/>
      <c r="S1265" s="2591"/>
    </row>
    <row r="1266" spans="1:19">
      <c r="A1266" s="2590"/>
      <c r="B1266" s="2591"/>
      <c r="C1266" s="2591"/>
      <c r="D1266" s="2591"/>
      <c r="E1266" s="2591"/>
      <c r="F1266" s="2591"/>
      <c r="G1266" s="2591"/>
      <c r="H1266" s="2591"/>
      <c r="I1266" s="2591"/>
      <c r="J1266" s="2591"/>
      <c r="K1266" s="2591"/>
      <c r="L1266" s="2591"/>
      <c r="M1266" s="2591"/>
      <c r="N1266" s="2591"/>
      <c r="O1266" s="2591"/>
      <c r="P1266" s="2591"/>
      <c r="Q1266" s="2591"/>
      <c r="R1266" s="2591"/>
      <c r="S1266" s="2591"/>
    </row>
    <row r="1267" spans="1:19">
      <c r="A1267" s="2590"/>
      <c r="B1267" s="2591"/>
      <c r="C1267" s="2591"/>
      <c r="D1267" s="2591"/>
      <c r="E1267" s="2591"/>
      <c r="F1267" s="2591"/>
      <c r="G1267" s="2591"/>
      <c r="H1267" s="2591"/>
      <c r="I1267" s="2591"/>
      <c r="J1267" s="2591"/>
      <c r="K1267" s="2591"/>
      <c r="L1267" s="2591"/>
      <c r="M1267" s="2591"/>
      <c r="N1267" s="2591"/>
      <c r="O1267" s="2591"/>
      <c r="P1267" s="2591"/>
      <c r="Q1267" s="2591"/>
      <c r="R1267" s="2591"/>
      <c r="S1267" s="2591"/>
    </row>
    <row r="1268" spans="1:19">
      <c r="A1268" s="2590"/>
      <c r="B1268" s="2591"/>
      <c r="C1268" s="2591"/>
      <c r="D1268" s="2591"/>
      <c r="E1268" s="2591"/>
      <c r="F1268" s="2591"/>
      <c r="G1268" s="2591"/>
      <c r="H1268" s="2591"/>
      <c r="I1268" s="2591"/>
      <c r="J1268" s="2591"/>
      <c r="K1268" s="2591"/>
      <c r="L1268" s="2591"/>
      <c r="M1268" s="2591"/>
      <c r="N1268" s="2591"/>
      <c r="O1268" s="2591"/>
      <c r="P1268" s="2591"/>
      <c r="Q1268" s="2591"/>
      <c r="R1268" s="2591"/>
      <c r="S1268" s="2591"/>
    </row>
    <row r="1269" spans="1:19">
      <c r="A1269" s="2590"/>
      <c r="B1269" s="2591"/>
      <c r="C1269" s="2591"/>
      <c r="D1269" s="2591"/>
      <c r="E1269" s="2591"/>
      <c r="F1269" s="2591"/>
      <c r="G1269" s="2591"/>
      <c r="H1269" s="2591"/>
      <c r="I1269" s="2591"/>
      <c r="J1269" s="2591"/>
      <c r="K1269" s="2591"/>
      <c r="L1269" s="2591"/>
      <c r="M1269" s="2591"/>
      <c r="N1269" s="2591"/>
      <c r="O1269" s="2591"/>
      <c r="P1269" s="2591"/>
      <c r="Q1269" s="2591"/>
      <c r="R1269" s="2591"/>
      <c r="S1269" s="2591"/>
    </row>
    <row r="1270" spans="1:19">
      <c r="A1270" s="2590"/>
      <c r="B1270" s="2591"/>
      <c r="C1270" s="2591"/>
      <c r="D1270" s="2591"/>
      <c r="E1270" s="2591"/>
      <c r="F1270" s="2591"/>
      <c r="G1270" s="2591"/>
      <c r="H1270" s="2591"/>
      <c r="I1270" s="2591"/>
      <c r="J1270" s="2591"/>
      <c r="K1270" s="2591"/>
      <c r="L1270" s="2591"/>
      <c r="M1270" s="2591"/>
      <c r="N1270" s="2591"/>
      <c r="O1270" s="2591"/>
      <c r="P1270" s="2591"/>
      <c r="Q1270" s="2591"/>
      <c r="R1270" s="2591"/>
      <c r="S1270" s="2591"/>
    </row>
    <row r="1271" spans="1:19">
      <c r="A1271" s="2590"/>
      <c r="B1271" s="2591"/>
      <c r="C1271" s="2591"/>
      <c r="D1271" s="2591"/>
      <c r="E1271" s="2591"/>
      <c r="F1271" s="2591"/>
      <c r="G1271" s="2591"/>
      <c r="H1271" s="2591"/>
      <c r="I1271" s="2591"/>
      <c r="J1271" s="2591"/>
      <c r="K1271" s="2591"/>
      <c r="L1271" s="2591"/>
      <c r="M1271" s="2591"/>
      <c r="N1271" s="2591"/>
      <c r="O1271" s="2591"/>
      <c r="P1271" s="2591"/>
      <c r="Q1271" s="2591"/>
      <c r="R1271" s="2591"/>
      <c r="S1271" s="2591"/>
    </row>
    <row r="1272" spans="1:19">
      <c r="A1272" s="2590"/>
      <c r="B1272" s="2591"/>
      <c r="C1272" s="2591"/>
      <c r="D1272" s="2591"/>
      <c r="E1272" s="2591"/>
      <c r="F1272" s="2591"/>
      <c r="G1272" s="2591"/>
      <c r="H1272" s="2591"/>
      <c r="I1272" s="2591"/>
      <c r="J1272" s="2591"/>
      <c r="K1272" s="2591"/>
      <c r="L1272" s="2591"/>
      <c r="M1272" s="2591"/>
      <c r="N1272" s="2591"/>
      <c r="O1272" s="2591"/>
      <c r="P1272" s="2591"/>
      <c r="Q1272" s="2591"/>
      <c r="R1272" s="2591"/>
      <c r="S1272" s="2591"/>
    </row>
    <row r="1273" spans="1:19">
      <c r="A1273" s="2590"/>
      <c r="B1273" s="2591"/>
      <c r="C1273" s="2591"/>
      <c r="D1273" s="2591"/>
      <c r="E1273" s="2591"/>
      <c r="F1273" s="2591"/>
      <c r="G1273" s="2591"/>
      <c r="H1273" s="2591"/>
      <c r="I1273" s="2591"/>
      <c r="J1273" s="2591"/>
      <c r="K1273" s="2591"/>
      <c r="L1273" s="2591"/>
      <c r="M1273" s="2591"/>
      <c r="N1273" s="2591"/>
      <c r="O1273" s="2591"/>
      <c r="P1273" s="2591"/>
      <c r="Q1273" s="2591"/>
      <c r="R1273" s="2591"/>
      <c r="S1273" s="2591"/>
    </row>
    <row r="1274" spans="1:19">
      <c r="A1274" s="2590"/>
      <c r="B1274" s="2591"/>
      <c r="C1274" s="2591"/>
      <c r="D1274" s="2591"/>
      <c r="E1274" s="2591"/>
      <c r="F1274" s="2591"/>
      <c r="G1274" s="2591"/>
      <c r="H1274" s="2591"/>
      <c r="I1274" s="2591"/>
      <c r="J1274" s="2591"/>
      <c r="K1274" s="2591"/>
      <c r="L1274" s="2591"/>
      <c r="M1274" s="2591"/>
      <c r="N1274" s="2591"/>
      <c r="O1274" s="2591"/>
      <c r="P1274" s="2591"/>
      <c r="Q1274" s="2591"/>
      <c r="R1274" s="2591"/>
      <c r="S1274" s="2591"/>
    </row>
    <row r="1275" spans="1:19">
      <c r="A1275" s="2590"/>
      <c r="B1275" s="2591"/>
      <c r="C1275" s="2591"/>
      <c r="D1275" s="2591"/>
      <c r="E1275" s="2591"/>
      <c r="F1275" s="2591"/>
      <c r="G1275" s="2591"/>
      <c r="H1275" s="2591"/>
      <c r="I1275" s="2591"/>
      <c r="J1275" s="2591"/>
      <c r="K1275" s="2591"/>
      <c r="L1275" s="2591"/>
      <c r="M1275" s="2591"/>
      <c r="N1275" s="2591"/>
      <c r="O1275" s="2591"/>
      <c r="P1275" s="2591"/>
      <c r="Q1275" s="2591"/>
      <c r="R1275" s="2591"/>
      <c r="S1275" s="2591"/>
    </row>
    <row r="1276" spans="1:19">
      <c r="A1276" s="2590"/>
      <c r="B1276" s="2591"/>
      <c r="C1276" s="2591"/>
      <c r="D1276" s="2591"/>
      <c r="E1276" s="2591"/>
      <c r="F1276" s="2591"/>
      <c r="G1276" s="2591"/>
      <c r="H1276" s="2591"/>
      <c r="I1276" s="2591"/>
      <c r="J1276" s="2591"/>
      <c r="K1276" s="2591"/>
      <c r="L1276" s="2591"/>
      <c r="M1276" s="2591"/>
      <c r="N1276" s="2591"/>
      <c r="O1276" s="2591"/>
      <c r="P1276" s="2591"/>
      <c r="Q1276" s="2591"/>
      <c r="R1276" s="2591"/>
      <c r="S1276" s="2591"/>
    </row>
    <row r="1277" spans="1:19">
      <c r="A1277" s="2590"/>
      <c r="B1277" s="2591"/>
      <c r="C1277" s="2591"/>
      <c r="D1277" s="2591"/>
      <c r="E1277" s="2591"/>
      <c r="F1277" s="2591"/>
      <c r="G1277" s="2591"/>
      <c r="H1277" s="2591"/>
      <c r="I1277" s="2591"/>
      <c r="J1277" s="2591"/>
      <c r="K1277" s="2591"/>
      <c r="L1277" s="2591"/>
      <c r="M1277" s="2591"/>
      <c r="N1277" s="2591"/>
      <c r="O1277" s="2591"/>
      <c r="P1277" s="2591"/>
      <c r="Q1277" s="2591"/>
      <c r="R1277" s="2591"/>
      <c r="S1277" s="2591"/>
    </row>
    <row r="1278" spans="1:19">
      <c r="A1278" s="2590"/>
      <c r="B1278" s="2591"/>
      <c r="C1278" s="2591"/>
      <c r="D1278" s="2591"/>
      <c r="E1278" s="2591"/>
      <c r="F1278" s="2591"/>
      <c r="G1278" s="2591"/>
      <c r="H1278" s="2591"/>
      <c r="I1278" s="2591"/>
      <c r="J1278" s="2591"/>
      <c r="K1278" s="2591"/>
      <c r="L1278" s="2591"/>
      <c r="M1278" s="2591"/>
      <c r="N1278" s="2591"/>
      <c r="O1278" s="2591"/>
      <c r="P1278" s="2591"/>
      <c r="Q1278" s="2591"/>
      <c r="R1278" s="2591"/>
      <c r="S1278" s="2591"/>
    </row>
    <row r="1279" spans="1:19">
      <c r="A1279" s="2590"/>
      <c r="B1279" s="2591"/>
      <c r="C1279" s="2591"/>
      <c r="D1279" s="2591"/>
      <c r="E1279" s="2591"/>
      <c r="F1279" s="2591"/>
      <c r="G1279" s="2591"/>
      <c r="H1279" s="2591"/>
      <c r="I1279" s="2591"/>
      <c r="J1279" s="2591"/>
      <c r="K1279" s="2591"/>
      <c r="L1279" s="2591"/>
      <c r="M1279" s="2591"/>
      <c r="N1279" s="2591"/>
      <c r="O1279" s="2591"/>
      <c r="P1279" s="2591"/>
      <c r="Q1279" s="2591"/>
      <c r="R1279" s="2591"/>
      <c r="S1279" s="2591"/>
    </row>
    <row r="1280" spans="1:19">
      <c r="A1280" s="2590"/>
      <c r="B1280" s="2591"/>
      <c r="C1280" s="2591"/>
      <c r="D1280" s="2591"/>
      <c r="E1280" s="2591"/>
      <c r="F1280" s="2591"/>
      <c r="G1280" s="2591"/>
      <c r="H1280" s="2591"/>
      <c r="I1280" s="2591"/>
      <c r="J1280" s="2591"/>
      <c r="K1280" s="2591"/>
      <c r="L1280" s="2591"/>
      <c r="M1280" s="2591"/>
      <c r="N1280" s="2591"/>
      <c r="O1280" s="2591"/>
      <c r="P1280" s="2591"/>
      <c r="Q1280" s="2591"/>
      <c r="R1280" s="2591"/>
      <c r="S1280" s="2591"/>
    </row>
    <row r="1281" spans="1:19">
      <c r="A1281" s="2590"/>
      <c r="B1281" s="2591"/>
      <c r="C1281" s="2591"/>
      <c r="D1281" s="2591"/>
      <c r="E1281" s="2591"/>
      <c r="F1281" s="2591"/>
      <c r="G1281" s="2591"/>
      <c r="H1281" s="2591"/>
      <c r="I1281" s="2591"/>
      <c r="J1281" s="2591"/>
      <c r="K1281" s="2591"/>
      <c r="L1281" s="2591"/>
      <c r="M1281" s="2591"/>
      <c r="N1281" s="2591"/>
      <c r="O1281" s="2591"/>
      <c r="P1281" s="2591"/>
      <c r="Q1281" s="2591"/>
      <c r="R1281" s="2591"/>
      <c r="S1281" s="2591"/>
    </row>
    <row r="1282" spans="1:19">
      <c r="A1282" s="2590"/>
      <c r="B1282" s="2591"/>
      <c r="C1282" s="2591"/>
      <c r="D1282" s="2591"/>
      <c r="E1282" s="2591"/>
      <c r="F1282" s="2591"/>
      <c r="G1282" s="2591"/>
      <c r="H1282" s="2591"/>
      <c r="I1282" s="2591"/>
      <c r="J1282" s="2591"/>
      <c r="K1282" s="2591"/>
      <c r="L1282" s="2591"/>
      <c r="M1282" s="2591"/>
      <c r="N1282" s="2591"/>
      <c r="O1282" s="2591"/>
      <c r="P1282" s="2591"/>
      <c r="Q1282" s="2591"/>
      <c r="R1282" s="2591"/>
      <c r="S1282" s="2591"/>
    </row>
    <row r="1283" spans="1:19">
      <c r="A1283" s="2590"/>
      <c r="B1283" s="2591"/>
      <c r="C1283" s="2591"/>
      <c r="D1283" s="2591"/>
      <c r="E1283" s="2591"/>
      <c r="F1283" s="2591"/>
      <c r="G1283" s="2591"/>
      <c r="H1283" s="2591"/>
      <c r="I1283" s="2591"/>
      <c r="J1283" s="2591"/>
      <c r="K1283" s="2591"/>
      <c r="L1283" s="2591"/>
      <c r="M1283" s="2591"/>
      <c r="N1283" s="2591"/>
      <c r="O1283" s="2591"/>
      <c r="P1283" s="2591"/>
      <c r="Q1283" s="2591"/>
      <c r="R1283" s="2591"/>
      <c r="S1283" s="2591"/>
    </row>
    <row r="1284" spans="1:19">
      <c r="A1284" s="2590"/>
      <c r="B1284" s="2591"/>
      <c r="C1284" s="2591"/>
      <c r="D1284" s="2591"/>
      <c r="E1284" s="2591"/>
      <c r="F1284" s="2591"/>
      <c r="G1284" s="2591"/>
      <c r="H1284" s="2591"/>
      <c r="I1284" s="2591"/>
      <c r="J1284" s="2591"/>
      <c r="K1284" s="2591"/>
      <c r="L1284" s="2591"/>
      <c r="M1284" s="2591"/>
      <c r="N1284" s="2591"/>
      <c r="O1284" s="2591"/>
      <c r="P1284" s="2591"/>
      <c r="Q1284" s="2591"/>
      <c r="R1284" s="2591"/>
      <c r="S1284" s="2591"/>
    </row>
    <row r="1285" spans="1:19">
      <c r="A1285" s="2590"/>
      <c r="B1285" s="2591"/>
      <c r="C1285" s="2591"/>
      <c r="D1285" s="2591"/>
      <c r="E1285" s="2591"/>
      <c r="F1285" s="2591"/>
      <c r="G1285" s="2591"/>
      <c r="H1285" s="2591"/>
      <c r="I1285" s="2591"/>
      <c r="J1285" s="2591"/>
      <c r="K1285" s="2591"/>
      <c r="L1285" s="2591"/>
      <c r="M1285" s="2591"/>
      <c r="N1285" s="2591"/>
      <c r="O1285" s="2591"/>
      <c r="P1285" s="2591"/>
      <c r="Q1285" s="2591"/>
      <c r="R1285" s="2591"/>
      <c r="S1285" s="2591"/>
    </row>
    <row r="1286" spans="1:19">
      <c r="A1286" s="2590"/>
      <c r="B1286" s="2591"/>
      <c r="C1286" s="2591"/>
      <c r="D1286" s="2591"/>
      <c r="E1286" s="2591"/>
      <c r="F1286" s="2591"/>
      <c r="G1286" s="2591"/>
      <c r="H1286" s="2591"/>
      <c r="I1286" s="2591"/>
      <c r="J1286" s="2591"/>
      <c r="K1286" s="2591"/>
      <c r="L1286" s="2591"/>
      <c r="M1286" s="2591"/>
      <c r="N1286" s="2591"/>
      <c r="O1286" s="2591"/>
      <c r="P1286" s="2591"/>
      <c r="Q1286" s="2591"/>
      <c r="R1286" s="2591"/>
      <c r="S1286" s="2591"/>
    </row>
    <row r="1287" spans="1:19">
      <c r="A1287" s="2590"/>
      <c r="B1287" s="2591"/>
      <c r="C1287" s="2591"/>
      <c r="D1287" s="2591"/>
      <c r="E1287" s="2591"/>
      <c r="F1287" s="2591"/>
      <c r="G1287" s="2591"/>
      <c r="H1287" s="2591"/>
      <c r="I1287" s="2591"/>
      <c r="J1287" s="2591"/>
      <c r="K1287" s="2591"/>
      <c r="L1287" s="2591"/>
      <c r="M1287" s="2591"/>
      <c r="N1287" s="2591"/>
      <c r="O1287" s="2591"/>
      <c r="P1287" s="2591"/>
      <c r="Q1287" s="2591"/>
      <c r="R1287" s="2591"/>
      <c r="S1287" s="2591"/>
    </row>
    <row r="1288" spans="1:19">
      <c r="A1288" s="2590"/>
      <c r="B1288" s="2591"/>
      <c r="C1288" s="2591"/>
      <c r="D1288" s="2591"/>
      <c r="E1288" s="2591"/>
      <c r="F1288" s="2591"/>
      <c r="G1288" s="2591"/>
      <c r="H1288" s="2591"/>
      <c r="I1288" s="2591"/>
      <c r="J1288" s="2591"/>
      <c r="K1288" s="2591"/>
      <c r="L1288" s="2591"/>
      <c r="M1288" s="2591"/>
      <c r="N1288" s="2591"/>
      <c r="O1288" s="2591"/>
      <c r="P1288" s="2591"/>
      <c r="Q1288" s="2591"/>
      <c r="R1288" s="2591"/>
      <c r="S1288" s="2591"/>
    </row>
    <row r="1289" spans="1:19">
      <c r="A1289" s="2590"/>
      <c r="B1289" s="2591"/>
      <c r="C1289" s="2591"/>
      <c r="D1289" s="2591"/>
      <c r="E1289" s="2591"/>
      <c r="F1289" s="2591"/>
      <c r="G1289" s="2591"/>
      <c r="H1289" s="2591"/>
      <c r="I1289" s="2591"/>
      <c r="J1289" s="2591"/>
      <c r="K1289" s="2591"/>
      <c r="L1289" s="2591"/>
      <c r="M1289" s="2591"/>
      <c r="N1289" s="2591"/>
      <c r="O1289" s="2591"/>
      <c r="P1289" s="2591"/>
      <c r="Q1289" s="2591"/>
      <c r="R1289" s="2591"/>
      <c r="S1289" s="2591"/>
    </row>
    <row r="1290" spans="1:19">
      <c r="A1290" s="2590"/>
      <c r="B1290" s="2591"/>
      <c r="C1290" s="2591"/>
      <c r="D1290" s="2591"/>
      <c r="E1290" s="2591"/>
      <c r="F1290" s="2591"/>
      <c r="G1290" s="2591"/>
      <c r="H1290" s="2591"/>
      <c r="I1290" s="2591"/>
      <c r="J1290" s="2591"/>
      <c r="K1290" s="2591"/>
      <c r="L1290" s="2591"/>
      <c r="M1290" s="2591"/>
      <c r="N1290" s="2591"/>
      <c r="O1290" s="2591"/>
      <c r="P1290" s="2591"/>
      <c r="Q1290" s="2591"/>
      <c r="R1290" s="2591"/>
      <c r="S1290" s="2591"/>
    </row>
    <row r="1291" spans="1:19">
      <c r="A1291" s="2590"/>
      <c r="B1291" s="2591"/>
      <c r="C1291" s="2591"/>
      <c r="D1291" s="2591"/>
      <c r="E1291" s="2591"/>
      <c r="F1291" s="2591"/>
      <c r="G1291" s="2591"/>
      <c r="H1291" s="2591"/>
      <c r="I1291" s="2591"/>
      <c r="J1291" s="2591"/>
      <c r="K1291" s="2591"/>
      <c r="L1291" s="2591"/>
      <c r="M1291" s="2591"/>
      <c r="N1291" s="2591"/>
      <c r="O1291" s="2591"/>
      <c r="P1291" s="2591"/>
      <c r="Q1291" s="2591"/>
      <c r="R1291" s="2591"/>
      <c r="S1291" s="2591"/>
    </row>
    <row r="1292" spans="1:19">
      <c r="A1292" s="2590"/>
      <c r="B1292" s="2591"/>
      <c r="C1292" s="2591"/>
      <c r="D1292" s="2591"/>
      <c r="E1292" s="2591"/>
      <c r="F1292" s="2591"/>
      <c r="G1292" s="2591"/>
      <c r="H1292" s="2591"/>
      <c r="I1292" s="2591"/>
      <c r="J1292" s="2591"/>
      <c r="K1292" s="2591"/>
      <c r="L1292" s="2591"/>
      <c r="M1292" s="2591"/>
      <c r="N1292" s="2591"/>
      <c r="O1292" s="2591"/>
      <c r="P1292" s="2591"/>
      <c r="Q1292" s="2591"/>
      <c r="R1292" s="2591"/>
      <c r="S1292" s="2591"/>
    </row>
    <row r="1293" spans="1:19">
      <c r="A1293" s="2590"/>
      <c r="B1293" s="2591"/>
      <c r="C1293" s="2591"/>
      <c r="D1293" s="2591"/>
      <c r="E1293" s="2591"/>
      <c r="F1293" s="2591"/>
      <c r="G1293" s="2591"/>
      <c r="H1293" s="2591"/>
      <c r="I1293" s="2591"/>
      <c r="J1293" s="2591"/>
      <c r="K1293" s="2591"/>
      <c r="L1293" s="2591"/>
      <c r="M1293" s="2591"/>
      <c r="N1293" s="2591"/>
      <c r="O1293" s="2591"/>
      <c r="P1293" s="2591"/>
      <c r="Q1293" s="2591"/>
      <c r="R1293" s="2591"/>
      <c r="S1293" s="2591"/>
    </row>
    <row r="1294" spans="1:19">
      <c r="A1294" s="2590"/>
      <c r="B1294" s="2591"/>
      <c r="C1294" s="2591"/>
      <c r="D1294" s="2591"/>
      <c r="E1294" s="2591"/>
      <c r="F1294" s="2591"/>
      <c r="G1294" s="2591"/>
      <c r="H1294" s="2591"/>
      <c r="I1294" s="2591"/>
      <c r="J1294" s="2591"/>
      <c r="K1294" s="2591"/>
      <c r="L1294" s="2591"/>
      <c r="M1294" s="2591"/>
      <c r="N1294" s="2591"/>
      <c r="O1294" s="2591"/>
      <c r="P1294" s="2591"/>
      <c r="Q1294" s="2591"/>
      <c r="R1294" s="2591"/>
      <c r="S1294" s="2591"/>
    </row>
    <row r="1295" spans="1:19">
      <c r="A1295" s="2590"/>
      <c r="B1295" s="2591"/>
      <c r="C1295" s="2591"/>
      <c r="D1295" s="2591"/>
      <c r="E1295" s="2591"/>
      <c r="F1295" s="2591"/>
      <c r="G1295" s="2591"/>
      <c r="H1295" s="2591"/>
      <c r="I1295" s="2591"/>
      <c r="J1295" s="2591"/>
      <c r="K1295" s="2591"/>
      <c r="L1295" s="2591"/>
      <c r="M1295" s="2591"/>
      <c r="N1295" s="2591"/>
      <c r="O1295" s="2591"/>
      <c r="P1295" s="2591"/>
      <c r="Q1295" s="2591"/>
      <c r="R1295" s="2591"/>
      <c r="S1295" s="2591"/>
    </row>
    <row r="1296" spans="1:19">
      <c r="A1296" s="2590"/>
      <c r="B1296" s="2591"/>
      <c r="C1296" s="2591"/>
      <c r="D1296" s="2591"/>
      <c r="E1296" s="2591"/>
      <c r="F1296" s="2591"/>
      <c r="G1296" s="2591"/>
      <c r="H1296" s="2591"/>
      <c r="I1296" s="2591"/>
      <c r="J1296" s="2591"/>
      <c r="K1296" s="2591"/>
      <c r="L1296" s="2591"/>
      <c r="M1296" s="2591"/>
      <c r="N1296" s="2591"/>
      <c r="O1296" s="2591"/>
      <c r="P1296" s="2591"/>
      <c r="Q1296" s="2591"/>
      <c r="R1296" s="2591"/>
      <c r="S1296" s="2591"/>
    </row>
    <row r="1297" spans="1:19">
      <c r="A1297" s="2590"/>
      <c r="B1297" s="2591"/>
      <c r="C1297" s="2591"/>
      <c r="D1297" s="2591"/>
      <c r="E1297" s="2591"/>
      <c r="F1297" s="2591"/>
      <c r="G1297" s="2591"/>
      <c r="H1297" s="2591"/>
      <c r="I1297" s="2591"/>
      <c r="J1297" s="2591"/>
      <c r="K1297" s="2591"/>
      <c r="L1297" s="2591"/>
      <c r="M1297" s="2591"/>
      <c r="N1297" s="2591"/>
      <c r="O1297" s="2591"/>
      <c r="P1297" s="2591"/>
      <c r="Q1297" s="2591"/>
      <c r="R1297" s="2591"/>
      <c r="S1297" s="2591"/>
    </row>
    <row r="1298" spans="1:19">
      <c r="A1298" s="2590"/>
      <c r="B1298" s="2591"/>
      <c r="C1298" s="2591"/>
      <c r="D1298" s="2591"/>
      <c r="E1298" s="2591"/>
      <c r="F1298" s="2591"/>
      <c r="G1298" s="2591"/>
      <c r="H1298" s="2591"/>
      <c r="I1298" s="2591"/>
      <c r="J1298" s="2591"/>
      <c r="K1298" s="2591"/>
      <c r="L1298" s="2591"/>
      <c r="M1298" s="2591"/>
      <c r="N1298" s="2591"/>
      <c r="O1298" s="2591"/>
      <c r="P1298" s="2591"/>
      <c r="Q1298" s="2591"/>
      <c r="R1298" s="2591"/>
      <c r="S1298" s="2591"/>
    </row>
    <row r="1299" spans="1:19">
      <c r="A1299" s="2590"/>
      <c r="B1299" s="2591"/>
      <c r="C1299" s="2591"/>
      <c r="D1299" s="2591"/>
      <c r="E1299" s="2591"/>
      <c r="F1299" s="2591"/>
      <c r="G1299" s="2591"/>
      <c r="H1299" s="2591"/>
      <c r="I1299" s="2591"/>
      <c r="J1299" s="2591"/>
      <c r="K1299" s="2591"/>
      <c r="L1299" s="2591"/>
      <c r="M1299" s="2591"/>
      <c r="N1299" s="2591"/>
      <c r="O1299" s="2591"/>
      <c r="P1299" s="2591"/>
      <c r="Q1299" s="2591"/>
      <c r="R1299" s="2591"/>
      <c r="S1299" s="2591"/>
    </row>
    <row r="1300" spans="1:19">
      <c r="A1300" s="2590"/>
      <c r="B1300" s="2591"/>
      <c r="C1300" s="2591"/>
      <c r="D1300" s="2591"/>
      <c r="E1300" s="2591"/>
      <c r="F1300" s="2591"/>
      <c r="G1300" s="2591"/>
      <c r="H1300" s="2591"/>
      <c r="I1300" s="2591"/>
      <c r="J1300" s="2591"/>
      <c r="K1300" s="2591"/>
      <c r="L1300" s="2591"/>
      <c r="M1300" s="2591"/>
      <c r="N1300" s="2591"/>
      <c r="O1300" s="2591"/>
      <c r="P1300" s="2591"/>
      <c r="Q1300" s="2591"/>
      <c r="R1300" s="2591"/>
      <c r="S1300" s="2591"/>
    </row>
    <row r="1301" spans="1:19">
      <c r="A1301" s="2590"/>
      <c r="B1301" s="2591"/>
      <c r="C1301" s="2591"/>
      <c r="D1301" s="2591"/>
      <c r="E1301" s="2591"/>
      <c r="F1301" s="2591"/>
      <c r="G1301" s="2591"/>
      <c r="H1301" s="2591"/>
      <c r="I1301" s="2591"/>
      <c r="J1301" s="2591"/>
      <c r="K1301" s="2591"/>
      <c r="L1301" s="2591"/>
      <c r="M1301" s="2591"/>
      <c r="N1301" s="2591"/>
      <c r="O1301" s="2591"/>
      <c r="P1301" s="2591"/>
      <c r="Q1301" s="2591"/>
      <c r="R1301" s="2591"/>
      <c r="S1301" s="2591"/>
    </row>
    <row r="1302" spans="1:19">
      <c r="A1302" s="2590"/>
      <c r="B1302" s="2591"/>
      <c r="C1302" s="2591"/>
      <c r="D1302" s="2591"/>
      <c r="E1302" s="2591"/>
      <c r="F1302" s="2591"/>
      <c r="G1302" s="2591"/>
      <c r="H1302" s="2591"/>
      <c r="I1302" s="2591"/>
      <c r="J1302" s="2591"/>
      <c r="K1302" s="2591"/>
      <c r="L1302" s="2591"/>
      <c r="M1302" s="2591"/>
      <c r="N1302" s="2591"/>
      <c r="O1302" s="2591"/>
      <c r="P1302" s="2591"/>
      <c r="Q1302" s="2591"/>
      <c r="R1302" s="2591"/>
      <c r="S1302" s="2591"/>
    </row>
    <row r="1303" spans="1:19">
      <c r="A1303" s="2590"/>
      <c r="B1303" s="2591"/>
      <c r="C1303" s="2591"/>
      <c r="D1303" s="2591"/>
      <c r="E1303" s="2591"/>
      <c r="F1303" s="2591"/>
      <c r="G1303" s="2591"/>
      <c r="H1303" s="2591"/>
      <c r="I1303" s="2591"/>
      <c r="J1303" s="2591"/>
      <c r="K1303" s="2591"/>
      <c r="L1303" s="2591"/>
      <c r="M1303" s="2591"/>
      <c r="N1303" s="2591"/>
      <c r="O1303" s="2591"/>
      <c r="P1303" s="2591"/>
      <c r="Q1303" s="2591"/>
      <c r="R1303" s="2591"/>
      <c r="S1303" s="2591"/>
    </row>
    <row r="1304" spans="1:19">
      <c r="A1304" s="2590"/>
      <c r="B1304" s="2591"/>
      <c r="C1304" s="2591"/>
      <c r="D1304" s="2591"/>
      <c r="E1304" s="2591"/>
      <c r="F1304" s="2591"/>
      <c r="G1304" s="2591"/>
      <c r="H1304" s="2591"/>
      <c r="I1304" s="2591"/>
      <c r="J1304" s="2591"/>
      <c r="K1304" s="2591"/>
      <c r="L1304" s="2591"/>
      <c r="M1304" s="2591"/>
      <c r="N1304" s="2591"/>
      <c r="O1304" s="2591"/>
      <c r="P1304" s="2591"/>
      <c r="Q1304" s="2591"/>
      <c r="R1304" s="2591"/>
      <c r="S1304" s="2591"/>
    </row>
    <row r="1305" spans="1:19">
      <c r="A1305" s="2590"/>
      <c r="B1305" s="2591"/>
      <c r="C1305" s="2591"/>
      <c r="D1305" s="2591"/>
      <c r="E1305" s="2591"/>
      <c r="F1305" s="2591"/>
      <c r="G1305" s="2591"/>
      <c r="H1305" s="2591"/>
      <c r="I1305" s="2591"/>
      <c r="J1305" s="2591"/>
      <c r="K1305" s="2591"/>
      <c r="L1305" s="2591"/>
      <c r="M1305" s="2591"/>
      <c r="N1305" s="2591"/>
      <c r="O1305" s="2591"/>
      <c r="P1305" s="2591"/>
      <c r="Q1305" s="2591"/>
      <c r="R1305" s="2591"/>
      <c r="S1305" s="2591"/>
    </row>
    <row r="1306" spans="1:19">
      <c r="A1306" s="2590"/>
      <c r="B1306" s="2591"/>
      <c r="C1306" s="2591"/>
      <c r="D1306" s="2591"/>
      <c r="E1306" s="2591"/>
      <c r="F1306" s="2591"/>
      <c r="G1306" s="2591"/>
      <c r="H1306" s="2591"/>
      <c r="I1306" s="2591"/>
      <c r="J1306" s="2591"/>
      <c r="K1306" s="2591"/>
      <c r="L1306" s="2591"/>
      <c r="M1306" s="2591"/>
      <c r="N1306" s="2591"/>
      <c r="O1306" s="2591"/>
      <c r="P1306" s="2591"/>
      <c r="Q1306" s="2591"/>
      <c r="R1306" s="2591"/>
      <c r="S1306" s="2591"/>
    </row>
    <row r="1307" spans="1:19">
      <c r="A1307" s="2590"/>
      <c r="B1307" s="2591"/>
      <c r="C1307" s="2591"/>
      <c r="D1307" s="2591"/>
      <c r="E1307" s="2591"/>
      <c r="F1307" s="2591"/>
      <c r="G1307" s="2591"/>
      <c r="H1307" s="2591"/>
      <c r="I1307" s="2591"/>
      <c r="J1307" s="2591"/>
      <c r="K1307" s="2591"/>
      <c r="L1307" s="2591"/>
      <c r="M1307" s="2591"/>
      <c r="N1307" s="2591"/>
      <c r="O1307" s="2591"/>
      <c r="P1307" s="2591"/>
      <c r="Q1307" s="2591"/>
      <c r="R1307" s="2591"/>
      <c r="S1307" s="2591"/>
    </row>
    <row r="1308" spans="1:19">
      <c r="A1308" s="2590"/>
      <c r="B1308" s="2591"/>
      <c r="C1308" s="2591"/>
      <c r="D1308" s="2591"/>
      <c r="E1308" s="2591"/>
      <c r="F1308" s="2591"/>
      <c r="G1308" s="2591"/>
      <c r="H1308" s="2591"/>
      <c r="I1308" s="2591"/>
      <c r="J1308" s="2591"/>
      <c r="K1308" s="2591"/>
      <c r="L1308" s="2591"/>
      <c r="M1308" s="2591"/>
      <c r="N1308" s="2591"/>
      <c r="O1308" s="2591"/>
      <c r="P1308" s="2591"/>
      <c r="Q1308" s="2591"/>
      <c r="R1308" s="2591"/>
      <c r="S1308" s="2591"/>
    </row>
    <row r="1309" spans="1:19">
      <c r="A1309" s="2590"/>
      <c r="B1309" s="2591"/>
      <c r="C1309" s="2591"/>
      <c r="D1309" s="2591"/>
      <c r="E1309" s="2591"/>
      <c r="F1309" s="2591"/>
      <c r="G1309" s="2591"/>
      <c r="H1309" s="2591"/>
      <c r="I1309" s="2591"/>
      <c r="J1309" s="2591"/>
      <c r="K1309" s="2591"/>
      <c r="L1309" s="2591"/>
      <c r="M1309" s="2591"/>
      <c r="N1309" s="2591"/>
      <c r="O1309" s="2591"/>
      <c r="P1309" s="2591"/>
      <c r="Q1309" s="2591"/>
      <c r="R1309" s="2591"/>
      <c r="S1309" s="2591"/>
    </row>
    <row r="1310" spans="1:19">
      <c r="A1310" s="2590"/>
      <c r="B1310" s="2591"/>
      <c r="C1310" s="2591"/>
      <c r="D1310" s="2591"/>
      <c r="E1310" s="2591"/>
      <c r="F1310" s="2591"/>
      <c r="G1310" s="2591"/>
      <c r="H1310" s="2591"/>
      <c r="I1310" s="2591"/>
      <c r="J1310" s="2591"/>
      <c r="K1310" s="2591"/>
      <c r="L1310" s="2591"/>
      <c r="M1310" s="2591"/>
      <c r="N1310" s="2591"/>
      <c r="O1310" s="2591"/>
      <c r="P1310" s="2591"/>
      <c r="Q1310" s="2591"/>
      <c r="R1310" s="2591"/>
      <c r="S1310" s="2591"/>
    </row>
    <row r="1311" spans="1:19">
      <c r="A1311" s="2590"/>
      <c r="B1311" s="2591"/>
      <c r="C1311" s="2591"/>
      <c r="D1311" s="2591"/>
      <c r="E1311" s="2591"/>
      <c r="F1311" s="2591"/>
      <c r="G1311" s="2591"/>
      <c r="H1311" s="2591"/>
      <c r="I1311" s="2591"/>
      <c r="J1311" s="2591"/>
      <c r="K1311" s="2591"/>
      <c r="L1311" s="2591"/>
      <c r="M1311" s="2591"/>
      <c r="N1311" s="2591"/>
      <c r="O1311" s="2591"/>
      <c r="P1311" s="2591"/>
      <c r="Q1311" s="2591"/>
      <c r="R1311" s="2591"/>
      <c r="S1311" s="2591"/>
    </row>
    <row r="1312" spans="1:19">
      <c r="A1312" s="2590"/>
      <c r="B1312" s="2591"/>
      <c r="C1312" s="2591"/>
      <c r="D1312" s="2591"/>
      <c r="E1312" s="2591"/>
      <c r="F1312" s="2591"/>
      <c r="G1312" s="2591"/>
      <c r="H1312" s="2591"/>
      <c r="I1312" s="2591"/>
      <c r="J1312" s="2591"/>
      <c r="K1312" s="2591"/>
      <c r="L1312" s="2591"/>
      <c r="M1312" s="2591"/>
      <c r="N1312" s="2591"/>
      <c r="O1312" s="2591"/>
      <c r="P1312" s="2591"/>
      <c r="Q1312" s="2591"/>
      <c r="R1312" s="2591"/>
      <c r="S1312" s="2591"/>
    </row>
    <row r="1313" spans="1:19">
      <c r="A1313" s="2590"/>
      <c r="B1313" s="2591"/>
      <c r="C1313" s="2591"/>
      <c r="D1313" s="2591"/>
      <c r="E1313" s="2591"/>
      <c r="F1313" s="2591"/>
      <c r="G1313" s="2591"/>
      <c r="H1313" s="2591"/>
      <c r="I1313" s="2591"/>
      <c r="J1313" s="2591"/>
      <c r="K1313" s="2591"/>
      <c r="L1313" s="2591"/>
      <c r="M1313" s="2591"/>
      <c r="N1313" s="2591"/>
      <c r="O1313" s="2591"/>
      <c r="P1313" s="2591"/>
      <c r="Q1313" s="2591"/>
      <c r="R1313" s="2591"/>
      <c r="S1313" s="2591"/>
    </row>
    <row r="1314" spans="1:19">
      <c r="A1314" s="2590"/>
      <c r="B1314" s="2591"/>
      <c r="C1314" s="2591"/>
      <c r="D1314" s="2591"/>
      <c r="E1314" s="2591"/>
      <c r="F1314" s="2591"/>
      <c r="G1314" s="2591"/>
      <c r="H1314" s="2591"/>
      <c r="I1314" s="2591"/>
      <c r="J1314" s="2591"/>
      <c r="K1314" s="2591"/>
      <c r="L1314" s="2591"/>
      <c r="M1314" s="2591"/>
      <c r="N1314" s="2591"/>
      <c r="O1314" s="2591"/>
      <c r="P1314" s="2591"/>
      <c r="Q1314" s="2591"/>
      <c r="R1314" s="2591"/>
      <c r="S1314" s="2591"/>
    </row>
    <row r="1315" spans="1:19">
      <c r="A1315" s="2590"/>
      <c r="B1315" s="2591"/>
      <c r="C1315" s="2591"/>
      <c r="D1315" s="2591"/>
      <c r="E1315" s="2591"/>
      <c r="F1315" s="2591"/>
      <c r="G1315" s="2591"/>
      <c r="H1315" s="2591"/>
      <c r="I1315" s="2591"/>
      <c r="J1315" s="2591"/>
      <c r="K1315" s="2591"/>
      <c r="L1315" s="2591"/>
      <c r="M1315" s="2591"/>
      <c r="N1315" s="2591"/>
      <c r="O1315" s="2591"/>
      <c r="P1315" s="2591"/>
      <c r="Q1315" s="2591"/>
      <c r="R1315" s="2591"/>
      <c r="S1315" s="2591"/>
    </row>
    <row r="1316" spans="1:19">
      <c r="A1316" s="2590"/>
      <c r="B1316" s="2591"/>
      <c r="C1316" s="2591"/>
      <c r="D1316" s="2591"/>
      <c r="E1316" s="2591"/>
      <c r="F1316" s="2591"/>
      <c r="G1316" s="2591"/>
      <c r="H1316" s="2591"/>
      <c r="I1316" s="2591"/>
      <c r="J1316" s="2591"/>
      <c r="K1316" s="2591"/>
      <c r="L1316" s="2591"/>
      <c r="M1316" s="2591"/>
      <c r="N1316" s="2591"/>
      <c r="O1316" s="2591"/>
      <c r="P1316" s="2591"/>
      <c r="Q1316" s="2591"/>
      <c r="R1316" s="2591"/>
      <c r="S1316" s="2591"/>
    </row>
    <row r="1317" spans="1:19">
      <c r="A1317" s="2590"/>
      <c r="B1317" s="2591"/>
      <c r="C1317" s="2591"/>
      <c r="D1317" s="2591"/>
      <c r="E1317" s="2591"/>
      <c r="F1317" s="2591"/>
      <c r="G1317" s="2591"/>
      <c r="H1317" s="2591"/>
      <c r="I1317" s="2591"/>
      <c r="J1317" s="2591"/>
      <c r="K1317" s="2591"/>
      <c r="L1317" s="2591"/>
      <c r="M1317" s="2591"/>
      <c r="N1317" s="2591"/>
      <c r="O1317" s="2591"/>
      <c r="P1317" s="2591"/>
      <c r="Q1317" s="2591"/>
      <c r="R1317" s="2591"/>
      <c r="S1317" s="2591"/>
    </row>
    <row r="1318" spans="1:19">
      <c r="A1318" s="2590"/>
      <c r="B1318" s="2591"/>
      <c r="C1318" s="2591"/>
      <c r="D1318" s="2591"/>
      <c r="E1318" s="2591"/>
      <c r="F1318" s="2591"/>
      <c r="G1318" s="2591"/>
      <c r="H1318" s="2591"/>
      <c r="I1318" s="2591"/>
      <c r="J1318" s="2591"/>
      <c r="K1318" s="2591"/>
      <c r="L1318" s="2591"/>
      <c r="M1318" s="2591"/>
      <c r="N1318" s="2591"/>
      <c r="O1318" s="2591"/>
      <c r="P1318" s="2591"/>
      <c r="Q1318" s="2591"/>
      <c r="R1318" s="2591"/>
      <c r="S1318" s="2591"/>
    </row>
    <row r="1319" spans="1:19">
      <c r="A1319" s="2590"/>
      <c r="B1319" s="2591"/>
      <c r="C1319" s="2591"/>
      <c r="D1319" s="2591"/>
      <c r="E1319" s="2591"/>
      <c r="F1319" s="2591"/>
      <c r="G1319" s="2591"/>
      <c r="H1319" s="2591"/>
      <c r="I1319" s="2591"/>
      <c r="J1319" s="2591"/>
      <c r="K1319" s="2591"/>
      <c r="L1319" s="2591"/>
      <c r="M1319" s="2591"/>
      <c r="N1319" s="2591"/>
      <c r="O1319" s="2591"/>
      <c r="P1319" s="2591"/>
      <c r="Q1319" s="2591"/>
      <c r="R1319" s="2591"/>
      <c r="S1319" s="2591"/>
    </row>
    <row r="1320" spans="1:19">
      <c r="A1320" s="2590"/>
      <c r="B1320" s="2591"/>
      <c r="C1320" s="2591"/>
      <c r="D1320" s="2591"/>
      <c r="E1320" s="2591"/>
      <c r="F1320" s="2591"/>
      <c r="G1320" s="2591"/>
      <c r="H1320" s="2591"/>
      <c r="I1320" s="2591"/>
      <c r="J1320" s="2591"/>
      <c r="K1320" s="2591"/>
      <c r="L1320" s="2591"/>
      <c r="M1320" s="2591"/>
      <c r="N1320" s="2591"/>
      <c r="O1320" s="2591"/>
      <c r="P1320" s="2591"/>
      <c r="Q1320" s="2591"/>
      <c r="R1320" s="2591"/>
      <c r="S1320" s="2591"/>
    </row>
    <row r="1321" spans="1:19">
      <c r="A1321" s="2590"/>
      <c r="B1321" s="2591"/>
      <c r="C1321" s="2591"/>
      <c r="D1321" s="2591"/>
      <c r="E1321" s="2591"/>
      <c r="F1321" s="2591"/>
      <c r="G1321" s="2591"/>
      <c r="H1321" s="2591"/>
      <c r="I1321" s="2591"/>
      <c r="J1321" s="2591"/>
      <c r="K1321" s="2591"/>
      <c r="L1321" s="2591"/>
      <c r="M1321" s="2591"/>
      <c r="N1321" s="2591"/>
      <c r="O1321" s="2591"/>
      <c r="P1321" s="2591"/>
      <c r="Q1321" s="2591"/>
      <c r="R1321" s="2591"/>
      <c r="S1321" s="2591"/>
    </row>
    <row r="1322" spans="1:19">
      <c r="A1322" s="2590"/>
      <c r="B1322" s="2591"/>
      <c r="C1322" s="2591"/>
      <c r="D1322" s="2591"/>
      <c r="E1322" s="2591"/>
      <c r="F1322" s="2591"/>
      <c r="G1322" s="2591"/>
      <c r="H1322" s="2591"/>
      <c r="I1322" s="2591"/>
      <c r="J1322" s="2591"/>
      <c r="K1322" s="2591"/>
      <c r="L1322" s="2591"/>
      <c r="M1322" s="2591"/>
      <c r="N1322" s="2591"/>
      <c r="O1322" s="2591"/>
      <c r="P1322" s="2591"/>
      <c r="Q1322" s="2591"/>
      <c r="R1322" s="2591"/>
      <c r="S1322" s="2591"/>
    </row>
    <row r="1323" spans="1:19">
      <c r="A1323" s="2590"/>
      <c r="B1323" s="2591"/>
      <c r="C1323" s="2591"/>
      <c r="D1323" s="2591"/>
      <c r="E1323" s="2591"/>
      <c r="F1323" s="2591"/>
      <c r="G1323" s="2591"/>
      <c r="H1323" s="2591"/>
      <c r="I1323" s="2591"/>
      <c r="J1323" s="2591"/>
      <c r="K1323" s="2591"/>
      <c r="L1323" s="2591"/>
      <c r="M1323" s="2591"/>
      <c r="N1323" s="2591"/>
      <c r="O1323" s="2591"/>
      <c r="P1323" s="2591"/>
      <c r="Q1323" s="2591"/>
      <c r="R1323" s="2591"/>
      <c r="S1323" s="2591"/>
    </row>
    <row r="1324" spans="1:19">
      <c r="A1324" s="2590"/>
      <c r="B1324" s="2591"/>
      <c r="C1324" s="2591"/>
      <c r="D1324" s="2591"/>
      <c r="E1324" s="2591"/>
      <c r="F1324" s="2591"/>
      <c r="G1324" s="2591"/>
      <c r="H1324" s="2591"/>
      <c r="I1324" s="2591"/>
      <c r="J1324" s="2591"/>
      <c r="K1324" s="2591"/>
      <c r="L1324" s="2591"/>
      <c r="M1324" s="2591"/>
      <c r="N1324" s="2591"/>
      <c r="O1324" s="2591"/>
      <c r="P1324" s="2591"/>
      <c r="Q1324" s="2591"/>
      <c r="R1324" s="2591"/>
      <c r="S1324" s="2591"/>
    </row>
    <row r="1325" spans="1:19">
      <c r="A1325" s="2590"/>
      <c r="B1325" s="2591"/>
      <c r="C1325" s="2591"/>
      <c r="D1325" s="2591"/>
      <c r="E1325" s="2591"/>
      <c r="F1325" s="2591"/>
      <c r="G1325" s="2591"/>
      <c r="H1325" s="2591"/>
      <c r="I1325" s="2591"/>
      <c r="J1325" s="2591"/>
      <c r="K1325" s="2591"/>
      <c r="L1325" s="2591"/>
      <c r="M1325" s="2591"/>
      <c r="N1325" s="2591"/>
      <c r="O1325" s="2591"/>
      <c r="P1325" s="2591"/>
      <c r="Q1325" s="2591"/>
      <c r="R1325" s="2591"/>
      <c r="S1325" s="2591"/>
    </row>
    <row r="1326" spans="1:19">
      <c r="A1326" s="2590"/>
      <c r="B1326" s="2591"/>
      <c r="C1326" s="2591"/>
      <c r="D1326" s="2591"/>
      <c r="E1326" s="2591"/>
      <c r="F1326" s="2591"/>
      <c r="G1326" s="2591"/>
      <c r="H1326" s="2591"/>
      <c r="I1326" s="2591"/>
      <c r="J1326" s="2591"/>
      <c r="K1326" s="2591"/>
      <c r="L1326" s="2591"/>
      <c r="M1326" s="2591"/>
      <c r="N1326" s="2591"/>
      <c r="O1326" s="2591"/>
      <c r="P1326" s="2591"/>
      <c r="Q1326" s="2591"/>
      <c r="R1326" s="2591"/>
      <c r="S1326" s="2591"/>
    </row>
    <row r="1327" spans="1:19">
      <c r="A1327" s="2590"/>
      <c r="B1327" s="2591"/>
      <c r="C1327" s="2591"/>
      <c r="D1327" s="2591"/>
      <c r="E1327" s="2591"/>
      <c r="F1327" s="2591"/>
      <c r="G1327" s="2591"/>
      <c r="H1327" s="2591"/>
      <c r="I1327" s="2591"/>
      <c r="J1327" s="2591"/>
      <c r="K1327" s="2591"/>
      <c r="L1327" s="2591"/>
      <c r="M1327" s="2591"/>
      <c r="N1327" s="2591"/>
      <c r="O1327" s="2591"/>
      <c r="P1327" s="2591"/>
      <c r="Q1327" s="2591"/>
      <c r="R1327" s="2591"/>
      <c r="S1327" s="2591"/>
    </row>
    <row r="1328" spans="1:19">
      <c r="A1328" s="2590"/>
      <c r="B1328" s="2591"/>
      <c r="C1328" s="2591"/>
      <c r="D1328" s="2591"/>
      <c r="E1328" s="2591"/>
      <c r="F1328" s="2591"/>
      <c r="G1328" s="2591"/>
      <c r="H1328" s="2591"/>
      <c r="I1328" s="2591"/>
      <c r="J1328" s="2591"/>
      <c r="K1328" s="2591"/>
      <c r="L1328" s="2591"/>
      <c r="M1328" s="2591"/>
      <c r="N1328" s="2591"/>
      <c r="O1328" s="2591"/>
      <c r="P1328" s="2591"/>
      <c r="Q1328" s="2591"/>
      <c r="R1328" s="2591"/>
      <c r="S1328" s="2591"/>
    </row>
    <row r="1329" spans="1:19">
      <c r="A1329" s="2590"/>
      <c r="B1329" s="2591"/>
      <c r="C1329" s="2591"/>
      <c r="D1329" s="2591"/>
      <c r="E1329" s="2591"/>
      <c r="F1329" s="2591"/>
      <c r="G1329" s="2591"/>
      <c r="H1329" s="2591"/>
      <c r="I1329" s="2591"/>
      <c r="J1329" s="2591"/>
      <c r="K1329" s="2591"/>
      <c r="L1329" s="2591"/>
      <c r="M1329" s="2591"/>
      <c r="N1329" s="2591"/>
      <c r="O1329" s="2591"/>
      <c r="P1329" s="2591"/>
      <c r="Q1329" s="2591"/>
      <c r="R1329" s="2591"/>
      <c r="S1329" s="2591"/>
    </row>
    <row r="1330" spans="1:19">
      <c r="A1330" s="2590"/>
      <c r="B1330" s="2591"/>
      <c r="C1330" s="2591"/>
      <c r="D1330" s="2591"/>
      <c r="E1330" s="2591"/>
      <c r="F1330" s="2591"/>
      <c r="G1330" s="2591"/>
      <c r="H1330" s="2591"/>
      <c r="I1330" s="2591"/>
      <c r="J1330" s="2591"/>
      <c r="K1330" s="2591"/>
      <c r="L1330" s="2591"/>
      <c r="M1330" s="2591"/>
      <c r="N1330" s="2591"/>
      <c r="O1330" s="2591"/>
      <c r="P1330" s="2591"/>
      <c r="Q1330" s="2591"/>
      <c r="R1330" s="2591"/>
      <c r="S1330" s="2591"/>
    </row>
    <row r="1331" spans="1:19">
      <c r="A1331" s="2590"/>
      <c r="B1331" s="2591"/>
      <c r="C1331" s="2591"/>
      <c r="D1331" s="2591"/>
      <c r="E1331" s="2591"/>
      <c r="F1331" s="2591"/>
      <c r="G1331" s="2591"/>
      <c r="H1331" s="2591"/>
      <c r="I1331" s="2591"/>
      <c r="J1331" s="2591"/>
      <c r="K1331" s="2591"/>
      <c r="L1331" s="2591"/>
      <c r="M1331" s="2591"/>
      <c r="N1331" s="2591"/>
      <c r="O1331" s="2591"/>
      <c r="P1331" s="2591"/>
      <c r="Q1331" s="2591"/>
      <c r="R1331" s="2591"/>
      <c r="S1331" s="2591"/>
    </row>
    <row r="1332" spans="1:19">
      <c r="A1332" s="2590"/>
      <c r="B1332" s="2591"/>
      <c r="C1332" s="2591"/>
      <c r="D1332" s="2591"/>
      <c r="E1332" s="2591"/>
      <c r="F1332" s="2591"/>
      <c r="G1332" s="2591"/>
      <c r="H1332" s="2591"/>
      <c r="I1332" s="2591"/>
      <c r="J1332" s="2591"/>
      <c r="K1332" s="2591"/>
      <c r="L1332" s="2591"/>
      <c r="M1332" s="2591"/>
      <c r="N1332" s="2591"/>
      <c r="O1332" s="2591"/>
      <c r="P1332" s="2591"/>
      <c r="Q1332" s="2591"/>
      <c r="R1332" s="2591"/>
      <c r="S1332" s="2591"/>
    </row>
    <row r="1333" spans="1:19">
      <c r="A1333" s="2590"/>
      <c r="B1333" s="2591"/>
      <c r="C1333" s="2591"/>
      <c r="D1333" s="2591"/>
      <c r="E1333" s="2591"/>
      <c r="F1333" s="2591"/>
      <c r="G1333" s="2591"/>
      <c r="H1333" s="2591"/>
      <c r="I1333" s="2591"/>
      <c r="J1333" s="2591"/>
      <c r="K1333" s="2591"/>
      <c r="L1333" s="2591"/>
      <c r="M1333" s="2591"/>
      <c r="N1333" s="2591"/>
      <c r="O1333" s="2591"/>
      <c r="P1333" s="2591"/>
      <c r="Q1333" s="2591"/>
      <c r="R1333" s="2591"/>
      <c r="S1333" s="2591"/>
    </row>
    <row r="1334" spans="1:19">
      <c r="A1334" s="2590"/>
      <c r="B1334" s="2591"/>
      <c r="C1334" s="2591"/>
      <c r="D1334" s="2591"/>
      <c r="E1334" s="2591"/>
      <c r="F1334" s="2591"/>
      <c r="G1334" s="2591"/>
      <c r="H1334" s="2591"/>
      <c r="I1334" s="2591"/>
      <c r="J1334" s="2591"/>
      <c r="K1334" s="2591"/>
      <c r="L1334" s="2591"/>
      <c r="M1334" s="2591"/>
      <c r="N1334" s="2591"/>
      <c r="O1334" s="2591"/>
      <c r="P1334" s="2591"/>
      <c r="Q1334" s="2591"/>
      <c r="R1334" s="2591"/>
      <c r="S1334" s="2591"/>
    </row>
    <row r="1335" spans="1:19">
      <c r="A1335" s="2590"/>
      <c r="B1335" s="2591"/>
      <c r="C1335" s="2591"/>
      <c r="D1335" s="2591"/>
      <c r="E1335" s="2591"/>
      <c r="F1335" s="2591"/>
      <c r="G1335" s="2591"/>
      <c r="H1335" s="2591"/>
      <c r="I1335" s="2591"/>
      <c r="J1335" s="2591"/>
      <c r="K1335" s="2591"/>
      <c r="L1335" s="2591"/>
      <c r="M1335" s="2591"/>
      <c r="N1335" s="2591"/>
      <c r="O1335" s="2591"/>
      <c r="P1335" s="2591"/>
      <c r="Q1335" s="2591"/>
      <c r="R1335" s="2591"/>
      <c r="S1335" s="2591"/>
    </row>
    <row r="1336" spans="1:19">
      <c r="A1336" s="2590"/>
      <c r="B1336" s="2591"/>
      <c r="C1336" s="2591"/>
      <c r="D1336" s="2591"/>
      <c r="E1336" s="2591"/>
      <c r="F1336" s="2591"/>
      <c r="G1336" s="2591"/>
      <c r="H1336" s="2591"/>
      <c r="I1336" s="2591"/>
      <c r="J1336" s="2591"/>
      <c r="K1336" s="2591"/>
      <c r="L1336" s="2591"/>
      <c r="M1336" s="2591"/>
      <c r="N1336" s="2591"/>
      <c r="O1336" s="2591"/>
      <c r="P1336" s="2591"/>
      <c r="Q1336" s="2591"/>
      <c r="R1336" s="2591"/>
      <c r="S1336" s="2591"/>
    </row>
    <row r="1337" spans="1:19">
      <c r="A1337" s="2590"/>
      <c r="B1337" s="2591"/>
      <c r="C1337" s="2591"/>
      <c r="D1337" s="2591"/>
      <c r="E1337" s="2591"/>
      <c r="F1337" s="2591"/>
      <c r="G1337" s="2591"/>
      <c r="H1337" s="2591"/>
      <c r="I1337" s="2591"/>
      <c r="J1337" s="2591"/>
      <c r="K1337" s="2591"/>
      <c r="L1337" s="2591"/>
      <c r="M1337" s="2591"/>
      <c r="N1337" s="2591"/>
      <c r="O1337" s="2591"/>
      <c r="P1337" s="2591"/>
      <c r="Q1337" s="2591"/>
      <c r="R1337" s="2591"/>
      <c r="S1337" s="2591"/>
    </row>
    <row r="1338" spans="1:19">
      <c r="A1338" s="2590"/>
      <c r="B1338" s="2591"/>
      <c r="C1338" s="2591"/>
      <c r="D1338" s="2591"/>
      <c r="E1338" s="2591"/>
      <c r="F1338" s="2591"/>
      <c r="G1338" s="2591"/>
      <c r="H1338" s="2591"/>
      <c r="I1338" s="2591"/>
      <c r="J1338" s="2591"/>
      <c r="K1338" s="2591"/>
      <c r="L1338" s="2591"/>
      <c r="M1338" s="2591"/>
      <c r="N1338" s="2591"/>
      <c r="O1338" s="2591"/>
      <c r="P1338" s="2591"/>
      <c r="Q1338" s="2591"/>
      <c r="R1338" s="2591"/>
      <c r="S1338" s="2591"/>
    </row>
    <row r="1339" spans="1:19">
      <c r="A1339" s="2590"/>
      <c r="B1339" s="2591"/>
      <c r="C1339" s="2591"/>
      <c r="D1339" s="2591"/>
      <c r="E1339" s="2591"/>
      <c r="F1339" s="2591"/>
      <c r="G1339" s="2591"/>
      <c r="H1339" s="2591"/>
      <c r="I1339" s="2591"/>
      <c r="J1339" s="2591"/>
      <c r="K1339" s="2591"/>
      <c r="L1339" s="2591"/>
      <c r="M1339" s="2591"/>
      <c r="N1339" s="2591"/>
      <c r="O1339" s="2591"/>
      <c r="P1339" s="2591"/>
      <c r="Q1339" s="2591"/>
      <c r="R1339" s="2591"/>
      <c r="S1339" s="2591"/>
    </row>
    <row r="1340" spans="1:19">
      <c r="A1340" s="2590"/>
      <c r="B1340" s="2591"/>
      <c r="C1340" s="2591"/>
      <c r="D1340" s="2591"/>
      <c r="E1340" s="2591"/>
      <c r="F1340" s="2591"/>
      <c r="G1340" s="2591"/>
      <c r="H1340" s="2591"/>
      <c r="I1340" s="2591"/>
      <c r="J1340" s="2591"/>
      <c r="K1340" s="2591"/>
      <c r="L1340" s="2591"/>
      <c r="M1340" s="2591"/>
      <c r="N1340" s="2591"/>
      <c r="O1340" s="2591"/>
      <c r="P1340" s="2591"/>
      <c r="Q1340" s="2591"/>
      <c r="R1340" s="2591"/>
      <c r="S1340" s="2591"/>
    </row>
    <row r="1341" spans="1:19">
      <c r="A1341" s="2590"/>
      <c r="B1341" s="2591"/>
      <c r="C1341" s="2591"/>
      <c r="D1341" s="2591"/>
      <c r="E1341" s="2591"/>
      <c r="F1341" s="2591"/>
      <c r="G1341" s="2591"/>
      <c r="H1341" s="2591"/>
      <c r="I1341" s="2591"/>
      <c r="J1341" s="2591"/>
      <c r="K1341" s="2591"/>
      <c r="L1341" s="2591"/>
      <c r="M1341" s="2591"/>
      <c r="N1341" s="2591"/>
      <c r="O1341" s="2591"/>
      <c r="P1341" s="2591"/>
      <c r="Q1341" s="2591"/>
      <c r="R1341" s="2591"/>
      <c r="S1341" s="2591"/>
    </row>
    <row r="1342" spans="1:19">
      <c r="A1342" s="2590"/>
      <c r="B1342" s="2591"/>
      <c r="C1342" s="2591"/>
      <c r="D1342" s="2591"/>
      <c r="E1342" s="2591"/>
      <c r="F1342" s="2591"/>
      <c r="G1342" s="2591"/>
      <c r="H1342" s="2591"/>
      <c r="I1342" s="2591"/>
      <c r="J1342" s="2591"/>
      <c r="K1342" s="2591"/>
      <c r="L1342" s="2591"/>
      <c r="M1342" s="2591"/>
      <c r="N1342" s="2591"/>
      <c r="O1342" s="2591"/>
      <c r="P1342" s="2591"/>
      <c r="Q1342" s="2591"/>
      <c r="R1342" s="2591"/>
      <c r="S1342" s="2591"/>
    </row>
    <row r="1343" spans="1:19">
      <c r="A1343" s="2590"/>
      <c r="B1343" s="2591"/>
      <c r="C1343" s="2591"/>
      <c r="D1343" s="2591"/>
      <c r="E1343" s="2591"/>
      <c r="F1343" s="2591"/>
      <c r="G1343" s="2591"/>
      <c r="H1343" s="2591"/>
      <c r="I1343" s="2591"/>
      <c r="J1343" s="2591"/>
      <c r="K1343" s="2591"/>
      <c r="L1343" s="2591"/>
      <c r="M1343" s="2591"/>
      <c r="N1343" s="2591"/>
      <c r="O1343" s="2591"/>
      <c r="P1343" s="2591"/>
      <c r="Q1343" s="2591"/>
      <c r="R1343" s="2591"/>
      <c r="S1343" s="2591"/>
    </row>
    <row r="1344" spans="1:19">
      <c r="A1344" s="2590"/>
      <c r="B1344" s="2591"/>
      <c r="C1344" s="2591"/>
      <c r="D1344" s="2591"/>
      <c r="E1344" s="2591"/>
      <c r="F1344" s="2591"/>
      <c r="G1344" s="2591"/>
      <c r="H1344" s="2591"/>
      <c r="I1344" s="2591"/>
      <c r="J1344" s="2591"/>
      <c r="K1344" s="2591"/>
      <c r="L1344" s="2591"/>
      <c r="M1344" s="2591"/>
      <c r="N1344" s="2591"/>
      <c r="O1344" s="2591"/>
      <c r="P1344" s="2591"/>
      <c r="Q1344" s="2591"/>
      <c r="R1344" s="2591"/>
      <c r="S1344" s="2591"/>
    </row>
    <row r="1345" spans="1:19">
      <c r="A1345" s="2590"/>
      <c r="B1345" s="2591"/>
      <c r="C1345" s="2591"/>
      <c r="D1345" s="2591"/>
      <c r="E1345" s="2591"/>
      <c r="F1345" s="2591"/>
      <c r="G1345" s="2591"/>
      <c r="H1345" s="2591"/>
      <c r="I1345" s="2591"/>
      <c r="J1345" s="2591"/>
      <c r="K1345" s="2591"/>
      <c r="L1345" s="2591"/>
      <c r="M1345" s="2591"/>
      <c r="N1345" s="2591"/>
      <c r="O1345" s="2591"/>
      <c r="P1345" s="2591"/>
      <c r="Q1345" s="2591"/>
      <c r="R1345" s="2591"/>
      <c r="S1345" s="2591"/>
    </row>
    <row r="1346" spans="1:19">
      <c r="A1346" s="2590"/>
      <c r="B1346" s="2591"/>
      <c r="C1346" s="2591"/>
      <c r="D1346" s="2591"/>
      <c r="E1346" s="2591"/>
      <c r="F1346" s="2591"/>
      <c r="G1346" s="2591"/>
      <c r="H1346" s="2591"/>
      <c r="I1346" s="2591"/>
      <c r="J1346" s="2591"/>
      <c r="K1346" s="2591"/>
      <c r="L1346" s="2591"/>
      <c r="M1346" s="2591"/>
      <c r="N1346" s="2591"/>
      <c r="O1346" s="2591"/>
      <c r="P1346" s="2591"/>
      <c r="Q1346" s="2591"/>
      <c r="R1346" s="2591"/>
      <c r="S1346" s="2591"/>
    </row>
    <row r="1347" spans="1:19">
      <c r="A1347" s="2590"/>
      <c r="B1347" s="2591"/>
      <c r="C1347" s="2591"/>
      <c r="D1347" s="2591"/>
      <c r="E1347" s="2591"/>
      <c r="F1347" s="2591"/>
      <c r="G1347" s="2591"/>
      <c r="H1347" s="2591"/>
      <c r="I1347" s="2591"/>
      <c r="J1347" s="2591"/>
      <c r="K1347" s="2591"/>
      <c r="L1347" s="2591"/>
      <c r="M1347" s="2591"/>
      <c r="N1347" s="2591"/>
      <c r="O1347" s="2591"/>
      <c r="P1347" s="2591"/>
      <c r="Q1347" s="2591"/>
      <c r="R1347" s="2591"/>
      <c r="S1347" s="2591"/>
    </row>
    <row r="1348" spans="1:19">
      <c r="A1348" s="2590"/>
      <c r="B1348" s="2591"/>
      <c r="C1348" s="2591"/>
      <c r="D1348" s="2591"/>
      <c r="E1348" s="2591"/>
      <c r="F1348" s="2591"/>
      <c r="G1348" s="2591"/>
      <c r="H1348" s="2591"/>
      <c r="I1348" s="2591"/>
      <c r="J1348" s="2591"/>
      <c r="K1348" s="2591"/>
      <c r="L1348" s="2591"/>
      <c r="M1348" s="2591"/>
      <c r="N1348" s="2591"/>
      <c r="O1348" s="2591"/>
      <c r="P1348" s="2591"/>
      <c r="Q1348" s="2591"/>
      <c r="R1348" s="2591"/>
      <c r="S1348" s="2591"/>
    </row>
    <row r="1349" spans="1:19">
      <c r="A1349" s="2590"/>
      <c r="B1349" s="2591"/>
      <c r="C1349" s="2591"/>
      <c r="D1349" s="2591"/>
      <c r="E1349" s="2591"/>
      <c r="F1349" s="2591"/>
      <c r="G1349" s="2591"/>
      <c r="H1349" s="2591"/>
      <c r="I1349" s="2591"/>
      <c r="J1349" s="2591"/>
      <c r="K1349" s="2591"/>
      <c r="L1349" s="2591"/>
      <c r="M1349" s="2591"/>
      <c r="N1349" s="2591"/>
      <c r="O1349" s="2591"/>
      <c r="P1349" s="2591"/>
      <c r="Q1349" s="2591"/>
      <c r="R1349" s="2591"/>
      <c r="S1349" s="2591"/>
    </row>
    <row r="1350" spans="1:19">
      <c r="A1350" s="2590"/>
      <c r="B1350" s="2591"/>
      <c r="C1350" s="2591"/>
      <c r="D1350" s="2591"/>
      <c r="E1350" s="2591"/>
      <c r="F1350" s="2591"/>
      <c r="G1350" s="2591"/>
      <c r="H1350" s="2591"/>
      <c r="I1350" s="2591"/>
      <c r="J1350" s="2591"/>
      <c r="K1350" s="2591"/>
      <c r="L1350" s="2591"/>
      <c r="M1350" s="2591"/>
      <c r="N1350" s="2591"/>
      <c r="O1350" s="2591"/>
      <c r="P1350" s="2591"/>
      <c r="Q1350" s="2591"/>
      <c r="R1350" s="2591"/>
      <c r="S1350" s="2591"/>
    </row>
    <row r="1351" spans="1:19">
      <c r="A1351" s="2590"/>
      <c r="B1351" s="2591"/>
      <c r="C1351" s="2591"/>
      <c r="D1351" s="2591"/>
      <c r="E1351" s="2591"/>
      <c r="F1351" s="2591"/>
      <c r="G1351" s="2591"/>
      <c r="H1351" s="2591"/>
      <c r="I1351" s="2591"/>
      <c r="J1351" s="2591"/>
      <c r="K1351" s="2591"/>
      <c r="L1351" s="2591"/>
      <c r="M1351" s="2591"/>
      <c r="N1351" s="2591"/>
      <c r="O1351" s="2591"/>
      <c r="P1351" s="2591"/>
      <c r="Q1351" s="2591"/>
      <c r="R1351" s="2591"/>
      <c r="S1351" s="2591"/>
    </row>
    <row r="1352" spans="1:19">
      <c r="A1352" s="2590"/>
      <c r="B1352" s="2591"/>
      <c r="C1352" s="2591"/>
      <c r="D1352" s="2591"/>
      <c r="E1352" s="2591"/>
      <c r="F1352" s="2591"/>
      <c r="G1352" s="2591"/>
      <c r="H1352" s="2591"/>
      <c r="I1352" s="2591"/>
      <c r="J1352" s="2591"/>
      <c r="K1352" s="2591"/>
      <c r="L1352" s="2591"/>
      <c r="M1352" s="2591"/>
      <c r="N1352" s="2591"/>
      <c r="O1352" s="2591"/>
      <c r="P1352" s="2591"/>
      <c r="Q1352" s="2591"/>
      <c r="R1352" s="2591"/>
      <c r="S1352" s="2591"/>
    </row>
    <row r="1353" spans="1:19">
      <c r="A1353" s="2590"/>
      <c r="B1353" s="2591"/>
      <c r="C1353" s="2591"/>
      <c r="D1353" s="2591"/>
      <c r="E1353" s="2591"/>
      <c r="F1353" s="2591"/>
      <c r="G1353" s="2591"/>
      <c r="H1353" s="2591"/>
      <c r="I1353" s="2591"/>
      <c r="J1353" s="2591"/>
      <c r="K1353" s="2591"/>
      <c r="L1353" s="2591"/>
      <c r="M1353" s="2591"/>
      <c r="N1353" s="2591"/>
      <c r="O1353" s="2591"/>
      <c r="P1353" s="2591"/>
      <c r="Q1353" s="2591"/>
      <c r="R1353" s="2591"/>
      <c r="S1353" s="2591"/>
    </row>
    <row r="1354" spans="1:19">
      <c r="A1354" s="2590"/>
      <c r="B1354" s="2591"/>
      <c r="C1354" s="2591"/>
      <c r="D1354" s="2591"/>
      <c r="E1354" s="2591"/>
      <c r="F1354" s="2591"/>
      <c r="G1354" s="2591"/>
      <c r="H1354" s="2591"/>
      <c r="I1354" s="2591"/>
      <c r="J1354" s="2591"/>
      <c r="K1354" s="2591"/>
      <c r="L1354" s="2591"/>
      <c r="M1354" s="2591"/>
      <c r="N1354" s="2591"/>
      <c r="O1354" s="2591"/>
      <c r="P1354" s="2591"/>
      <c r="Q1354" s="2591"/>
      <c r="R1354" s="2591"/>
      <c r="S1354" s="2591"/>
    </row>
    <row r="1355" spans="1:19">
      <c r="A1355" s="2590"/>
      <c r="B1355" s="2591"/>
      <c r="C1355" s="2591"/>
      <c r="D1355" s="2591"/>
      <c r="E1355" s="2591"/>
      <c r="F1355" s="2591"/>
      <c r="G1355" s="2591"/>
      <c r="H1355" s="2591"/>
      <c r="I1355" s="2591"/>
      <c r="J1355" s="2591"/>
      <c r="K1355" s="2591"/>
      <c r="L1355" s="2591"/>
      <c r="M1355" s="2591"/>
      <c r="N1355" s="2591"/>
      <c r="O1355" s="2591"/>
      <c r="P1355" s="2591"/>
      <c r="Q1355" s="2591"/>
      <c r="R1355" s="2591"/>
      <c r="S1355" s="2591"/>
    </row>
    <row r="1356" spans="1:19">
      <c r="A1356" s="2590"/>
      <c r="B1356" s="2591"/>
      <c r="C1356" s="2591"/>
      <c r="D1356" s="2591"/>
      <c r="E1356" s="2591"/>
      <c r="F1356" s="2591"/>
      <c r="G1356" s="2591"/>
      <c r="H1356" s="2591"/>
      <c r="I1356" s="2591"/>
      <c r="J1356" s="2591"/>
      <c r="K1356" s="2591"/>
      <c r="L1356" s="2591"/>
      <c r="M1356" s="2591"/>
      <c r="N1356" s="2591"/>
      <c r="O1356" s="2591"/>
      <c r="P1356" s="2591"/>
      <c r="Q1356" s="2591"/>
      <c r="R1356" s="2591"/>
      <c r="S1356" s="2591"/>
    </row>
    <row r="1357" spans="1:19">
      <c r="A1357" s="2590"/>
      <c r="B1357" s="2591"/>
      <c r="C1357" s="2591"/>
      <c r="D1357" s="2591"/>
      <c r="E1357" s="2591"/>
      <c r="F1357" s="2591"/>
      <c r="G1357" s="2591"/>
      <c r="H1357" s="2591"/>
      <c r="I1357" s="2591"/>
      <c r="J1357" s="2591"/>
      <c r="K1357" s="2591"/>
      <c r="L1357" s="2591"/>
      <c r="M1357" s="2591"/>
      <c r="N1357" s="2591"/>
      <c r="O1357" s="2591"/>
      <c r="P1357" s="2591"/>
      <c r="Q1357" s="2591"/>
      <c r="R1357" s="2591"/>
      <c r="S1357" s="2591"/>
    </row>
    <row r="1358" spans="1:19">
      <c r="A1358" s="2590"/>
      <c r="B1358" s="2591"/>
      <c r="C1358" s="2591"/>
      <c r="D1358" s="2591"/>
      <c r="E1358" s="2591"/>
      <c r="F1358" s="2591"/>
      <c r="G1358" s="2591"/>
      <c r="H1358" s="2591"/>
      <c r="I1358" s="2591"/>
      <c r="J1358" s="2591"/>
      <c r="K1358" s="2591"/>
      <c r="L1358" s="2591"/>
      <c r="M1358" s="2591"/>
      <c r="N1358" s="2591"/>
      <c r="O1358" s="2591"/>
      <c r="P1358" s="2591"/>
      <c r="Q1358" s="2591"/>
      <c r="R1358" s="2591"/>
      <c r="S1358" s="2591"/>
    </row>
    <row r="1359" spans="1:19">
      <c r="A1359" s="2590"/>
      <c r="B1359" s="2591"/>
      <c r="C1359" s="2591"/>
      <c r="D1359" s="2591"/>
      <c r="E1359" s="2591"/>
      <c r="F1359" s="2591"/>
      <c r="G1359" s="2591"/>
      <c r="H1359" s="2591"/>
      <c r="I1359" s="2591"/>
      <c r="J1359" s="2591"/>
      <c r="K1359" s="2591"/>
      <c r="L1359" s="2591"/>
      <c r="M1359" s="2591"/>
      <c r="N1359" s="2591"/>
      <c r="O1359" s="2591"/>
      <c r="P1359" s="2591"/>
      <c r="Q1359" s="2591"/>
      <c r="R1359" s="2591"/>
      <c r="S1359" s="2591"/>
    </row>
    <row r="1360" spans="1:19">
      <c r="A1360" s="2590"/>
      <c r="B1360" s="2591"/>
      <c r="C1360" s="2591"/>
      <c r="D1360" s="2591"/>
      <c r="E1360" s="2591"/>
      <c r="F1360" s="2591"/>
      <c r="G1360" s="2591"/>
      <c r="H1360" s="2591"/>
      <c r="I1360" s="2591"/>
      <c r="J1360" s="2591"/>
      <c r="K1360" s="2591"/>
      <c r="L1360" s="2591"/>
      <c r="M1360" s="2591"/>
      <c r="N1360" s="2591"/>
      <c r="O1360" s="2591"/>
      <c r="P1360" s="2591"/>
      <c r="Q1360" s="2591"/>
      <c r="R1360" s="2591"/>
      <c r="S1360" s="2591"/>
    </row>
    <row r="1361" spans="1:19">
      <c r="A1361" s="2590"/>
      <c r="B1361" s="2591"/>
      <c r="C1361" s="2591"/>
      <c r="D1361" s="2591"/>
      <c r="E1361" s="2591"/>
      <c r="F1361" s="2591"/>
      <c r="G1361" s="2591"/>
      <c r="H1361" s="2591"/>
      <c r="I1361" s="2591"/>
      <c r="J1361" s="2591"/>
      <c r="K1361" s="2591"/>
      <c r="L1361" s="2591"/>
      <c r="M1361" s="2591"/>
      <c r="N1361" s="2591"/>
      <c r="O1361" s="2591"/>
      <c r="P1361" s="2591"/>
      <c r="Q1361" s="2591"/>
      <c r="R1361" s="2591"/>
      <c r="S1361" s="2591"/>
    </row>
    <row r="1362" spans="1:19">
      <c r="A1362" s="2590"/>
      <c r="B1362" s="2591"/>
      <c r="C1362" s="2591"/>
      <c r="D1362" s="2591"/>
      <c r="E1362" s="2591"/>
      <c r="F1362" s="2591"/>
      <c r="G1362" s="2591"/>
      <c r="H1362" s="2591"/>
      <c r="I1362" s="2591"/>
      <c r="J1362" s="2591"/>
      <c r="K1362" s="2591"/>
      <c r="L1362" s="2591"/>
      <c r="M1362" s="2591"/>
      <c r="N1362" s="2591"/>
      <c r="O1362" s="2591"/>
      <c r="P1362" s="2591"/>
      <c r="Q1362" s="2591"/>
      <c r="R1362" s="2591"/>
      <c r="S1362" s="2591"/>
    </row>
    <row r="1363" spans="1:19">
      <c r="A1363" s="2590"/>
      <c r="B1363" s="2591"/>
      <c r="C1363" s="2591"/>
      <c r="D1363" s="2591"/>
      <c r="E1363" s="2591"/>
      <c r="F1363" s="2591"/>
      <c r="G1363" s="2591"/>
      <c r="H1363" s="2591"/>
      <c r="I1363" s="2591"/>
      <c r="J1363" s="2591"/>
      <c r="K1363" s="2591"/>
      <c r="L1363" s="2591"/>
      <c r="M1363" s="2591"/>
      <c r="N1363" s="2591"/>
      <c r="O1363" s="2591"/>
      <c r="P1363" s="2591"/>
      <c r="Q1363" s="2591"/>
      <c r="R1363" s="2591"/>
      <c r="S1363" s="2591"/>
    </row>
    <row r="1364" spans="1:19">
      <c r="A1364" s="2590"/>
      <c r="B1364" s="2591"/>
      <c r="C1364" s="2591"/>
      <c r="D1364" s="2591"/>
      <c r="E1364" s="2591"/>
      <c r="F1364" s="2591"/>
      <c r="G1364" s="2591"/>
      <c r="H1364" s="2591"/>
      <c r="I1364" s="2591"/>
      <c r="J1364" s="2591"/>
      <c r="K1364" s="2591"/>
      <c r="L1364" s="2591"/>
      <c r="M1364" s="2591"/>
      <c r="N1364" s="2591"/>
      <c r="O1364" s="2591"/>
      <c r="P1364" s="2591"/>
      <c r="Q1364" s="2591"/>
      <c r="R1364" s="2591"/>
      <c r="S1364" s="2591"/>
    </row>
    <row r="1365" spans="1:19">
      <c r="A1365" s="2590"/>
      <c r="B1365" s="2591"/>
      <c r="C1365" s="2591"/>
      <c r="D1365" s="2591"/>
      <c r="E1365" s="2591"/>
      <c r="F1365" s="2591"/>
      <c r="G1365" s="2591"/>
      <c r="H1365" s="2591"/>
      <c r="I1365" s="2591"/>
      <c r="J1365" s="2591"/>
      <c r="K1365" s="2591"/>
      <c r="L1365" s="2591"/>
      <c r="M1365" s="2591"/>
      <c r="N1365" s="2591"/>
      <c r="O1365" s="2591"/>
      <c r="P1365" s="2591"/>
      <c r="Q1365" s="2591"/>
      <c r="R1365" s="2591"/>
      <c r="S1365" s="2591"/>
    </row>
    <row r="1366" spans="1:19">
      <c r="A1366" s="2590"/>
      <c r="B1366" s="2591"/>
      <c r="C1366" s="2591"/>
      <c r="D1366" s="2591"/>
      <c r="E1366" s="2591"/>
      <c r="F1366" s="2591"/>
      <c r="G1366" s="2591"/>
      <c r="H1366" s="2591"/>
      <c r="I1366" s="2591"/>
      <c r="J1366" s="2591"/>
      <c r="K1366" s="2591"/>
      <c r="L1366" s="2591"/>
      <c r="M1366" s="2591"/>
      <c r="N1366" s="2591"/>
      <c r="O1366" s="2591"/>
      <c r="P1366" s="2591"/>
      <c r="Q1366" s="2591"/>
      <c r="R1366" s="2591"/>
      <c r="S1366" s="2591"/>
    </row>
    <row r="1367" spans="1:19">
      <c r="A1367" s="2590"/>
      <c r="B1367" s="2591"/>
      <c r="C1367" s="2591"/>
      <c r="D1367" s="2591"/>
      <c r="E1367" s="2591"/>
      <c r="F1367" s="2591"/>
      <c r="G1367" s="2591"/>
      <c r="H1367" s="2591"/>
      <c r="I1367" s="2591"/>
      <c r="J1367" s="2591"/>
      <c r="K1367" s="2591"/>
      <c r="L1367" s="2591"/>
      <c r="M1367" s="2591"/>
      <c r="N1367" s="2591"/>
      <c r="O1367" s="2591"/>
      <c r="P1367" s="2591"/>
      <c r="Q1367" s="2591"/>
      <c r="R1367" s="2591"/>
      <c r="S1367" s="2591"/>
    </row>
    <row r="1368" spans="1:19">
      <c r="A1368" s="2590"/>
      <c r="B1368" s="2591"/>
      <c r="C1368" s="2591"/>
      <c r="D1368" s="2591"/>
      <c r="E1368" s="2591"/>
      <c r="F1368" s="2591"/>
      <c r="G1368" s="2591"/>
      <c r="H1368" s="2591"/>
      <c r="I1368" s="2591"/>
      <c r="J1368" s="2591"/>
      <c r="K1368" s="2591"/>
      <c r="L1368" s="2591"/>
      <c r="M1368" s="2591"/>
      <c r="N1368" s="2591"/>
      <c r="O1368" s="2591"/>
      <c r="P1368" s="2591"/>
      <c r="Q1368" s="2591"/>
      <c r="R1368" s="2591"/>
      <c r="S1368" s="2591"/>
    </row>
    <row r="1369" spans="1:19">
      <c r="A1369" s="2590"/>
      <c r="B1369" s="2591"/>
      <c r="C1369" s="2591"/>
      <c r="D1369" s="2591"/>
      <c r="E1369" s="2591"/>
      <c r="F1369" s="2591"/>
      <c r="G1369" s="2591"/>
      <c r="H1369" s="2591"/>
      <c r="I1369" s="2591"/>
      <c r="J1369" s="2591"/>
      <c r="K1369" s="2591"/>
      <c r="L1369" s="2591"/>
      <c r="M1369" s="2591"/>
      <c r="N1369" s="2591"/>
      <c r="O1369" s="2591"/>
      <c r="P1369" s="2591"/>
      <c r="Q1369" s="2591"/>
      <c r="R1369" s="2591"/>
      <c r="S1369" s="2591"/>
    </row>
    <row r="1370" spans="1:19">
      <c r="A1370" s="2590"/>
      <c r="B1370" s="2591"/>
      <c r="C1370" s="2591"/>
      <c r="D1370" s="2591"/>
      <c r="E1370" s="2591"/>
      <c r="F1370" s="2591"/>
      <c r="G1370" s="2591"/>
      <c r="H1370" s="2591"/>
      <c r="I1370" s="2591"/>
      <c r="J1370" s="2591"/>
      <c r="K1370" s="2591"/>
      <c r="L1370" s="2591"/>
      <c r="M1370" s="2591"/>
      <c r="N1370" s="2591"/>
      <c r="O1370" s="2591"/>
      <c r="P1370" s="2591"/>
      <c r="Q1370" s="2591"/>
      <c r="R1370" s="2591"/>
      <c r="S1370" s="2591"/>
    </row>
    <row r="1371" spans="1:19">
      <c r="A1371" s="2590"/>
      <c r="B1371" s="2591"/>
      <c r="C1371" s="2591"/>
      <c r="D1371" s="2591"/>
      <c r="E1371" s="2591"/>
      <c r="F1371" s="2591"/>
      <c r="G1371" s="2591"/>
      <c r="H1371" s="2591"/>
      <c r="I1371" s="2591"/>
      <c r="J1371" s="2591"/>
      <c r="K1371" s="2591"/>
      <c r="L1371" s="2591"/>
      <c r="M1371" s="2591"/>
      <c r="N1371" s="2591"/>
      <c r="O1371" s="2591"/>
      <c r="P1371" s="2591"/>
      <c r="Q1371" s="2591"/>
      <c r="R1371" s="2591"/>
      <c r="S1371" s="2591"/>
    </row>
    <row r="1372" spans="1:19">
      <c r="A1372" s="2590"/>
      <c r="B1372" s="2591"/>
      <c r="C1372" s="2591"/>
      <c r="D1372" s="2591"/>
      <c r="E1372" s="2591"/>
      <c r="F1372" s="2591"/>
      <c r="G1372" s="2591"/>
      <c r="H1372" s="2591"/>
      <c r="I1372" s="2591"/>
      <c r="J1372" s="2591"/>
      <c r="K1372" s="2591"/>
      <c r="L1372" s="2591"/>
      <c r="M1372" s="2591"/>
      <c r="N1372" s="2591"/>
      <c r="O1372" s="2591"/>
      <c r="P1372" s="2591"/>
      <c r="Q1372" s="2591"/>
      <c r="R1372" s="2591"/>
      <c r="S1372" s="2591"/>
    </row>
    <row r="1373" spans="1:19">
      <c r="A1373" s="2590"/>
      <c r="B1373" s="2591"/>
      <c r="C1373" s="2591"/>
      <c r="D1373" s="2591"/>
      <c r="E1373" s="2591"/>
      <c r="F1373" s="2591"/>
      <c r="G1373" s="2591"/>
      <c r="H1373" s="2591"/>
      <c r="I1373" s="2591"/>
      <c r="J1373" s="2591"/>
      <c r="K1373" s="2591"/>
      <c r="L1373" s="2591"/>
      <c r="M1373" s="2591"/>
      <c r="N1373" s="2591"/>
      <c r="O1373" s="2591"/>
      <c r="P1373" s="2591"/>
      <c r="Q1373" s="2591"/>
      <c r="R1373" s="2591"/>
      <c r="S1373" s="2591"/>
    </row>
    <row r="1374" spans="1:19">
      <c r="A1374" s="2590"/>
      <c r="B1374" s="2591"/>
      <c r="C1374" s="2591"/>
      <c r="D1374" s="2591"/>
      <c r="E1374" s="2591"/>
      <c r="F1374" s="2591"/>
      <c r="G1374" s="2591"/>
      <c r="H1374" s="2591"/>
      <c r="I1374" s="2591"/>
      <c r="J1374" s="2591"/>
      <c r="K1374" s="2591"/>
      <c r="L1374" s="2591"/>
      <c r="M1374" s="2591"/>
      <c r="N1374" s="2591"/>
      <c r="O1374" s="2591"/>
      <c r="P1374" s="2591"/>
      <c r="Q1374" s="2591"/>
      <c r="R1374" s="2591"/>
      <c r="S1374" s="2591"/>
    </row>
    <row r="1375" spans="1:19">
      <c r="A1375" s="2590"/>
      <c r="B1375" s="2591"/>
      <c r="C1375" s="2591"/>
      <c r="D1375" s="2591"/>
      <c r="E1375" s="2591"/>
      <c r="F1375" s="2591"/>
      <c r="G1375" s="2591"/>
      <c r="H1375" s="2591"/>
      <c r="I1375" s="2591"/>
      <c r="J1375" s="2591"/>
      <c r="K1375" s="2591"/>
      <c r="L1375" s="2591"/>
      <c r="M1375" s="2591"/>
      <c r="N1375" s="2591"/>
      <c r="O1375" s="2591"/>
      <c r="P1375" s="2591"/>
      <c r="Q1375" s="2591"/>
      <c r="R1375" s="2591"/>
      <c r="S1375" s="2591"/>
    </row>
    <row r="1376" spans="1:19">
      <c r="A1376" s="2590"/>
      <c r="B1376" s="2591"/>
      <c r="C1376" s="2591"/>
      <c r="D1376" s="2591"/>
      <c r="E1376" s="2591"/>
      <c r="F1376" s="2591"/>
      <c r="G1376" s="2591"/>
      <c r="H1376" s="2591"/>
      <c r="I1376" s="2591"/>
      <c r="J1376" s="2591"/>
      <c r="K1376" s="2591"/>
      <c r="L1376" s="2591"/>
      <c r="M1376" s="2591"/>
      <c r="N1376" s="2591"/>
      <c r="O1376" s="2591"/>
      <c r="P1376" s="2591"/>
      <c r="Q1376" s="2591"/>
      <c r="R1376" s="2591"/>
      <c r="S1376" s="2591"/>
    </row>
    <row r="1377" spans="1:19">
      <c r="A1377" s="2590"/>
      <c r="B1377" s="2591"/>
      <c r="C1377" s="2591"/>
      <c r="D1377" s="2591"/>
      <c r="E1377" s="2591"/>
      <c r="F1377" s="2591"/>
      <c r="G1377" s="2591"/>
      <c r="H1377" s="2591"/>
      <c r="I1377" s="2591"/>
      <c r="J1377" s="2591"/>
      <c r="K1377" s="2591"/>
      <c r="L1377" s="2591"/>
      <c r="M1377" s="2591"/>
      <c r="N1377" s="2591"/>
      <c r="O1377" s="2591"/>
      <c r="P1377" s="2591"/>
      <c r="Q1377" s="2591"/>
      <c r="R1377" s="2591"/>
      <c r="S1377" s="2591"/>
    </row>
    <row r="1378" spans="1:19">
      <c r="A1378" s="2590"/>
      <c r="B1378" s="2591"/>
      <c r="C1378" s="2591"/>
      <c r="D1378" s="2591"/>
      <c r="E1378" s="2591"/>
      <c r="F1378" s="2591"/>
      <c r="G1378" s="2591"/>
      <c r="H1378" s="2591"/>
      <c r="I1378" s="2591"/>
      <c r="J1378" s="2591"/>
      <c r="K1378" s="2591"/>
      <c r="L1378" s="2591"/>
      <c r="M1378" s="2591"/>
      <c r="N1378" s="2591"/>
      <c r="O1378" s="2591"/>
      <c r="P1378" s="2591"/>
      <c r="Q1378" s="2591"/>
      <c r="R1378" s="2591"/>
      <c r="S1378" s="2591"/>
    </row>
    <row r="1379" spans="1:19">
      <c r="A1379" s="2590"/>
      <c r="B1379" s="2591"/>
      <c r="C1379" s="2591"/>
      <c r="D1379" s="2591"/>
      <c r="E1379" s="2591"/>
      <c r="F1379" s="2591"/>
      <c r="G1379" s="2591"/>
      <c r="H1379" s="2591"/>
      <c r="I1379" s="2591"/>
      <c r="J1379" s="2591"/>
      <c r="K1379" s="2591"/>
      <c r="L1379" s="2591"/>
      <c r="M1379" s="2591"/>
      <c r="N1379" s="2591"/>
      <c r="O1379" s="2591"/>
      <c r="P1379" s="2591"/>
      <c r="Q1379" s="2591"/>
      <c r="R1379" s="2591"/>
      <c r="S1379" s="2591"/>
    </row>
    <row r="1380" spans="1:19">
      <c r="A1380" s="2590"/>
      <c r="B1380" s="2591"/>
      <c r="C1380" s="2591"/>
      <c r="D1380" s="2591"/>
      <c r="E1380" s="2591"/>
      <c r="F1380" s="2591"/>
      <c r="G1380" s="2591"/>
      <c r="H1380" s="2591"/>
      <c r="I1380" s="2591"/>
      <c r="J1380" s="2591"/>
      <c r="K1380" s="2591"/>
      <c r="L1380" s="2591"/>
      <c r="M1380" s="2591"/>
      <c r="N1380" s="2591"/>
      <c r="O1380" s="2591"/>
      <c r="P1380" s="2591"/>
      <c r="Q1380" s="2591"/>
      <c r="R1380" s="2591"/>
      <c r="S1380" s="2591"/>
    </row>
    <row r="1381" spans="1:19">
      <c r="A1381" s="2590"/>
      <c r="B1381" s="2591"/>
      <c r="C1381" s="2591"/>
      <c r="D1381" s="2591"/>
      <c r="E1381" s="2591"/>
      <c r="F1381" s="2591"/>
      <c r="G1381" s="2591"/>
      <c r="H1381" s="2591"/>
      <c r="I1381" s="2591"/>
      <c r="J1381" s="2591"/>
      <c r="K1381" s="2591"/>
      <c r="L1381" s="2591"/>
      <c r="M1381" s="2591"/>
      <c r="N1381" s="2591"/>
      <c r="O1381" s="2591"/>
      <c r="P1381" s="2591"/>
      <c r="Q1381" s="2591"/>
      <c r="R1381" s="2591"/>
      <c r="S1381" s="2591"/>
    </row>
    <row r="1382" spans="1:19">
      <c r="A1382" s="2590"/>
      <c r="B1382" s="2591"/>
      <c r="C1382" s="2591"/>
      <c r="D1382" s="2591"/>
      <c r="E1382" s="2591"/>
      <c r="F1382" s="2591"/>
      <c r="G1382" s="2591"/>
      <c r="H1382" s="2591"/>
      <c r="I1382" s="2591"/>
      <c r="J1382" s="2591"/>
      <c r="K1382" s="2591"/>
      <c r="L1382" s="2591"/>
      <c r="M1382" s="2591"/>
      <c r="N1382" s="2591"/>
      <c r="O1382" s="2591"/>
      <c r="P1382" s="2591"/>
      <c r="Q1382" s="2591"/>
      <c r="R1382" s="2591"/>
      <c r="S1382" s="2591"/>
    </row>
    <row r="1383" spans="1:19">
      <c r="A1383" s="2590"/>
      <c r="B1383" s="2591"/>
      <c r="C1383" s="2591"/>
      <c r="D1383" s="2591"/>
      <c r="E1383" s="2591"/>
      <c r="F1383" s="2591"/>
      <c r="G1383" s="2591"/>
      <c r="H1383" s="2591"/>
      <c r="I1383" s="2591"/>
      <c r="J1383" s="2591"/>
      <c r="K1383" s="2591"/>
      <c r="L1383" s="2591"/>
      <c r="M1383" s="2591"/>
      <c r="N1383" s="2591"/>
      <c r="O1383" s="2591"/>
      <c r="P1383" s="2591"/>
      <c r="Q1383" s="2591"/>
      <c r="R1383" s="2591"/>
      <c r="S1383" s="2591"/>
    </row>
    <row r="1384" spans="1:19">
      <c r="A1384" s="2590"/>
      <c r="B1384" s="2591"/>
      <c r="C1384" s="2591"/>
      <c r="D1384" s="2591"/>
      <c r="E1384" s="2591"/>
      <c r="F1384" s="2591"/>
      <c r="G1384" s="2591"/>
      <c r="H1384" s="2591"/>
      <c r="I1384" s="2591"/>
      <c r="J1384" s="2591"/>
      <c r="K1384" s="2591"/>
      <c r="L1384" s="2591"/>
      <c r="M1384" s="2591"/>
      <c r="N1384" s="2591"/>
      <c r="O1384" s="2591"/>
      <c r="P1384" s="2591"/>
      <c r="Q1384" s="2591"/>
      <c r="R1384" s="2591"/>
      <c r="S1384" s="2591"/>
    </row>
    <row r="1385" spans="1:19">
      <c r="A1385" s="2590"/>
      <c r="B1385" s="2591"/>
      <c r="C1385" s="2591"/>
      <c r="D1385" s="2591"/>
      <c r="E1385" s="2591"/>
      <c r="F1385" s="2591"/>
      <c r="G1385" s="2591"/>
      <c r="H1385" s="2591"/>
      <c r="I1385" s="2591"/>
      <c r="J1385" s="2591"/>
      <c r="K1385" s="2591"/>
      <c r="L1385" s="2591"/>
      <c r="M1385" s="2591"/>
      <c r="N1385" s="2591"/>
      <c r="O1385" s="2591"/>
      <c r="P1385" s="2591"/>
      <c r="Q1385" s="2591"/>
      <c r="R1385" s="2591"/>
      <c r="S1385" s="2591"/>
    </row>
    <row r="1386" spans="1:19">
      <c r="A1386" s="2590"/>
      <c r="B1386" s="2591"/>
      <c r="C1386" s="2591"/>
      <c r="D1386" s="2591"/>
      <c r="E1386" s="2591"/>
      <c r="F1386" s="2591"/>
      <c r="G1386" s="2591"/>
      <c r="H1386" s="2591"/>
      <c r="I1386" s="2591"/>
      <c r="J1386" s="2591"/>
      <c r="K1386" s="2591"/>
      <c r="L1386" s="2591"/>
      <c r="M1386" s="2591"/>
      <c r="N1386" s="2591"/>
      <c r="O1386" s="2591"/>
      <c r="P1386" s="2591"/>
      <c r="Q1386" s="2591"/>
      <c r="R1386" s="2591"/>
      <c r="S1386" s="2591"/>
    </row>
    <row r="1387" spans="1:19">
      <c r="A1387" s="2590"/>
      <c r="B1387" s="2591"/>
      <c r="C1387" s="2591"/>
      <c r="D1387" s="2591"/>
      <c r="E1387" s="2591"/>
      <c r="F1387" s="2591"/>
      <c r="G1387" s="2591"/>
      <c r="H1387" s="2591"/>
      <c r="I1387" s="2591"/>
      <c r="J1387" s="2591"/>
      <c r="K1387" s="2591"/>
      <c r="L1387" s="2591"/>
      <c r="M1387" s="2591"/>
      <c r="N1387" s="2591"/>
      <c r="O1387" s="2591"/>
      <c r="P1387" s="2591"/>
      <c r="Q1387" s="2591"/>
      <c r="R1387" s="2591"/>
      <c r="S1387" s="2591"/>
    </row>
    <row r="1388" spans="1:19">
      <c r="A1388" s="2590"/>
      <c r="B1388" s="2591"/>
      <c r="C1388" s="2591"/>
      <c r="D1388" s="2591"/>
      <c r="E1388" s="2591"/>
      <c r="F1388" s="2591"/>
      <c r="G1388" s="2591"/>
      <c r="H1388" s="2591"/>
      <c r="I1388" s="2591"/>
      <c r="J1388" s="2591"/>
      <c r="K1388" s="2591"/>
      <c r="L1388" s="2591"/>
      <c r="M1388" s="2591"/>
      <c r="N1388" s="2591"/>
      <c r="O1388" s="2591"/>
      <c r="P1388" s="2591"/>
      <c r="Q1388" s="2591"/>
      <c r="R1388" s="2591"/>
      <c r="S1388" s="2591"/>
    </row>
    <row r="1389" spans="1:19">
      <c r="A1389" s="2590"/>
      <c r="B1389" s="2591"/>
      <c r="C1389" s="2591"/>
      <c r="D1389" s="2591"/>
      <c r="E1389" s="2591"/>
      <c r="F1389" s="2591"/>
      <c r="G1389" s="2591"/>
      <c r="H1389" s="2591"/>
      <c r="I1389" s="2591"/>
      <c r="J1389" s="2591"/>
      <c r="K1389" s="2591"/>
      <c r="L1389" s="2591"/>
      <c r="M1389" s="2591"/>
      <c r="N1389" s="2591"/>
      <c r="O1389" s="2591"/>
      <c r="P1389" s="2591"/>
      <c r="Q1389" s="2591"/>
      <c r="R1389" s="2591"/>
      <c r="S1389" s="2591"/>
    </row>
    <row r="1390" spans="1:19">
      <c r="A1390" s="2590"/>
      <c r="B1390" s="2591"/>
      <c r="C1390" s="2591"/>
      <c r="D1390" s="2591"/>
      <c r="E1390" s="2591"/>
      <c r="F1390" s="2591"/>
      <c r="G1390" s="2591"/>
      <c r="H1390" s="2591"/>
      <c r="I1390" s="2591"/>
      <c r="J1390" s="2591"/>
      <c r="K1390" s="2591"/>
      <c r="L1390" s="2591"/>
      <c r="M1390" s="2591"/>
      <c r="N1390" s="2591"/>
      <c r="O1390" s="2591"/>
      <c r="P1390" s="2591"/>
      <c r="Q1390" s="2591"/>
      <c r="R1390" s="2591"/>
      <c r="S1390" s="2591"/>
    </row>
    <row r="1391" spans="1:19">
      <c r="A1391" s="2590"/>
      <c r="B1391" s="2591"/>
      <c r="C1391" s="2591"/>
      <c r="D1391" s="2591"/>
      <c r="E1391" s="2591"/>
      <c r="F1391" s="2591"/>
      <c r="G1391" s="2591"/>
      <c r="H1391" s="2591"/>
      <c r="I1391" s="2591"/>
      <c r="J1391" s="2591"/>
      <c r="K1391" s="2591"/>
      <c r="L1391" s="2591"/>
      <c r="M1391" s="2591"/>
      <c r="N1391" s="2591"/>
      <c r="O1391" s="2591"/>
      <c r="P1391" s="2591"/>
      <c r="Q1391" s="2591"/>
      <c r="R1391" s="2591"/>
      <c r="S1391" s="2591"/>
    </row>
    <row r="1392" spans="1:19">
      <c r="A1392" s="2590"/>
      <c r="B1392" s="2591"/>
      <c r="C1392" s="2591"/>
      <c r="D1392" s="2591"/>
      <c r="E1392" s="2591"/>
      <c r="F1392" s="2591"/>
      <c r="G1392" s="2591"/>
      <c r="H1392" s="2591"/>
      <c r="I1392" s="2591"/>
      <c r="J1392" s="2591"/>
      <c r="K1392" s="2591"/>
      <c r="L1392" s="2591"/>
      <c r="M1392" s="2591"/>
      <c r="N1392" s="2591"/>
      <c r="O1392" s="2591"/>
      <c r="P1392" s="2591"/>
      <c r="Q1392" s="2591"/>
      <c r="R1392" s="2591"/>
      <c r="S1392" s="2591"/>
    </row>
    <row r="1393" spans="1:19">
      <c r="A1393" s="2590"/>
      <c r="B1393" s="2591"/>
      <c r="C1393" s="2591"/>
      <c r="D1393" s="2591"/>
      <c r="E1393" s="2591"/>
      <c r="F1393" s="2591"/>
      <c r="G1393" s="2591"/>
      <c r="H1393" s="2591"/>
      <c r="I1393" s="2591"/>
      <c r="J1393" s="2591"/>
      <c r="K1393" s="2591"/>
      <c r="L1393" s="2591"/>
      <c r="M1393" s="2591"/>
      <c r="N1393" s="2591"/>
      <c r="O1393" s="2591"/>
      <c r="P1393" s="2591"/>
      <c r="Q1393" s="2591"/>
      <c r="R1393" s="2591"/>
      <c r="S1393" s="2591"/>
    </row>
    <row r="1394" spans="1:19">
      <c r="A1394" s="2590"/>
      <c r="B1394" s="2591"/>
      <c r="C1394" s="2591"/>
      <c r="D1394" s="2591"/>
      <c r="E1394" s="2591"/>
      <c r="F1394" s="2591"/>
      <c r="G1394" s="2591"/>
      <c r="H1394" s="2591"/>
      <c r="I1394" s="2591"/>
      <c r="J1394" s="2591"/>
      <c r="K1394" s="2591"/>
      <c r="L1394" s="2591"/>
      <c r="M1394" s="2591"/>
      <c r="N1394" s="2591"/>
      <c r="O1394" s="2591"/>
      <c r="P1394" s="2591"/>
      <c r="Q1394" s="2591"/>
      <c r="R1394" s="2591"/>
      <c r="S1394" s="2591"/>
    </row>
    <row r="1395" spans="1:19">
      <c r="A1395" s="2590"/>
      <c r="B1395" s="2591"/>
      <c r="C1395" s="2591"/>
      <c r="D1395" s="2591"/>
      <c r="E1395" s="2591"/>
      <c r="F1395" s="2591"/>
      <c r="G1395" s="2591"/>
      <c r="H1395" s="2591"/>
      <c r="I1395" s="2591"/>
      <c r="J1395" s="2591"/>
      <c r="K1395" s="2591"/>
      <c r="L1395" s="2591"/>
      <c r="M1395" s="2591"/>
      <c r="N1395" s="2591"/>
      <c r="O1395" s="2591"/>
      <c r="P1395" s="2591"/>
      <c r="Q1395" s="2591"/>
      <c r="R1395" s="2591"/>
      <c r="S1395" s="2591"/>
    </row>
    <row r="1396" spans="1:19">
      <c r="A1396" s="2590"/>
      <c r="B1396" s="2591"/>
      <c r="C1396" s="2591"/>
      <c r="D1396" s="2591"/>
      <c r="E1396" s="2591"/>
      <c r="F1396" s="2591"/>
      <c r="G1396" s="2591"/>
      <c r="H1396" s="2591"/>
      <c r="I1396" s="2591"/>
      <c r="J1396" s="2591"/>
      <c r="K1396" s="2591"/>
      <c r="L1396" s="2591"/>
      <c r="M1396" s="2591"/>
      <c r="N1396" s="2591"/>
      <c r="O1396" s="2591"/>
      <c r="P1396" s="2591"/>
      <c r="Q1396" s="2591"/>
      <c r="R1396" s="2591"/>
      <c r="S1396" s="2591"/>
    </row>
    <row r="1397" spans="1:19">
      <c r="A1397" s="2590"/>
      <c r="B1397" s="2591"/>
      <c r="C1397" s="2591"/>
      <c r="D1397" s="2591"/>
      <c r="E1397" s="2591"/>
      <c r="F1397" s="2591"/>
      <c r="G1397" s="2591"/>
      <c r="H1397" s="2591"/>
      <c r="I1397" s="2591"/>
      <c r="J1397" s="2591"/>
      <c r="K1397" s="2591"/>
      <c r="L1397" s="2591"/>
      <c r="M1397" s="2591"/>
      <c r="N1397" s="2591"/>
      <c r="O1397" s="2591"/>
      <c r="P1397" s="2591"/>
      <c r="Q1397" s="2591"/>
      <c r="R1397" s="2591"/>
      <c r="S1397" s="2591"/>
    </row>
    <row r="1398" spans="1:19">
      <c r="A1398" s="2590"/>
      <c r="B1398" s="2591"/>
      <c r="C1398" s="2591"/>
      <c r="D1398" s="2591"/>
      <c r="E1398" s="2591"/>
      <c r="F1398" s="2591"/>
      <c r="G1398" s="2591"/>
      <c r="H1398" s="2591"/>
      <c r="I1398" s="2591"/>
      <c r="J1398" s="2591"/>
      <c r="K1398" s="2591"/>
      <c r="L1398" s="2591"/>
      <c r="M1398" s="2591"/>
      <c r="N1398" s="2591"/>
      <c r="O1398" s="2591"/>
      <c r="P1398" s="2591"/>
      <c r="Q1398" s="2591"/>
      <c r="R1398" s="2591"/>
      <c r="S1398" s="2591"/>
    </row>
    <row r="1399" spans="1:19">
      <c r="A1399" s="2590"/>
      <c r="B1399" s="2591"/>
      <c r="C1399" s="2591"/>
      <c r="D1399" s="2591"/>
      <c r="E1399" s="2591"/>
      <c r="F1399" s="2591"/>
      <c r="G1399" s="2591"/>
      <c r="H1399" s="2591"/>
      <c r="I1399" s="2591"/>
      <c r="J1399" s="2591"/>
      <c r="K1399" s="2591"/>
      <c r="L1399" s="2591"/>
      <c r="M1399" s="2591"/>
      <c r="N1399" s="2591"/>
      <c r="O1399" s="2591"/>
      <c r="P1399" s="2591"/>
      <c r="Q1399" s="2591"/>
      <c r="R1399" s="2591"/>
      <c r="S1399" s="2591"/>
    </row>
    <row r="1400" spans="1:19">
      <c r="A1400" s="2590"/>
      <c r="B1400" s="2591"/>
      <c r="C1400" s="2591"/>
      <c r="D1400" s="2591"/>
      <c r="E1400" s="2591"/>
      <c r="F1400" s="2591"/>
      <c r="G1400" s="2591"/>
      <c r="H1400" s="2591"/>
      <c r="I1400" s="2591"/>
      <c r="J1400" s="2591"/>
      <c r="K1400" s="2591"/>
      <c r="L1400" s="2591"/>
      <c r="M1400" s="2591"/>
      <c r="N1400" s="2591"/>
      <c r="O1400" s="2591"/>
      <c r="P1400" s="2591"/>
      <c r="Q1400" s="2591"/>
      <c r="R1400" s="2591"/>
      <c r="S1400" s="2591"/>
    </row>
    <row r="1401" spans="1:19">
      <c r="A1401" s="2590"/>
      <c r="B1401" s="2591"/>
      <c r="C1401" s="2591"/>
      <c r="D1401" s="2591"/>
      <c r="E1401" s="2591"/>
      <c r="F1401" s="2591"/>
      <c r="G1401" s="2591"/>
      <c r="H1401" s="2591"/>
      <c r="I1401" s="2591"/>
      <c r="J1401" s="2591"/>
      <c r="K1401" s="2591"/>
      <c r="L1401" s="2591"/>
      <c r="M1401" s="2591"/>
      <c r="N1401" s="2591"/>
      <c r="O1401" s="2591"/>
      <c r="P1401" s="2591"/>
      <c r="Q1401" s="2591"/>
      <c r="R1401" s="2591"/>
      <c r="S1401" s="2591"/>
    </row>
    <row r="1402" spans="1:19">
      <c r="A1402" s="2590"/>
      <c r="B1402" s="2591"/>
      <c r="C1402" s="2591"/>
      <c r="D1402" s="2591"/>
      <c r="E1402" s="2591"/>
      <c r="F1402" s="2591"/>
      <c r="G1402" s="2591"/>
      <c r="H1402" s="2591"/>
      <c r="I1402" s="2591"/>
      <c r="J1402" s="2591"/>
      <c r="K1402" s="2591"/>
      <c r="L1402" s="2591"/>
      <c r="M1402" s="2591"/>
      <c r="N1402" s="2591"/>
      <c r="O1402" s="2591"/>
      <c r="P1402" s="2591"/>
      <c r="Q1402" s="2591"/>
      <c r="R1402" s="2591"/>
      <c r="S1402" s="2591"/>
    </row>
    <row r="1403" spans="1:19">
      <c r="A1403" s="2590"/>
      <c r="B1403" s="2591"/>
      <c r="C1403" s="2591"/>
      <c r="D1403" s="2591"/>
      <c r="E1403" s="2591"/>
      <c r="F1403" s="2591"/>
      <c r="G1403" s="2591"/>
      <c r="H1403" s="2591"/>
      <c r="I1403" s="2591"/>
      <c r="J1403" s="2591"/>
      <c r="K1403" s="2591"/>
      <c r="L1403" s="2591"/>
      <c r="M1403" s="2591"/>
      <c r="N1403" s="2591"/>
      <c r="O1403" s="2591"/>
      <c r="P1403" s="2591"/>
      <c r="Q1403" s="2591"/>
      <c r="R1403" s="2591"/>
      <c r="S1403" s="2591"/>
    </row>
    <row r="1404" spans="1:19">
      <c r="A1404" s="2590"/>
      <c r="B1404" s="2591"/>
      <c r="C1404" s="2591"/>
      <c r="D1404" s="2591"/>
      <c r="E1404" s="2591"/>
      <c r="F1404" s="2591"/>
      <c r="G1404" s="2591"/>
      <c r="H1404" s="2591"/>
      <c r="I1404" s="2591"/>
      <c r="J1404" s="2591"/>
      <c r="K1404" s="2591"/>
      <c r="L1404" s="2591"/>
      <c r="M1404" s="2591"/>
      <c r="N1404" s="2591"/>
      <c r="O1404" s="2591"/>
      <c r="P1404" s="2591"/>
      <c r="Q1404" s="2591"/>
      <c r="R1404" s="2591"/>
      <c r="S1404" s="2591"/>
    </row>
    <row r="1405" spans="1:19">
      <c r="A1405" s="2590"/>
      <c r="B1405" s="2591"/>
      <c r="C1405" s="2591"/>
      <c r="D1405" s="2591"/>
      <c r="E1405" s="2591"/>
      <c r="F1405" s="2591"/>
      <c r="G1405" s="2591"/>
      <c r="H1405" s="2591"/>
      <c r="I1405" s="2591"/>
      <c r="J1405" s="2591"/>
      <c r="K1405" s="2591"/>
      <c r="L1405" s="2591"/>
      <c r="M1405" s="2591"/>
      <c r="N1405" s="2591"/>
      <c r="O1405" s="2591"/>
      <c r="P1405" s="2591"/>
      <c r="Q1405" s="2591"/>
      <c r="R1405" s="2591"/>
      <c r="S1405" s="2591"/>
    </row>
    <row r="1406" spans="1:19">
      <c r="A1406" s="2590"/>
      <c r="B1406" s="2591"/>
      <c r="C1406" s="2591"/>
      <c r="D1406" s="2591"/>
      <c r="E1406" s="2591"/>
      <c r="F1406" s="2591"/>
      <c r="G1406" s="2591"/>
      <c r="H1406" s="2591"/>
      <c r="I1406" s="2591"/>
      <c r="J1406" s="2591"/>
      <c r="K1406" s="2591"/>
      <c r="L1406" s="2591"/>
      <c r="M1406" s="2591"/>
      <c r="N1406" s="2591"/>
      <c r="O1406" s="2591"/>
      <c r="P1406" s="2591"/>
      <c r="Q1406" s="2591"/>
      <c r="R1406" s="2591"/>
      <c r="S1406" s="2591"/>
    </row>
    <row r="1407" spans="1:19">
      <c r="A1407" s="2590"/>
      <c r="B1407" s="2591"/>
      <c r="C1407" s="2591"/>
      <c r="D1407" s="2591"/>
      <c r="E1407" s="2591"/>
      <c r="F1407" s="2591"/>
      <c r="G1407" s="2591"/>
      <c r="H1407" s="2591"/>
      <c r="I1407" s="2591"/>
      <c r="J1407" s="2591"/>
      <c r="K1407" s="2591"/>
      <c r="L1407" s="2591"/>
      <c r="M1407" s="2591"/>
      <c r="N1407" s="2591"/>
      <c r="O1407" s="2591"/>
      <c r="P1407" s="2591"/>
      <c r="Q1407" s="2591"/>
      <c r="R1407" s="2591"/>
      <c r="S1407" s="2591"/>
    </row>
    <row r="1408" spans="1:19">
      <c r="A1408" s="2590"/>
      <c r="B1408" s="2591"/>
      <c r="C1408" s="2591"/>
      <c r="D1408" s="2591"/>
      <c r="E1408" s="2591"/>
      <c r="F1408" s="2591"/>
      <c r="G1408" s="2591"/>
      <c r="H1408" s="2591"/>
      <c r="I1408" s="2591"/>
      <c r="J1408" s="2591"/>
      <c r="K1408" s="2591"/>
      <c r="L1408" s="2591"/>
      <c r="M1408" s="2591"/>
      <c r="N1408" s="2591"/>
      <c r="O1408" s="2591"/>
      <c r="P1408" s="2591"/>
      <c r="Q1408" s="2591"/>
      <c r="R1408" s="2591"/>
      <c r="S1408" s="2591"/>
    </row>
    <row r="1409" spans="1:19">
      <c r="A1409" s="2590"/>
      <c r="B1409" s="2591"/>
      <c r="C1409" s="2591"/>
      <c r="D1409" s="2591"/>
      <c r="E1409" s="2591"/>
      <c r="F1409" s="2591"/>
      <c r="G1409" s="2591"/>
      <c r="H1409" s="2591"/>
      <c r="I1409" s="2591"/>
      <c r="J1409" s="2591"/>
      <c r="K1409" s="2591"/>
      <c r="L1409" s="2591"/>
      <c r="M1409" s="2591"/>
      <c r="N1409" s="2591"/>
      <c r="O1409" s="2591"/>
      <c r="P1409" s="2591"/>
      <c r="Q1409" s="2591"/>
      <c r="R1409" s="2591"/>
      <c r="S1409" s="2591"/>
    </row>
    <row r="1410" spans="1:19">
      <c r="A1410" s="2590"/>
      <c r="B1410" s="2591"/>
      <c r="C1410" s="2591"/>
      <c r="D1410" s="2591"/>
      <c r="E1410" s="2591"/>
      <c r="F1410" s="2591"/>
      <c r="G1410" s="2591"/>
      <c r="H1410" s="2591"/>
      <c r="I1410" s="2591"/>
      <c r="J1410" s="2591"/>
      <c r="K1410" s="2591"/>
      <c r="L1410" s="2591"/>
      <c r="M1410" s="2591"/>
      <c r="N1410" s="2591"/>
      <c r="O1410" s="2591"/>
      <c r="P1410" s="2591"/>
      <c r="Q1410" s="2591"/>
      <c r="R1410" s="2591"/>
      <c r="S1410" s="2591"/>
    </row>
    <row r="1411" spans="1:19">
      <c r="A1411" s="2590"/>
      <c r="B1411" s="2591"/>
      <c r="C1411" s="2591"/>
      <c r="D1411" s="2591"/>
      <c r="E1411" s="2591"/>
      <c r="F1411" s="2591"/>
      <c r="G1411" s="2591"/>
      <c r="H1411" s="2591"/>
      <c r="I1411" s="2591"/>
      <c r="J1411" s="2591"/>
      <c r="K1411" s="2591"/>
      <c r="L1411" s="2591"/>
      <c r="M1411" s="2591"/>
      <c r="N1411" s="2591"/>
      <c r="O1411" s="2591"/>
      <c r="P1411" s="2591"/>
      <c r="Q1411" s="2591"/>
      <c r="R1411" s="2591"/>
      <c r="S1411" s="2591"/>
    </row>
    <row r="1412" spans="1:19">
      <c r="A1412" s="2590"/>
      <c r="B1412" s="2591"/>
      <c r="C1412" s="2591"/>
      <c r="D1412" s="2591"/>
      <c r="E1412" s="2591"/>
      <c r="F1412" s="2591"/>
      <c r="G1412" s="2591"/>
      <c r="H1412" s="2591"/>
      <c r="I1412" s="2591"/>
      <c r="J1412" s="2591"/>
      <c r="K1412" s="2591"/>
      <c r="L1412" s="2591"/>
      <c r="M1412" s="2591"/>
      <c r="N1412" s="2591"/>
      <c r="O1412" s="2591"/>
      <c r="P1412" s="2591"/>
      <c r="Q1412" s="2591"/>
      <c r="R1412" s="2591"/>
      <c r="S1412" s="2591"/>
    </row>
    <row r="1413" spans="1:19">
      <c r="A1413" s="2590"/>
      <c r="B1413" s="2591"/>
      <c r="C1413" s="2591"/>
      <c r="D1413" s="2591"/>
      <c r="E1413" s="2591"/>
      <c r="F1413" s="2591"/>
      <c r="G1413" s="2591"/>
      <c r="H1413" s="2591"/>
      <c r="I1413" s="2591"/>
      <c r="J1413" s="2591"/>
      <c r="K1413" s="2591"/>
      <c r="L1413" s="2591"/>
      <c r="M1413" s="2591"/>
      <c r="N1413" s="2591"/>
      <c r="O1413" s="2591"/>
      <c r="P1413" s="2591"/>
      <c r="Q1413" s="2591"/>
      <c r="R1413" s="2591"/>
      <c r="S1413" s="2591"/>
    </row>
    <row r="1414" spans="1:19">
      <c r="A1414" s="2590"/>
      <c r="B1414" s="2591"/>
      <c r="C1414" s="2591"/>
      <c r="D1414" s="2591"/>
      <c r="E1414" s="2591"/>
      <c r="F1414" s="2591"/>
      <c r="G1414" s="2591"/>
      <c r="H1414" s="2591"/>
      <c r="I1414" s="2591"/>
      <c r="J1414" s="2591"/>
      <c r="K1414" s="2591"/>
      <c r="L1414" s="2591"/>
      <c r="M1414" s="2591"/>
      <c r="N1414" s="2591"/>
      <c r="O1414" s="2591"/>
      <c r="P1414" s="2591"/>
      <c r="Q1414" s="2591"/>
      <c r="R1414" s="2591"/>
      <c r="S1414" s="2591"/>
    </row>
    <row r="1415" spans="1:19">
      <c r="A1415" s="2590"/>
      <c r="B1415" s="2591"/>
      <c r="C1415" s="2591"/>
      <c r="D1415" s="2591"/>
      <c r="E1415" s="2591"/>
      <c r="F1415" s="2591"/>
      <c r="G1415" s="2591"/>
      <c r="H1415" s="2591"/>
      <c r="I1415" s="2591"/>
      <c r="J1415" s="2591"/>
      <c r="K1415" s="2591"/>
      <c r="L1415" s="2591"/>
      <c r="M1415" s="2591"/>
      <c r="N1415" s="2591"/>
      <c r="O1415" s="2591"/>
      <c r="P1415" s="2591"/>
      <c r="Q1415" s="2591"/>
      <c r="R1415" s="2591"/>
      <c r="S1415" s="2591"/>
    </row>
    <row r="1416" spans="1:19">
      <c r="A1416" s="2590"/>
      <c r="B1416" s="2591"/>
      <c r="C1416" s="2591"/>
      <c r="D1416" s="2591"/>
      <c r="E1416" s="2591"/>
      <c r="F1416" s="2591"/>
      <c r="G1416" s="2591"/>
      <c r="H1416" s="2591"/>
      <c r="I1416" s="2591"/>
      <c r="J1416" s="2591"/>
      <c r="K1416" s="2591"/>
      <c r="L1416" s="2591"/>
      <c r="M1416" s="2591"/>
      <c r="N1416" s="2591"/>
      <c r="O1416" s="2591"/>
      <c r="P1416" s="2591"/>
      <c r="Q1416" s="2591"/>
      <c r="R1416" s="2591"/>
      <c r="S1416" s="2591"/>
    </row>
    <row r="1417" spans="1:19">
      <c r="A1417" s="2590"/>
      <c r="B1417" s="2591"/>
      <c r="C1417" s="2591"/>
      <c r="D1417" s="2591"/>
      <c r="E1417" s="2591"/>
      <c r="F1417" s="2591"/>
      <c r="G1417" s="2591"/>
      <c r="H1417" s="2591"/>
      <c r="I1417" s="2591"/>
      <c r="J1417" s="2591"/>
      <c r="K1417" s="2591"/>
      <c r="L1417" s="2591"/>
      <c r="M1417" s="2591"/>
      <c r="N1417" s="2591"/>
      <c r="O1417" s="2591"/>
      <c r="P1417" s="2591"/>
      <c r="Q1417" s="2591"/>
      <c r="R1417" s="2591"/>
      <c r="S1417" s="2591"/>
    </row>
    <row r="1418" spans="1:19">
      <c r="A1418" s="2590"/>
      <c r="B1418" s="2591"/>
      <c r="C1418" s="2591"/>
      <c r="D1418" s="2591"/>
      <c r="E1418" s="2591"/>
      <c r="F1418" s="2591"/>
      <c r="G1418" s="2591"/>
      <c r="H1418" s="2591"/>
      <c r="I1418" s="2591"/>
      <c r="J1418" s="2591"/>
      <c r="K1418" s="2591"/>
      <c r="L1418" s="2591"/>
      <c r="M1418" s="2591"/>
      <c r="N1418" s="2591"/>
      <c r="O1418" s="2591"/>
      <c r="P1418" s="2591"/>
      <c r="Q1418" s="2591"/>
      <c r="R1418" s="2591"/>
      <c r="S1418" s="2591"/>
    </row>
    <row r="1419" spans="1:19">
      <c r="A1419" s="2590"/>
      <c r="B1419" s="2591"/>
      <c r="C1419" s="2591"/>
      <c r="D1419" s="2591"/>
      <c r="E1419" s="2591"/>
      <c r="F1419" s="2591"/>
      <c r="G1419" s="2591"/>
      <c r="H1419" s="2591"/>
      <c r="I1419" s="2591"/>
      <c r="J1419" s="2591"/>
      <c r="K1419" s="2591"/>
      <c r="L1419" s="2591"/>
      <c r="M1419" s="2591"/>
      <c r="N1419" s="2591"/>
      <c r="O1419" s="2591"/>
      <c r="P1419" s="2591"/>
      <c r="Q1419" s="2591"/>
      <c r="R1419" s="2591"/>
      <c r="S1419" s="2591"/>
    </row>
    <row r="1420" spans="1:19">
      <c r="A1420" s="2590"/>
      <c r="B1420" s="2591"/>
      <c r="C1420" s="2591"/>
      <c r="D1420" s="2591"/>
      <c r="E1420" s="2591"/>
      <c r="F1420" s="2591"/>
      <c r="G1420" s="2591"/>
      <c r="H1420" s="2591"/>
      <c r="I1420" s="2591"/>
      <c r="J1420" s="2591"/>
      <c r="K1420" s="2591"/>
      <c r="L1420" s="2591"/>
      <c r="M1420" s="2591"/>
      <c r="N1420" s="2591"/>
      <c r="O1420" s="2591"/>
      <c r="P1420" s="2591"/>
      <c r="Q1420" s="2591"/>
      <c r="R1420" s="2591"/>
      <c r="S1420" s="2591"/>
    </row>
    <row r="1421" spans="1:19">
      <c r="A1421" s="2590"/>
      <c r="B1421" s="2591"/>
      <c r="C1421" s="2591"/>
      <c r="D1421" s="2591"/>
      <c r="E1421" s="2591"/>
      <c r="F1421" s="2591"/>
      <c r="G1421" s="2591"/>
      <c r="H1421" s="2591"/>
      <c r="I1421" s="2591"/>
      <c r="J1421" s="2591"/>
      <c r="K1421" s="2591"/>
      <c r="L1421" s="2591"/>
      <c r="M1421" s="2591"/>
      <c r="N1421" s="2591"/>
      <c r="O1421" s="2591"/>
      <c r="P1421" s="2591"/>
      <c r="Q1421" s="2591"/>
      <c r="R1421" s="2591"/>
      <c r="S1421" s="2591"/>
    </row>
    <row r="1422" spans="1:19">
      <c r="A1422" s="2590"/>
      <c r="B1422" s="2591"/>
      <c r="C1422" s="2591"/>
      <c r="D1422" s="2591"/>
      <c r="E1422" s="2591"/>
      <c r="F1422" s="2591"/>
      <c r="G1422" s="2591"/>
      <c r="H1422" s="2591"/>
      <c r="I1422" s="2591"/>
      <c r="J1422" s="2591"/>
      <c r="K1422" s="2591"/>
      <c r="L1422" s="2591"/>
      <c r="M1422" s="2591"/>
      <c r="N1422" s="2591"/>
      <c r="O1422" s="2591"/>
      <c r="P1422" s="2591"/>
      <c r="Q1422" s="2591"/>
      <c r="R1422" s="2591"/>
      <c r="S1422" s="2591"/>
    </row>
    <row r="1423" spans="1:19">
      <c r="A1423" s="2590"/>
      <c r="B1423" s="2591"/>
      <c r="C1423" s="2591"/>
      <c r="D1423" s="2591"/>
      <c r="E1423" s="2591"/>
      <c r="F1423" s="2591"/>
      <c r="G1423" s="2591"/>
      <c r="H1423" s="2591"/>
      <c r="I1423" s="2591"/>
      <c r="J1423" s="2591"/>
      <c r="K1423" s="2591"/>
      <c r="L1423" s="2591"/>
      <c r="M1423" s="2591"/>
      <c r="N1423" s="2591"/>
      <c r="O1423" s="2591"/>
      <c r="P1423" s="2591"/>
      <c r="Q1423" s="2591"/>
      <c r="R1423" s="2591"/>
      <c r="S1423" s="2591"/>
    </row>
    <row r="1424" spans="1:19">
      <c r="A1424" s="2590"/>
      <c r="B1424" s="2591"/>
      <c r="C1424" s="2591"/>
      <c r="D1424" s="2591"/>
      <c r="E1424" s="2591"/>
      <c r="F1424" s="2591"/>
      <c r="G1424" s="2591"/>
      <c r="H1424" s="2591"/>
      <c r="I1424" s="2591"/>
      <c r="J1424" s="2591"/>
      <c r="K1424" s="2591"/>
      <c r="L1424" s="2591"/>
      <c r="M1424" s="2591"/>
      <c r="N1424" s="2591"/>
      <c r="O1424" s="2591"/>
      <c r="P1424" s="2591"/>
      <c r="Q1424" s="2591"/>
      <c r="R1424" s="2591"/>
      <c r="S1424" s="2591"/>
    </row>
    <row r="1425" spans="1:19">
      <c r="A1425" s="2590"/>
      <c r="B1425" s="2591"/>
      <c r="C1425" s="2591"/>
      <c r="D1425" s="2591"/>
      <c r="E1425" s="2591"/>
      <c r="F1425" s="2591"/>
      <c r="G1425" s="2591"/>
      <c r="H1425" s="2591"/>
      <c r="I1425" s="2591"/>
      <c r="J1425" s="2591"/>
      <c r="K1425" s="2591"/>
      <c r="L1425" s="2591"/>
      <c r="M1425" s="2591"/>
      <c r="N1425" s="2591"/>
      <c r="O1425" s="2591"/>
      <c r="P1425" s="2591"/>
      <c r="Q1425" s="2591"/>
      <c r="R1425" s="2591"/>
      <c r="S1425" s="2591"/>
    </row>
    <row r="1426" spans="1:19">
      <c r="A1426" s="2590"/>
      <c r="B1426" s="2591"/>
      <c r="C1426" s="2591"/>
      <c r="D1426" s="2591"/>
      <c r="E1426" s="2591"/>
      <c r="F1426" s="2591"/>
      <c r="G1426" s="2591"/>
      <c r="H1426" s="2591"/>
      <c r="I1426" s="2591"/>
      <c r="J1426" s="2591"/>
      <c r="K1426" s="2591"/>
      <c r="L1426" s="2591"/>
      <c r="M1426" s="2591"/>
      <c r="N1426" s="2591"/>
      <c r="O1426" s="2591"/>
      <c r="P1426" s="2591"/>
      <c r="Q1426" s="2591"/>
      <c r="R1426" s="2591"/>
      <c r="S1426" s="2591"/>
    </row>
    <row r="1427" spans="1:19">
      <c r="A1427" s="2590"/>
      <c r="B1427" s="2591"/>
      <c r="C1427" s="2591"/>
      <c r="D1427" s="2591"/>
      <c r="E1427" s="2591"/>
      <c r="F1427" s="2591"/>
      <c r="G1427" s="2591"/>
      <c r="H1427" s="2591"/>
      <c r="I1427" s="2591"/>
      <c r="J1427" s="2591"/>
      <c r="K1427" s="2591"/>
      <c r="L1427" s="2591"/>
      <c r="M1427" s="2591"/>
      <c r="N1427" s="2591"/>
      <c r="O1427" s="2591"/>
      <c r="P1427" s="2591"/>
      <c r="Q1427" s="2591"/>
      <c r="R1427" s="2591"/>
      <c r="S1427" s="2591"/>
    </row>
    <row r="1428" spans="1:19">
      <c r="A1428" s="2590"/>
      <c r="B1428" s="2591"/>
      <c r="C1428" s="2591"/>
      <c r="D1428" s="2591"/>
      <c r="E1428" s="2591"/>
      <c r="F1428" s="2591"/>
      <c r="G1428" s="2591"/>
      <c r="H1428" s="2591"/>
      <c r="I1428" s="2591"/>
      <c r="J1428" s="2591"/>
      <c r="K1428" s="2591"/>
      <c r="L1428" s="2591"/>
      <c r="M1428" s="2591"/>
      <c r="N1428" s="2591"/>
      <c r="O1428" s="2591"/>
      <c r="P1428" s="2591"/>
      <c r="Q1428" s="2591"/>
      <c r="R1428" s="2591"/>
      <c r="S1428" s="2591"/>
    </row>
    <row r="1429" spans="1:19">
      <c r="A1429" s="2590"/>
      <c r="B1429" s="2591"/>
      <c r="C1429" s="2591"/>
      <c r="D1429" s="2591"/>
      <c r="E1429" s="2591"/>
      <c r="F1429" s="2591"/>
      <c r="G1429" s="2591"/>
      <c r="H1429" s="2591"/>
      <c r="I1429" s="2591"/>
      <c r="J1429" s="2591"/>
      <c r="K1429" s="2591"/>
      <c r="L1429" s="2591"/>
      <c r="M1429" s="2591"/>
      <c r="N1429" s="2591"/>
      <c r="O1429" s="2591"/>
      <c r="P1429" s="2591"/>
      <c r="Q1429" s="2591"/>
      <c r="R1429" s="2591"/>
      <c r="S1429" s="2591"/>
    </row>
    <row r="1430" spans="1:19">
      <c r="A1430" s="2590"/>
      <c r="B1430" s="2591"/>
      <c r="C1430" s="2591"/>
      <c r="D1430" s="2591"/>
      <c r="E1430" s="2591"/>
      <c r="F1430" s="2591"/>
      <c r="G1430" s="2591"/>
      <c r="H1430" s="2591"/>
      <c r="I1430" s="2591"/>
      <c r="J1430" s="2591"/>
      <c r="K1430" s="2591"/>
      <c r="L1430" s="2591"/>
      <c r="M1430" s="2591"/>
      <c r="N1430" s="2591"/>
      <c r="O1430" s="2591"/>
      <c r="P1430" s="2591"/>
      <c r="Q1430" s="2591"/>
      <c r="R1430" s="2591"/>
      <c r="S1430" s="2591"/>
    </row>
    <row r="1431" spans="1:19">
      <c r="A1431" s="2590"/>
      <c r="B1431" s="2591"/>
      <c r="C1431" s="2591"/>
      <c r="D1431" s="2591"/>
      <c r="E1431" s="2591"/>
      <c r="F1431" s="2591"/>
      <c r="G1431" s="2591"/>
      <c r="H1431" s="2591"/>
      <c r="I1431" s="2591"/>
      <c r="J1431" s="2591"/>
      <c r="K1431" s="2591"/>
      <c r="L1431" s="2591"/>
      <c r="M1431" s="2591"/>
      <c r="N1431" s="2591"/>
      <c r="O1431" s="2591"/>
      <c r="P1431" s="2591"/>
      <c r="Q1431" s="2591"/>
      <c r="R1431" s="2591"/>
      <c r="S1431" s="2591"/>
    </row>
    <row r="1432" spans="1:19">
      <c r="A1432" s="2590"/>
      <c r="B1432" s="2591"/>
      <c r="C1432" s="2591"/>
      <c r="D1432" s="2591"/>
      <c r="E1432" s="2591"/>
      <c r="F1432" s="2591"/>
      <c r="G1432" s="2591"/>
      <c r="H1432" s="2591"/>
      <c r="I1432" s="2591"/>
      <c r="J1432" s="2591"/>
      <c r="K1432" s="2591"/>
      <c r="L1432" s="2591"/>
      <c r="M1432" s="2591"/>
      <c r="N1432" s="2591"/>
      <c r="O1432" s="2591"/>
      <c r="P1432" s="2591"/>
      <c r="Q1432" s="2591"/>
      <c r="R1432" s="2591"/>
      <c r="S1432" s="2591"/>
    </row>
    <row r="1433" spans="1:19">
      <c r="A1433" s="2590"/>
      <c r="B1433" s="2591"/>
      <c r="C1433" s="2591"/>
      <c r="D1433" s="2591"/>
      <c r="E1433" s="2591"/>
      <c r="F1433" s="2591"/>
      <c r="G1433" s="2591"/>
      <c r="H1433" s="2591"/>
      <c r="I1433" s="2591"/>
      <c r="J1433" s="2591"/>
      <c r="K1433" s="2591"/>
      <c r="L1433" s="2591"/>
      <c r="M1433" s="2591"/>
      <c r="N1433" s="2591"/>
      <c r="O1433" s="2591"/>
      <c r="P1433" s="2591"/>
      <c r="Q1433" s="2591"/>
      <c r="R1433" s="2591"/>
      <c r="S1433" s="2591"/>
    </row>
    <row r="1434" spans="1:19">
      <c r="A1434" s="2590"/>
      <c r="B1434" s="2591"/>
      <c r="C1434" s="2591"/>
      <c r="D1434" s="2591"/>
      <c r="E1434" s="2591"/>
      <c r="F1434" s="2591"/>
      <c r="G1434" s="2591"/>
      <c r="H1434" s="2591"/>
      <c r="I1434" s="2591"/>
      <c r="J1434" s="2591"/>
      <c r="K1434" s="2591"/>
      <c r="L1434" s="2591"/>
      <c r="M1434" s="2591"/>
      <c r="N1434" s="2591"/>
      <c r="O1434" s="2591"/>
      <c r="P1434" s="2591"/>
      <c r="Q1434" s="2591"/>
      <c r="R1434" s="2591"/>
      <c r="S1434" s="2591"/>
    </row>
    <row r="1435" spans="1:19">
      <c r="A1435" s="2590"/>
      <c r="B1435" s="2591"/>
      <c r="C1435" s="2591"/>
      <c r="D1435" s="2591"/>
      <c r="E1435" s="2591"/>
      <c r="F1435" s="2591"/>
      <c r="G1435" s="2591"/>
      <c r="H1435" s="2591"/>
      <c r="I1435" s="2591"/>
      <c r="J1435" s="2591"/>
      <c r="K1435" s="2591"/>
      <c r="L1435" s="2591"/>
      <c r="M1435" s="2591"/>
      <c r="N1435" s="2591"/>
      <c r="O1435" s="2591"/>
      <c r="P1435" s="2591"/>
      <c r="Q1435" s="2591"/>
      <c r="R1435" s="2591"/>
      <c r="S1435" s="2591"/>
    </row>
    <row r="1436" spans="1:19">
      <c r="A1436" s="2590"/>
      <c r="B1436" s="2591"/>
      <c r="C1436" s="2591"/>
      <c r="D1436" s="2591"/>
      <c r="E1436" s="2591"/>
      <c r="F1436" s="2591"/>
      <c r="G1436" s="2591"/>
      <c r="H1436" s="2591"/>
      <c r="I1436" s="2591"/>
      <c r="J1436" s="2591"/>
      <c r="K1436" s="2591"/>
      <c r="L1436" s="2591"/>
      <c r="M1436" s="2591"/>
      <c r="N1436" s="2591"/>
      <c r="O1436" s="2591"/>
      <c r="P1436" s="2591"/>
      <c r="Q1436" s="2591"/>
      <c r="R1436" s="2591"/>
      <c r="S1436" s="2591"/>
    </row>
    <row r="1437" spans="1:19">
      <c r="A1437" s="2590"/>
      <c r="B1437" s="2591"/>
      <c r="C1437" s="2591"/>
      <c r="D1437" s="2591"/>
      <c r="E1437" s="2591"/>
      <c r="F1437" s="2591"/>
      <c r="G1437" s="2591"/>
      <c r="H1437" s="2591"/>
      <c r="I1437" s="2591"/>
      <c r="J1437" s="2591"/>
      <c r="K1437" s="2591"/>
      <c r="L1437" s="2591"/>
      <c r="M1437" s="2591"/>
      <c r="N1437" s="2591"/>
      <c r="O1437" s="2591"/>
      <c r="P1437" s="2591"/>
      <c r="Q1437" s="2591"/>
      <c r="R1437" s="2591"/>
      <c r="S1437" s="2591"/>
    </row>
    <row r="1438" spans="1:19">
      <c r="A1438" s="2590"/>
      <c r="B1438" s="2591"/>
      <c r="C1438" s="2591"/>
      <c r="D1438" s="2591"/>
      <c r="E1438" s="2591"/>
      <c r="F1438" s="2591"/>
      <c r="G1438" s="2591"/>
      <c r="H1438" s="2591"/>
      <c r="I1438" s="2591"/>
      <c r="J1438" s="2591"/>
      <c r="K1438" s="2591"/>
      <c r="L1438" s="2591"/>
      <c r="M1438" s="2591"/>
      <c r="N1438" s="2591"/>
      <c r="O1438" s="2591"/>
      <c r="P1438" s="2591"/>
      <c r="Q1438" s="2591"/>
      <c r="R1438" s="2591"/>
      <c r="S1438" s="2591"/>
    </row>
    <row r="1439" spans="1:19">
      <c r="A1439" s="2590"/>
      <c r="B1439" s="2591"/>
      <c r="C1439" s="2591"/>
      <c r="D1439" s="2591"/>
      <c r="E1439" s="2591"/>
      <c r="F1439" s="2591"/>
      <c r="G1439" s="2591"/>
      <c r="H1439" s="2591"/>
      <c r="I1439" s="2591"/>
      <c r="J1439" s="2591"/>
      <c r="K1439" s="2591"/>
      <c r="L1439" s="2591"/>
      <c r="M1439" s="2591"/>
      <c r="N1439" s="2591"/>
      <c r="O1439" s="2591"/>
      <c r="P1439" s="2591"/>
      <c r="Q1439" s="2591"/>
      <c r="R1439" s="2591"/>
      <c r="S1439" s="2591"/>
    </row>
    <row r="1440" spans="1:19">
      <c r="A1440" s="2590"/>
      <c r="B1440" s="2591"/>
      <c r="C1440" s="2591"/>
      <c r="D1440" s="2591"/>
      <c r="E1440" s="2591"/>
      <c r="F1440" s="2591"/>
      <c r="G1440" s="2591"/>
      <c r="H1440" s="2591"/>
      <c r="I1440" s="2591"/>
      <c r="J1440" s="2591"/>
      <c r="K1440" s="2591"/>
      <c r="L1440" s="2591"/>
      <c r="M1440" s="2591"/>
      <c r="N1440" s="2591"/>
      <c r="O1440" s="2591"/>
      <c r="P1440" s="2591"/>
      <c r="Q1440" s="2591"/>
      <c r="R1440" s="2591"/>
      <c r="S1440" s="2591"/>
    </row>
    <row r="1441" spans="1:19">
      <c r="A1441" s="2590"/>
      <c r="B1441" s="2591"/>
      <c r="C1441" s="2591"/>
      <c r="D1441" s="2591"/>
      <c r="E1441" s="2591"/>
      <c r="F1441" s="2591"/>
      <c r="G1441" s="2591"/>
      <c r="H1441" s="2591"/>
      <c r="I1441" s="2591"/>
      <c r="J1441" s="2591"/>
      <c r="K1441" s="2591"/>
      <c r="L1441" s="2591"/>
      <c r="M1441" s="2591"/>
      <c r="N1441" s="2591"/>
      <c r="O1441" s="2591"/>
      <c r="P1441" s="2591"/>
      <c r="Q1441" s="2591"/>
      <c r="R1441" s="2591"/>
      <c r="S1441" s="2591"/>
    </row>
    <row r="1442" spans="1:19">
      <c r="A1442" s="2590"/>
      <c r="B1442" s="2591"/>
      <c r="C1442" s="2591"/>
      <c r="D1442" s="2591"/>
      <c r="E1442" s="2591"/>
      <c r="F1442" s="2591"/>
      <c r="G1442" s="2591"/>
      <c r="H1442" s="2591"/>
      <c r="I1442" s="2591"/>
      <c r="J1442" s="2591"/>
      <c r="K1442" s="2591"/>
      <c r="L1442" s="2591"/>
      <c r="M1442" s="2591"/>
      <c r="N1442" s="2591"/>
      <c r="O1442" s="2591"/>
      <c r="P1442" s="2591"/>
      <c r="Q1442" s="2591"/>
      <c r="R1442" s="2591"/>
      <c r="S1442" s="2591"/>
    </row>
    <row r="1443" spans="1:19">
      <c r="A1443" s="2590"/>
      <c r="B1443" s="2591"/>
      <c r="C1443" s="2591"/>
      <c r="D1443" s="2591"/>
      <c r="E1443" s="2591"/>
      <c r="F1443" s="2591"/>
      <c r="G1443" s="2591"/>
      <c r="H1443" s="2591"/>
      <c r="I1443" s="2591"/>
      <c r="J1443" s="2591"/>
      <c r="K1443" s="2591"/>
      <c r="L1443" s="2591"/>
      <c r="M1443" s="2591"/>
      <c r="N1443" s="2591"/>
      <c r="O1443" s="2591"/>
      <c r="P1443" s="2591"/>
      <c r="Q1443" s="2591"/>
      <c r="R1443" s="2591"/>
      <c r="S1443" s="2591"/>
    </row>
    <row r="1444" spans="1:19">
      <c r="A1444" s="2590"/>
      <c r="B1444" s="2591"/>
      <c r="C1444" s="2591"/>
      <c r="D1444" s="2591"/>
      <c r="E1444" s="2591"/>
      <c r="F1444" s="2591"/>
      <c r="G1444" s="2591"/>
      <c r="H1444" s="2591"/>
      <c r="I1444" s="2591"/>
      <c r="J1444" s="2591"/>
      <c r="K1444" s="2591"/>
      <c r="L1444" s="2591"/>
      <c r="M1444" s="2591"/>
      <c r="N1444" s="2591"/>
      <c r="O1444" s="2591"/>
      <c r="P1444" s="2591"/>
      <c r="Q1444" s="2591"/>
      <c r="R1444" s="2591"/>
      <c r="S1444" s="2591"/>
    </row>
    <row r="1445" spans="1:19">
      <c r="A1445" s="2590"/>
      <c r="B1445" s="2591"/>
      <c r="C1445" s="2591"/>
      <c r="D1445" s="2591"/>
      <c r="E1445" s="2591"/>
      <c r="F1445" s="2591"/>
      <c r="G1445" s="2591"/>
      <c r="H1445" s="2591"/>
      <c r="I1445" s="2591"/>
      <c r="J1445" s="2591"/>
      <c r="K1445" s="2591"/>
      <c r="L1445" s="2591"/>
      <c r="M1445" s="2591"/>
      <c r="N1445" s="2591"/>
      <c r="O1445" s="2591"/>
      <c r="P1445" s="2591"/>
      <c r="Q1445" s="2591"/>
      <c r="R1445" s="2591"/>
      <c r="S1445" s="2591"/>
    </row>
    <row r="1446" spans="1:19">
      <c r="A1446" s="2590"/>
      <c r="B1446" s="2591"/>
      <c r="C1446" s="2591"/>
      <c r="D1446" s="2591"/>
      <c r="E1446" s="2591"/>
      <c r="F1446" s="2591"/>
      <c r="G1446" s="2591"/>
      <c r="H1446" s="2591"/>
      <c r="I1446" s="2591"/>
      <c r="J1446" s="2591"/>
      <c r="K1446" s="2591"/>
      <c r="L1446" s="2591"/>
      <c r="M1446" s="2591"/>
      <c r="N1446" s="2591"/>
      <c r="O1446" s="2591"/>
      <c r="P1446" s="2591"/>
      <c r="Q1446" s="2591"/>
      <c r="R1446" s="2591"/>
      <c r="S1446" s="2591"/>
    </row>
    <row r="1447" spans="1:19">
      <c r="A1447" s="2590"/>
      <c r="B1447" s="2591"/>
      <c r="C1447" s="2591"/>
      <c r="D1447" s="2591"/>
      <c r="E1447" s="2591"/>
      <c r="F1447" s="2591"/>
      <c r="G1447" s="2591"/>
      <c r="H1447" s="2591"/>
      <c r="I1447" s="2591"/>
      <c r="J1447" s="2591"/>
      <c r="K1447" s="2591"/>
      <c r="L1447" s="2591"/>
      <c r="M1447" s="2591"/>
      <c r="N1447" s="2591"/>
      <c r="O1447" s="2591"/>
      <c r="P1447" s="2591"/>
      <c r="Q1447" s="2591"/>
      <c r="R1447" s="2591"/>
      <c r="S1447" s="2591"/>
    </row>
    <row r="1448" spans="1:19">
      <c r="A1448" s="2590"/>
      <c r="B1448" s="2591"/>
      <c r="C1448" s="2591"/>
      <c r="D1448" s="2591"/>
      <c r="E1448" s="2591"/>
      <c r="F1448" s="2591"/>
      <c r="G1448" s="2591"/>
      <c r="H1448" s="2591"/>
      <c r="I1448" s="2591"/>
      <c r="J1448" s="2591"/>
      <c r="K1448" s="2591"/>
      <c r="L1448" s="2591"/>
      <c r="M1448" s="2591"/>
      <c r="N1448" s="2591"/>
      <c r="O1448" s="2591"/>
      <c r="P1448" s="2591"/>
      <c r="Q1448" s="2591"/>
      <c r="R1448" s="2591"/>
      <c r="S1448" s="2591"/>
    </row>
    <row r="1449" spans="1:19">
      <c r="A1449" s="2590"/>
      <c r="B1449" s="2591"/>
      <c r="C1449" s="2591"/>
      <c r="D1449" s="2591"/>
      <c r="E1449" s="2591"/>
      <c r="F1449" s="2591"/>
      <c r="G1449" s="2591"/>
      <c r="H1449" s="2591"/>
      <c r="I1449" s="2591"/>
      <c r="J1449" s="2591"/>
      <c r="K1449" s="2591"/>
      <c r="L1449" s="2591"/>
      <c r="M1449" s="2591"/>
      <c r="N1449" s="2591"/>
      <c r="O1449" s="2591"/>
      <c r="P1449" s="2591"/>
      <c r="Q1449" s="2591"/>
      <c r="R1449" s="2591"/>
      <c r="S1449" s="2591"/>
    </row>
    <row r="1450" spans="1:19">
      <c r="A1450" s="2590"/>
      <c r="B1450" s="2591"/>
      <c r="C1450" s="2591"/>
      <c r="D1450" s="2591"/>
      <c r="E1450" s="2591"/>
      <c r="F1450" s="2591"/>
      <c r="G1450" s="2591"/>
      <c r="H1450" s="2591"/>
      <c r="I1450" s="2591"/>
      <c r="J1450" s="2591"/>
      <c r="K1450" s="2591"/>
      <c r="L1450" s="2591"/>
      <c r="M1450" s="2591"/>
      <c r="N1450" s="2591"/>
      <c r="O1450" s="2591"/>
      <c r="P1450" s="2591"/>
      <c r="Q1450" s="2591"/>
      <c r="R1450" s="2591"/>
      <c r="S1450" s="2591"/>
    </row>
    <row r="1451" spans="1:19">
      <c r="A1451" s="2590"/>
      <c r="B1451" s="2591"/>
      <c r="C1451" s="2591"/>
      <c r="D1451" s="2591"/>
      <c r="E1451" s="2591"/>
      <c r="F1451" s="2591"/>
      <c r="G1451" s="2591"/>
      <c r="H1451" s="2591"/>
      <c r="I1451" s="2591"/>
      <c r="J1451" s="2591"/>
      <c r="K1451" s="2591"/>
      <c r="L1451" s="2591"/>
      <c r="M1451" s="2591"/>
      <c r="N1451" s="2591"/>
      <c r="O1451" s="2591"/>
      <c r="P1451" s="2591"/>
      <c r="Q1451" s="2591"/>
      <c r="R1451" s="2591"/>
      <c r="S1451" s="2591"/>
    </row>
    <row r="1452" spans="1:19">
      <c r="A1452" s="2590"/>
      <c r="B1452" s="2591"/>
      <c r="C1452" s="2591"/>
      <c r="D1452" s="2591"/>
      <c r="E1452" s="2591"/>
      <c r="F1452" s="2591"/>
      <c r="G1452" s="2591"/>
      <c r="H1452" s="2591"/>
      <c r="I1452" s="2591"/>
      <c r="J1452" s="2591"/>
      <c r="K1452" s="2591"/>
      <c r="L1452" s="2591"/>
      <c r="M1452" s="2591"/>
      <c r="N1452" s="2591"/>
      <c r="O1452" s="2591"/>
      <c r="P1452" s="2591"/>
      <c r="Q1452" s="2591"/>
      <c r="R1452" s="2591"/>
      <c r="S1452" s="2591"/>
    </row>
    <row r="1453" spans="1:19">
      <c r="A1453" s="2590"/>
      <c r="B1453" s="2591"/>
      <c r="C1453" s="2591"/>
      <c r="D1453" s="2591"/>
      <c r="E1453" s="2591"/>
      <c r="F1453" s="2591"/>
      <c r="G1453" s="2591"/>
      <c r="H1453" s="2591"/>
      <c r="I1453" s="2591"/>
      <c r="J1453" s="2591"/>
      <c r="K1453" s="2591"/>
      <c r="L1453" s="2591"/>
      <c r="M1453" s="2591"/>
      <c r="N1453" s="2591"/>
      <c r="O1453" s="2591"/>
      <c r="P1453" s="2591"/>
      <c r="Q1453" s="2591"/>
      <c r="R1453" s="2591"/>
      <c r="S1453" s="2591"/>
    </row>
    <row r="1454" spans="1:19">
      <c r="A1454" s="2590"/>
      <c r="B1454" s="2591"/>
      <c r="C1454" s="2591"/>
      <c r="D1454" s="2591"/>
      <c r="E1454" s="2591"/>
      <c r="F1454" s="2591"/>
      <c r="G1454" s="2591"/>
      <c r="H1454" s="2591"/>
      <c r="I1454" s="2591"/>
      <c r="J1454" s="2591"/>
      <c r="K1454" s="2591"/>
      <c r="L1454" s="2591"/>
      <c r="M1454" s="2591"/>
      <c r="N1454" s="2591"/>
      <c r="O1454" s="2591"/>
      <c r="P1454" s="2591"/>
      <c r="Q1454" s="2591"/>
      <c r="R1454" s="2591"/>
      <c r="S1454" s="2591"/>
    </row>
    <row r="1455" spans="1:19">
      <c r="A1455" s="2590"/>
      <c r="B1455" s="2591"/>
      <c r="C1455" s="2591"/>
      <c r="D1455" s="2591"/>
      <c r="E1455" s="2591"/>
      <c r="F1455" s="2591"/>
      <c r="G1455" s="2591"/>
      <c r="H1455" s="2591"/>
      <c r="I1455" s="2591"/>
      <c r="J1455" s="2591"/>
      <c r="K1455" s="2591"/>
      <c r="L1455" s="2591"/>
      <c r="M1455" s="2591"/>
      <c r="N1455" s="2591"/>
      <c r="O1455" s="2591"/>
      <c r="P1455" s="2591"/>
      <c r="Q1455" s="2591"/>
      <c r="R1455" s="2591"/>
      <c r="S1455" s="2591"/>
    </row>
    <row r="1456" spans="1:19">
      <c r="A1456" s="2590"/>
      <c r="B1456" s="2591"/>
      <c r="C1456" s="2591"/>
      <c r="D1456" s="2591"/>
      <c r="E1456" s="2591"/>
      <c r="F1456" s="2591"/>
      <c r="G1456" s="2591"/>
      <c r="H1456" s="2591"/>
      <c r="I1456" s="2591"/>
      <c r="J1456" s="2591"/>
      <c r="K1456" s="2591"/>
      <c r="L1456" s="2591"/>
      <c r="M1456" s="2591"/>
      <c r="N1456" s="2591"/>
      <c r="O1456" s="2591"/>
      <c r="P1456" s="2591"/>
      <c r="Q1456" s="2591"/>
      <c r="R1456" s="2591"/>
      <c r="S1456" s="2591"/>
    </row>
    <row r="1457" spans="1:19">
      <c r="A1457" s="2590"/>
      <c r="B1457" s="2591"/>
      <c r="C1457" s="2591"/>
      <c r="D1457" s="2591"/>
      <c r="E1457" s="2591"/>
      <c r="F1457" s="2591"/>
      <c r="G1457" s="2591"/>
      <c r="H1457" s="2591"/>
      <c r="I1457" s="2591"/>
      <c r="J1457" s="2591"/>
      <c r="K1457" s="2591"/>
      <c r="L1457" s="2591"/>
      <c r="M1457" s="2591"/>
      <c r="N1457" s="2591"/>
      <c r="O1457" s="2591"/>
      <c r="P1457" s="2591"/>
      <c r="Q1457" s="2591"/>
      <c r="R1457" s="2591"/>
      <c r="S1457" s="2591"/>
    </row>
    <row r="1458" spans="1:19">
      <c r="A1458" s="2590"/>
      <c r="B1458" s="2591"/>
      <c r="C1458" s="2591"/>
      <c r="D1458" s="2591"/>
      <c r="E1458" s="2591"/>
      <c r="F1458" s="2591"/>
      <c r="G1458" s="2591"/>
      <c r="H1458" s="2591"/>
      <c r="I1458" s="2591"/>
      <c r="J1458" s="2591"/>
      <c r="K1458" s="2591"/>
      <c r="L1458" s="2591"/>
      <c r="M1458" s="2591"/>
      <c r="N1458" s="2591"/>
      <c r="O1458" s="2591"/>
      <c r="P1458" s="2591"/>
      <c r="Q1458" s="2591"/>
      <c r="R1458" s="2591"/>
      <c r="S1458" s="2591"/>
    </row>
    <row r="1459" spans="1:19">
      <c r="A1459" s="2590"/>
      <c r="B1459" s="2591"/>
      <c r="C1459" s="2591"/>
      <c r="D1459" s="2591"/>
      <c r="E1459" s="2591"/>
      <c r="F1459" s="2591"/>
      <c r="G1459" s="2591"/>
      <c r="H1459" s="2591"/>
      <c r="I1459" s="2591"/>
      <c r="J1459" s="2591"/>
      <c r="K1459" s="2591"/>
      <c r="L1459" s="2591"/>
      <c r="M1459" s="2591"/>
      <c r="N1459" s="2591"/>
      <c r="O1459" s="2591"/>
      <c r="P1459" s="2591"/>
      <c r="Q1459" s="2591"/>
      <c r="R1459" s="2591"/>
      <c r="S1459" s="2591"/>
    </row>
    <row r="1460" spans="1:19">
      <c r="A1460" s="2590"/>
      <c r="B1460" s="2591"/>
      <c r="C1460" s="2591"/>
      <c r="D1460" s="2591"/>
      <c r="E1460" s="2591"/>
      <c r="F1460" s="2591"/>
      <c r="G1460" s="2591"/>
      <c r="H1460" s="2591"/>
      <c r="I1460" s="2591"/>
      <c r="J1460" s="2591"/>
      <c r="K1460" s="2591"/>
      <c r="L1460" s="2591"/>
      <c r="M1460" s="2591"/>
      <c r="N1460" s="2591"/>
      <c r="O1460" s="2591"/>
      <c r="P1460" s="2591"/>
      <c r="Q1460" s="2591"/>
      <c r="R1460" s="2591"/>
      <c r="S1460" s="2591"/>
    </row>
    <row r="1461" spans="1:19">
      <c r="A1461" s="2590"/>
      <c r="B1461" s="2591"/>
      <c r="C1461" s="2591"/>
      <c r="D1461" s="2591"/>
      <c r="E1461" s="2591"/>
      <c r="F1461" s="2591"/>
      <c r="G1461" s="2591"/>
      <c r="H1461" s="2591"/>
      <c r="I1461" s="2591"/>
      <c r="J1461" s="2591"/>
      <c r="K1461" s="2591"/>
      <c r="L1461" s="2591"/>
      <c r="M1461" s="2591"/>
      <c r="N1461" s="2591"/>
      <c r="O1461" s="2591"/>
      <c r="P1461" s="2591"/>
      <c r="Q1461" s="2591"/>
      <c r="R1461" s="2591"/>
      <c r="S1461" s="2591"/>
    </row>
    <row r="1462" spans="1:19">
      <c r="A1462" s="2590"/>
      <c r="B1462" s="2591"/>
      <c r="C1462" s="2591"/>
      <c r="D1462" s="2591"/>
      <c r="E1462" s="2591"/>
      <c r="F1462" s="2591"/>
      <c r="G1462" s="2591"/>
      <c r="H1462" s="2591"/>
      <c r="I1462" s="2591"/>
      <c r="J1462" s="2591"/>
      <c r="K1462" s="2591"/>
      <c r="L1462" s="2591"/>
      <c r="M1462" s="2591"/>
      <c r="N1462" s="2591"/>
      <c r="O1462" s="2591"/>
      <c r="P1462" s="2591"/>
      <c r="Q1462" s="2591"/>
      <c r="R1462" s="2591"/>
      <c r="S1462" s="2591"/>
    </row>
    <row r="1463" spans="1:19">
      <c r="A1463" s="2590"/>
      <c r="B1463" s="2591"/>
      <c r="C1463" s="2591"/>
      <c r="D1463" s="2591"/>
      <c r="E1463" s="2591"/>
      <c r="F1463" s="2591"/>
      <c r="G1463" s="2591"/>
      <c r="H1463" s="2591"/>
      <c r="I1463" s="2591"/>
      <c r="J1463" s="2591"/>
      <c r="K1463" s="2591"/>
      <c r="L1463" s="2591"/>
      <c r="M1463" s="2591"/>
      <c r="N1463" s="2591"/>
      <c r="O1463" s="2591"/>
      <c r="P1463" s="2591"/>
      <c r="Q1463" s="2591"/>
      <c r="R1463" s="2591"/>
      <c r="S1463" s="2591"/>
    </row>
    <row r="1464" spans="1:19">
      <c r="A1464" s="2590"/>
      <c r="B1464" s="2591"/>
      <c r="C1464" s="2591"/>
      <c r="D1464" s="2591"/>
      <c r="E1464" s="2591"/>
      <c r="F1464" s="2591"/>
      <c r="G1464" s="2591"/>
      <c r="H1464" s="2591"/>
      <c r="I1464" s="2591"/>
      <c r="J1464" s="2591"/>
      <c r="K1464" s="2591"/>
      <c r="L1464" s="2591"/>
      <c r="M1464" s="2591"/>
      <c r="N1464" s="2591"/>
      <c r="O1464" s="2591"/>
      <c r="P1464" s="2591"/>
      <c r="Q1464" s="2591"/>
      <c r="R1464" s="2591"/>
      <c r="S1464" s="2591"/>
    </row>
    <row r="1465" spans="1:19">
      <c r="A1465" s="2590"/>
      <c r="B1465" s="2591"/>
      <c r="C1465" s="2591"/>
      <c r="D1465" s="2591"/>
      <c r="E1465" s="2591"/>
      <c r="F1465" s="2591"/>
      <c r="G1465" s="2591"/>
      <c r="H1465" s="2591"/>
      <c r="I1465" s="2591"/>
      <c r="J1465" s="2591"/>
      <c r="K1465" s="2591"/>
      <c r="L1465" s="2591"/>
      <c r="M1465" s="2591"/>
      <c r="N1465" s="2591"/>
      <c r="O1465" s="2591"/>
      <c r="P1465" s="2591"/>
      <c r="Q1465" s="2591"/>
      <c r="R1465" s="2591"/>
      <c r="S1465" s="2591"/>
    </row>
    <row r="1466" spans="1:19">
      <c r="A1466" s="2590"/>
      <c r="B1466" s="2591"/>
      <c r="C1466" s="2591"/>
      <c r="D1466" s="2591"/>
      <c r="E1466" s="2591"/>
      <c r="F1466" s="2591"/>
      <c r="G1466" s="2591"/>
      <c r="H1466" s="2591"/>
      <c r="I1466" s="2591"/>
      <c r="J1466" s="2591"/>
      <c r="K1466" s="2591"/>
      <c r="L1466" s="2591"/>
      <c r="M1466" s="2591"/>
      <c r="N1466" s="2591"/>
      <c r="O1466" s="2591"/>
      <c r="P1466" s="2591"/>
      <c r="Q1466" s="2591"/>
      <c r="R1466" s="2591"/>
      <c r="S1466" s="2591"/>
    </row>
    <row r="1467" spans="1:19">
      <c r="A1467" s="2590"/>
      <c r="B1467" s="2591"/>
      <c r="C1467" s="2591"/>
      <c r="D1467" s="2591"/>
      <c r="E1467" s="2591"/>
      <c r="F1467" s="2591"/>
      <c r="G1467" s="2591"/>
      <c r="H1467" s="2591"/>
      <c r="I1467" s="2591"/>
      <c r="J1467" s="2591"/>
      <c r="K1467" s="2591"/>
      <c r="L1467" s="2591"/>
      <c r="M1467" s="2591"/>
      <c r="N1467" s="2591"/>
      <c r="O1467" s="2591"/>
      <c r="P1467" s="2591"/>
      <c r="Q1467" s="2591"/>
      <c r="R1467" s="2591"/>
      <c r="S1467" s="2591"/>
    </row>
    <row r="1468" spans="1:19">
      <c r="A1468" s="2590"/>
      <c r="B1468" s="2591"/>
      <c r="C1468" s="2591"/>
      <c r="D1468" s="2591"/>
      <c r="E1468" s="2591"/>
      <c r="F1468" s="2591"/>
      <c r="G1468" s="2591"/>
      <c r="H1468" s="2591"/>
      <c r="I1468" s="2591"/>
      <c r="J1468" s="2591"/>
      <c r="K1468" s="2591"/>
      <c r="L1468" s="2591"/>
      <c r="M1468" s="2591"/>
      <c r="N1468" s="2591"/>
      <c r="O1468" s="2591"/>
      <c r="P1468" s="2591"/>
      <c r="Q1468" s="2591"/>
      <c r="R1468" s="2591"/>
      <c r="S1468" s="2591"/>
    </row>
    <row r="1469" spans="1:19">
      <c r="A1469" s="2590"/>
      <c r="B1469" s="2591"/>
      <c r="C1469" s="2591"/>
      <c r="D1469" s="2591"/>
      <c r="E1469" s="2591"/>
      <c r="F1469" s="2591"/>
      <c r="G1469" s="2591"/>
      <c r="H1469" s="2591"/>
      <c r="I1469" s="2591"/>
      <c r="J1469" s="2591"/>
      <c r="K1469" s="2591"/>
      <c r="L1469" s="2591"/>
      <c r="M1469" s="2591"/>
      <c r="N1469" s="2591"/>
      <c r="O1469" s="2591"/>
      <c r="P1469" s="2591"/>
      <c r="Q1469" s="2591"/>
      <c r="R1469" s="2591"/>
      <c r="S1469" s="2591"/>
    </row>
    <row r="1470" spans="1:19">
      <c r="A1470" s="2590"/>
      <c r="B1470" s="2591"/>
      <c r="C1470" s="2591"/>
      <c r="D1470" s="2591"/>
      <c r="E1470" s="2591"/>
      <c r="F1470" s="2591"/>
      <c r="G1470" s="2591"/>
      <c r="H1470" s="2591"/>
      <c r="I1470" s="2591"/>
      <c r="J1470" s="2591"/>
      <c r="K1470" s="2591"/>
      <c r="L1470" s="2591"/>
      <c r="M1470" s="2591"/>
      <c r="N1470" s="2591"/>
      <c r="O1470" s="2591"/>
      <c r="P1470" s="2591"/>
      <c r="Q1470" s="2591"/>
      <c r="R1470" s="2591"/>
      <c r="S1470" s="2591"/>
    </row>
    <row r="1471" spans="1:19">
      <c r="A1471" s="2590"/>
      <c r="B1471" s="2591"/>
      <c r="C1471" s="2591"/>
      <c r="D1471" s="2591"/>
      <c r="E1471" s="2591"/>
      <c r="F1471" s="2591"/>
      <c r="G1471" s="2591"/>
      <c r="H1471" s="2591"/>
      <c r="I1471" s="2591"/>
      <c r="J1471" s="2591"/>
      <c r="K1471" s="2591"/>
      <c r="L1471" s="2591"/>
      <c r="M1471" s="2591"/>
      <c r="N1471" s="2591"/>
      <c r="O1471" s="2591"/>
      <c r="P1471" s="2591"/>
      <c r="Q1471" s="2591"/>
      <c r="R1471" s="2591"/>
      <c r="S1471" s="2591"/>
    </row>
    <row r="1472" spans="1:19">
      <c r="A1472" s="2590"/>
      <c r="B1472" s="2591"/>
      <c r="C1472" s="2591"/>
      <c r="D1472" s="2591"/>
      <c r="E1472" s="2591"/>
      <c r="F1472" s="2591"/>
      <c r="G1472" s="2591"/>
      <c r="H1472" s="2591"/>
      <c r="I1472" s="2591"/>
      <c r="J1472" s="2591"/>
      <c r="K1472" s="2591"/>
      <c r="L1472" s="2591"/>
      <c r="M1472" s="2591"/>
      <c r="N1472" s="2591"/>
      <c r="O1472" s="2591"/>
      <c r="P1472" s="2591"/>
      <c r="Q1472" s="2591"/>
      <c r="R1472" s="2591"/>
      <c r="S1472" s="2591"/>
    </row>
    <row r="1473" spans="1:19">
      <c r="A1473" s="2590"/>
      <c r="B1473" s="2591"/>
      <c r="C1473" s="2591"/>
      <c r="D1473" s="2591"/>
      <c r="E1473" s="2591"/>
      <c r="F1473" s="2591"/>
      <c r="G1473" s="2591"/>
      <c r="H1473" s="2591"/>
      <c r="I1473" s="2591"/>
      <c r="J1473" s="2591"/>
      <c r="K1473" s="2591"/>
      <c r="L1473" s="2591"/>
      <c r="M1473" s="2591"/>
      <c r="N1473" s="2591"/>
      <c r="O1473" s="2591"/>
      <c r="P1473" s="2591"/>
      <c r="Q1473" s="2591"/>
      <c r="R1473" s="2591"/>
      <c r="S1473" s="2591"/>
    </row>
    <row r="1474" spans="1:19">
      <c r="A1474" s="2590"/>
      <c r="B1474" s="2591"/>
      <c r="C1474" s="2591"/>
      <c r="D1474" s="2591"/>
      <c r="E1474" s="2591"/>
      <c r="F1474" s="2591"/>
      <c r="G1474" s="2591"/>
      <c r="H1474" s="2591"/>
      <c r="I1474" s="2591"/>
      <c r="J1474" s="2591"/>
      <c r="K1474" s="2591"/>
      <c r="L1474" s="2591"/>
      <c r="M1474" s="2591"/>
      <c r="N1474" s="2591"/>
      <c r="O1474" s="2591"/>
      <c r="P1474" s="2591"/>
      <c r="Q1474" s="2591"/>
      <c r="R1474" s="2591"/>
      <c r="S1474" s="2591"/>
    </row>
    <row r="1475" spans="1:19">
      <c r="A1475" s="2590"/>
      <c r="B1475" s="2591"/>
      <c r="C1475" s="2591"/>
      <c r="D1475" s="2591"/>
      <c r="E1475" s="2591"/>
      <c r="F1475" s="2591"/>
      <c r="G1475" s="2591"/>
      <c r="H1475" s="2591"/>
      <c r="I1475" s="2591"/>
      <c r="J1475" s="2591"/>
      <c r="K1475" s="2591"/>
      <c r="L1475" s="2591"/>
      <c r="M1475" s="2591"/>
      <c r="N1475" s="2591"/>
      <c r="O1475" s="2591"/>
      <c r="P1475" s="2591"/>
      <c r="Q1475" s="2591"/>
      <c r="R1475" s="2591"/>
      <c r="S1475" s="2591"/>
    </row>
    <row r="1476" spans="1:19">
      <c r="A1476" s="2590"/>
      <c r="B1476" s="2591"/>
      <c r="C1476" s="2591"/>
      <c r="D1476" s="2591"/>
      <c r="E1476" s="2591"/>
      <c r="F1476" s="2591"/>
      <c r="G1476" s="2591"/>
      <c r="H1476" s="2591"/>
      <c r="I1476" s="2591"/>
      <c r="J1476" s="2591"/>
      <c r="K1476" s="2591"/>
      <c r="L1476" s="2591"/>
      <c r="M1476" s="2591"/>
      <c r="N1476" s="2591"/>
      <c r="O1476" s="2591"/>
      <c r="P1476" s="2591"/>
      <c r="Q1476" s="2591"/>
      <c r="R1476" s="2591"/>
      <c r="S1476" s="2591"/>
    </row>
    <row r="1477" spans="1:19">
      <c r="A1477" s="2590"/>
      <c r="B1477" s="2591"/>
      <c r="C1477" s="2591"/>
      <c r="D1477" s="2591"/>
      <c r="E1477" s="2591"/>
      <c r="F1477" s="2591"/>
      <c r="G1477" s="2591"/>
      <c r="H1477" s="2591"/>
      <c r="I1477" s="2591"/>
      <c r="J1477" s="2591"/>
      <c r="K1477" s="2591"/>
      <c r="L1477" s="2591"/>
      <c r="M1477" s="2591"/>
      <c r="N1477" s="2591"/>
      <c r="O1477" s="2591"/>
      <c r="P1477" s="2591"/>
      <c r="Q1477" s="2591"/>
      <c r="R1477" s="2591"/>
      <c r="S1477" s="2591"/>
    </row>
    <row r="1478" spans="1:19">
      <c r="A1478" s="2590"/>
      <c r="B1478" s="2591"/>
      <c r="C1478" s="2591"/>
      <c r="D1478" s="2591"/>
      <c r="E1478" s="2591"/>
      <c r="F1478" s="2591"/>
      <c r="G1478" s="2591"/>
      <c r="H1478" s="2591"/>
      <c r="I1478" s="2591"/>
      <c r="J1478" s="2591"/>
      <c r="K1478" s="2591"/>
      <c r="L1478" s="2591"/>
      <c r="M1478" s="2591"/>
      <c r="N1478" s="2591"/>
      <c r="O1478" s="2591"/>
      <c r="P1478" s="2591"/>
      <c r="Q1478" s="2591"/>
      <c r="R1478" s="2591"/>
      <c r="S1478" s="2591"/>
    </row>
    <row r="1479" spans="1:19">
      <c r="A1479" s="2590"/>
      <c r="B1479" s="2591"/>
      <c r="C1479" s="2591"/>
      <c r="D1479" s="2591"/>
      <c r="E1479" s="2591"/>
      <c r="F1479" s="2591"/>
      <c r="G1479" s="2591"/>
      <c r="H1479" s="2591"/>
      <c r="I1479" s="2591"/>
      <c r="J1479" s="2591"/>
      <c r="K1479" s="2591"/>
      <c r="L1479" s="2591"/>
      <c r="M1479" s="2591"/>
      <c r="N1479" s="2591"/>
      <c r="O1479" s="2591"/>
      <c r="P1479" s="2591"/>
      <c r="Q1479" s="2591"/>
      <c r="R1479" s="2591"/>
      <c r="S1479" s="2591"/>
    </row>
    <row r="1480" spans="1:19">
      <c r="A1480" s="2590"/>
      <c r="B1480" s="2591"/>
      <c r="C1480" s="2591"/>
      <c r="D1480" s="2591"/>
      <c r="E1480" s="2591"/>
      <c r="F1480" s="2591"/>
      <c r="G1480" s="2591"/>
      <c r="H1480" s="2591"/>
      <c r="I1480" s="2591"/>
      <c r="J1480" s="2591"/>
      <c r="K1480" s="2591"/>
      <c r="L1480" s="2591"/>
      <c r="M1480" s="2591"/>
      <c r="N1480" s="2591"/>
      <c r="O1480" s="2591"/>
      <c r="P1480" s="2591"/>
      <c r="Q1480" s="2591"/>
      <c r="R1480" s="2591"/>
      <c r="S1480" s="2591"/>
    </row>
    <row r="1481" spans="1:19">
      <c r="A1481" s="2590"/>
      <c r="B1481" s="2591"/>
      <c r="C1481" s="2591"/>
      <c r="D1481" s="2591"/>
      <c r="E1481" s="2591"/>
      <c r="F1481" s="2591"/>
      <c r="G1481" s="2591"/>
      <c r="H1481" s="2591"/>
      <c r="I1481" s="2591"/>
      <c r="J1481" s="2591"/>
      <c r="K1481" s="2591"/>
      <c r="L1481" s="2591"/>
      <c r="M1481" s="2591"/>
      <c r="N1481" s="2591"/>
      <c r="O1481" s="2591"/>
      <c r="P1481" s="2591"/>
      <c r="Q1481" s="2591"/>
      <c r="R1481" s="2591"/>
      <c r="S1481" s="2591"/>
    </row>
    <row r="1482" spans="1:19">
      <c r="A1482" s="2590"/>
      <c r="B1482" s="2591"/>
      <c r="C1482" s="2591"/>
      <c r="D1482" s="2591"/>
      <c r="E1482" s="2591"/>
      <c r="F1482" s="2591"/>
      <c r="G1482" s="2591"/>
      <c r="H1482" s="2591"/>
      <c r="I1482" s="2591"/>
      <c r="J1482" s="2591"/>
      <c r="K1482" s="2591"/>
      <c r="L1482" s="2591"/>
      <c r="M1482" s="2591"/>
      <c r="N1482" s="2591"/>
      <c r="O1482" s="2591"/>
      <c r="P1482" s="2591"/>
      <c r="Q1482" s="2591"/>
      <c r="R1482" s="2591"/>
      <c r="S1482" s="2591"/>
    </row>
    <row r="1483" spans="1:19">
      <c r="A1483" s="2590"/>
      <c r="B1483" s="2591"/>
      <c r="C1483" s="2591"/>
      <c r="D1483" s="2591"/>
      <c r="E1483" s="2591"/>
      <c r="F1483" s="2591"/>
      <c r="G1483" s="2591"/>
      <c r="H1483" s="2591"/>
      <c r="I1483" s="2591"/>
      <c r="J1483" s="2591"/>
      <c r="K1483" s="2591"/>
      <c r="L1483" s="2591"/>
      <c r="M1483" s="2591"/>
      <c r="N1483" s="2591"/>
      <c r="O1483" s="2591"/>
      <c r="P1483" s="2591"/>
      <c r="Q1483" s="2591"/>
      <c r="R1483" s="2591"/>
      <c r="S1483" s="2591"/>
    </row>
    <row r="1484" spans="1:19">
      <c r="A1484" s="2590"/>
      <c r="B1484" s="2591"/>
      <c r="C1484" s="2591"/>
      <c r="D1484" s="2591"/>
      <c r="E1484" s="2591"/>
      <c r="F1484" s="2591"/>
      <c r="G1484" s="2591"/>
      <c r="H1484" s="2591"/>
      <c r="I1484" s="2591"/>
      <c r="J1484" s="2591"/>
      <c r="K1484" s="2591"/>
      <c r="L1484" s="2591"/>
      <c r="M1484" s="2591"/>
      <c r="N1484" s="2591"/>
      <c r="O1484" s="2591"/>
      <c r="P1484" s="2591"/>
      <c r="Q1484" s="2591"/>
      <c r="R1484" s="2591"/>
      <c r="S1484" s="2591"/>
    </row>
    <row r="1485" spans="1:19">
      <c r="A1485" s="2590"/>
      <c r="B1485" s="2591"/>
      <c r="C1485" s="2591"/>
      <c r="D1485" s="2591"/>
      <c r="E1485" s="2591"/>
      <c r="F1485" s="2591"/>
      <c r="G1485" s="2591"/>
      <c r="H1485" s="2591"/>
      <c r="I1485" s="2591"/>
      <c r="J1485" s="2591"/>
      <c r="K1485" s="2591"/>
      <c r="L1485" s="2591"/>
      <c r="M1485" s="2591"/>
      <c r="N1485" s="2591"/>
      <c r="O1485" s="2591"/>
      <c r="P1485" s="2591"/>
      <c r="Q1485" s="2591"/>
      <c r="R1485" s="2591"/>
      <c r="S1485" s="2591"/>
    </row>
    <row r="1486" spans="1:19">
      <c r="A1486" s="2590"/>
      <c r="B1486" s="2591"/>
      <c r="C1486" s="2591"/>
      <c r="D1486" s="2591"/>
      <c r="E1486" s="2591"/>
      <c r="F1486" s="2591"/>
      <c r="G1486" s="2591"/>
      <c r="H1486" s="2591"/>
      <c r="I1486" s="2591"/>
      <c r="J1486" s="2591"/>
      <c r="K1486" s="2591"/>
      <c r="L1486" s="2591"/>
      <c r="M1486" s="2591"/>
      <c r="N1486" s="2591"/>
      <c r="O1486" s="2591"/>
      <c r="P1486" s="2591"/>
      <c r="Q1486" s="2591"/>
      <c r="R1486" s="2591"/>
      <c r="S1486" s="2591"/>
    </row>
    <row r="1487" spans="1:19">
      <c r="A1487" s="2590"/>
      <c r="B1487" s="2591"/>
      <c r="C1487" s="2591"/>
      <c r="D1487" s="2591"/>
      <c r="E1487" s="2591"/>
      <c r="F1487" s="2591"/>
      <c r="G1487" s="2591"/>
      <c r="H1487" s="2591"/>
      <c r="I1487" s="2591"/>
      <c r="J1487" s="2591"/>
      <c r="K1487" s="2591"/>
      <c r="L1487" s="2591"/>
      <c r="M1487" s="2591"/>
      <c r="N1487" s="2591"/>
      <c r="O1487" s="2591"/>
      <c r="P1487" s="2591"/>
      <c r="Q1487" s="2591"/>
      <c r="R1487" s="2591"/>
      <c r="S1487" s="2591"/>
    </row>
    <row r="1488" spans="1:19">
      <c r="A1488" s="2590"/>
      <c r="B1488" s="2591"/>
      <c r="C1488" s="2591"/>
      <c r="D1488" s="2591"/>
      <c r="E1488" s="2591"/>
      <c r="F1488" s="2591"/>
      <c r="G1488" s="2591"/>
      <c r="H1488" s="2591"/>
      <c r="I1488" s="2591"/>
      <c r="J1488" s="2591"/>
      <c r="K1488" s="2591"/>
      <c r="L1488" s="2591"/>
      <c r="M1488" s="2591"/>
      <c r="N1488" s="2591"/>
      <c r="O1488" s="2591"/>
      <c r="P1488" s="2591"/>
      <c r="Q1488" s="2591"/>
      <c r="R1488" s="2591"/>
      <c r="S1488" s="2591"/>
    </row>
    <row r="1489" spans="1:19">
      <c r="A1489" s="2590"/>
      <c r="B1489" s="2591"/>
      <c r="C1489" s="2591"/>
      <c r="D1489" s="2591"/>
      <c r="E1489" s="2591"/>
      <c r="F1489" s="2591"/>
      <c r="G1489" s="2591"/>
      <c r="H1489" s="2591"/>
      <c r="I1489" s="2591"/>
      <c r="J1489" s="2591"/>
      <c r="K1489" s="2591"/>
      <c r="L1489" s="2591"/>
      <c r="M1489" s="2591"/>
      <c r="N1489" s="2591"/>
      <c r="O1489" s="2591"/>
      <c r="P1489" s="2591"/>
      <c r="Q1489" s="2591"/>
      <c r="R1489" s="2591"/>
      <c r="S1489" s="2591"/>
    </row>
    <row r="1490" spans="1:19">
      <c r="A1490" s="2590"/>
      <c r="B1490" s="2591"/>
      <c r="C1490" s="2591"/>
      <c r="D1490" s="2591"/>
      <c r="E1490" s="2591"/>
      <c r="F1490" s="2591"/>
      <c r="G1490" s="2591"/>
      <c r="H1490" s="2591"/>
      <c r="I1490" s="2591"/>
      <c r="J1490" s="2591"/>
      <c r="K1490" s="2591"/>
      <c r="L1490" s="2591"/>
      <c r="M1490" s="2591"/>
      <c r="N1490" s="2591"/>
      <c r="O1490" s="2591"/>
      <c r="P1490" s="2591"/>
      <c r="Q1490" s="2591"/>
      <c r="R1490" s="2591"/>
      <c r="S1490" s="2591"/>
    </row>
    <row r="1491" spans="1:19">
      <c r="A1491" s="2590"/>
      <c r="B1491" s="2591"/>
      <c r="C1491" s="2591"/>
      <c r="D1491" s="2591"/>
      <c r="E1491" s="2591"/>
      <c r="F1491" s="2591"/>
      <c r="G1491" s="2591"/>
      <c r="H1491" s="2591"/>
      <c r="I1491" s="2591"/>
      <c r="J1491" s="2591"/>
      <c r="K1491" s="2591"/>
      <c r="L1491" s="2591"/>
      <c r="M1491" s="2591"/>
      <c r="N1491" s="2591"/>
      <c r="O1491" s="2591"/>
      <c r="P1491" s="2591"/>
      <c r="Q1491" s="2591"/>
      <c r="R1491" s="2591"/>
      <c r="S1491" s="2591"/>
    </row>
    <row r="1492" spans="1:19">
      <c r="A1492" s="2590"/>
      <c r="B1492" s="2591"/>
      <c r="C1492" s="2591"/>
      <c r="D1492" s="2591"/>
      <c r="E1492" s="2591"/>
      <c r="F1492" s="2591"/>
      <c r="G1492" s="2591"/>
      <c r="H1492" s="2591"/>
      <c r="I1492" s="2591"/>
      <c r="J1492" s="2591"/>
      <c r="K1492" s="2591"/>
      <c r="L1492" s="2591"/>
      <c r="M1492" s="2591"/>
      <c r="N1492" s="2591"/>
      <c r="O1492" s="2591"/>
      <c r="P1492" s="2591"/>
      <c r="Q1492" s="2591"/>
      <c r="R1492" s="2591"/>
      <c r="S1492" s="2591"/>
    </row>
    <row r="1493" spans="1:19">
      <c r="A1493" s="2590"/>
      <c r="B1493" s="2591"/>
      <c r="C1493" s="2591"/>
      <c r="D1493" s="2591"/>
      <c r="E1493" s="2591"/>
      <c r="F1493" s="2591"/>
      <c r="G1493" s="2591"/>
      <c r="H1493" s="2591"/>
      <c r="I1493" s="2591"/>
      <c r="J1493" s="2591"/>
      <c r="K1493" s="2591"/>
      <c r="L1493" s="2591"/>
      <c r="M1493" s="2591"/>
      <c r="N1493" s="2591"/>
      <c r="O1493" s="2591"/>
      <c r="P1493" s="2591"/>
      <c r="Q1493" s="2591"/>
      <c r="R1493" s="2591"/>
      <c r="S1493" s="2591"/>
    </row>
    <row r="1494" spans="1:19">
      <c r="A1494" s="2590"/>
      <c r="B1494" s="2591"/>
      <c r="C1494" s="2591"/>
      <c r="D1494" s="2591"/>
      <c r="E1494" s="2591"/>
      <c r="F1494" s="2591"/>
      <c r="G1494" s="2591"/>
      <c r="H1494" s="2591"/>
      <c r="I1494" s="2591"/>
      <c r="J1494" s="2591"/>
      <c r="K1494" s="2591"/>
      <c r="L1494" s="2591"/>
      <c r="M1494" s="2591"/>
      <c r="N1494" s="2591"/>
      <c r="O1494" s="2591"/>
      <c r="P1494" s="2591"/>
      <c r="Q1494" s="2591"/>
      <c r="R1494" s="2591"/>
      <c r="S1494" s="2591"/>
    </row>
    <row r="1495" spans="1:19">
      <c r="A1495" s="2590"/>
      <c r="B1495" s="2591"/>
      <c r="C1495" s="2591"/>
      <c r="D1495" s="2591"/>
      <c r="E1495" s="2591"/>
      <c r="F1495" s="2591"/>
      <c r="G1495" s="2591"/>
      <c r="H1495" s="2591"/>
      <c r="I1495" s="2591"/>
      <c r="J1495" s="2591"/>
      <c r="K1495" s="2591"/>
      <c r="L1495" s="2591"/>
      <c r="M1495" s="2591"/>
      <c r="N1495" s="2591"/>
      <c r="O1495" s="2591"/>
      <c r="P1495" s="2591"/>
      <c r="Q1495" s="2591"/>
      <c r="R1495" s="2591"/>
      <c r="S1495" s="2591"/>
    </row>
    <row r="1496" spans="1:19">
      <c r="A1496" s="2590"/>
      <c r="B1496" s="2591"/>
      <c r="C1496" s="2591"/>
      <c r="D1496" s="2591"/>
      <c r="E1496" s="2591"/>
      <c r="F1496" s="2591"/>
      <c r="G1496" s="2591"/>
      <c r="H1496" s="2591"/>
      <c r="I1496" s="2591"/>
      <c r="J1496" s="2591"/>
      <c r="K1496" s="2591"/>
      <c r="L1496" s="2591"/>
      <c r="M1496" s="2591"/>
      <c r="N1496" s="2591"/>
      <c r="O1496" s="2591"/>
      <c r="P1496" s="2591"/>
      <c r="Q1496" s="2591"/>
      <c r="R1496" s="2591"/>
      <c r="S1496" s="2591"/>
    </row>
    <row r="1497" spans="1:19">
      <c r="A1497" s="2590"/>
      <c r="B1497" s="2591"/>
      <c r="C1497" s="2591"/>
      <c r="D1497" s="2591"/>
      <c r="E1497" s="2591"/>
      <c r="F1497" s="2591"/>
      <c r="G1497" s="2591"/>
      <c r="H1497" s="2591"/>
      <c r="I1497" s="2591"/>
      <c r="J1497" s="2591"/>
      <c r="K1497" s="2591"/>
      <c r="L1497" s="2591"/>
      <c r="M1497" s="2591"/>
      <c r="N1497" s="2591"/>
      <c r="O1497" s="2591"/>
      <c r="P1497" s="2591"/>
      <c r="Q1497" s="2591"/>
      <c r="R1497" s="2591"/>
      <c r="S1497" s="2591"/>
    </row>
    <row r="1498" spans="1:19">
      <c r="A1498" s="2590"/>
      <c r="B1498" s="2591"/>
      <c r="C1498" s="2591"/>
      <c r="D1498" s="2591"/>
      <c r="E1498" s="2591"/>
      <c r="F1498" s="2591"/>
      <c r="G1498" s="2591"/>
      <c r="H1498" s="2591"/>
      <c r="I1498" s="2591"/>
      <c r="J1498" s="2591"/>
      <c r="K1498" s="2591"/>
      <c r="L1498" s="2591"/>
      <c r="M1498" s="2591"/>
      <c r="N1498" s="2591"/>
      <c r="O1498" s="2591"/>
      <c r="P1498" s="2591"/>
      <c r="Q1498" s="2591"/>
      <c r="R1498" s="2591"/>
      <c r="S1498" s="2591"/>
    </row>
    <row r="1499" spans="1:19">
      <c r="A1499" s="2590"/>
      <c r="B1499" s="2591"/>
      <c r="C1499" s="2591"/>
      <c r="D1499" s="2591"/>
      <c r="E1499" s="2591"/>
      <c r="F1499" s="2591"/>
      <c r="G1499" s="2591"/>
      <c r="H1499" s="2591"/>
      <c r="I1499" s="2591"/>
      <c r="J1499" s="2591"/>
      <c r="K1499" s="2591"/>
      <c r="L1499" s="2591"/>
      <c r="M1499" s="2591"/>
      <c r="N1499" s="2591"/>
      <c r="O1499" s="2591"/>
      <c r="P1499" s="2591"/>
      <c r="Q1499" s="2591"/>
      <c r="R1499" s="2591"/>
      <c r="S1499" s="2591"/>
    </row>
    <row r="1500" spans="1:19">
      <c r="A1500" s="2590"/>
      <c r="B1500" s="2591"/>
      <c r="C1500" s="2591"/>
      <c r="D1500" s="2591"/>
      <c r="E1500" s="2591"/>
      <c r="F1500" s="2591"/>
      <c r="G1500" s="2591"/>
      <c r="H1500" s="2591"/>
      <c r="I1500" s="2591"/>
      <c r="J1500" s="2591"/>
      <c r="K1500" s="2591"/>
      <c r="L1500" s="2591"/>
      <c r="M1500" s="2591"/>
      <c r="N1500" s="2591"/>
      <c r="O1500" s="2591"/>
      <c r="P1500" s="2591"/>
      <c r="Q1500" s="2591"/>
      <c r="R1500" s="2591"/>
      <c r="S1500" s="2591"/>
    </row>
    <row r="1501" spans="1:19">
      <c r="A1501" s="2590"/>
      <c r="B1501" s="2591"/>
      <c r="C1501" s="2591"/>
      <c r="D1501" s="2591"/>
      <c r="E1501" s="2591"/>
      <c r="F1501" s="2591"/>
      <c r="G1501" s="2591"/>
      <c r="H1501" s="2591"/>
      <c r="I1501" s="2591"/>
      <c r="J1501" s="2591"/>
      <c r="K1501" s="2591"/>
      <c r="L1501" s="2591"/>
      <c r="M1501" s="2591"/>
      <c r="N1501" s="2591"/>
      <c r="O1501" s="2591"/>
      <c r="P1501" s="2591"/>
      <c r="Q1501" s="2591"/>
      <c r="R1501" s="2591"/>
      <c r="S1501" s="2591"/>
    </row>
    <row r="1502" spans="1:19">
      <c r="A1502" s="2590"/>
      <c r="B1502" s="2591"/>
      <c r="C1502" s="2591"/>
      <c r="D1502" s="2591"/>
      <c r="E1502" s="2591"/>
      <c r="F1502" s="2591"/>
      <c r="G1502" s="2591"/>
      <c r="H1502" s="2591"/>
      <c r="I1502" s="2591"/>
      <c r="J1502" s="2591"/>
      <c r="K1502" s="2591"/>
      <c r="L1502" s="2591"/>
      <c r="M1502" s="2591"/>
      <c r="N1502" s="2591"/>
      <c r="O1502" s="2591"/>
      <c r="P1502" s="2591"/>
      <c r="Q1502" s="2591"/>
      <c r="R1502" s="2591"/>
      <c r="S1502" s="2591"/>
    </row>
    <row r="1503" spans="1:19">
      <c r="A1503" s="2590"/>
      <c r="B1503" s="2591"/>
      <c r="C1503" s="2591"/>
      <c r="D1503" s="2591"/>
      <c r="E1503" s="2591"/>
      <c r="F1503" s="2591"/>
      <c r="G1503" s="2591"/>
      <c r="H1503" s="2591"/>
      <c r="I1503" s="2591"/>
      <c r="J1503" s="2591"/>
      <c r="K1503" s="2591"/>
      <c r="L1503" s="2591"/>
      <c r="M1503" s="2591"/>
      <c r="N1503" s="2591"/>
      <c r="O1503" s="2591"/>
      <c r="P1503" s="2591"/>
      <c r="Q1503" s="2591"/>
      <c r="R1503" s="2591"/>
      <c r="S1503" s="2591"/>
    </row>
    <row r="1504" spans="1:19">
      <c r="A1504" s="2590"/>
      <c r="B1504" s="2591"/>
      <c r="C1504" s="2591"/>
      <c r="D1504" s="2591"/>
      <c r="E1504" s="2591"/>
      <c r="F1504" s="2591"/>
      <c r="G1504" s="2591"/>
      <c r="H1504" s="2591"/>
      <c r="I1504" s="2591"/>
      <c r="J1504" s="2591"/>
      <c r="K1504" s="2591"/>
      <c r="L1504" s="2591"/>
      <c r="M1504" s="2591"/>
      <c r="N1504" s="2591"/>
      <c r="O1504" s="2591"/>
      <c r="P1504" s="2591"/>
      <c r="Q1504" s="2591"/>
      <c r="R1504" s="2591"/>
      <c r="S1504" s="2591"/>
    </row>
    <row r="1505" spans="1:19">
      <c r="A1505" s="2590"/>
      <c r="B1505" s="2591"/>
      <c r="C1505" s="2591"/>
      <c r="D1505" s="2591"/>
      <c r="E1505" s="2591"/>
      <c r="F1505" s="2591"/>
      <c r="G1505" s="2591"/>
      <c r="H1505" s="2591"/>
      <c r="I1505" s="2591"/>
      <c r="J1505" s="2591"/>
      <c r="K1505" s="2591"/>
      <c r="L1505" s="2591"/>
      <c r="M1505" s="2591"/>
      <c r="N1505" s="2591"/>
      <c r="O1505" s="2591"/>
      <c r="P1505" s="2591"/>
      <c r="Q1505" s="2591"/>
      <c r="R1505" s="2591"/>
      <c r="S1505" s="2591"/>
    </row>
    <row r="1506" spans="1:19">
      <c r="A1506" s="2590"/>
      <c r="B1506" s="2591"/>
      <c r="C1506" s="2591"/>
      <c r="D1506" s="2591"/>
      <c r="E1506" s="2591"/>
      <c r="F1506" s="2591"/>
      <c r="G1506" s="2591"/>
      <c r="H1506" s="2591"/>
      <c r="I1506" s="2591"/>
      <c r="J1506" s="2591"/>
      <c r="K1506" s="2591"/>
      <c r="L1506" s="2591"/>
      <c r="M1506" s="2591"/>
      <c r="N1506" s="2591"/>
      <c r="O1506" s="2591"/>
      <c r="P1506" s="2591"/>
      <c r="Q1506" s="2591"/>
      <c r="R1506" s="2591"/>
      <c r="S1506" s="2591"/>
    </row>
    <row r="1507" spans="1:19">
      <c r="A1507" s="2590"/>
      <c r="B1507" s="2591"/>
      <c r="C1507" s="2591"/>
      <c r="D1507" s="2591"/>
      <c r="E1507" s="2591"/>
      <c r="F1507" s="2591"/>
      <c r="G1507" s="2591"/>
      <c r="H1507" s="2591"/>
      <c r="I1507" s="2591"/>
      <c r="J1507" s="2591"/>
      <c r="K1507" s="2591"/>
      <c r="L1507" s="2591"/>
      <c r="M1507" s="2591"/>
      <c r="N1507" s="2591"/>
      <c r="O1507" s="2591"/>
      <c r="P1507" s="2591"/>
      <c r="Q1507" s="2591"/>
      <c r="R1507" s="2591"/>
      <c r="S1507" s="2591"/>
    </row>
    <row r="1508" spans="1:19">
      <c r="A1508" s="2590"/>
      <c r="B1508" s="2591"/>
      <c r="C1508" s="2591"/>
      <c r="D1508" s="2591"/>
      <c r="E1508" s="2591"/>
      <c r="F1508" s="2591"/>
      <c r="G1508" s="2591"/>
      <c r="H1508" s="2591"/>
      <c r="I1508" s="2591"/>
      <c r="J1508" s="2591"/>
      <c r="K1508" s="2591"/>
      <c r="L1508" s="2591"/>
      <c r="M1508" s="2591"/>
      <c r="N1508" s="2591"/>
      <c r="O1508" s="2591"/>
      <c r="P1508" s="2591"/>
      <c r="Q1508" s="2591"/>
      <c r="R1508" s="2591"/>
      <c r="S1508" s="2591"/>
    </row>
    <row r="1509" spans="1:19">
      <c r="A1509" s="2590"/>
      <c r="B1509" s="2591"/>
      <c r="C1509" s="2591"/>
      <c r="D1509" s="2591"/>
      <c r="E1509" s="2591"/>
      <c r="F1509" s="2591"/>
      <c r="G1509" s="2591"/>
      <c r="H1509" s="2591"/>
      <c r="I1509" s="2591"/>
      <c r="J1509" s="2591"/>
      <c r="K1509" s="2591"/>
      <c r="L1509" s="2591"/>
      <c r="M1509" s="2591"/>
      <c r="N1509" s="2591"/>
      <c r="O1509" s="2591"/>
      <c r="P1509" s="2591"/>
      <c r="Q1509" s="2591"/>
      <c r="R1509" s="2591"/>
      <c r="S1509" s="2591"/>
    </row>
    <row r="1510" spans="1:19">
      <c r="A1510" s="2590"/>
      <c r="B1510" s="2591"/>
      <c r="C1510" s="2591"/>
      <c r="D1510" s="2591"/>
      <c r="E1510" s="2591"/>
      <c r="F1510" s="2591"/>
      <c r="G1510" s="2591"/>
      <c r="H1510" s="2591"/>
      <c r="I1510" s="2591"/>
      <c r="J1510" s="2591"/>
      <c r="K1510" s="2591"/>
      <c r="L1510" s="2591"/>
      <c r="M1510" s="2591"/>
      <c r="N1510" s="2591"/>
      <c r="O1510" s="2591"/>
      <c r="P1510" s="2591"/>
      <c r="Q1510" s="2591"/>
      <c r="R1510" s="2591"/>
      <c r="S1510" s="2591"/>
    </row>
    <row r="1511" spans="1:19">
      <c r="A1511" s="2590"/>
      <c r="B1511" s="2591"/>
      <c r="C1511" s="2591"/>
      <c r="D1511" s="2591"/>
      <c r="E1511" s="2591"/>
      <c r="F1511" s="2591"/>
      <c r="G1511" s="2591"/>
      <c r="H1511" s="2591"/>
      <c r="I1511" s="2591"/>
      <c r="J1511" s="2591"/>
      <c r="K1511" s="2591"/>
      <c r="L1511" s="2591"/>
      <c r="M1511" s="2591"/>
      <c r="N1511" s="2591"/>
      <c r="O1511" s="2591"/>
      <c r="P1511" s="2591"/>
      <c r="Q1511" s="2591"/>
      <c r="R1511" s="2591"/>
      <c r="S1511" s="2591"/>
    </row>
    <row r="1512" spans="1:19">
      <c r="A1512" s="2590"/>
      <c r="B1512" s="2591"/>
      <c r="C1512" s="2591"/>
      <c r="D1512" s="2591"/>
      <c r="E1512" s="2591"/>
      <c r="F1512" s="2591"/>
      <c r="G1512" s="2591"/>
      <c r="H1512" s="2591"/>
      <c r="I1512" s="2591"/>
      <c r="J1512" s="2591"/>
      <c r="K1512" s="2591"/>
      <c r="L1512" s="2591"/>
      <c r="M1512" s="2591"/>
      <c r="N1512" s="2591"/>
      <c r="O1512" s="2591"/>
      <c r="P1512" s="2591"/>
      <c r="Q1512" s="2591"/>
      <c r="R1512" s="2591"/>
      <c r="S1512" s="2591"/>
    </row>
    <row r="1513" spans="1:19">
      <c r="A1513" s="2590"/>
      <c r="B1513" s="2591"/>
      <c r="C1513" s="2591"/>
      <c r="D1513" s="2591"/>
      <c r="E1513" s="2591"/>
      <c r="F1513" s="2591"/>
      <c r="G1513" s="2591"/>
      <c r="H1513" s="2591"/>
      <c r="I1513" s="2591"/>
      <c r="J1513" s="2591"/>
      <c r="K1513" s="2591"/>
      <c r="L1513" s="2591"/>
      <c r="M1513" s="2591"/>
      <c r="N1513" s="2591"/>
      <c r="O1513" s="2591"/>
      <c r="P1513" s="2591"/>
      <c r="Q1513" s="2591"/>
      <c r="R1513" s="2591"/>
      <c r="S1513" s="2591"/>
    </row>
    <row r="1514" spans="1:19">
      <c r="A1514" s="2590"/>
      <c r="B1514" s="2591"/>
      <c r="C1514" s="2591"/>
      <c r="D1514" s="2591"/>
      <c r="E1514" s="2591"/>
      <c r="F1514" s="2591"/>
      <c r="G1514" s="2591"/>
      <c r="H1514" s="2591"/>
      <c r="I1514" s="2591"/>
      <c r="J1514" s="2591"/>
      <c r="K1514" s="2591"/>
      <c r="L1514" s="2591"/>
      <c r="M1514" s="2591"/>
      <c r="N1514" s="2591"/>
      <c r="O1514" s="2591"/>
      <c r="P1514" s="2591"/>
      <c r="Q1514" s="2591"/>
      <c r="R1514" s="2591"/>
      <c r="S1514" s="2591"/>
    </row>
    <row r="1515" spans="1:19">
      <c r="A1515" s="2590"/>
      <c r="B1515" s="2591"/>
      <c r="C1515" s="2591"/>
      <c r="D1515" s="2591"/>
      <c r="E1515" s="2591"/>
      <c r="F1515" s="2591"/>
      <c r="G1515" s="2591"/>
      <c r="H1515" s="2591"/>
      <c r="I1515" s="2591"/>
      <c r="J1515" s="2591"/>
      <c r="K1515" s="2591"/>
      <c r="L1515" s="2591"/>
      <c r="M1515" s="2591"/>
      <c r="N1515" s="2591"/>
      <c r="O1515" s="2591"/>
      <c r="P1515" s="2591"/>
      <c r="Q1515" s="2591"/>
      <c r="R1515" s="2591"/>
      <c r="S1515" s="2591"/>
    </row>
    <row r="1516" spans="1:19">
      <c r="A1516" s="2590"/>
      <c r="B1516" s="2591"/>
      <c r="C1516" s="2591"/>
      <c r="D1516" s="2591"/>
      <c r="E1516" s="2591"/>
      <c r="F1516" s="2591"/>
      <c r="G1516" s="2591"/>
      <c r="H1516" s="2591"/>
      <c r="I1516" s="2591"/>
      <c r="J1516" s="2591"/>
      <c r="K1516" s="2591"/>
      <c r="L1516" s="2591"/>
      <c r="M1516" s="2591"/>
      <c r="N1516" s="2591"/>
      <c r="O1516" s="2591"/>
      <c r="P1516" s="2591"/>
      <c r="Q1516" s="2591"/>
      <c r="R1516" s="2591"/>
      <c r="S1516" s="2591"/>
    </row>
    <row r="1517" spans="1:19">
      <c r="A1517" s="2590"/>
      <c r="B1517" s="2591"/>
      <c r="C1517" s="2591"/>
      <c r="D1517" s="2591"/>
      <c r="E1517" s="2591"/>
      <c r="F1517" s="2591"/>
      <c r="G1517" s="2591"/>
      <c r="H1517" s="2591"/>
      <c r="I1517" s="2591"/>
      <c r="J1517" s="2591"/>
      <c r="K1517" s="2591"/>
      <c r="L1517" s="2591"/>
      <c r="M1517" s="2591"/>
      <c r="N1517" s="2591"/>
      <c r="O1517" s="2591"/>
      <c r="P1517" s="2591"/>
      <c r="Q1517" s="2591"/>
      <c r="R1517" s="2591"/>
      <c r="S1517" s="2591"/>
    </row>
    <row r="1518" spans="1:19">
      <c r="A1518" s="2590"/>
      <c r="B1518" s="2591"/>
      <c r="C1518" s="2591"/>
      <c r="D1518" s="2591"/>
      <c r="E1518" s="2591"/>
      <c r="F1518" s="2591"/>
      <c r="G1518" s="2591"/>
      <c r="H1518" s="2591"/>
      <c r="I1518" s="2591"/>
      <c r="J1518" s="2591"/>
      <c r="K1518" s="2591"/>
      <c r="L1518" s="2591"/>
      <c r="M1518" s="2591"/>
      <c r="N1518" s="2591"/>
      <c r="O1518" s="2591"/>
      <c r="P1518" s="2591"/>
      <c r="Q1518" s="2591"/>
      <c r="R1518" s="2591"/>
      <c r="S1518" s="2591"/>
    </row>
    <row r="1519" spans="1:19">
      <c r="A1519" s="2590"/>
      <c r="B1519" s="2591"/>
      <c r="C1519" s="2591"/>
      <c r="D1519" s="2591"/>
      <c r="E1519" s="2591"/>
      <c r="F1519" s="2591"/>
      <c r="G1519" s="2591"/>
      <c r="H1519" s="2591"/>
      <c r="I1519" s="2591"/>
      <c r="J1519" s="2591"/>
      <c r="K1519" s="2591"/>
      <c r="L1519" s="2591"/>
      <c r="M1519" s="2591"/>
      <c r="N1519" s="2591"/>
      <c r="O1519" s="2591"/>
      <c r="P1519" s="2591"/>
      <c r="Q1519" s="2591"/>
      <c r="R1519" s="2591"/>
      <c r="S1519" s="2591"/>
    </row>
    <row r="1520" spans="1:19">
      <c r="A1520" s="2590"/>
      <c r="B1520" s="2591"/>
      <c r="C1520" s="2591"/>
      <c r="D1520" s="2591"/>
      <c r="E1520" s="2591"/>
      <c r="F1520" s="2591"/>
      <c r="G1520" s="2591"/>
      <c r="H1520" s="2591"/>
      <c r="I1520" s="2591"/>
      <c r="J1520" s="2591"/>
      <c r="K1520" s="2591"/>
      <c r="L1520" s="2591"/>
      <c r="M1520" s="2591"/>
      <c r="N1520" s="2591"/>
      <c r="O1520" s="2591"/>
      <c r="P1520" s="2591"/>
      <c r="Q1520" s="2591"/>
      <c r="R1520" s="2591"/>
      <c r="S1520" s="2591"/>
    </row>
    <row r="1521" spans="1:19">
      <c r="A1521" s="2590"/>
      <c r="B1521" s="2591"/>
      <c r="C1521" s="2591"/>
      <c r="D1521" s="2591"/>
      <c r="E1521" s="2591"/>
      <c r="F1521" s="2591"/>
      <c r="G1521" s="2591"/>
      <c r="H1521" s="2591"/>
      <c r="I1521" s="2591"/>
      <c r="J1521" s="2591"/>
      <c r="K1521" s="2591"/>
      <c r="L1521" s="2591"/>
      <c r="M1521" s="2591"/>
      <c r="N1521" s="2591"/>
      <c r="O1521" s="2591"/>
      <c r="P1521" s="2591"/>
      <c r="Q1521" s="2591"/>
      <c r="R1521" s="2591"/>
      <c r="S1521" s="2591"/>
    </row>
    <row r="1522" spans="1:19">
      <c r="A1522" s="2590"/>
      <c r="B1522" s="2591"/>
      <c r="C1522" s="2591"/>
      <c r="D1522" s="2591"/>
      <c r="E1522" s="2591"/>
      <c r="F1522" s="2591"/>
      <c r="G1522" s="2591"/>
      <c r="H1522" s="2591"/>
      <c r="I1522" s="2591"/>
      <c r="J1522" s="2591"/>
      <c r="K1522" s="2591"/>
      <c r="L1522" s="2591"/>
      <c r="M1522" s="2591"/>
      <c r="N1522" s="2591"/>
      <c r="O1522" s="2591"/>
      <c r="P1522" s="2591"/>
      <c r="Q1522" s="2591"/>
      <c r="R1522" s="2591"/>
      <c r="S1522" s="2591"/>
    </row>
    <row r="1523" spans="1:19">
      <c r="A1523" s="2590"/>
      <c r="B1523" s="2591"/>
      <c r="C1523" s="2591"/>
      <c r="D1523" s="2591"/>
      <c r="E1523" s="2591"/>
      <c r="F1523" s="2591"/>
      <c r="G1523" s="2591"/>
      <c r="H1523" s="2591"/>
      <c r="I1523" s="2591"/>
      <c r="J1523" s="2591"/>
      <c r="K1523" s="2591"/>
      <c r="L1523" s="2591"/>
      <c r="M1523" s="2591"/>
      <c r="N1523" s="2591"/>
      <c r="O1523" s="2591"/>
      <c r="P1523" s="2591"/>
      <c r="Q1523" s="2591"/>
      <c r="R1523" s="2591"/>
      <c r="S1523" s="2591"/>
    </row>
    <row r="1524" spans="1:19">
      <c r="A1524" s="2590"/>
      <c r="B1524" s="2591"/>
      <c r="C1524" s="2591"/>
      <c r="D1524" s="2591"/>
      <c r="E1524" s="2591"/>
      <c r="F1524" s="2591"/>
      <c r="G1524" s="2591"/>
      <c r="H1524" s="2591"/>
      <c r="I1524" s="2591"/>
      <c r="J1524" s="2591"/>
      <c r="K1524" s="2591"/>
      <c r="L1524" s="2591"/>
      <c r="M1524" s="2591"/>
      <c r="N1524" s="2591"/>
      <c r="O1524" s="2591"/>
      <c r="P1524" s="2591"/>
      <c r="Q1524" s="2591"/>
      <c r="R1524" s="2591"/>
      <c r="S1524" s="2591"/>
    </row>
    <row r="1525" spans="1:19">
      <c r="A1525" s="2590"/>
      <c r="B1525" s="2591"/>
      <c r="C1525" s="2591"/>
      <c r="D1525" s="2591"/>
      <c r="E1525" s="2591"/>
      <c r="F1525" s="2591"/>
      <c r="G1525" s="2591"/>
      <c r="H1525" s="2591"/>
      <c r="I1525" s="2591"/>
      <c r="J1525" s="2591"/>
      <c r="K1525" s="2591"/>
      <c r="L1525" s="2591"/>
      <c r="M1525" s="2591"/>
      <c r="N1525" s="2591"/>
      <c r="O1525" s="2591"/>
      <c r="P1525" s="2591"/>
      <c r="Q1525" s="2591"/>
      <c r="R1525" s="2591"/>
      <c r="S1525" s="2591"/>
    </row>
    <row r="1526" spans="1:19">
      <c r="A1526" s="2590"/>
      <c r="B1526" s="2591"/>
      <c r="C1526" s="2591"/>
      <c r="D1526" s="2591"/>
      <c r="E1526" s="2591"/>
      <c r="F1526" s="2591"/>
      <c r="G1526" s="2591"/>
      <c r="H1526" s="2591"/>
      <c r="I1526" s="2591"/>
      <c r="J1526" s="2591"/>
      <c r="K1526" s="2591"/>
      <c r="L1526" s="2591"/>
      <c r="M1526" s="2591"/>
      <c r="N1526" s="2591"/>
      <c r="O1526" s="2591"/>
      <c r="P1526" s="2591"/>
      <c r="Q1526" s="2591"/>
      <c r="R1526" s="2591"/>
      <c r="S1526" s="2591"/>
    </row>
    <row r="1527" spans="1:19">
      <c r="A1527" s="2590"/>
      <c r="B1527" s="2591"/>
      <c r="C1527" s="2591"/>
      <c r="D1527" s="2591"/>
      <c r="E1527" s="2591"/>
      <c r="F1527" s="2591"/>
      <c r="G1527" s="2591"/>
      <c r="H1527" s="2591"/>
      <c r="I1527" s="2591"/>
      <c r="J1527" s="2591"/>
      <c r="K1527" s="2591"/>
      <c r="L1527" s="2591"/>
      <c r="M1527" s="2591"/>
      <c r="N1527" s="2591"/>
      <c r="O1527" s="2591"/>
      <c r="P1527" s="2591"/>
      <c r="Q1527" s="2591"/>
      <c r="R1527" s="2591"/>
      <c r="S1527" s="2591"/>
    </row>
    <row r="1528" spans="1:19">
      <c r="A1528" s="2590"/>
      <c r="B1528" s="2591"/>
      <c r="C1528" s="2591"/>
      <c r="D1528" s="2591"/>
      <c r="E1528" s="2591"/>
      <c r="F1528" s="2591"/>
      <c r="G1528" s="2591"/>
      <c r="H1528" s="2591"/>
      <c r="I1528" s="2591"/>
      <c r="J1528" s="2591"/>
      <c r="K1528" s="2591"/>
      <c r="L1528" s="2591"/>
      <c r="M1528" s="2591"/>
      <c r="N1528" s="2591"/>
      <c r="O1528" s="2591"/>
      <c r="P1528" s="2591"/>
      <c r="Q1528" s="2591"/>
      <c r="R1528" s="2591"/>
      <c r="S1528" s="2591"/>
    </row>
    <row r="1529" spans="1:19">
      <c r="A1529" s="2590"/>
      <c r="B1529" s="2591"/>
      <c r="C1529" s="2591"/>
      <c r="D1529" s="2591"/>
      <c r="E1529" s="2591"/>
      <c r="F1529" s="2591"/>
      <c r="G1529" s="2591"/>
      <c r="H1529" s="2591"/>
      <c r="I1529" s="2591"/>
      <c r="J1529" s="2591"/>
      <c r="K1529" s="2591"/>
      <c r="L1529" s="2591"/>
      <c r="M1529" s="2591"/>
      <c r="N1529" s="2591"/>
      <c r="O1529" s="2591"/>
      <c r="P1529" s="2591"/>
      <c r="Q1529" s="2591"/>
      <c r="R1529" s="2591"/>
      <c r="S1529" s="2591"/>
    </row>
    <row r="1530" spans="1:19">
      <c r="A1530" s="2590"/>
      <c r="B1530" s="2591"/>
      <c r="C1530" s="2591"/>
      <c r="D1530" s="2591"/>
      <c r="E1530" s="2591"/>
      <c r="F1530" s="2591"/>
      <c r="G1530" s="2591"/>
      <c r="H1530" s="2591"/>
      <c r="I1530" s="2591"/>
      <c r="J1530" s="2591"/>
      <c r="K1530" s="2591"/>
      <c r="L1530" s="2591"/>
      <c r="M1530" s="2591"/>
      <c r="N1530" s="2591"/>
      <c r="O1530" s="2591"/>
      <c r="P1530" s="2591"/>
      <c r="Q1530" s="2591"/>
      <c r="R1530" s="2591"/>
      <c r="S1530" s="2591"/>
    </row>
    <row r="1531" spans="1:19">
      <c r="A1531" s="2590"/>
      <c r="B1531" s="2591"/>
      <c r="C1531" s="2591"/>
      <c r="D1531" s="2591"/>
      <c r="E1531" s="2591"/>
      <c r="F1531" s="2591"/>
      <c r="G1531" s="2591"/>
      <c r="H1531" s="2591"/>
      <c r="I1531" s="2591"/>
      <c r="J1531" s="2591"/>
      <c r="K1531" s="2591"/>
      <c r="L1531" s="2591"/>
      <c r="M1531" s="2591"/>
      <c r="N1531" s="2591"/>
      <c r="O1531" s="2591"/>
      <c r="P1531" s="2591"/>
      <c r="Q1531" s="2591"/>
      <c r="R1531" s="2591"/>
      <c r="S1531" s="2591"/>
    </row>
    <row r="1532" spans="1:19">
      <c r="A1532" s="2590"/>
      <c r="B1532" s="2591"/>
      <c r="C1532" s="2591"/>
      <c r="D1532" s="2591"/>
      <c r="E1532" s="2591"/>
      <c r="F1532" s="2591"/>
      <c r="G1532" s="2591"/>
      <c r="H1532" s="2591"/>
      <c r="I1532" s="2591"/>
      <c r="J1532" s="2591"/>
      <c r="K1532" s="2591"/>
      <c r="L1532" s="2591"/>
      <c r="M1532" s="2591"/>
      <c r="N1532" s="2591"/>
      <c r="O1532" s="2591"/>
      <c r="P1532" s="2591"/>
      <c r="Q1532" s="2591"/>
      <c r="R1532" s="2591"/>
      <c r="S1532" s="2591"/>
    </row>
    <row r="1533" spans="1:19">
      <c r="A1533" s="2590"/>
      <c r="B1533" s="2591"/>
      <c r="C1533" s="2591"/>
      <c r="D1533" s="2591"/>
      <c r="E1533" s="2591"/>
      <c r="F1533" s="2591"/>
      <c r="G1533" s="2591"/>
      <c r="H1533" s="2591"/>
      <c r="I1533" s="2591"/>
      <c r="J1533" s="2591"/>
      <c r="K1533" s="2591"/>
      <c r="L1533" s="2591"/>
      <c r="M1533" s="2591"/>
      <c r="N1533" s="2591"/>
      <c r="O1533" s="2591"/>
      <c r="P1533" s="2591"/>
      <c r="Q1533" s="2591"/>
      <c r="R1533" s="2591"/>
      <c r="S1533" s="2591"/>
    </row>
    <row r="1534" spans="1:19">
      <c r="A1534" s="2590"/>
      <c r="B1534" s="2591"/>
      <c r="C1534" s="2591"/>
      <c r="D1534" s="2591"/>
      <c r="E1534" s="2591"/>
      <c r="F1534" s="2591"/>
      <c r="G1534" s="2591"/>
      <c r="H1534" s="2591"/>
      <c r="I1534" s="2591"/>
      <c r="J1534" s="2591"/>
      <c r="K1534" s="2591"/>
      <c r="L1534" s="2591"/>
      <c r="M1534" s="2591"/>
      <c r="N1534" s="2591"/>
      <c r="O1534" s="2591"/>
      <c r="P1534" s="2591"/>
      <c r="Q1534" s="2591"/>
      <c r="R1534" s="2591"/>
      <c r="S1534" s="2591"/>
    </row>
    <row r="1535" spans="1:19">
      <c r="A1535" s="2590"/>
      <c r="B1535" s="2591"/>
      <c r="C1535" s="2591"/>
      <c r="D1535" s="2591"/>
      <c r="E1535" s="2591"/>
      <c r="F1535" s="2591"/>
      <c r="G1535" s="2591"/>
      <c r="H1535" s="2591"/>
      <c r="I1535" s="2591"/>
      <c r="J1535" s="2591"/>
      <c r="K1535" s="2591"/>
      <c r="L1535" s="2591"/>
      <c r="M1535" s="2591"/>
      <c r="N1535" s="2591"/>
      <c r="O1535" s="2591"/>
      <c r="P1535" s="2591"/>
      <c r="Q1535" s="2591"/>
      <c r="R1535" s="2591"/>
      <c r="S1535" s="2591"/>
    </row>
    <row r="1536" spans="1:19">
      <c r="A1536" s="2590"/>
      <c r="B1536" s="2591"/>
      <c r="C1536" s="2591"/>
      <c r="D1536" s="2591"/>
      <c r="E1536" s="2591"/>
      <c r="F1536" s="2591"/>
      <c r="G1536" s="2591"/>
      <c r="H1536" s="2591"/>
      <c r="I1536" s="2591"/>
      <c r="J1536" s="2591"/>
      <c r="K1536" s="2591"/>
      <c r="L1536" s="2591"/>
      <c r="M1536" s="2591"/>
      <c r="N1536" s="2591"/>
      <c r="O1536" s="2591"/>
      <c r="P1536" s="2591"/>
      <c r="Q1536" s="2591"/>
      <c r="R1536" s="2591"/>
      <c r="S1536" s="2591"/>
    </row>
    <row r="1537" spans="1:19">
      <c r="A1537" s="2590"/>
      <c r="B1537" s="2591"/>
      <c r="C1537" s="2591"/>
      <c r="D1537" s="2591"/>
      <c r="E1537" s="2591"/>
      <c r="F1537" s="2591"/>
      <c r="G1537" s="2591"/>
      <c r="H1537" s="2591"/>
      <c r="I1537" s="2591"/>
      <c r="J1537" s="2591"/>
      <c r="K1537" s="2591"/>
      <c r="L1537" s="2591"/>
      <c r="M1537" s="2591"/>
      <c r="N1537" s="2591"/>
      <c r="O1537" s="2591"/>
      <c r="P1537" s="2591"/>
      <c r="Q1537" s="2591"/>
      <c r="R1537" s="2591"/>
      <c r="S1537" s="2591"/>
    </row>
    <row r="1538" spans="1:19">
      <c r="A1538" s="2590"/>
      <c r="B1538" s="2591"/>
      <c r="C1538" s="2591"/>
      <c r="D1538" s="2591"/>
      <c r="E1538" s="2591"/>
      <c r="F1538" s="2591"/>
      <c r="G1538" s="2591"/>
      <c r="H1538" s="2591"/>
      <c r="I1538" s="2591"/>
      <c r="J1538" s="2591"/>
      <c r="K1538" s="2591"/>
      <c r="L1538" s="2591"/>
      <c r="M1538" s="2591"/>
      <c r="N1538" s="2591"/>
      <c r="O1538" s="2591"/>
      <c r="P1538" s="2591"/>
      <c r="Q1538" s="2591"/>
      <c r="R1538" s="2591"/>
      <c r="S1538" s="2591"/>
    </row>
    <row r="1539" spans="1:19">
      <c r="A1539" s="2590"/>
      <c r="B1539" s="2591"/>
      <c r="C1539" s="2591"/>
      <c r="D1539" s="2591"/>
      <c r="E1539" s="2591"/>
      <c r="F1539" s="2591"/>
      <c r="G1539" s="2591"/>
      <c r="H1539" s="2591"/>
      <c r="I1539" s="2591"/>
      <c r="J1539" s="2591"/>
      <c r="K1539" s="2591"/>
      <c r="L1539" s="2591"/>
      <c r="M1539" s="2591"/>
      <c r="N1539" s="2591"/>
      <c r="O1539" s="2591"/>
      <c r="P1539" s="2591"/>
      <c r="Q1539" s="2591"/>
      <c r="R1539" s="2591"/>
      <c r="S1539" s="2591"/>
    </row>
    <row r="1540" spans="1:19">
      <c r="A1540" s="2590"/>
      <c r="B1540" s="2591"/>
      <c r="C1540" s="2591"/>
      <c r="D1540" s="2591"/>
      <c r="E1540" s="2591"/>
      <c r="F1540" s="2591"/>
      <c r="G1540" s="2591"/>
      <c r="H1540" s="2591"/>
      <c r="I1540" s="2591"/>
      <c r="J1540" s="2591"/>
      <c r="K1540" s="2591"/>
      <c r="L1540" s="2591"/>
      <c r="M1540" s="2591"/>
      <c r="N1540" s="2591"/>
      <c r="O1540" s="2591"/>
      <c r="P1540" s="2591"/>
      <c r="Q1540" s="2591"/>
      <c r="R1540" s="2591"/>
      <c r="S1540" s="2591"/>
    </row>
    <row r="1541" spans="1:19">
      <c r="A1541" s="2590"/>
      <c r="B1541" s="2591"/>
      <c r="C1541" s="2591"/>
      <c r="D1541" s="2591"/>
      <c r="E1541" s="2591"/>
      <c r="F1541" s="2591"/>
      <c r="G1541" s="2591"/>
      <c r="H1541" s="2591"/>
      <c r="I1541" s="2591"/>
      <c r="J1541" s="2591"/>
      <c r="K1541" s="2591"/>
      <c r="L1541" s="2591"/>
      <c r="M1541" s="2591"/>
      <c r="N1541" s="2591"/>
      <c r="O1541" s="2591"/>
      <c r="P1541" s="2591"/>
      <c r="Q1541" s="2591"/>
      <c r="R1541" s="2591"/>
      <c r="S1541" s="2591"/>
    </row>
    <row r="1542" spans="1:19">
      <c r="A1542" s="2590"/>
      <c r="B1542" s="2591"/>
      <c r="C1542" s="2591"/>
      <c r="D1542" s="2591"/>
      <c r="E1542" s="2591"/>
      <c r="F1542" s="2591"/>
      <c r="G1542" s="2591"/>
      <c r="H1542" s="2591"/>
      <c r="I1542" s="2591"/>
      <c r="J1542" s="2591"/>
      <c r="K1542" s="2591"/>
      <c r="L1542" s="2591"/>
      <c r="M1542" s="2591"/>
      <c r="N1542" s="2591"/>
      <c r="O1542" s="2591"/>
      <c r="P1542" s="2591"/>
      <c r="Q1542" s="2591"/>
      <c r="R1542" s="2591"/>
      <c r="S1542" s="2591"/>
    </row>
    <row r="1543" spans="1:19">
      <c r="A1543" s="2590"/>
      <c r="B1543" s="2591"/>
      <c r="C1543" s="2591"/>
      <c r="D1543" s="2591"/>
      <c r="E1543" s="2591"/>
      <c r="F1543" s="2591"/>
      <c r="G1543" s="2591"/>
      <c r="H1543" s="2591"/>
      <c r="I1543" s="2591"/>
      <c r="J1543" s="2591"/>
      <c r="K1543" s="2591"/>
      <c r="L1543" s="2591"/>
      <c r="M1543" s="2591"/>
      <c r="N1543" s="2591"/>
      <c r="O1543" s="2591"/>
      <c r="P1543" s="2591"/>
      <c r="Q1543" s="2591"/>
      <c r="R1543" s="2591"/>
      <c r="S1543" s="2591"/>
    </row>
    <row r="1544" spans="1:19">
      <c r="A1544" s="2590"/>
      <c r="B1544" s="2591"/>
      <c r="C1544" s="2591"/>
      <c r="D1544" s="2591"/>
      <c r="E1544" s="2591"/>
      <c r="F1544" s="2591"/>
      <c r="G1544" s="2591"/>
      <c r="H1544" s="2591"/>
      <c r="I1544" s="2591"/>
      <c r="J1544" s="2591"/>
      <c r="K1544" s="2591"/>
      <c r="L1544" s="2591"/>
      <c r="M1544" s="2591"/>
      <c r="N1544" s="2591"/>
      <c r="O1544" s="2591"/>
      <c r="P1544" s="2591"/>
      <c r="Q1544" s="2591"/>
      <c r="R1544" s="2591"/>
      <c r="S1544" s="2591"/>
    </row>
    <row r="1545" spans="1:19">
      <c r="A1545" s="2590"/>
      <c r="B1545" s="2591"/>
      <c r="C1545" s="2591"/>
      <c r="D1545" s="2591"/>
      <c r="E1545" s="2591"/>
      <c r="F1545" s="2591"/>
      <c r="G1545" s="2591"/>
      <c r="H1545" s="2591"/>
      <c r="I1545" s="2591"/>
      <c r="J1545" s="2591"/>
      <c r="K1545" s="2591"/>
      <c r="L1545" s="2591"/>
      <c r="M1545" s="2591"/>
      <c r="N1545" s="2591"/>
      <c r="O1545" s="2591"/>
      <c r="P1545" s="2591"/>
      <c r="Q1545" s="2591"/>
      <c r="R1545" s="2591"/>
      <c r="S1545" s="2591"/>
    </row>
    <row r="1546" spans="1:19">
      <c r="A1546" s="2590"/>
      <c r="B1546" s="2591"/>
      <c r="C1546" s="2591"/>
      <c r="D1546" s="2591"/>
      <c r="E1546" s="2591"/>
      <c r="F1546" s="2591"/>
      <c r="G1546" s="2591"/>
      <c r="H1546" s="2591"/>
      <c r="I1546" s="2591"/>
      <c r="J1546" s="2591"/>
      <c r="K1546" s="2591"/>
      <c r="L1546" s="2591"/>
      <c r="M1546" s="2591"/>
      <c r="N1546" s="2591"/>
      <c r="O1546" s="2591"/>
      <c r="P1546" s="2591"/>
      <c r="Q1546" s="2591"/>
      <c r="R1546" s="2591"/>
      <c r="S1546" s="2591"/>
    </row>
    <row r="1547" spans="1:19">
      <c r="A1547" s="2590"/>
      <c r="B1547" s="2591"/>
      <c r="C1547" s="2591"/>
      <c r="D1547" s="2591"/>
      <c r="E1547" s="2591"/>
      <c r="F1547" s="2591"/>
      <c r="G1547" s="2591"/>
      <c r="H1547" s="2591"/>
      <c r="I1547" s="2591"/>
      <c r="J1547" s="2591"/>
      <c r="K1547" s="2591"/>
      <c r="L1547" s="2591"/>
      <c r="M1547" s="2591"/>
      <c r="N1547" s="2591"/>
      <c r="O1547" s="2591"/>
      <c r="P1547" s="2591"/>
      <c r="Q1547" s="2591"/>
      <c r="R1547" s="2591"/>
      <c r="S1547" s="2591"/>
    </row>
    <row r="1548" spans="1:19">
      <c r="A1548" s="2590"/>
      <c r="B1548" s="2591"/>
      <c r="C1548" s="2591"/>
      <c r="D1548" s="2591"/>
      <c r="E1548" s="2591"/>
      <c r="F1548" s="2591"/>
      <c r="G1548" s="2591"/>
      <c r="H1548" s="2591"/>
      <c r="I1548" s="2591"/>
      <c r="J1548" s="2591"/>
      <c r="K1548" s="2591"/>
      <c r="L1548" s="2591"/>
      <c r="M1548" s="2591"/>
      <c r="N1548" s="2591"/>
      <c r="O1548" s="2591"/>
      <c r="P1548" s="2591"/>
      <c r="Q1548" s="2591"/>
      <c r="R1548" s="2591"/>
      <c r="S1548" s="2591"/>
    </row>
    <row r="1549" spans="1:19">
      <c r="A1549" s="2590"/>
      <c r="B1549" s="2591"/>
      <c r="C1549" s="2591"/>
      <c r="D1549" s="2591"/>
      <c r="E1549" s="2591"/>
      <c r="F1549" s="2591"/>
      <c r="G1549" s="2591"/>
      <c r="H1549" s="2591"/>
      <c r="I1549" s="2591"/>
      <c r="J1549" s="2591"/>
      <c r="K1549" s="2591"/>
      <c r="L1549" s="2591"/>
      <c r="M1549" s="2591"/>
      <c r="N1549" s="2591"/>
      <c r="O1549" s="2591"/>
      <c r="P1549" s="2591"/>
      <c r="Q1549" s="2591"/>
      <c r="R1549" s="2591"/>
      <c r="S1549" s="2591"/>
    </row>
    <row r="1550" spans="1:19">
      <c r="A1550" s="2590"/>
      <c r="B1550" s="2591"/>
      <c r="C1550" s="2591"/>
      <c r="D1550" s="2591"/>
      <c r="E1550" s="2591"/>
      <c r="F1550" s="2591"/>
      <c r="G1550" s="2591"/>
      <c r="H1550" s="2591"/>
      <c r="I1550" s="2591"/>
      <c r="J1550" s="2591"/>
      <c r="K1550" s="2591"/>
      <c r="L1550" s="2591"/>
      <c r="M1550" s="2591"/>
      <c r="N1550" s="2591"/>
      <c r="O1550" s="2591"/>
      <c r="P1550" s="2591"/>
      <c r="Q1550" s="2591"/>
      <c r="R1550" s="2591"/>
      <c r="S1550" s="2591"/>
    </row>
    <row r="1551" spans="1:19">
      <c r="A1551" s="2590"/>
      <c r="B1551" s="2591"/>
      <c r="C1551" s="2591"/>
      <c r="D1551" s="2591"/>
      <c r="E1551" s="2591"/>
      <c r="F1551" s="2591"/>
      <c r="G1551" s="2591"/>
      <c r="H1551" s="2591"/>
      <c r="I1551" s="2591"/>
      <c r="J1551" s="2591"/>
      <c r="K1551" s="2591"/>
      <c r="L1551" s="2591"/>
      <c r="M1551" s="2591"/>
      <c r="N1551" s="2591"/>
      <c r="O1551" s="2591"/>
      <c r="P1551" s="2591"/>
      <c r="Q1551" s="2591"/>
      <c r="R1551" s="2591"/>
      <c r="S1551" s="2591"/>
    </row>
    <row r="1552" spans="1:19">
      <c r="A1552" s="2590"/>
      <c r="B1552" s="2591"/>
      <c r="C1552" s="2591"/>
      <c r="D1552" s="2591"/>
      <c r="E1552" s="2591"/>
      <c r="F1552" s="2591"/>
      <c r="G1552" s="2591"/>
      <c r="H1552" s="2591"/>
      <c r="I1552" s="2591"/>
      <c r="J1552" s="2591"/>
      <c r="K1552" s="2591"/>
      <c r="L1552" s="2591"/>
      <c r="M1552" s="2591"/>
      <c r="N1552" s="2591"/>
      <c r="O1552" s="2591"/>
      <c r="P1552" s="2591"/>
      <c r="Q1552" s="2591"/>
      <c r="R1552" s="2591"/>
      <c r="S1552" s="2591"/>
    </row>
    <row r="1553" spans="1:19">
      <c r="A1553" s="2590"/>
      <c r="B1553" s="2591"/>
      <c r="C1553" s="2591"/>
      <c r="D1553" s="2591"/>
      <c r="E1553" s="2591"/>
      <c r="F1553" s="2591"/>
      <c r="G1553" s="2591"/>
      <c r="H1553" s="2591"/>
      <c r="I1553" s="2591"/>
      <c r="J1553" s="2591"/>
      <c r="K1553" s="2591"/>
      <c r="L1553" s="2591"/>
      <c r="M1553" s="2591"/>
      <c r="N1553" s="2591"/>
      <c r="O1553" s="2591"/>
      <c r="P1553" s="2591"/>
      <c r="Q1553" s="2591"/>
      <c r="R1553" s="2591"/>
      <c r="S1553" s="2591"/>
    </row>
    <row r="1554" spans="1:19">
      <c r="A1554" s="2590"/>
      <c r="B1554" s="2591"/>
      <c r="C1554" s="2591"/>
      <c r="D1554" s="2591"/>
      <c r="E1554" s="2591"/>
      <c r="F1554" s="2591"/>
      <c r="G1554" s="2591"/>
      <c r="H1554" s="2591"/>
      <c r="I1554" s="2591"/>
      <c r="J1554" s="2591"/>
      <c r="K1554" s="2591"/>
      <c r="L1554" s="2591"/>
      <c r="M1554" s="2591"/>
      <c r="N1554" s="2591"/>
      <c r="O1554" s="2591"/>
      <c r="P1554" s="2591"/>
      <c r="Q1554" s="2591"/>
      <c r="R1554" s="2591"/>
      <c r="S1554" s="2591"/>
    </row>
    <row r="1555" spans="1:19">
      <c r="A1555" s="2590"/>
      <c r="B1555" s="2591"/>
      <c r="C1555" s="2591"/>
      <c r="D1555" s="2591"/>
      <c r="E1555" s="2591"/>
      <c r="F1555" s="2591"/>
      <c r="G1555" s="2591"/>
      <c r="H1555" s="2591"/>
      <c r="I1555" s="2591"/>
      <c r="J1555" s="2591"/>
      <c r="K1555" s="2591"/>
      <c r="L1555" s="2591"/>
      <c r="M1555" s="2591"/>
      <c r="N1555" s="2591"/>
      <c r="O1555" s="2591"/>
      <c r="P1555" s="2591"/>
      <c r="Q1555" s="2591"/>
      <c r="R1555" s="2591"/>
      <c r="S1555" s="2591"/>
    </row>
    <row r="1556" spans="1:19">
      <c r="A1556" s="2590"/>
      <c r="B1556" s="2591"/>
      <c r="C1556" s="2591"/>
      <c r="D1556" s="2591"/>
      <c r="E1556" s="2591"/>
      <c r="F1556" s="2591"/>
      <c r="G1556" s="2591"/>
      <c r="H1556" s="2591"/>
      <c r="I1556" s="2591"/>
      <c r="J1556" s="2591"/>
      <c r="K1556" s="2591"/>
      <c r="L1556" s="2591"/>
      <c r="M1556" s="2591"/>
      <c r="N1556" s="2591"/>
      <c r="O1556" s="2591"/>
      <c r="P1556" s="2591"/>
      <c r="Q1556" s="2591"/>
      <c r="R1556" s="2591"/>
      <c r="S1556" s="2591"/>
    </row>
    <row r="1557" spans="1:19">
      <c r="A1557" s="2590"/>
      <c r="B1557" s="2591"/>
      <c r="C1557" s="2591"/>
      <c r="D1557" s="2591"/>
      <c r="E1557" s="2591"/>
      <c r="F1557" s="2591"/>
      <c r="G1557" s="2591"/>
      <c r="H1557" s="2591"/>
      <c r="I1557" s="2591"/>
      <c r="J1557" s="2591"/>
      <c r="K1557" s="2591"/>
      <c r="L1557" s="2591"/>
      <c r="M1557" s="2591"/>
      <c r="N1557" s="2591"/>
      <c r="O1557" s="2591"/>
      <c r="P1557" s="2591"/>
      <c r="Q1557" s="2591"/>
      <c r="R1557" s="2591"/>
      <c r="S1557" s="2591"/>
    </row>
    <row r="1558" spans="1:19">
      <c r="A1558" s="2590"/>
      <c r="B1558" s="2591"/>
      <c r="C1558" s="2591"/>
      <c r="D1558" s="2591"/>
      <c r="E1558" s="2591"/>
      <c r="F1558" s="2591"/>
      <c r="G1558" s="2591"/>
      <c r="H1558" s="2591"/>
      <c r="I1558" s="2591"/>
      <c r="J1558" s="2591"/>
      <c r="K1558" s="2591"/>
      <c r="L1558" s="2591"/>
      <c r="M1558" s="2591"/>
      <c r="N1558" s="2591"/>
      <c r="O1558" s="2591"/>
      <c r="P1558" s="2591"/>
      <c r="Q1558" s="2591"/>
      <c r="R1558" s="2591"/>
      <c r="S1558" s="2591"/>
    </row>
    <row r="1559" spans="1:19">
      <c r="A1559" s="2590"/>
      <c r="B1559" s="2591"/>
      <c r="C1559" s="2591"/>
      <c r="D1559" s="2591"/>
      <c r="E1559" s="2591"/>
      <c r="F1559" s="2591"/>
      <c r="G1559" s="2591"/>
      <c r="H1559" s="2591"/>
      <c r="I1559" s="2591"/>
      <c r="J1559" s="2591"/>
      <c r="K1559" s="2591"/>
      <c r="L1559" s="2591"/>
      <c r="M1559" s="2591"/>
      <c r="N1559" s="2591"/>
      <c r="O1559" s="2591"/>
      <c r="P1559" s="2591"/>
      <c r="Q1559" s="2591"/>
      <c r="R1559" s="2591"/>
      <c r="S1559" s="2591"/>
    </row>
    <row r="1560" spans="1:19">
      <c r="A1560" s="2590"/>
      <c r="B1560" s="2591"/>
      <c r="C1560" s="2591"/>
      <c r="D1560" s="2591"/>
      <c r="E1560" s="2591"/>
      <c r="F1560" s="2591"/>
      <c r="G1560" s="2591"/>
      <c r="H1560" s="2591"/>
      <c r="I1560" s="2591"/>
      <c r="J1560" s="2591"/>
      <c r="K1560" s="2591"/>
      <c r="L1560" s="2591"/>
      <c r="M1560" s="2591"/>
      <c r="N1560" s="2591"/>
      <c r="O1560" s="2591"/>
      <c r="P1560" s="2591"/>
      <c r="Q1560" s="2591"/>
      <c r="R1560" s="2591"/>
      <c r="S1560" s="2591"/>
    </row>
    <row r="1561" spans="1:19">
      <c r="A1561" s="2590"/>
      <c r="B1561" s="2591"/>
      <c r="C1561" s="2591"/>
      <c r="D1561" s="2591"/>
      <c r="E1561" s="2591"/>
      <c r="F1561" s="2591"/>
      <c r="G1561" s="2591"/>
      <c r="H1561" s="2591"/>
      <c r="I1561" s="2591"/>
      <c r="J1561" s="2591"/>
      <c r="K1561" s="2591"/>
      <c r="L1561" s="2591"/>
      <c r="M1561" s="2591"/>
      <c r="N1561" s="2591"/>
      <c r="O1561" s="2591"/>
      <c r="P1561" s="2591"/>
      <c r="Q1561" s="2591"/>
      <c r="R1561" s="2591"/>
      <c r="S1561" s="2591"/>
    </row>
    <row r="1562" spans="1:19">
      <c r="A1562" s="2590"/>
      <c r="B1562" s="2591"/>
      <c r="C1562" s="2591"/>
      <c r="D1562" s="2591"/>
      <c r="E1562" s="2591"/>
      <c r="F1562" s="2591"/>
      <c r="G1562" s="2591"/>
      <c r="H1562" s="2591"/>
      <c r="I1562" s="2591"/>
      <c r="J1562" s="2591"/>
      <c r="K1562" s="2591"/>
      <c r="L1562" s="2591"/>
      <c r="M1562" s="2591"/>
      <c r="N1562" s="2591"/>
      <c r="O1562" s="2591"/>
      <c r="P1562" s="2591"/>
      <c r="Q1562" s="2591"/>
      <c r="R1562" s="2591"/>
      <c r="S1562" s="2591"/>
    </row>
    <row r="1563" spans="1:19">
      <c r="A1563" s="2590"/>
      <c r="B1563" s="2591"/>
      <c r="C1563" s="2591"/>
      <c r="D1563" s="2591"/>
      <c r="E1563" s="2591"/>
      <c r="F1563" s="2591"/>
      <c r="G1563" s="2591"/>
      <c r="H1563" s="2591"/>
      <c r="I1563" s="2591"/>
      <c r="J1563" s="2591"/>
      <c r="K1563" s="2591"/>
      <c r="L1563" s="2591"/>
      <c r="M1563" s="2591"/>
      <c r="N1563" s="2591"/>
      <c r="O1563" s="2591"/>
      <c r="P1563" s="2591"/>
      <c r="Q1563" s="2591"/>
      <c r="R1563" s="2591"/>
      <c r="S1563" s="2591"/>
    </row>
    <row r="1564" spans="1:19">
      <c r="A1564" s="2590"/>
      <c r="B1564" s="2591"/>
      <c r="C1564" s="2591"/>
      <c r="D1564" s="2591"/>
      <c r="E1564" s="2591"/>
      <c r="F1564" s="2591"/>
      <c r="G1564" s="2591"/>
      <c r="H1564" s="2591"/>
      <c r="I1564" s="2591"/>
      <c r="J1564" s="2591"/>
      <c r="K1564" s="2591"/>
      <c r="L1564" s="2591"/>
      <c r="M1564" s="2591"/>
      <c r="N1564" s="2591"/>
      <c r="O1564" s="2591"/>
      <c r="P1564" s="2591"/>
      <c r="Q1564" s="2591"/>
      <c r="R1564" s="2591"/>
      <c r="S1564" s="2591"/>
    </row>
    <row r="1565" spans="1:19">
      <c r="A1565" s="2590"/>
      <c r="B1565" s="2591"/>
      <c r="C1565" s="2591"/>
      <c r="D1565" s="2591"/>
      <c r="E1565" s="2591"/>
      <c r="F1565" s="2591"/>
      <c r="G1565" s="2591"/>
      <c r="H1565" s="2591"/>
      <c r="I1565" s="2591"/>
      <c r="J1565" s="2591"/>
      <c r="K1565" s="2591"/>
      <c r="L1565" s="2591"/>
      <c r="M1565" s="2591"/>
      <c r="N1565" s="2591"/>
      <c r="O1565" s="2591"/>
      <c r="P1565" s="2591"/>
      <c r="Q1565" s="2591"/>
      <c r="R1565" s="2591"/>
      <c r="S1565" s="2591"/>
    </row>
    <row r="1566" spans="1:19">
      <c r="A1566" s="2590"/>
      <c r="B1566" s="2591"/>
      <c r="C1566" s="2591"/>
      <c r="D1566" s="2591"/>
      <c r="E1566" s="2591"/>
      <c r="F1566" s="2591"/>
      <c r="G1566" s="2591"/>
      <c r="H1566" s="2591"/>
      <c r="I1566" s="2591"/>
      <c r="J1566" s="2591"/>
      <c r="K1566" s="2591"/>
      <c r="L1566" s="2591"/>
      <c r="M1566" s="2591"/>
      <c r="N1566" s="2591"/>
      <c r="O1566" s="2591"/>
      <c r="P1566" s="2591"/>
      <c r="Q1566" s="2591"/>
      <c r="R1566" s="2591"/>
      <c r="S1566" s="2591"/>
    </row>
    <row r="1567" spans="1:19">
      <c r="A1567" s="2590"/>
      <c r="B1567" s="2591"/>
      <c r="C1567" s="2591"/>
      <c r="D1567" s="2591"/>
      <c r="E1567" s="2591"/>
      <c r="F1567" s="2591"/>
      <c r="G1567" s="2591"/>
      <c r="H1567" s="2591"/>
      <c r="I1567" s="2591"/>
      <c r="J1567" s="2591"/>
      <c r="K1567" s="2591"/>
      <c r="L1567" s="2591"/>
      <c r="M1567" s="2591"/>
      <c r="N1567" s="2591"/>
      <c r="O1567" s="2591"/>
      <c r="P1567" s="2591"/>
      <c r="Q1567" s="2591"/>
      <c r="R1567" s="2591"/>
      <c r="S1567" s="2591"/>
    </row>
    <row r="1568" spans="1:19">
      <c r="A1568" s="2590"/>
      <c r="B1568" s="2591"/>
      <c r="C1568" s="2591"/>
      <c r="D1568" s="2591"/>
      <c r="E1568" s="2591"/>
      <c r="F1568" s="2591"/>
      <c r="G1568" s="2591"/>
      <c r="H1568" s="2591"/>
      <c r="I1568" s="2591"/>
      <c r="J1568" s="2591"/>
      <c r="K1568" s="2591"/>
      <c r="L1568" s="2591"/>
      <c r="M1568" s="2591"/>
      <c r="N1568" s="2591"/>
      <c r="O1568" s="2591"/>
      <c r="P1568" s="2591"/>
      <c r="Q1568" s="2591"/>
      <c r="R1568" s="2591"/>
      <c r="S1568" s="2591"/>
    </row>
    <row r="1569" spans="1:19">
      <c r="A1569" s="2590"/>
      <c r="B1569" s="2591"/>
      <c r="C1569" s="2591"/>
      <c r="D1569" s="2591"/>
      <c r="E1569" s="2591"/>
      <c r="F1569" s="2591"/>
      <c r="G1569" s="2591"/>
      <c r="H1569" s="2591"/>
      <c r="I1569" s="2591"/>
      <c r="J1569" s="2591"/>
      <c r="K1569" s="2591"/>
      <c r="L1569" s="2591"/>
      <c r="M1569" s="2591"/>
      <c r="N1569" s="2591"/>
      <c r="O1569" s="2591"/>
      <c r="P1569" s="2591"/>
      <c r="Q1569" s="2591"/>
      <c r="R1569" s="2591"/>
      <c r="S1569" s="2591"/>
    </row>
    <row r="1570" spans="1:19">
      <c r="A1570" s="2590"/>
      <c r="B1570" s="2591"/>
      <c r="C1570" s="2591"/>
      <c r="D1570" s="2591"/>
      <c r="E1570" s="2591"/>
      <c r="F1570" s="2591"/>
      <c r="G1570" s="2591"/>
      <c r="H1570" s="2591"/>
      <c r="I1570" s="2591"/>
      <c r="J1570" s="2591"/>
      <c r="K1570" s="2591"/>
      <c r="L1570" s="2591"/>
      <c r="M1570" s="2591"/>
      <c r="N1570" s="2591"/>
      <c r="O1570" s="2591"/>
      <c r="P1570" s="2591"/>
      <c r="Q1570" s="2591"/>
      <c r="R1570" s="2591"/>
      <c r="S1570" s="2591"/>
    </row>
    <row r="1571" spans="1:19">
      <c r="A1571" s="2590"/>
      <c r="B1571" s="2591"/>
      <c r="C1571" s="2591"/>
      <c r="D1571" s="2591"/>
      <c r="E1571" s="2591"/>
      <c r="F1571" s="2591"/>
      <c r="G1571" s="2591"/>
      <c r="H1571" s="2591"/>
      <c r="I1571" s="2591"/>
      <c r="J1571" s="2591"/>
      <c r="K1571" s="2591"/>
      <c r="L1571" s="2591"/>
      <c r="M1571" s="2591"/>
      <c r="N1571" s="2591"/>
      <c r="O1571" s="2591"/>
      <c r="P1571" s="2591"/>
      <c r="Q1571" s="2591"/>
      <c r="R1571" s="2591"/>
      <c r="S1571" s="2591"/>
    </row>
    <row r="1572" spans="1:19">
      <c r="A1572" s="2590"/>
      <c r="B1572" s="2591"/>
      <c r="C1572" s="2591"/>
      <c r="D1572" s="2591"/>
      <c r="E1572" s="2591"/>
      <c r="F1572" s="2591"/>
      <c r="G1572" s="2591"/>
      <c r="H1572" s="2591"/>
      <c r="I1572" s="2591"/>
      <c r="J1572" s="2591"/>
      <c r="K1572" s="2591"/>
      <c r="L1572" s="2591"/>
      <c r="M1572" s="2591"/>
      <c r="N1572" s="2591"/>
      <c r="O1572" s="2591"/>
      <c r="P1572" s="2591"/>
      <c r="Q1572" s="2591"/>
      <c r="R1572" s="2591"/>
      <c r="S1572" s="2591"/>
    </row>
    <row r="1573" spans="1:19">
      <c r="A1573" s="2590"/>
      <c r="B1573" s="2591"/>
      <c r="C1573" s="2591"/>
      <c r="D1573" s="2591"/>
      <c r="E1573" s="2591"/>
      <c r="F1573" s="2591"/>
      <c r="G1573" s="2591"/>
      <c r="H1573" s="2591"/>
      <c r="I1573" s="2591"/>
      <c r="J1573" s="2591"/>
      <c r="K1573" s="2591"/>
      <c r="L1573" s="2591"/>
      <c r="M1573" s="2591"/>
      <c r="N1573" s="2591"/>
      <c r="O1573" s="2591"/>
      <c r="P1573" s="2591"/>
      <c r="Q1573" s="2591"/>
      <c r="R1573" s="2591"/>
      <c r="S1573" s="2591"/>
    </row>
    <row r="1574" spans="1:19">
      <c r="A1574" s="2590"/>
      <c r="B1574" s="2591"/>
      <c r="C1574" s="2591"/>
      <c r="D1574" s="2591"/>
      <c r="E1574" s="2591"/>
      <c r="F1574" s="2591"/>
      <c r="G1574" s="2591"/>
      <c r="H1574" s="2591"/>
      <c r="I1574" s="2591"/>
      <c r="J1574" s="2591"/>
      <c r="K1574" s="2591"/>
      <c r="L1574" s="2591"/>
      <c r="M1574" s="2591"/>
      <c r="N1574" s="2591"/>
      <c r="O1574" s="2591"/>
      <c r="P1574" s="2591"/>
      <c r="Q1574" s="2591"/>
      <c r="R1574" s="2591"/>
      <c r="S1574" s="2591"/>
    </row>
    <row r="1575" spans="1:19">
      <c r="A1575" s="2590"/>
      <c r="B1575" s="2591"/>
      <c r="C1575" s="2591"/>
      <c r="D1575" s="2591"/>
      <c r="E1575" s="2591"/>
      <c r="F1575" s="2591"/>
      <c r="G1575" s="2591"/>
      <c r="H1575" s="2591"/>
      <c r="I1575" s="2591"/>
      <c r="J1575" s="2591"/>
      <c r="K1575" s="2591"/>
      <c r="L1575" s="2591"/>
      <c r="M1575" s="2591"/>
      <c r="N1575" s="2591"/>
      <c r="O1575" s="2591"/>
      <c r="P1575" s="2591"/>
      <c r="Q1575" s="2591"/>
      <c r="R1575" s="2591"/>
      <c r="S1575" s="2591"/>
    </row>
    <row r="1576" spans="1:19">
      <c r="A1576" s="2590"/>
      <c r="B1576" s="2591"/>
      <c r="C1576" s="2591"/>
      <c r="D1576" s="2591"/>
      <c r="E1576" s="2591"/>
      <c r="F1576" s="2591"/>
      <c r="G1576" s="2591"/>
      <c r="H1576" s="2591"/>
      <c r="I1576" s="2591"/>
      <c r="J1576" s="2591"/>
      <c r="K1576" s="2591"/>
      <c r="L1576" s="2591"/>
      <c r="M1576" s="2591"/>
      <c r="N1576" s="2591"/>
      <c r="O1576" s="2591"/>
      <c r="P1576" s="2591"/>
      <c r="Q1576" s="2591"/>
      <c r="R1576" s="2591"/>
      <c r="S1576" s="2591"/>
    </row>
    <row r="1577" spans="1:19">
      <c r="A1577" s="2590"/>
      <c r="B1577" s="2591"/>
      <c r="C1577" s="2591"/>
      <c r="D1577" s="2591"/>
      <c r="E1577" s="2591"/>
      <c r="F1577" s="2591"/>
      <c r="G1577" s="2591"/>
      <c r="H1577" s="2591"/>
      <c r="I1577" s="2591"/>
      <c r="J1577" s="2591"/>
      <c r="K1577" s="2591"/>
      <c r="L1577" s="2591"/>
      <c r="M1577" s="2591"/>
      <c r="N1577" s="2591"/>
      <c r="O1577" s="2591"/>
      <c r="P1577" s="2591"/>
      <c r="Q1577" s="2591"/>
      <c r="R1577" s="2591"/>
      <c r="S1577" s="2591"/>
    </row>
    <row r="1578" spans="1:19">
      <c r="A1578" s="2590"/>
      <c r="B1578" s="2591"/>
      <c r="C1578" s="2591"/>
      <c r="D1578" s="2591"/>
      <c r="E1578" s="2591"/>
      <c r="F1578" s="2591"/>
      <c r="G1578" s="2591"/>
      <c r="H1578" s="2591"/>
      <c r="I1578" s="2591"/>
      <c r="J1578" s="2591"/>
      <c r="K1578" s="2591"/>
      <c r="L1578" s="2591"/>
      <c r="M1578" s="2591"/>
      <c r="N1578" s="2591"/>
      <c r="O1578" s="2591"/>
      <c r="P1578" s="2591"/>
      <c r="Q1578" s="2591"/>
      <c r="R1578" s="2591"/>
      <c r="S1578" s="2591"/>
    </row>
    <row r="1579" spans="1:19">
      <c r="A1579" s="2590"/>
      <c r="B1579" s="2591"/>
      <c r="C1579" s="2591"/>
      <c r="D1579" s="2591"/>
      <c r="E1579" s="2591"/>
      <c r="F1579" s="2591"/>
      <c r="G1579" s="2591"/>
      <c r="H1579" s="2591"/>
      <c r="I1579" s="2591"/>
      <c r="J1579" s="2591"/>
      <c r="K1579" s="2591"/>
      <c r="L1579" s="2591"/>
      <c r="M1579" s="2591"/>
      <c r="N1579" s="2591"/>
      <c r="O1579" s="2591"/>
      <c r="P1579" s="2591"/>
      <c r="Q1579" s="2591"/>
      <c r="R1579" s="2591"/>
      <c r="S1579" s="2591"/>
    </row>
    <row r="1580" spans="1:19">
      <c r="A1580" s="2590"/>
      <c r="B1580" s="2591"/>
      <c r="C1580" s="2591"/>
      <c r="D1580" s="2591"/>
      <c r="E1580" s="2591"/>
      <c r="F1580" s="2591"/>
      <c r="G1580" s="2591"/>
      <c r="H1580" s="2591"/>
      <c r="I1580" s="2591"/>
      <c r="J1580" s="2591"/>
      <c r="K1580" s="2591"/>
      <c r="L1580" s="2591"/>
      <c r="M1580" s="2591"/>
      <c r="N1580" s="2591"/>
      <c r="O1580" s="2591"/>
      <c r="P1580" s="2591"/>
      <c r="Q1580" s="2591"/>
      <c r="R1580" s="2591"/>
      <c r="S1580" s="2591"/>
    </row>
    <row r="1581" spans="1:19">
      <c r="A1581" s="2590"/>
      <c r="B1581" s="2591"/>
      <c r="C1581" s="2591"/>
      <c r="D1581" s="2591"/>
      <c r="E1581" s="2591"/>
      <c r="F1581" s="2591"/>
      <c r="G1581" s="2591"/>
      <c r="H1581" s="2591"/>
      <c r="I1581" s="2591"/>
      <c r="J1581" s="2591"/>
      <c r="K1581" s="2591"/>
      <c r="L1581" s="2591"/>
      <c r="M1581" s="2591"/>
      <c r="N1581" s="2591"/>
      <c r="O1581" s="2591"/>
      <c r="P1581" s="2591"/>
      <c r="Q1581" s="2591"/>
      <c r="R1581" s="2591"/>
      <c r="S1581" s="2591"/>
    </row>
    <row r="1582" spans="1:19">
      <c r="A1582" s="2590"/>
      <c r="B1582" s="2591"/>
      <c r="C1582" s="2591"/>
      <c r="D1582" s="2591"/>
      <c r="E1582" s="2591"/>
      <c r="F1582" s="2591"/>
      <c r="G1582" s="2591"/>
      <c r="H1582" s="2591"/>
      <c r="I1582" s="2591"/>
      <c r="J1582" s="2591"/>
      <c r="K1582" s="2591"/>
      <c r="L1582" s="2591"/>
      <c r="M1582" s="2591"/>
      <c r="N1582" s="2591"/>
      <c r="O1582" s="2591"/>
      <c r="P1582" s="2591"/>
      <c r="Q1582" s="2591"/>
      <c r="R1582" s="2591"/>
      <c r="S1582" s="2591"/>
    </row>
    <row r="1583" spans="1:19">
      <c r="A1583" s="2590"/>
      <c r="B1583" s="2591"/>
      <c r="C1583" s="2591"/>
      <c r="D1583" s="2591"/>
      <c r="E1583" s="2591"/>
      <c r="F1583" s="2591"/>
      <c r="G1583" s="2591"/>
      <c r="H1583" s="2591"/>
      <c r="I1583" s="2591"/>
      <c r="J1583" s="2591"/>
      <c r="K1583" s="2591"/>
      <c r="L1583" s="2591"/>
      <c r="M1583" s="2591"/>
      <c r="N1583" s="2591"/>
      <c r="O1583" s="2591"/>
      <c r="P1583" s="2591"/>
      <c r="Q1583" s="2591"/>
      <c r="R1583" s="2591"/>
      <c r="S1583" s="2591"/>
    </row>
    <row r="1584" spans="1:19">
      <c r="A1584" s="2590"/>
      <c r="B1584" s="2591"/>
      <c r="C1584" s="2591"/>
      <c r="D1584" s="2591"/>
      <c r="E1584" s="2591"/>
      <c r="F1584" s="2591"/>
      <c r="G1584" s="2591"/>
      <c r="H1584" s="2591"/>
      <c r="I1584" s="2591"/>
      <c r="J1584" s="2591"/>
      <c r="K1584" s="2591"/>
      <c r="L1584" s="2591"/>
      <c r="M1584" s="2591"/>
      <c r="N1584" s="2591"/>
      <c r="O1584" s="2591"/>
      <c r="P1584" s="2591"/>
      <c r="Q1584" s="2591"/>
      <c r="R1584" s="2591"/>
      <c r="S1584" s="2591"/>
    </row>
    <row r="1585" spans="1:19">
      <c r="A1585" s="2590"/>
      <c r="B1585" s="2591"/>
      <c r="C1585" s="2591"/>
      <c r="D1585" s="2591"/>
      <c r="E1585" s="2591"/>
      <c r="F1585" s="2591"/>
      <c r="G1585" s="2591"/>
      <c r="H1585" s="2591"/>
      <c r="I1585" s="2591"/>
      <c r="J1585" s="2591"/>
      <c r="K1585" s="2591"/>
      <c r="L1585" s="2591"/>
      <c r="M1585" s="2591"/>
      <c r="N1585" s="2591"/>
      <c r="O1585" s="2591"/>
      <c r="P1585" s="2591"/>
      <c r="Q1585" s="2591"/>
      <c r="R1585" s="2591"/>
      <c r="S1585" s="2591"/>
    </row>
    <row r="1586" spans="1:19">
      <c r="A1586" s="2590"/>
      <c r="B1586" s="2591"/>
      <c r="C1586" s="2591"/>
      <c r="D1586" s="2591"/>
      <c r="E1586" s="2591"/>
      <c r="F1586" s="2591"/>
      <c r="G1586" s="2591"/>
      <c r="H1586" s="2591"/>
      <c r="I1586" s="2591"/>
      <c r="J1586" s="2591"/>
      <c r="K1586" s="2591"/>
      <c r="L1586" s="2591"/>
      <c r="M1586" s="2591"/>
      <c r="N1586" s="2591"/>
      <c r="O1586" s="2591"/>
      <c r="P1586" s="2591"/>
      <c r="Q1586" s="2591"/>
      <c r="R1586" s="2591"/>
      <c r="S1586" s="2591"/>
    </row>
    <row r="1587" spans="1:19">
      <c r="A1587" s="2590"/>
      <c r="B1587" s="2591"/>
      <c r="C1587" s="2591"/>
      <c r="D1587" s="2591"/>
      <c r="E1587" s="2591"/>
      <c r="F1587" s="2591"/>
      <c r="G1587" s="2591"/>
      <c r="H1587" s="2591"/>
      <c r="I1587" s="2591"/>
      <c r="J1587" s="2591"/>
      <c r="K1587" s="2591"/>
      <c r="L1587" s="2591"/>
      <c r="M1587" s="2591"/>
      <c r="N1587" s="2591"/>
      <c r="O1587" s="2591"/>
      <c r="P1587" s="2591"/>
      <c r="Q1587" s="2591"/>
      <c r="R1587" s="2591"/>
      <c r="S1587" s="2591"/>
    </row>
    <row r="1588" spans="1:19">
      <c r="A1588" s="2590"/>
      <c r="B1588" s="2591"/>
      <c r="C1588" s="2591"/>
      <c r="D1588" s="2591"/>
      <c r="E1588" s="2591"/>
      <c r="F1588" s="2591"/>
      <c r="G1588" s="2591"/>
      <c r="H1588" s="2591"/>
      <c r="I1588" s="2591"/>
      <c r="J1588" s="2591"/>
      <c r="K1588" s="2591"/>
      <c r="L1588" s="2591"/>
      <c r="M1588" s="2591"/>
      <c r="N1588" s="2591"/>
      <c r="O1588" s="2591"/>
      <c r="P1588" s="2591"/>
      <c r="Q1588" s="2591"/>
      <c r="R1588" s="2591"/>
      <c r="S1588" s="2591"/>
    </row>
    <row r="1589" spans="1:19">
      <c r="A1589" s="2590"/>
      <c r="B1589" s="2591"/>
      <c r="C1589" s="2591"/>
      <c r="D1589" s="2591"/>
      <c r="E1589" s="2591"/>
      <c r="F1589" s="2591"/>
      <c r="G1589" s="2591"/>
      <c r="H1589" s="2591"/>
      <c r="I1589" s="2591"/>
      <c r="J1589" s="2591"/>
      <c r="K1589" s="2591"/>
      <c r="L1589" s="2591"/>
      <c r="M1589" s="2591"/>
      <c r="N1589" s="2591"/>
      <c r="O1589" s="2591"/>
      <c r="P1589" s="2591"/>
      <c r="Q1589" s="2591"/>
      <c r="R1589" s="2591"/>
      <c r="S1589" s="2591"/>
    </row>
    <row r="1590" spans="1:19">
      <c r="A1590" s="2590"/>
      <c r="B1590" s="2591"/>
      <c r="C1590" s="2591"/>
      <c r="D1590" s="2591"/>
      <c r="E1590" s="2591"/>
      <c r="F1590" s="2591"/>
      <c r="G1590" s="2591"/>
      <c r="H1590" s="2591"/>
      <c r="I1590" s="2591"/>
      <c r="J1590" s="2591"/>
      <c r="K1590" s="2591"/>
      <c r="L1590" s="2591"/>
      <c r="M1590" s="2591"/>
      <c r="N1590" s="2591"/>
      <c r="O1590" s="2591"/>
      <c r="P1590" s="2591"/>
      <c r="Q1590" s="2591"/>
      <c r="R1590" s="2591"/>
      <c r="S1590" s="2591"/>
    </row>
    <row r="1591" spans="1:19">
      <c r="A1591" s="2590"/>
      <c r="B1591" s="2591"/>
      <c r="C1591" s="2591"/>
      <c r="D1591" s="2591"/>
      <c r="E1591" s="2591"/>
      <c r="F1591" s="2591"/>
      <c r="G1591" s="2591"/>
      <c r="H1591" s="2591"/>
      <c r="I1591" s="2591"/>
      <c r="J1591" s="2591"/>
      <c r="K1591" s="2591"/>
      <c r="L1591" s="2591"/>
      <c r="M1591" s="2591"/>
      <c r="N1591" s="2591"/>
      <c r="O1591" s="2591"/>
      <c r="P1591" s="2591"/>
      <c r="Q1591" s="2591"/>
      <c r="R1591" s="2591"/>
      <c r="S1591" s="2591"/>
    </row>
    <row r="1592" spans="1:19">
      <c r="A1592" s="2590"/>
      <c r="B1592" s="2591"/>
      <c r="C1592" s="2591"/>
      <c r="D1592" s="2591"/>
      <c r="E1592" s="2591"/>
      <c r="F1592" s="2591"/>
      <c r="G1592" s="2591"/>
      <c r="H1592" s="2591"/>
      <c r="I1592" s="2591"/>
      <c r="J1592" s="2591"/>
      <c r="K1592" s="2591"/>
      <c r="L1592" s="2591"/>
      <c r="M1592" s="2591"/>
      <c r="N1592" s="2591"/>
      <c r="O1592" s="2591"/>
      <c r="P1592" s="2591"/>
      <c r="Q1592" s="2591"/>
      <c r="R1592" s="2591"/>
      <c r="S1592" s="2591"/>
    </row>
    <row r="1593" spans="1:19">
      <c r="A1593" s="2590"/>
      <c r="B1593" s="2591"/>
      <c r="C1593" s="2591"/>
      <c r="D1593" s="2591"/>
      <c r="E1593" s="2591"/>
      <c r="F1593" s="2591"/>
      <c r="G1593" s="2591"/>
      <c r="H1593" s="2591"/>
      <c r="I1593" s="2591"/>
      <c r="J1593" s="2591"/>
      <c r="K1593" s="2591"/>
      <c r="L1593" s="2591"/>
      <c r="M1593" s="2591"/>
      <c r="N1593" s="2591"/>
      <c r="O1593" s="2591"/>
      <c r="P1593" s="2591"/>
      <c r="Q1593" s="2591"/>
      <c r="R1593" s="2591"/>
      <c r="S1593" s="2591"/>
    </row>
    <row r="1594" spans="1:19">
      <c r="A1594" s="2590"/>
      <c r="B1594" s="2591"/>
      <c r="C1594" s="2591"/>
      <c r="D1594" s="2591"/>
      <c r="E1594" s="2591"/>
      <c r="F1594" s="2591"/>
      <c r="G1594" s="2591"/>
      <c r="H1594" s="2591"/>
      <c r="I1594" s="2591"/>
      <c r="J1594" s="2591"/>
      <c r="K1594" s="2591"/>
      <c r="L1594" s="2591"/>
      <c r="M1594" s="2591"/>
      <c r="N1594" s="2591"/>
      <c r="O1594" s="2591"/>
      <c r="P1594" s="2591"/>
      <c r="Q1594" s="2591"/>
      <c r="R1594" s="2591"/>
      <c r="S1594" s="2591"/>
    </row>
    <row r="1595" spans="1:19">
      <c r="A1595" s="2590"/>
      <c r="B1595" s="2591"/>
      <c r="C1595" s="2591"/>
      <c r="D1595" s="2591"/>
      <c r="E1595" s="2591"/>
      <c r="F1595" s="2591"/>
      <c r="G1595" s="2591"/>
      <c r="H1595" s="2591"/>
      <c r="I1595" s="2591"/>
      <c r="J1595" s="2591"/>
      <c r="K1595" s="2591"/>
      <c r="L1595" s="2591"/>
      <c r="M1595" s="2591"/>
      <c r="N1595" s="2591"/>
      <c r="O1595" s="2591"/>
      <c r="P1595" s="2591"/>
      <c r="Q1595" s="2591"/>
      <c r="R1595" s="2591"/>
      <c r="S1595" s="2591"/>
    </row>
    <row r="1596" spans="1:19">
      <c r="A1596" s="2590"/>
      <c r="B1596" s="2591"/>
      <c r="C1596" s="2591"/>
      <c r="D1596" s="2591"/>
      <c r="E1596" s="2591"/>
      <c r="F1596" s="2591"/>
      <c r="G1596" s="2591"/>
      <c r="H1596" s="2591"/>
      <c r="I1596" s="2591"/>
      <c r="J1596" s="2591"/>
      <c r="K1596" s="2591"/>
      <c r="L1596" s="2591"/>
      <c r="M1596" s="2591"/>
      <c r="N1596" s="2591"/>
      <c r="O1596" s="2591"/>
      <c r="P1596" s="2591"/>
      <c r="Q1596" s="2591"/>
      <c r="R1596" s="2591"/>
      <c r="S1596" s="2591"/>
    </row>
    <row r="1597" spans="1:19">
      <c r="A1597" s="2590"/>
      <c r="B1597" s="2591"/>
      <c r="C1597" s="2591"/>
      <c r="D1597" s="2591"/>
      <c r="E1597" s="2591"/>
      <c r="F1597" s="2591"/>
      <c r="G1597" s="2591"/>
      <c r="H1597" s="2591"/>
      <c r="I1597" s="2591"/>
      <c r="J1597" s="2591"/>
      <c r="K1597" s="2591"/>
      <c r="L1597" s="2591"/>
      <c r="M1597" s="2591"/>
      <c r="N1597" s="2591"/>
      <c r="O1597" s="2591"/>
      <c r="P1597" s="2591"/>
      <c r="Q1597" s="2591"/>
      <c r="R1597" s="2591"/>
      <c r="S1597" s="2591"/>
    </row>
    <row r="1598" spans="1:19">
      <c r="A1598" s="2590"/>
      <c r="B1598" s="2591"/>
      <c r="C1598" s="2591"/>
      <c r="D1598" s="2591"/>
      <c r="E1598" s="2591"/>
      <c r="F1598" s="2591"/>
      <c r="G1598" s="2591"/>
      <c r="H1598" s="2591"/>
      <c r="I1598" s="2591"/>
      <c r="J1598" s="2591"/>
      <c r="K1598" s="2591"/>
      <c r="L1598" s="2591"/>
      <c r="M1598" s="2591"/>
      <c r="N1598" s="2591"/>
      <c r="O1598" s="2591"/>
      <c r="P1598" s="2591"/>
      <c r="Q1598" s="2591"/>
      <c r="R1598" s="2591"/>
      <c r="S1598" s="2591"/>
    </row>
    <row r="1599" spans="1:19">
      <c r="A1599" s="2590"/>
      <c r="B1599" s="2591"/>
      <c r="C1599" s="2591"/>
      <c r="D1599" s="2591"/>
      <c r="E1599" s="2591"/>
      <c r="F1599" s="2591"/>
      <c r="G1599" s="2591"/>
      <c r="H1599" s="2591"/>
      <c r="I1599" s="2591"/>
      <c r="J1599" s="2591"/>
      <c r="K1599" s="2591"/>
      <c r="L1599" s="2591"/>
      <c r="M1599" s="2591"/>
      <c r="N1599" s="2591"/>
      <c r="O1599" s="2591"/>
      <c r="P1599" s="2591"/>
      <c r="Q1599" s="2591"/>
      <c r="R1599" s="2591"/>
      <c r="S1599" s="2591"/>
    </row>
    <row r="1600" spans="1:19">
      <c r="A1600" s="2590"/>
      <c r="B1600" s="2591"/>
      <c r="C1600" s="2591"/>
      <c r="D1600" s="2591"/>
      <c r="E1600" s="2591"/>
      <c r="F1600" s="2591"/>
      <c r="G1600" s="2591"/>
      <c r="H1600" s="2591"/>
      <c r="I1600" s="2591"/>
      <c r="J1600" s="2591"/>
      <c r="K1600" s="2591"/>
      <c r="L1600" s="2591"/>
      <c r="M1600" s="2591"/>
      <c r="N1600" s="2591"/>
      <c r="O1600" s="2591"/>
      <c r="P1600" s="2591"/>
      <c r="Q1600" s="2591"/>
      <c r="R1600" s="2591"/>
      <c r="S1600" s="2591"/>
    </row>
    <row r="1601" spans="1:19">
      <c r="A1601" s="2590"/>
      <c r="B1601" s="2591"/>
      <c r="C1601" s="2591"/>
      <c r="D1601" s="2591"/>
      <c r="E1601" s="2591"/>
      <c r="F1601" s="2591"/>
      <c r="G1601" s="2591"/>
      <c r="H1601" s="2591"/>
      <c r="I1601" s="2591"/>
      <c r="J1601" s="2591"/>
      <c r="K1601" s="2591"/>
      <c r="L1601" s="2591"/>
      <c r="M1601" s="2591"/>
      <c r="N1601" s="2591"/>
      <c r="O1601" s="2591"/>
      <c r="P1601" s="2591"/>
      <c r="Q1601" s="2591"/>
      <c r="R1601" s="2591"/>
      <c r="S1601" s="2591"/>
    </row>
    <row r="1602" spans="1:19">
      <c r="A1602" s="2590"/>
      <c r="B1602" s="2591"/>
      <c r="C1602" s="2591"/>
      <c r="D1602" s="2591"/>
      <c r="E1602" s="2591"/>
      <c r="F1602" s="2591"/>
      <c r="G1602" s="2591"/>
      <c r="H1602" s="2591"/>
      <c r="I1602" s="2591"/>
      <c r="J1602" s="2591"/>
      <c r="K1602" s="2591"/>
      <c r="L1602" s="2591"/>
      <c r="M1602" s="2591"/>
      <c r="N1602" s="2591"/>
      <c r="O1602" s="2591"/>
      <c r="P1602" s="2591"/>
      <c r="Q1602" s="2591"/>
      <c r="R1602" s="2591"/>
      <c r="S1602" s="2591"/>
    </row>
    <row r="1603" spans="1:19">
      <c r="A1603" s="2590"/>
      <c r="B1603" s="2591"/>
      <c r="C1603" s="2591"/>
      <c r="D1603" s="2591"/>
      <c r="E1603" s="2591"/>
      <c r="F1603" s="2591"/>
      <c r="G1603" s="2591"/>
      <c r="H1603" s="2591"/>
      <c r="I1603" s="2591"/>
      <c r="J1603" s="2591"/>
      <c r="K1603" s="2591"/>
      <c r="L1603" s="2591"/>
      <c r="M1603" s="2591"/>
      <c r="N1603" s="2591"/>
      <c r="O1603" s="2591"/>
      <c r="P1603" s="2591"/>
      <c r="Q1603" s="2591"/>
      <c r="R1603" s="2591"/>
      <c r="S1603" s="2591"/>
    </row>
    <row r="1604" spans="1:19">
      <c r="A1604" s="2590"/>
      <c r="B1604" s="2591"/>
      <c r="C1604" s="2591"/>
      <c r="D1604" s="2591"/>
      <c r="E1604" s="2591"/>
      <c r="F1604" s="2591"/>
      <c r="G1604" s="2591"/>
      <c r="H1604" s="2591"/>
      <c r="I1604" s="2591"/>
      <c r="J1604" s="2591"/>
      <c r="K1604" s="2591"/>
      <c r="L1604" s="2591"/>
      <c r="M1604" s="2591"/>
      <c r="N1604" s="2591"/>
      <c r="O1604" s="2591"/>
      <c r="P1604" s="2591"/>
      <c r="Q1604" s="2591"/>
      <c r="R1604" s="2591"/>
      <c r="S1604" s="2591"/>
    </row>
    <row r="1605" spans="1:19">
      <c r="A1605" s="2590"/>
      <c r="B1605" s="2591"/>
      <c r="C1605" s="2591"/>
      <c r="D1605" s="2591"/>
      <c r="E1605" s="2591"/>
      <c r="F1605" s="2591"/>
      <c r="G1605" s="2591"/>
      <c r="H1605" s="2591"/>
      <c r="I1605" s="2591"/>
      <c r="J1605" s="2591"/>
      <c r="K1605" s="2591"/>
      <c r="L1605" s="2591"/>
      <c r="M1605" s="2591"/>
      <c r="N1605" s="2591"/>
      <c r="O1605" s="2591"/>
      <c r="P1605" s="2591"/>
      <c r="Q1605" s="2591"/>
      <c r="R1605" s="2591"/>
      <c r="S1605" s="2591"/>
    </row>
    <row r="1606" spans="1:19">
      <c r="A1606" s="2590"/>
      <c r="B1606" s="2591"/>
      <c r="C1606" s="2591"/>
      <c r="D1606" s="2591"/>
      <c r="E1606" s="2591"/>
      <c r="F1606" s="2591"/>
      <c r="G1606" s="2591"/>
      <c r="H1606" s="2591"/>
      <c r="I1606" s="2591"/>
      <c r="J1606" s="2591"/>
      <c r="K1606" s="2591"/>
      <c r="L1606" s="2591"/>
      <c r="M1606" s="2591"/>
      <c r="N1606" s="2591"/>
      <c r="O1606" s="2591"/>
      <c r="P1606" s="2591"/>
      <c r="Q1606" s="2591"/>
      <c r="R1606" s="2591"/>
      <c r="S1606" s="2591"/>
    </row>
    <row r="1607" spans="1:19">
      <c r="A1607" s="2590"/>
      <c r="B1607" s="2591"/>
      <c r="C1607" s="2591"/>
      <c r="D1607" s="2591"/>
      <c r="E1607" s="2591"/>
      <c r="F1607" s="2591"/>
      <c r="G1607" s="2591"/>
      <c r="H1607" s="2591"/>
      <c r="I1607" s="2591"/>
      <c r="J1607" s="2591"/>
      <c r="K1607" s="2591"/>
      <c r="L1607" s="2591"/>
      <c r="M1607" s="2591"/>
      <c r="N1607" s="2591"/>
      <c r="O1607" s="2591"/>
      <c r="P1607" s="2591"/>
      <c r="Q1607" s="2591"/>
      <c r="R1607" s="2591"/>
      <c r="S1607" s="2591"/>
    </row>
    <row r="1608" spans="1:19">
      <c r="A1608" s="2590"/>
      <c r="B1608" s="2591"/>
      <c r="C1608" s="2591"/>
      <c r="D1608" s="2591"/>
      <c r="E1608" s="2591"/>
      <c r="F1608" s="2591"/>
      <c r="G1608" s="2591"/>
      <c r="H1608" s="2591"/>
      <c r="I1608" s="2591"/>
      <c r="J1608" s="2591"/>
      <c r="K1608" s="2591"/>
      <c r="L1608" s="2591"/>
      <c r="M1608" s="2591"/>
      <c r="N1608" s="2591"/>
      <c r="O1608" s="2591"/>
      <c r="P1608" s="2591"/>
      <c r="Q1608" s="2591"/>
      <c r="R1608" s="2591"/>
      <c r="S1608" s="2591"/>
    </row>
    <row r="1609" spans="1:19">
      <c r="A1609" s="2590"/>
      <c r="B1609" s="2591"/>
      <c r="C1609" s="2591"/>
      <c r="D1609" s="2591"/>
      <c r="E1609" s="2591"/>
      <c r="F1609" s="2591"/>
      <c r="G1609" s="2591"/>
      <c r="H1609" s="2591"/>
      <c r="I1609" s="2591"/>
      <c r="J1609" s="2591"/>
      <c r="K1609" s="2591"/>
      <c r="L1609" s="2591"/>
      <c r="M1609" s="2591"/>
      <c r="N1609" s="2591"/>
      <c r="O1609" s="2591"/>
      <c r="P1609" s="2591"/>
      <c r="Q1609" s="2591"/>
      <c r="R1609" s="2591"/>
      <c r="S1609" s="2591"/>
    </row>
    <row r="1610" spans="1:19">
      <c r="A1610" s="2590"/>
      <c r="B1610" s="2591"/>
      <c r="C1610" s="2591"/>
      <c r="D1610" s="2591"/>
      <c r="E1610" s="2591"/>
      <c r="F1610" s="2591"/>
      <c r="G1610" s="2591"/>
      <c r="H1610" s="2591"/>
      <c r="I1610" s="2591"/>
      <c r="J1610" s="2591"/>
      <c r="K1610" s="2591"/>
      <c r="L1610" s="2591"/>
      <c r="M1610" s="2591"/>
      <c r="N1610" s="2591"/>
      <c r="O1610" s="2591"/>
      <c r="P1610" s="2591"/>
      <c r="Q1610" s="2591"/>
      <c r="R1610" s="2591"/>
      <c r="S1610" s="2591"/>
    </row>
    <row r="1611" spans="1:19">
      <c r="A1611" s="2590"/>
      <c r="B1611" s="2591"/>
      <c r="C1611" s="2591"/>
      <c r="D1611" s="2591"/>
      <c r="E1611" s="2591"/>
      <c r="F1611" s="2591"/>
      <c r="G1611" s="2591"/>
      <c r="H1611" s="2591"/>
      <c r="I1611" s="2591"/>
      <c r="J1611" s="2591"/>
      <c r="K1611" s="2591"/>
      <c r="L1611" s="2591"/>
      <c r="M1611" s="2591"/>
      <c r="N1611" s="2591"/>
      <c r="O1611" s="2591"/>
      <c r="P1611" s="2591"/>
      <c r="Q1611" s="2591"/>
      <c r="R1611" s="2591"/>
      <c r="S1611" s="2591"/>
    </row>
    <row r="1612" spans="1:19">
      <c r="A1612" s="2590"/>
      <c r="B1612" s="2591"/>
      <c r="C1612" s="2591"/>
      <c r="D1612" s="2591"/>
      <c r="E1612" s="2591"/>
      <c r="F1612" s="2591"/>
      <c r="G1612" s="2591"/>
      <c r="H1612" s="2591"/>
      <c r="I1612" s="2591"/>
      <c r="J1612" s="2591"/>
      <c r="K1612" s="2591"/>
      <c r="L1612" s="2591"/>
      <c r="M1612" s="2591"/>
      <c r="N1612" s="2591"/>
      <c r="O1612" s="2591"/>
      <c r="P1612" s="2591"/>
      <c r="Q1612" s="2591"/>
      <c r="R1612" s="2591"/>
      <c r="S1612" s="2591"/>
    </row>
    <row r="1613" spans="1:19">
      <c r="A1613" s="2590"/>
      <c r="B1613" s="2591"/>
      <c r="C1613" s="2591"/>
      <c r="D1613" s="2591"/>
      <c r="E1613" s="2591"/>
      <c r="F1613" s="2591"/>
      <c r="G1613" s="2591"/>
      <c r="H1613" s="2591"/>
      <c r="I1613" s="2591"/>
      <c r="J1613" s="2591"/>
      <c r="K1613" s="2591"/>
      <c r="L1613" s="2591"/>
      <c r="M1613" s="2591"/>
      <c r="N1613" s="2591"/>
      <c r="O1613" s="2591"/>
      <c r="P1613" s="2591"/>
      <c r="Q1613" s="2591"/>
      <c r="R1613" s="2591"/>
      <c r="S1613" s="2591"/>
    </row>
    <row r="1614" spans="1:19">
      <c r="A1614" s="2590"/>
      <c r="B1614" s="2591"/>
      <c r="C1614" s="2591"/>
      <c r="D1614" s="2591"/>
      <c r="E1614" s="2591"/>
      <c r="F1614" s="2591"/>
      <c r="G1614" s="2591"/>
      <c r="H1614" s="2591"/>
      <c r="I1614" s="2591"/>
      <c r="J1614" s="2591"/>
      <c r="K1614" s="2591"/>
      <c r="L1614" s="2591"/>
      <c r="M1614" s="2591"/>
      <c r="N1614" s="2591"/>
      <c r="O1614" s="2591"/>
      <c r="P1614" s="2591"/>
      <c r="Q1614" s="2591"/>
      <c r="R1614" s="2591"/>
      <c r="S1614" s="2591"/>
    </row>
    <row r="1615" spans="1:19">
      <c r="A1615" s="2590"/>
      <c r="B1615" s="2591"/>
      <c r="C1615" s="2591"/>
      <c r="D1615" s="2591"/>
      <c r="E1615" s="2591"/>
      <c r="F1615" s="2591"/>
      <c r="G1615" s="2591"/>
      <c r="H1615" s="2591"/>
      <c r="I1615" s="2591"/>
      <c r="J1615" s="2591"/>
      <c r="K1615" s="2591"/>
      <c r="L1615" s="2591"/>
      <c r="M1615" s="2591"/>
      <c r="N1615" s="2591"/>
      <c r="O1615" s="2591"/>
      <c r="P1615" s="2591"/>
      <c r="Q1615" s="2591"/>
      <c r="R1615" s="2591"/>
      <c r="S1615" s="2591"/>
    </row>
    <row r="1616" spans="1:19">
      <c r="A1616" s="2590"/>
      <c r="B1616" s="2591"/>
      <c r="C1616" s="2591"/>
      <c r="D1616" s="2591"/>
      <c r="E1616" s="2591"/>
      <c r="F1616" s="2591"/>
      <c r="G1616" s="2591"/>
      <c r="H1616" s="2591"/>
      <c r="I1616" s="2591"/>
      <c r="J1616" s="2591"/>
      <c r="K1616" s="2591"/>
      <c r="L1616" s="2591"/>
      <c r="M1616" s="2591"/>
      <c r="N1616" s="2591"/>
      <c r="O1616" s="2591"/>
      <c r="P1616" s="2591"/>
      <c r="Q1616" s="2591"/>
      <c r="R1616" s="2591"/>
      <c r="S1616" s="2591"/>
    </row>
    <row r="1617" spans="1:19">
      <c r="A1617" s="2590"/>
      <c r="B1617" s="2591"/>
      <c r="C1617" s="2591"/>
      <c r="D1617" s="2591"/>
      <c r="E1617" s="2591"/>
      <c r="F1617" s="2591"/>
      <c r="G1617" s="2591"/>
      <c r="H1617" s="2591"/>
      <c r="I1617" s="2591"/>
      <c r="J1617" s="2591"/>
      <c r="K1617" s="2591"/>
      <c r="L1617" s="2591"/>
      <c r="M1617" s="2591"/>
      <c r="N1617" s="2591"/>
      <c r="O1617" s="2591"/>
      <c r="P1617" s="2591"/>
      <c r="Q1617" s="2591"/>
      <c r="R1617" s="2591"/>
      <c r="S1617" s="2591"/>
    </row>
    <row r="1618" spans="1:19">
      <c r="A1618" s="2590"/>
      <c r="B1618" s="2591"/>
      <c r="C1618" s="2591"/>
      <c r="D1618" s="2591"/>
      <c r="E1618" s="2591"/>
      <c r="F1618" s="2591"/>
      <c r="G1618" s="2591"/>
      <c r="H1618" s="2591"/>
      <c r="I1618" s="2591"/>
      <c r="J1618" s="2591"/>
      <c r="K1618" s="2591"/>
      <c r="L1618" s="2591"/>
      <c r="M1618" s="2591"/>
      <c r="N1618" s="2591"/>
      <c r="O1618" s="2591"/>
      <c r="P1618" s="2591"/>
      <c r="Q1618" s="2591"/>
      <c r="R1618" s="2591"/>
      <c r="S1618" s="2591"/>
    </row>
    <row r="1619" spans="1:19">
      <c r="A1619" s="2590"/>
      <c r="B1619" s="2591"/>
      <c r="C1619" s="2591"/>
      <c r="D1619" s="2591"/>
      <c r="E1619" s="2591"/>
      <c r="F1619" s="2591"/>
      <c r="G1619" s="2591"/>
      <c r="H1619" s="2591"/>
      <c r="I1619" s="2591"/>
      <c r="J1619" s="2591"/>
      <c r="K1619" s="2591"/>
      <c r="L1619" s="2591"/>
      <c r="M1619" s="2591"/>
      <c r="N1619" s="2591"/>
      <c r="O1619" s="2591"/>
      <c r="P1619" s="2591"/>
      <c r="Q1619" s="2591"/>
      <c r="R1619" s="2591"/>
      <c r="S1619" s="2591"/>
    </row>
    <row r="1620" spans="1:19">
      <c r="A1620" s="2590"/>
      <c r="B1620" s="2591"/>
      <c r="C1620" s="2591"/>
      <c r="D1620" s="2591"/>
      <c r="E1620" s="2591"/>
      <c r="F1620" s="2591"/>
      <c r="G1620" s="2591"/>
      <c r="H1620" s="2591"/>
      <c r="I1620" s="2591"/>
      <c r="J1620" s="2591"/>
      <c r="K1620" s="2591"/>
      <c r="L1620" s="2591"/>
      <c r="M1620" s="2591"/>
      <c r="N1620" s="2591"/>
      <c r="O1620" s="2591"/>
      <c r="P1620" s="2591"/>
      <c r="Q1620" s="2591"/>
      <c r="R1620" s="2591"/>
      <c r="S1620" s="2591"/>
    </row>
    <row r="1621" spans="1:19">
      <c r="A1621" s="2590"/>
      <c r="B1621" s="2591"/>
      <c r="C1621" s="2591"/>
      <c r="D1621" s="2591"/>
      <c r="E1621" s="2591"/>
      <c r="F1621" s="2591"/>
      <c r="G1621" s="2591"/>
      <c r="H1621" s="2591"/>
      <c r="I1621" s="2591"/>
      <c r="J1621" s="2591"/>
      <c r="K1621" s="2591"/>
      <c r="L1621" s="2591"/>
      <c r="M1621" s="2591"/>
      <c r="N1621" s="2591"/>
      <c r="O1621" s="2591"/>
      <c r="P1621" s="2591"/>
      <c r="Q1621" s="2591"/>
      <c r="R1621" s="2591"/>
      <c r="S1621" s="2591"/>
    </row>
    <row r="1622" spans="1:19">
      <c r="A1622" s="2590"/>
      <c r="B1622" s="2591"/>
      <c r="C1622" s="2591"/>
      <c r="D1622" s="2591"/>
      <c r="E1622" s="2591"/>
      <c r="F1622" s="2591"/>
      <c r="G1622" s="2591"/>
      <c r="H1622" s="2591"/>
      <c r="I1622" s="2591"/>
      <c r="J1622" s="2591"/>
      <c r="K1622" s="2591"/>
      <c r="L1622" s="2591"/>
      <c r="M1622" s="2591"/>
      <c r="N1622" s="2591"/>
      <c r="O1622" s="2591"/>
      <c r="P1622" s="2591"/>
      <c r="Q1622" s="2591"/>
      <c r="R1622" s="2591"/>
      <c r="S1622" s="2591"/>
    </row>
    <row r="1623" spans="1:19">
      <c r="A1623" s="2590"/>
      <c r="B1623" s="2591"/>
      <c r="C1623" s="2591"/>
      <c r="D1623" s="2591"/>
      <c r="E1623" s="2591"/>
      <c r="F1623" s="2591"/>
      <c r="G1623" s="2591"/>
      <c r="H1623" s="2591"/>
      <c r="I1623" s="2591"/>
      <c r="J1623" s="2591"/>
      <c r="K1623" s="2591"/>
      <c r="L1623" s="2591"/>
      <c r="M1623" s="2591"/>
      <c r="N1623" s="2591"/>
      <c r="O1623" s="2591"/>
      <c r="P1623" s="2591"/>
      <c r="Q1623" s="2591"/>
      <c r="R1623" s="2591"/>
      <c r="S1623" s="2591"/>
    </row>
    <row r="1624" spans="1:19">
      <c r="A1624" s="2590"/>
      <c r="B1624" s="2591"/>
      <c r="C1624" s="2591"/>
      <c r="D1624" s="2591"/>
      <c r="E1624" s="2591"/>
      <c r="F1624" s="2591"/>
      <c r="G1624" s="2591"/>
      <c r="H1624" s="2591"/>
      <c r="I1624" s="2591"/>
      <c r="J1624" s="2591"/>
      <c r="K1624" s="2591"/>
      <c r="L1624" s="2591"/>
      <c r="M1624" s="2591"/>
      <c r="N1624" s="2591"/>
      <c r="O1624" s="2591"/>
      <c r="P1624" s="2591"/>
      <c r="Q1624" s="2591"/>
      <c r="R1624" s="2591"/>
      <c r="S1624" s="2591"/>
    </row>
    <row r="1625" spans="1:19">
      <c r="A1625" s="2590"/>
      <c r="B1625" s="2591"/>
      <c r="C1625" s="2591"/>
      <c r="D1625" s="2591"/>
      <c r="E1625" s="2591"/>
      <c r="F1625" s="2591"/>
      <c r="G1625" s="2591"/>
      <c r="H1625" s="2591"/>
      <c r="I1625" s="2591"/>
      <c r="J1625" s="2591"/>
      <c r="K1625" s="2591"/>
      <c r="L1625" s="2591"/>
      <c r="M1625" s="2591"/>
      <c r="N1625" s="2591"/>
      <c r="O1625" s="2591"/>
      <c r="P1625" s="2591"/>
      <c r="Q1625" s="2591"/>
      <c r="R1625" s="2591"/>
      <c r="S1625" s="2591"/>
    </row>
    <row r="1626" spans="1:19">
      <c r="A1626" s="2590"/>
      <c r="B1626" s="2591"/>
      <c r="C1626" s="2591"/>
      <c r="D1626" s="2591"/>
      <c r="E1626" s="2591"/>
      <c r="F1626" s="2591"/>
      <c r="G1626" s="2591"/>
      <c r="H1626" s="2591"/>
      <c r="I1626" s="2591"/>
      <c r="J1626" s="2591"/>
      <c r="K1626" s="2591"/>
      <c r="L1626" s="2591"/>
      <c r="M1626" s="2591"/>
      <c r="N1626" s="2591"/>
      <c r="O1626" s="2591"/>
      <c r="P1626" s="2591"/>
      <c r="Q1626" s="2591"/>
      <c r="R1626" s="2591"/>
      <c r="S1626" s="2591"/>
    </row>
    <row r="1627" spans="1:19">
      <c r="A1627" s="2590"/>
      <c r="B1627" s="2591"/>
      <c r="C1627" s="2591"/>
      <c r="D1627" s="2591"/>
      <c r="E1627" s="2591"/>
      <c r="F1627" s="2591"/>
      <c r="G1627" s="2591"/>
      <c r="H1627" s="2591"/>
      <c r="I1627" s="2591"/>
      <c r="J1627" s="2591"/>
      <c r="K1627" s="2591"/>
      <c r="L1627" s="2591"/>
      <c r="M1627" s="2591"/>
      <c r="N1627" s="2591"/>
      <c r="O1627" s="2591"/>
      <c r="P1627" s="2591"/>
      <c r="Q1627" s="2591"/>
      <c r="R1627" s="2591"/>
      <c r="S1627" s="2591"/>
    </row>
    <row r="1628" spans="1:19">
      <c r="A1628" s="2590"/>
      <c r="B1628" s="2591"/>
      <c r="C1628" s="2591"/>
      <c r="D1628" s="2591"/>
      <c r="E1628" s="2591"/>
      <c r="F1628" s="2591"/>
      <c r="G1628" s="2591"/>
      <c r="H1628" s="2591"/>
      <c r="I1628" s="2591"/>
      <c r="J1628" s="2591"/>
      <c r="K1628" s="2591"/>
      <c r="L1628" s="2591"/>
      <c r="M1628" s="2591"/>
      <c r="N1628" s="2591"/>
      <c r="O1628" s="2591"/>
      <c r="P1628" s="2591"/>
      <c r="Q1628" s="2591"/>
      <c r="R1628" s="2591"/>
      <c r="S1628" s="2591"/>
    </row>
    <row r="1629" spans="1:19">
      <c r="A1629" s="2590"/>
      <c r="B1629" s="2591"/>
      <c r="C1629" s="2591"/>
      <c r="D1629" s="2591"/>
      <c r="E1629" s="2591"/>
      <c r="F1629" s="2591"/>
      <c r="G1629" s="2591"/>
      <c r="H1629" s="2591"/>
      <c r="I1629" s="2591"/>
      <c r="J1629" s="2591"/>
      <c r="K1629" s="2591"/>
      <c r="L1629" s="2591"/>
      <c r="M1629" s="2591"/>
      <c r="N1629" s="2591"/>
      <c r="O1629" s="2591"/>
      <c r="P1629" s="2591"/>
      <c r="Q1629" s="2591"/>
      <c r="R1629" s="2591"/>
      <c r="S1629" s="2591"/>
    </row>
    <row r="1630" spans="1:19">
      <c r="A1630" s="2590"/>
      <c r="B1630" s="2591"/>
      <c r="C1630" s="2591"/>
      <c r="D1630" s="2591"/>
      <c r="E1630" s="2591"/>
      <c r="F1630" s="2591"/>
      <c r="G1630" s="2591"/>
      <c r="H1630" s="2591"/>
      <c r="I1630" s="2591"/>
      <c r="J1630" s="2591"/>
      <c r="K1630" s="2591"/>
      <c r="L1630" s="2591"/>
      <c r="M1630" s="2591"/>
      <c r="N1630" s="2591"/>
      <c r="O1630" s="2591"/>
      <c r="P1630" s="2591"/>
      <c r="Q1630" s="2591"/>
      <c r="R1630" s="2591"/>
      <c r="S1630" s="2591"/>
    </row>
    <row r="1631" spans="1:19">
      <c r="A1631" s="2590"/>
      <c r="B1631" s="2591"/>
      <c r="C1631" s="2591"/>
      <c r="D1631" s="2591"/>
      <c r="E1631" s="2591"/>
      <c r="F1631" s="2591"/>
      <c r="G1631" s="2591"/>
      <c r="H1631" s="2591"/>
      <c r="I1631" s="2591"/>
      <c r="J1631" s="2591"/>
      <c r="K1631" s="2591"/>
      <c r="L1631" s="2591"/>
      <c r="M1631" s="2591"/>
      <c r="N1631" s="2591"/>
      <c r="O1631" s="2591"/>
      <c r="P1631" s="2591"/>
      <c r="Q1631" s="2591"/>
      <c r="R1631" s="2591"/>
      <c r="S1631" s="2591"/>
    </row>
    <row r="1632" spans="1:19">
      <c r="A1632" s="2590"/>
      <c r="B1632" s="2591"/>
      <c r="C1632" s="2591"/>
      <c r="D1632" s="2591"/>
      <c r="E1632" s="2591"/>
      <c r="F1632" s="2591"/>
      <c r="G1632" s="2591"/>
      <c r="H1632" s="2591"/>
      <c r="I1632" s="2591"/>
      <c r="J1632" s="2591"/>
      <c r="K1632" s="2591"/>
      <c r="L1632" s="2591"/>
      <c r="M1632" s="2591"/>
      <c r="N1632" s="2591"/>
      <c r="O1632" s="2591"/>
      <c r="P1632" s="2591"/>
      <c r="Q1632" s="2591"/>
      <c r="R1632" s="2591"/>
      <c r="S1632" s="2591"/>
    </row>
    <row r="1633" spans="1:19">
      <c r="A1633" s="2590"/>
      <c r="B1633" s="2591"/>
      <c r="C1633" s="2591"/>
      <c r="D1633" s="2591"/>
      <c r="E1633" s="2591"/>
      <c r="F1633" s="2591"/>
      <c r="G1633" s="2591"/>
      <c r="H1633" s="2591"/>
      <c r="I1633" s="2591"/>
      <c r="J1633" s="2591"/>
      <c r="K1633" s="2591"/>
      <c r="L1633" s="2591"/>
      <c r="M1633" s="2591"/>
      <c r="N1633" s="2591"/>
      <c r="O1633" s="2591"/>
      <c r="P1633" s="2591"/>
      <c r="Q1633" s="2591"/>
      <c r="R1633" s="2591"/>
      <c r="S1633" s="2591"/>
    </row>
    <row r="1634" spans="1:19">
      <c r="A1634" s="2590"/>
      <c r="B1634" s="2591"/>
      <c r="C1634" s="2591"/>
      <c r="D1634" s="2591"/>
      <c r="E1634" s="2591"/>
      <c r="F1634" s="2591"/>
      <c r="G1634" s="2591"/>
      <c r="H1634" s="2591"/>
      <c r="I1634" s="2591"/>
      <c r="J1634" s="2591"/>
      <c r="K1634" s="2591"/>
      <c r="L1634" s="2591"/>
      <c r="M1634" s="2591"/>
      <c r="N1634" s="2591"/>
      <c r="O1634" s="2591"/>
      <c r="P1634" s="2591"/>
      <c r="Q1634" s="2591"/>
      <c r="R1634" s="2591"/>
      <c r="S1634" s="2591"/>
    </row>
    <row r="1635" spans="1:19">
      <c r="A1635" s="2590"/>
      <c r="B1635" s="2591"/>
      <c r="C1635" s="2591"/>
      <c r="D1635" s="2591"/>
      <c r="E1635" s="2591"/>
      <c r="F1635" s="2591"/>
      <c r="G1635" s="2591"/>
      <c r="H1635" s="2591"/>
      <c r="I1635" s="2591"/>
      <c r="J1635" s="2591"/>
      <c r="K1635" s="2591"/>
      <c r="L1635" s="2591"/>
      <c r="M1635" s="2591"/>
      <c r="N1635" s="2591"/>
      <c r="O1635" s="2591"/>
      <c r="P1635" s="2591"/>
      <c r="Q1635" s="2591"/>
      <c r="R1635" s="2591"/>
      <c r="S1635" s="2591"/>
    </row>
    <row r="1636" spans="1:19">
      <c r="A1636" s="2590"/>
      <c r="B1636" s="2591"/>
      <c r="C1636" s="2591"/>
      <c r="D1636" s="2591"/>
      <c r="E1636" s="2591"/>
      <c r="F1636" s="2591"/>
      <c r="G1636" s="2591"/>
      <c r="H1636" s="2591"/>
      <c r="I1636" s="2591"/>
      <c r="J1636" s="2591"/>
      <c r="K1636" s="2591"/>
      <c r="L1636" s="2591"/>
      <c r="M1636" s="2591"/>
      <c r="N1636" s="2591"/>
      <c r="O1636" s="2591"/>
      <c r="P1636" s="2591"/>
      <c r="Q1636" s="2591"/>
      <c r="R1636" s="2591"/>
      <c r="S1636" s="2591"/>
    </row>
    <row r="1637" spans="1:19">
      <c r="A1637" s="2590"/>
      <c r="B1637" s="2591"/>
      <c r="C1637" s="2591"/>
      <c r="D1637" s="2591"/>
      <c r="E1637" s="2591"/>
      <c r="F1637" s="2591"/>
      <c r="G1637" s="2591"/>
      <c r="H1637" s="2591"/>
      <c r="I1637" s="2591"/>
      <c r="J1637" s="2591"/>
      <c r="K1637" s="2591"/>
      <c r="L1637" s="2591"/>
      <c r="M1637" s="2591"/>
      <c r="N1637" s="2591"/>
      <c r="O1637" s="2591"/>
      <c r="P1637" s="2591"/>
      <c r="Q1637" s="2591"/>
      <c r="R1637" s="2591"/>
      <c r="S1637" s="2591"/>
    </row>
    <row r="1638" spans="1:19">
      <c r="A1638" s="2590"/>
      <c r="B1638" s="2591"/>
      <c r="C1638" s="2591"/>
      <c r="D1638" s="2591"/>
      <c r="E1638" s="2591"/>
      <c r="F1638" s="2591"/>
      <c r="G1638" s="2591"/>
      <c r="H1638" s="2591"/>
      <c r="I1638" s="2591"/>
      <c r="J1638" s="2591"/>
      <c r="K1638" s="2591"/>
      <c r="L1638" s="2591"/>
      <c r="M1638" s="2591"/>
      <c r="N1638" s="2591"/>
      <c r="O1638" s="2591"/>
      <c r="P1638" s="2591"/>
      <c r="Q1638" s="2591"/>
      <c r="R1638" s="2591"/>
      <c r="S1638" s="2591"/>
    </row>
    <row r="1639" spans="1:19">
      <c r="A1639" s="2590"/>
      <c r="B1639" s="2591"/>
      <c r="C1639" s="2591"/>
      <c r="D1639" s="2591"/>
      <c r="E1639" s="2591"/>
      <c r="F1639" s="2591"/>
      <c r="G1639" s="2591"/>
      <c r="H1639" s="2591"/>
      <c r="I1639" s="2591"/>
      <c r="J1639" s="2591"/>
      <c r="K1639" s="2591"/>
      <c r="L1639" s="2591"/>
      <c r="M1639" s="2591"/>
      <c r="N1639" s="2591"/>
      <c r="O1639" s="2591"/>
      <c r="P1639" s="2591"/>
      <c r="Q1639" s="2591"/>
      <c r="R1639" s="2591"/>
      <c r="S1639" s="2591"/>
    </row>
    <row r="1640" spans="1:19">
      <c r="A1640" s="2590"/>
      <c r="B1640" s="2591"/>
      <c r="C1640" s="2591"/>
      <c r="D1640" s="2591"/>
      <c r="E1640" s="2591"/>
      <c r="F1640" s="2591"/>
      <c r="G1640" s="2591"/>
      <c r="H1640" s="2591"/>
      <c r="I1640" s="2591"/>
      <c r="J1640" s="2591"/>
      <c r="K1640" s="2591"/>
      <c r="L1640" s="2591"/>
      <c r="M1640" s="2591"/>
      <c r="N1640" s="2591"/>
      <c r="O1640" s="2591"/>
      <c r="P1640" s="2591"/>
      <c r="Q1640" s="2591"/>
      <c r="R1640" s="2591"/>
      <c r="S1640" s="2591"/>
    </row>
    <row r="1641" spans="1:19">
      <c r="A1641" s="2590"/>
      <c r="B1641" s="2591"/>
      <c r="C1641" s="2591"/>
      <c r="D1641" s="2591"/>
      <c r="E1641" s="2591"/>
      <c r="F1641" s="2591"/>
      <c r="G1641" s="2591"/>
      <c r="H1641" s="2591"/>
      <c r="I1641" s="2591"/>
      <c r="J1641" s="2591"/>
      <c r="K1641" s="2591"/>
      <c r="L1641" s="2591"/>
      <c r="M1641" s="2591"/>
      <c r="N1641" s="2591"/>
      <c r="O1641" s="2591"/>
      <c r="P1641" s="2591"/>
      <c r="Q1641" s="2591"/>
      <c r="R1641" s="2591"/>
      <c r="S1641" s="2591"/>
    </row>
    <row r="1642" spans="1:19">
      <c r="A1642" s="2590"/>
      <c r="B1642" s="2591"/>
      <c r="C1642" s="2591"/>
      <c r="D1642" s="2591"/>
      <c r="E1642" s="2591"/>
      <c r="F1642" s="2591"/>
      <c r="G1642" s="2591"/>
      <c r="H1642" s="2591"/>
      <c r="I1642" s="2591"/>
      <c r="J1642" s="2591"/>
      <c r="K1642" s="2591"/>
      <c r="L1642" s="2591"/>
      <c r="M1642" s="2591"/>
      <c r="N1642" s="2591"/>
      <c r="O1642" s="2591"/>
      <c r="P1642" s="2591"/>
      <c r="Q1642" s="2591"/>
      <c r="R1642" s="2591"/>
      <c r="S1642" s="2591"/>
    </row>
    <row r="1643" spans="1:19">
      <c r="A1643" s="2590"/>
      <c r="B1643" s="2591"/>
      <c r="C1643" s="2591"/>
      <c r="D1643" s="2591"/>
      <c r="E1643" s="2591"/>
      <c r="F1643" s="2591"/>
      <c r="G1643" s="2591"/>
      <c r="H1643" s="2591"/>
      <c r="I1643" s="2591"/>
      <c r="J1643" s="2591"/>
      <c r="K1643" s="2591"/>
      <c r="L1643" s="2591"/>
      <c r="M1643" s="2591"/>
      <c r="N1643" s="2591"/>
      <c r="O1643" s="2591"/>
      <c r="P1643" s="2591"/>
      <c r="Q1643" s="2591"/>
      <c r="R1643" s="2591"/>
      <c r="S1643" s="2591"/>
    </row>
    <row r="1644" spans="1:19">
      <c r="A1644" s="2590"/>
      <c r="B1644" s="2591"/>
      <c r="C1644" s="2591"/>
      <c r="D1644" s="2591"/>
      <c r="E1644" s="2591"/>
      <c r="F1644" s="2591"/>
      <c r="G1644" s="2591"/>
      <c r="H1644" s="2591"/>
      <c r="I1644" s="2591"/>
      <c r="J1644" s="2591"/>
      <c r="K1644" s="2591"/>
      <c r="L1644" s="2591"/>
      <c r="M1644" s="2591"/>
      <c r="N1644" s="2591"/>
      <c r="O1644" s="2591"/>
      <c r="P1644" s="2591"/>
      <c r="Q1644" s="2591"/>
      <c r="R1644" s="2591"/>
      <c r="S1644" s="2591"/>
    </row>
    <row r="1645" spans="1:19">
      <c r="A1645" s="2590"/>
      <c r="B1645" s="2591"/>
      <c r="C1645" s="2591"/>
      <c r="D1645" s="2591"/>
      <c r="E1645" s="2591"/>
      <c r="F1645" s="2591"/>
      <c r="G1645" s="2591"/>
      <c r="H1645" s="2591"/>
      <c r="I1645" s="2591"/>
      <c r="J1645" s="2591"/>
      <c r="K1645" s="2591"/>
      <c r="L1645" s="2591"/>
      <c r="M1645" s="2591"/>
      <c r="N1645" s="2591"/>
      <c r="O1645" s="2591"/>
      <c r="P1645" s="2591"/>
      <c r="Q1645" s="2591"/>
      <c r="R1645" s="2591"/>
      <c r="S1645" s="2591"/>
    </row>
    <row r="1646" spans="1:19">
      <c r="A1646" s="2590"/>
      <c r="B1646" s="2591"/>
      <c r="C1646" s="2591"/>
      <c r="D1646" s="2591"/>
      <c r="E1646" s="2591"/>
      <c r="F1646" s="2591"/>
      <c r="G1646" s="2591"/>
      <c r="H1646" s="2591"/>
      <c r="I1646" s="2591"/>
      <c r="J1646" s="2591"/>
      <c r="K1646" s="2591"/>
      <c r="L1646" s="2591"/>
      <c r="M1646" s="2591"/>
      <c r="N1646" s="2591"/>
      <c r="O1646" s="2591"/>
      <c r="P1646" s="2591"/>
      <c r="Q1646" s="2591"/>
      <c r="R1646" s="2591"/>
      <c r="S1646" s="2591"/>
    </row>
    <row r="1647" spans="1:19">
      <c r="A1647" s="2590"/>
      <c r="B1647" s="2591"/>
      <c r="C1647" s="2591"/>
      <c r="D1647" s="2591"/>
      <c r="E1647" s="2591"/>
      <c r="F1647" s="2591"/>
      <c r="G1647" s="2591"/>
      <c r="H1647" s="2591"/>
      <c r="I1647" s="2591"/>
      <c r="J1647" s="2591"/>
      <c r="K1647" s="2591"/>
      <c r="L1647" s="2591"/>
      <c r="M1647" s="2591"/>
      <c r="N1647" s="2591"/>
      <c r="O1647" s="2591"/>
      <c r="P1647" s="2591"/>
      <c r="Q1647" s="2591"/>
      <c r="R1647" s="2591"/>
      <c r="S1647" s="2591"/>
    </row>
    <row r="1648" spans="1:19">
      <c r="A1648" s="2590"/>
      <c r="B1648" s="2591"/>
      <c r="C1648" s="2591"/>
      <c r="D1648" s="2591"/>
      <c r="E1648" s="2591"/>
      <c r="F1648" s="2591"/>
      <c r="G1648" s="2591"/>
      <c r="H1648" s="2591"/>
      <c r="I1648" s="2591"/>
      <c r="J1648" s="2591"/>
      <c r="K1648" s="2591"/>
      <c r="L1648" s="2591"/>
      <c r="M1648" s="2591"/>
      <c r="N1648" s="2591"/>
      <c r="O1648" s="2591"/>
      <c r="P1648" s="2591"/>
      <c r="Q1648" s="2591"/>
      <c r="R1648" s="2591"/>
      <c r="S1648" s="2591"/>
    </row>
    <row r="1649" spans="1:19">
      <c r="A1649" s="2590"/>
      <c r="B1649" s="2591"/>
      <c r="C1649" s="2591"/>
      <c r="D1649" s="2591"/>
      <c r="E1649" s="2591"/>
      <c r="F1649" s="2591"/>
      <c r="G1649" s="2591"/>
      <c r="H1649" s="2591"/>
      <c r="I1649" s="2591"/>
      <c r="J1649" s="2591"/>
      <c r="K1649" s="2591"/>
      <c r="L1649" s="2591"/>
      <c r="M1649" s="2591"/>
      <c r="N1649" s="2591"/>
      <c r="O1649" s="2591"/>
      <c r="P1649" s="2591"/>
      <c r="Q1649" s="2591"/>
      <c r="R1649" s="2591"/>
      <c r="S1649" s="2591"/>
    </row>
    <row r="1650" spans="1:19">
      <c r="A1650" s="2590"/>
      <c r="B1650" s="2591"/>
      <c r="C1650" s="2591"/>
      <c r="D1650" s="2591"/>
      <c r="E1650" s="2591"/>
      <c r="F1650" s="2591"/>
      <c r="G1650" s="2591"/>
      <c r="H1650" s="2591"/>
      <c r="I1650" s="2591"/>
      <c r="J1650" s="2591"/>
      <c r="K1650" s="2591"/>
      <c r="L1650" s="2591"/>
      <c r="M1650" s="2591"/>
      <c r="N1650" s="2591"/>
      <c r="O1650" s="2591"/>
      <c r="P1650" s="2591"/>
      <c r="Q1650" s="2591"/>
      <c r="R1650" s="2591"/>
      <c r="S1650" s="2591"/>
    </row>
    <row r="1651" spans="1:19">
      <c r="A1651" s="2590"/>
      <c r="B1651" s="2591"/>
      <c r="C1651" s="2591"/>
      <c r="D1651" s="2591"/>
      <c r="E1651" s="2591"/>
      <c r="F1651" s="2591"/>
      <c r="G1651" s="2591"/>
      <c r="H1651" s="2591"/>
      <c r="I1651" s="2591"/>
      <c r="J1651" s="2591"/>
      <c r="K1651" s="2591"/>
      <c r="L1651" s="2591"/>
      <c r="M1651" s="2591"/>
      <c r="N1651" s="2591"/>
      <c r="O1651" s="2591"/>
      <c r="P1651" s="2591"/>
      <c r="Q1651" s="2591"/>
      <c r="R1651" s="2591"/>
      <c r="S1651" s="2591"/>
    </row>
    <row r="1652" spans="1:19">
      <c r="A1652" s="2590"/>
      <c r="B1652" s="2591"/>
      <c r="C1652" s="2591"/>
      <c r="D1652" s="2591"/>
      <c r="E1652" s="2591"/>
      <c r="F1652" s="2591"/>
      <c r="G1652" s="2591"/>
      <c r="H1652" s="2591"/>
      <c r="I1652" s="2591"/>
      <c r="J1652" s="2591"/>
      <c r="K1652" s="2591"/>
      <c r="L1652" s="2591"/>
      <c r="M1652" s="2591"/>
      <c r="N1652" s="2591"/>
      <c r="O1652" s="2591"/>
      <c r="P1652" s="2591"/>
      <c r="Q1652" s="2591"/>
      <c r="R1652" s="2591"/>
      <c r="S1652" s="2591"/>
    </row>
    <row r="1653" spans="1:19">
      <c r="A1653" s="2590"/>
      <c r="B1653" s="2591"/>
      <c r="C1653" s="2591"/>
      <c r="D1653" s="2591"/>
      <c r="E1653" s="2591"/>
      <c r="F1653" s="2591"/>
      <c r="G1653" s="2591"/>
      <c r="H1653" s="2591"/>
      <c r="I1653" s="2591"/>
      <c r="J1653" s="2591"/>
      <c r="K1653" s="2591"/>
      <c r="L1653" s="2591"/>
      <c r="M1653" s="2591"/>
      <c r="N1653" s="2591"/>
      <c r="O1653" s="2591"/>
      <c r="P1653" s="2591"/>
      <c r="Q1653" s="2591"/>
      <c r="R1653" s="2591"/>
      <c r="S1653" s="2591"/>
    </row>
    <row r="1654" spans="1:19">
      <c r="A1654" s="2590"/>
      <c r="B1654" s="2591"/>
      <c r="C1654" s="2591"/>
      <c r="D1654" s="2591"/>
      <c r="E1654" s="2591"/>
      <c r="F1654" s="2591"/>
      <c r="G1654" s="2591"/>
      <c r="H1654" s="2591"/>
      <c r="I1654" s="2591"/>
      <c r="J1654" s="2591"/>
      <c r="K1654" s="2591"/>
      <c r="L1654" s="2591"/>
      <c r="M1654" s="2591"/>
      <c r="N1654" s="2591"/>
      <c r="O1654" s="2591"/>
      <c r="P1654" s="2591"/>
      <c r="Q1654" s="2591"/>
      <c r="R1654" s="2591"/>
      <c r="S1654" s="2591"/>
    </row>
    <row r="1655" spans="1:19">
      <c r="A1655" s="2590"/>
      <c r="B1655" s="2591"/>
      <c r="C1655" s="2591"/>
      <c r="D1655" s="2591"/>
      <c r="E1655" s="2591"/>
      <c r="F1655" s="2591"/>
      <c r="G1655" s="2591"/>
      <c r="H1655" s="2591"/>
      <c r="I1655" s="2591"/>
      <c r="J1655" s="2591"/>
      <c r="K1655" s="2591"/>
      <c r="L1655" s="2591"/>
      <c r="M1655" s="2591"/>
      <c r="N1655" s="2591"/>
      <c r="O1655" s="2591"/>
      <c r="P1655" s="2591"/>
      <c r="Q1655" s="2591"/>
      <c r="R1655" s="2591"/>
      <c r="S1655" s="2591"/>
    </row>
    <row r="1656" spans="1:19">
      <c r="A1656" s="2590"/>
      <c r="B1656" s="2591"/>
      <c r="C1656" s="2591"/>
      <c r="D1656" s="2591"/>
      <c r="E1656" s="2591"/>
      <c r="F1656" s="2591"/>
      <c r="G1656" s="2591"/>
      <c r="H1656" s="2591"/>
      <c r="I1656" s="2591"/>
      <c r="J1656" s="2591"/>
      <c r="K1656" s="2591"/>
      <c r="L1656" s="2591"/>
      <c r="M1656" s="2591"/>
      <c r="N1656" s="2591"/>
      <c r="O1656" s="2591"/>
      <c r="P1656" s="2591"/>
      <c r="Q1656" s="2591"/>
      <c r="R1656" s="2591"/>
      <c r="S1656" s="2591"/>
    </row>
    <row r="1657" spans="1:19">
      <c r="A1657" s="2590"/>
      <c r="B1657" s="2591"/>
      <c r="C1657" s="2591"/>
      <c r="D1657" s="2591"/>
      <c r="E1657" s="2591"/>
      <c r="F1657" s="2591"/>
      <c r="G1657" s="2591"/>
      <c r="H1657" s="2591"/>
      <c r="I1657" s="2591"/>
      <c r="J1657" s="2591"/>
      <c r="K1657" s="2591"/>
      <c r="L1657" s="2591"/>
      <c r="M1657" s="2591"/>
      <c r="N1657" s="2591"/>
      <c r="O1657" s="2591"/>
      <c r="P1657" s="2591"/>
      <c r="Q1657" s="2591"/>
      <c r="R1657" s="2591"/>
      <c r="S1657" s="2591"/>
    </row>
    <row r="1658" spans="1:19">
      <c r="A1658" s="2590"/>
      <c r="B1658" s="2591"/>
      <c r="C1658" s="2591"/>
      <c r="D1658" s="2591"/>
      <c r="E1658" s="2591"/>
      <c r="F1658" s="2591"/>
      <c r="G1658" s="2591"/>
      <c r="H1658" s="2591"/>
      <c r="I1658" s="2591"/>
      <c r="J1658" s="2591"/>
      <c r="K1658" s="2591"/>
      <c r="L1658" s="2591"/>
      <c r="M1658" s="2591"/>
      <c r="N1658" s="2591"/>
      <c r="O1658" s="2591"/>
      <c r="P1658" s="2591"/>
      <c r="Q1658" s="2591"/>
      <c r="R1658" s="2591"/>
      <c r="S1658" s="2591"/>
    </row>
    <row r="1659" spans="1:19">
      <c r="A1659" s="2590"/>
      <c r="B1659" s="2591"/>
      <c r="C1659" s="2591"/>
      <c r="D1659" s="2591"/>
      <c r="E1659" s="2591"/>
      <c r="F1659" s="2591"/>
      <c r="G1659" s="2591"/>
      <c r="H1659" s="2591"/>
      <c r="I1659" s="2591"/>
      <c r="J1659" s="2591"/>
      <c r="K1659" s="2591"/>
      <c r="L1659" s="2591"/>
      <c r="M1659" s="2591"/>
      <c r="N1659" s="2591"/>
      <c r="O1659" s="2591"/>
      <c r="P1659" s="2591"/>
      <c r="Q1659" s="2591"/>
      <c r="R1659" s="2591"/>
      <c r="S1659" s="2591"/>
    </row>
    <row r="1660" spans="1:19">
      <c r="A1660" s="2590"/>
      <c r="B1660" s="2591"/>
      <c r="C1660" s="2591"/>
      <c r="D1660" s="2591"/>
      <c r="E1660" s="2591"/>
      <c r="F1660" s="2591"/>
      <c r="G1660" s="2591"/>
      <c r="H1660" s="2591"/>
      <c r="I1660" s="2591"/>
      <c r="J1660" s="2591"/>
      <c r="K1660" s="2591"/>
      <c r="L1660" s="2591"/>
      <c r="M1660" s="2591"/>
      <c r="N1660" s="2591"/>
      <c r="O1660" s="2591"/>
      <c r="P1660" s="2591"/>
      <c r="Q1660" s="2591"/>
      <c r="R1660" s="2591"/>
      <c r="S1660" s="2591"/>
    </row>
    <row r="1661" spans="1:19">
      <c r="A1661" s="2590"/>
      <c r="B1661" s="2591"/>
      <c r="C1661" s="2591"/>
      <c r="D1661" s="2591"/>
      <c r="E1661" s="2591"/>
      <c r="F1661" s="2591"/>
      <c r="G1661" s="2591"/>
      <c r="H1661" s="2591"/>
      <c r="I1661" s="2591"/>
      <c r="J1661" s="2591"/>
      <c r="K1661" s="2591"/>
      <c r="L1661" s="2591"/>
      <c r="M1661" s="2591"/>
      <c r="N1661" s="2591"/>
      <c r="O1661" s="2591"/>
      <c r="P1661" s="2591"/>
      <c r="Q1661" s="2591"/>
      <c r="R1661" s="2591"/>
      <c r="S1661" s="2591"/>
    </row>
    <row r="1662" spans="1:19">
      <c r="A1662" s="2590"/>
      <c r="B1662" s="2591"/>
      <c r="C1662" s="2591"/>
      <c r="D1662" s="2591"/>
      <c r="E1662" s="2591"/>
      <c r="F1662" s="2591"/>
      <c r="G1662" s="2591"/>
      <c r="H1662" s="2591"/>
      <c r="I1662" s="2591"/>
      <c r="J1662" s="2591"/>
      <c r="K1662" s="2591"/>
      <c r="L1662" s="2591"/>
      <c r="M1662" s="2591"/>
      <c r="N1662" s="2591"/>
      <c r="O1662" s="2591"/>
      <c r="P1662" s="2591"/>
      <c r="Q1662" s="2591"/>
      <c r="R1662" s="2591"/>
      <c r="S1662" s="2591"/>
    </row>
    <row r="1663" spans="1:19">
      <c r="A1663" s="2590"/>
      <c r="B1663" s="2591"/>
      <c r="C1663" s="2591"/>
      <c r="D1663" s="2591"/>
      <c r="E1663" s="2591"/>
      <c r="F1663" s="2591"/>
      <c r="G1663" s="2591"/>
      <c r="H1663" s="2591"/>
      <c r="I1663" s="2591"/>
      <c r="J1663" s="2591"/>
      <c r="K1663" s="2591"/>
      <c r="L1663" s="2591"/>
      <c r="M1663" s="2591"/>
      <c r="N1663" s="2591"/>
      <c r="O1663" s="2591"/>
      <c r="P1663" s="2591"/>
      <c r="Q1663" s="2591"/>
      <c r="R1663" s="2591"/>
      <c r="S1663" s="2591"/>
    </row>
    <row r="1664" spans="1:19">
      <c r="A1664" s="2590"/>
      <c r="B1664" s="2591"/>
      <c r="C1664" s="2591"/>
      <c r="D1664" s="2591"/>
      <c r="E1664" s="2591"/>
      <c r="F1664" s="2591"/>
      <c r="G1664" s="2591"/>
      <c r="H1664" s="2591"/>
      <c r="I1664" s="2591"/>
      <c r="J1664" s="2591"/>
      <c r="K1664" s="2591"/>
      <c r="L1664" s="2591"/>
      <c r="M1664" s="2591"/>
      <c r="N1664" s="2591"/>
      <c r="O1664" s="2591"/>
      <c r="P1664" s="2591"/>
      <c r="Q1664" s="2591"/>
      <c r="R1664" s="2591"/>
      <c r="S1664" s="2591"/>
    </row>
    <row r="1665" spans="1:19">
      <c r="A1665" s="2590"/>
      <c r="B1665" s="2591"/>
      <c r="C1665" s="2591"/>
      <c r="D1665" s="2591"/>
      <c r="E1665" s="2591"/>
      <c r="F1665" s="2591"/>
      <c r="G1665" s="2591"/>
      <c r="H1665" s="2591"/>
      <c r="I1665" s="2591"/>
      <c r="J1665" s="2591"/>
      <c r="K1665" s="2591"/>
      <c r="L1665" s="2591"/>
      <c r="M1665" s="2591"/>
      <c r="N1665" s="2591"/>
      <c r="O1665" s="2591"/>
      <c r="P1665" s="2591"/>
      <c r="Q1665" s="2591"/>
      <c r="R1665" s="2591"/>
      <c r="S1665" s="2591"/>
    </row>
    <row r="1666" spans="1:19">
      <c r="A1666" s="2590"/>
      <c r="B1666" s="2591"/>
      <c r="C1666" s="2591"/>
      <c r="D1666" s="2591"/>
      <c r="E1666" s="2591"/>
      <c r="F1666" s="2591"/>
      <c r="G1666" s="2591"/>
      <c r="H1666" s="2591"/>
      <c r="I1666" s="2591"/>
      <c r="J1666" s="2591"/>
      <c r="K1666" s="2591"/>
      <c r="L1666" s="2591"/>
      <c r="M1666" s="2591"/>
      <c r="N1666" s="2591"/>
      <c r="O1666" s="2591"/>
      <c r="P1666" s="2591"/>
      <c r="Q1666" s="2591"/>
      <c r="R1666" s="2591"/>
      <c r="S1666" s="2591"/>
    </row>
    <row r="1667" spans="1:19">
      <c r="A1667" s="2590"/>
      <c r="B1667" s="2591"/>
      <c r="C1667" s="2591"/>
      <c r="D1667" s="2591"/>
      <c r="E1667" s="2591"/>
      <c r="F1667" s="2591"/>
      <c r="G1667" s="2591"/>
      <c r="H1667" s="2591"/>
      <c r="I1667" s="2591"/>
      <c r="J1667" s="2591"/>
      <c r="K1667" s="2591"/>
      <c r="L1667" s="2591"/>
      <c r="M1667" s="2591"/>
      <c r="N1667" s="2591"/>
      <c r="O1667" s="2591"/>
      <c r="P1667" s="2591"/>
      <c r="Q1667" s="2591"/>
      <c r="R1667" s="2591"/>
      <c r="S1667" s="2591"/>
    </row>
    <row r="1668" spans="1:19">
      <c r="A1668" s="2590"/>
      <c r="B1668" s="2591"/>
      <c r="C1668" s="2591"/>
      <c r="D1668" s="2591"/>
      <c r="E1668" s="2591"/>
      <c r="F1668" s="2591"/>
      <c r="G1668" s="2591"/>
      <c r="H1668" s="2591"/>
      <c r="I1668" s="2591"/>
      <c r="J1668" s="2591"/>
      <c r="K1668" s="2591"/>
      <c r="L1668" s="2591"/>
      <c r="M1668" s="2591"/>
      <c r="N1668" s="2591"/>
      <c r="O1668" s="2591"/>
      <c r="P1668" s="2591"/>
      <c r="Q1668" s="2591"/>
      <c r="R1668" s="2591"/>
      <c r="S1668" s="2591"/>
    </row>
    <row r="1669" spans="1:19">
      <c r="A1669" s="2590"/>
      <c r="B1669" s="2591"/>
      <c r="C1669" s="2591"/>
      <c r="D1669" s="2591"/>
      <c r="E1669" s="2591"/>
      <c r="F1669" s="2591"/>
      <c r="G1669" s="2591"/>
      <c r="H1669" s="2591"/>
      <c r="I1669" s="2591"/>
      <c r="J1669" s="2591"/>
      <c r="K1669" s="2591"/>
      <c r="L1669" s="2591"/>
      <c r="M1669" s="2591"/>
      <c r="N1669" s="2591"/>
      <c r="O1669" s="2591"/>
      <c r="P1669" s="2591"/>
      <c r="Q1669" s="2591"/>
      <c r="R1669" s="2591"/>
      <c r="S1669" s="2591"/>
    </row>
    <row r="1670" spans="1:19">
      <c r="A1670" s="2590"/>
      <c r="B1670" s="2591"/>
      <c r="C1670" s="2591"/>
      <c r="D1670" s="2591"/>
      <c r="E1670" s="2591"/>
      <c r="F1670" s="2591"/>
      <c r="G1670" s="2591"/>
      <c r="H1670" s="2591"/>
      <c r="I1670" s="2591"/>
      <c r="J1670" s="2591"/>
      <c r="K1670" s="2591"/>
      <c r="L1670" s="2591"/>
      <c r="M1670" s="2591"/>
      <c r="N1670" s="2591"/>
      <c r="O1670" s="2591"/>
      <c r="P1670" s="2591"/>
      <c r="Q1670" s="2591"/>
      <c r="R1670" s="2591"/>
      <c r="S1670" s="2591"/>
    </row>
    <row r="1671" spans="1:19">
      <c r="A1671" s="2590"/>
      <c r="B1671" s="2591"/>
      <c r="C1671" s="2591"/>
      <c r="D1671" s="2591"/>
      <c r="E1671" s="2591"/>
      <c r="F1671" s="2591"/>
      <c r="G1671" s="2591"/>
      <c r="H1671" s="2591"/>
      <c r="I1671" s="2591"/>
      <c r="J1671" s="2591"/>
      <c r="K1671" s="2591"/>
      <c r="L1671" s="2591"/>
      <c r="M1671" s="2591"/>
      <c r="N1671" s="2591"/>
      <c r="O1671" s="2591"/>
      <c r="P1671" s="2591"/>
      <c r="Q1671" s="2591"/>
      <c r="R1671" s="2591"/>
      <c r="S1671" s="2591"/>
    </row>
    <row r="1672" spans="1:19">
      <c r="A1672" s="2590"/>
      <c r="B1672" s="2591"/>
      <c r="C1672" s="2591"/>
      <c r="D1672" s="2591"/>
      <c r="E1672" s="2591"/>
      <c r="F1672" s="2591"/>
      <c r="G1672" s="2591"/>
      <c r="H1672" s="2591"/>
      <c r="I1672" s="2591"/>
      <c r="J1672" s="2591"/>
      <c r="K1672" s="2591"/>
      <c r="L1672" s="2591"/>
      <c r="M1672" s="2591"/>
      <c r="N1672" s="2591"/>
      <c r="O1672" s="2591"/>
      <c r="P1672" s="2591"/>
      <c r="Q1672" s="2591"/>
      <c r="R1672" s="2591"/>
      <c r="S1672" s="2591"/>
    </row>
    <row r="1673" spans="1:19">
      <c r="A1673" s="2590"/>
      <c r="B1673" s="2591"/>
      <c r="C1673" s="2591"/>
      <c r="D1673" s="2591"/>
      <c r="E1673" s="2591"/>
      <c r="F1673" s="2591"/>
      <c r="G1673" s="2591"/>
      <c r="H1673" s="2591"/>
      <c r="I1673" s="2591"/>
      <c r="J1673" s="2591"/>
      <c r="K1673" s="2591"/>
      <c r="L1673" s="2591"/>
      <c r="M1673" s="2591"/>
      <c r="N1673" s="2591"/>
      <c r="O1673" s="2591"/>
      <c r="P1673" s="2591"/>
      <c r="Q1673" s="2591"/>
      <c r="R1673" s="2591"/>
      <c r="S1673" s="2591"/>
    </row>
    <row r="1674" spans="1:19">
      <c r="A1674" s="2590"/>
      <c r="B1674" s="2591"/>
      <c r="C1674" s="2591"/>
      <c r="D1674" s="2591"/>
      <c r="E1674" s="2591"/>
      <c r="F1674" s="2591"/>
      <c r="G1674" s="2591"/>
      <c r="H1674" s="2591"/>
      <c r="I1674" s="2591"/>
      <c r="J1674" s="2591"/>
      <c r="K1674" s="2591"/>
      <c r="L1674" s="2591"/>
      <c r="M1674" s="2591"/>
      <c r="N1674" s="2591"/>
      <c r="O1674" s="2591"/>
      <c r="P1674" s="2591"/>
      <c r="Q1674" s="2591"/>
      <c r="R1674" s="2591"/>
      <c r="S1674" s="2591"/>
    </row>
    <row r="1675" spans="1:19">
      <c r="A1675" s="2590"/>
      <c r="B1675" s="2591"/>
      <c r="C1675" s="2591"/>
      <c r="D1675" s="2591"/>
      <c r="E1675" s="2591"/>
      <c r="F1675" s="2591"/>
      <c r="G1675" s="2591"/>
      <c r="H1675" s="2591"/>
      <c r="I1675" s="2591"/>
      <c r="J1675" s="2591"/>
      <c r="K1675" s="2591"/>
      <c r="L1675" s="2591"/>
      <c r="M1675" s="2591"/>
      <c r="N1675" s="2591"/>
      <c r="O1675" s="2591"/>
      <c r="P1675" s="2591"/>
      <c r="Q1675" s="2591"/>
      <c r="R1675" s="2591"/>
      <c r="S1675" s="2591"/>
    </row>
    <row r="1676" spans="1:19">
      <c r="A1676" s="2590"/>
      <c r="B1676" s="2591"/>
      <c r="C1676" s="2591"/>
      <c r="D1676" s="2591"/>
      <c r="E1676" s="2591"/>
      <c r="F1676" s="2591"/>
      <c r="G1676" s="2591"/>
      <c r="H1676" s="2591"/>
      <c r="I1676" s="2591"/>
      <c r="J1676" s="2591"/>
      <c r="K1676" s="2591"/>
      <c r="L1676" s="2591"/>
      <c r="M1676" s="2591"/>
      <c r="N1676" s="2591"/>
      <c r="O1676" s="2591"/>
      <c r="P1676" s="2591"/>
      <c r="Q1676" s="2591"/>
      <c r="R1676" s="2591"/>
      <c r="S1676" s="2591"/>
    </row>
    <row r="1677" spans="1:19">
      <c r="A1677" s="2590"/>
      <c r="B1677" s="2591"/>
      <c r="C1677" s="2591"/>
      <c r="D1677" s="2591"/>
      <c r="E1677" s="2591"/>
      <c r="F1677" s="2591"/>
      <c r="G1677" s="2591"/>
      <c r="H1677" s="2591"/>
      <c r="I1677" s="2591"/>
      <c r="J1677" s="2591"/>
      <c r="K1677" s="2591"/>
      <c r="L1677" s="2591"/>
      <c r="M1677" s="2591"/>
      <c r="N1677" s="2591"/>
      <c r="O1677" s="2591"/>
      <c r="P1677" s="2591"/>
      <c r="Q1677" s="2591"/>
      <c r="R1677" s="2591"/>
      <c r="S1677" s="2591"/>
    </row>
    <row r="1678" spans="1:19">
      <c r="A1678" s="2590"/>
      <c r="B1678" s="2591"/>
      <c r="C1678" s="2591"/>
      <c r="D1678" s="2591"/>
      <c r="E1678" s="2591"/>
      <c r="F1678" s="2591"/>
      <c r="G1678" s="2591"/>
      <c r="H1678" s="2591"/>
      <c r="I1678" s="2591"/>
      <c r="J1678" s="2591"/>
      <c r="K1678" s="2591"/>
      <c r="L1678" s="2591"/>
      <c r="M1678" s="2591"/>
      <c r="N1678" s="2591"/>
      <c r="O1678" s="2591"/>
      <c r="P1678" s="2591"/>
      <c r="Q1678" s="2591"/>
      <c r="R1678" s="2591"/>
      <c r="S1678" s="2591"/>
    </row>
    <row r="1679" spans="1:19">
      <c r="A1679" s="2590"/>
      <c r="B1679" s="2591"/>
      <c r="C1679" s="2591"/>
      <c r="D1679" s="2591"/>
      <c r="E1679" s="2591"/>
      <c r="F1679" s="2591"/>
      <c r="G1679" s="2591"/>
      <c r="H1679" s="2591"/>
      <c r="I1679" s="2591"/>
      <c r="J1679" s="2591"/>
      <c r="K1679" s="2591"/>
      <c r="L1679" s="2591"/>
      <c r="M1679" s="2591"/>
      <c r="N1679" s="2591"/>
      <c r="O1679" s="2591"/>
      <c r="P1679" s="2591"/>
      <c r="Q1679" s="2591"/>
      <c r="R1679" s="2591"/>
      <c r="S1679" s="2591"/>
    </row>
    <row r="1680" spans="1:19">
      <c r="A1680" s="2590"/>
      <c r="B1680" s="2591"/>
      <c r="C1680" s="2591"/>
      <c r="D1680" s="2591"/>
      <c r="E1680" s="2591"/>
      <c r="F1680" s="2591"/>
      <c r="G1680" s="2591"/>
      <c r="H1680" s="2591"/>
      <c r="I1680" s="2591"/>
      <c r="J1680" s="2591"/>
      <c r="K1680" s="2591"/>
      <c r="L1680" s="2591"/>
      <c r="M1680" s="2591"/>
      <c r="N1680" s="2591"/>
      <c r="O1680" s="2591"/>
      <c r="P1680" s="2591"/>
      <c r="Q1680" s="2591"/>
      <c r="R1680" s="2591"/>
      <c r="S1680" s="2591"/>
    </row>
    <row r="1681" spans="1:19">
      <c r="A1681" s="2590"/>
      <c r="B1681" s="2591"/>
      <c r="C1681" s="2591"/>
      <c r="D1681" s="2591"/>
      <c r="E1681" s="2591"/>
      <c r="F1681" s="2591"/>
      <c r="G1681" s="2591"/>
      <c r="H1681" s="2591"/>
      <c r="I1681" s="2591"/>
      <c r="J1681" s="2591"/>
      <c r="K1681" s="2591"/>
      <c r="L1681" s="2591"/>
      <c r="M1681" s="2591"/>
      <c r="N1681" s="2591"/>
      <c r="O1681" s="2591"/>
      <c r="P1681" s="2591"/>
      <c r="Q1681" s="2591"/>
      <c r="R1681" s="2591"/>
      <c r="S1681" s="2591"/>
    </row>
    <row r="1682" spans="1:19">
      <c r="A1682" s="2590"/>
      <c r="B1682" s="2591"/>
      <c r="C1682" s="2591"/>
      <c r="D1682" s="2591"/>
      <c r="E1682" s="2591"/>
      <c r="F1682" s="2591"/>
      <c r="G1682" s="2591"/>
      <c r="H1682" s="2591"/>
      <c r="I1682" s="2591"/>
      <c r="J1682" s="2591"/>
      <c r="K1682" s="2591"/>
      <c r="L1682" s="2591"/>
      <c r="M1682" s="2591"/>
      <c r="N1682" s="2591"/>
      <c r="O1682" s="2591"/>
      <c r="P1682" s="2591"/>
      <c r="Q1682" s="2591"/>
      <c r="R1682" s="2591"/>
      <c r="S1682" s="2591"/>
    </row>
    <row r="1683" spans="1:19">
      <c r="A1683" s="2590"/>
      <c r="B1683" s="2591"/>
      <c r="C1683" s="2591"/>
      <c r="D1683" s="2591"/>
      <c r="E1683" s="2591"/>
      <c r="F1683" s="2591"/>
      <c r="G1683" s="2591"/>
      <c r="H1683" s="2591"/>
      <c r="I1683" s="2591"/>
      <c r="J1683" s="2591"/>
      <c r="K1683" s="2591"/>
      <c r="L1683" s="2591"/>
      <c r="M1683" s="2591"/>
      <c r="N1683" s="2591"/>
      <c r="O1683" s="2591"/>
      <c r="P1683" s="2591"/>
      <c r="Q1683" s="2591"/>
      <c r="R1683" s="2591"/>
      <c r="S1683" s="2591"/>
    </row>
    <row r="1684" spans="1:19">
      <c r="A1684" s="2590"/>
      <c r="B1684" s="2591"/>
      <c r="C1684" s="2591"/>
      <c r="D1684" s="2591"/>
      <c r="E1684" s="2591"/>
      <c r="F1684" s="2591"/>
      <c r="G1684" s="2591"/>
      <c r="H1684" s="2591"/>
      <c r="I1684" s="2591"/>
      <c r="J1684" s="2591"/>
      <c r="K1684" s="2591"/>
      <c r="L1684" s="2591"/>
      <c r="M1684" s="2591"/>
      <c r="N1684" s="2591"/>
      <c r="O1684" s="2591"/>
      <c r="P1684" s="2591"/>
      <c r="Q1684" s="2591"/>
      <c r="R1684" s="2591"/>
      <c r="S1684" s="2591"/>
    </row>
    <row r="1685" spans="1:19">
      <c r="A1685" s="2590"/>
      <c r="B1685" s="2591"/>
      <c r="C1685" s="2591"/>
      <c r="D1685" s="2591"/>
      <c r="E1685" s="2591"/>
      <c r="F1685" s="2591"/>
      <c r="G1685" s="2591"/>
      <c r="H1685" s="2591"/>
      <c r="I1685" s="2591"/>
      <c r="J1685" s="2591"/>
      <c r="K1685" s="2591"/>
      <c r="L1685" s="2591"/>
      <c r="M1685" s="2591"/>
      <c r="N1685" s="2591"/>
      <c r="O1685" s="2591"/>
      <c r="P1685" s="2591"/>
      <c r="Q1685" s="2591"/>
      <c r="R1685" s="2591"/>
      <c r="S1685" s="2591"/>
    </row>
    <row r="1686" spans="1:19">
      <c r="A1686" s="2590"/>
      <c r="B1686" s="2591"/>
      <c r="C1686" s="2591"/>
      <c r="D1686" s="2591"/>
      <c r="E1686" s="2591"/>
      <c r="F1686" s="2591"/>
      <c r="G1686" s="2591"/>
      <c r="H1686" s="2591"/>
      <c r="I1686" s="2591"/>
      <c r="J1686" s="2591"/>
      <c r="K1686" s="2591"/>
      <c r="L1686" s="2591"/>
      <c r="M1686" s="2591"/>
      <c r="N1686" s="2591"/>
      <c r="O1686" s="2591"/>
      <c r="P1686" s="2591"/>
      <c r="Q1686" s="2591"/>
      <c r="R1686" s="2591"/>
      <c r="S1686" s="2591"/>
    </row>
    <row r="1687" spans="1:19">
      <c r="A1687" s="2590"/>
      <c r="B1687" s="2591"/>
      <c r="C1687" s="2591"/>
      <c r="D1687" s="2591"/>
      <c r="E1687" s="2591"/>
      <c r="F1687" s="2591"/>
      <c r="G1687" s="2591"/>
      <c r="H1687" s="2591"/>
      <c r="I1687" s="2591"/>
      <c r="J1687" s="2591"/>
      <c r="K1687" s="2591"/>
      <c r="L1687" s="2591"/>
      <c r="M1687" s="2591"/>
      <c r="N1687" s="2591"/>
      <c r="O1687" s="2591"/>
      <c r="P1687" s="2591"/>
      <c r="Q1687" s="2591"/>
      <c r="R1687" s="2591"/>
      <c r="S1687" s="2591"/>
    </row>
    <row r="1688" spans="1:19">
      <c r="A1688" s="2590"/>
      <c r="B1688" s="2591"/>
      <c r="C1688" s="2591"/>
      <c r="D1688" s="2591"/>
      <c r="E1688" s="2591"/>
      <c r="F1688" s="2591"/>
      <c r="G1688" s="2591"/>
      <c r="H1688" s="2591"/>
      <c r="I1688" s="2591"/>
      <c r="J1688" s="2591"/>
      <c r="K1688" s="2591"/>
      <c r="L1688" s="2591"/>
      <c r="M1688" s="2591"/>
      <c r="N1688" s="2591"/>
      <c r="O1688" s="2591"/>
      <c r="P1688" s="2591"/>
      <c r="Q1688" s="2591"/>
      <c r="R1688" s="2591"/>
      <c r="S1688" s="2591"/>
    </row>
    <row r="1689" spans="1:19">
      <c r="A1689" s="2590"/>
      <c r="B1689" s="2591"/>
      <c r="C1689" s="2591"/>
      <c r="D1689" s="2591"/>
      <c r="E1689" s="2591"/>
      <c r="F1689" s="2591"/>
      <c r="G1689" s="2591"/>
      <c r="H1689" s="2591"/>
      <c r="I1689" s="2591"/>
      <c r="J1689" s="2591"/>
      <c r="K1689" s="2591"/>
      <c r="L1689" s="2591"/>
      <c r="M1689" s="2591"/>
      <c r="N1689" s="2591"/>
      <c r="O1689" s="2591"/>
      <c r="P1689" s="2591"/>
      <c r="Q1689" s="2591"/>
      <c r="R1689" s="2591"/>
      <c r="S1689" s="2591"/>
    </row>
    <row r="1690" spans="1:19">
      <c r="A1690" s="2590"/>
      <c r="B1690" s="2591"/>
      <c r="C1690" s="2591"/>
      <c r="D1690" s="2591"/>
      <c r="E1690" s="2591"/>
      <c r="F1690" s="2591"/>
      <c r="G1690" s="2591"/>
      <c r="H1690" s="2591"/>
      <c r="I1690" s="2591"/>
      <c r="J1690" s="2591"/>
      <c r="K1690" s="2591"/>
      <c r="L1690" s="2591"/>
      <c r="M1690" s="2591"/>
      <c r="N1690" s="2591"/>
      <c r="O1690" s="2591"/>
      <c r="P1690" s="2591"/>
      <c r="Q1690" s="2591"/>
      <c r="R1690" s="2591"/>
      <c r="S1690" s="2591"/>
    </row>
    <row r="1691" spans="1:19">
      <c r="A1691" s="2590"/>
      <c r="B1691" s="2591"/>
      <c r="C1691" s="2591"/>
      <c r="D1691" s="2591"/>
      <c r="E1691" s="2591"/>
      <c r="F1691" s="2591"/>
      <c r="G1691" s="2591"/>
      <c r="H1691" s="2591"/>
      <c r="I1691" s="2591"/>
      <c r="J1691" s="2591"/>
      <c r="K1691" s="2591"/>
      <c r="L1691" s="2591"/>
      <c r="M1691" s="2591"/>
      <c r="N1691" s="2591"/>
      <c r="O1691" s="2591"/>
      <c r="P1691" s="2591"/>
      <c r="Q1691" s="2591"/>
      <c r="R1691" s="2591"/>
      <c r="S1691" s="2591"/>
    </row>
    <row r="1692" spans="1:19">
      <c r="A1692" s="2590"/>
      <c r="B1692" s="2591"/>
      <c r="C1692" s="2591"/>
      <c r="D1692" s="2591"/>
      <c r="E1692" s="2591"/>
      <c r="F1692" s="2591"/>
      <c r="G1692" s="2591"/>
      <c r="H1692" s="2591"/>
      <c r="I1692" s="2591"/>
      <c r="J1692" s="2591"/>
      <c r="K1692" s="2591"/>
      <c r="L1692" s="2591"/>
      <c r="M1692" s="2591"/>
      <c r="N1692" s="2591"/>
      <c r="O1692" s="2591"/>
      <c r="P1692" s="2591"/>
      <c r="Q1692" s="2591"/>
      <c r="R1692" s="2591"/>
      <c r="S1692" s="2591"/>
    </row>
    <row r="1693" spans="1:19">
      <c r="A1693" s="2590"/>
      <c r="B1693" s="2591"/>
      <c r="C1693" s="2591"/>
      <c r="D1693" s="2591"/>
      <c r="E1693" s="2591"/>
      <c r="F1693" s="2591"/>
      <c r="G1693" s="2591"/>
      <c r="H1693" s="2591"/>
      <c r="I1693" s="2591"/>
      <c r="J1693" s="2591"/>
      <c r="K1693" s="2591"/>
      <c r="L1693" s="2591"/>
      <c r="M1693" s="2591"/>
      <c r="N1693" s="2591"/>
      <c r="O1693" s="2591"/>
      <c r="P1693" s="2591"/>
      <c r="Q1693" s="2591"/>
      <c r="R1693" s="2591"/>
      <c r="S1693" s="2591"/>
    </row>
    <row r="1694" spans="1:19">
      <c r="A1694" s="2590"/>
      <c r="B1694" s="2591"/>
      <c r="C1694" s="2591"/>
      <c r="D1694" s="2591"/>
      <c r="E1694" s="2591"/>
      <c r="F1694" s="2591"/>
      <c r="G1694" s="2591"/>
      <c r="H1694" s="2591"/>
      <c r="I1694" s="2591"/>
      <c r="J1694" s="2591"/>
      <c r="K1694" s="2591"/>
      <c r="L1694" s="2591"/>
      <c r="M1694" s="2591"/>
      <c r="N1694" s="2591"/>
      <c r="O1694" s="2591"/>
      <c r="P1694" s="2591"/>
      <c r="Q1694" s="2591"/>
      <c r="R1694" s="2591"/>
      <c r="S1694" s="2591"/>
    </row>
    <row r="1695" spans="1:19">
      <c r="A1695" s="2590"/>
      <c r="B1695" s="2591"/>
      <c r="C1695" s="2591"/>
      <c r="D1695" s="2591"/>
      <c r="E1695" s="2591"/>
      <c r="F1695" s="2591"/>
      <c r="G1695" s="2591"/>
      <c r="H1695" s="2591"/>
      <c r="I1695" s="2591"/>
      <c r="J1695" s="2591"/>
      <c r="K1695" s="2591"/>
      <c r="L1695" s="2591"/>
      <c r="M1695" s="2591"/>
      <c r="N1695" s="2591"/>
      <c r="O1695" s="2591"/>
      <c r="P1695" s="2591"/>
      <c r="Q1695" s="2591"/>
      <c r="R1695" s="2591"/>
      <c r="S1695" s="2591"/>
    </row>
    <row r="1696" spans="1:19">
      <c r="A1696" s="2590"/>
      <c r="B1696" s="2591"/>
      <c r="C1696" s="2591"/>
      <c r="D1696" s="2591"/>
      <c r="E1696" s="2591"/>
      <c r="F1696" s="2591"/>
      <c r="G1696" s="2591"/>
      <c r="H1696" s="2591"/>
      <c r="I1696" s="2591"/>
      <c r="J1696" s="2591"/>
      <c r="K1696" s="2591"/>
      <c r="L1696" s="2591"/>
      <c r="M1696" s="2591"/>
      <c r="N1696" s="2591"/>
      <c r="O1696" s="2591"/>
      <c r="P1696" s="2591"/>
      <c r="Q1696" s="2591"/>
      <c r="R1696" s="2591"/>
      <c r="S1696" s="2591"/>
    </row>
    <row r="1697" spans="1:19">
      <c r="A1697" s="2590"/>
      <c r="B1697" s="2591"/>
      <c r="C1697" s="2591"/>
      <c r="D1697" s="2591"/>
      <c r="E1697" s="2591"/>
      <c r="F1697" s="2591"/>
      <c r="G1697" s="2591"/>
      <c r="H1697" s="2591"/>
      <c r="I1697" s="2591"/>
      <c r="J1697" s="2591"/>
      <c r="K1697" s="2591"/>
      <c r="L1697" s="2591"/>
      <c r="M1697" s="2591"/>
      <c r="N1697" s="2591"/>
      <c r="O1697" s="2591"/>
      <c r="P1697" s="2591"/>
      <c r="Q1697" s="2591"/>
      <c r="R1697" s="2591"/>
      <c r="S1697" s="2591"/>
    </row>
    <row r="1698" spans="1:19">
      <c r="A1698" s="2590"/>
      <c r="B1698" s="2591"/>
      <c r="C1698" s="2591"/>
      <c r="D1698" s="2591"/>
      <c r="E1698" s="2591"/>
      <c r="F1698" s="2591"/>
      <c r="G1698" s="2591"/>
      <c r="H1698" s="2591"/>
      <c r="I1698" s="2591"/>
      <c r="J1698" s="2591"/>
      <c r="K1698" s="2591"/>
      <c r="L1698" s="2591"/>
      <c r="M1698" s="2591"/>
      <c r="N1698" s="2591"/>
      <c r="O1698" s="2591"/>
      <c r="P1698" s="2591"/>
      <c r="Q1698" s="2591"/>
      <c r="R1698" s="2591"/>
      <c r="S1698" s="2591"/>
    </row>
    <row r="1699" spans="1:19">
      <c r="A1699" s="2590"/>
      <c r="B1699" s="2591"/>
      <c r="C1699" s="2591"/>
      <c r="D1699" s="2591"/>
      <c r="E1699" s="2591"/>
      <c r="F1699" s="2591"/>
      <c r="G1699" s="2591"/>
      <c r="H1699" s="2591"/>
      <c r="I1699" s="2591"/>
      <c r="J1699" s="2591"/>
      <c r="K1699" s="2591"/>
      <c r="L1699" s="2591"/>
      <c r="M1699" s="2591"/>
      <c r="N1699" s="2591"/>
      <c r="O1699" s="2591"/>
      <c r="P1699" s="2591"/>
      <c r="Q1699" s="2591"/>
      <c r="R1699" s="2591"/>
      <c r="S1699" s="2591"/>
    </row>
    <row r="1700" spans="1:19">
      <c r="A1700" s="2590"/>
      <c r="B1700" s="2591"/>
      <c r="C1700" s="2591"/>
      <c r="D1700" s="2591"/>
      <c r="E1700" s="2591"/>
      <c r="F1700" s="2591"/>
      <c r="G1700" s="2591"/>
      <c r="H1700" s="2591"/>
      <c r="I1700" s="2591"/>
      <c r="J1700" s="2591"/>
      <c r="K1700" s="2591"/>
      <c r="L1700" s="2591"/>
      <c r="M1700" s="2591"/>
      <c r="N1700" s="2591"/>
      <c r="O1700" s="2591"/>
      <c r="P1700" s="2591"/>
      <c r="Q1700" s="2591"/>
      <c r="R1700" s="2591"/>
      <c r="S1700" s="2591"/>
    </row>
    <row r="1701" spans="1:19">
      <c r="A1701" s="2590"/>
      <c r="B1701" s="2591"/>
      <c r="C1701" s="2591"/>
      <c r="D1701" s="2591"/>
      <c r="E1701" s="2591"/>
      <c r="F1701" s="2591"/>
      <c r="G1701" s="2591"/>
      <c r="H1701" s="2591"/>
      <c r="I1701" s="2591"/>
      <c r="J1701" s="2591"/>
      <c r="K1701" s="2591"/>
      <c r="L1701" s="2591"/>
      <c r="M1701" s="2591"/>
      <c r="N1701" s="2591"/>
      <c r="O1701" s="2591"/>
      <c r="P1701" s="2591"/>
      <c r="Q1701" s="2591"/>
      <c r="R1701" s="2591"/>
      <c r="S1701" s="2591"/>
    </row>
    <row r="1702" spans="1:19">
      <c r="A1702" s="2590"/>
      <c r="B1702" s="2591"/>
      <c r="C1702" s="2591"/>
      <c r="D1702" s="2591"/>
      <c r="E1702" s="2591"/>
      <c r="F1702" s="2591"/>
      <c r="G1702" s="2591"/>
      <c r="H1702" s="2591"/>
      <c r="I1702" s="2591"/>
      <c r="J1702" s="2591"/>
      <c r="K1702" s="2591"/>
      <c r="L1702" s="2591"/>
      <c r="M1702" s="2591"/>
      <c r="N1702" s="2591"/>
      <c r="O1702" s="2591"/>
      <c r="P1702" s="2591"/>
      <c r="Q1702" s="2591"/>
      <c r="R1702" s="2591"/>
      <c r="S1702" s="2591"/>
    </row>
    <row r="1703" spans="1:19">
      <c r="A1703" s="2590"/>
      <c r="B1703" s="2591"/>
      <c r="C1703" s="2591"/>
      <c r="D1703" s="2591"/>
      <c r="E1703" s="2591"/>
      <c r="F1703" s="2591"/>
      <c r="G1703" s="2591"/>
      <c r="H1703" s="2591"/>
      <c r="I1703" s="2591"/>
      <c r="J1703" s="2591"/>
      <c r="K1703" s="2591"/>
      <c r="L1703" s="2591"/>
      <c r="M1703" s="2591"/>
      <c r="N1703" s="2591"/>
      <c r="O1703" s="2591"/>
      <c r="P1703" s="2591"/>
      <c r="Q1703" s="2591"/>
      <c r="R1703" s="2591"/>
      <c r="S1703" s="2591"/>
    </row>
    <row r="1704" spans="1:19">
      <c r="A1704" s="2590"/>
      <c r="B1704" s="2591"/>
      <c r="C1704" s="2591"/>
      <c r="D1704" s="2591"/>
      <c r="E1704" s="2591"/>
      <c r="F1704" s="2591"/>
      <c r="G1704" s="2591"/>
      <c r="H1704" s="2591"/>
      <c r="I1704" s="2591"/>
      <c r="J1704" s="2591"/>
      <c r="K1704" s="2591"/>
      <c r="L1704" s="2591"/>
      <c r="M1704" s="2591"/>
      <c r="N1704" s="2591"/>
      <c r="O1704" s="2591"/>
      <c r="P1704" s="2591"/>
      <c r="Q1704" s="2591"/>
      <c r="R1704" s="2591"/>
      <c r="S1704" s="2591"/>
    </row>
    <row r="1705" spans="1:19">
      <c r="A1705" s="2590"/>
      <c r="B1705" s="2591"/>
      <c r="C1705" s="2591"/>
      <c r="D1705" s="2591"/>
      <c r="E1705" s="2591"/>
      <c r="F1705" s="2591"/>
      <c r="G1705" s="2591"/>
      <c r="H1705" s="2591"/>
      <c r="I1705" s="2591"/>
      <c r="J1705" s="2591"/>
      <c r="K1705" s="2591"/>
      <c r="L1705" s="2591"/>
      <c r="M1705" s="2591"/>
      <c r="N1705" s="2591"/>
      <c r="O1705" s="2591"/>
      <c r="P1705" s="2591"/>
      <c r="Q1705" s="2591"/>
      <c r="R1705" s="2591"/>
      <c r="S1705" s="2591"/>
    </row>
    <row r="1706" spans="1:19">
      <c r="A1706" s="2590"/>
      <c r="B1706" s="2591"/>
      <c r="C1706" s="2591"/>
      <c r="D1706" s="2591"/>
      <c r="E1706" s="2591"/>
      <c r="F1706" s="2591"/>
      <c r="G1706" s="2591"/>
      <c r="H1706" s="2591"/>
      <c r="I1706" s="2591"/>
      <c r="J1706" s="2591"/>
      <c r="K1706" s="2591"/>
      <c r="L1706" s="2591"/>
      <c r="M1706" s="2591"/>
      <c r="N1706" s="2591"/>
      <c r="O1706" s="2591"/>
      <c r="P1706" s="2591"/>
      <c r="Q1706" s="2591"/>
      <c r="R1706" s="2591"/>
      <c r="S1706" s="2591"/>
    </row>
    <row r="1707" spans="1:19">
      <c r="A1707" s="2590"/>
      <c r="B1707" s="2591"/>
      <c r="C1707" s="2591"/>
      <c r="D1707" s="2591"/>
      <c r="E1707" s="2591"/>
      <c r="F1707" s="2591"/>
      <c r="G1707" s="2591"/>
      <c r="H1707" s="2591"/>
      <c r="I1707" s="2591"/>
      <c r="J1707" s="2591"/>
      <c r="K1707" s="2591"/>
      <c r="L1707" s="2591"/>
      <c r="M1707" s="2591"/>
      <c r="N1707" s="2591"/>
      <c r="O1707" s="2591"/>
      <c r="P1707" s="2591"/>
      <c r="Q1707" s="2591"/>
      <c r="R1707" s="2591"/>
      <c r="S1707" s="2591"/>
    </row>
    <row r="1708" spans="1:19">
      <c r="A1708" s="2590"/>
      <c r="B1708" s="2591"/>
      <c r="C1708" s="2591"/>
      <c r="D1708" s="2591"/>
      <c r="E1708" s="2591"/>
      <c r="F1708" s="2591"/>
      <c r="G1708" s="2591"/>
      <c r="H1708" s="2591"/>
      <c r="I1708" s="2591"/>
      <c r="J1708" s="2591"/>
      <c r="K1708" s="2591"/>
      <c r="L1708" s="2591"/>
      <c r="M1708" s="2591"/>
      <c r="N1708" s="2591"/>
      <c r="O1708" s="2591"/>
      <c r="P1708" s="2591"/>
      <c r="Q1708" s="2591"/>
      <c r="R1708" s="2591"/>
      <c r="S1708" s="2591"/>
    </row>
    <row r="1709" spans="1:19">
      <c r="A1709" s="2590"/>
      <c r="B1709" s="2591"/>
      <c r="C1709" s="2591"/>
      <c r="D1709" s="2591"/>
      <c r="E1709" s="2591"/>
      <c r="F1709" s="2591"/>
      <c r="G1709" s="2591"/>
      <c r="H1709" s="2591"/>
      <c r="I1709" s="2591"/>
      <c r="J1709" s="2591"/>
      <c r="K1709" s="2591"/>
      <c r="L1709" s="2591"/>
      <c r="M1709" s="2591"/>
      <c r="N1709" s="2591"/>
      <c r="O1709" s="2591"/>
      <c r="P1709" s="2591"/>
      <c r="Q1709" s="2591"/>
      <c r="R1709" s="2591"/>
      <c r="S1709" s="2591"/>
    </row>
    <row r="1710" spans="1:19">
      <c r="A1710" s="2590"/>
      <c r="B1710" s="2591"/>
      <c r="C1710" s="2591"/>
      <c r="D1710" s="2591"/>
      <c r="E1710" s="2591"/>
      <c r="F1710" s="2591"/>
      <c r="G1710" s="2591"/>
      <c r="H1710" s="2591"/>
      <c r="I1710" s="2591"/>
      <c r="J1710" s="2591"/>
      <c r="K1710" s="2591"/>
      <c r="L1710" s="2591"/>
      <c r="M1710" s="2591"/>
      <c r="N1710" s="2591"/>
      <c r="O1710" s="2591"/>
      <c r="P1710" s="2591"/>
      <c r="Q1710" s="2591"/>
      <c r="R1710" s="2591"/>
      <c r="S1710" s="2591"/>
    </row>
    <row r="1711" spans="1:19">
      <c r="A1711" s="2590"/>
      <c r="B1711" s="2591"/>
      <c r="C1711" s="2591"/>
      <c r="D1711" s="2591"/>
      <c r="E1711" s="2591"/>
      <c r="F1711" s="2591"/>
      <c r="G1711" s="2591"/>
      <c r="H1711" s="2591"/>
      <c r="I1711" s="2591"/>
      <c r="J1711" s="2591"/>
      <c r="K1711" s="2591"/>
      <c r="L1711" s="2591"/>
      <c r="M1711" s="2591"/>
      <c r="N1711" s="2591"/>
      <c r="O1711" s="2591"/>
      <c r="P1711" s="2591"/>
      <c r="Q1711" s="2591"/>
      <c r="R1711" s="2591"/>
      <c r="S1711" s="2591"/>
    </row>
    <row r="1712" spans="1:19">
      <c r="A1712" s="2590"/>
      <c r="B1712" s="2591"/>
      <c r="C1712" s="2591"/>
      <c r="D1712" s="2591"/>
      <c r="E1712" s="2591"/>
      <c r="F1712" s="2591"/>
      <c r="G1712" s="2591"/>
      <c r="H1712" s="2591"/>
      <c r="I1712" s="2591"/>
      <c r="J1712" s="2591"/>
      <c r="K1712" s="2591"/>
      <c r="L1712" s="2591"/>
      <c r="M1712" s="2591"/>
      <c r="N1712" s="2591"/>
      <c r="O1712" s="2591"/>
      <c r="P1712" s="2591"/>
      <c r="Q1712" s="2591"/>
      <c r="R1712" s="2591"/>
      <c r="S1712" s="2591"/>
    </row>
    <row r="1713" spans="1:19">
      <c r="A1713" s="2590"/>
      <c r="B1713" s="2591"/>
      <c r="C1713" s="2591"/>
      <c r="D1713" s="2591"/>
      <c r="E1713" s="2591"/>
      <c r="F1713" s="2591"/>
      <c r="G1713" s="2591"/>
      <c r="H1713" s="2591"/>
      <c r="I1713" s="2591"/>
      <c r="J1713" s="2591"/>
      <c r="K1713" s="2591"/>
      <c r="L1713" s="2591"/>
      <c r="M1713" s="2591"/>
      <c r="N1713" s="2591"/>
      <c r="O1713" s="2591"/>
      <c r="P1713" s="2591"/>
      <c r="Q1713" s="2591"/>
      <c r="R1713" s="2591"/>
      <c r="S1713" s="2591"/>
    </row>
    <row r="1714" spans="1:19">
      <c r="A1714" s="2590"/>
      <c r="B1714" s="2591"/>
      <c r="C1714" s="2591"/>
      <c r="D1714" s="2591"/>
      <c r="E1714" s="2591"/>
      <c r="F1714" s="2591"/>
      <c r="G1714" s="2591"/>
      <c r="H1714" s="2591"/>
      <c r="I1714" s="2591"/>
      <c r="J1714" s="2591"/>
      <c r="K1714" s="2591"/>
      <c r="L1714" s="2591"/>
      <c r="M1714" s="2591"/>
      <c r="N1714" s="2591"/>
      <c r="O1714" s="2591"/>
      <c r="P1714" s="2591"/>
      <c r="Q1714" s="2591"/>
      <c r="R1714" s="2591"/>
      <c r="S1714" s="2591"/>
    </row>
    <row r="1715" spans="1:19">
      <c r="A1715" s="2590"/>
      <c r="B1715" s="2591"/>
      <c r="C1715" s="2591"/>
      <c r="D1715" s="2591"/>
      <c r="E1715" s="2591"/>
      <c r="F1715" s="2591"/>
      <c r="G1715" s="2591"/>
      <c r="H1715" s="2591"/>
      <c r="I1715" s="2591"/>
      <c r="J1715" s="2591"/>
      <c r="K1715" s="2591"/>
      <c r="L1715" s="2591"/>
      <c r="M1715" s="2591"/>
      <c r="N1715" s="2591"/>
      <c r="O1715" s="2591"/>
      <c r="P1715" s="2591"/>
      <c r="Q1715" s="2591"/>
      <c r="R1715" s="2591"/>
      <c r="S1715" s="2591"/>
    </row>
    <row r="1716" spans="1:19">
      <c r="A1716" s="2590"/>
      <c r="B1716" s="2591"/>
      <c r="C1716" s="2591"/>
      <c r="D1716" s="2591"/>
      <c r="E1716" s="2591"/>
      <c r="F1716" s="2591"/>
      <c r="G1716" s="2591"/>
      <c r="H1716" s="2591"/>
      <c r="I1716" s="2591"/>
      <c r="J1716" s="2591"/>
      <c r="K1716" s="2591"/>
      <c r="L1716" s="2591"/>
      <c r="M1716" s="2591"/>
      <c r="N1716" s="2591"/>
      <c r="O1716" s="2591"/>
      <c r="P1716" s="2591"/>
      <c r="Q1716" s="2591"/>
      <c r="R1716" s="2591"/>
      <c r="S1716" s="2591"/>
    </row>
    <row r="1717" spans="1:19">
      <c r="A1717" s="2590"/>
      <c r="B1717" s="2591"/>
      <c r="C1717" s="2591"/>
      <c r="D1717" s="2591"/>
      <c r="E1717" s="2591"/>
      <c r="F1717" s="2591"/>
      <c r="G1717" s="2591"/>
      <c r="H1717" s="2591"/>
      <c r="I1717" s="2591"/>
      <c r="J1717" s="2591"/>
      <c r="K1717" s="2591"/>
      <c r="L1717" s="2591"/>
      <c r="M1717" s="2591"/>
      <c r="N1717" s="2591"/>
      <c r="O1717" s="2591"/>
      <c r="P1717" s="2591"/>
      <c r="Q1717" s="2591"/>
      <c r="R1717" s="2591"/>
      <c r="S1717" s="2591"/>
    </row>
    <row r="1718" spans="1:19">
      <c r="A1718" s="2590"/>
      <c r="B1718" s="2591"/>
      <c r="C1718" s="2591"/>
      <c r="D1718" s="2591"/>
      <c r="E1718" s="2591"/>
      <c r="F1718" s="2591"/>
      <c r="G1718" s="2591"/>
      <c r="H1718" s="2591"/>
      <c r="I1718" s="2591"/>
      <c r="J1718" s="2591"/>
      <c r="K1718" s="2591"/>
      <c r="L1718" s="2591"/>
      <c r="M1718" s="2591"/>
      <c r="N1718" s="2591"/>
      <c r="O1718" s="2591"/>
      <c r="P1718" s="2591"/>
      <c r="Q1718" s="2591"/>
      <c r="R1718" s="2591"/>
      <c r="S1718" s="2591"/>
    </row>
    <row r="1719" spans="1:19">
      <c r="A1719" s="2590"/>
      <c r="B1719" s="2591"/>
      <c r="C1719" s="2591"/>
      <c r="D1719" s="2591"/>
      <c r="E1719" s="2591"/>
      <c r="F1719" s="2591"/>
      <c r="G1719" s="2591"/>
      <c r="H1719" s="2591"/>
      <c r="I1719" s="2591"/>
      <c r="J1719" s="2591"/>
      <c r="K1719" s="2591"/>
      <c r="L1719" s="2591"/>
      <c r="M1719" s="2591"/>
      <c r="N1719" s="2591"/>
      <c r="O1719" s="2591"/>
      <c r="P1719" s="2591"/>
      <c r="Q1719" s="2591"/>
      <c r="R1719" s="2591"/>
      <c r="S1719" s="2591"/>
    </row>
    <row r="1720" spans="1:19">
      <c r="A1720" s="2590"/>
      <c r="B1720" s="2591"/>
      <c r="C1720" s="2591"/>
      <c r="D1720" s="2591"/>
      <c r="E1720" s="2591"/>
      <c r="F1720" s="2591"/>
      <c r="G1720" s="2591"/>
      <c r="H1720" s="2591"/>
      <c r="I1720" s="2591"/>
      <c r="J1720" s="2591"/>
      <c r="K1720" s="2591"/>
      <c r="L1720" s="2591"/>
      <c r="M1720" s="2591"/>
      <c r="N1720" s="2591"/>
      <c r="O1720" s="2591"/>
      <c r="P1720" s="2591"/>
      <c r="Q1720" s="2591"/>
      <c r="R1720" s="2591"/>
      <c r="S1720" s="2591"/>
    </row>
    <row r="1721" spans="1:19">
      <c r="A1721" s="2590"/>
      <c r="B1721" s="2591"/>
      <c r="C1721" s="2591"/>
      <c r="D1721" s="2591"/>
      <c r="E1721" s="2591"/>
      <c r="F1721" s="2591"/>
      <c r="G1721" s="2591"/>
      <c r="H1721" s="2591"/>
      <c r="I1721" s="2591"/>
      <c r="J1721" s="2591"/>
      <c r="K1721" s="2591"/>
      <c r="L1721" s="2591"/>
      <c r="M1721" s="2591"/>
      <c r="N1721" s="2591"/>
      <c r="O1721" s="2591"/>
      <c r="P1721" s="2591"/>
      <c r="Q1721" s="2591"/>
      <c r="R1721" s="2591"/>
      <c r="S1721" s="2591"/>
    </row>
    <row r="1722" spans="1:19">
      <c r="A1722" s="2590"/>
      <c r="B1722" s="2591"/>
      <c r="C1722" s="2591"/>
      <c r="D1722" s="2591"/>
      <c r="E1722" s="2591"/>
      <c r="F1722" s="2591"/>
      <c r="G1722" s="2591"/>
      <c r="H1722" s="2591"/>
      <c r="I1722" s="2591"/>
      <c r="J1722" s="2591"/>
      <c r="K1722" s="2591"/>
      <c r="L1722" s="2591"/>
      <c r="M1722" s="2591"/>
      <c r="N1722" s="2591"/>
      <c r="O1722" s="2591"/>
      <c r="P1722" s="2591"/>
      <c r="Q1722" s="2591"/>
      <c r="R1722" s="2591"/>
      <c r="S1722" s="2591"/>
    </row>
    <row r="1723" spans="1:19">
      <c r="A1723" s="2590"/>
      <c r="B1723" s="2591"/>
      <c r="C1723" s="2591"/>
      <c r="D1723" s="2591"/>
      <c r="E1723" s="2591"/>
      <c r="F1723" s="2591"/>
      <c r="G1723" s="2591"/>
      <c r="H1723" s="2591"/>
      <c r="I1723" s="2591"/>
      <c r="J1723" s="2591"/>
      <c r="K1723" s="2591"/>
      <c r="L1723" s="2591"/>
      <c r="M1723" s="2591"/>
      <c r="N1723" s="2591"/>
      <c r="O1723" s="2591"/>
      <c r="P1723" s="2591"/>
      <c r="Q1723" s="2591"/>
      <c r="R1723" s="2591"/>
      <c r="S1723" s="2591"/>
    </row>
    <row r="1724" spans="1:19">
      <c r="A1724" s="2590"/>
      <c r="B1724" s="2591"/>
      <c r="C1724" s="2591"/>
      <c r="D1724" s="2591"/>
      <c r="E1724" s="2591"/>
      <c r="F1724" s="2591"/>
      <c r="G1724" s="2591"/>
      <c r="H1724" s="2591"/>
      <c r="I1724" s="2591"/>
      <c r="J1724" s="2591"/>
      <c r="K1724" s="2591"/>
      <c r="L1724" s="2591"/>
      <c r="M1724" s="2591"/>
      <c r="N1724" s="2591"/>
      <c r="O1724" s="2591"/>
      <c r="P1724" s="2591"/>
      <c r="Q1724" s="2591"/>
      <c r="R1724" s="2591"/>
      <c r="S1724" s="2591"/>
    </row>
    <row r="1725" spans="1:19">
      <c r="A1725" s="2590"/>
      <c r="B1725" s="2591"/>
      <c r="C1725" s="2591"/>
      <c r="D1725" s="2591"/>
      <c r="E1725" s="2591"/>
      <c r="F1725" s="2591"/>
      <c r="G1725" s="2591"/>
      <c r="H1725" s="2591"/>
      <c r="I1725" s="2591"/>
      <c r="J1725" s="2591"/>
      <c r="K1725" s="2591"/>
      <c r="L1725" s="2591"/>
      <c r="M1725" s="2591"/>
      <c r="N1725" s="2591"/>
      <c r="O1725" s="2591"/>
      <c r="P1725" s="2591"/>
      <c r="Q1725" s="2591"/>
      <c r="R1725" s="2591"/>
      <c r="S1725" s="2591"/>
    </row>
    <row r="1726" spans="1:19">
      <c r="A1726" s="2590"/>
      <c r="B1726" s="2591"/>
      <c r="C1726" s="2591"/>
      <c r="D1726" s="2591"/>
      <c r="E1726" s="2591"/>
      <c r="F1726" s="2591"/>
      <c r="G1726" s="2591"/>
      <c r="H1726" s="2591"/>
      <c r="I1726" s="2591"/>
      <c r="J1726" s="2591"/>
      <c r="K1726" s="2591"/>
      <c r="L1726" s="2591"/>
      <c r="M1726" s="2591"/>
      <c r="N1726" s="2591"/>
      <c r="O1726" s="2591"/>
      <c r="P1726" s="2591"/>
      <c r="Q1726" s="2591"/>
      <c r="R1726" s="2591"/>
      <c r="S1726" s="2591"/>
    </row>
    <row r="1727" spans="1:19">
      <c r="A1727" s="2590"/>
      <c r="B1727" s="2591"/>
      <c r="C1727" s="2591"/>
      <c r="D1727" s="2591"/>
      <c r="E1727" s="2591"/>
      <c r="F1727" s="2591"/>
      <c r="G1727" s="2591"/>
      <c r="H1727" s="2591"/>
      <c r="I1727" s="2591"/>
      <c r="J1727" s="2591"/>
      <c r="K1727" s="2591"/>
      <c r="L1727" s="2591"/>
      <c r="M1727" s="2591"/>
      <c r="N1727" s="2591"/>
      <c r="O1727" s="2591"/>
      <c r="P1727" s="2591"/>
      <c r="Q1727" s="2591"/>
      <c r="R1727" s="2591"/>
      <c r="S1727" s="2591"/>
    </row>
    <row r="1728" spans="1:19">
      <c r="A1728" s="2590"/>
      <c r="B1728" s="2591"/>
      <c r="C1728" s="2591"/>
      <c r="D1728" s="2591"/>
      <c r="E1728" s="2591"/>
      <c r="F1728" s="2591"/>
      <c r="G1728" s="2591"/>
      <c r="H1728" s="2591"/>
      <c r="I1728" s="2591"/>
      <c r="J1728" s="2591"/>
      <c r="K1728" s="2591"/>
      <c r="L1728" s="2591"/>
      <c r="M1728" s="2591"/>
      <c r="N1728" s="2591"/>
      <c r="O1728" s="2591"/>
      <c r="P1728" s="2591"/>
      <c r="Q1728" s="2591"/>
      <c r="R1728" s="2591"/>
      <c r="S1728" s="2591"/>
    </row>
    <row r="1729" spans="1:19">
      <c r="A1729" s="2590"/>
      <c r="B1729" s="2591"/>
      <c r="C1729" s="2591"/>
      <c r="D1729" s="2591"/>
      <c r="E1729" s="2591"/>
      <c r="F1729" s="2591"/>
      <c r="G1729" s="2591"/>
      <c r="H1729" s="2591"/>
      <c r="I1729" s="2591"/>
      <c r="J1729" s="2591"/>
      <c r="K1729" s="2591"/>
      <c r="L1729" s="2591"/>
      <c r="M1729" s="2591"/>
      <c r="N1729" s="2591"/>
      <c r="O1729" s="2591"/>
      <c r="P1729" s="2591"/>
      <c r="Q1729" s="2591"/>
      <c r="R1729" s="2591"/>
      <c r="S1729" s="2591"/>
    </row>
    <row r="1730" spans="1:19">
      <c r="A1730" s="2590"/>
      <c r="B1730" s="2591"/>
      <c r="C1730" s="2591"/>
      <c r="D1730" s="2591"/>
      <c r="E1730" s="2591"/>
      <c r="F1730" s="2591"/>
      <c r="G1730" s="2591"/>
      <c r="H1730" s="2591"/>
      <c r="I1730" s="2591"/>
      <c r="J1730" s="2591"/>
      <c r="K1730" s="2591"/>
      <c r="L1730" s="2591"/>
      <c r="M1730" s="2591"/>
      <c r="N1730" s="2591"/>
      <c r="O1730" s="2591"/>
      <c r="P1730" s="2591"/>
      <c r="Q1730" s="2591"/>
      <c r="R1730" s="2591"/>
      <c r="S1730" s="2591"/>
    </row>
    <row r="1731" spans="1:19">
      <c r="A1731" s="2590"/>
      <c r="B1731" s="2591"/>
      <c r="C1731" s="2591"/>
      <c r="D1731" s="2591"/>
      <c r="E1731" s="2591"/>
      <c r="F1731" s="2591"/>
      <c r="G1731" s="2591"/>
      <c r="H1731" s="2591"/>
      <c r="I1731" s="2591"/>
      <c r="J1731" s="2591"/>
      <c r="K1731" s="2591"/>
      <c r="L1731" s="2591"/>
      <c r="M1731" s="2591"/>
      <c r="N1731" s="2591"/>
      <c r="O1731" s="2591"/>
      <c r="P1731" s="2591"/>
      <c r="Q1731" s="2591"/>
      <c r="R1731" s="2591"/>
      <c r="S1731" s="2591"/>
    </row>
    <row r="1732" spans="1:19">
      <c r="A1732" s="2590"/>
      <c r="B1732" s="2591"/>
      <c r="C1732" s="2591"/>
      <c r="D1732" s="2591"/>
      <c r="E1732" s="2591"/>
      <c r="F1732" s="2591"/>
      <c r="G1732" s="2591"/>
      <c r="H1732" s="2591"/>
      <c r="I1732" s="2591"/>
      <c r="J1732" s="2591"/>
      <c r="K1732" s="2591"/>
      <c r="L1732" s="2591"/>
      <c r="M1732" s="2591"/>
      <c r="N1732" s="2591"/>
      <c r="O1732" s="2591"/>
      <c r="P1732" s="2591"/>
      <c r="Q1732" s="2591"/>
      <c r="R1732" s="2591"/>
      <c r="S1732" s="2591"/>
    </row>
    <row r="1733" spans="1:19">
      <c r="A1733" s="2590"/>
      <c r="B1733" s="2591"/>
      <c r="C1733" s="2591"/>
      <c r="D1733" s="2591"/>
      <c r="E1733" s="2591"/>
      <c r="F1733" s="2591"/>
      <c r="G1733" s="2591"/>
      <c r="H1733" s="2591"/>
      <c r="I1733" s="2591"/>
      <c r="J1733" s="2591"/>
      <c r="K1733" s="2591"/>
      <c r="L1733" s="2591"/>
      <c r="M1733" s="2591"/>
      <c r="N1733" s="2591"/>
      <c r="O1733" s="2591"/>
      <c r="P1733" s="2591"/>
      <c r="Q1733" s="2591"/>
      <c r="R1733" s="2591"/>
      <c r="S1733" s="2591"/>
    </row>
    <row r="1734" spans="1:19">
      <c r="A1734" s="2590"/>
      <c r="B1734" s="2591"/>
      <c r="C1734" s="2591"/>
      <c r="D1734" s="2591"/>
      <c r="E1734" s="2591"/>
      <c r="F1734" s="2591"/>
      <c r="G1734" s="2591"/>
      <c r="H1734" s="2591"/>
      <c r="I1734" s="2591"/>
      <c r="J1734" s="2591"/>
      <c r="K1734" s="2591"/>
      <c r="L1734" s="2591"/>
      <c r="M1734" s="2591"/>
      <c r="N1734" s="2591"/>
      <c r="O1734" s="2591"/>
      <c r="P1734" s="2591"/>
      <c r="Q1734" s="2591"/>
      <c r="R1734" s="2591"/>
      <c r="S1734" s="2591"/>
    </row>
    <row r="1735" spans="1:19">
      <c r="A1735" s="2590"/>
      <c r="B1735" s="2591"/>
      <c r="C1735" s="2591"/>
      <c r="D1735" s="2591"/>
      <c r="E1735" s="2591"/>
      <c r="F1735" s="2591"/>
      <c r="G1735" s="2591"/>
      <c r="H1735" s="2591"/>
      <c r="I1735" s="2591"/>
      <c r="J1735" s="2591"/>
      <c r="K1735" s="2591"/>
      <c r="L1735" s="2591"/>
      <c r="M1735" s="2591"/>
      <c r="N1735" s="2591"/>
      <c r="O1735" s="2591"/>
      <c r="P1735" s="2591"/>
      <c r="Q1735" s="2591"/>
      <c r="R1735" s="2591"/>
      <c r="S1735" s="2591"/>
    </row>
    <row r="1736" spans="1:19">
      <c r="A1736" s="2590"/>
      <c r="B1736" s="2591"/>
      <c r="C1736" s="2591"/>
      <c r="D1736" s="2591"/>
      <c r="E1736" s="2591"/>
      <c r="F1736" s="2591"/>
      <c r="G1736" s="2591"/>
      <c r="H1736" s="2591"/>
      <c r="I1736" s="2591"/>
      <c r="J1736" s="2591"/>
      <c r="K1736" s="2591"/>
      <c r="L1736" s="2591"/>
      <c r="M1736" s="2591"/>
      <c r="N1736" s="2591"/>
      <c r="O1736" s="2591"/>
      <c r="P1736" s="2591"/>
      <c r="Q1736" s="2591"/>
      <c r="R1736" s="2591"/>
      <c r="S1736" s="2591"/>
    </row>
    <row r="1737" spans="1:19">
      <c r="A1737" s="2590"/>
      <c r="B1737" s="2591"/>
      <c r="C1737" s="2591"/>
      <c r="D1737" s="2591"/>
      <c r="E1737" s="2591"/>
      <c r="F1737" s="2591"/>
      <c r="G1737" s="2591"/>
      <c r="H1737" s="2591"/>
      <c r="I1737" s="2591"/>
      <c r="J1737" s="2591"/>
      <c r="K1737" s="2591"/>
      <c r="L1737" s="2591"/>
      <c r="M1737" s="2591"/>
      <c r="N1737" s="2591"/>
      <c r="O1737" s="2591"/>
      <c r="P1737" s="2591"/>
      <c r="Q1737" s="2591"/>
      <c r="R1737" s="2591"/>
      <c r="S1737" s="2591"/>
    </row>
    <row r="1738" spans="1:19">
      <c r="A1738" s="2590"/>
      <c r="B1738" s="2591"/>
      <c r="C1738" s="2591"/>
      <c r="D1738" s="2591"/>
      <c r="E1738" s="2591"/>
      <c r="F1738" s="2591"/>
      <c r="G1738" s="2591"/>
      <c r="H1738" s="2591"/>
      <c r="I1738" s="2591"/>
      <c r="J1738" s="2591"/>
      <c r="K1738" s="2591"/>
      <c r="L1738" s="2591"/>
      <c r="M1738" s="2591"/>
      <c r="N1738" s="2591"/>
      <c r="O1738" s="2591"/>
      <c r="P1738" s="2591"/>
      <c r="Q1738" s="2591"/>
      <c r="R1738" s="2591"/>
      <c r="S1738" s="2591"/>
    </row>
    <row r="1739" spans="1:19">
      <c r="A1739" s="2590"/>
      <c r="B1739" s="2591"/>
      <c r="C1739" s="2591"/>
      <c r="D1739" s="2591"/>
      <c r="E1739" s="2591"/>
      <c r="F1739" s="2591"/>
      <c r="G1739" s="2591"/>
      <c r="H1739" s="2591"/>
      <c r="I1739" s="2591"/>
      <c r="J1739" s="2591"/>
      <c r="K1739" s="2591"/>
      <c r="L1739" s="2591"/>
      <c r="M1739" s="2591"/>
      <c r="N1739" s="2591"/>
      <c r="O1739" s="2591"/>
      <c r="P1739" s="2591"/>
      <c r="Q1739" s="2591"/>
      <c r="R1739" s="2591"/>
      <c r="S1739" s="2591"/>
    </row>
    <row r="1740" spans="1:19">
      <c r="A1740" s="2590"/>
      <c r="B1740" s="2591"/>
      <c r="C1740" s="2591"/>
      <c r="D1740" s="2591"/>
      <c r="E1740" s="2591"/>
      <c r="F1740" s="2591"/>
      <c r="G1740" s="2591"/>
      <c r="H1740" s="2591"/>
      <c r="I1740" s="2591"/>
      <c r="J1740" s="2591"/>
      <c r="K1740" s="2591"/>
      <c r="L1740" s="2591"/>
      <c r="M1740" s="2591"/>
      <c r="N1740" s="2591"/>
      <c r="O1740" s="2591"/>
      <c r="P1740" s="2591"/>
      <c r="Q1740" s="2591"/>
      <c r="R1740" s="2591"/>
      <c r="S1740" s="2591"/>
    </row>
    <row r="1741" spans="1:19">
      <c r="A1741" s="2590"/>
      <c r="B1741" s="2591"/>
      <c r="C1741" s="2591"/>
      <c r="D1741" s="2591"/>
      <c r="E1741" s="2591"/>
      <c r="F1741" s="2591"/>
      <c r="G1741" s="2591"/>
      <c r="H1741" s="2591"/>
      <c r="I1741" s="2591"/>
      <c r="J1741" s="2591"/>
      <c r="K1741" s="2591"/>
      <c r="L1741" s="2591"/>
      <c r="M1741" s="2591"/>
      <c r="N1741" s="2591"/>
      <c r="O1741" s="2591"/>
      <c r="P1741" s="2591"/>
      <c r="Q1741" s="2591"/>
      <c r="R1741" s="2591"/>
      <c r="S1741" s="2591"/>
    </row>
    <row r="1742" spans="1:19">
      <c r="A1742" s="2590"/>
      <c r="B1742" s="2591"/>
      <c r="C1742" s="2591"/>
      <c r="D1742" s="2591"/>
      <c r="E1742" s="2591"/>
      <c r="F1742" s="2591"/>
      <c r="G1742" s="2591"/>
      <c r="H1742" s="2591"/>
      <c r="I1742" s="2591"/>
      <c r="J1742" s="2591"/>
      <c r="K1742" s="2591"/>
      <c r="L1742" s="2591"/>
      <c r="M1742" s="2591"/>
      <c r="N1742" s="2591"/>
      <c r="O1742" s="2591"/>
      <c r="P1742" s="2591"/>
      <c r="Q1742" s="2591"/>
      <c r="R1742" s="2591"/>
      <c r="S1742" s="2591"/>
    </row>
    <row r="1743" spans="1:19">
      <c r="A1743" s="2590"/>
      <c r="B1743" s="2591"/>
      <c r="C1743" s="2591"/>
      <c r="D1743" s="2591"/>
      <c r="E1743" s="2591"/>
      <c r="F1743" s="2591"/>
      <c r="G1743" s="2591"/>
      <c r="H1743" s="2591"/>
      <c r="I1743" s="2591"/>
      <c r="J1743" s="2591"/>
      <c r="K1743" s="2591"/>
      <c r="L1743" s="2591"/>
      <c r="M1743" s="2591"/>
      <c r="N1743" s="2591"/>
      <c r="O1743" s="2591"/>
      <c r="P1743" s="2591"/>
      <c r="Q1743" s="2591"/>
      <c r="R1743" s="2591"/>
      <c r="S1743" s="2591"/>
    </row>
    <row r="1744" spans="1:19">
      <c r="A1744" s="2590"/>
      <c r="B1744" s="2591"/>
      <c r="C1744" s="2591"/>
      <c r="D1744" s="2591"/>
      <c r="E1744" s="2591"/>
      <c r="F1744" s="2591"/>
      <c r="G1744" s="2591"/>
      <c r="H1744" s="2591"/>
      <c r="I1744" s="2591"/>
      <c r="J1744" s="2591"/>
      <c r="K1744" s="2591"/>
      <c r="L1744" s="2591"/>
      <c r="M1744" s="2591"/>
      <c r="N1744" s="2591"/>
      <c r="O1744" s="2591"/>
      <c r="P1744" s="2591"/>
      <c r="Q1744" s="2591"/>
      <c r="R1744" s="2591"/>
      <c r="S1744" s="2591"/>
    </row>
    <row r="1745" spans="1:19">
      <c r="A1745" s="2590"/>
      <c r="B1745" s="2591"/>
      <c r="C1745" s="2591"/>
      <c r="D1745" s="2591"/>
      <c r="E1745" s="2591"/>
      <c r="F1745" s="2591"/>
      <c r="G1745" s="2591"/>
      <c r="H1745" s="2591"/>
      <c r="I1745" s="2591"/>
      <c r="J1745" s="2591"/>
      <c r="K1745" s="2591"/>
      <c r="L1745" s="2591"/>
      <c r="M1745" s="2591"/>
      <c r="N1745" s="2591"/>
      <c r="O1745" s="2591"/>
      <c r="P1745" s="2591"/>
      <c r="Q1745" s="2591"/>
      <c r="R1745" s="2591"/>
      <c r="S1745" s="2591"/>
    </row>
    <row r="1746" spans="1:19">
      <c r="A1746" s="2590"/>
      <c r="B1746" s="2591"/>
      <c r="C1746" s="2591"/>
      <c r="D1746" s="2591"/>
      <c r="E1746" s="2591"/>
      <c r="F1746" s="2591"/>
      <c r="G1746" s="2591"/>
      <c r="H1746" s="2591"/>
      <c r="I1746" s="2591"/>
      <c r="J1746" s="2591"/>
      <c r="K1746" s="2591"/>
      <c r="L1746" s="2591"/>
      <c r="M1746" s="2591"/>
      <c r="N1746" s="2591"/>
      <c r="O1746" s="2591"/>
      <c r="P1746" s="2591"/>
      <c r="Q1746" s="2591"/>
      <c r="R1746" s="2591"/>
      <c r="S1746" s="2591"/>
    </row>
    <row r="1747" spans="1:19">
      <c r="A1747" s="2590"/>
      <c r="B1747" s="2591"/>
      <c r="C1747" s="2591"/>
      <c r="D1747" s="2591"/>
      <c r="E1747" s="2591"/>
      <c r="F1747" s="2591"/>
      <c r="G1747" s="2591"/>
      <c r="H1747" s="2591"/>
      <c r="I1747" s="2591"/>
      <c r="J1747" s="2591"/>
      <c r="K1747" s="2591"/>
      <c r="L1747" s="2591"/>
      <c r="M1747" s="2591"/>
      <c r="N1747" s="2591"/>
      <c r="O1747" s="2591"/>
      <c r="P1747" s="2591"/>
      <c r="Q1747" s="2591"/>
      <c r="R1747" s="2591"/>
      <c r="S1747" s="2591"/>
    </row>
    <row r="1748" spans="1:19">
      <c r="A1748" s="2590"/>
      <c r="B1748" s="2591"/>
      <c r="C1748" s="2591"/>
      <c r="D1748" s="2591"/>
      <c r="E1748" s="2591"/>
      <c r="F1748" s="2591"/>
      <c r="G1748" s="2591"/>
      <c r="H1748" s="2591"/>
      <c r="I1748" s="2591"/>
      <c r="J1748" s="2591"/>
      <c r="K1748" s="2591"/>
      <c r="L1748" s="2591"/>
      <c r="M1748" s="2591"/>
      <c r="N1748" s="2591"/>
      <c r="O1748" s="2591"/>
      <c r="P1748" s="2591"/>
      <c r="Q1748" s="2591"/>
      <c r="R1748" s="2591"/>
      <c r="S1748" s="2591"/>
    </row>
    <row r="1749" spans="1:19">
      <c r="A1749" s="2590"/>
      <c r="B1749" s="2591"/>
      <c r="C1749" s="2591"/>
      <c r="D1749" s="2591"/>
      <c r="E1749" s="2591"/>
      <c r="F1749" s="2591"/>
      <c r="G1749" s="2591"/>
      <c r="H1749" s="2591"/>
      <c r="I1749" s="2591"/>
      <c r="J1749" s="2591"/>
      <c r="K1749" s="2591"/>
      <c r="L1749" s="2591"/>
      <c r="M1749" s="2591"/>
      <c r="N1749" s="2591"/>
      <c r="O1749" s="2591"/>
      <c r="P1749" s="2591"/>
      <c r="Q1749" s="2591"/>
      <c r="R1749" s="2591"/>
      <c r="S1749" s="2591"/>
    </row>
    <row r="1750" spans="1:19">
      <c r="A1750" s="2590"/>
      <c r="B1750" s="2591"/>
      <c r="C1750" s="2591"/>
      <c r="D1750" s="2591"/>
      <c r="E1750" s="2591"/>
      <c r="F1750" s="2591"/>
      <c r="G1750" s="2591"/>
      <c r="H1750" s="2591"/>
      <c r="I1750" s="2591"/>
      <c r="J1750" s="2591"/>
      <c r="K1750" s="2591"/>
      <c r="L1750" s="2591"/>
      <c r="M1750" s="2591"/>
      <c r="N1750" s="2591"/>
      <c r="O1750" s="2591"/>
      <c r="P1750" s="2591"/>
      <c r="Q1750" s="2591"/>
      <c r="R1750" s="2591"/>
      <c r="S1750" s="2591"/>
    </row>
    <row r="1751" spans="1:19">
      <c r="A1751" s="2590"/>
      <c r="B1751" s="2591"/>
      <c r="C1751" s="2591"/>
      <c r="D1751" s="2591"/>
      <c r="E1751" s="2591"/>
      <c r="F1751" s="2591"/>
      <c r="G1751" s="2591"/>
      <c r="H1751" s="2591"/>
      <c r="I1751" s="2591"/>
      <c r="J1751" s="2591"/>
      <c r="K1751" s="2591"/>
      <c r="L1751" s="2591"/>
      <c r="M1751" s="2591"/>
      <c r="N1751" s="2591"/>
      <c r="O1751" s="2591"/>
      <c r="P1751" s="2591"/>
      <c r="Q1751" s="2591"/>
      <c r="R1751" s="2591"/>
      <c r="S1751" s="2591"/>
    </row>
    <row r="1752" spans="1:19">
      <c r="A1752" s="2590"/>
      <c r="B1752" s="2591"/>
      <c r="C1752" s="2591"/>
      <c r="D1752" s="2591"/>
      <c r="E1752" s="2591"/>
      <c r="F1752" s="2591"/>
      <c r="G1752" s="2591"/>
      <c r="H1752" s="2591"/>
      <c r="I1752" s="2591"/>
      <c r="J1752" s="2591"/>
      <c r="K1752" s="2591"/>
      <c r="L1752" s="2591"/>
      <c r="M1752" s="2591"/>
      <c r="N1752" s="2591"/>
      <c r="O1752" s="2591"/>
      <c r="P1752" s="2591"/>
      <c r="Q1752" s="2591"/>
      <c r="R1752" s="2591"/>
      <c r="S1752" s="2591"/>
    </row>
    <row r="1753" spans="1:19">
      <c r="A1753" s="2590"/>
      <c r="B1753" s="2591"/>
      <c r="C1753" s="2591"/>
      <c r="D1753" s="2591"/>
      <c r="E1753" s="2591"/>
      <c r="F1753" s="2591"/>
      <c r="G1753" s="2591"/>
      <c r="H1753" s="2591"/>
      <c r="I1753" s="2591"/>
      <c r="J1753" s="2591"/>
      <c r="K1753" s="2591"/>
      <c r="L1753" s="2591"/>
      <c r="M1753" s="2591"/>
      <c r="N1753" s="2591"/>
      <c r="O1753" s="2591"/>
      <c r="P1753" s="2591"/>
      <c r="Q1753" s="2591"/>
      <c r="R1753" s="2591"/>
      <c r="S1753" s="2591"/>
    </row>
    <row r="1754" spans="1:19">
      <c r="A1754" s="2590"/>
      <c r="B1754" s="2591"/>
      <c r="C1754" s="2591"/>
      <c r="D1754" s="2591"/>
      <c r="E1754" s="2591"/>
      <c r="F1754" s="2591"/>
      <c r="G1754" s="2591"/>
      <c r="H1754" s="2591"/>
      <c r="I1754" s="2591"/>
      <c r="J1754" s="2591"/>
      <c r="K1754" s="2591"/>
      <c r="L1754" s="2591"/>
      <c r="M1754" s="2591"/>
      <c r="N1754" s="2591"/>
      <c r="O1754" s="2591"/>
      <c r="P1754" s="2591"/>
      <c r="Q1754" s="2591"/>
      <c r="R1754" s="2591"/>
      <c r="S1754" s="2591"/>
    </row>
    <row r="1755" spans="1:19">
      <c r="A1755" s="2590"/>
      <c r="B1755" s="2591"/>
      <c r="C1755" s="2591"/>
      <c r="D1755" s="2591"/>
      <c r="E1755" s="2591"/>
      <c r="F1755" s="2591"/>
      <c r="G1755" s="2591"/>
      <c r="H1755" s="2591"/>
      <c r="I1755" s="2591"/>
      <c r="J1755" s="2591"/>
      <c r="K1755" s="2591"/>
      <c r="L1755" s="2591"/>
      <c r="M1755" s="2591"/>
      <c r="N1755" s="2591"/>
      <c r="O1755" s="2591"/>
      <c r="P1755" s="2591"/>
      <c r="Q1755" s="2591"/>
      <c r="R1755" s="2591"/>
      <c r="S1755" s="2591"/>
    </row>
    <row r="1756" spans="1:19">
      <c r="A1756" s="2590"/>
      <c r="B1756" s="2591"/>
      <c r="C1756" s="2591"/>
      <c r="D1756" s="2591"/>
      <c r="E1756" s="2591"/>
      <c r="F1756" s="2591"/>
      <c r="G1756" s="2591"/>
      <c r="H1756" s="2591"/>
      <c r="I1756" s="2591"/>
      <c r="J1756" s="2591"/>
      <c r="K1756" s="2591"/>
      <c r="L1756" s="2591"/>
      <c r="M1756" s="2591"/>
      <c r="N1756" s="2591"/>
      <c r="O1756" s="2591"/>
      <c r="P1756" s="2591"/>
      <c r="Q1756" s="2591"/>
      <c r="R1756" s="2591"/>
      <c r="S1756" s="2591"/>
    </row>
    <row r="1757" spans="1:19">
      <c r="A1757" s="2590"/>
      <c r="B1757" s="2591"/>
      <c r="C1757" s="2591"/>
      <c r="D1757" s="2591"/>
      <c r="E1757" s="2591"/>
      <c r="F1757" s="2591"/>
      <c r="G1757" s="2591"/>
      <c r="H1757" s="2591"/>
      <c r="I1757" s="2591"/>
      <c r="J1757" s="2591"/>
      <c r="K1757" s="2591"/>
      <c r="L1757" s="2591"/>
      <c r="M1757" s="2591"/>
      <c r="N1757" s="2591"/>
      <c r="O1757" s="2591"/>
      <c r="P1757" s="2591"/>
      <c r="Q1757" s="2591"/>
      <c r="R1757" s="2591"/>
      <c r="S1757" s="2591"/>
    </row>
    <row r="1758" spans="1:19">
      <c r="A1758" s="2590"/>
      <c r="B1758" s="2591"/>
      <c r="C1758" s="2591"/>
      <c r="D1758" s="2591"/>
      <c r="E1758" s="2591"/>
      <c r="F1758" s="2591"/>
      <c r="G1758" s="2591"/>
      <c r="H1758" s="2591"/>
      <c r="I1758" s="2591"/>
      <c r="J1758" s="2591"/>
      <c r="K1758" s="2591"/>
      <c r="L1758" s="2591"/>
      <c r="M1758" s="2591"/>
      <c r="N1758" s="2591"/>
      <c r="O1758" s="2591"/>
      <c r="P1758" s="2591"/>
      <c r="Q1758" s="2591"/>
      <c r="R1758" s="2591"/>
      <c r="S1758" s="2591"/>
    </row>
    <row r="1759" spans="1:19">
      <c r="A1759" s="2590"/>
      <c r="B1759" s="2591"/>
      <c r="C1759" s="2591"/>
      <c r="D1759" s="2591"/>
      <c r="E1759" s="2591"/>
      <c r="F1759" s="2591"/>
      <c r="G1759" s="2591"/>
      <c r="H1759" s="2591"/>
      <c r="I1759" s="2591"/>
      <c r="J1759" s="2591"/>
      <c r="K1759" s="2591"/>
      <c r="L1759" s="2591"/>
      <c r="M1759" s="2591"/>
      <c r="N1759" s="2591"/>
      <c r="O1759" s="2591"/>
      <c r="P1759" s="2591"/>
      <c r="Q1759" s="2591"/>
      <c r="R1759" s="2591"/>
      <c r="S1759" s="2591"/>
    </row>
    <row r="1760" spans="1:19">
      <c r="A1760" s="2590"/>
      <c r="B1760" s="2591"/>
      <c r="C1760" s="2591"/>
      <c r="D1760" s="2591"/>
      <c r="E1760" s="2591"/>
      <c r="F1760" s="2591"/>
      <c r="G1760" s="2591"/>
      <c r="H1760" s="2591"/>
      <c r="I1760" s="2591"/>
      <c r="J1760" s="2591"/>
      <c r="K1760" s="2591"/>
      <c r="L1760" s="2591"/>
      <c r="M1760" s="2591"/>
      <c r="N1760" s="2591"/>
      <c r="O1760" s="2591"/>
      <c r="P1760" s="2591"/>
      <c r="Q1760" s="2591"/>
      <c r="R1760" s="2591"/>
      <c r="S1760" s="2591"/>
    </row>
    <row r="1761" spans="1:19">
      <c r="A1761" s="2590"/>
      <c r="B1761" s="2591"/>
      <c r="C1761" s="2591"/>
      <c r="D1761" s="2591"/>
      <c r="E1761" s="2591"/>
      <c r="F1761" s="2591"/>
      <c r="G1761" s="2591"/>
      <c r="H1761" s="2591"/>
      <c r="I1761" s="2591"/>
      <c r="J1761" s="2591"/>
      <c r="K1761" s="2591"/>
      <c r="L1761" s="2591"/>
      <c r="M1761" s="2591"/>
      <c r="N1761" s="2591"/>
      <c r="O1761" s="2591"/>
      <c r="P1761" s="2591"/>
      <c r="Q1761" s="2591"/>
      <c r="R1761" s="2591"/>
      <c r="S1761" s="2591"/>
    </row>
    <row r="1762" spans="1:19">
      <c r="A1762" s="2590"/>
      <c r="B1762" s="2591"/>
      <c r="C1762" s="2591"/>
      <c r="D1762" s="2591"/>
      <c r="E1762" s="2591"/>
      <c r="F1762" s="2591"/>
      <c r="G1762" s="2591"/>
      <c r="H1762" s="2591"/>
      <c r="I1762" s="2591"/>
      <c r="J1762" s="2591"/>
      <c r="K1762" s="2591"/>
      <c r="L1762" s="2591"/>
      <c r="M1762" s="2591"/>
      <c r="N1762" s="2591"/>
      <c r="O1762" s="2591"/>
      <c r="P1762" s="2591"/>
      <c r="Q1762" s="2591"/>
      <c r="R1762" s="2591"/>
      <c r="S1762" s="2591"/>
    </row>
    <row r="1763" spans="1:19">
      <c r="A1763" s="2590"/>
      <c r="B1763" s="2591"/>
      <c r="C1763" s="2591"/>
      <c r="D1763" s="2591"/>
      <c r="E1763" s="2591"/>
      <c r="F1763" s="2591"/>
      <c r="G1763" s="2591"/>
      <c r="H1763" s="2591"/>
      <c r="I1763" s="2591"/>
      <c r="J1763" s="2591"/>
      <c r="K1763" s="2591"/>
      <c r="L1763" s="2591"/>
      <c r="M1763" s="2591"/>
      <c r="N1763" s="2591"/>
      <c r="O1763" s="2591"/>
      <c r="P1763" s="2591"/>
      <c r="Q1763" s="2591"/>
      <c r="R1763" s="2591"/>
      <c r="S1763" s="2591"/>
    </row>
    <row r="1764" spans="1:19">
      <c r="A1764" s="2590"/>
      <c r="B1764" s="2591"/>
      <c r="C1764" s="2591"/>
      <c r="D1764" s="2591"/>
      <c r="E1764" s="2591"/>
      <c r="F1764" s="2591"/>
      <c r="G1764" s="2591"/>
      <c r="H1764" s="2591"/>
      <c r="I1764" s="2591"/>
      <c r="J1764" s="2591"/>
      <c r="K1764" s="2591"/>
      <c r="L1764" s="2591"/>
      <c r="M1764" s="2591"/>
      <c r="N1764" s="2591"/>
      <c r="O1764" s="2591"/>
      <c r="P1764" s="2591"/>
      <c r="Q1764" s="2591"/>
      <c r="R1764" s="2591"/>
      <c r="S1764" s="2591"/>
    </row>
    <row r="1765" spans="1:19">
      <c r="A1765" s="2590"/>
      <c r="B1765" s="2591"/>
      <c r="C1765" s="2591"/>
      <c r="D1765" s="2591"/>
      <c r="E1765" s="2591"/>
      <c r="F1765" s="2591"/>
      <c r="G1765" s="2591"/>
      <c r="H1765" s="2591"/>
      <c r="I1765" s="2591"/>
      <c r="J1765" s="2591"/>
      <c r="K1765" s="2591"/>
      <c r="L1765" s="2591"/>
      <c r="M1765" s="2591"/>
      <c r="N1765" s="2591"/>
      <c r="O1765" s="2591"/>
      <c r="P1765" s="2591"/>
      <c r="Q1765" s="2591"/>
      <c r="R1765" s="2591"/>
      <c r="S1765" s="2591"/>
    </row>
    <row r="1766" spans="1:19">
      <c r="A1766" s="2590"/>
      <c r="B1766" s="2591"/>
      <c r="C1766" s="2591"/>
      <c r="D1766" s="2591"/>
      <c r="E1766" s="2591"/>
      <c r="F1766" s="2591"/>
      <c r="G1766" s="2591"/>
      <c r="H1766" s="2591"/>
      <c r="I1766" s="2591"/>
      <c r="J1766" s="2591"/>
      <c r="K1766" s="2591"/>
      <c r="L1766" s="2591"/>
      <c r="M1766" s="2591"/>
      <c r="N1766" s="2591"/>
      <c r="O1766" s="2591"/>
      <c r="P1766" s="2591"/>
      <c r="Q1766" s="2591"/>
      <c r="R1766" s="2591"/>
      <c r="S1766" s="2591"/>
    </row>
    <row r="1767" spans="1:19">
      <c r="A1767" s="2590"/>
      <c r="B1767" s="2591"/>
      <c r="C1767" s="2591"/>
      <c r="D1767" s="2591"/>
      <c r="E1767" s="2591"/>
      <c r="F1767" s="2591"/>
      <c r="G1767" s="2591"/>
      <c r="H1767" s="2591"/>
      <c r="I1767" s="2591"/>
      <c r="J1767" s="2591"/>
      <c r="K1767" s="2591"/>
      <c r="L1767" s="2591"/>
      <c r="M1767" s="2591"/>
      <c r="N1767" s="2591"/>
      <c r="O1767" s="2591"/>
      <c r="P1767" s="2591"/>
      <c r="Q1767" s="2591"/>
      <c r="R1767" s="2591"/>
      <c r="S1767" s="2591"/>
    </row>
    <row r="1768" spans="1:19">
      <c r="A1768" s="2590"/>
      <c r="B1768" s="2591"/>
      <c r="C1768" s="2591"/>
      <c r="D1768" s="2591"/>
      <c r="E1768" s="2591"/>
      <c r="F1768" s="2591"/>
      <c r="G1768" s="2591"/>
      <c r="H1768" s="2591"/>
      <c r="I1768" s="2591"/>
      <c r="J1768" s="2591"/>
      <c r="K1768" s="2591"/>
      <c r="L1768" s="2591"/>
      <c r="M1768" s="2591"/>
      <c r="N1768" s="2591"/>
      <c r="O1768" s="2591"/>
      <c r="P1768" s="2591"/>
      <c r="Q1768" s="2591"/>
      <c r="R1768" s="2591"/>
      <c r="S1768" s="2591"/>
    </row>
    <row r="1769" spans="1:19">
      <c r="A1769" s="2590"/>
      <c r="B1769" s="2591"/>
      <c r="C1769" s="2591"/>
      <c r="D1769" s="2591"/>
      <c r="E1769" s="2591"/>
      <c r="F1769" s="2591"/>
      <c r="G1769" s="2591"/>
      <c r="H1769" s="2591"/>
      <c r="I1769" s="2591"/>
      <c r="J1769" s="2591"/>
      <c r="K1769" s="2591"/>
      <c r="L1769" s="2591"/>
      <c r="M1769" s="2591"/>
      <c r="N1769" s="2591"/>
      <c r="O1769" s="2591"/>
      <c r="P1769" s="2591"/>
      <c r="Q1769" s="2591"/>
      <c r="R1769" s="2591"/>
      <c r="S1769" s="2591"/>
    </row>
    <row r="1770" spans="1:19">
      <c r="A1770" s="2590"/>
      <c r="B1770" s="2591"/>
      <c r="C1770" s="2591"/>
      <c r="D1770" s="2591"/>
      <c r="E1770" s="2591"/>
      <c r="F1770" s="2591"/>
      <c r="G1770" s="2591"/>
      <c r="H1770" s="2591"/>
      <c r="I1770" s="2591"/>
      <c r="J1770" s="2591"/>
      <c r="K1770" s="2591"/>
      <c r="L1770" s="2591"/>
      <c r="M1770" s="2591"/>
      <c r="N1770" s="2591"/>
      <c r="O1770" s="2591"/>
      <c r="P1770" s="2591"/>
      <c r="Q1770" s="2591"/>
      <c r="R1770" s="2591"/>
      <c r="S1770" s="2591"/>
    </row>
    <row r="1771" spans="1:19">
      <c r="A1771" s="2590"/>
      <c r="B1771" s="2591"/>
      <c r="C1771" s="2591"/>
      <c r="D1771" s="2591"/>
      <c r="E1771" s="2591"/>
      <c r="F1771" s="2591"/>
      <c r="G1771" s="2591"/>
      <c r="H1771" s="2591"/>
      <c r="I1771" s="2591"/>
      <c r="J1771" s="2591"/>
      <c r="K1771" s="2591"/>
      <c r="L1771" s="2591"/>
      <c r="M1771" s="2591"/>
      <c r="N1771" s="2591"/>
      <c r="O1771" s="2591"/>
      <c r="P1771" s="2591"/>
      <c r="Q1771" s="2591"/>
      <c r="R1771" s="2591"/>
      <c r="S1771" s="2591"/>
    </row>
    <row r="1772" spans="1:19">
      <c r="A1772" s="2590"/>
      <c r="B1772" s="2591"/>
      <c r="C1772" s="2591"/>
      <c r="D1772" s="2591"/>
      <c r="E1772" s="2591"/>
      <c r="F1772" s="2591"/>
      <c r="G1772" s="2591"/>
      <c r="H1772" s="2591"/>
      <c r="I1772" s="2591"/>
      <c r="J1772" s="2591"/>
      <c r="K1772" s="2591"/>
      <c r="L1772" s="2591"/>
      <c r="M1772" s="2591"/>
      <c r="N1772" s="2591"/>
      <c r="O1772" s="2591"/>
      <c r="P1772" s="2591"/>
      <c r="Q1772" s="2591"/>
      <c r="R1772" s="2591"/>
      <c r="S1772" s="2591"/>
    </row>
    <row r="1773" spans="1:19">
      <c r="A1773" s="2590"/>
      <c r="B1773" s="2591"/>
      <c r="C1773" s="2591"/>
      <c r="D1773" s="2591"/>
      <c r="E1773" s="2591"/>
      <c r="F1773" s="2591"/>
      <c r="G1773" s="2591"/>
      <c r="H1773" s="2591"/>
      <c r="I1773" s="2591"/>
      <c r="J1773" s="2591"/>
      <c r="K1773" s="2591"/>
      <c r="L1773" s="2591"/>
      <c r="M1773" s="2591"/>
      <c r="N1773" s="2591"/>
      <c r="O1773" s="2591"/>
      <c r="P1773" s="2591"/>
      <c r="Q1773" s="2591"/>
      <c r="R1773" s="2591"/>
      <c r="S1773" s="2591"/>
    </row>
    <row r="1774" spans="1:19">
      <c r="A1774" s="2590"/>
      <c r="B1774" s="2591"/>
      <c r="C1774" s="2591"/>
      <c r="D1774" s="2591"/>
      <c r="E1774" s="2591"/>
      <c r="F1774" s="2591"/>
      <c r="G1774" s="2591"/>
      <c r="H1774" s="2591"/>
      <c r="I1774" s="2591"/>
      <c r="J1774" s="2591"/>
      <c r="K1774" s="2591"/>
      <c r="L1774" s="2591"/>
      <c r="M1774" s="2591"/>
      <c r="N1774" s="2591"/>
      <c r="O1774" s="2591"/>
      <c r="P1774" s="2591"/>
      <c r="Q1774" s="2591"/>
      <c r="R1774" s="2591"/>
      <c r="S1774" s="2591"/>
    </row>
    <row r="1775" spans="1:19">
      <c r="A1775" s="2590"/>
      <c r="B1775" s="2591"/>
      <c r="C1775" s="2591"/>
      <c r="D1775" s="2591"/>
      <c r="E1775" s="2591"/>
      <c r="F1775" s="2591"/>
      <c r="G1775" s="2591"/>
      <c r="H1775" s="2591"/>
      <c r="I1775" s="2591"/>
      <c r="J1775" s="2591"/>
      <c r="K1775" s="2591"/>
      <c r="L1775" s="2591"/>
      <c r="M1775" s="2591"/>
      <c r="N1775" s="2591"/>
      <c r="O1775" s="2591"/>
      <c r="P1775" s="2591"/>
      <c r="Q1775" s="2591"/>
      <c r="R1775" s="2591"/>
      <c r="S1775" s="2591"/>
    </row>
    <row r="1776" spans="1:19">
      <c r="A1776" s="2590"/>
      <c r="B1776" s="2591"/>
      <c r="C1776" s="2591"/>
      <c r="D1776" s="2591"/>
      <c r="E1776" s="2591"/>
      <c r="F1776" s="2591"/>
      <c r="G1776" s="2591"/>
      <c r="H1776" s="2591"/>
      <c r="I1776" s="2591"/>
      <c r="J1776" s="2591"/>
      <c r="K1776" s="2591"/>
      <c r="L1776" s="2591"/>
      <c r="M1776" s="2591"/>
      <c r="N1776" s="2591"/>
      <c r="O1776" s="2591"/>
      <c r="P1776" s="2591"/>
      <c r="Q1776" s="2591"/>
      <c r="R1776" s="2591"/>
      <c r="S1776" s="2591"/>
    </row>
    <row r="1777" spans="1:19">
      <c r="A1777" s="2590"/>
      <c r="B1777" s="2591"/>
      <c r="C1777" s="2591"/>
      <c r="D1777" s="2591"/>
      <c r="E1777" s="2591"/>
      <c r="F1777" s="2591"/>
      <c r="G1777" s="2591"/>
      <c r="H1777" s="2591"/>
      <c r="I1777" s="2591"/>
      <c r="J1777" s="2591"/>
      <c r="K1777" s="2591"/>
      <c r="L1777" s="2591"/>
      <c r="M1777" s="2591"/>
      <c r="N1777" s="2591"/>
      <c r="O1777" s="2591"/>
      <c r="P1777" s="2591"/>
      <c r="Q1777" s="2591"/>
      <c r="R1777" s="2591"/>
      <c r="S1777" s="2591"/>
    </row>
    <row r="1778" spans="1:19">
      <c r="A1778" s="2590"/>
      <c r="B1778" s="2591"/>
      <c r="C1778" s="2591"/>
      <c r="D1778" s="2591"/>
      <c r="E1778" s="2591"/>
      <c r="F1778" s="2591"/>
      <c r="G1778" s="2591"/>
      <c r="H1778" s="2591"/>
      <c r="I1778" s="2591"/>
      <c r="J1778" s="2591"/>
      <c r="K1778" s="2591"/>
      <c r="L1778" s="2591"/>
      <c r="M1778" s="2591"/>
      <c r="N1778" s="2591"/>
      <c r="O1778" s="2591"/>
      <c r="P1778" s="2591"/>
      <c r="Q1778" s="2591"/>
      <c r="R1778" s="2591"/>
      <c r="S1778" s="2591"/>
    </row>
    <row r="1779" spans="1:19">
      <c r="A1779" s="2590"/>
      <c r="B1779" s="2591"/>
      <c r="C1779" s="2591"/>
      <c r="D1779" s="2591"/>
      <c r="E1779" s="2591"/>
      <c r="F1779" s="2591"/>
      <c r="G1779" s="2591"/>
      <c r="H1779" s="2591"/>
      <c r="I1779" s="2591"/>
      <c r="J1779" s="2591"/>
      <c r="K1779" s="2591"/>
      <c r="L1779" s="2591"/>
      <c r="M1779" s="2591"/>
      <c r="N1779" s="2591"/>
      <c r="O1779" s="2591"/>
      <c r="P1779" s="2591"/>
      <c r="Q1779" s="2591"/>
      <c r="R1779" s="2591"/>
      <c r="S1779" s="2591"/>
    </row>
    <row r="1780" spans="1:19">
      <c r="A1780" s="2590"/>
      <c r="B1780" s="2591"/>
      <c r="C1780" s="2591"/>
      <c r="D1780" s="2591"/>
      <c r="E1780" s="2591"/>
      <c r="F1780" s="2591"/>
      <c r="G1780" s="2591"/>
      <c r="H1780" s="2591"/>
      <c r="I1780" s="2591"/>
      <c r="J1780" s="2591"/>
      <c r="K1780" s="2591"/>
      <c r="L1780" s="2591"/>
      <c r="M1780" s="2591"/>
      <c r="N1780" s="2591"/>
      <c r="O1780" s="2591"/>
      <c r="P1780" s="2591"/>
      <c r="Q1780" s="2591"/>
      <c r="R1780" s="2591"/>
      <c r="S1780" s="2591"/>
    </row>
    <row r="1781" spans="1:19">
      <c r="A1781" s="2590"/>
      <c r="B1781" s="2591"/>
      <c r="C1781" s="2591"/>
      <c r="D1781" s="2591"/>
      <c r="E1781" s="2591"/>
      <c r="F1781" s="2591"/>
      <c r="G1781" s="2591"/>
      <c r="H1781" s="2591"/>
      <c r="I1781" s="2591"/>
      <c r="J1781" s="2591"/>
      <c r="K1781" s="2591"/>
      <c r="L1781" s="2591"/>
      <c r="M1781" s="2591"/>
      <c r="N1781" s="2591"/>
      <c r="O1781" s="2591"/>
      <c r="P1781" s="2591"/>
      <c r="Q1781" s="2591"/>
      <c r="R1781" s="2591"/>
      <c r="S1781" s="2591"/>
    </row>
    <row r="1782" spans="1:19">
      <c r="A1782" s="2590"/>
      <c r="B1782" s="2591"/>
      <c r="C1782" s="2591"/>
      <c r="D1782" s="2591"/>
      <c r="E1782" s="2591"/>
      <c r="F1782" s="2591"/>
      <c r="G1782" s="2591"/>
      <c r="H1782" s="2591"/>
      <c r="I1782" s="2591"/>
      <c r="J1782" s="2591"/>
      <c r="K1782" s="2591"/>
      <c r="L1782" s="2591"/>
      <c r="M1782" s="2591"/>
      <c r="N1782" s="2591"/>
      <c r="O1782" s="2591"/>
      <c r="P1782" s="2591"/>
      <c r="Q1782" s="2591"/>
      <c r="R1782" s="2591"/>
      <c r="S1782" s="2591"/>
    </row>
    <row r="1783" spans="1:19">
      <c r="A1783" s="2590"/>
      <c r="B1783" s="2591"/>
      <c r="C1783" s="2591"/>
      <c r="D1783" s="2591"/>
      <c r="E1783" s="2591"/>
      <c r="F1783" s="2591"/>
      <c r="G1783" s="2591"/>
      <c r="H1783" s="2591"/>
      <c r="I1783" s="2591"/>
      <c r="J1783" s="2591"/>
      <c r="K1783" s="2591"/>
      <c r="L1783" s="2591"/>
      <c r="M1783" s="2591"/>
      <c r="N1783" s="2591"/>
      <c r="O1783" s="2591"/>
      <c r="P1783" s="2591"/>
      <c r="Q1783" s="2591"/>
      <c r="R1783" s="2591"/>
      <c r="S1783" s="2591"/>
    </row>
    <row r="1784" spans="1:19">
      <c r="A1784" s="2590"/>
      <c r="B1784" s="2591"/>
      <c r="C1784" s="2591"/>
      <c r="D1784" s="2591"/>
      <c r="E1784" s="2591"/>
      <c r="F1784" s="2591"/>
      <c r="G1784" s="2591"/>
      <c r="H1784" s="2591"/>
      <c r="I1784" s="2591"/>
      <c r="J1784" s="2591"/>
      <c r="K1784" s="2591"/>
      <c r="L1784" s="2591"/>
      <c r="M1784" s="2591"/>
      <c r="N1784" s="2591"/>
      <c r="O1784" s="2591"/>
      <c r="P1784" s="2591"/>
      <c r="Q1784" s="2591"/>
      <c r="R1784" s="2591"/>
      <c r="S1784" s="2591"/>
    </row>
    <row r="1785" spans="1:19">
      <c r="A1785" s="2590"/>
      <c r="B1785" s="2591"/>
      <c r="C1785" s="2591"/>
      <c r="D1785" s="2591"/>
      <c r="E1785" s="2591"/>
      <c r="F1785" s="2591"/>
      <c r="G1785" s="2591"/>
      <c r="H1785" s="2591"/>
      <c r="I1785" s="2591"/>
      <c r="J1785" s="2591"/>
      <c r="K1785" s="2591"/>
      <c r="L1785" s="2591"/>
      <c r="M1785" s="2591"/>
      <c r="N1785" s="2591"/>
      <c r="O1785" s="2591"/>
      <c r="P1785" s="2591"/>
      <c r="Q1785" s="2591"/>
      <c r="R1785" s="2591"/>
      <c r="S1785" s="2591"/>
    </row>
    <row r="1786" spans="1:19">
      <c r="A1786" s="2590"/>
      <c r="B1786" s="2591"/>
      <c r="C1786" s="2591"/>
      <c r="D1786" s="2591"/>
      <c r="E1786" s="2591"/>
      <c r="F1786" s="2591"/>
      <c r="G1786" s="2591"/>
      <c r="H1786" s="2591"/>
      <c r="I1786" s="2591"/>
      <c r="J1786" s="2591"/>
      <c r="K1786" s="2591"/>
      <c r="L1786" s="2591"/>
      <c r="M1786" s="2591"/>
      <c r="N1786" s="2591"/>
      <c r="O1786" s="2591"/>
      <c r="P1786" s="2591"/>
      <c r="Q1786" s="2591"/>
      <c r="R1786" s="2591"/>
      <c r="S1786" s="2591"/>
    </row>
    <row r="1787" spans="1:19">
      <c r="A1787" s="2590"/>
      <c r="B1787" s="2591"/>
      <c r="C1787" s="2591"/>
      <c r="D1787" s="2591"/>
      <c r="E1787" s="2591"/>
      <c r="F1787" s="2591"/>
      <c r="G1787" s="2591"/>
      <c r="H1787" s="2591"/>
      <c r="I1787" s="2591"/>
      <c r="J1787" s="2591"/>
      <c r="K1787" s="2591"/>
      <c r="L1787" s="2591"/>
      <c r="M1787" s="2591"/>
      <c r="N1787" s="2591"/>
      <c r="O1787" s="2591"/>
      <c r="P1787" s="2591"/>
      <c r="Q1787" s="2591"/>
      <c r="R1787" s="2591"/>
      <c r="S1787" s="2591"/>
    </row>
    <row r="1788" spans="1:19">
      <c r="A1788" s="2590"/>
      <c r="B1788" s="2591"/>
      <c r="C1788" s="2591"/>
      <c r="D1788" s="2591"/>
      <c r="E1788" s="2591"/>
      <c r="F1788" s="2591"/>
      <c r="G1788" s="2591"/>
      <c r="H1788" s="2591"/>
      <c r="I1788" s="2591"/>
      <c r="J1788" s="2591"/>
      <c r="K1788" s="2591"/>
      <c r="L1788" s="2591"/>
      <c r="M1788" s="2591"/>
      <c r="N1788" s="2591"/>
      <c r="O1788" s="2591"/>
      <c r="P1788" s="2591"/>
      <c r="Q1788" s="2591"/>
      <c r="R1788" s="2591"/>
      <c r="S1788" s="2591"/>
    </row>
    <row r="1789" spans="1:19">
      <c r="A1789" s="2590"/>
      <c r="B1789" s="2591"/>
      <c r="C1789" s="2591"/>
      <c r="D1789" s="2591"/>
      <c r="E1789" s="2591"/>
      <c r="F1789" s="2591"/>
      <c r="G1789" s="2591"/>
      <c r="H1789" s="2591"/>
      <c r="I1789" s="2591"/>
      <c r="J1789" s="2591"/>
      <c r="K1789" s="2591"/>
      <c r="L1789" s="2591"/>
      <c r="M1789" s="2591"/>
      <c r="N1789" s="2591"/>
      <c r="O1789" s="2591"/>
      <c r="P1789" s="2591"/>
      <c r="Q1789" s="2591"/>
      <c r="R1789" s="2591"/>
      <c r="S1789" s="2591"/>
    </row>
    <row r="1790" spans="1:19">
      <c r="A1790" s="2590"/>
      <c r="B1790" s="2591"/>
      <c r="C1790" s="2591"/>
      <c r="D1790" s="2591"/>
      <c r="E1790" s="2591"/>
      <c r="F1790" s="2591"/>
      <c r="G1790" s="2591"/>
      <c r="H1790" s="2591"/>
      <c r="I1790" s="2591"/>
      <c r="J1790" s="2591"/>
      <c r="K1790" s="2591"/>
      <c r="L1790" s="2591"/>
      <c r="M1790" s="2591"/>
      <c r="N1790" s="2591"/>
      <c r="O1790" s="2591"/>
      <c r="P1790" s="2591"/>
      <c r="Q1790" s="2591"/>
      <c r="R1790" s="2591"/>
      <c r="S1790" s="2591"/>
    </row>
    <row r="1791" spans="1:19">
      <c r="A1791" s="2590"/>
      <c r="B1791" s="2591"/>
      <c r="C1791" s="2591"/>
      <c r="D1791" s="2591"/>
      <c r="E1791" s="2591"/>
      <c r="F1791" s="2591"/>
      <c r="G1791" s="2591"/>
      <c r="H1791" s="2591"/>
      <c r="I1791" s="2591"/>
      <c r="J1791" s="2591"/>
      <c r="K1791" s="2591"/>
      <c r="L1791" s="2591"/>
      <c r="M1791" s="2591"/>
      <c r="N1791" s="2591"/>
      <c r="O1791" s="2591"/>
      <c r="P1791" s="2591"/>
      <c r="Q1791" s="2591"/>
      <c r="R1791" s="2591"/>
      <c r="S1791" s="2591"/>
    </row>
    <row r="1792" spans="1:19">
      <c r="A1792" s="2590"/>
      <c r="B1792" s="2591"/>
      <c r="C1792" s="2591"/>
      <c r="D1792" s="2591"/>
      <c r="E1792" s="2591"/>
      <c r="F1792" s="2591"/>
      <c r="G1792" s="2591"/>
      <c r="H1792" s="2591"/>
      <c r="I1792" s="2591"/>
      <c r="J1792" s="2591"/>
      <c r="K1792" s="2591"/>
      <c r="L1792" s="2591"/>
      <c r="M1792" s="2591"/>
      <c r="N1792" s="2591"/>
      <c r="O1792" s="2591"/>
      <c r="P1792" s="2591"/>
      <c r="Q1792" s="2591"/>
      <c r="R1792" s="2591"/>
      <c r="S1792" s="2591"/>
    </row>
    <row r="1793" spans="1:19">
      <c r="A1793" s="2590"/>
      <c r="B1793" s="2591"/>
      <c r="C1793" s="2591"/>
      <c r="D1793" s="2591"/>
      <c r="E1793" s="2591"/>
      <c r="F1793" s="2591"/>
      <c r="G1793" s="2591"/>
      <c r="H1793" s="2591"/>
      <c r="I1793" s="2591"/>
      <c r="J1793" s="2591"/>
      <c r="K1793" s="2591"/>
      <c r="L1793" s="2591"/>
      <c r="M1793" s="2591"/>
      <c r="N1793" s="2591"/>
      <c r="O1793" s="2591"/>
      <c r="P1793" s="2591"/>
      <c r="Q1793" s="2591"/>
      <c r="R1793" s="2591"/>
      <c r="S1793" s="2591"/>
    </row>
    <row r="1794" spans="1:19">
      <c r="A1794" s="2590"/>
      <c r="B1794" s="2591"/>
      <c r="C1794" s="2591"/>
      <c r="D1794" s="2591"/>
      <c r="E1794" s="2591"/>
      <c r="F1794" s="2591"/>
      <c r="G1794" s="2591"/>
      <c r="H1794" s="2591"/>
      <c r="I1794" s="2591"/>
      <c r="J1794" s="2591"/>
      <c r="K1794" s="2591"/>
      <c r="L1794" s="2591"/>
      <c r="M1794" s="2591"/>
      <c r="N1794" s="2591"/>
      <c r="O1794" s="2591"/>
      <c r="P1794" s="2591"/>
      <c r="Q1794" s="2591"/>
      <c r="R1794" s="2591"/>
      <c r="S1794" s="2591"/>
    </row>
    <row r="1795" spans="1:19">
      <c r="A1795" s="2590"/>
      <c r="B1795" s="2591"/>
      <c r="C1795" s="2591"/>
      <c r="D1795" s="2591"/>
      <c r="E1795" s="2591"/>
      <c r="F1795" s="2591"/>
      <c r="G1795" s="2591"/>
      <c r="H1795" s="2591"/>
      <c r="I1795" s="2591"/>
      <c r="J1795" s="2591"/>
      <c r="K1795" s="2591"/>
      <c r="L1795" s="2591"/>
      <c r="M1795" s="2591"/>
      <c r="N1795" s="2591"/>
      <c r="O1795" s="2591"/>
      <c r="P1795" s="2591"/>
      <c r="Q1795" s="2591"/>
      <c r="R1795" s="2591"/>
      <c r="S1795" s="2591"/>
    </row>
    <row r="1796" spans="1:19">
      <c r="A1796" s="2590"/>
      <c r="B1796" s="2591"/>
      <c r="C1796" s="2591"/>
      <c r="D1796" s="2591"/>
      <c r="E1796" s="2591"/>
      <c r="F1796" s="2591"/>
      <c r="G1796" s="2591"/>
      <c r="H1796" s="2591"/>
      <c r="I1796" s="2591"/>
      <c r="J1796" s="2591"/>
      <c r="K1796" s="2591"/>
      <c r="L1796" s="2591"/>
      <c r="M1796" s="2591"/>
      <c r="N1796" s="2591"/>
      <c r="O1796" s="2591"/>
      <c r="P1796" s="2591"/>
      <c r="Q1796" s="2591"/>
      <c r="R1796" s="2591"/>
      <c r="S1796" s="2591"/>
    </row>
    <row r="1797" spans="1:19">
      <c r="A1797" s="2590"/>
      <c r="B1797" s="2591"/>
      <c r="C1797" s="2591"/>
      <c r="D1797" s="2591"/>
      <c r="E1797" s="2591"/>
      <c r="F1797" s="2591"/>
      <c r="G1797" s="2591"/>
      <c r="H1797" s="2591"/>
      <c r="I1797" s="2591"/>
      <c r="J1797" s="2591"/>
      <c r="K1797" s="2591"/>
      <c r="L1797" s="2591"/>
      <c r="M1797" s="2591"/>
      <c r="N1797" s="2591"/>
      <c r="O1797" s="2591"/>
      <c r="P1797" s="2591"/>
      <c r="Q1797" s="2591"/>
      <c r="R1797" s="2591"/>
      <c r="S1797" s="2591"/>
    </row>
    <row r="1798" spans="1:19">
      <c r="A1798" s="2590"/>
      <c r="B1798" s="2591"/>
      <c r="C1798" s="2591"/>
      <c r="D1798" s="2591"/>
      <c r="E1798" s="2591"/>
      <c r="F1798" s="2591"/>
      <c r="G1798" s="2591"/>
      <c r="H1798" s="2591"/>
      <c r="I1798" s="2591"/>
      <c r="J1798" s="2591"/>
      <c r="K1798" s="2591"/>
      <c r="L1798" s="2591"/>
      <c r="M1798" s="2591"/>
      <c r="N1798" s="2591"/>
      <c r="O1798" s="2591"/>
      <c r="P1798" s="2591"/>
      <c r="Q1798" s="2591"/>
      <c r="R1798" s="2591"/>
      <c r="S1798" s="2591"/>
    </row>
    <row r="1799" spans="1:19">
      <c r="A1799" s="2590"/>
      <c r="B1799" s="2591"/>
      <c r="C1799" s="2591"/>
      <c r="D1799" s="2591"/>
      <c r="E1799" s="2591"/>
      <c r="F1799" s="2591"/>
      <c r="G1799" s="2591"/>
      <c r="H1799" s="2591"/>
      <c r="I1799" s="2591"/>
      <c r="J1799" s="2591"/>
      <c r="K1799" s="2591"/>
      <c r="L1799" s="2591"/>
      <c r="M1799" s="2591"/>
      <c r="N1799" s="2591"/>
      <c r="O1799" s="2591"/>
      <c r="P1799" s="2591"/>
      <c r="Q1799" s="2591"/>
      <c r="R1799" s="2591"/>
      <c r="S1799" s="2591"/>
    </row>
    <row r="1800" spans="1:19">
      <c r="A1800" s="2590"/>
      <c r="B1800" s="2591"/>
      <c r="C1800" s="2591"/>
      <c r="D1800" s="2591"/>
      <c r="E1800" s="2591"/>
      <c r="F1800" s="2591"/>
      <c r="G1800" s="2591"/>
      <c r="H1800" s="2591"/>
      <c r="I1800" s="2591"/>
      <c r="J1800" s="2591"/>
      <c r="K1800" s="2591"/>
      <c r="L1800" s="2591"/>
      <c r="M1800" s="2591"/>
      <c r="N1800" s="2591"/>
      <c r="O1800" s="2591"/>
      <c r="P1800" s="2591"/>
      <c r="Q1800" s="2591"/>
      <c r="R1800" s="2591"/>
      <c r="S1800" s="2591"/>
    </row>
    <row r="1801" spans="1:19">
      <c r="A1801" s="2590"/>
      <c r="B1801" s="2591"/>
      <c r="C1801" s="2591"/>
      <c r="D1801" s="2591"/>
      <c r="E1801" s="2591"/>
      <c r="F1801" s="2591"/>
      <c r="G1801" s="2591"/>
      <c r="H1801" s="2591"/>
      <c r="I1801" s="2591"/>
      <c r="J1801" s="2591"/>
      <c r="K1801" s="2591"/>
      <c r="L1801" s="2591"/>
      <c r="M1801" s="2591"/>
      <c r="N1801" s="2591"/>
      <c r="O1801" s="2591"/>
      <c r="P1801" s="2591"/>
      <c r="Q1801" s="2591"/>
      <c r="R1801" s="2591"/>
      <c r="S1801" s="2591"/>
    </row>
    <row r="1802" spans="1:19">
      <c r="A1802" s="2590"/>
      <c r="B1802" s="2591"/>
      <c r="C1802" s="2591"/>
      <c r="D1802" s="2591"/>
      <c r="E1802" s="2591"/>
      <c r="F1802" s="2591"/>
      <c r="G1802" s="2591"/>
      <c r="H1802" s="2591"/>
      <c r="I1802" s="2591"/>
      <c r="J1802" s="2591"/>
      <c r="K1802" s="2591"/>
      <c r="L1802" s="2591"/>
      <c r="M1802" s="2591"/>
      <c r="N1802" s="2591"/>
      <c r="O1802" s="2591"/>
      <c r="P1802" s="2591"/>
      <c r="Q1802" s="2591"/>
      <c r="R1802" s="2591"/>
      <c r="S1802" s="2591"/>
    </row>
    <row r="1803" spans="1:19">
      <c r="A1803" s="2590"/>
      <c r="B1803" s="2591"/>
      <c r="C1803" s="2591"/>
      <c r="D1803" s="2591"/>
      <c r="E1803" s="2591"/>
      <c r="F1803" s="2591"/>
      <c r="G1803" s="2591"/>
      <c r="H1803" s="2591"/>
      <c r="I1803" s="2591"/>
      <c r="J1803" s="2591"/>
      <c r="K1803" s="2591"/>
      <c r="L1803" s="2591"/>
      <c r="M1803" s="2591"/>
      <c r="N1803" s="2591"/>
      <c r="O1803" s="2591"/>
      <c r="P1803" s="2591"/>
      <c r="Q1803" s="2591"/>
      <c r="R1803" s="2591"/>
      <c r="S1803" s="2591"/>
    </row>
    <row r="1804" spans="1:19">
      <c r="A1804" s="2590"/>
      <c r="B1804" s="2591"/>
      <c r="C1804" s="2591"/>
      <c r="D1804" s="2591"/>
      <c r="E1804" s="2591"/>
      <c r="F1804" s="2591"/>
      <c r="G1804" s="2591"/>
      <c r="H1804" s="2591"/>
      <c r="I1804" s="2591"/>
      <c r="J1804" s="2591"/>
      <c r="K1804" s="2591"/>
      <c r="L1804" s="2591"/>
      <c r="M1804" s="2591"/>
      <c r="N1804" s="2591"/>
      <c r="O1804" s="2591"/>
      <c r="P1804" s="2591"/>
      <c r="Q1804" s="2591"/>
      <c r="R1804" s="2591"/>
      <c r="S1804" s="2591"/>
    </row>
    <row r="1805" spans="1:19">
      <c r="A1805" s="2590"/>
      <c r="B1805" s="2591"/>
      <c r="C1805" s="2591"/>
      <c r="D1805" s="2591"/>
      <c r="E1805" s="2591"/>
      <c r="F1805" s="2591"/>
      <c r="G1805" s="2591"/>
      <c r="H1805" s="2591"/>
      <c r="I1805" s="2591"/>
      <c r="J1805" s="2591"/>
      <c r="K1805" s="2591"/>
      <c r="L1805" s="2591"/>
      <c r="M1805" s="2591"/>
      <c r="N1805" s="2591"/>
      <c r="O1805" s="2591"/>
      <c r="P1805" s="2591"/>
      <c r="Q1805" s="2591"/>
      <c r="R1805" s="2591"/>
      <c r="S1805" s="2591"/>
    </row>
    <row r="1806" spans="1:19">
      <c r="A1806" s="2590"/>
      <c r="B1806" s="2591"/>
      <c r="C1806" s="2591"/>
      <c r="D1806" s="2591"/>
      <c r="E1806" s="2591"/>
      <c r="F1806" s="2591"/>
      <c r="G1806" s="2591"/>
      <c r="H1806" s="2591"/>
      <c r="I1806" s="2591"/>
      <c r="J1806" s="2591"/>
      <c r="K1806" s="2591"/>
      <c r="L1806" s="2591"/>
      <c r="M1806" s="2591"/>
      <c r="N1806" s="2591"/>
      <c r="O1806" s="2591"/>
      <c r="P1806" s="2591"/>
      <c r="Q1806" s="2591"/>
      <c r="R1806" s="2591"/>
      <c r="S1806" s="2591"/>
    </row>
    <row r="1807" spans="1:19">
      <c r="A1807" s="2590"/>
      <c r="B1807" s="2591"/>
      <c r="C1807" s="2591"/>
      <c r="D1807" s="2591"/>
      <c r="E1807" s="2591"/>
      <c r="F1807" s="2591"/>
      <c r="G1807" s="2591"/>
      <c r="H1807" s="2591"/>
      <c r="I1807" s="2591"/>
      <c r="J1807" s="2591"/>
      <c r="K1807" s="2591"/>
      <c r="L1807" s="2591"/>
      <c r="M1807" s="2591"/>
      <c r="N1807" s="2591"/>
      <c r="O1807" s="2591"/>
      <c r="P1807" s="2591"/>
      <c r="Q1807" s="2591"/>
      <c r="R1807" s="2591"/>
      <c r="S1807" s="2591"/>
    </row>
    <row r="1808" spans="1:19">
      <c r="A1808" s="2590"/>
      <c r="B1808" s="2591"/>
      <c r="C1808" s="2591"/>
      <c r="D1808" s="2591"/>
      <c r="E1808" s="2591"/>
      <c r="F1808" s="2591"/>
      <c r="G1808" s="2591"/>
      <c r="H1808" s="2591"/>
      <c r="I1808" s="2591"/>
      <c r="J1808" s="2591"/>
      <c r="K1808" s="2591"/>
      <c r="L1808" s="2591"/>
      <c r="M1808" s="2591"/>
      <c r="N1808" s="2591"/>
      <c r="O1808" s="2591"/>
      <c r="P1808" s="2591"/>
      <c r="Q1808" s="2591"/>
      <c r="R1808" s="2591"/>
      <c r="S1808" s="2591"/>
    </row>
    <row r="1809" spans="1:19">
      <c r="A1809" s="2590"/>
      <c r="B1809" s="2591"/>
      <c r="C1809" s="2591"/>
      <c r="D1809" s="2591"/>
      <c r="E1809" s="2591"/>
      <c r="F1809" s="2591"/>
      <c r="G1809" s="2591"/>
      <c r="H1809" s="2591"/>
      <c r="I1809" s="2591"/>
      <c r="J1809" s="2591"/>
      <c r="K1809" s="2591"/>
      <c r="L1809" s="2591"/>
      <c r="M1809" s="2591"/>
      <c r="N1809" s="2591"/>
      <c r="O1809" s="2591"/>
      <c r="P1809" s="2591"/>
      <c r="Q1809" s="2591"/>
      <c r="R1809" s="2591"/>
      <c r="S1809" s="2591"/>
    </row>
    <row r="1810" spans="1:19">
      <c r="A1810" s="2590"/>
      <c r="B1810" s="2591"/>
      <c r="C1810" s="2591"/>
      <c r="D1810" s="2591"/>
      <c r="E1810" s="2591"/>
      <c r="F1810" s="2591"/>
      <c r="G1810" s="2591"/>
      <c r="H1810" s="2591"/>
      <c r="I1810" s="2591"/>
      <c r="J1810" s="2591"/>
      <c r="K1810" s="2591"/>
      <c r="L1810" s="2591"/>
      <c r="M1810" s="2591"/>
      <c r="N1810" s="2591"/>
      <c r="O1810" s="2591"/>
      <c r="P1810" s="2591"/>
      <c r="Q1810" s="2591"/>
      <c r="R1810" s="2591"/>
      <c r="S1810" s="2591"/>
    </row>
    <row r="1811" spans="1:19">
      <c r="A1811" s="2590"/>
      <c r="B1811" s="2591"/>
      <c r="C1811" s="2591"/>
      <c r="D1811" s="2591"/>
      <c r="E1811" s="2591"/>
      <c r="F1811" s="2591"/>
      <c r="G1811" s="2591"/>
      <c r="H1811" s="2591"/>
      <c r="I1811" s="2591"/>
      <c r="J1811" s="2591"/>
      <c r="K1811" s="2591"/>
      <c r="L1811" s="2591"/>
      <c r="M1811" s="2591"/>
      <c r="N1811" s="2591"/>
      <c r="O1811" s="2591"/>
      <c r="P1811" s="2591"/>
      <c r="Q1811" s="2591"/>
      <c r="R1811" s="2591"/>
      <c r="S1811" s="2591"/>
    </row>
    <row r="1812" spans="1:19">
      <c r="A1812" s="2590"/>
      <c r="B1812" s="2591"/>
      <c r="C1812" s="2591"/>
      <c r="D1812" s="2591"/>
      <c r="E1812" s="2591"/>
      <c r="F1812" s="2591"/>
      <c r="G1812" s="2591"/>
      <c r="H1812" s="2591"/>
      <c r="I1812" s="2591"/>
      <c r="J1812" s="2591"/>
      <c r="K1812" s="2591"/>
      <c r="L1812" s="2591"/>
      <c r="M1812" s="2591"/>
      <c r="N1812" s="2591"/>
      <c r="O1812" s="2591"/>
      <c r="P1812" s="2591"/>
      <c r="Q1812" s="2591"/>
      <c r="R1812" s="2591"/>
      <c r="S1812" s="2591"/>
    </row>
    <row r="1813" spans="1:19">
      <c r="A1813" s="2590"/>
      <c r="B1813" s="2591"/>
      <c r="C1813" s="2591"/>
      <c r="D1813" s="2591"/>
      <c r="E1813" s="2591"/>
      <c r="F1813" s="2591"/>
      <c r="G1813" s="2591"/>
      <c r="H1813" s="2591"/>
      <c r="I1813" s="2591"/>
      <c r="J1813" s="2591"/>
      <c r="K1813" s="2591"/>
      <c r="L1813" s="2591"/>
      <c r="M1813" s="2591"/>
      <c r="N1813" s="2591"/>
      <c r="O1813" s="2591"/>
      <c r="P1813" s="2591"/>
      <c r="Q1813" s="2591"/>
      <c r="R1813" s="2591"/>
      <c r="S1813" s="2591"/>
    </row>
    <row r="1814" spans="1:19">
      <c r="A1814" s="2590"/>
      <c r="B1814" s="2591"/>
      <c r="C1814" s="2591"/>
      <c r="D1814" s="2591"/>
      <c r="E1814" s="2591"/>
      <c r="F1814" s="2591"/>
      <c r="G1814" s="2591"/>
      <c r="H1814" s="2591"/>
      <c r="I1814" s="2591"/>
      <c r="J1814" s="2591"/>
      <c r="K1814" s="2591"/>
      <c r="L1814" s="2591"/>
      <c r="M1814" s="2591"/>
      <c r="N1814" s="2591"/>
      <c r="O1814" s="2591"/>
      <c r="P1814" s="2591"/>
      <c r="Q1814" s="2591"/>
      <c r="R1814" s="2591"/>
      <c r="S1814" s="2591"/>
    </row>
    <row r="1815" spans="1:19">
      <c r="A1815" s="2590"/>
      <c r="B1815" s="2591"/>
      <c r="C1815" s="2591"/>
      <c r="D1815" s="2591"/>
      <c r="E1815" s="2591"/>
      <c r="F1815" s="2591"/>
      <c r="G1815" s="2591"/>
      <c r="H1815" s="2591"/>
      <c r="I1815" s="2591"/>
      <c r="J1815" s="2591"/>
      <c r="K1815" s="2591"/>
      <c r="L1815" s="2591"/>
      <c r="M1815" s="2591"/>
      <c r="N1815" s="2591"/>
      <c r="O1815" s="2591"/>
      <c r="P1815" s="2591"/>
      <c r="Q1815" s="2591"/>
      <c r="R1815" s="2591"/>
      <c r="S1815" s="2591"/>
    </row>
    <row r="1816" spans="1:19">
      <c r="A1816" s="2590"/>
      <c r="B1816" s="2591"/>
      <c r="C1816" s="2591"/>
      <c r="D1816" s="2591"/>
      <c r="E1816" s="2591"/>
      <c r="F1816" s="2591"/>
      <c r="G1816" s="2591"/>
      <c r="H1816" s="2591"/>
      <c r="I1816" s="2591"/>
      <c r="J1816" s="2591"/>
      <c r="K1816" s="2591"/>
      <c r="L1816" s="2591"/>
      <c r="M1816" s="2591"/>
      <c r="N1816" s="2591"/>
      <c r="O1816" s="2591"/>
      <c r="P1816" s="2591"/>
      <c r="Q1816" s="2591"/>
      <c r="R1816" s="2591"/>
      <c r="S1816" s="2591"/>
    </row>
    <row r="1817" spans="1:19">
      <c r="A1817" s="2590"/>
      <c r="B1817" s="2591"/>
      <c r="C1817" s="2591"/>
      <c r="D1817" s="2591"/>
      <c r="E1817" s="2591"/>
      <c r="F1817" s="2591"/>
      <c r="G1817" s="2591"/>
      <c r="H1817" s="2591"/>
      <c r="I1817" s="2591"/>
      <c r="J1817" s="2591"/>
      <c r="K1817" s="2591"/>
      <c r="L1817" s="2591"/>
      <c r="M1817" s="2591"/>
      <c r="N1817" s="2591"/>
      <c r="O1817" s="2591"/>
      <c r="P1817" s="2591"/>
      <c r="Q1817" s="2591"/>
      <c r="R1817" s="2591"/>
      <c r="S1817" s="2591"/>
    </row>
    <row r="1818" spans="1:19">
      <c r="A1818" s="2590"/>
      <c r="B1818" s="2591"/>
      <c r="C1818" s="2591"/>
      <c r="D1818" s="2591"/>
      <c r="E1818" s="2591"/>
      <c r="F1818" s="2591"/>
      <c r="G1818" s="2591"/>
      <c r="H1818" s="2591"/>
      <c r="I1818" s="2591"/>
      <c r="J1818" s="2591"/>
      <c r="K1818" s="2591"/>
      <c r="L1818" s="2591"/>
      <c r="M1818" s="2591"/>
      <c r="N1818" s="2591"/>
      <c r="O1818" s="2591"/>
      <c r="P1818" s="2591"/>
      <c r="Q1818" s="2591"/>
      <c r="R1818" s="2591"/>
      <c r="S1818" s="2591"/>
    </row>
    <row r="1819" spans="1:19">
      <c r="A1819" s="2590"/>
      <c r="B1819" s="2591"/>
      <c r="C1819" s="2591"/>
      <c r="D1819" s="2591"/>
      <c r="E1819" s="2591"/>
      <c r="F1819" s="2591"/>
      <c r="G1819" s="2591"/>
      <c r="H1819" s="2591"/>
      <c r="I1819" s="2591"/>
      <c r="J1819" s="2591"/>
      <c r="K1819" s="2591"/>
      <c r="L1819" s="2591"/>
      <c r="M1819" s="2591"/>
      <c r="N1819" s="2591"/>
      <c r="O1819" s="2591"/>
      <c r="P1819" s="2591"/>
      <c r="Q1819" s="2591"/>
      <c r="R1819" s="2591"/>
      <c r="S1819" s="2591"/>
    </row>
    <row r="1820" spans="1:19">
      <c r="A1820" s="2590"/>
      <c r="B1820" s="2591"/>
      <c r="C1820" s="2591"/>
      <c r="D1820" s="2591"/>
      <c r="E1820" s="2591"/>
      <c r="F1820" s="2591"/>
      <c r="G1820" s="2591"/>
      <c r="H1820" s="2591"/>
      <c r="I1820" s="2591"/>
      <c r="J1820" s="2591"/>
      <c r="K1820" s="2591"/>
      <c r="L1820" s="2591"/>
      <c r="M1820" s="2591"/>
      <c r="N1820" s="2591"/>
      <c r="O1820" s="2591"/>
      <c r="P1820" s="2591"/>
      <c r="Q1820" s="2591"/>
      <c r="R1820" s="2591"/>
      <c r="S1820" s="2591"/>
    </row>
    <row r="1821" spans="1:19">
      <c r="A1821" s="2590"/>
      <c r="B1821" s="2591"/>
      <c r="C1821" s="2591"/>
      <c r="D1821" s="2591"/>
      <c r="E1821" s="2591"/>
      <c r="F1821" s="2591"/>
      <c r="G1821" s="2591"/>
      <c r="H1821" s="2591"/>
      <c r="I1821" s="2591"/>
      <c r="J1821" s="2591"/>
      <c r="K1821" s="2591"/>
      <c r="L1821" s="2591"/>
      <c r="M1821" s="2591"/>
      <c r="N1821" s="2591"/>
      <c r="O1821" s="2591"/>
      <c r="P1821" s="2591"/>
      <c r="Q1821" s="2591"/>
      <c r="R1821" s="2591"/>
      <c r="S1821" s="2591"/>
    </row>
    <row r="1822" spans="1:19">
      <c r="A1822" s="2590"/>
      <c r="B1822" s="2591"/>
      <c r="C1822" s="2591"/>
      <c r="D1822" s="2591"/>
      <c r="E1822" s="2591"/>
      <c r="F1822" s="2591"/>
      <c r="G1822" s="2591"/>
      <c r="H1822" s="2591"/>
      <c r="I1822" s="2591"/>
      <c r="J1822" s="2591"/>
      <c r="K1822" s="2591"/>
      <c r="L1822" s="2591"/>
      <c r="M1822" s="2591"/>
      <c r="N1822" s="2591"/>
      <c r="O1822" s="2591"/>
      <c r="P1822" s="2591"/>
      <c r="Q1822" s="2591"/>
      <c r="R1822" s="2591"/>
      <c r="S1822" s="2591"/>
    </row>
    <row r="1823" spans="1:19">
      <c r="A1823" s="2590"/>
      <c r="B1823" s="2591"/>
      <c r="C1823" s="2591"/>
      <c r="D1823" s="2591"/>
      <c r="E1823" s="2591"/>
      <c r="F1823" s="2591"/>
      <c r="G1823" s="2591"/>
      <c r="H1823" s="2591"/>
      <c r="I1823" s="2591"/>
      <c r="J1823" s="2591"/>
      <c r="K1823" s="2591"/>
      <c r="L1823" s="2591"/>
      <c r="M1823" s="2591"/>
      <c r="N1823" s="2591"/>
      <c r="O1823" s="2591"/>
      <c r="P1823" s="2591"/>
      <c r="Q1823" s="2591"/>
      <c r="R1823" s="2591"/>
      <c r="S1823" s="2591"/>
    </row>
    <row r="1824" spans="1:19">
      <c r="A1824" s="2590"/>
      <c r="B1824" s="2591"/>
      <c r="C1824" s="2591"/>
      <c r="D1824" s="2591"/>
      <c r="E1824" s="2591"/>
      <c r="F1824" s="2591"/>
      <c r="G1824" s="2591"/>
      <c r="H1824" s="2591"/>
      <c r="I1824" s="2591"/>
      <c r="J1824" s="2591"/>
      <c r="K1824" s="2591"/>
      <c r="L1824" s="2591"/>
      <c r="M1824" s="2591"/>
      <c r="N1824" s="2591"/>
      <c r="O1824" s="2591"/>
      <c r="P1824" s="2591"/>
      <c r="Q1824" s="2591"/>
      <c r="R1824" s="2591"/>
      <c r="S1824" s="2591"/>
    </row>
    <row r="1825" spans="1:19">
      <c r="A1825" s="2590"/>
      <c r="B1825" s="2591"/>
      <c r="C1825" s="2591"/>
      <c r="D1825" s="2591"/>
      <c r="E1825" s="2591"/>
      <c r="F1825" s="2591"/>
      <c r="G1825" s="2591"/>
      <c r="H1825" s="2591"/>
      <c r="I1825" s="2591"/>
      <c r="J1825" s="2591"/>
      <c r="K1825" s="2591"/>
      <c r="L1825" s="2591"/>
      <c r="M1825" s="2591"/>
      <c r="N1825" s="2591"/>
      <c r="O1825" s="2591"/>
      <c r="P1825" s="2591"/>
      <c r="Q1825" s="2591"/>
      <c r="R1825" s="2591"/>
      <c r="S1825" s="2591"/>
    </row>
    <row r="1826" spans="1:19">
      <c r="A1826" s="2590"/>
      <c r="B1826" s="2591"/>
      <c r="C1826" s="2591"/>
      <c r="D1826" s="2591"/>
      <c r="E1826" s="2591"/>
      <c r="F1826" s="2591"/>
      <c r="G1826" s="2591"/>
      <c r="H1826" s="2591"/>
      <c r="I1826" s="2591"/>
      <c r="J1826" s="2591"/>
      <c r="K1826" s="2591"/>
      <c r="L1826" s="2591"/>
      <c r="M1826" s="2591"/>
      <c r="N1826" s="2591"/>
      <c r="O1826" s="2591"/>
      <c r="P1826" s="2591"/>
      <c r="Q1826" s="2591"/>
      <c r="R1826" s="2591"/>
      <c r="S1826" s="2591"/>
    </row>
    <row r="1827" spans="1:19">
      <c r="A1827" s="2590"/>
      <c r="B1827" s="2591"/>
      <c r="C1827" s="2591"/>
      <c r="D1827" s="2591"/>
      <c r="E1827" s="2591"/>
      <c r="F1827" s="2591"/>
      <c r="G1827" s="2591"/>
      <c r="H1827" s="2591"/>
      <c r="I1827" s="2591"/>
      <c r="J1827" s="2591"/>
      <c r="K1827" s="2591"/>
      <c r="L1827" s="2591"/>
      <c r="M1827" s="2591"/>
      <c r="N1827" s="2591"/>
      <c r="O1827" s="2591"/>
      <c r="P1827" s="2591"/>
      <c r="Q1827" s="2591"/>
      <c r="R1827" s="2591"/>
      <c r="S1827" s="2591"/>
    </row>
    <row r="1828" spans="1:19">
      <c r="A1828" s="2590"/>
      <c r="B1828" s="2591"/>
      <c r="C1828" s="2591"/>
      <c r="D1828" s="2591"/>
      <c r="E1828" s="2591"/>
      <c r="F1828" s="2591"/>
      <c r="G1828" s="2591"/>
      <c r="H1828" s="2591"/>
      <c r="I1828" s="2591"/>
      <c r="J1828" s="2591"/>
      <c r="K1828" s="2591"/>
      <c r="L1828" s="2591"/>
      <c r="M1828" s="2591"/>
      <c r="N1828" s="2591"/>
      <c r="O1828" s="2591"/>
      <c r="P1828" s="2591"/>
      <c r="Q1828" s="2591"/>
      <c r="R1828" s="2591"/>
      <c r="S1828" s="2591"/>
    </row>
    <row r="1829" spans="1:19">
      <c r="A1829" s="2590"/>
      <c r="B1829" s="2591"/>
      <c r="C1829" s="2591"/>
      <c r="D1829" s="2591"/>
      <c r="E1829" s="2591"/>
      <c r="F1829" s="2591"/>
      <c r="G1829" s="2591"/>
      <c r="H1829" s="2591"/>
      <c r="I1829" s="2591"/>
      <c r="J1829" s="2591"/>
      <c r="K1829" s="2591"/>
      <c r="L1829" s="2591"/>
      <c r="M1829" s="2591"/>
      <c r="N1829" s="2591"/>
      <c r="O1829" s="2591"/>
      <c r="P1829" s="2591"/>
      <c r="Q1829" s="2591"/>
      <c r="R1829" s="2591"/>
      <c r="S1829" s="2591"/>
    </row>
    <row r="1830" spans="1:19">
      <c r="A1830" s="2590"/>
      <c r="B1830" s="2591"/>
      <c r="C1830" s="2591"/>
      <c r="D1830" s="2591"/>
      <c r="E1830" s="2591"/>
      <c r="F1830" s="2591"/>
      <c r="G1830" s="2591"/>
      <c r="H1830" s="2591"/>
      <c r="I1830" s="2591"/>
      <c r="J1830" s="2591"/>
      <c r="K1830" s="2591"/>
      <c r="L1830" s="2591"/>
      <c r="M1830" s="2591"/>
      <c r="N1830" s="2591"/>
      <c r="O1830" s="2591"/>
      <c r="P1830" s="2591"/>
      <c r="Q1830" s="2591"/>
      <c r="R1830" s="2591"/>
      <c r="S1830" s="2591"/>
    </row>
    <row r="1831" spans="1:19">
      <c r="A1831" s="2590"/>
      <c r="B1831" s="2591"/>
      <c r="C1831" s="2591"/>
      <c r="D1831" s="2591"/>
      <c r="E1831" s="2591"/>
      <c r="F1831" s="2591"/>
      <c r="G1831" s="2591"/>
      <c r="H1831" s="2591"/>
      <c r="I1831" s="2591"/>
      <c r="J1831" s="2591"/>
      <c r="K1831" s="2591"/>
      <c r="L1831" s="2591"/>
      <c r="M1831" s="2591"/>
      <c r="N1831" s="2591"/>
      <c r="O1831" s="2591"/>
      <c r="P1831" s="2591"/>
      <c r="Q1831" s="2591"/>
      <c r="R1831" s="2591"/>
      <c r="S1831" s="2591"/>
    </row>
    <row r="1832" spans="1:19">
      <c r="A1832" s="2590"/>
      <c r="B1832" s="2591"/>
      <c r="C1832" s="2591"/>
      <c r="D1832" s="2591"/>
      <c r="E1832" s="2591"/>
      <c r="F1832" s="2591"/>
      <c r="G1832" s="2591"/>
      <c r="H1832" s="2591"/>
      <c r="I1832" s="2591"/>
      <c r="J1832" s="2591"/>
      <c r="K1832" s="2591"/>
      <c r="L1832" s="2591"/>
      <c r="M1832" s="2591"/>
      <c r="N1832" s="2591"/>
      <c r="O1832" s="2591"/>
      <c r="P1832" s="2591"/>
      <c r="Q1832" s="2591"/>
      <c r="R1832" s="2591"/>
      <c r="S1832" s="2591"/>
    </row>
    <row r="1833" spans="1:19">
      <c r="A1833" s="2590"/>
      <c r="B1833" s="2591"/>
      <c r="C1833" s="2591"/>
      <c r="D1833" s="2591"/>
      <c r="E1833" s="2591"/>
      <c r="F1833" s="2591"/>
      <c r="G1833" s="2591"/>
      <c r="H1833" s="2591"/>
      <c r="I1833" s="2591"/>
      <c r="J1833" s="2591"/>
      <c r="K1833" s="2591"/>
      <c r="L1833" s="2591"/>
      <c r="M1833" s="2591"/>
      <c r="N1833" s="2591"/>
      <c r="O1833" s="2591"/>
      <c r="P1833" s="2591"/>
      <c r="Q1833" s="2591"/>
      <c r="R1833" s="2591"/>
      <c r="S1833" s="2591"/>
    </row>
    <row r="1834" spans="1:19">
      <c r="A1834" s="2590"/>
      <c r="B1834" s="2591"/>
      <c r="C1834" s="2591"/>
      <c r="D1834" s="2591"/>
      <c r="E1834" s="2591"/>
      <c r="F1834" s="2591"/>
      <c r="G1834" s="2591"/>
      <c r="H1834" s="2591"/>
      <c r="I1834" s="2591"/>
      <c r="J1834" s="2591"/>
      <c r="K1834" s="2591"/>
      <c r="L1834" s="2591"/>
      <c r="M1834" s="2591"/>
      <c r="N1834" s="2591"/>
      <c r="O1834" s="2591"/>
      <c r="P1834" s="2591"/>
      <c r="Q1834" s="2591"/>
      <c r="R1834" s="2591"/>
      <c r="S1834" s="2591"/>
    </row>
    <row r="1835" spans="1:19">
      <c r="A1835" s="2590"/>
      <c r="B1835" s="2591"/>
      <c r="C1835" s="2591"/>
      <c r="D1835" s="2591"/>
      <c r="E1835" s="2591"/>
      <c r="F1835" s="2591"/>
      <c r="G1835" s="2591"/>
      <c r="H1835" s="2591"/>
      <c r="I1835" s="2591"/>
      <c r="J1835" s="2591"/>
      <c r="K1835" s="2591"/>
      <c r="L1835" s="2591"/>
      <c r="M1835" s="2591"/>
      <c r="N1835" s="2591"/>
      <c r="O1835" s="2591"/>
      <c r="P1835" s="2591"/>
      <c r="Q1835" s="2591"/>
      <c r="R1835" s="2591"/>
      <c r="S1835" s="2591"/>
    </row>
    <row r="1836" spans="1:19">
      <c r="A1836" s="2590"/>
      <c r="B1836" s="2591"/>
      <c r="C1836" s="2591"/>
      <c r="D1836" s="2591"/>
      <c r="E1836" s="2591"/>
      <c r="F1836" s="2591"/>
      <c r="G1836" s="2591"/>
      <c r="H1836" s="2591"/>
      <c r="I1836" s="2591"/>
      <c r="J1836" s="2591"/>
      <c r="K1836" s="2591"/>
      <c r="L1836" s="2591"/>
      <c r="M1836" s="2591"/>
      <c r="N1836" s="2591"/>
      <c r="O1836" s="2591"/>
      <c r="P1836" s="2591"/>
      <c r="Q1836" s="2591"/>
      <c r="R1836" s="2591"/>
      <c r="S1836" s="2591"/>
    </row>
    <row r="1837" spans="1:19">
      <c r="A1837" s="2590"/>
      <c r="B1837" s="2591"/>
      <c r="C1837" s="2591"/>
      <c r="D1837" s="2591"/>
      <c r="E1837" s="2591"/>
      <c r="F1837" s="2591"/>
      <c r="G1837" s="2591"/>
      <c r="H1837" s="2591"/>
      <c r="I1837" s="2591"/>
      <c r="J1837" s="2591"/>
      <c r="K1837" s="2591"/>
      <c r="L1837" s="2591"/>
      <c r="M1837" s="2591"/>
      <c r="N1837" s="2591"/>
      <c r="O1837" s="2591"/>
      <c r="P1837" s="2591"/>
      <c r="Q1837" s="2591"/>
      <c r="R1837" s="2591"/>
      <c r="S1837" s="2591"/>
    </row>
    <row r="1838" spans="1:19">
      <c r="A1838" s="2590"/>
      <c r="B1838" s="2591"/>
      <c r="C1838" s="2591"/>
      <c r="D1838" s="2591"/>
      <c r="E1838" s="2591"/>
      <c r="F1838" s="2591"/>
      <c r="G1838" s="2591"/>
      <c r="H1838" s="2591"/>
      <c r="I1838" s="2591"/>
      <c r="J1838" s="2591"/>
      <c r="K1838" s="2591"/>
      <c r="L1838" s="2591"/>
      <c r="M1838" s="2591"/>
      <c r="N1838" s="2591"/>
      <c r="O1838" s="2591"/>
      <c r="P1838" s="2591"/>
      <c r="Q1838" s="2591"/>
      <c r="R1838" s="2591"/>
      <c r="S1838" s="2591"/>
    </row>
    <row r="1839" spans="1:19">
      <c r="A1839" s="2590"/>
      <c r="B1839" s="2591"/>
      <c r="C1839" s="2591"/>
      <c r="D1839" s="2591"/>
      <c r="E1839" s="2591"/>
      <c r="F1839" s="2591"/>
      <c r="G1839" s="2591"/>
      <c r="H1839" s="2591"/>
      <c r="I1839" s="2591"/>
      <c r="J1839" s="2591"/>
      <c r="K1839" s="2591"/>
      <c r="L1839" s="2591"/>
      <c r="M1839" s="2591"/>
      <c r="N1839" s="2591"/>
      <c r="O1839" s="2591"/>
      <c r="P1839" s="2591"/>
      <c r="Q1839" s="2591"/>
      <c r="R1839" s="2591"/>
      <c r="S1839" s="2591"/>
    </row>
    <row r="1840" spans="1:19">
      <c r="A1840" s="2590"/>
      <c r="B1840" s="2591"/>
      <c r="C1840" s="2591"/>
      <c r="D1840" s="2591"/>
      <c r="E1840" s="2591"/>
      <c r="F1840" s="2591"/>
      <c r="G1840" s="2591"/>
      <c r="H1840" s="2591"/>
      <c r="I1840" s="2591"/>
      <c r="J1840" s="2591"/>
      <c r="K1840" s="2591"/>
      <c r="L1840" s="2591"/>
      <c r="M1840" s="2591"/>
      <c r="N1840" s="2591"/>
      <c r="O1840" s="2591"/>
      <c r="P1840" s="2591"/>
      <c r="Q1840" s="2591"/>
      <c r="R1840" s="2591"/>
      <c r="S1840" s="2591"/>
    </row>
    <row r="1841" spans="1:19">
      <c r="A1841" s="2590"/>
      <c r="B1841" s="2591"/>
      <c r="C1841" s="2591"/>
      <c r="D1841" s="2591"/>
      <c r="E1841" s="2591"/>
      <c r="F1841" s="2591"/>
      <c r="G1841" s="2591"/>
      <c r="H1841" s="2591"/>
      <c r="I1841" s="2591"/>
      <c r="J1841" s="2591"/>
      <c r="K1841" s="2591"/>
      <c r="L1841" s="2591"/>
      <c r="M1841" s="2591"/>
      <c r="N1841" s="2591"/>
      <c r="O1841" s="2591"/>
      <c r="P1841" s="2591"/>
      <c r="Q1841" s="2591"/>
      <c r="R1841" s="2591"/>
      <c r="S1841" s="2591"/>
    </row>
    <row r="1842" spans="1:19">
      <c r="A1842" s="2590"/>
      <c r="B1842" s="2591"/>
      <c r="C1842" s="2591"/>
      <c r="D1842" s="2591"/>
      <c r="E1842" s="2591"/>
      <c r="F1842" s="2591"/>
      <c r="G1842" s="2591"/>
      <c r="H1842" s="2591"/>
      <c r="I1842" s="2591"/>
      <c r="J1842" s="2591"/>
      <c r="K1842" s="2591"/>
      <c r="L1842" s="2591"/>
      <c r="M1842" s="2591"/>
      <c r="N1842" s="2591"/>
      <c r="O1842" s="2591"/>
      <c r="P1842" s="2591"/>
      <c r="Q1842" s="2591"/>
      <c r="R1842" s="2591"/>
      <c r="S1842" s="2591"/>
    </row>
    <row r="1843" spans="1:19">
      <c r="A1843" s="2590"/>
      <c r="B1843" s="2591"/>
      <c r="C1843" s="2591"/>
      <c r="D1843" s="2591"/>
      <c r="E1843" s="2591"/>
      <c r="F1843" s="2591"/>
      <c r="G1843" s="2591"/>
      <c r="H1843" s="2591"/>
      <c r="I1843" s="2591"/>
      <c r="J1843" s="2591"/>
      <c r="K1843" s="2591"/>
      <c r="L1843" s="2591"/>
      <c r="M1843" s="2591"/>
      <c r="N1843" s="2591"/>
      <c r="O1843" s="2591"/>
      <c r="P1843" s="2591"/>
      <c r="Q1843" s="2591"/>
      <c r="R1843" s="2591"/>
      <c r="S1843" s="2591"/>
    </row>
    <row r="1844" spans="1:19">
      <c r="A1844" s="2590"/>
      <c r="B1844" s="2591"/>
      <c r="C1844" s="2591"/>
      <c r="D1844" s="2591"/>
      <c r="E1844" s="2591"/>
      <c r="F1844" s="2591"/>
      <c r="G1844" s="2591"/>
      <c r="H1844" s="2591"/>
      <c r="I1844" s="2591"/>
      <c r="J1844" s="2591"/>
      <c r="K1844" s="2591"/>
      <c r="L1844" s="2591"/>
      <c r="M1844" s="2591"/>
      <c r="N1844" s="2591"/>
      <c r="O1844" s="2591"/>
      <c r="P1844" s="2591"/>
      <c r="Q1844" s="2591"/>
      <c r="R1844" s="2591"/>
      <c r="S1844" s="2591"/>
    </row>
    <row r="1845" spans="1:19">
      <c r="A1845" s="2590"/>
      <c r="B1845" s="2591"/>
      <c r="C1845" s="2591"/>
      <c r="D1845" s="2591"/>
      <c r="E1845" s="2591"/>
      <c r="F1845" s="2591"/>
      <c r="G1845" s="2591"/>
      <c r="H1845" s="2591"/>
      <c r="I1845" s="2591"/>
      <c r="J1845" s="2591"/>
      <c r="K1845" s="2591"/>
      <c r="L1845" s="2591"/>
      <c r="M1845" s="2591"/>
      <c r="N1845" s="2591"/>
      <c r="O1845" s="2591"/>
      <c r="P1845" s="2591"/>
      <c r="Q1845" s="2591"/>
      <c r="R1845" s="2591"/>
      <c r="S1845" s="2591"/>
    </row>
    <row r="1846" spans="1:19">
      <c r="A1846" s="2590"/>
      <c r="B1846" s="2591"/>
      <c r="C1846" s="2591"/>
      <c r="D1846" s="2591"/>
      <c r="E1846" s="2591"/>
      <c r="F1846" s="2591"/>
      <c r="G1846" s="2591"/>
      <c r="H1846" s="2591"/>
      <c r="I1846" s="2591"/>
      <c r="J1846" s="2591"/>
      <c r="K1846" s="2591"/>
      <c r="L1846" s="2591"/>
      <c r="M1846" s="2591"/>
      <c r="N1846" s="2591"/>
      <c r="O1846" s="2591"/>
      <c r="P1846" s="2591"/>
      <c r="Q1846" s="2591"/>
      <c r="R1846" s="2591"/>
      <c r="S1846" s="2591"/>
    </row>
    <row r="1847" spans="1:19">
      <c r="A1847" s="2590"/>
      <c r="B1847" s="2591"/>
      <c r="C1847" s="2591"/>
      <c r="D1847" s="2591"/>
      <c r="E1847" s="2591"/>
      <c r="F1847" s="2591"/>
      <c r="G1847" s="2591"/>
      <c r="H1847" s="2591"/>
      <c r="I1847" s="2591"/>
      <c r="J1847" s="2591"/>
      <c r="K1847" s="2591"/>
      <c r="L1847" s="2591"/>
      <c r="M1847" s="2591"/>
      <c r="N1847" s="2591"/>
      <c r="O1847" s="2591"/>
      <c r="P1847" s="2591"/>
      <c r="Q1847" s="2591"/>
      <c r="R1847" s="2591"/>
      <c r="S1847" s="2591"/>
    </row>
    <row r="1848" spans="1:19">
      <c r="A1848" s="2590"/>
      <c r="B1848" s="2591"/>
      <c r="C1848" s="2591"/>
      <c r="D1848" s="2591"/>
      <c r="E1848" s="2591"/>
      <c r="F1848" s="2591"/>
      <c r="G1848" s="2591"/>
      <c r="H1848" s="2591"/>
      <c r="I1848" s="2591"/>
      <c r="J1848" s="2591"/>
      <c r="K1848" s="2591"/>
      <c r="L1848" s="2591"/>
      <c r="M1848" s="2591"/>
      <c r="N1848" s="2591"/>
      <c r="O1848" s="2591"/>
      <c r="P1848" s="2591"/>
      <c r="Q1848" s="2591"/>
      <c r="R1848" s="2591"/>
      <c r="S1848" s="2591"/>
    </row>
    <row r="1849" spans="1:19">
      <c r="A1849" s="2590"/>
      <c r="B1849" s="2591"/>
      <c r="C1849" s="2591"/>
      <c r="D1849" s="2591"/>
      <c r="E1849" s="2591"/>
      <c r="F1849" s="2591"/>
      <c r="G1849" s="2591"/>
      <c r="H1849" s="2591"/>
      <c r="I1849" s="2591"/>
      <c r="J1849" s="2591"/>
      <c r="K1849" s="2591"/>
      <c r="L1849" s="2591"/>
      <c r="M1849" s="2591"/>
      <c r="N1849" s="2591"/>
      <c r="O1849" s="2591"/>
      <c r="P1849" s="2591"/>
      <c r="Q1849" s="2591"/>
      <c r="R1849" s="2591"/>
      <c r="S1849" s="2591"/>
    </row>
    <row r="1850" spans="1:19">
      <c r="A1850" s="2590"/>
      <c r="B1850" s="2591"/>
      <c r="C1850" s="2591"/>
      <c r="D1850" s="2591"/>
      <c r="E1850" s="2591"/>
      <c r="F1850" s="2591"/>
      <c r="G1850" s="2591"/>
      <c r="H1850" s="2591"/>
      <c r="I1850" s="2591"/>
      <c r="J1850" s="2591"/>
      <c r="K1850" s="2591"/>
      <c r="L1850" s="2591"/>
      <c r="M1850" s="2591"/>
      <c r="N1850" s="2591"/>
      <c r="O1850" s="2591"/>
      <c r="P1850" s="2591"/>
      <c r="Q1850" s="2591"/>
      <c r="R1850" s="2591"/>
      <c r="S1850" s="2591"/>
    </row>
    <row r="1851" spans="1:19">
      <c r="A1851" s="2590"/>
      <c r="B1851" s="2591"/>
      <c r="C1851" s="2591"/>
      <c r="D1851" s="2591"/>
      <c r="E1851" s="2591"/>
      <c r="F1851" s="2591"/>
      <c r="G1851" s="2591"/>
      <c r="H1851" s="2591"/>
      <c r="I1851" s="2591"/>
      <c r="J1851" s="2591"/>
      <c r="K1851" s="2591"/>
      <c r="L1851" s="2591"/>
      <c r="M1851" s="2591"/>
      <c r="N1851" s="2591"/>
      <c r="O1851" s="2591"/>
      <c r="P1851" s="2591"/>
      <c r="Q1851" s="2591"/>
      <c r="R1851" s="2591"/>
      <c r="S1851" s="2591"/>
    </row>
    <row r="1852" spans="1:19">
      <c r="A1852" s="2590"/>
      <c r="B1852" s="2591"/>
      <c r="C1852" s="2591"/>
      <c r="D1852" s="2591"/>
      <c r="E1852" s="2591"/>
      <c r="F1852" s="2591"/>
      <c r="G1852" s="2591"/>
      <c r="H1852" s="2591"/>
      <c r="I1852" s="2591"/>
      <c r="J1852" s="2591"/>
      <c r="K1852" s="2591"/>
      <c r="L1852" s="2591"/>
      <c r="M1852" s="2591"/>
      <c r="N1852" s="2591"/>
      <c r="O1852" s="2591"/>
      <c r="P1852" s="2591"/>
      <c r="Q1852" s="2591"/>
      <c r="R1852" s="2591"/>
      <c r="S1852" s="2591"/>
    </row>
    <row r="1853" spans="1:19">
      <c r="A1853" s="2590"/>
      <c r="B1853" s="2591"/>
      <c r="C1853" s="2591"/>
      <c r="D1853" s="2591"/>
      <c r="E1853" s="2591"/>
      <c r="F1853" s="2591"/>
      <c r="G1853" s="2591"/>
      <c r="H1853" s="2591"/>
      <c r="I1853" s="2591"/>
      <c r="J1853" s="2591"/>
      <c r="K1853" s="2591"/>
      <c r="L1853" s="2591"/>
      <c r="M1853" s="2591"/>
      <c r="N1853" s="2591"/>
      <c r="O1853" s="2591"/>
      <c r="P1853" s="2591"/>
      <c r="Q1853" s="2591"/>
      <c r="R1853" s="2591"/>
      <c r="S1853" s="2591"/>
    </row>
    <row r="1854" spans="1:19">
      <c r="A1854" s="2590"/>
      <c r="B1854" s="2591"/>
      <c r="C1854" s="2591"/>
      <c r="D1854" s="2591"/>
      <c r="E1854" s="2591"/>
      <c r="F1854" s="2591"/>
      <c r="G1854" s="2591"/>
      <c r="H1854" s="2591"/>
      <c r="I1854" s="2591"/>
      <c r="J1854" s="2591"/>
      <c r="K1854" s="2591"/>
      <c r="L1854" s="2591"/>
      <c r="M1854" s="2591"/>
      <c r="N1854" s="2591"/>
      <c r="O1854" s="2591"/>
      <c r="P1854" s="2591"/>
      <c r="Q1854" s="2591"/>
      <c r="R1854" s="2591"/>
      <c r="S1854" s="2591"/>
    </row>
    <row r="1855" spans="1:19">
      <c r="A1855" s="2590"/>
      <c r="B1855" s="2591"/>
      <c r="C1855" s="2591"/>
      <c r="D1855" s="2591"/>
      <c r="E1855" s="2591"/>
      <c r="F1855" s="2591"/>
      <c r="G1855" s="2591"/>
      <c r="H1855" s="2591"/>
      <c r="I1855" s="2591"/>
      <c r="J1855" s="2591"/>
      <c r="K1855" s="2591"/>
      <c r="L1855" s="2591"/>
      <c r="M1855" s="2591"/>
      <c r="N1855" s="2591"/>
      <c r="O1855" s="2591"/>
      <c r="P1855" s="2591"/>
      <c r="Q1855" s="2591"/>
      <c r="R1855" s="2591"/>
      <c r="S1855" s="2591"/>
    </row>
    <row r="1856" spans="1:19">
      <c r="A1856" s="2590"/>
      <c r="B1856" s="2591"/>
      <c r="C1856" s="2591"/>
      <c r="D1856" s="2591"/>
      <c r="E1856" s="2591"/>
      <c r="F1856" s="2591"/>
      <c r="G1856" s="2591"/>
      <c r="H1856" s="2591"/>
      <c r="I1856" s="2591"/>
      <c r="J1856" s="2591"/>
      <c r="K1856" s="2591"/>
      <c r="L1856" s="2591"/>
      <c r="M1856" s="2591"/>
      <c r="N1856" s="2591"/>
      <c r="O1856" s="2591"/>
      <c r="P1856" s="2591"/>
      <c r="Q1856" s="2591"/>
      <c r="R1856" s="2591"/>
      <c r="S1856" s="2591"/>
    </row>
    <row r="1857" spans="1:19">
      <c r="A1857" s="2590"/>
      <c r="B1857" s="2591"/>
      <c r="C1857" s="2591"/>
      <c r="D1857" s="2591"/>
      <c r="E1857" s="2591"/>
      <c r="F1857" s="2591"/>
      <c r="G1857" s="2591"/>
      <c r="H1857" s="2591"/>
      <c r="I1857" s="2591"/>
      <c r="J1857" s="2591"/>
      <c r="K1857" s="2591"/>
      <c r="L1857" s="2591"/>
      <c r="M1857" s="2591"/>
      <c r="N1857" s="2591"/>
      <c r="O1857" s="2591"/>
      <c r="P1857" s="2591"/>
      <c r="Q1857" s="2591"/>
      <c r="R1857" s="2591"/>
      <c r="S1857" s="2591"/>
    </row>
    <row r="1858" spans="1:19">
      <c r="A1858" s="2590"/>
      <c r="B1858" s="2591"/>
      <c r="C1858" s="2591"/>
      <c r="D1858" s="2591"/>
      <c r="E1858" s="2591"/>
      <c r="F1858" s="2591"/>
      <c r="G1858" s="2591"/>
      <c r="H1858" s="2591"/>
      <c r="I1858" s="2591"/>
      <c r="J1858" s="2591"/>
      <c r="K1858" s="2591"/>
      <c r="L1858" s="2591"/>
      <c r="M1858" s="2591"/>
      <c r="N1858" s="2591"/>
      <c r="O1858" s="2591"/>
      <c r="P1858" s="2591"/>
      <c r="Q1858" s="2591"/>
      <c r="R1858" s="2591"/>
      <c r="S1858" s="2591"/>
    </row>
    <row r="1859" spans="1:19">
      <c r="A1859" s="2590"/>
      <c r="B1859" s="2591"/>
      <c r="C1859" s="2591"/>
      <c r="D1859" s="2591"/>
      <c r="E1859" s="2591"/>
      <c r="F1859" s="2591"/>
      <c r="G1859" s="2591"/>
      <c r="H1859" s="2591"/>
      <c r="I1859" s="2591"/>
      <c r="J1859" s="2591"/>
      <c r="K1859" s="2591"/>
      <c r="L1859" s="2591"/>
      <c r="M1859" s="2591"/>
      <c r="N1859" s="2591"/>
      <c r="O1859" s="2591"/>
      <c r="P1859" s="2591"/>
      <c r="Q1859" s="2591"/>
      <c r="R1859" s="2591"/>
      <c r="S1859" s="2591"/>
    </row>
    <row r="1860" spans="1:19">
      <c r="A1860" s="2590"/>
      <c r="B1860" s="2591"/>
      <c r="C1860" s="2591"/>
      <c r="D1860" s="2591"/>
      <c r="E1860" s="2591"/>
      <c r="F1860" s="2591"/>
      <c r="G1860" s="2591"/>
      <c r="H1860" s="2591"/>
      <c r="I1860" s="2591"/>
      <c r="J1860" s="2591"/>
      <c r="K1860" s="2591"/>
      <c r="L1860" s="2591"/>
      <c r="M1860" s="2591"/>
      <c r="N1860" s="2591"/>
      <c r="O1860" s="2591"/>
      <c r="P1860" s="2591"/>
      <c r="Q1860" s="2591"/>
      <c r="R1860" s="2591"/>
      <c r="S1860" s="2591"/>
    </row>
    <row r="1861" spans="1:19">
      <c r="A1861" s="2590"/>
      <c r="B1861" s="2591"/>
      <c r="C1861" s="2591"/>
      <c r="D1861" s="2591"/>
      <c r="E1861" s="2591"/>
      <c r="F1861" s="2591"/>
      <c r="G1861" s="2591"/>
      <c r="H1861" s="2591"/>
      <c r="I1861" s="2591"/>
      <c r="J1861" s="2591"/>
      <c r="K1861" s="2591"/>
      <c r="L1861" s="2591"/>
      <c r="M1861" s="2591"/>
      <c r="N1861" s="2591"/>
      <c r="O1861" s="2591"/>
      <c r="P1861" s="2591"/>
      <c r="Q1861" s="2591"/>
      <c r="R1861" s="2591"/>
      <c r="S1861" s="2591"/>
    </row>
    <row r="1862" spans="1:19">
      <c r="A1862" s="2590"/>
      <c r="B1862" s="2591"/>
      <c r="C1862" s="2591"/>
      <c r="D1862" s="2591"/>
      <c r="E1862" s="2591"/>
      <c r="F1862" s="2591"/>
      <c r="G1862" s="2591"/>
      <c r="H1862" s="2591"/>
      <c r="I1862" s="2591"/>
      <c r="J1862" s="2591"/>
      <c r="K1862" s="2591"/>
      <c r="L1862" s="2591"/>
      <c r="M1862" s="2591"/>
      <c r="N1862" s="2591"/>
      <c r="O1862" s="2591"/>
      <c r="P1862" s="2591"/>
      <c r="Q1862" s="2591"/>
      <c r="R1862" s="2591"/>
      <c r="S1862" s="2591"/>
    </row>
    <row r="1863" spans="1:19">
      <c r="A1863" s="2590"/>
      <c r="B1863" s="2591"/>
      <c r="C1863" s="2591"/>
      <c r="D1863" s="2591"/>
      <c r="E1863" s="2591"/>
      <c r="F1863" s="2591"/>
      <c r="G1863" s="2591"/>
      <c r="H1863" s="2591"/>
      <c r="I1863" s="2591"/>
      <c r="J1863" s="2591"/>
      <c r="K1863" s="2591"/>
      <c r="L1863" s="2591"/>
      <c r="M1863" s="2591"/>
      <c r="N1863" s="2591"/>
      <c r="O1863" s="2591"/>
      <c r="P1863" s="2591"/>
      <c r="Q1863" s="2591"/>
      <c r="R1863" s="2591"/>
      <c r="S1863" s="2591"/>
    </row>
    <row r="1864" spans="1:19">
      <c r="A1864" s="2590"/>
      <c r="B1864" s="2591"/>
      <c r="C1864" s="2591"/>
      <c r="D1864" s="2591"/>
      <c r="E1864" s="2591"/>
      <c r="F1864" s="2591"/>
      <c r="G1864" s="2591"/>
      <c r="H1864" s="2591"/>
      <c r="I1864" s="2591"/>
      <c r="J1864" s="2591"/>
      <c r="K1864" s="2591"/>
      <c r="L1864" s="2591"/>
      <c r="M1864" s="2591"/>
      <c r="N1864" s="2591"/>
      <c r="O1864" s="2591"/>
      <c r="P1864" s="2591"/>
      <c r="Q1864" s="2591"/>
      <c r="R1864" s="2591"/>
      <c r="S1864" s="2591"/>
    </row>
    <row r="1865" spans="1:19">
      <c r="A1865" s="2590"/>
      <c r="B1865" s="2591"/>
      <c r="C1865" s="2591"/>
      <c r="D1865" s="2591"/>
      <c r="E1865" s="2591"/>
      <c r="F1865" s="2591"/>
      <c r="G1865" s="2591"/>
      <c r="H1865" s="2591"/>
      <c r="I1865" s="2591"/>
      <c r="J1865" s="2591"/>
      <c r="K1865" s="2591"/>
      <c r="L1865" s="2591"/>
      <c r="M1865" s="2591"/>
      <c r="N1865" s="2591"/>
      <c r="O1865" s="2591"/>
      <c r="P1865" s="2591"/>
      <c r="Q1865" s="2591"/>
      <c r="R1865" s="2591"/>
      <c r="S1865" s="2591"/>
    </row>
    <row r="1866" spans="1:19">
      <c r="A1866" s="2590"/>
      <c r="B1866" s="2591"/>
      <c r="C1866" s="2591"/>
      <c r="D1866" s="2591"/>
      <c r="E1866" s="2591"/>
      <c r="F1866" s="2591"/>
      <c r="G1866" s="2591"/>
      <c r="H1866" s="2591"/>
      <c r="I1866" s="2591"/>
      <c r="J1866" s="2591"/>
      <c r="K1866" s="2591"/>
      <c r="L1866" s="2591"/>
      <c r="M1866" s="2591"/>
      <c r="N1866" s="2591"/>
      <c r="O1866" s="2591"/>
      <c r="P1866" s="2591"/>
      <c r="Q1866" s="2591"/>
      <c r="R1866" s="2591"/>
      <c r="S1866" s="2591"/>
    </row>
    <row r="1867" spans="1:19">
      <c r="A1867" s="2590"/>
      <c r="B1867" s="2591"/>
      <c r="C1867" s="2591"/>
      <c r="D1867" s="2591"/>
      <c r="E1867" s="2591"/>
      <c r="F1867" s="2591"/>
      <c r="G1867" s="2591"/>
      <c r="H1867" s="2591"/>
      <c r="I1867" s="2591"/>
      <c r="J1867" s="2591"/>
      <c r="K1867" s="2591"/>
      <c r="L1867" s="2591"/>
      <c r="M1867" s="2591"/>
      <c r="N1867" s="2591"/>
      <c r="O1867" s="2591"/>
      <c r="P1867" s="2591"/>
      <c r="Q1867" s="2591"/>
      <c r="R1867" s="2591"/>
      <c r="S1867" s="2591"/>
    </row>
    <row r="1868" spans="1:19">
      <c r="A1868" s="2590"/>
      <c r="B1868" s="2591"/>
      <c r="C1868" s="2591"/>
      <c r="D1868" s="2591"/>
      <c r="E1868" s="2591"/>
      <c r="F1868" s="2591"/>
      <c r="G1868" s="2591"/>
      <c r="H1868" s="2591"/>
      <c r="I1868" s="2591"/>
      <c r="J1868" s="2591"/>
      <c r="K1868" s="2591"/>
      <c r="L1868" s="2591"/>
      <c r="M1868" s="2591"/>
      <c r="N1868" s="2591"/>
      <c r="O1868" s="2591"/>
      <c r="P1868" s="2591"/>
      <c r="Q1868" s="2591"/>
      <c r="R1868" s="2591"/>
      <c r="S1868" s="2591"/>
    </row>
    <row r="1869" spans="1:19">
      <c r="A1869" s="2590"/>
      <c r="B1869" s="2591"/>
      <c r="C1869" s="2591"/>
      <c r="D1869" s="2591"/>
      <c r="E1869" s="2591"/>
      <c r="F1869" s="2591"/>
      <c r="G1869" s="2591"/>
      <c r="H1869" s="2591"/>
      <c r="I1869" s="2591"/>
      <c r="J1869" s="2591"/>
      <c r="K1869" s="2591"/>
      <c r="L1869" s="2591"/>
      <c r="M1869" s="2591"/>
      <c r="N1869" s="2591"/>
      <c r="O1869" s="2591"/>
      <c r="P1869" s="2591"/>
      <c r="Q1869" s="2591"/>
      <c r="R1869" s="2591"/>
      <c r="S1869" s="2591"/>
    </row>
    <row r="1870" spans="1:19">
      <c r="A1870" s="2590"/>
      <c r="B1870" s="2591"/>
      <c r="C1870" s="2591"/>
      <c r="D1870" s="2591"/>
      <c r="E1870" s="2591"/>
      <c r="F1870" s="2591"/>
      <c r="G1870" s="2591"/>
      <c r="H1870" s="2591"/>
      <c r="I1870" s="2591"/>
      <c r="J1870" s="2591"/>
      <c r="K1870" s="2591"/>
      <c r="L1870" s="2591"/>
      <c r="M1870" s="2591"/>
      <c r="N1870" s="2591"/>
      <c r="O1870" s="2591"/>
      <c r="P1870" s="2591"/>
      <c r="Q1870" s="2591"/>
      <c r="R1870" s="2591"/>
      <c r="S1870" s="2591"/>
    </row>
    <row r="1871" spans="1:19">
      <c r="A1871" s="2590"/>
      <c r="B1871" s="2591"/>
      <c r="C1871" s="2591"/>
      <c r="D1871" s="2591"/>
      <c r="E1871" s="2591"/>
      <c r="F1871" s="2591"/>
      <c r="G1871" s="2591"/>
      <c r="H1871" s="2591"/>
      <c r="I1871" s="2591"/>
      <c r="J1871" s="2591"/>
      <c r="K1871" s="2591"/>
      <c r="L1871" s="2591"/>
      <c r="M1871" s="2591"/>
      <c r="N1871" s="2591"/>
      <c r="O1871" s="2591"/>
      <c r="P1871" s="2591"/>
      <c r="Q1871" s="2591"/>
      <c r="R1871" s="2591"/>
      <c r="S1871" s="2591"/>
    </row>
    <row r="1872" spans="1:19">
      <c r="A1872" s="2590"/>
      <c r="B1872" s="2591"/>
      <c r="C1872" s="2591"/>
      <c r="D1872" s="2591"/>
      <c r="E1872" s="2591"/>
      <c r="F1872" s="2591"/>
      <c r="G1872" s="2591"/>
      <c r="H1872" s="2591"/>
      <c r="I1872" s="2591"/>
      <c r="J1872" s="2591"/>
      <c r="K1872" s="2591"/>
      <c r="L1872" s="2591"/>
      <c r="M1872" s="2591"/>
      <c r="N1872" s="2591"/>
      <c r="O1872" s="2591"/>
      <c r="P1872" s="2591"/>
      <c r="Q1872" s="2591"/>
      <c r="R1872" s="2591"/>
      <c r="S1872" s="2591"/>
    </row>
    <row r="1873" spans="1:19">
      <c r="A1873" s="2590"/>
      <c r="B1873" s="2591"/>
      <c r="C1873" s="2591"/>
      <c r="D1873" s="2591"/>
      <c r="E1873" s="2591"/>
      <c r="F1873" s="2591"/>
      <c r="G1873" s="2591"/>
      <c r="H1873" s="2591"/>
      <c r="I1873" s="2591"/>
      <c r="J1873" s="2591"/>
      <c r="K1873" s="2591"/>
      <c r="L1873" s="2591"/>
      <c r="M1873" s="2591"/>
      <c r="N1873" s="2591"/>
      <c r="O1873" s="2591"/>
      <c r="P1873" s="2591"/>
      <c r="Q1873" s="2591"/>
      <c r="R1873" s="2591"/>
      <c r="S1873" s="2591"/>
    </row>
    <row r="1874" spans="1:19">
      <c r="A1874" s="2590"/>
      <c r="B1874" s="2591"/>
      <c r="C1874" s="2591"/>
      <c r="D1874" s="2591"/>
      <c r="E1874" s="2591"/>
      <c r="F1874" s="2591"/>
      <c r="G1874" s="2591"/>
      <c r="H1874" s="2591"/>
      <c r="I1874" s="2591"/>
      <c r="J1874" s="2591"/>
      <c r="K1874" s="2591"/>
      <c r="L1874" s="2591"/>
      <c r="M1874" s="2591"/>
      <c r="N1874" s="2591"/>
      <c r="O1874" s="2591"/>
      <c r="P1874" s="2591"/>
      <c r="Q1874" s="2591"/>
      <c r="R1874" s="2591"/>
      <c r="S1874" s="2591"/>
    </row>
  </sheetData>
  <sheetProtection selectLockedCells="1" selectUnlockedCells="1" formatCells="0" insertRows="0" deleteRows="0"/>
  <autoFilter ref="A176:I463">
    <extLst/>
  </autoFilter>
  <mergeCells count="12">
    <mergeCell ref="A168:B168"/>
    <mergeCell ref="C168:E168"/>
    <mergeCell ref="A169:B169"/>
    <mergeCell ref="C169:E169"/>
    <mergeCell ref="A170:B170"/>
    <mergeCell ref="C170:E170"/>
    <mergeCell ref="B172:E172"/>
    <mergeCell ref="G172:H172"/>
    <mergeCell ref="A174:E174"/>
    <mergeCell ref="A172:A173"/>
    <mergeCell ref="F172:F173"/>
    <mergeCell ref="I172:I173"/>
  </mergeCells>
  <conditionalFormatting sqref="B171">
    <cfRule type="cellIs" dxfId="5" priority="2" stopIfTrue="1" operator="equal">
      <formula>$C$163&amp;$C$164</formula>
    </cfRule>
  </conditionalFormatting>
  <conditionalFormatting sqref="A174:E174">
    <cfRule type="cellIs" dxfId="2" priority="1" stopIfTrue="1" operator="equal">
      <formula>"调整金额借贷不等,请检查!差额为:"</formula>
    </cfRule>
  </conditionalFormatting>
  <dataValidations count="3">
    <dataValidation type="list" allowBlank="1" showInputMessage="1" showErrorMessage="1" errorTitle="错误" error="请按设定的科目填列！" sqref="C269 C270 C278 C285 C286 C295 C305 C175:C183 C184:C268 C271:C277 C279:C282 C283:C284 C287:C288 C289:C292 C293:C294 C296:C298 C299:C300 C301:C302 C303:C304 C306:C1227 L1021:L1024">
      <formula1>$C$1:$C$157</formula1>
    </dataValidation>
    <dataValidation type="decimal" operator="between" allowBlank="1" showInputMessage="1" showErrorMessage="1" errorTitle="输入有误" error="抱歉，此处已限定只能输入数字。" sqref="G269:H269 G270:H270 G278:H278 G285:H285 G286:H286 G295:H295 G305:H305 G460:H460 G461:H461 H462 H463 G464:H464 G462:G463 G465:G1227 H465:H1227 M1093:M1100 G175:H183 G184:H268 P1021:Q1024 G271:H277 G279:H282 G289:H292 G296:H298 G283:H284 G287:H288 G293:H294 G299:H300 G301:H302 G303:H304 G306:H459" errorStyle="warning">
      <formula1>-99999999999999900000</formula1>
      <formula2>99999999999999900000</formula2>
    </dataValidation>
    <dataValidation type="list" allowBlank="1" showInputMessage="1" showErrorMessage="1" sqref="I269 I270 I285 I286 I287 I295 I305 I175:I183 I184:I266 I267:I268 I271:I272 I273:I274 I275:I276 I277:I278 I279:I282 I283:I284 I288:I292 I293:I294 I296:I297 I298:I302 I303:I304 I306:I1227">
      <formula1>$I$2:$I$4</formula1>
    </dataValidation>
  </dataValidations>
  <printOptions horizontalCentered="1"/>
  <pageMargins left="0.31496062992126" right="0.433070866141732" top="0.748031496062992" bottom="0.708661417322835" header="0.31496062992126" footer="0.236220472440945"/>
  <pageSetup paperSize="9" scale="17" orientation="portrait" blackAndWhite="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A1:T1024"/>
  <sheetViews>
    <sheetView showGridLines="0" showZeros="0" view="pageBreakPreview" zoomScale="89" zoomScaleNormal="100" zoomScaleSheetLayoutView="89" topLeftCell="A103" workbookViewId="0">
      <pane xSplit="9" ySplit="7" topLeftCell="J110" activePane="bottomRight" state="frozen"/>
      <selection/>
      <selection pane="topRight"/>
      <selection pane="bottomLeft"/>
      <selection pane="bottomRight" activeCell="K116" sqref="K116"/>
    </sheetView>
  </sheetViews>
  <sheetFormatPr defaultColWidth="9" defaultRowHeight="14.25"/>
  <cols>
    <col min="1" max="1" width="3.25" customWidth="1"/>
    <col min="2" max="2" width="6.5" customWidth="1"/>
    <col min="3" max="3" width="29.375" customWidth="1"/>
    <col min="4" max="4" width="3.625" customWidth="1"/>
    <col min="5" max="5" width="11.375" customWidth="1"/>
    <col min="6" max="6" width="7.25" customWidth="1"/>
    <col min="7" max="7" width="12.625" customWidth="1"/>
    <col min="8" max="8" width="11.25" customWidth="1"/>
    <col min="9" max="9" width="4.125" customWidth="1"/>
  </cols>
  <sheetData>
    <row r="1" hidden="1" spans="1:20">
      <c r="A1" s="2540"/>
      <c r="B1" s="2540"/>
      <c r="C1" s="2540"/>
      <c r="D1" s="2540"/>
      <c r="E1" s="2540"/>
      <c r="F1" s="2540"/>
      <c r="G1" s="2540"/>
      <c r="H1" s="2540"/>
      <c r="I1" s="2541"/>
      <c r="J1" s="2540"/>
      <c r="K1" s="2540"/>
      <c r="L1" s="2540"/>
      <c r="M1" s="2540"/>
      <c r="N1" s="2540"/>
      <c r="O1" s="2540"/>
      <c r="P1" s="2540"/>
      <c r="Q1" s="2540"/>
      <c r="R1" s="2540"/>
      <c r="S1" s="2540"/>
      <c r="T1" s="2540"/>
    </row>
    <row r="2" hidden="1" spans="1:20">
      <c r="A2" s="2540"/>
      <c r="B2" s="2540"/>
      <c r="C2" s="2540" t="s">
        <v>117</v>
      </c>
      <c r="D2" s="2540"/>
      <c r="E2" s="2540"/>
      <c r="F2" s="2540"/>
      <c r="G2" s="2540"/>
      <c r="H2" s="2540"/>
      <c r="I2" s="2541" t="s">
        <v>1402</v>
      </c>
      <c r="J2" s="2540"/>
      <c r="K2" s="2540"/>
      <c r="L2" s="2540"/>
      <c r="M2" s="2540"/>
      <c r="N2" s="2540"/>
      <c r="O2" s="2540"/>
      <c r="P2" s="2540"/>
      <c r="Q2" s="2540"/>
      <c r="R2" s="2540"/>
      <c r="S2" s="2540"/>
      <c r="T2" s="2540"/>
    </row>
    <row r="3" hidden="1" spans="1:20">
      <c r="A3" s="2540"/>
      <c r="B3" s="2540"/>
      <c r="C3" s="2540" t="s">
        <v>118</v>
      </c>
      <c r="D3" s="2540"/>
      <c r="E3" s="2540"/>
      <c r="F3" s="2540"/>
      <c r="G3" s="2540"/>
      <c r="H3" s="2540"/>
      <c r="I3" s="2541" t="s">
        <v>1404</v>
      </c>
      <c r="J3" s="2540"/>
      <c r="K3" s="2540"/>
      <c r="L3" s="2540"/>
      <c r="M3" s="2540"/>
      <c r="N3" s="2540"/>
      <c r="O3" s="2540"/>
      <c r="P3" s="2540"/>
      <c r="Q3" s="2540"/>
      <c r="R3" s="2540"/>
      <c r="S3" s="2540"/>
      <c r="T3" s="2540"/>
    </row>
    <row r="4" hidden="1" spans="1:20">
      <c r="A4" s="2540"/>
      <c r="B4" s="2540"/>
      <c r="C4" s="2540" t="s">
        <v>119</v>
      </c>
      <c r="D4" s="2540"/>
      <c r="E4" s="2540"/>
      <c r="F4" s="2540"/>
      <c r="G4" s="2540"/>
      <c r="H4" s="2540"/>
      <c r="I4" s="2541"/>
      <c r="J4" s="2540"/>
      <c r="K4" s="2540"/>
      <c r="L4" s="2540"/>
      <c r="M4" s="2540"/>
      <c r="N4" s="2540"/>
      <c r="O4" s="2540"/>
      <c r="P4" s="2540"/>
      <c r="Q4" s="2540"/>
      <c r="R4" s="2540"/>
      <c r="S4" s="2540"/>
      <c r="T4" s="2540"/>
    </row>
    <row r="5" hidden="1" spans="1:20">
      <c r="A5" s="2540"/>
      <c r="B5" s="2540"/>
      <c r="C5" s="2540"/>
      <c r="D5" s="2540"/>
      <c r="E5" s="2540"/>
      <c r="F5" s="2540"/>
      <c r="G5" s="2540"/>
      <c r="H5" s="2540"/>
      <c r="I5" s="2541"/>
      <c r="J5" s="2540"/>
      <c r="K5" s="2540"/>
      <c r="L5" s="2540"/>
      <c r="M5" s="2540"/>
      <c r="N5" s="2540"/>
      <c r="O5" s="2540"/>
      <c r="P5" s="2540"/>
      <c r="Q5" s="2540"/>
      <c r="R5" s="2540"/>
      <c r="S5" s="2540"/>
      <c r="T5" s="2540"/>
    </row>
    <row r="6" hidden="1" spans="1:20">
      <c r="A6" s="2540"/>
      <c r="B6" s="2540"/>
      <c r="C6" s="2540" t="s">
        <v>122</v>
      </c>
      <c r="D6" s="2540"/>
      <c r="E6" s="2540"/>
      <c r="F6" s="2540"/>
      <c r="G6" s="2540"/>
      <c r="H6" s="2540"/>
      <c r="I6" s="2541"/>
      <c r="J6" s="2540"/>
      <c r="K6" s="2540"/>
      <c r="L6" s="2540"/>
      <c r="M6" s="2540"/>
      <c r="N6" s="2540"/>
      <c r="O6" s="2540"/>
      <c r="P6" s="2540"/>
      <c r="Q6" s="2540"/>
      <c r="R6" s="2540"/>
      <c r="S6" s="2540"/>
      <c r="T6" s="2540"/>
    </row>
    <row r="7" hidden="1" spans="1:20">
      <c r="A7" s="2540"/>
      <c r="B7" s="2540"/>
      <c r="C7" s="2540" t="s">
        <v>123</v>
      </c>
      <c r="D7" s="2540"/>
      <c r="E7" s="2540"/>
      <c r="F7" s="2540"/>
      <c r="G7" s="2540"/>
      <c r="H7" s="2540"/>
      <c r="I7" s="2541"/>
      <c r="J7" s="2540"/>
      <c r="K7" s="2540"/>
      <c r="L7" s="2540"/>
      <c r="M7" s="2540"/>
      <c r="N7" s="2540"/>
      <c r="O7" s="2540"/>
      <c r="P7" s="2540"/>
      <c r="Q7" s="2540"/>
      <c r="R7" s="2540"/>
      <c r="S7" s="2540"/>
      <c r="T7" s="2540"/>
    </row>
    <row r="8" hidden="1" spans="1:20">
      <c r="A8" s="2540"/>
      <c r="B8" s="2540"/>
      <c r="C8" s="2540" t="s">
        <v>124</v>
      </c>
      <c r="D8" s="2540"/>
      <c r="E8" s="2540"/>
      <c r="F8" s="2540"/>
      <c r="G8" s="2540"/>
      <c r="H8" s="2540"/>
      <c r="I8" s="2541"/>
      <c r="J8" s="2540"/>
      <c r="K8" s="2540"/>
      <c r="L8" s="2540"/>
      <c r="M8" s="2540"/>
      <c r="N8" s="2540"/>
      <c r="O8" s="2540"/>
      <c r="P8" s="2540"/>
      <c r="Q8" s="2540"/>
      <c r="R8" s="2540"/>
      <c r="S8" s="2540"/>
      <c r="T8" s="2540"/>
    </row>
    <row r="9" hidden="1" spans="1:20">
      <c r="A9" s="2540"/>
      <c r="B9" s="2540"/>
      <c r="C9" s="2540" t="s">
        <v>125</v>
      </c>
      <c r="D9" s="2540"/>
      <c r="E9" s="2540"/>
      <c r="F9" s="2540"/>
      <c r="G9" s="2540"/>
      <c r="H9" s="2540"/>
      <c r="I9" s="2541"/>
      <c r="J9" s="2540"/>
      <c r="K9" s="2540"/>
      <c r="L9" s="2540"/>
      <c r="M9" s="2540"/>
      <c r="N9" s="2540"/>
      <c r="O9" s="2540"/>
      <c r="P9" s="2540"/>
      <c r="Q9" s="2540"/>
      <c r="R9" s="2540"/>
      <c r="S9" s="2540"/>
      <c r="T9" s="2540"/>
    </row>
    <row r="10" hidden="1" spans="1:20">
      <c r="A10" s="2540"/>
      <c r="B10" s="2540"/>
      <c r="C10" s="2540"/>
      <c r="D10" s="2540"/>
      <c r="E10" s="2540"/>
      <c r="F10" s="2540"/>
      <c r="G10" s="2540"/>
      <c r="H10" s="2540"/>
      <c r="I10" s="2541"/>
      <c r="J10" s="2540"/>
      <c r="K10" s="2540"/>
      <c r="L10" s="2540"/>
      <c r="M10" s="2540"/>
      <c r="N10" s="2540"/>
      <c r="O10" s="2540"/>
      <c r="P10" s="2540"/>
      <c r="Q10" s="2540"/>
      <c r="R10" s="2540"/>
      <c r="S10" s="2540"/>
      <c r="T10" s="2540"/>
    </row>
    <row r="11" hidden="1" spans="1:20">
      <c r="A11" s="2540"/>
      <c r="B11" s="2540"/>
      <c r="C11" s="2540" t="s">
        <v>129</v>
      </c>
      <c r="D11" s="2540"/>
      <c r="E11" s="2540"/>
      <c r="F11" s="2540"/>
      <c r="G11" s="2540"/>
      <c r="H11" s="2540"/>
      <c r="I11" s="2541"/>
      <c r="J11" s="2540"/>
      <c r="K11" s="2540"/>
      <c r="L11" s="2540"/>
      <c r="M11" s="2540"/>
      <c r="N11" s="2540"/>
      <c r="O11" s="2540"/>
      <c r="P11" s="2540"/>
      <c r="Q11" s="2540"/>
      <c r="R11" s="2540"/>
      <c r="S11" s="2540"/>
      <c r="T11" s="2540"/>
    </row>
    <row r="12" hidden="1" spans="1:20">
      <c r="A12" s="2540"/>
      <c r="B12" s="2540"/>
      <c r="C12" s="2540" t="s">
        <v>130</v>
      </c>
      <c r="D12" s="2540"/>
      <c r="E12" s="2540"/>
      <c r="F12" s="2540"/>
      <c r="G12" s="2540"/>
      <c r="H12" s="2540"/>
      <c r="I12" s="2541"/>
      <c r="J12" s="2540"/>
      <c r="K12" s="2540"/>
      <c r="L12" s="2540"/>
      <c r="M12" s="2540"/>
      <c r="N12" s="2540"/>
      <c r="O12" s="2540"/>
      <c r="P12" s="2540"/>
      <c r="Q12" s="2540"/>
      <c r="R12" s="2540"/>
      <c r="S12" s="2540"/>
      <c r="T12" s="2540"/>
    </row>
    <row r="13" hidden="1" spans="1:20">
      <c r="A13" s="2540"/>
      <c r="B13" s="2540"/>
      <c r="C13" s="2540" t="s">
        <v>131</v>
      </c>
      <c r="D13" s="2540"/>
      <c r="E13" s="2540"/>
      <c r="F13" s="2540"/>
      <c r="G13" s="2540"/>
      <c r="H13" s="2540"/>
      <c r="I13" s="2541"/>
      <c r="J13" s="2540"/>
      <c r="K13" s="2540"/>
      <c r="L13" s="2540"/>
      <c r="M13" s="2540"/>
      <c r="N13" s="2540"/>
      <c r="O13" s="2540"/>
      <c r="P13" s="2540"/>
      <c r="Q13" s="2540"/>
      <c r="R13" s="2540"/>
      <c r="S13" s="2540"/>
      <c r="T13" s="2540"/>
    </row>
    <row r="14" hidden="1" spans="1:20">
      <c r="A14" s="2540"/>
      <c r="B14" s="2540"/>
      <c r="C14" s="2540" t="s">
        <v>132</v>
      </c>
      <c r="D14" s="2540"/>
      <c r="E14" s="2540"/>
      <c r="F14" s="2540"/>
      <c r="G14" s="2540"/>
      <c r="H14" s="2540"/>
      <c r="I14" s="2541"/>
      <c r="J14" s="2540"/>
      <c r="K14" s="2540"/>
      <c r="L14" s="2540"/>
      <c r="M14" s="2540"/>
      <c r="N14" s="2540"/>
      <c r="O14" s="2540"/>
      <c r="P14" s="2540"/>
      <c r="Q14" s="2540"/>
      <c r="R14" s="2540"/>
      <c r="S14" s="2540"/>
      <c r="T14" s="2540"/>
    </row>
    <row r="15" hidden="1" spans="1:20">
      <c r="A15" s="2540"/>
      <c r="B15" s="2540"/>
      <c r="C15" s="2540" t="s">
        <v>133</v>
      </c>
      <c r="D15" s="2540"/>
      <c r="E15" s="2540"/>
      <c r="F15" s="2540"/>
      <c r="G15" s="2540"/>
      <c r="H15" s="2540"/>
      <c r="I15" s="2541"/>
      <c r="J15" s="2540"/>
      <c r="K15" s="2540"/>
      <c r="L15" s="2540"/>
      <c r="M15" s="2540"/>
      <c r="N15" s="2540"/>
      <c r="O15" s="2540"/>
      <c r="P15" s="2540"/>
      <c r="Q15" s="2540"/>
      <c r="R15" s="2540"/>
      <c r="S15" s="2540"/>
      <c r="T15" s="2540"/>
    </row>
    <row r="16" hidden="1" spans="1:20">
      <c r="A16" s="2540"/>
      <c r="B16" s="2540"/>
      <c r="C16" s="2540"/>
      <c r="D16" s="2540"/>
      <c r="E16" s="2540"/>
      <c r="F16" s="2540"/>
      <c r="G16" s="2540"/>
      <c r="H16" s="2540"/>
      <c r="I16" s="2541"/>
      <c r="J16" s="2540"/>
      <c r="K16" s="2540"/>
      <c r="L16" s="2540"/>
      <c r="M16" s="2540"/>
      <c r="N16" s="2540"/>
      <c r="O16" s="2540"/>
      <c r="P16" s="2540"/>
      <c r="Q16" s="2540"/>
      <c r="R16" s="2540"/>
      <c r="S16" s="2540"/>
      <c r="T16" s="2540"/>
    </row>
    <row r="17" hidden="1" spans="1:20">
      <c r="A17" s="2540"/>
      <c r="B17" s="2540"/>
      <c r="C17" s="2540" t="s">
        <v>136</v>
      </c>
      <c r="D17" s="2540"/>
      <c r="E17" s="2540"/>
      <c r="F17" s="2540"/>
      <c r="G17" s="2540"/>
      <c r="H17" s="2540"/>
      <c r="I17" s="2541"/>
      <c r="J17" s="2540"/>
      <c r="K17" s="2540"/>
      <c r="L17" s="2540"/>
      <c r="M17" s="2540"/>
      <c r="N17" s="2540"/>
      <c r="O17" s="2540"/>
      <c r="P17" s="2540"/>
      <c r="Q17" s="2540"/>
      <c r="R17" s="2540"/>
      <c r="S17" s="2540"/>
      <c r="T17" s="2540"/>
    </row>
    <row r="18" hidden="1" spans="1:20">
      <c r="A18" s="2540"/>
      <c r="B18" s="2540"/>
      <c r="C18" s="2540" t="s">
        <v>137</v>
      </c>
      <c r="D18" s="2540"/>
      <c r="E18" s="2540"/>
      <c r="F18" s="2540"/>
      <c r="G18" s="2540"/>
      <c r="H18" s="2540"/>
      <c r="I18" s="2541"/>
      <c r="J18" s="2540"/>
      <c r="K18" s="2540"/>
      <c r="L18" s="2540"/>
      <c r="M18" s="2540"/>
      <c r="N18" s="2540"/>
      <c r="O18" s="2540"/>
      <c r="P18" s="2540"/>
      <c r="Q18" s="2540"/>
      <c r="R18" s="2540"/>
      <c r="S18" s="2540"/>
      <c r="T18" s="2540"/>
    </row>
    <row r="19" hidden="1" spans="1:20">
      <c r="A19" s="2540"/>
      <c r="B19" s="2540"/>
      <c r="C19" s="2540" t="s">
        <v>138</v>
      </c>
      <c r="D19" s="2540"/>
      <c r="E19" s="2540"/>
      <c r="F19" s="2540"/>
      <c r="G19" s="2540"/>
      <c r="H19" s="2540"/>
      <c r="I19" s="2541"/>
      <c r="J19" s="2540"/>
      <c r="K19" s="2540"/>
      <c r="L19" s="2540"/>
      <c r="M19" s="2540"/>
      <c r="N19" s="2540"/>
      <c r="O19" s="2540"/>
      <c r="P19" s="2540"/>
      <c r="Q19" s="2540"/>
      <c r="R19" s="2540"/>
      <c r="S19" s="2540"/>
      <c r="T19" s="2540"/>
    </row>
    <row r="20" hidden="1" spans="1:20">
      <c r="A20" s="2540"/>
      <c r="B20" s="2540"/>
      <c r="C20" s="2540" t="s">
        <v>139</v>
      </c>
      <c r="D20" s="2540"/>
      <c r="E20" s="2540"/>
      <c r="F20" s="2540"/>
      <c r="G20" s="2540"/>
      <c r="H20" s="2540"/>
      <c r="I20" s="2541"/>
      <c r="J20" s="2540"/>
      <c r="K20" s="2540"/>
      <c r="L20" s="2540"/>
      <c r="M20" s="2540"/>
      <c r="N20" s="2540"/>
      <c r="O20" s="2540"/>
      <c r="P20" s="2540"/>
      <c r="Q20" s="2540"/>
      <c r="R20" s="2540"/>
      <c r="S20" s="2540"/>
      <c r="T20" s="2540"/>
    </row>
    <row r="21" hidden="1" spans="1:20">
      <c r="A21" s="2540"/>
      <c r="B21" s="2540"/>
      <c r="C21" s="2540"/>
      <c r="D21" s="2540"/>
      <c r="E21" s="2540"/>
      <c r="F21" s="2540"/>
      <c r="G21" s="2540"/>
      <c r="H21" s="2540"/>
      <c r="I21" s="2541"/>
      <c r="J21" s="2540"/>
      <c r="K21" s="2540"/>
      <c r="L21" s="2540"/>
      <c r="M21" s="2540"/>
      <c r="N21" s="2540"/>
      <c r="O21" s="2540"/>
      <c r="P21" s="2540"/>
      <c r="Q21" s="2540"/>
      <c r="R21" s="2540"/>
      <c r="S21" s="2540"/>
      <c r="T21" s="2540"/>
    </row>
    <row r="22" hidden="1" spans="1:20">
      <c r="A22" s="2540"/>
      <c r="B22" s="2540"/>
      <c r="C22" s="2540" t="s">
        <v>143</v>
      </c>
      <c r="D22" s="2540"/>
      <c r="E22" s="2540"/>
      <c r="F22" s="2540"/>
      <c r="G22" s="2540"/>
      <c r="H22" s="2540"/>
      <c r="I22" s="2541"/>
      <c r="J22" s="2540"/>
      <c r="K22" s="2540"/>
      <c r="L22" s="2540"/>
      <c r="M22" s="2540"/>
      <c r="N22" s="2540"/>
      <c r="O22" s="2540"/>
      <c r="P22" s="2540"/>
      <c r="Q22" s="2540"/>
      <c r="R22" s="2540"/>
      <c r="S22" s="2540"/>
      <c r="T22" s="2540"/>
    </row>
    <row r="23" hidden="1" spans="1:20">
      <c r="A23" s="2540"/>
      <c r="B23" s="2540"/>
      <c r="C23" s="2540" t="s">
        <v>145</v>
      </c>
      <c r="D23" s="2540"/>
      <c r="E23" s="2540"/>
      <c r="F23" s="2540"/>
      <c r="G23" s="2540"/>
      <c r="H23" s="2540"/>
      <c r="I23" s="2541"/>
      <c r="J23" s="2540"/>
      <c r="K23" s="2540"/>
      <c r="L23" s="2540"/>
      <c r="M23" s="2540"/>
      <c r="N23" s="2540"/>
      <c r="O23" s="2540"/>
      <c r="P23" s="2540"/>
      <c r="Q23" s="2540"/>
      <c r="R23" s="2540"/>
      <c r="S23" s="2540"/>
      <c r="T23" s="2540"/>
    </row>
    <row r="24" hidden="1" spans="1:20">
      <c r="A24" s="2540"/>
      <c r="B24" s="2540"/>
      <c r="C24" s="2540" t="s">
        <v>146</v>
      </c>
      <c r="D24" s="2540"/>
      <c r="E24" s="2540"/>
      <c r="F24" s="2540"/>
      <c r="G24" s="2540"/>
      <c r="H24" s="2540"/>
      <c r="I24" s="2541"/>
      <c r="J24" s="2540"/>
      <c r="K24" s="2540"/>
      <c r="L24" s="2540"/>
      <c r="M24" s="2540"/>
      <c r="N24" s="2540"/>
      <c r="O24" s="2540"/>
      <c r="P24" s="2540"/>
      <c r="Q24" s="2540"/>
      <c r="R24" s="2540"/>
      <c r="S24" s="2540"/>
      <c r="T24" s="2540"/>
    </row>
    <row r="25" hidden="1" spans="1:20">
      <c r="A25" s="2540"/>
      <c r="B25" s="2540"/>
      <c r="C25" s="2540" t="s">
        <v>147</v>
      </c>
      <c r="D25" s="2540"/>
      <c r="E25" s="2540"/>
      <c r="F25" s="2540"/>
      <c r="G25" s="2540"/>
      <c r="H25" s="2540"/>
      <c r="I25" s="2541"/>
      <c r="J25" s="2540"/>
      <c r="K25" s="2540"/>
      <c r="L25" s="2540"/>
      <c r="M25" s="2540"/>
      <c r="N25" s="2540"/>
      <c r="O25" s="2540"/>
      <c r="P25" s="2540"/>
      <c r="Q25" s="2540"/>
      <c r="R25" s="2540"/>
      <c r="S25" s="2540"/>
      <c r="T25" s="2540"/>
    </row>
    <row r="26" hidden="1" spans="1:20">
      <c r="A26" s="2540"/>
      <c r="B26" s="2540"/>
      <c r="C26" s="2540"/>
      <c r="D26" s="2540"/>
      <c r="E26" s="2540"/>
      <c r="F26" s="2540"/>
      <c r="G26" s="2540"/>
      <c r="H26" s="2540"/>
      <c r="I26" s="2541"/>
      <c r="J26" s="2540"/>
      <c r="K26" s="2540"/>
      <c r="L26" s="2540"/>
      <c r="M26" s="2540"/>
      <c r="N26" s="2540"/>
      <c r="O26" s="2540"/>
      <c r="P26" s="2540"/>
      <c r="Q26" s="2540"/>
      <c r="R26" s="2540"/>
      <c r="S26" s="2540"/>
      <c r="T26" s="2540"/>
    </row>
    <row r="27" hidden="1" spans="1:20">
      <c r="A27" s="2540"/>
      <c r="B27" s="2540"/>
      <c r="C27" s="2540" t="s">
        <v>150</v>
      </c>
      <c r="D27" s="2540"/>
      <c r="E27" s="2540"/>
      <c r="F27" s="2540"/>
      <c r="G27" s="2540"/>
      <c r="H27" s="2540"/>
      <c r="I27" s="2541"/>
      <c r="J27" s="2540"/>
      <c r="K27" s="2540"/>
      <c r="L27" s="2540"/>
      <c r="M27" s="2540"/>
      <c r="N27" s="2540"/>
      <c r="O27" s="2540"/>
      <c r="P27" s="2540"/>
      <c r="Q27" s="2540"/>
      <c r="R27" s="2540"/>
      <c r="S27" s="2540"/>
      <c r="T27" s="2540"/>
    </row>
    <row r="28" hidden="1" spans="1:20">
      <c r="A28" s="2540"/>
      <c r="B28" s="2540"/>
      <c r="C28" s="2540" t="s">
        <v>151</v>
      </c>
      <c r="D28" s="2540"/>
      <c r="E28" s="2540"/>
      <c r="F28" s="2540"/>
      <c r="G28" s="2540"/>
      <c r="H28" s="2540"/>
      <c r="I28" s="2541"/>
      <c r="J28" s="2540"/>
      <c r="K28" s="2540"/>
      <c r="L28" s="2540"/>
      <c r="M28" s="2540"/>
      <c r="N28" s="2540"/>
      <c r="O28" s="2540"/>
      <c r="P28" s="2540"/>
      <c r="Q28" s="2540"/>
      <c r="R28" s="2540"/>
      <c r="S28" s="2540"/>
      <c r="T28" s="2540"/>
    </row>
    <row r="29" hidden="1" spans="1:20">
      <c r="A29" s="2540"/>
      <c r="B29" s="2540"/>
      <c r="C29" s="2540" t="s">
        <v>153</v>
      </c>
      <c r="D29" s="2540"/>
      <c r="E29" s="2540"/>
      <c r="F29" s="2540"/>
      <c r="G29" s="2540"/>
      <c r="H29" s="2540"/>
      <c r="I29" s="2541"/>
      <c r="J29" s="2540"/>
      <c r="K29" s="2540"/>
      <c r="L29" s="2540"/>
      <c r="M29" s="2540"/>
      <c r="N29" s="2540"/>
      <c r="O29" s="2540"/>
      <c r="P29" s="2540"/>
      <c r="Q29" s="2540"/>
      <c r="R29" s="2540"/>
      <c r="S29" s="2540"/>
      <c r="T29" s="2540"/>
    </row>
    <row r="30" hidden="1" spans="1:20">
      <c r="A30" s="2540"/>
      <c r="B30" s="2540"/>
      <c r="C30" s="2540"/>
      <c r="D30" s="2540"/>
      <c r="E30" s="2540"/>
      <c r="F30" s="2540"/>
      <c r="G30" s="2540"/>
      <c r="H30" s="2540"/>
      <c r="I30" s="2541"/>
      <c r="J30" s="2540"/>
      <c r="K30" s="2540"/>
      <c r="L30" s="2540"/>
      <c r="M30" s="2540"/>
      <c r="N30" s="2540"/>
      <c r="O30" s="2540"/>
      <c r="P30" s="2540"/>
      <c r="Q30" s="2540"/>
      <c r="R30" s="2540"/>
      <c r="S30" s="2540"/>
      <c r="T30" s="2540"/>
    </row>
    <row r="31" hidden="1" spans="1:20">
      <c r="A31" s="2540"/>
      <c r="B31" s="2540"/>
      <c r="C31" s="2540" t="s">
        <v>1697</v>
      </c>
      <c r="D31" s="2540"/>
      <c r="E31" s="2540"/>
      <c r="F31" s="2540"/>
      <c r="G31" s="2540"/>
      <c r="H31" s="2540"/>
      <c r="I31" s="2541"/>
      <c r="J31" s="2540"/>
      <c r="K31" s="2540"/>
      <c r="L31" s="2540"/>
      <c r="M31" s="2540"/>
      <c r="N31" s="2540"/>
      <c r="O31" s="2540"/>
      <c r="P31" s="2540"/>
      <c r="Q31" s="2540"/>
      <c r="R31" s="2540"/>
      <c r="S31" s="2540"/>
      <c r="T31" s="2540"/>
    </row>
    <row r="32" hidden="1" spans="1:20">
      <c r="A32" s="2540"/>
      <c r="B32" s="2540"/>
      <c r="C32" s="2540" t="s">
        <v>1698</v>
      </c>
      <c r="D32" s="2540"/>
      <c r="E32" s="2540"/>
      <c r="F32" s="2540"/>
      <c r="G32" s="2540"/>
      <c r="H32" s="2540"/>
      <c r="I32" s="2541"/>
      <c r="J32" s="2540"/>
      <c r="K32" s="2540"/>
      <c r="L32" s="2540"/>
      <c r="M32" s="2540"/>
      <c r="N32" s="2540"/>
      <c r="O32" s="2540"/>
      <c r="P32" s="2540"/>
      <c r="Q32" s="2540"/>
      <c r="R32" s="2540"/>
      <c r="S32" s="2540"/>
      <c r="T32" s="2540"/>
    </row>
    <row r="33" hidden="1" spans="1:20">
      <c r="A33" s="2540"/>
      <c r="B33" s="2540"/>
      <c r="C33" s="2540" t="s">
        <v>1699</v>
      </c>
      <c r="D33" s="2540"/>
      <c r="E33" s="2540"/>
      <c r="F33" s="2540"/>
      <c r="G33" s="2540"/>
      <c r="H33" s="2540"/>
      <c r="I33" s="2541"/>
      <c r="J33" s="2540"/>
      <c r="K33" s="2540"/>
      <c r="L33" s="2540"/>
      <c r="M33" s="2540"/>
      <c r="N33" s="2540"/>
      <c r="O33" s="2540"/>
      <c r="P33" s="2540"/>
      <c r="Q33" s="2540"/>
      <c r="R33" s="2540"/>
      <c r="S33" s="2540"/>
      <c r="T33" s="2540"/>
    </row>
    <row r="34" hidden="1" spans="1:20">
      <c r="A34" s="2540"/>
      <c r="B34" s="2540"/>
      <c r="C34" s="2540" t="s">
        <v>1700</v>
      </c>
      <c r="D34" s="2540"/>
      <c r="E34" s="2540"/>
      <c r="F34" s="2540"/>
      <c r="G34" s="2540"/>
      <c r="H34" s="2540"/>
      <c r="I34" s="2541"/>
      <c r="J34" s="2540"/>
      <c r="K34" s="2540"/>
      <c r="L34" s="2540"/>
      <c r="M34" s="2540"/>
      <c r="N34" s="2540"/>
      <c r="O34" s="2540"/>
      <c r="P34" s="2540"/>
      <c r="Q34" s="2540"/>
      <c r="R34" s="2540"/>
      <c r="S34" s="2540"/>
      <c r="T34" s="2540"/>
    </row>
    <row r="35" hidden="1" spans="1:20">
      <c r="A35" s="2540"/>
      <c r="B35" s="2540"/>
      <c r="C35" s="2540" t="s">
        <v>1701</v>
      </c>
      <c r="D35" s="2540"/>
      <c r="E35" s="2540"/>
      <c r="F35" s="2540"/>
      <c r="G35" s="2540"/>
      <c r="H35" s="2540"/>
      <c r="I35" s="2541"/>
      <c r="J35" s="2540"/>
      <c r="K35" s="2540"/>
      <c r="L35" s="2540"/>
      <c r="M35" s="2540"/>
      <c r="N35" s="2540"/>
      <c r="O35" s="2540"/>
      <c r="P35" s="2540"/>
      <c r="Q35" s="2540"/>
      <c r="R35" s="2540"/>
      <c r="S35" s="2540"/>
      <c r="T35" s="2540"/>
    </row>
    <row r="36" hidden="1" spans="1:20">
      <c r="A36" s="2540"/>
      <c r="B36" s="2540"/>
      <c r="C36" s="2540" t="s">
        <v>1702</v>
      </c>
      <c r="D36" s="2540"/>
      <c r="E36" s="2540"/>
      <c r="F36" s="2540"/>
      <c r="G36" s="2540"/>
      <c r="H36" s="2540"/>
      <c r="I36" s="2541"/>
      <c r="J36" s="2540"/>
      <c r="K36" s="2540"/>
      <c r="L36" s="2540"/>
      <c r="M36" s="2540"/>
      <c r="N36" s="2540"/>
      <c r="O36" s="2540"/>
      <c r="P36" s="2540"/>
      <c r="Q36" s="2540"/>
      <c r="R36" s="2540"/>
      <c r="S36" s="2540"/>
      <c r="T36" s="2540"/>
    </row>
    <row r="37" hidden="1" spans="1:20">
      <c r="A37" s="2540"/>
      <c r="B37" s="2540"/>
      <c r="C37" s="2540" t="s">
        <v>1703</v>
      </c>
      <c r="D37" s="2540"/>
      <c r="E37" s="2540"/>
      <c r="F37" s="2540"/>
      <c r="G37" s="2540"/>
      <c r="H37" s="2540"/>
      <c r="I37" s="2541"/>
      <c r="J37" s="2540"/>
      <c r="K37" s="2540"/>
      <c r="L37" s="2540"/>
      <c r="M37" s="2540"/>
      <c r="N37" s="2540"/>
      <c r="O37" s="2540"/>
      <c r="P37" s="2540"/>
      <c r="Q37" s="2540"/>
      <c r="R37" s="2540"/>
      <c r="S37" s="2540"/>
      <c r="T37" s="2540"/>
    </row>
    <row r="38" hidden="1" spans="1:20">
      <c r="A38" s="2540"/>
      <c r="B38" s="2540"/>
      <c r="C38" s="2540" t="s">
        <v>1605</v>
      </c>
      <c r="D38" s="2540"/>
      <c r="E38" s="2540"/>
      <c r="F38" s="2540"/>
      <c r="G38" s="2540"/>
      <c r="H38" s="2540"/>
      <c r="I38" s="2541"/>
      <c r="J38" s="2540"/>
      <c r="K38" s="2540"/>
      <c r="L38" s="2540"/>
      <c r="M38" s="2540"/>
      <c r="N38" s="2540"/>
      <c r="O38" s="2540"/>
      <c r="P38" s="2540"/>
      <c r="Q38" s="2540"/>
      <c r="R38" s="2540"/>
      <c r="S38" s="2540"/>
      <c r="T38" s="2540"/>
    </row>
    <row r="39" hidden="1" spans="1:20">
      <c r="A39" s="2540"/>
      <c r="B39" s="2540"/>
      <c r="C39" s="2540" t="s">
        <v>1704</v>
      </c>
      <c r="D39" s="2540"/>
      <c r="E39" s="2540"/>
      <c r="F39" s="2540"/>
      <c r="G39" s="2540"/>
      <c r="H39" s="2540"/>
      <c r="I39" s="2541"/>
      <c r="J39" s="2540"/>
      <c r="K39" s="2540"/>
      <c r="L39" s="2540"/>
      <c r="M39" s="2540"/>
      <c r="N39" s="2540"/>
      <c r="O39" s="2540"/>
      <c r="P39" s="2540"/>
      <c r="Q39" s="2540"/>
      <c r="R39" s="2540"/>
      <c r="S39" s="2540"/>
      <c r="T39" s="2540"/>
    </row>
    <row r="40" hidden="1" spans="1:20">
      <c r="A40" s="2540"/>
      <c r="B40" s="2540"/>
      <c r="C40" s="2540" t="s">
        <v>1705</v>
      </c>
      <c r="D40" s="2540"/>
      <c r="E40" s="2540"/>
      <c r="F40" s="2540"/>
      <c r="G40" s="2540"/>
      <c r="H40" s="2540"/>
      <c r="I40" s="2541"/>
      <c r="J40" s="2540"/>
      <c r="K40" s="2540"/>
      <c r="L40" s="2540"/>
      <c r="M40" s="2540"/>
      <c r="N40" s="2540"/>
      <c r="O40" s="2540"/>
      <c r="P40" s="2540"/>
      <c r="Q40" s="2540"/>
      <c r="R40" s="2540"/>
      <c r="S40" s="2540"/>
      <c r="T40" s="2540"/>
    </row>
    <row r="41" hidden="1" spans="1:20">
      <c r="A41" s="2540"/>
      <c r="B41" s="2540"/>
      <c r="C41" s="2540" t="s">
        <v>1706</v>
      </c>
      <c r="D41" s="2540"/>
      <c r="E41" s="2540"/>
      <c r="F41" s="2540"/>
      <c r="G41" s="2540"/>
      <c r="H41" s="2540"/>
      <c r="I41" s="2541"/>
      <c r="J41" s="2540"/>
      <c r="K41" s="2540"/>
      <c r="L41" s="2540"/>
      <c r="M41" s="2540"/>
      <c r="N41" s="2540"/>
      <c r="O41" s="2540"/>
      <c r="P41" s="2540"/>
      <c r="Q41" s="2540"/>
      <c r="R41" s="2540"/>
      <c r="S41" s="2540"/>
      <c r="T41" s="2540"/>
    </row>
    <row r="42" hidden="1" spans="1:20">
      <c r="A42" s="2540"/>
      <c r="B42" s="2540"/>
      <c r="C42" s="2540" t="s">
        <v>1707</v>
      </c>
      <c r="D42" s="2540"/>
      <c r="E42" s="2540"/>
      <c r="F42" s="2540"/>
      <c r="G42" s="2540"/>
      <c r="H42" s="2540"/>
      <c r="I42" s="2541"/>
      <c r="J42" s="2540"/>
      <c r="K42" s="2540"/>
      <c r="L42" s="2540"/>
      <c r="M42" s="2540"/>
      <c r="N42" s="2540"/>
      <c r="O42" s="2540"/>
      <c r="P42" s="2540"/>
      <c r="Q42" s="2540"/>
      <c r="R42" s="2540"/>
      <c r="S42" s="2540"/>
      <c r="T42" s="2540"/>
    </row>
    <row r="43" hidden="1" spans="1:20">
      <c r="A43" s="2540"/>
      <c r="B43" s="2540"/>
      <c r="C43" s="2540" t="s">
        <v>1708</v>
      </c>
      <c r="D43" s="2540"/>
      <c r="E43" s="2540"/>
      <c r="F43" s="2540"/>
      <c r="G43" s="2540"/>
      <c r="H43" s="2540"/>
      <c r="I43" s="2541"/>
      <c r="J43" s="2540"/>
      <c r="K43" s="2540"/>
      <c r="L43" s="2540"/>
      <c r="M43" s="2540"/>
      <c r="N43" s="2540"/>
      <c r="O43" s="2540"/>
      <c r="P43" s="2540"/>
      <c r="Q43" s="2540"/>
      <c r="R43" s="2540"/>
      <c r="S43" s="2540"/>
      <c r="T43" s="2540"/>
    </row>
    <row r="44" hidden="1" spans="1:20">
      <c r="A44" s="2540"/>
      <c r="B44" s="2540"/>
      <c r="C44" s="2540" t="s">
        <v>1709</v>
      </c>
      <c r="D44" s="2540"/>
      <c r="E44" s="2540"/>
      <c r="F44" s="2540"/>
      <c r="G44" s="2540"/>
      <c r="H44" s="2540"/>
      <c r="I44" s="2541"/>
      <c r="J44" s="2540"/>
      <c r="K44" s="2540"/>
      <c r="L44" s="2540"/>
      <c r="M44" s="2540"/>
      <c r="N44" s="2540"/>
      <c r="O44" s="2540"/>
      <c r="P44" s="2540"/>
      <c r="Q44" s="2540"/>
      <c r="R44" s="2540"/>
      <c r="S44" s="2540"/>
      <c r="T44" s="2540"/>
    </row>
    <row r="45" hidden="1" spans="1:20">
      <c r="A45" s="2540"/>
      <c r="B45" s="2540"/>
      <c r="C45" s="2540" t="s">
        <v>280</v>
      </c>
      <c r="D45" s="2540"/>
      <c r="E45" s="2540"/>
      <c r="F45" s="2540"/>
      <c r="G45" s="2540"/>
      <c r="H45" s="2540"/>
      <c r="I45" s="2541"/>
      <c r="J45" s="2540"/>
      <c r="K45" s="2540"/>
      <c r="L45" s="2540"/>
      <c r="M45" s="2540"/>
      <c r="N45" s="2540"/>
      <c r="O45" s="2540"/>
      <c r="P45" s="2540"/>
      <c r="Q45" s="2540"/>
      <c r="R45" s="2540"/>
      <c r="S45" s="2540"/>
      <c r="T45" s="2540"/>
    </row>
    <row r="46" hidden="1" spans="1:20">
      <c r="A46" s="2540"/>
      <c r="B46" s="2540"/>
      <c r="C46" s="2540"/>
      <c r="D46" s="2540"/>
      <c r="E46" s="2540"/>
      <c r="F46" s="2540"/>
      <c r="G46" s="2540"/>
      <c r="H46" s="2540"/>
      <c r="I46" s="2541"/>
      <c r="J46" s="2540"/>
      <c r="K46" s="2540"/>
      <c r="L46" s="2540"/>
      <c r="M46" s="2540"/>
      <c r="N46" s="2540"/>
      <c r="O46" s="2540"/>
      <c r="P46" s="2540"/>
      <c r="Q46" s="2540"/>
      <c r="R46" s="2540"/>
      <c r="S46" s="2540"/>
      <c r="T46" s="2540"/>
    </row>
    <row r="47" hidden="1" spans="1:20">
      <c r="A47" s="2540"/>
      <c r="B47" s="2540"/>
      <c r="C47" s="2540" t="str">
        <f>IF(C2="","","上年"&amp;C2)</f>
        <v>上年销售商品、提供劳务收到的现金</v>
      </c>
      <c r="D47" s="2540"/>
      <c r="E47" s="2540"/>
      <c r="F47" s="2540"/>
      <c r="G47" s="2540"/>
      <c r="H47" s="2540"/>
      <c r="I47" s="2541"/>
      <c r="J47" s="2540"/>
      <c r="K47" s="2540"/>
      <c r="L47" s="2540"/>
      <c r="M47" s="2540"/>
      <c r="N47" s="2540"/>
      <c r="O47" s="2540"/>
      <c r="P47" s="2540"/>
      <c r="Q47" s="2540"/>
      <c r="R47" s="2540"/>
      <c r="S47" s="2540"/>
      <c r="T47" s="2540"/>
    </row>
    <row r="48" hidden="1" spans="1:20">
      <c r="A48" s="2540"/>
      <c r="B48" s="2540"/>
      <c r="C48" s="2540" t="str">
        <f t="shared" ref="C48:C90" si="0">IF(C3="","","上年"&amp;C3)</f>
        <v>上年收到的税费返还</v>
      </c>
      <c r="D48" s="2540"/>
      <c r="E48" s="2540"/>
      <c r="F48" s="2540"/>
      <c r="G48" s="2540"/>
      <c r="H48" s="2540"/>
      <c r="I48" s="2541"/>
      <c r="J48" s="2540"/>
      <c r="K48" s="2540"/>
      <c r="L48" s="2540"/>
      <c r="M48" s="2540"/>
      <c r="N48" s="2540"/>
      <c r="O48" s="2540"/>
      <c r="P48" s="2540"/>
      <c r="Q48" s="2540"/>
      <c r="R48" s="2540"/>
      <c r="S48" s="2540"/>
      <c r="T48" s="2540"/>
    </row>
    <row r="49" hidden="1" spans="1:20">
      <c r="A49" s="2540"/>
      <c r="B49" s="2540"/>
      <c r="C49" s="2540" t="str">
        <f t="shared" si="0"/>
        <v>上年收到其他与经营活动有关的现金</v>
      </c>
      <c r="D49" s="2540"/>
      <c r="E49" s="2540"/>
      <c r="F49" s="2540"/>
      <c r="G49" s="2540"/>
      <c r="H49" s="2540"/>
      <c r="I49" s="2541"/>
      <c r="J49" s="2540"/>
      <c r="K49" s="2540"/>
      <c r="L49" s="2540"/>
      <c r="M49" s="2540"/>
      <c r="N49" s="2540"/>
      <c r="O49" s="2540"/>
      <c r="P49" s="2540"/>
      <c r="Q49" s="2540"/>
      <c r="R49" s="2540"/>
      <c r="S49" s="2540"/>
      <c r="T49" s="2540"/>
    </row>
    <row r="50" hidden="1" spans="1:20">
      <c r="A50" s="2540"/>
      <c r="B50" s="2540"/>
      <c r="C50" s="2540" t="str">
        <f t="shared" si="0"/>
        <v/>
      </c>
      <c r="D50" s="2540"/>
      <c r="E50" s="2540"/>
      <c r="F50" s="2540"/>
      <c r="G50" s="2540"/>
      <c r="H50" s="2540"/>
      <c r="I50" s="2541"/>
      <c r="J50" s="2540"/>
      <c r="K50" s="2540"/>
      <c r="L50" s="2540"/>
      <c r="M50" s="2540"/>
      <c r="N50" s="2540"/>
      <c r="O50" s="2540"/>
      <c r="P50" s="2540"/>
      <c r="Q50" s="2540"/>
      <c r="R50" s="2540"/>
      <c r="S50" s="2540"/>
      <c r="T50" s="2540"/>
    </row>
    <row r="51" hidden="1" spans="1:20">
      <c r="A51" s="2540"/>
      <c r="B51" s="2540"/>
      <c r="C51" s="2540" t="str">
        <f t="shared" si="0"/>
        <v>上年购买商品、接受劳务支付的现金</v>
      </c>
      <c r="D51" s="2540"/>
      <c r="E51" s="2540"/>
      <c r="F51" s="2540"/>
      <c r="G51" s="2540"/>
      <c r="H51" s="2540"/>
      <c r="I51" s="2541"/>
      <c r="J51" s="2540"/>
      <c r="K51" s="2540"/>
      <c r="L51" s="2540"/>
      <c r="M51" s="2540"/>
      <c r="N51" s="2540"/>
      <c r="O51" s="2540"/>
      <c r="P51" s="2540"/>
      <c r="Q51" s="2540"/>
      <c r="R51" s="2540"/>
      <c r="S51" s="2540"/>
      <c r="T51" s="2540"/>
    </row>
    <row r="52" hidden="1" spans="1:20">
      <c r="A52" s="2540"/>
      <c r="B52" s="2540"/>
      <c r="C52" s="2540" t="str">
        <f t="shared" si="0"/>
        <v>上年支付给职工以及为职工支付的现金</v>
      </c>
      <c r="D52" s="2540"/>
      <c r="E52" s="2540"/>
      <c r="F52" s="2540"/>
      <c r="G52" s="2540"/>
      <c r="H52" s="2540"/>
      <c r="I52" s="2541"/>
      <c r="J52" s="2540"/>
      <c r="K52" s="2540"/>
      <c r="L52" s="2540"/>
      <c r="M52" s="2540"/>
      <c r="N52" s="2540"/>
      <c r="O52" s="2540"/>
      <c r="P52" s="2540"/>
      <c r="Q52" s="2540"/>
      <c r="R52" s="2540"/>
      <c r="S52" s="2540"/>
      <c r="T52" s="2540"/>
    </row>
    <row r="53" hidden="1" spans="1:20">
      <c r="A53" s="2540"/>
      <c r="B53" s="2540"/>
      <c r="C53" s="2540" t="str">
        <f t="shared" si="0"/>
        <v>上年支付的各项税费</v>
      </c>
      <c r="D53" s="2540"/>
      <c r="E53" s="2540"/>
      <c r="F53" s="2540"/>
      <c r="G53" s="2540"/>
      <c r="H53" s="2540"/>
      <c r="I53" s="2541"/>
      <c r="J53" s="2540"/>
      <c r="K53" s="2540"/>
      <c r="L53" s="2540"/>
      <c r="M53" s="2540"/>
      <c r="N53" s="2540"/>
      <c r="O53" s="2540"/>
      <c r="P53" s="2540"/>
      <c r="Q53" s="2540"/>
      <c r="R53" s="2540"/>
      <c r="S53" s="2540"/>
      <c r="T53" s="2540"/>
    </row>
    <row r="54" hidden="1" spans="1:20">
      <c r="A54" s="2540"/>
      <c r="B54" s="2540"/>
      <c r="C54" s="2540" t="str">
        <f t="shared" si="0"/>
        <v>上年支付其他与经营活动有关的现金</v>
      </c>
      <c r="D54" s="2540"/>
      <c r="E54" s="2540"/>
      <c r="F54" s="2540"/>
      <c r="G54" s="2540"/>
      <c r="H54" s="2540"/>
      <c r="I54" s="2541"/>
      <c r="J54" s="2540"/>
      <c r="K54" s="2540"/>
      <c r="L54" s="2540"/>
      <c r="M54" s="2540"/>
      <c r="N54" s="2540"/>
      <c r="O54" s="2540"/>
      <c r="P54" s="2540"/>
      <c r="Q54" s="2540"/>
      <c r="R54" s="2540"/>
      <c r="S54" s="2540"/>
      <c r="T54" s="2540"/>
    </row>
    <row r="55" hidden="1" spans="1:20">
      <c r="A55" s="2540"/>
      <c r="B55" s="2540"/>
      <c r="C55" s="2540" t="str">
        <f t="shared" si="0"/>
        <v/>
      </c>
      <c r="D55" s="2540"/>
      <c r="E55" s="2540"/>
      <c r="F55" s="2540"/>
      <c r="G55" s="2540"/>
      <c r="H55" s="2540"/>
      <c r="I55" s="2541"/>
      <c r="J55" s="2540"/>
      <c r="K55" s="2540"/>
      <c r="L55" s="2540"/>
      <c r="M55" s="2540"/>
      <c r="N55" s="2540"/>
      <c r="O55" s="2540"/>
      <c r="P55" s="2540"/>
      <c r="Q55" s="2540"/>
      <c r="R55" s="2540"/>
      <c r="S55" s="2540"/>
      <c r="T55" s="2540"/>
    </row>
    <row r="56" hidden="1" spans="1:20">
      <c r="A56" s="2540"/>
      <c r="B56" s="2540"/>
      <c r="C56" s="2540" t="str">
        <f t="shared" si="0"/>
        <v>上年收回投资收到的现金</v>
      </c>
      <c r="D56" s="2540"/>
      <c r="E56" s="2540"/>
      <c r="F56" s="2540"/>
      <c r="G56" s="2540"/>
      <c r="H56" s="2540"/>
      <c r="I56" s="2541"/>
      <c r="J56" s="2540"/>
      <c r="K56" s="2540"/>
      <c r="L56" s="2540"/>
      <c r="M56" s="2540"/>
      <c r="N56" s="2540"/>
      <c r="O56" s="2540"/>
      <c r="P56" s="2540"/>
      <c r="Q56" s="2540"/>
      <c r="R56" s="2540"/>
      <c r="S56" s="2540"/>
      <c r="T56" s="2540"/>
    </row>
    <row r="57" hidden="1" spans="1:20">
      <c r="A57" s="2540"/>
      <c r="B57" s="2540"/>
      <c r="C57" s="2540" t="str">
        <f t="shared" si="0"/>
        <v>上年取得投资收益收到的现金</v>
      </c>
      <c r="D57" s="2540"/>
      <c r="E57" s="2540"/>
      <c r="F57" s="2540"/>
      <c r="G57" s="2540"/>
      <c r="H57" s="2540"/>
      <c r="I57" s="2541"/>
      <c r="J57" s="2540"/>
      <c r="K57" s="2540"/>
      <c r="L57" s="2540"/>
      <c r="M57" s="2540"/>
      <c r="N57" s="2540"/>
      <c r="O57" s="2540"/>
      <c r="P57" s="2540"/>
      <c r="Q57" s="2540"/>
      <c r="R57" s="2540"/>
      <c r="S57" s="2540"/>
      <c r="T57" s="2540"/>
    </row>
    <row r="58" hidden="1" spans="1:20">
      <c r="A58" s="2540"/>
      <c r="B58" s="2540"/>
      <c r="C58" s="2540" t="str">
        <f t="shared" si="0"/>
        <v>上年处置固定资产、无形资产和其他长期资产收回的现金净额</v>
      </c>
      <c r="D58" s="2540"/>
      <c r="E58" s="2540"/>
      <c r="F58" s="2540"/>
      <c r="G58" s="2540"/>
      <c r="H58" s="2540"/>
      <c r="I58" s="2541"/>
      <c r="J58" s="2540"/>
      <c r="K58" s="2540"/>
      <c r="L58" s="2540"/>
      <c r="M58" s="2540"/>
      <c r="N58" s="2540"/>
      <c r="O58" s="2540"/>
      <c r="P58" s="2540"/>
      <c r="Q58" s="2540"/>
      <c r="R58" s="2540"/>
      <c r="S58" s="2540"/>
      <c r="T58" s="2540"/>
    </row>
    <row r="59" hidden="1" spans="1:20">
      <c r="A59" s="2540"/>
      <c r="B59" s="2540"/>
      <c r="C59" s="2540" t="str">
        <f t="shared" si="0"/>
        <v>上年处置子公司及其他营业单位收到的现金净额</v>
      </c>
      <c r="D59" s="2540"/>
      <c r="E59" s="2540"/>
      <c r="F59" s="2540"/>
      <c r="G59" s="2540"/>
      <c r="H59" s="2540"/>
      <c r="I59" s="2541"/>
      <c r="J59" s="2540"/>
      <c r="K59" s="2540"/>
      <c r="L59" s="2540"/>
      <c r="M59" s="2540"/>
      <c r="N59" s="2540"/>
      <c r="O59" s="2540"/>
      <c r="P59" s="2540"/>
      <c r="Q59" s="2540"/>
      <c r="R59" s="2540"/>
      <c r="S59" s="2540"/>
      <c r="T59" s="2540"/>
    </row>
    <row r="60" hidden="1" spans="1:20">
      <c r="A60" s="2540"/>
      <c r="B60" s="2540"/>
      <c r="C60" s="2540" t="str">
        <f t="shared" si="0"/>
        <v>上年收到其他与投资活动有关的现金</v>
      </c>
      <c r="D60" s="2540"/>
      <c r="E60" s="2540"/>
      <c r="F60" s="2540"/>
      <c r="G60" s="2540"/>
      <c r="H60" s="2540"/>
      <c r="I60" s="2541"/>
      <c r="J60" s="2540"/>
      <c r="K60" s="2540"/>
      <c r="L60" s="2540"/>
      <c r="M60" s="2540"/>
      <c r="N60" s="2540"/>
      <c r="O60" s="2540"/>
      <c r="P60" s="2540"/>
      <c r="Q60" s="2540"/>
      <c r="R60" s="2540"/>
      <c r="S60" s="2540"/>
      <c r="T60" s="2540"/>
    </row>
    <row r="61" hidden="1" spans="1:20">
      <c r="A61" s="2540"/>
      <c r="B61" s="2540"/>
      <c r="C61" s="2540" t="str">
        <f t="shared" si="0"/>
        <v/>
      </c>
      <c r="D61" s="2540"/>
      <c r="E61" s="2540"/>
      <c r="F61" s="2540"/>
      <c r="G61" s="2540"/>
      <c r="H61" s="2540"/>
      <c r="I61" s="2541"/>
      <c r="J61" s="2540"/>
      <c r="K61" s="2540"/>
      <c r="L61" s="2540"/>
      <c r="M61" s="2540"/>
      <c r="N61" s="2540"/>
      <c r="O61" s="2540"/>
      <c r="P61" s="2540"/>
      <c r="Q61" s="2540"/>
      <c r="R61" s="2540"/>
      <c r="S61" s="2540"/>
      <c r="T61" s="2540"/>
    </row>
    <row r="62" hidden="1" spans="1:20">
      <c r="A62" s="2540"/>
      <c r="B62" s="2540"/>
      <c r="C62" s="2540" t="str">
        <f t="shared" si="0"/>
        <v>上年购建固定资产、无形资产和其他长期资产支付的现金</v>
      </c>
      <c r="D62" s="2540"/>
      <c r="E62" s="2540"/>
      <c r="F62" s="2540"/>
      <c r="G62" s="2540"/>
      <c r="H62" s="2540"/>
      <c r="I62" s="2541"/>
      <c r="J62" s="2540"/>
      <c r="K62" s="2540"/>
      <c r="L62" s="2540"/>
      <c r="M62" s="2540"/>
      <c r="N62" s="2540"/>
      <c r="O62" s="2540"/>
      <c r="P62" s="2540"/>
      <c r="Q62" s="2540"/>
      <c r="R62" s="2540"/>
      <c r="S62" s="2540"/>
      <c r="T62" s="2540"/>
    </row>
    <row r="63" hidden="1" spans="1:20">
      <c r="A63" s="2540"/>
      <c r="B63" s="2540"/>
      <c r="C63" s="2540" t="str">
        <f t="shared" si="0"/>
        <v>上年投资支付的现金</v>
      </c>
      <c r="D63" s="2540"/>
      <c r="E63" s="2540"/>
      <c r="F63" s="2540"/>
      <c r="G63" s="2540"/>
      <c r="H63" s="2540"/>
      <c r="I63" s="2541"/>
      <c r="J63" s="2540"/>
      <c r="K63" s="2540"/>
      <c r="L63" s="2540"/>
      <c r="M63" s="2540"/>
      <c r="N63" s="2540"/>
      <c r="O63" s="2540"/>
      <c r="P63" s="2540"/>
      <c r="Q63" s="2540"/>
      <c r="R63" s="2540"/>
      <c r="S63" s="2540"/>
      <c r="T63" s="2540"/>
    </row>
    <row r="64" hidden="1" spans="1:20">
      <c r="A64" s="2540"/>
      <c r="B64" s="2540"/>
      <c r="C64" s="2540" t="str">
        <f t="shared" si="0"/>
        <v>上年取得子公司及其他营业单位支付的现金净额</v>
      </c>
      <c r="D64" s="2540"/>
      <c r="E64" s="2540"/>
      <c r="F64" s="2540"/>
      <c r="G64" s="2540"/>
      <c r="H64" s="2540"/>
      <c r="I64" s="2541"/>
      <c r="J64" s="2540"/>
      <c r="K64" s="2540"/>
      <c r="L64" s="2540"/>
      <c r="M64" s="2540"/>
      <c r="N64" s="2540"/>
      <c r="O64" s="2540"/>
      <c r="P64" s="2540"/>
      <c r="Q64" s="2540"/>
      <c r="R64" s="2540"/>
      <c r="S64" s="2540"/>
      <c r="T64" s="2540"/>
    </row>
    <row r="65" hidden="1" spans="1:20">
      <c r="A65" s="2540"/>
      <c r="B65" s="2540"/>
      <c r="C65" s="2540" t="str">
        <f t="shared" si="0"/>
        <v>上年支付其他与投资活动有关的现金</v>
      </c>
      <c r="D65" s="2540"/>
      <c r="E65" s="2540"/>
      <c r="F65" s="2540"/>
      <c r="G65" s="2540"/>
      <c r="H65" s="2540"/>
      <c r="I65" s="2541"/>
      <c r="J65" s="2540"/>
      <c r="K65" s="2540"/>
      <c r="L65" s="2540"/>
      <c r="M65" s="2540"/>
      <c r="N65" s="2540"/>
      <c r="O65" s="2540"/>
      <c r="P65" s="2540"/>
      <c r="Q65" s="2540"/>
      <c r="R65" s="2540"/>
      <c r="S65" s="2540"/>
      <c r="T65" s="2540"/>
    </row>
    <row r="66" hidden="1" spans="1:20">
      <c r="A66" s="2540"/>
      <c r="B66" s="2540"/>
      <c r="C66" s="2540" t="str">
        <f t="shared" si="0"/>
        <v/>
      </c>
      <c r="D66" s="2540"/>
      <c r="E66" s="2540"/>
      <c r="F66" s="2540"/>
      <c r="G66" s="2540"/>
      <c r="H66" s="2540"/>
      <c r="I66" s="2541"/>
      <c r="J66" s="2540"/>
      <c r="K66" s="2540"/>
      <c r="L66" s="2540"/>
      <c r="M66" s="2540"/>
      <c r="N66" s="2540"/>
      <c r="O66" s="2540"/>
      <c r="P66" s="2540"/>
      <c r="Q66" s="2540"/>
      <c r="R66" s="2540"/>
      <c r="S66" s="2540"/>
      <c r="T66" s="2540"/>
    </row>
    <row r="67" hidden="1" spans="1:20">
      <c r="A67" s="2540"/>
      <c r="B67" s="2540"/>
      <c r="C67" s="2540" t="str">
        <f t="shared" si="0"/>
        <v>上年吸收投资收到的现金</v>
      </c>
      <c r="D67" s="2540"/>
      <c r="E67" s="2540"/>
      <c r="F67" s="2540"/>
      <c r="G67" s="2540"/>
      <c r="H67" s="2540"/>
      <c r="I67" s="2541"/>
      <c r="J67" s="2540"/>
      <c r="K67" s="2540"/>
      <c r="L67" s="2540"/>
      <c r="M67" s="2540"/>
      <c r="N67" s="2540"/>
      <c r="O67" s="2540"/>
      <c r="P67" s="2540"/>
      <c r="Q67" s="2540"/>
      <c r="R67" s="2540"/>
      <c r="S67" s="2540"/>
      <c r="T67" s="2540"/>
    </row>
    <row r="68" hidden="1" spans="1:20">
      <c r="A68" s="2540"/>
      <c r="B68" s="2540"/>
      <c r="C68" s="2540" t="str">
        <f t="shared" si="0"/>
        <v>上年取得借款收到的现金</v>
      </c>
      <c r="D68" s="2540"/>
      <c r="E68" s="2540"/>
      <c r="F68" s="2540"/>
      <c r="G68" s="2540"/>
      <c r="H68" s="2540"/>
      <c r="I68" s="2541"/>
      <c r="J68" s="2540"/>
      <c r="K68" s="2540"/>
      <c r="L68" s="2540"/>
      <c r="M68" s="2540"/>
      <c r="N68" s="2540"/>
      <c r="O68" s="2540"/>
      <c r="P68" s="2540"/>
      <c r="Q68" s="2540"/>
      <c r="R68" s="2540"/>
      <c r="S68" s="2540"/>
      <c r="T68" s="2540"/>
    </row>
    <row r="69" hidden="1" spans="1:20">
      <c r="A69" s="2540"/>
      <c r="B69" s="2540"/>
      <c r="C69" s="2540" t="str">
        <f t="shared" si="0"/>
        <v>上年发行债券收到的现金</v>
      </c>
      <c r="D69" s="2540"/>
      <c r="E69" s="2540"/>
      <c r="F69" s="2540"/>
      <c r="G69" s="2540"/>
      <c r="H69" s="2540"/>
      <c r="I69" s="2541"/>
      <c r="J69" s="2540"/>
      <c r="K69" s="2540"/>
      <c r="L69" s="2540"/>
      <c r="M69" s="2540"/>
      <c r="N69" s="2540"/>
      <c r="O69" s="2540"/>
      <c r="P69" s="2540"/>
      <c r="Q69" s="2540"/>
      <c r="R69" s="2540"/>
      <c r="S69" s="2540"/>
      <c r="T69" s="2540"/>
    </row>
    <row r="70" hidden="1" spans="1:20">
      <c r="A70" s="2540"/>
      <c r="B70" s="2540"/>
      <c r="C70" s="2540" t="str">
        <f t="shared" si="0"/>
        <v>上年收到其他与筹资活动有关的现金</v>
      </c>
      <c r="D70" s="2540"/>
      <c r="E70" s="2540"/>
      <c r="F70" s="2540"/>
      <c r="G70" s="2540"/>
      <c r="H70" s="2540"/>
      <c r="I70" s="2541"/>
      <c r="J70" s="2540"/>
      <c r="K70" s="2540"/>
      <c r="L70" s="2540"/>
      <c r="M70" s="2540"/>
      <c r="N70" s="2540"/>
      <c r="O70" s="2540"/>
      <c r="P70" s="2540"/>
      <c r="Q70" s="2540"/>
      <c r="R70" s="2540"/>
      <c r="S70" s="2540"/>
      <c r="T70" s="2540"/>
    </row>
    <row r="71" hidden="1" spans="1:20">
      <c r="A71" s="2540"/>
      <c r="B71" s="2540"/>
      <c r="C71" s="2540" t="str">
        <f t="shared" si="0"/>
        <v/>
      </c>
      <c r="D71" s="2540"/>
      <c r="E71" s="2540"/>
      <c r="F71" s="2540"/>
      <c r="G71" s="2540"/>
      <c r="H71" s="2540"/>
      <c r="I71" s="2541"/>
      <c r="J71" s="2540"/>
      <c r="K71" s="2540"/>
      <c r="L71" s="2540"/>
      <c r="M71" s="2540"/>
      <c r="N71" s="2540"/>
      <c r="O71" s="2540"/>
      <c r="P71" s="2540"/>
      <c r="Q71" s="2540"/>
      <c r="R71" s="2540"/>
      <c r="S71" s="2540"/>
      <c r="T71" s="2540"/>
    </row>
    <row r="72" hidden="1" spans="1:20">
      <c r="A72" s="2540"/>
      <c r="B72" s="2540"/>
      <c r="C72" s="2540" t="str">
        <f t="shared" si="0"/>
        <v>上年偿还债务支付的现金</v>
      </c>
      <c r="D72" s="2540"/>
      <c r="E72" s="2540"/>
      <c r="F72" s="2540"/>
      <c r="G72" s="2540"/>
      <c r="H72" s="2540"/>
      <c r="I72" s="2541"/>
      <c r="J72" s="2540"/>
      <c r="K72" s="2540"/>
      <c r="L72" s="2540"/>
      <c r="M72" s="2540"/>
      <c r="N72" s="2540"/>
      <c r="O72" s="2540"/>
      <c r="P72" s="2540"/>
      <c r="Q72" s="2540"/>
      <c r="R72" s="2540"/>
      <c r="S72" s="2540"/>
      <c r="T72" s="2540"/>
    </row>
    <row r="73" hidden="1" spans="1:20">
      <c r="A73" s="2540"/>
      <c r="B73" s="2540"/>
      <c r="C73" s="2540" t="str">
        <f t="shared" si="0"/>
        <v>上年分配股利、利润或偿付利息支付的现金</v>
      </c>
      <c r="D73" s="2540"/>
      <c r="E73" s="2540"/>
      <c r="F73" s="2540"/>
      <c r="G73" s="2540"/>
      <c r="H73" s="2540"/>
      <c r="I73" s="2541"/>
      <c r="J73" s="2540"/>
      <c r="K73" s="2540"/>
      <c r="L73" s="2540"/>
      <c r="M73" s="2540"/>
      <c r="N73" s="2540"/>
      <c r="O73" s="2540"/>
      <c r="P73" s="2540"/>
      <c r="Q73" s="2540"/>
      <c r="R73" s="2540"/>
      <c r="S73" s="2540"/>
      <c r="T73" s="2540"/>
    </row>
    <row r="74" hidden="1" spans="1:20">
      <c r="A74" s="2540"/>
      <c r="B74" s="2540"/>
      <c r="C74" s="2540" t="str">
        <f t="shared" si="0"/>
        <v>上年支付其他与筹资活动有关的现金</v>
      </c>
      <c r="D74" s="2540"/>
      <c r="E74" s="2540"/>
      <c r="F74" s="2540"/>
      <c r="G74" s="2540"/>
      <c r="H74" s="2540"/>
      <c r="I74" s="2541"/>
      <c r="J74" s="2540"/>
      <c r="K74" s="2540"/>
      <c r="L74" s="2540"/>
      <c r="M74" s="2540"/>
      <c r="N74" s="2540"/>
      <c r="O74" s="2540"/>
      <c r="P74" s="2540"/>
      <c r="Q74" s="2540"/>
      <c r="R74" s="2540"/>
      <c r="S74" s="2540"/>
      <c r="T74" s="2540"/>
    </row>
    <row r="75" hidden="1" spans="1:20">
      <c r="A75" s="2540"/>
      <c r="B75" s="2540"/>
      <c r="C75" s="2540" t="str">
        <f t="shared" si="0"/>
        <v/>
      </c>
      <c r="D75" s="2540"/>
      <c r="E75" s="2540"/>
      <c r="F75" s="2540"/>
      <c r="G75" s="2540"/>
      <c r="H75" s="2540"/>
      <c r="I75" s="2541"/>
      <c r="J75" s="2540"/>
      <c r="K75" s="2540"/>
      <c r="L75" s="2540"/>
      <c r="M75" s="2540"/>
      <c r="N75" s="2540"/>
      <c r="O75" s="2540"/>
      <c r="P75" s="2540"/>
      <c r="Q75" s="2540"/>
      <c r="R75" s="2540"/>
      <c r="S75" s="2540"/>
      <c r="T75" s="2540"/>
    </row>
    <row r="76" hidden="1" spans="1:20">
      <c r="A76" s="2540"/>
      <c r="B76" s="2540"/>
      <c r="C76" s="2540" t="str">
        <f t="shared" si="0"/>
        <v>上年计提的资产减值准备</v>
      </c>
      <c r="D76" s="2540"/>
      <c r="E76" s="2540"/>
      <c r="F76" s="2540"/>
      <c r="G76" s="2540"/>
      <c r="H76" s="2540"/>
      <c r="I76" s="2541"/>
      <c r="J76" s="2540"/>
      <c r="K76" s="2540"/>
      <c r="L76" s="2540"/>
      <c r="M76" s="2540"/>
      <c r="N76" s="2540"/>
      <c r="O76" s="2540"/>
      <c r="P76" s="2540"/>
      <c r="Q76" s="2540"/>
      <c r="R76" s="2540"/>
      <c r="S76" s="2540"/>
      <c r="T76" s="2540"/>
    </row>
    <row r="77" hidden="1" spans="1:20">
      <c r="A77" s="2540"/>
      <c r="B77" s="2540"/>
      <c r="C77" s="2540" t="str">
        <f t="shared" si="0"/>
        <v>上年固定资产折旧</v>
      </c>
      <c r="D77" s="2540"/>
      <c r="E77" s="2540"/>
      <c r="F77" s="2540"/>
      <c r="G77" s="2540"/>
      <c r="H77" s="2540"/>
      <c r="I77" s="2541"/>
      <c r="J77" s="2540"/>
      <c r="K77" s="2540"/>
      <c r="L77" s="2540"/>
      <c r="M77" s="2540"/>
      <c r="N77" s="2540"/>
      <c r="O77" s="2540"/>
      <c r="P77" s="2540"/>
      <c r="Q77" s="2540"/>
      <c r="R77" s="2540"/>
      <c r="S77" s="2540"/>
      <c r="T77" s="2540"/>
    </row>
    <row r="78" hidden="1" spans="1:20">
      <c r="A78" s="2540"/>
      <c r="B78" s="2540"/>
      <c r="C78" s="2540" t="str">
        <f t="shared" si="0"/>
        <v>上年无形资产摊销</v>
      </c>
      <c r="D78" s="2540"/>
      <c r="E78" s="2540"/>
      <c r="F78" s="2540"/>
      <c r="G78" s="2540"/>
      <c r="H78" s="2540"/>
      <c r="I78" s="2541"/>
      <c r="J78" s="2540"/>
      <c r="K78" s="2540"/>
      <c r="L78" s="2540"/>
      <c r="M78" s="2540"/>
      <c r="N78" s="2540"/>
      <c r="O78" s="2540"/>
      <c r="P78" s="2540"/>
      <c r="Q78" s="2540"/>
      <c r="R78" s="2540"/>
      <c r="S78" s="2540"/>
      <c r="T78" s="2540"/>
    </row>
    <row r="79" hidden="1" spans="1:20">
      <c r="A79" s="2540"/>
      <c r="B79" s="2540"/>
      <c r="C79" s="2540" t="str">
        <f t="shared" si="0"/>
        <v>上年长期待摊费用摊销</v>
      </c>
      <c r="D79" s="2540"/>
      <c r="E79" s="2540"/>
      <c r="F79" s="2540"/>
      <c r="G79" s="2540"/>
      <c r="H79" s="2540"/>
      <c r="I79" s="2541"/>
      <c r="J79" s="2540"/>
      <c r="K79" s="2540"/>
      <c r="L79" s="2540"/>
      <c r="M79" s="2540"/>
      <c r="N79" s="2540"/>
      <c r="O79" s="2540"/>
      <c r="P79" s="2540"/>
      <c r="Q79" s="2540"/>
      <c r="R79" s="2540"/>
      <c r="S79" s="2540"/>
      <c r="T79" s="2540"/>
    </row>
    <row r="80" hidden="1" spans="1:20">
      <c r="A80" s="2540"/>
      <c r="B80" s="2540"/>
      <c r="C80" s="2540" t="str">
        <f t="shared" si="0"/>
        <v>上年处置固定资产、无形资产和其他长期资产的损失</v>
      </c>
      <c r="D80" s="2540"/>
      <c r="E80" s="2540"/>
      <c r="F80" s="2540"/>
      <c r="G80" s="2540"/>
      <c r="H80" s="2540"/>
      <c r="I80" s="2541"/>
      <c r="J80" s="2540"/>
      <c r="K80" s="2540"/>
      <c r="L80" s="2540"/>
      <c r="M80" s="2540"/>
      <c r="N80" s="2540"/>
      <c r="O80" s="2540"/>
      <c r="P80" s="2540"/>
      <c r="Q80" s="2540"/>
      <c r="R80" s="2540"/>
      <c r="S80" s="2540"/>
      <c r="T80" s="2540"/>
    </row>
    <row r="81" hidden="1" spans="1:20">
      <c r="A81" s="2540"/>
      <c r="B81" s="2540"/>
      <c r="C81" s="2540" t="str">
        <f t="shared" si="0"/>
        <v>上年固定资产报废损失</v>
      </c>
      <c r="D81" s="2540"/>
      <c r="E81" s="2540"/>
      <c r="F81" s="2540"/>
      <c r="G81" s="2540"/>
      <c r="H81" s="2540"/>
      <c r="I81" s="2541"/>
      <c r="J81" s="2540"/>
      <c r="K81" s="2540"/>
      <c r="L81" s="2540"/>
      <c r="M81" s="2540"/>
      <c r="N81" s="2540"/>
      <c r="O81" s="2540"/>
      <c r="P81" s="2540"/>
      <c r="Q81" s="2540"/>
      <c r="R81" s="2540"/>
      <c r="S81" s="2540"/>
      <c r="T81" s="2540"/>
    </row>
    <row r="82" hidden="1" spans="1:20">
      <c r="A82" s="2540"/>
      <c r="B82" s="2540"/>
      <c r="C82" s="2540" t="str">
        <f t="shared" si="0"/>
        <v>上年公允价值变动损失</v>
      </c>
      <c r="D82" s="2540"/>
      <c r="E82" s="2540"/>
      <c r="F82" s="2540"/>
      <c r="G82" s="2540"/>
      <c r="H82" s="2540"/>
      <c r="I82" s="2541"/>
      <c r="J82" s="2540"/>
      <c r="K82" s="2540"/>
      <c r="L82" s="2540"/>
      <c r="M82" s="2540"/>
      <c r="N82" s="2540"/>
      <c r="O82" s="2540"/>
      <c r="P82" s="2540"/>
      <c r="Q82" s="2540"/>
      <c r="R82" s="2540"/>
      <c r="S82" s="2540"/>
      <c r="T82" s="2540"/>
    </row>
    <row r="83" hidden="1" spans="1:20">
      <c r="A83" s="2540"/>
      <c r="B83" s="2540"/>
      <c r="C83" s="2540" t="str">
        <f t="shared" si="0"/>
        <v>上年财务费用</v>
      </c>
      <c r="D83" s="2540"/>
      <c r="E83" s="2540"/>
      <c r="F83" s="2540"/>
      <c r="G83" s="2540"/>
      <c r="H83" s="2540"/>
      <c r="I83" s="2541"/>
      <c r="J83" s="2540"/>
      <c r="K83" s="2540"/>
      <c r="L83" s="2540"/>
      <c r="M83" s="2540"/>
      <c r="N83" s="2540"/>
      <c r="O83" s="2540"/>
      <c r="P83" s="2540"/>
      <c r="Q83" s="2540"/>
      <c r="R83" s="2540"/>
      <c r="S83" s="2540"/>
      <c r="T83" s="2540"/>
    </row>
    <row r="84" hidden="1" spans="1:20">
      <c r="A84" s="2540"/>
      <c r="B84" s="2540"/>
      <c r="C84" s="2540" t="str">
        <f t="shared" si="0"/>
        <v>上年投资损失</v>
      </c>
      <c r="D84" s="2540"/>
      <c r="E84" s="2540"/>
      <c r="F84" s="2540"/>
      <c r="G84" s="2540"/>
      <c r="H84" s="2540"/>
      <c r="I84" s="2541"/>
      <c r="J84" s="2540"/>
      <c r="K84" s="2540"/>
      <c r="L84" s="2540"/>
      <c r="M84" s="2540"/>
      <c r="N84" s="2540"/>
      <c r="O84" s="2540"/>
      <c r="P84" s="2540"/>
      <c r="Q84" s="2540"/>
      <c r="R84" s="2540"/>
      <c r="S84" s="2540"/>
      <c r="T84" s="2540"/>
    </row>
    <row r="85" hidden="1" spans="1:20">
      <c r="A85" s="2540"/>
      <c r="B85" s="2540"/>
      <c r="C85" s="2540" t="str">
        <f t="shared" si="0"/>
        <v>上年递延所得税资产减少</v>
      </c>
      <c r="D85" s="2540"/>
      <c r="E85" s="2540"/>
      <c r="F85" s="2540"/>
      <c r="G85" s="2540"/>
      <c r="H85" s="2540"/>
      <c r="I85" s="2541"/>
      <c r="J85" s="2540"/>
      <c r="K85" s="2540"/>
      <c r="L85" s="2540"/>
      <c r="M85" s="2540"/>
      <c r="N85" s="2540"/>
      <c r="O85" s="2540"/>
      <c r="P85" s="2540"/>
      <c r="Q85" s="2540"/>
      <c r="R85" s="2540"/>
      <c r="S85" s="2540"/>
      <c r="T85" s="2540"/>
    </row>
    <row r="86" hidden="1" spans="1:20">
      <c r="A86" s="2540"/>
      <c r="B86" s="2540"/>
      <c r="C86" s="2540" t="str">
        <f t="shared" si="0"/>
        <v>上年递延所得税负债增加</v>
      </c>
      <c r="D86" s="2540"/>
      <c r="E86" s="2540"/>
      <c r="F86" s="2540"/>
      <c r="G86" s="2540"/>
      <c r="H86" s="2540"/>
      <c r="I86" s="2541"/>
      <c r="J86" s="2540"/>
      <c r="K86" s="2540"/>
      <c r="L86" s="2540"/>
      <c r="M86" s="2540"/>
      <c r="N86" s="2540"/>
      <c r="O86" s="2540"/>
      <c r="P86" s="2540"/>
      <c r="Q86" s="2540"/>
      <c r="R86" s="2540"/>
      <c r="S86" s="2540"/>
      <c r="T86" s="2540"/>
    </row>
    <row r="87" hidden="1" spans="1:20">
      <c r="A87" s="2540"/>
      <c r="B87" s="2540"/>
      <c r="C87" s="2540" t="str">
        <f t="shared" si="0"/>
        <v>上年存货的减少</v>
      </c>
      <c r="D87" s="2540"/>
      <c r="E87" s="2540"/>
      <c r="F87" s="2540"/>
      <c r="G87" s="2540"/>
      <c r="H87" s="2540"/>
      <c r="I87" s="2541"/>
      <c r="J87" s="2540"/>
      <c r="K87" s="2540"/>
      <c r="L87" s="2540"/>
      <c r="M87" s="2540"/>
      <c r="N87" s="2540"/>
      <c r="O87" s="2540"/>
      <c r="P87" s="2540"/>
      <c r="Q87" s="2540"/>
      <c r="R87" s="2540"/>
      <c r="S87" s="2540"/>
      <c r="T87" s="2540"/>
    </row>
    <row r="88" hidden="1" spans="1:20">
      <c r="A88" s="2540"/>
      <c r="B88" s="2540"/>
      <c r="C88" s="2540" t="str">
        <f t="shared" si="0"/>
        <v>上年经营性应收项目的减少</v>
      </c>
      <c r="D88" s="2540"/>
      <c r="E88" s="2540"/>
      <c r="F88" s="2540"/>
      <c r="G88" s="2540"/>
      <c r="H88" s="2540"/>
      <c r="I88" s="2541"/>
      <c r="J88" s="2540"/>
      <c r="K88" s="2540"/>
      <c r="L88" s="2540"/>
      <c r="M88" s="2540"/>
      <c r="N88" s="2540"/>
      <c r="O88" s="2540"/>
      <c r="P88" s="2540"/>
      <c r="Q88" s="2540"/>
      <c r="R88" s="2540"/>
      <c r="S88" s="2540"/>
      <c r="T88" s="2540"/>
    </row>
    <row r="89" hidden="1" spans="1:20">
      <c r="A89" s="2540"/>
      <c r="B89" s="2540"/>
      <c r="C89" s="2540" t="str">
        <f t="shared" si="0"/>
        <v>上年经营性应付项目的增加</v>
      </c>
      <c r="D89" s="2540"/>
      <c r="E89" s="2540"/>
      <c r="F89" s="2540"/>
      <c r="G89" s="2540"/>
      <c r="H89" s="2540"/>
      <c r="I89" s="2541"/>
      <c r="J89" s="2540"/>
      <c r="K89" s="2540"/>
      <c r="L89" s="2540"/>
      <c r="M89" s="2540"/>
      <c r="N89" s="2540"/>
      <c r="O89" s="2540"/>
      <c r="P89" s="2540"/>
      <c r="Q89" s="2540"/>
      <c r="R89" s="2540"/>
      <c r="S89" s="2540"/>
      <c r="T89" s="2540"/>
    </row>
    <row r="90" hidden="1" spans="1:20">
      <c r="A90" s="2540"/>
      <c r="B90" s="2540"/>
      <c r="C90" s="2540" t="str">
        <f t="shared" si="0"/>
        <v>上年其他</v>
      </c>
      <c r="D90" s="2540"/>
      <c r="E90" s="2540"/>
      <c r="F90" s="2540"/>
      <c r="G90" s="2540"/>
      <c r="H90" s="2540"/>
      <c r="I90" s="2541"/>
      <c r="J90" s="2540"/>
      <c r="K90" s="2540"/>
      <c r="L90" s="2540"/>
      <c r="M90" s="2540"/>
      <c r="N90" s="2540"/>
      <c r="O90" s="2540"/>
      <c r="P90" s="2540"/>
      <c r="Q90" s="2540"/>
      <c r="R90" s="2540"/>
      <c r="S90" s="2540"/>
      <c r="T90" s="2540"/>
    </row>
    <row r="91" hidden="1" spans="1:20">
      <c r="A91" s="2540"/>
      <c r="B91" s="2540"/>
      <c r="C91" s="2540"/>
      <c r="D91" s="2540"/>
      <c r="E91" s="2540"/>
      <c r="F91" s="2540"/>
      <c r="G91" s="2540"/>
      <c r="H91" s="2540"/>
      <c r="I91" s="2541"/>
      <c r="J91" s="2540"/>
      <c r="K91" s="2540"/>
      <c r="L91" s="2540"/>
      <c r="M91" s="2540"/>
      <c r="N91" s="2540"/>
      <c r="O91" s="2540"/>
      <c r="P91" s="2540"/>
      <c r="Q91" s="2540"/>
      <c r="R91" s="2540"/>
      <c r="S91" s="2540"/>
      <c r="T91" s="2540"/>
    </row>
    <row r="92" hidden="1" spans="1:20">
      <c r="A92" s="2540"/>
      <c r="B92" s="2540"/>
      <c r="C92" s="2540"/>
      <c r="D92" s="2540"/>
      <c r="E92" s="2540"/>
      <c r="F92" s="2540"/>
      <c r="G92" s="2540"/>
      <c r="H92" s="2540"/>
      <c r="I92" s="2541"/>
      <c r="J92" s="2540"/>
      <c r="K92" s="2540"/>
      <c r="L92" s="2540"/>
      <c r="M92" s="2540"/>
      <c r="N92" s="2540"/>
      <c r="O92" s="2540"/>
      <c r="P92" s="2540"/>
      <c r="Q92" s="2540"/>
      <c r="R92" s="2540"/>
      <c r="S92" s="2540"/>
      <c r="T92" s="2540"/>
    </row>
    <row r="93" hidden="1" spans="1:20">
      <c r="A93" s="2540"/>
      <c r="B93" s="2540"/>
      <c r="C93" s="2540"/>
      <c r="D93" s="2540"/>
      <c r="E93" s="2540"/>
      <c r="F93" s="2540"/>
      <c r="G93" s="2540"/>
      <c r="H93" s="2540"/>
      <c r="I93" s="2541"/>
      <c r="J93" s="2540"/>
      <c r="K93" s="2540"/>
      <c r="L93" s="2540"/>
      <c r="M93" s="2540"/>
      <c r="N93" s="2540"/>
      <c r="O93" s="2540"/>
      <c r="P93" s="2540"/>
      <c r="Q93" s="2540"/>
      <c r="R93" s="2540"/>
      <c r="S93" s="2540"/>
      <c r="T93" s="2540"/>
    </row>
    <row r="94" hidden="1" spans="1:20">
      <c r="A94" s="2540"/>
      <c r="B94" s="2540"/>
      <c r="C94" s="2540"/>
      <c r="D94" s="2540"/>
      <c r="E94" s="2540"/>
      <c r="F94" s="2540"/>
      <c r="G94" s="2540"/>
      <c r="H94" s="2540"/>
      <c r="I94" s="2541"/>
      <c r="J94" s="2540"/>
      <c r="K94" s="2540"/>
      <c r="L94" s="2540"/>
      <c r="M94" s="2540"/>
      <c r="N94" s="2540"/>
      <c r="O94" s="2540"/>
      <c r="P94" s="2540"/>
      <c r="Q94" s="2540"/>
      <c r="R94" s="2540"/>
      <c r="S94" s="2540"/>
      <c r="T94" s="2540"/>
    </row>
    <row r="95" hidden="1" spans="1:20">
      <c r="A95" s="2540"/>
      <c r="B95" s="2540"/>
      <c r="C95" s="2540"/>
      <c r="D95" s="2540"/>
      <c r="E95" s="2540"/>
      <c r="F95" s="2540"/>
      <c r="G95" s="2540"/>
      <c r="H95" s="2540"/>
      <c r="I95" s="2541"/>
      <c r="J95" s="2540"/>
      <c r="K95" s="2540"/>
      <c r="L95" s="2540"/>
      <c r="M95" s="2540"/>
      <c r="N95" s="2540"/>
      <c r="O95" s="2540"/>
      <c r="P95" s="2540"/>
      <c r="Q95" s="2540"/>
      <c r="R95" s="2540"/>
      <c r="S95" s="2540"/>
      <c r="T95" s="2540"/>
    </row>
    <row r="96" hidden="1" spans="1:20">
      <c r="A96" s="2540"/>
      <c r="B96" s="2540"/>
      <c r="C96" s="2540"/>
      <c r="D96" s="2540"/>
      <c r="E96" s="2540"/>
      <c r="F96" s="2540"/>
      <c r="G96" s="2540"/>
      <c r="H96" s="2540"/>
      <c r="I96" s="2541"/>
      <c r="J96" s="2540"/>
      <c r="K96" s="2540"/>
      <c r="L96" s="2540"/>
      <c r="M96" s="2540"/>
      <c r="N96" s="2540"/>
      <c r="O96" s="2540"/>
      <c r="P96" s="2540"/>
      <c r="Q96" s="2540"/>
      <c r="R96" s="2540"/>
      <c r="S96" s="2540"/>
      <c r="T96" s="2540"/>
    </row>
    <row r="97" hidden="1" spans="1:20">
      <c r="A97" s="2540"/>
      <c r="B97" s="2540"/>
      <c r="C97" s="2540"/>
      <c r="D97" s="2540"/>
      <c r="E97" s="2540"/>
      <c r="F97" s="2540"/>
      <c r="G97" s="2540"/>
      <c r="H97" s="2540"/>
      <c r="I97" s="2541"/>
      <c r="J97" s="2540"/>
      <c r="K97" s="2540"/>
      <c r="L97" s="2540"/>
      <c r="M97" s="2540"/>
      <c r="N97" s="2540"/>
      <c r="O97" s="2540"/>
      <c r="P97" s="2540"/>
      <c r="Q97" s="2540"/>
      <c r="R97" s="2540"/>
      <c r="S97" s="2540"/>
      <c r="T97" s="2540"/>
    </row>
    <row r="98" hidden="1" spans="1:20">
      <c r="A98" s="2540"/>
      <c r="B98" s="2540"/>
      <c r="C98" s="2540"/>
      <c r="D98" s="2540"/>
      <c r="E98" s="2540"/>
      <c r="F98" s="2540"/>
      <c r="G98" s="2540"/>
      <c r="H98" s="2540"/>
      <c r="I98" s="2541"/>
      <c r="J98" s="2540"/>
      <c r="K98" s="2540"/>
      <c r="L98" s="2540"/>
      <c r="M98" s="2540"/>
      <c r="N98" s="2540"/>
      <c r="O98" s="2540"/>
      <c r="P98" s="2540"/>
      <c r="Q98" s="2540"/>
      <c r="R98" s="2540"/>
      <c r="S98" s="2540"/>
      <c r="T98" s="2540"/>
    </row>
    <row r="99" hidden="1" spans="1:20">
      <c r="A99" s="2540"/>
      <c r="B99" s="2540"/>
      <c r="C99" s="2540"/>
      <c r="D99" s="2540"/>
      <c r="E99" s="2540"/>
      <c r="F99" s="2540"/>
      <c r="G99" s="2540"/>
      <c r="H99" s="2540"/>
      <c r="I99" s="2541"/>
      <c r="J99" s="2540"/>
      <c r="K99" s="2540"/>
      <c r="L99" s="2540"/>
      <c r="M99" s="2540"/>
      <c r="N99" s="2540"/>
      <c r="O99" s="2540"/>
      <c r="P99" s="2540"/>
      <c r="Q99" s="2540"/>
      <c r="R99" s="2540"/>
      <c r="S99" s="2540"/>
      <c r="T99" s="2540"/>
    </row>
    <row r="100" hidden="1" spans="1:20">
      <c r="A100" s="2540"/>
      <c r="B100" s="2540"/>
      <c r="C100" s="2540"/>
      <c r="D100" s="2540"/>
      <c r="E100" s="2540"/>
      <c r="F100" s="2540"/>
      <c r="G100" s="2540"/>
      <c r="H100" s="2540"/>
      <c r="I100" s="2541"/>
      <c r="J100" s="2540"/>
      <c r="K100" s="2540"/>
      <c r="L100" s="2540"/>
      <c r="M100" s="2540"/>
      <c r="N100" s="2540"/>
      <c r="O100" s="2540"/>
      <c r="P100" s="2540"/>
      <c r="Q100" s="2540"/>
      <c r="R100" s="2540"/>
      <c r="S100" s="2540"/>
      <c r="T100" s="2540"/>
    </row>
    <row r="101" hidden="1" spans="1:20">
      <c r="A101" s="2540"/>
      <c r="B101" s="2540"/>
      <c r="C101" s="2540"/>
      <c r="D101" s="2540"/>
      <c r="E101" s="2540"/>
      <c r="F101" s="2540"/>
      <c r="G101" s="2540"/>
      <c r="H101" s="2540"/>
      <c r="I101" s="2541"/>
      <c r="J101" s="2540"/>
      <c r="K101" s="2540"/>
      <c r="L101" s="2540"/>
      <c r="M101" s="2540"/>
      <c r="N101" s="2540"/>
      <c r="O101" s="2540"/>
      <c r="P101" s="2540"/>
      <c r="Q101" s="2540"/>
      <c r="R101" s="2540"/>
      <c r="S101" s="2540"/>
      <c r="T101" s="2540"/>
    </row>
    <row r="102" hidden="1" spans="1:20">
      <c r="A102" s="2540"/>
      <c r="B102" s="2540"/>
      <c r="C102" s="2540"/>
      <c r="D102" s="2540"/>
      <c r="E102" s="2540"/>
      <c r="F102" s="2540"/>
      <c r="G102" s="2540"/>
      <c r="H102" s="2540"/>
      <c r="I102" s="2541"/>
      <c r="J102" s="2540"/>
      <c r="K102" s="2540"/>
      <c r="L102" s="2540"/>
      <c r="M102" s="2540"/>
      <c r="N102" s="2540"/>
      <c r="O102" s="2540"/>
      <c r="P102" s="2540"/>
      <c r="Q102" s="2540"/>
      <c r="R102" s="2540"/>
      <c r="S102" s="2540"/>
      <c r="T102" s="2540"/>
    </row>
    <row r="103" ht="18.75" customHeight="1" spans="1:20">
      <c r="A103" s="2542" t="s">
        <v>1710</v>
      </c>
      <c r="B103" s="2543"/>
      <c r="C103" s="2544" t="str">
        <f>参数表!C3</f>
        <v>深圳新阳蓝光能源管理科技股份有限公司</v>
      </c>
      <c r="D103" s="2544"/>
      <c r="E103" s="2544"/>
      <c r="F103" s="2545"/>
      <c r="G103" s="2546" t="s">
        <v>1711</v>
      </c>
      <c r="H103" s="2546" t="s">
        <v>1712</v>
      </c>
      <c r="I103" s="2578"/>
      <c r="J103" s="2540"/>
      <c r="K103" s="2540"/>
      <c r="L103" s="2540"/>
      <c r="M103" s="2540"/>
      <c r="N103" s="2540"/>
      <c r="O103" s="2540"/>
      <c r="P103" s="2540"/>
      <c r="Q103" s="2540"/>
      <c r="R103" s="2540"/>
      <c r="S103" s="2540"/>
      <c r="T103" s="2540"/>
    </row>
    <row r="104" spans="1:20">
      <c r="A104" s="2542" t="s">
        <v>1713</v>
      </c>
      <c r="B104" s="2543"/>
      <c r="C104" s="2547" t="s">
        <v>1714</v>
      </c>
      <c r="D104" s="2548"/>
      <c r="E104" s="2548"/>
      <c r="F104" s="2549" t="s">
        <v>1715</v>
      </c>
      <c r="G104" s="2550">
        <f>参数表!F10</f>
        <v>0</v>
      </c>
      <c r="H104" s="2551">
        <f>资负表及利润表调整分录!H169</f>
        <v>43141</v>
      </c>
      <c r="I104" s="2579"/>
      <c r="J104" s="2540"/>
      <c r="K104" s="2540"/>
      <c r="L104" s="2540"/>
      <c r="M104" s="2540"/>
      <c r="N104" s="2540"/>
      <c r="O104" s="2540"/>
      <c r="P104" s="2540"/>
      <c r="Q104" s="2540"/>
      <c r="R104" s="2540"/>
      <c r="S104" s="2540"/>
      <c r="T104" s="2540"/>
    </row>
    <row r="105" customHeight="1" spans="1:20">
      <c r="A105" s="2542" t="s">
        <v>1716</v>
      </c>
      <c r="B105" s="2543"/>
      <c r="C105" s="2552" t="str">
        <f>参数表!D7</f>
        <v>2016年度</v>
      </c>
      <c r="D105" s="2552"/>
      <c r="E105" s="2552"/>
      <c r="F105" s="2549" t="s">
        <v>1717</v>
      </c>
      <c r="G105" s="2550">
        <f>参数表!C11</f>
        <v>0</v>
      </c>
      <c r="H105" s="2551">
        <f>资负表及利润表调整分录!H170</f>
        <v>43144</v>
      </c>
      <c r="I105" s="2579"/>
      <c r="J105" s="2540"/>
      <c r="K105" s="2540"/>
      <c r="L105" s="2540"/>
      <c r="M105" s="2540"/>
      <c r="N105" s="2540"/>
      <c r="O105" s="2540"/>
      <c r="P105" s="2540"/>
      <c r="Q105" s="2540"/>
      <c r="R105" s="2540"/>
      <c r="S105" s="2540"/>
      <c r="T105" s="2540"/>
    </row>
    <row r="106" customHeight="1" spans="1:20">
      <c r="A106" s="2553"/>
      <c r="B106" s="2554" t="str">
        <f>IF(审定现流表!C2=0,"","审定现金流量表"&amp;审定现流表!A2&amp;审定现流表!C2&amp;"元。")</f>
        <v>审定现金流量表对应列“期末现金及现金等价物余额”与资产负债表不符，相差：-4158216.16元。</v>
      </c>
      <c r="C106" s="2555"/>
      <c r="D106" s="2556"/>
      <c r="E106" s="2557"/>
      <c r="F106" s="2557"/>
      <c r="G106" s="2558"/>
      <c r="H106" s="2559"/>
      <c r="I106" s="2559"/>
      <c r="J106" s="2540"/>
      <c r="K106" s="2540"/>
      <c r="L106" s="2540"/>
      <c r="M106" s="2540"/>
      <c r="N106" s="2540"/>
      <c r="O106" s="2540"/>
      <c r="P106" s="2540"/>
      <c r="Q106" s="2540"/>
      <c r="R106" s="2540"/>
      <c r="S106" s="2540"/>
      <c r="T106" s="2540"/>
    </row>
    <row r="107" customHeight="1" spans="1:20">
      <c r="A107" s="2560" t="s">
        <v>162</v>
      </c>
      <c r="B107" s="2561" t="s">
        <v>1718</v>
      </c>
      <c r="C107" s="2562"/>
      <c r="D107" s="2562"/>
      <c r="E107" s="2562"/>
      <c r="F107" s="2561" t="s">
        <v>1719</v>
      </c>
      <c r="G107" s="2563" t="s">
        <v>1720</v>
      </c>
      <c r="H107" s="2564"/>
      <c r="I107" s="2580" t="s">
        <v>1721</v>
      </c>
      <c r="J107" s="2540"/>
      <c r="K107" s="2540"/>
      <c r="L107" s="2540"/>
      <c r="M107" s="2540"/>
      <c r="N107" s="2540"/>
      <c r="O107" s="2540"/>
      <c r="P107" s="2540"/>
      <c r="Q107" s="2540"/>
      <c r="R107" s="2540"/>
      <c r="S107" s="2540"/>
      <c r="T107" s="2540"/>
    </row>
    <row r="108" ht="36" spans="1:20">
      <c r="A108" s="2565"/>
      <c r="B108" s="2566" t="s">
        <v>1722</v>
      </c>
      <c r="C108" s="2561" t="s">
        <v>1723</v>
      </c>
      <c r="D108" s="2567"/>
      <c r="E108" s="2561" t="s">
        <v>1724</v>
      </c>
      <c r="F108" s="2562"/>
      <c r="G108" s="2568" t="s">
        <v>1725</v>
      </c>
      <c r="H108" s="2568" t="s">
        <v>1726</v>
      </c>
      <c r="I108" s="2581"/>
      <c r="J108" s="2540"/>
      <c r="K108" s="2540"/>
      <c r="L108" s="2540"/>
      <c r="M108" s="2540"/>
      <c r="N108" s="2540"/>
      <c r="O108" s="2540"/>
      <c r="P108" s="2540"/>
      <c r="Q108" s="2540"/>
      <c r="R108" s="2540"/>
      <c r="S108" s="2540"/>
      <c r="T108" s="2540"/>
    </row>
    <row r="109" customHeight="1" spans="1:20">
      <c r="A109" s="2569" t="s">
        <v>1727</v>
      </c>
      <c r="B109" s="2570"/>
      <c r="C109" s="2570"/>
      <c r="D109" s="2570"/>
      <c r="E109" s="2571"/>
      <c r="F109" s="2572"/>
      <c r="G109" s="2573">
        <f>ROUND(SUM(G110:G154),2)</f>
        <v>-7730355</v>
      </c>
      <c r="H109" s="2573">
        <f>ROUND(SUM(H110:H154),2)</f>
        <v>0</v>
      </c>
      <c r="I109" s="2582" t="s">
        <v>1502</v>
      </c>
      <c r="J109" s="2540"/>
      <c r="K109" s="2540"/>
      <c r="L109" s="2540"/>
      <c r="M109" s="2540"/>
      <c r="N109" s="2540"/>
      <c r="O109" s="2540"/>
      <c r="P109" s="2540"/>
      <c r="Q109" s="2540"/>
      <c r="R109" s="2540"/>
      <c r="S109" s="2540"/>
      <c r="T109" s="2540"/>
    </row>
    <row r="110" hidden="1" customHeight="1" spans="1:20">
      <c r="A110" s="2574"/>
      <c r="B110" s="2575"/>
      <c r="C110" s="2576"/>
      <c r="D110" s="2575"/>
      <c r="E110" s="2575"/>
      <c r="F110" s="2574"/>
      <c r="G110" s="2120"/>
      <c r="H110" s="2120"/>
      <c r="I110" s="2583"/>
      <c r="J110" s="2540"/>
      <c r="K110" s="2540"/>
      <c r="L110" s="2540"/>
      <c r="M110" s="2540"/>
      <c r="N110" s="2540"/>
      <c r="O110" s="2540"/>
      <c r="P110" s="2540"/>
      <c r="Q110" s="2540"/>
      <c r="R110" s="2540"/>
      <c r="S110" s="2540"/>
      <c r="T110" s="2540"/>
    </row>
    <row r="111" customHeight="1" spans="1:20">
      <c r="A111" s="2574"/>
      <c r="B111" s="2575"/>
      <c r="C111" s="2577"/>
      <c r="D111" s="2575"/>
      <c r="E111" s="2575"/>
      <c r="F111" s="2574"/>
      <c r="G111" s="2120"/>
      <c r="H111" s="2120"/>
      <c r="I111" s="2583"/>
      <c r="J111" s="2540"/>
      <c r="K111" s="2540"/>
      <c r="L111" s="2540"/>
      <c r="M111" s="2540"/>
      <c r="N111" s="2540"/>
      <c r="O111" s="2540"/>
      <c r="P111" s="2540"/>
      <c r="Q111" s="2540"/>
      <c r="R111" s="2540"/>
      <c r="S111" s="2540"/>
      <c r="T111" s="2540"/>
    </row>
    <row r="112" customHeight="1" spans="1:20">
      <c r="A112" s="2574"/>
      <c r="B112" s="2575"/>
      <c r="C112" s="2577" t="s">
        <v>122</v>
      </c>
      <c r="D112" s="2575"/>
      <c r="E112" s="2575"/>
      <c r="F112" s="2574"/>
      <c r="G112" s="2120">
        <f>-G113</f>
        <v>-7730355</v>
      </c>
      <c r="H112" s="2120"/>
      <c r="I112" s="2583" t="s">
        <v>1404</v>
      </c>
      <c r="J112" s="2540"/>
      <c r="K112" s="2540"/>
      <c r="L112" s="2540"/>
      <c r="M112" s="2540"/>
      <c r="N112" s="2540"/>
      <c r="O112" s="2540"/>
      <c r="P112" s="2540"/>
      <c r="Q112" s="2540"/>
      <c r="R112" s="2540"/>
      <c r="S112" s="2540"/>
      <c r="T112" s="2540"/>
    </row>
    <row r="113" customHeight="1" spans="1:20">
      <c r="A113" s="2574"/>
      <c r="B113" s="2575"/>
      <c r="C113" s="2577" t="s">
        <v>136</v>
      </c>
      <c r="D113" s="2575"/>
      <c r="E113" s="2575"/>
      <c r="F113" s="2574"/>
      <c r="G113" s="2120">
        <f>12167739.6-4437384.6</f>
        <v>7730355</v>
      </c>
      <c r="H113" s="2120"/>
      <c r="I113" s="2583" t="s">
        <v>1404</v>
      </c>
      <c r="J113" s="2540"/>
      <c r="K113" s="2540"/>
      <c r="L113" s="2540"/>
      <c r="M113" s="2540"/>
      <c r="N113" s="2540"/>
      <c r="O113" s="2540"/>
      <c r="P113" s="2540"/>
      <c r="Q113" s="2540"/>
      <c r="R113" s="2540"/>
      <c r="S113" s="2540"/>
      <c r="T113" s="2540"/>
    </row>
    <row r="114" customHeight="1" spans="1:20">
      <c r="A114" s="2574"/>
      <c r="B114" s="2575"/>
      <c r="C114" s="2577"/>
      <c r="D114" s="2575"/>
      <c r="E114" s="2575"/>
      <c r="F114" s="2574"/>
      <c r="G114" s="2120"/>
      <c r="H114" s="2120"/>
      <c r="I114" s="2583"/>
      <c r="J114" s="2540"/>
      <c r="K114" s="2540"/>
      <c r="L114" s="2540"/>
      <c r="M114" s="2540"/>
      <c r="N114" s="2540"/>
      <c r="O114" s="2540"/>
      <c r="P114" s="2540"/>
      <c r="Q114" s="2540"/>
      <c r="R114" s="2540"/>
      <c r="S114" s="2540"/>
      <c r="T114" s="2540"/>
    </row>
    <row r="115" customHeight="1" spans="1:20">
      <c r="A115" s="2574"/>
      <c r="B115" s="2575"/>
      <c r="C115" s="2577" t="s">
        <v>1709</v>
      </c>
      <c r="D115" s="2575"/>
      <c r="E115" s="2575"/>
      <c r="F115" s="2574"/>
      <c r="G115" s="2120">
        <f>-G113</f>
        <v>-7730355</v>
      </c>
      <c r="H115" s="2120"/>
      <c r="I115" s="2583" t="s">
        <v>1404</v>
      </c>
      <c r="J115" s="2540"/>
      <c r="K115" s="2540"/>
      <c r="L115" s="2540"/>
      <c r="M115" s="2540"/>
      <c r="N115" s="2540"/>
      <c r="O115" s="2540"/>
      <c r="P115" s="2540"/>
      <c r="Q115" s="2540"/>
      <c r="R115" s="2540"/>
      <c r="S115" s="2540"/>
      <c r="T115" s="2540"/>
    </row>
    <row r="116" customHeight="1" spans="1:20">
      <c r="A116" s="2574"/>
      <c r="B116" s="2575"/>
      <c r="C116" s="2577"/>
      <c r="D116" s="2575"/>
      <c r="E116" s="2575"/>
      <c r="F116" s="2574"/>
      <c r="G116" s="2120"/>
      <c r="H116" s="2120"/>
      <c r="I116" s="2583"/>
      <c r="J116" s="2540"/>
      <c r="K116" s="2540"/>
      <c r="L116" s="2540"/>
      <c r="M116" s="2540"/>
      <c r="N116" s="2540"/>
      <c r="O116" s="2540"/>
      <c r="P116" s="2540"/>
      <c r="Q116" s="2540"/>
      <c r="R116" s="2540"/>
      <c r="S116" s="2540"/>
      <c r="T116" s="2540"/>
    </row>
    <row r="117" customHeight="1" spans="1:20">
      <c r="A117" s="2574"/>
      <c r="B117" s="2575"/>
      <c r="C117" s="2577"/>
      <c r="D117" s="2575"/>
      <c r="E117" s="2575"/>
      <c r="F117" s="2574"/>
      <c r="G117" s="2120"/>
      <c r="H117" s="2120"/>
      <c r="I117" s="2583"/>
      <c r="J117" s="2540"/>
      <c r="K117" s="2540"/>
      <c r="L117" s="2540"/>
      <c r="M117" s="2540"/>
      <c r="N117" s="2540"/>
      <c r="O117" s="2540"/>
      <c r="P117" s="2540"/>
      <c r="Q117" s="2540"/>
      <c r="R117" s="2540"/>
      <c r="S117" s="2540"/>
      <c r="T117" s="2540"/>
    </row>
    <row r="118" customHeight="1" spans="1:20">
      <c r="A118" s="2574"/>
      <c r="B118" s="2575"/>
      <c r="C118" s="2577"/>
      <c r="D118" s="2575"/>
      <c r="E118" s="2575"/>
      <c r="F118" s="2574"/>
      <c r="G118" s="2120"/>
      <c r="H118" s="2120"/>
      <c r="I118" s="2583"/>
      <c r="J118" s="2540"/>
      <c r="K118" s="2540"/>
      <c r="L118" s="2540"/>
      <c r="M118" s="2540"/>
      <c r="N118" s="2540"/>
      <c r="O118" s="2540"/>
      <c r="P118" s="2540"/>
      <c r="Q118" s="2540"/>
      <c r="R118" s="2540"/>
      <c r="S118" s="2540"/>
      <c r="T118" s="2540"/>
    </row>
    <row r="119" customHeight="1" spans="1:20">
      <c r="A119" s="2574"/>
      <c r="B119" s="2575"/>
      <c r="C119" s="2577"/>
      <c r="D119" s="2575"/>
      <c r="E119" s="2575"/>
      <c r="F119" s="2574"/>
      <c r="G119" s="2120"/>
      <c r="H119" s="2120"/>
      <c r="I119" s="2583"/>
      <c r="J119" s="2540"/>
      <c r="K119" s="2540"/>
      <c r="L119" s="2540"/>
      <c r="M119" s="2540"/>
      <c r="N119" s="2540"/>
      <c r="O119" s="2540"/>
      <c r="P119" s="2540"/>
      <c r="Q119" s="2540"/>
      <c r="R119" s="2540"/>
      <c r="S119" s="2540"/>
      <c r="T119" s="2540"/>
    </row>
    <row r="120" customHeight="1" spans="1:20">
      <c r="A120" s="2574"/>
      <c r="B120" s="2575"/>
      <c r="C120" s="2577"/>
      <c r="D120" s="2575"/>
      <c r="E120" s="2575"/>
      <c r="F120" s="2574"/>
      <c r="G120" s="2120"/>
      <c r="H120" s="2120"/>
      <c r="I120" s="2583"/>
      <c r="J120" s="2540"/>
      <c r="K120" s="2540"/>
      <c r="L120" s="2540"/>
      <c r="M120" s="2540"/>
      <c r="N120" s="2540"/>
      <c r="O120" s="2540"/>
      <c r="P120" s="2540"/>
      <c r="Q120" s="2540"/>
      <c r="R120" s="2540"/>
      <c r="S120" s="2540"/>
      <c r="T120" s="2540"/>
    </row>
    <row r="121" customHeight="1" spans="1:20">
      <c r="A121" s="2574"/>
      <c r="B121" s="2575"/>
      <c r="C121" s="2577"/>
      <c r="D121" s="2575"/>
      <c r="E121" s="2575"/>
      <c r="F121" s="2574"/>
      <c r="G121" s="2120"/>
      <c r="H121" s="2120"/>
      <c r="I121" s="2583"/>
      <c r="J121" s="2540"/>
      <c r="K121" s="2540"/>
      <c r="L121" s="2540"/>
      <c r="M121" s="2540"/>
      <c r="N121" s="2540"/>
      <c r="O121" s="2540"/>
      <c r="P121" s="2540"/>
      <c r="Q121" s="2540"/>
      <c r="R121" s="2540"/>
      <c r="S121" s="2540"/>
      <c r="T121" s="2540"/>
    </row>
    <row r="122" customHeight="1" spans="1:20">
      <c r="A122" s="2574"/>
      <c r="B122" s="2575"/>
      <c r="C122" s="2577"/>
      <c r="D122" s="2575"/>
      <c r="E122" s="2575"/>
      <c r="F122" s="2574"/>
      <c r="G122" s="2120"/>
      <c r="H122" s="2120"/>
      <c r="I122" s="2583"/>
      <c r="J122" s="2540"/>
      <c r="K122" s="2540"/>
      <c r="L122" s="2540"/>
      <c r="M122" s="2540"/>
      <c r="N122" s="2540"/>
      <c r="O122" s="2540"/>
      <c r="P122" s="2540"/>
      <c r="Q122" s="2540"/>
      <c r="R122" s="2540"/>
      <c r="S122" s="2540"/>
      <c r="T122" s="2540"/>
    </row>
    <row r="123" customHeight="1" spans="1:20">
      <c r="A123" s="2574"/>
      <c r="B123" s="2575"/>
      <c r="C123" s="2577"/>
      <c r="D123" s="2575"/>
      <c r="E123" s="2575"/>
      <c r="F123" s="2574"/>
      <c r="G123" s="2120"/>
      <c r="H123" s="2120"/>
      <c r="I123" s="2583"/>
      <c r="J123" s="2540"/>
      <c r="K123" s="2540"/>
      <c r="L123" s="2540"/>
      <c r="M123" s="2540"/>
      <c r="N123" s="2540"/>
      <c r="O123" s="2540"/>
      <c r="P123" s="2540"/>
      <c r="Q123" s="2540"/>
      <c r="R123" s="2540"/>
      <c r="S123" s="2540"/>
      <c r="T123" s="2540"/>
    </row>
    <row r="124" customHeight="1" spans="1:20">
      <c r="A124" s="2574"/>
      <c r="B124" s="2575"/>
      <c r="C124" s="2577"/>
      <c r="D124" s="2575"/>
      <c r="E124" s="2575"/>
      <c r="F124" s="2574"/>
      <c r="G124" s="2120"/>
      <c r="H124" s="2120"/>
      <c r="I124" s="2583"/>
      <c r="J124" s="2540"/>
      <c r="K124" s="2540"/>
      <c r="L124" s="2540"/>
      <c r="M124" s="2540"/>
      <c r="N124" s="2540"/>
      <c r="O124" s="2540"/>
      <c r="P124" s="2540"/>
      <c r="Q124" s="2540"/>
      <c r="R124" s="2540"/>
      <c r="S124" s="2540"/>
      <c r="T124" s="2540"/>
    </row>
    <row r="125" customHeight="1" spans="1:20">
      <c r="A125" s="2574"/>
      <c r="B125" s="2575"/>
      <c r="C125" s="2577"/>
      <c r="D125" s="2575"/>
      <c r="E125" s="2575"/>
      <c r="F125" s="2574"/>
      <c r="G125" s="2120"/>
      <c r="H125" s="2120"/>
      <c r="I125" s="2583"/>
      <c r="J125" s="2540"/>
      <c r="K125" s="2540"/>
      <c r="L125" s="2540"/>
      <c r="M125" s="2540"/>
      <c r="N125" s="2540"/>
      <c r="O125" s="2540"/>
      <c r="P125" s="2540"/>
      <c r="Q125" s="2540"/>
      <c r="R125" s="2540"/>
      <c r="S125" s="2540"/>
      <c r="T125" s="2540"/>
    </row>
    <row r="126" customHeight="1" spans="1:20">
      <c r="A126" s="2574"/>
      <c r="B126" s="2575"/>
      <c r="C126" s="2577"/>
      <c r="D126" s="2575"/>
      <c r="E126" s="2575"/>
      <c r="F126" s="2574"/>
      <c r="G126" s="2120"/>
      <c r="H126" s="2120"/>
      <c r="I126" s="2583"/>
      <c r="J126" s="2540"/>
      <c r="K126" s="2540"/>
      <c r="L126" s="2540"/>
      <c r="M126" s="2540"/>
      <c r="N126" s="2540"/>
      <c r="O126" s="2540"/>
      <c r="P126" s="2540"/>
      <c r="Q126" s="2540"/>
      <c r="R126" s="2540"/>
      <c r="S126" s="2540"/>
      <c r="T126" s="2540"/>
    </row>
    <row r="127" customHeight="1" spans="1:20">
      <c r="A127" s="2574"/>
      <c r="B127" s="2575"/>
      <c r="C127" s="2577"/>
      <c r="D127" s="2575"/>
      <c r="E127" s="2575"/>
      <c r="F127" s="2574"/>
      <c r="G127" s="2120"/>
      <c r="H127" s="2120"/>
      <c r="I127" s="2583"/>
      <c r="J127" s="2540"/>
      <c r="K127" s="2540"/>
      <c r="L127" s="2540"/>
      <c r="M127" s="2540"/>
      <c r="N127" s="2540"/>
      <c r="O127" s="2540"/>
      <c r="P127" s="2540"/>
      <c r="Q127" s="2540"/>
      <c r="R127" s="2540"/>
      <c r="S127" s="2540"/>
      <c r="T127" s="2540"/>
    </row>
    <row r="128" customHeight="1" spans="1:20">
      <c r="A128" s="2574"/>
      <c r="B128" s="2575"/>
      <c r="C128" s="2577"/>
      <c r="D128" s="2575"/>
      <c r="E128" s="2575"/>
      <c r="F128" s="2574"/>
      <c r="G128" s="2120"/>
      <c r="H128" s="2120"/>
      <c r="I128" s="2583"/>
      <c r="J128" s="2540"/>
      <c r="K128" s="2540"/>
      <c r="L128" s="2540"/>
      <c r="M128" s="2540"/>
      <c r="N128" s="2540"/>
      <c r="O128" s="2540"/>
      <c r="P128" s="2540"/>
      <c r="Q128" s="2540"/>
      <c r="R128" s="2540"/>
      <c r="S128" s="2540"/>
      <c r="T128" s="2540"/>
    </row>
    <row r="129" customHeight="1" spans="1:20">
      <c r="A129" s="2574"/>
      <c r="B129" s="2575"/>
      <c r="C129" s="2577"/>
      <c r="D129" s="2575"/>
      <c r="E129" s="2575"/>
      <c r="F129" s="2574"/>
      <c r="G129" s="2120"/>
      <c r="H129" s="2120"/>
      <c r="I129" s="2583"/>
      <c r="J129" s="2540"/>
      <c r="K129" s="2540"/>
      <c r="L129" s="2540"/>
      <c r="M129" s="2540"/>
      <c r="N129" s="2540"/>
      <c r="O129" s="2540"/>
      <c r="P129" s="2540"/>
      <c r="Q129" s="2540"/>
      <c r="R129" s="2540"/>
      <c r="S129" s="2540"/>
      <c r="T129" s="2540"/>
    </row>
    <row r="130" customHeight="1" spans="1:20">
      <c r="A130" s="2574"/>
      <c r="B130" s="2575"/>
      <c r="C130" s="2577"/>
      <c r="D130" s="2575"/>
      <c r="E130" s="2575"/>
      <c r="F130" s="2574"/>
      <c r="G130" s="2120"/>
      <c r="H130" s="2120"/>
      <c r="I130" s="2583"/>
      <c r="J130" s="2540"/>
      <c r="K130" s="2540"/>
      <c r="L130" s="2540"/>
      <c r="M130" s="2540"/>
      <c r="N130" s="2540"/>
      <c r="O130" s="2540"/>
      <c r="P130" s="2540"/>
      <c r="Q130" s="2540"/>
      <c r="R130" s="2540"/>
      <c r="S130" s="2540"/>
      <c r="T130" s="2540"/>
    </row>
    <row r="131" customHeight="1" spans="1:20">
      <c r="A131" s="2574"/>
      <c r="B131" s="2575"/>
      <c r="C131" s="2577"/>
      <c r="D131" s="2575"/>
      <c r="E131" s="2575"/>
      <c r="F131" s="2574"/>
      <c r="G131" s="2120"/>
      <c r="H131" s="2120"/>
      <c r="I131" s="2583"/>
      <c r="J131" s="2540"/>
      <c r="K131" s="2540"/>
      <c r="L131" s="2540"/>
      <c r="M131" s="2540"/>
      <c r="N131" s="2540"/>
      <c r="O131" s="2540"/>
      <c r="P131" s="2540"/>
      <c r="Q131" s="2540"/>
      <c r="R131" s="2540"/>
      <c r="S131" s="2540"/>
      <c r="T131" s="2540"/>
    </row>
    <row r="132" customHeight="1" spans="1:20">
      <c r="A132" s="2574"/>
      <c r="B132" s="2575"/>
      <c r="C132" s="2577"/>
      <c r="D132" s="2575"/>
      <c r="E132" s="2575"/>
      <c r="F132" s="2574"/>
      <c r="G132" s="2120"/>
      <c r="H132" s="2120"/>
      <c r="I132" s="2583"/>
      <c r="J132" s="2540"/>
      <c r="K132" s="2540"/>
      <c r="L132" s="2540"/>
      <c r="M132" s="2540"/>
      <c r="N132" s="2540"/>
      <c r="O132" s="2540"/>
      <c r="P132" s="2540"/>
      <c r="Q132" s="2540"/>
      <c r="R132" s="2540"/>
      <c r="S132" s="2540"/>
      <c r="T132" s="2540"/>
    </row>
    <row r="133" customHeight="1" spans="1:20">
      <c r="A133" s="2574"/>
      <c r="B133" s="2575"/>
      <c r="C133" s="2577"/>
      <c r="D133" s="2575"/>
      <c r="E133" s="2575"/>
      <c r="F133" s="2574"/>
      <c r="G133" s="2120"/>
      <c r="H133" s="2120"/>
      <c r="I133" s="2583"/>
      <c r="J133" s="2540"/>
      <c r="K133" s="2540"/>
      <c r="L133" s="2540"/>
      <c r="M133" s="2540"/>
      <c r="N133" s="2540"/>
      <c r="O133" s="2540"/>
      <c r="P133" s="2540"/>
      <c r="Q133" s="2540"/>
      <c r="R133" s="2540"/>
      <c r="S133" s="2540"/>
      <c r="T133" s="2540"/>
    </row>
    <row r="134" customHeight="1" spans="1:20">
      <c r="A134" s="2574"/>
      <c r="B134" s="2575"/>
      <c r="C134" s="2577"/>
      <c r="D134" s="2575"/>
      <c r="E134" s="2575"/>
      <c r="F134" s="2574"/>
      <c r="G134" s="2120"/>
      <c r="H134" s="2120"/>
      <c r="I134" s="2583"/>
      <c r="J134" s="2540"/>
      <c r="K134" s="2540"/>
      <c r="L134" s="2540"/>
      <c r="M134" s="2540"/>
      <c r="N134" s="2540"/>
      <c r="O134" s="2540"/>
      <c r="P134" s="2540"/>
      <c r="Q134" s="2540"/>
      <c r="R134" s="2540"/>
      <c r="S134" s="2540"/>
      <c r="T134" s="2540"/>
    </row>
    <row r="135" customHeight="1" spans="1:20">
      <c r="A135" s="2574"/>
      <c r="B135" s="2575"/>
      <c r="C135" s="2577"/>
      <c r="D135" s="2575"/>
      <c r="E135" s="2575"/>
      <c r="F135" s="2574"/>
      <c r="G135" s="2120"/>
      <c r="H135" s="2120"/>
      <c r="I135" s="2583"/>
      <c r="J135" s="2540"/>
      <c r="K135" s="2540"/>
      <c r="L135" s="2540"/>
      <c r="M135" s="2540"/>
      <c r="N135" s="2540"/>
      <c r="O135" s="2540"/>
      <c r="P135" s="2540"/>
      <c r="Q135" s="2540"/>
      <c r="R135" s="2540"/>
      <c r="S135" s="2540"/>
      <c r="T135" s="2540"/>
    </row>
    <row r="136" customHeight="1" spans="1:20">
      <c r="A136" s="2574"/>
      <c r="B136" s="2575"/>
      <c r="C136" s="2577"/>
      <c r="D136" s="2575"/>
      <c r="E136" s="2575"/>
      <c r="F136" s="2574"/>
      <c r="G136" s="2120"/>
      <c r="H136" s="2120"/>
      <c r="I136" s="2583"/>
      <c r="J136" s="2540"/>
      <c r="K136" s="2540"/>
      <c r="L136" s="2540"/>
      <c r="M136" s="2540"/>
      <c r="N136" s="2540"/>
      <c r="O136" s="2540"/>
      <c r="P136" s="2540"/>
      <c r="Q136" s="2540"/>
      <c r="R136" s="2540"/>
      <c r="S136" s="2540"/>
      <c r="T136" s="2540"/>
    </row>
    <row r="137" customHeight="1" spans="1:20">
      <c r="A137" s="2574"/>
      <c r="B137" s="2575"/>
      <c r="C137" s="2577"/>
      <c r="D137" s="2575"/>
      <c r="E137" s="2575"/>
      <c r="F137" s="2574"/>
      <c r="G137" s="2120"/>
      <c r="H137" s="2120"/>
      <c r="I137" s="2583"/>
      <c r="J137" s="2540"/>
      <c r="K137" s="2540"/>
      <c r="L137" s="2540"/>
      <c r="M137" s="2540"/>
      <c r="N137" s="2540"/>
      <c r="O137" s="2540"/>
      <c r="P137" s="2540"/>
      <c r="Q137" s="2540"/>
      <c r="R137" s="2540"/>
      <c r="S137" s="2540"/>
      <c r="T137" s="2540"/>
    </row>
    <row r="138" customHeight="1" spans="1:20">
      <c r="A138" s="2574"/>
      <c r="B138" s="2575"/>
      <c r="C138" s="2577"/>
      <c r="D138" s="2575"/>
      <c r="E138" s="2575"/>
      <c r="F138" s="2574"/>
      <c r="G138" s="2120"/>
      <c r="H138" s="2120"/>
      <c r="I138" s="2583"/>
      <c r="J138" s="2540"/>
      <c r="K138" s="2540"/>
      <c r="L138" s="2540"/>
      <c r="M138" s="2540"/>
      <c r="N138" s="2540"/>
      <c r="O138" s="2540"/>
      <c r="P138" s="2540"/>
      <c r="Q138" s="2540"/>
      <c r="R138" s="2540"/>
      <c r="S138" s="2540"/>
      <c r="T138" s="2540"/>
    </row>
    <row r="139" customHeight="1" spans="1:20">
      <c r="A139" s="2574"/>
      <c r="B139" s="2575"/>
      <c r="C139" s="2577"/>
      <c r="D139" s="2575"/>
      <c r="E139" s="2575"/>
      <c r="F139" s="2574"/>
      <c r="G139" s="2120"/>
      <c r="H139" s="2120"/>
      <c r="I139" s="2583"/>
      <c r="J139" s="2540"/>
      <c r="K139" s="2540"/>
      <c r="L139" s="2540"/>
      <c r="M139" s="2540"/>
      <c r="N139" s="2540"/>
      <c r="O139" s="2540"/>
      <c r="P139" s="2540"/>
      <c r="Q139" s="2540"/>
      <c r="R139" s="2540"/>
      <c r="S139" s="2540"/>
      <c r="T139" s="2540"/>
    </row>
    <row r="140" customHeight="1" spans="1:20">
      <c r="A140" s="2574"/>
      <c r="B140" s="2575"/>
      <c r="C140" s="2577"/>
      <c r="D140" s="2575"/>
      <c r="E140" s="2575"/>
      <c r="F140" s="2574"/>
      <c r="G140" s="2120"/>
      <c r="H140" s="2120"/>
      <c r="I140" s="2583"/>
      <c r="J140" s="2540"/>
      <c r="K140" s="2540"/>
      <c r="L140" s="2540"/>
      <c r="M140" s="2540"/>
      <c r="N140" s="2540"/>
      <c r="O140" s="2540"/>
      <c r="P140" s="2540"/>
      <c r="Q140" s="2540"/>
      <c r="R140" s="2540"/>
      <c r="S140" s="2540"/>
      <c r="T140" s="2540"/>
    </row>
    <row r="141" customHeight="1" spans="1:20">
      <c r="A141" s="2574"/>
      <c r="B141" s="2575"/>
      <c r="C141" s="2577"/>
      <c r="D141" s="2575"/>
      <c r="E141" s="2575"/>
      <c r="F141" s="2574"/>
      <c r="G141" s="2120"/>
      <c r="H141" s="2120"/>
      <c r="I141" s="2583"/>
      <c r="J141" s="2540"/>
      <c r="K141" s="2540"/>
      <c r="L141" s="2540"/>
      <c r="M141" s="2540"/>
      <c r="N141" s="2540"/>
      <c r="O141" s="2540"/>
      <c r="P141" s="2540"/>
      <c r="Q141" s="2540"/>
      <c r="R141" s="2540"/>
      <c r="S141" s="2540"/>
      <c r="T141" s="2540"/>
    </row>
    <row r="142" customHeight="1" spans="1:20">
      <c r="A142" s="2574"/>
      <c r="B142" s="2575"/>
      <c r="C142" s="2577"/>
      <c r="D142" s="2575"/>
      <c r="E142" s="2575"/>
      <c r="F142" s="2574"/>
      <c r="G142" s="2120"/>
      <c r="H142" s="2120"/>
      <c r="I142" s="2583"/>
      <c r="J142" s="2540"/>
      <c r="K142" s="2540"/>
      <c r="L142" s="2540"/>
      <c r="M142" s="2540"/>
      <c r="N142" s="2540"/>
      <c r="O142" s="2540"/>
      <c r="P142" s="2540"/>
      <c r="Q142" s="2540"/>
      <c r="R142" s="2540"/>
      <c r="S142" s="2540"/>
      <c r="T142" s="2540"/>
    </row>
    <row r="143" customHeight="1" spans="1:20">
      <c r="A143" s="2574"/>
      <c r="B143" s="2575"/>
      <c r="C143" s="2577"/>
      <c r="D143" s="2575"/>
      <c r="E143" s="2575"/>
      <c r="F143" s="2574"/>
      <c r="G143" s="2120"/>
      <c r="H143" s="2120"/>
      <c r="I143" s="2583"/>
      <c r="J143" s="2540"/>
      <c r="K143" s="2540"/>
      <c r="L143" s="2540"/>
      <c r="M143" s="2540"/>
      <c r="N143" s="2540"/>
      <c r="O143" s="2540"/>
      <c r="P143" s="2540"/>
      <c r="Q143" s="2540"/>
      <c r="R143" s="2540"/>
      <c r="S143" s="2540"/>
      <c r="T143" s="2540"/>
    </row>
    <row r="144" customHeight="1" spans="1:20">
      <c r="A144" s="2574"/>
      <c r="B144" s="2575"/>
      <c r="C144" s="2577"/>
      <c r="D144" s="2575"/>
      <c r="E144" s="2575"/>
      <c r="F144" s="2574"/>
      <c r="G144" s="2120"/>
      <c r="H144" s="2120"/>
      <c r="I144" s="2583"/>
      <c r="J144" s="2540"/>
      <c r="K144" s="2540"/>
      <c r="L144" s="2540"/>
      <c r="M144" s="2540"/>
      <c r="N144" s="2540"/>
      <c r="O144" s="2540"/>
      <c r="P144" s="2540"/>
      <c r="Q144" s="2540"/>
      <c r="R144" s="2540"/>
      <c r="S144" s="2540"/>
      <c r="T144" s="2540"/>
    </row>
    <row r="145" customHeight="1" spans="1:20">
      <c r="A145" s="2574"/>
      <c r="B145" s="2575"/>
      <c r="C145" s="2577"/>
      <c r="D145" s="2575"/>
      <c r="E145" s="2575"/>
      <c r="F145" s="2574"/>
      <c r="G145" s="2120"/>
      <c r="H145" s="2120"/>
      <c r="I145" s="2583"/>
      <c r="J145" s="2540"/>
      <c r="K145" s="2540"/>
      <c r="L145" s="2540"/>
      <c r="M145" s="2540"/>
      <c r="N145" s="2540"/>
      <c r="O145" s="2540"/>
      <c r="P145" s="2540"/>
      <c r="Q145" s="2540"/>
      <c r="R145" s="2540"/>
      <c r="S145" s="2540"/>
      <c r="T145" s="2540"/>
    </row>
    <row r="146" customHeight="1" spans="1:20">
      <c r="A146" s="2574"/>
      <c r="B146" s="2575"/>
      <c r="C146" s="2577"/>
      <c r="D146" s="2575"/>
      <c r="E146" s="2575"/>
      <c r="F146" s="2574"/>
      <c r="G146" s="2120"/>
      <c r="H146" s="2120"/>
      <c r="I146" s="2583"/>
      <c r="J146" s="2540"/>
      <c r="K146" s="2540"/>
      <c r="L146" s="2540"/>
      <c r="M146" s="2540"/>
      <c r="N146" s="2540"/>
      <c r="O146" s="2540"/>
      <c r="P146" s="2540"/>
      <c r="Q146" s="2540"/>
      <c r="R146" s="2540"/>
      <c r="S146" s="2540"/>
      <c r="T146" s="2540"/>
    </row>
    <row r="147" customHeight="1" spans="1:20">
      <c r="A147" s="2574"/>
      <c r="B147" s="2575"/>
      <c r="C147" s="2577"/>
      <c r="D147" s="2575"/>
      <c r="E147" s="2575"/>
      <c r="F147" s="2574"/>
      <c r="G147" s="2120"/>
      <c r="H147" s="2120"/>
      <c r="I147" s="2583"/>
      <c r="J147" s="2540"/>
      <c r="K147" s="2540"/>
      <c r="L147" s="2540"/>
      <c r="M147" s="2540"/>
      <c r="N147" s="2540"/>
      <c r="O147" s="2540"/>
      <c r="P147" s="2540"/>
      <c r="Q147" s="2540"/>
      <c r="R147" s="2540"/>
      <c r="S147" s="2540"/>
      <c r="T147" s="2540"/>
    </row>
    <row r="148" customHeight="1" spans="1:20">
      <c r="A148" s="2574"/>
      <c r="B148" s="2575"/>
      <c r="C148" s="2577"/>
      <c r="D148" s="2575"/>
      <c r="E148" s="2575"/>
      <c r="F148" s="2574"/>
      <c r="G148" s="2120"/>
      <c r="H148" s="2120"/>
      <c r="I148" s="2583"/>
      <c r="J148" s="2540"/>
      <c r="K148" s="2540"/>
      <c r="L148" s="2540"/>
      <c r="M148" s="2540"/>
      <c r="N148" s="2540"/>
      <c r="O148" s="2540"/>
      <c r="P148" s="2540"/>
      <c r="Q148" s="2540"/>
      <c r="R148" s="2540"/>
      <c r="S148" s="2540"/>
      <c r="T148" s="2540"/>
    </row>
    <row r="149" customHeight="1" spans="1:20">
      <c r="A149" s="2574"/>
      <c r="B149" s="2575"/>
      <c r="C149" s="2577"/>
      <c r="D149" s="2575"/>
      <c r="E149" s="2575"/>
      <c r="F149" s="2574"/>
      <c r="G149" s="2120"/>
      <c r="H149" s="2120"/>
      <c r="I149" s="2583"/>
      <c r="J149" s="2540"/>
      <c r="K149" s="2540"/>
      <c r="L149" s="2540"/>
      <c r="M149" s="2540"/>
      <c r="N149" s="2540"/>
      <c r="O149" s="2540"/>
      <c r="P149" s="2540"/>
      <c r="Q149" s="2540"/>
      <c r="R149" s="2540"/>
      <c r="S149" s="2540"/>
      <c r="T149" s="2540"/>
    </row>
    <row r="150" customHeight="1" spans="1:20">
      <c r="A150" s="2574"/>
      <c r="B150" s="2575"/>
      <c r="C150" s="2577"/>
      <c r="D150" s="2575"/>
      <c r="E150" s="2575"/>
      <c r="F150" s="2574"/>
      <c r="G150" s="2120"/>
      <c r="H150" s="2120"/>
      <c r="I150" s="2583"/>
      <c r="J150" s="2540"/>
      <c r="K150" s="2540"/>
      <c r="L150" s="2540"/>
      <c r="M150" s="2540"/>
      <c r="N150" s="2540"/>
      <c r="O150" s="2540"/>
      <c r="P150" s="2540"/>
      <c r="Q150" s="2540"/>
      <c r="R150" s="2540"/>
      <c r="S150" s="2540"/>
      <c r="T150" s="2540"/>
    </row>
    <row r="151" customHeight="1" spans="1:20">
      <c r="A151" s="2574"/>
      <c r="B151" s="2575"/>
      <c r="C151" s="2577"/>
      <c r="D151" s="2575"/>
      <c r="E151" s="2575"/>
      <c r="F151" s="2574"/>
      <c r="G151" s="2120"/>
      <c r="H151" s="2120"/>
      <c r="I151" s="2583"/>
      <c r="J151" s="2540"/>
      <c r="K151" s="2540"/>
      <c r="L151" s="2540"/>
      <c r="M151" s="2540"/>
      <c r="N151" s="2540"/>
      <c r="O151" s="2540"/>
      <c r="P151" s="2540"/>
      <c r="Q151" s="2540"/>
      <c r="R151" s="2540"/>
      <c r="S151" s="2540"/>
      <c r="T151" s="2540"/>
    </row>
    <row r="152" customHeight="1" spans="1:20">
      <c r="A152" s="2574"/>
      <c r="B152" s="2575"/>
      <c r="C152" s="2577"/>
      <c r="D152" s="2575"/>
      <c r="E152" s="2575"/>
      <c r="F152" s="2574"/>
      <c r="G152" s="2120"/>
      <c r="H152" s="2120"/>
      <c r="I152" s="2583"/>
      <c r="J152" s="2540"/>
      <c r="K152" s="2540"/>
      <c r="L152" s="2540"/>
      <c r="M152" s="2540"/>
      <c r="N152" s="2540"/>
      <c r="O152" s="2540"/>
      <c r="P152" s="2540"/>
      <c r="Q152" s="2540"/>
      <c r="R152" s="2540"/>
      <c r="S152" s="2540"/>
      <c r="T152" s="2540"/>
    </row>
    <row r="153" customHeight="1" spans="1:20">
      <c r="A153" s="2574"/>
      <c r="B153" s="2575"/>
      <c r="C153" s="2577"/>
      <c r="D153" s="2575"/>
      <c r="E153" s="2575"/>
      <c r="F153" s="2574"/>
      <c r="G153" s="2120"/>
      <c r="H153" s="2120"/>
      <c r="I153" s="2583"/>
      <c r="J153" s="2540"/>
      <c r="K153" s="2540"/>
      <c r="L153" s="2540"/>
      <c r="M153" s="2540"/>
      <c r="N153" s="2540"/>
      <c r="O153" s="2540"/>
      <c r="P153" s="2540"/>
      <c r="Q153" s="2540"/>
      <c r="R153" s="2540"/>
      <c r="S153" s="2540"/>
      <c r="T153" s="2540"/>
    </row>
    <row r="154" hidden="1" customHeight="1" spans="1:20">
      <c r="A154" s="2574"/>
      <c r="B154" s="2575"/>
      <c r="C154" s="2577"/>
      <c r="D154" s="2575"/>
      <c r="E154" s="2575"/>
      <c r="F154" s="2574"/>
      <c r="G154" s="2120"/>
      <c r="H154" s="2120"/>
      <c r="I154" s="2583"/>
      <c r="J154" s="2540"/>
      <c r="K154" s="2540"/>
      <c r="L154" s="2540"/>
      <c r="M154" s="2540"/>
      <c r="N154" s="2540"/>
      <c r="O154" s="2540"/>
      <c r="P154" s="2540"/>
      <c r="Q154" s="2540"/>
      <c r="R154" s="2540"/>
      <c r="S154" s="2540"/>
      <c r="T154" s="2540"/>
    </row>
    <row r="155" spans="1:20">
      <c r="A155" s="2584" t="s">
        <v>1728</v>
      </c>
      <c r="B155" s="2585"/>
      <c r="C155" s="2586"/>
      <c r="D155" s="2585"/>
      <c r="E155" s="2585"/>
      <c r="F155" s="2585"/>
      <c r="G155" s="2585"/>
      <c r="H155" s="2585"/>
      <c r="I155" s="2589"/>
      <c r="J155" s="2540"/>
      <c r="K155" s="2540"/>
      <c r="L155" s="2540"/>
      <c r="M155" s="2540"/>
      <c r="N155" s="2540"/>
      <c r="O155" s="2540"/>
      <c r="P155" s="2540"/>
      <c r="Q155" s="2540"/>
      <c r="R155" s="2540"/>
      <c r="S155" s="2540"/>
      <c r="T155" s="2540"/>
    </row>
    <row r="156" ht="3.75" customHeight="1" spans="1:19">
      <c r="A156" s="2587"/>
      <c r="B156" s="2588"/>
      <c r="C156" s="2588"/>
      <c r="D156" s="2588"/>
      <c r="E156" s="2588"/>
      <c r="F156" s="2588"/>
      <c r="G156" s="2588"/>
      <c r="H156" s="2588"/>
      <c r="I156" s="2588"/>
      <c r="J156" s="2541"/>
      <c r="K156" s="2541"/>
      <c r="L156" s="2541"/>
      <c r="M156" s="2541"/>
      <c r="N156" s="2541"/>
      <c r="O156" s="2541"/>
      <c r="P156" s="2541"/>
      <c r="Q156" s="2541"/>
      <c r="R156" s="2541"/>
      <c r="S156" s="2541"/>
    </row>
    <row r="157" spans="1:20">
      <c r="A157" s="2540"/>
      <c r="B157" s="2540"/>
      <c r="C157" s="2540"/>
      <c r="D157" s="2540"/>
      <c r="E157" s="2540"/>
      <c r="F157" s="2540"/>
      <c r="G157" s="2540"/>
      <c r="H157" s="2540"/>
      <c r="I157" s="2541"/>
      <c r="J157" s="2540"/>
      <c r="K157" s="2540"/>
      <c r="L157" s="2540"/>
      <c r="M157" s="2540"/>
      <c r="N157" s="2540"/>
      <c r="O157" s="2540"/>
      <c r="P157" s="2540"/>
      <c r="Q157" s="2540"/>
      <c r="R157" s="2540"/>
      <c r="S157" s="2540"/>
      <c r="T157" s="2540"/>
    </row>
    <row r="158" spans="1:20">
      <c r="A158" s="2540"/>
      <c r="B158" s="2540"/>
      <c r="C158" s="2540"/>
      <c r="D158" s="2540"/>
      <c r="E158" s="2540"/>
      <c r="F158" s="2540"/>
      <c r="G158" s="2540"/>
      <c r="H158" s="2540"/>
      <c r="I158" s="2541"/>
      <c r="J158" s="2540"/>
      <c r="K158" s="2540"/>
      <c r="L158" s="2540"/>
      <c r="M158" s="2540"/>
      <c r="N158" s="2540"/>
      <c r="O158" s="2540"/>
      <c r="P158" s="2540"/>
      <c r="Q158" s="2540"/>
      <c r="R158" s="2540"/>
      <c r="S158" s="2540"/>
      <c r="T158" s="2540"/>
    </row>
    <row r="159" spans="1:20">
      <c r="A159" s="2540"/>
      <c r="B159" s="2540"/>
      <c r="C159" s="2540"/>
      <c r="D159" s="2540"/>
      <c r="E159" s="2540"/>
      <c r="F159" s="2540"/>
      <c r="G159" s="2540"/>
      <c r="H159" s="2540"/>
      <c r="I159" s="2541"/>
      <c r="J159" s="2540"/>
      <c r="K159" s="2540"/>
      <c r="L159" s="2540"/>
      <c r="M159" s="2540"/>
      <c r="N159" s="2540"/>
      <c r="O159" s="2540"/>
      <c r="P159" s="2540"/>
      <c r="Q159" s="2540"/>
      <c r="R159" s="2540"/>
      <c r="S159" s="2540"/>
      <c r="T159" s="2540"/>
    </row>
    <row r="160" spans="1:20">
      <c r="A160" s="2540"/>
      <c r="B160" s="2540"/>
      <c r="C160" s="2540"/>
      <c r="D160" s="2540"/>
      <c r="E160" s="2540"/>
      <c r="F160" s="2540"/>
      <c r="G160" s="2540"/>
      <c r="H160" s="2540"/>
      <c r="I160" s="2541"/>
      <c r="J160" s="2540"/>
      <c r="K160" s="2540"/>
      <c r="L160" s="2540"/>
      <c r="M160" s="2540"/>
      <c r="N160" s="2540"/>
      <c r="O160" s="2540"/>
      <c r="P160" s="2540"/>
      <c r="Q160" s="2540"/>
      <c r="R160" s="2540"/>
      <c r="S160" s="2540"/>
      <c r="T160" s="2540"/>
    </row>
    <row r="161" spans="1:20">
      <c r="A161" s="2540"/>
      <c r="B161" s="2540"/>
      <c r="C161" s="2540"/>
      <c r="D161" s="2540"/>
      <c r="E161" s="2540"/>
      <c r="F161" s="2540"/>
      <c r="G161" s="2540"/>
      <c r="H161" s="2540"/>
      <c r="I161" s="2541"/>
      <c r="J161" s="2540"/>
      <c r="K161" s="2540"/>
      <c r="L161" s="2540"/>
      <c r="M161" s="2540"/>
      <c r="N161" s="2540"/>
      <c r="O161" s="2540"/>
      <c r="P161" s="2540"/>
      <c r="Q161" s="2540"/>
      <c r="R161" s="2540"/>
      <c r="S161" s="2540"/>
      <c r="T161" s="2540"/>
    </row>
    <row r="162" spans="1:20">
      <c r="A162" s="2540"/>
      <c r="B162" s="2540"/>
      <c r="C162" s="2540"/>
      <c r="D162" s="2540"/>
      <c r="E162" s="2540"/>
      <c r="F162" s="2540"/>
      <c r="G162" s="2540"/>
      <c r="H162" s="2540"/>
      <c r="I162" s="2541"/>
      <c r="J162" s="2540"/>
      <c r="K162" s="2540"/>
      <c r="L162" s="2540"/>
      <c r="M162" s="2540"/>
      <c r="N162" s="2540"/>
      <c r="O162" s="2540"/>
      <c r="P162" s="2540"/>
      <c r="Q162" s="2540"/>
      <c r="R162" s="2540"/>
      <c r="S162" s="2540"/>
      <c r="T162" s="2540"/>
    </row>
    <row r="163" spans="1:20">
      <c r="A163" s="2540"/>
      <c r="B163" s="2540"/>
      <c r="C163" s="2540"/>
      <c r="D163" s="2540"/>
      <c r="E163" s="2540"/>
      <c r="F163" s="2540"/>
      <c r="G163" s="2540"/>
      <c r="H163" s="2540"/>
      <c r="I163" s="2541"/>
      <c r="J163" s="2540"/>
      <c r="K163" s="2540"/>
      <c r="L163" s="2540"/>
      <c r="M163" s="2540"/>
      <c r="N163" s="2540"/>
      <c r="O163" s="2540"/>
      <c r="P163" s="2540"/>
      <c r="Q163" s="2540"/>
      <c r="R163" s="2540"/>
      <c r="S163" s="2540"/>
      <c r="T163" s="2540"/>
    </row>
    <row r="164" spans="1:20">
      <c r="A164" s="2540"/>
      <c r="B164" s="2540"/>
      <c r="C164" s="2540"/>
      <c r="D164" s="2540"/>
      <c r="E164" s="2540"/>
      <c r="F164" s="2540"/>
      <c r="G164" s="2540"/>
      <c r="H164" s="2540"/>
      <c r="I164" s="2541"/>
      <c r="J164" s="2540"/>
      <c r="K164" s="2540"/>
      <c r="L164" s="2540"/>
      <c r="M164" s="2540"/>
      <c r="N164" s="2540"/>
      <c r="O164" s="2540"/>
      <c r="P164" s="2540"/>
      <c r="Q164" s="2540"/>
      <c r="R164" s="2540"/>
      <c r="S164" s="2540"/>
      <c r="T164" s="2540"/>
    </row>
    <row r="165" spans="1:20">
      <c r="A165" s="2540"/>
      <c r="B165" s="2540"/>
      <c r="C165" s="2540"/>
      <c r="D165" s="2540"/>
      <c r="E165" s="2540"/>
      <c r="F165" s="2540"/>
      <c r="G165" s="2540"/>
      <c r="H165" s="2540"/>
      <c r="I165" s="2541"/>
      <c r="J165" s="2540"/>
      <c r="K165" s="2540"/>
      <c r="L165" s="2540"/>
      <c r="M165" s="2540"/>
      <c r="N165" s="2540"/>
      <c r="O165" s="2540"/>
      <c r="P165" s="2540"/>
      <c r="Q165" s="2540"/>
      <c r="R165" s="2540"/>
      <c r="S165" s="2540"/>
      <c r="T165" s="2540"/>
    </row>
    <row r="166" spans="1:20">
      <c r="A166" s="2540"/>
      <c r="B166" s="2540"/>
      <c r="C166" s="2540"/>
      <c r="D166" s="2540"/>
      <c r="E166" s="2540"/>
      <c r="F166" s="2540"/>
      <c r="G166" s="2540"/>
      <c r="H166" s="2540"/>
      <c r="I166" s="2541"/>
      <c r="J166" s="2540"/>
      <c r="K166" s="2540"/>
      <c r="L166" s="2540"/>
      <c r="M166" s="2540"/>
      <c r="N166" s="2540"/>
      <c r="O166" s="2540"/>
      <c r="P166" s="2540"/>
      <c r="Q166" s="2540"/>
      <c r="R166" s="2540"/>
      <c r="S166" s="2540"/>
      <c r="T166" s="2540"/>
    </row>
    <row r="167" spans="1:20">
      <c r="A167" s="2540"/>
      <c r="B167" s="2540"/>
      <c r="C167" s="2540"/>
      <c r="D167" s="2540"/>
      <c r="E167" s="2540"/>
      <c r="F167" s="2540"/>
      <c r="G167" s="2540"/>
      <c r="H167" s="2540"/>
      <c r="I167" s="2541"/>
      <c r="J167" s="2540"/>
      <c r="K167" s="2540"/>
      <c r="L167" s="2540"/>
      <c r="M167" s="2540"/>
      <c r="N167" s="2540"/>
      <c r="O167" s="2540"/>
      <c r="P167" s="2540"/>
      <c r="Q167" s="2540"/>
      <c r="R167" s="2540"/>
      <c r="S167" s="2540"/>
      <c r="T167" s="2540"/>
    </row>
    <row r="168" spans="1:20">
      <c r="A168" s="2540"/>
      <c r="B168" s="2540"/>
      <c r="C168" s="2540"/>
      <c r="D168" s="2540"/>
      <c r="E168" s="2540"/>
      <c r="F168" s="2540"/>
      <c r="G168" s="2540"/>
      <c r="H168" s="2540"/>
      <c r="I168" s="2541"/>
      <c r="J168" s="2540"/>
      <c r="K168" s="2540"/>
      <c r="L168" s="2540"/>
      <c r="M168" s="2540"/>
      <c r="N168" s="2540"/>
      <c r="O168" s="2540"/>
      <c r="P168" s="2540"/>
      <c r="Q168" s="2540"/>
      <c r="R168" s="2540"/>
      <c r="S168" s="2540"/>
      <c r="T168" s="2540"/>
    </row>
    <row r="169" spans="1:20">
      <c r="A169" s="2540"/>
      <c r="B169" s="2540"/>
      <c r="C169" s="2540"/>
      <c r="D169" s="2540"/>
      <c r="E169" s="2540"/>
      <c r="F169" s="2540"/>
      <c r="G169" s="2540"/>
      <c r="H169" s="2540"/>
      <c r="I169" s="2541"/>
      <c r="J169" s="2540"/>
      <c r="K169" s="2540"/>
      <c r="L169" s="2540"/>
      <c r="M169" s="2540"/>
      <c r="N169" s="2540"/>
      <c r="O169" s="2540"/>
      <c r="P169" s="2540"/>
      <c r="Q169" s="2540"/>
      <c r="R169" s="2540"/>
      <c r="S169" s="2540"/>
      <c r="T169" s="2540"/>
    </row>
    <row r="170" spans="1:20">
      <c r="A170" s="2540"/>
      <c r="B170" s="2540"/>
      <c r="C170" s="2540"/>
      <c r="D170" s="2540"/>
      <c r="E170" s="2540"/>
      <c r="F170" s="2540"/>
      <c r="G170" s="2540"/>
      <c r="H170" s="2540"/>
      <c r="I170" s="2541"/>
      <c r="J170" s="2540"/>
      <c r="K170" s="2540"/>
      <c r="L170" s="2540"/>
      <c r="M170" s="2540"/>
      <c r="N170" s="2540"/>
      <c r="O170" s="2540"/>
      <c r="P170" s="2540"/>
      <c r="Q170" s="2540"/>
      <c r="R170" s="2540"/>
      <c r="S170" s="2540"/>
      <c r="T170" s="2540"/>
    </row>
    <row r="171" spans="1:20">
      <c r="A171" s="2540"/>
      <c r="B171" s="2540"/>
      <c r="C171" s="2540"/>
      <c r="D171" s="2540"/>
      <c r="E171" s="2540"/>
      <c r="F171" s="2540"/>
      <c r="G171" s="2540"/>
      <c r="H171" s="2540"/>
      <c r="I171" s="2541"/>
      <c r="J171" s="2540"/>
      <c r="K171" s="2540"/>
      <c r="L171" s="2540"/>
      <c r="M171" s="2540"/>
      <c r="N171" s="2540"/>
      <c r="O171" s="2540"/>
      <c r="P171" s="2540"/>
      <c r="Q171" s="2540"/>
      <c r="R171" s="2540"/>
      <c r="S171" s="2540"/>
      <c r="T171" s="2540"/>
    </row>
    <row r="172" spans="1:20">
      <c r="A172" s="2540"/>
      <c r="B172" s="2540"/>
      <c r="C172" s="2540"/>
      <c r="D172" s="2540"/>
      <c r="E172" s="2540"/>
      <c r="F172" s="2540"/>
      <c r="G172" s="2540"/>
      <c r="H172" s="2540"/>
      <c r="I172" s="2541"/>
      <c r="J172" s="2540"/>
      <c r="K172" s="2540"/>
      <c r="L172" s="2540"/>
      <c r="M172" s="2540"/>
      <c r="N172" s="2540"/>
      <c r="O172" s="2540"/>
      <c r="P172" s="2540"/>
      <c r="Q172" s="2540"/>
      <c r="R172" s="2540"/>
      <c r="S172" s="2540"/>
      <c r="T172" s="2540"/>
    </row>
    <row r="173" spans="1:20">
      <c r="A173" s="2540"/>
      <c r="B173" s="2540"/>
      <c r="C173" s="2540"/>
      <c r="D173" s="2540"/>
      <c r="E173" s="2540"/>
      <c r="F173" s="2540"/>
      <c r="G173" s="2540"/>
      <c r="H173" s="2540"/>
      <c r="I173" s="2541"/>
      <c r="J173" s="2540"/>
      <c r="K173" s="2540"/>
      <c r="L173" s="2540"/>
      <c r="M173" s="2540"/>
      <c r="N173" s="2540"/>
      <c r="O173" s="2540"/>
      <c r="P173" s="2540"/>
      <c r="Q173" s="2540"/>
      <c r="R173" s="2540"/>
      <c r="S173" s="2540"/>
      <c r="T173" s="2540"/>
    </row>
    <row r="174" spans="1:20">
      <c r="A174" s="2540"/>
      <c r="B174" s="2540"/>
      <c r="C174" s="2540"/>
      <c r="D174" s="2540"/>
      <c r="E174" s="2540"/>
      <c r="F174" s="2540"/>
      <c r="G174" s="2540"/>
      <c r="H174" s="2540"/>
      <c r="I174" s="2541"/>
      <c r="J174" s="2540"/>
      <c r="K174" s="2540"/>
      <c r="L174" s="2540"/>
      <c r="M174" s="2540"/>
      <c r="N174" s="2540"/>
      <c r="O174" s="2540"/>
      <c r="P174" s="2540"/>
      <c r="Q174" s="2540"/>
      <c r="R174" s="2540"/>
      <c r="S174" s="2540"/>
      <c r="T174" s="2540"/>
    </row>
    <row r="175" spans="1:20">
      <c r="A175" s="2540"/>
      <c r="B175" s="2540"/>
      <c r="C175" s="2540"/>
      <c r="D175" s="2540"/>
      <c r="E175" s="2540"/>
      <c r="F175" s="2540"/>
      <c r="G175" s="2540"/>
      <c r="H175" s="2540"/>
      <c r="I175" s="2541"/>
      <c r="J175" s="2540"/>
      <c r="K175" s="2540"/>
      <c r="L175" s="2540"/>
      <c r="M175" s="2540"/>
      <c r="N175" s="2540"/>
      <c r="O175" s="2540"/>
      <c r="P175" s="2540"/>
      <c r="Q175" s="2540"/>
      <c r="R175" s="2540"/>
      <c r="S175" s="2540"/>
      <c r="T175" s="2540"/>
    </row>
    <row r="176" spans="1:20">
      <c r="A176" s="2540"/>
      <c r="B176" s="2540"/>
      <c r="C176" s="2540"/>
      <c r="D176" s="2540"/>
      <c r="E176" s="2540"/>
      <c r="F176" s="2540"/>
      <c r="G176" s="2540"/>
      <c r="H176" s="2540"/>
      <c r="I176" s="2541"/>
      <c r="J176" s="2540"/>
      <c r="K176" s="2540"/>
      <c r="L176" s="2540"/>
      <c r="M176" s="2540"/>
      <c r="N176" s="2540"/>
      <c r="O176" s="2540"/>
      <c r="P176" s="2540"/>
      <c r="Q176" s="2540"/>
      <c r="R176" s="2540"/>
      <c r="S176" s="2540"/>
      <c r="T176" s="2540"/>
    </row>
    <row r="177" spans="1:20">
      <c r="A177" s="2540"/>
      <c r="B177" s="2540"/>
      <c r="C177" s="2540"/>
      <c r="D177" s="2540"/>
      <c r="E177" s="2540"/>
      <c r="F177" s="2540"/>
      <c r="G177" s="2540"/>
      <c r="H177" s="2540"/>
      <c r="I177" s="2541"/>
      <c r="J177" s="2540"/>
      <c r="K177" s="2540"/>
      <c r="L177" s="2540"/>
      <c r="M177" s="2540"/>
      <c r="N177" s="2540"/>
      <c r="O177" s="2540"/>
      <c r="P177" s="2540"/>
      <c r="Q177" s="2540"/>
      <c r="R177" s="2540"/>
      <c r="S177" s="2540"/>
      <c r="T177" s="2540"/>
    </row>
    <row r="178" spans="1:20">
      <c r="A178" s="2540"/>
      <c r="B178" s="2540"/>
      <c r="C178" s="2540"/>
      <c r="D178" s="2540"/>
      <c r="E178" s="2540"/>
      <c r="F178" s="2540"/>
      <c r="G178" s="2540"/>
      <c r="H178" s="2540"/>
      <c r="I178" s="2541"/>
      <c r="J178" s="2540"/>
      <c r="K178" s="2540"/>
      <c r="L178" s="2540"/>
      <c r="M178" s="2540"/>
      <c r="N178" s="2540"/>
      <c r="O178" s="2540"/>
      <c r="P178" s="2540"/>
      <c r="Q178" s="2540"/>
      <c r="R178" s="2540"/>
      <c r="S178" s="2540"/>
      <c r="T178" s="2540"/>
    </row>
    <row r="179" spans="1:20">
      <c r="A179" s="2540"/>
      <c r="B179" s="2540"/>
      <c r="C179" s="2540"/>
      <c r="D179" s="2540"/>
      <c r="E179" s="2540"/>
      <c r="F179" s="2540"/>
      <c r="G179" s="2540"/>
      <c r="H179" s="2540"/>
      <c r="I179" s="2541"/>
      <c r="J179" s="2540"/>
      <c r="K179" s="2540"/>
      <c r="L179" s="2540"/>
      <c r="M179" s="2540"/>
      <c r="N179" s="2540"/>
      <c r="O179" s="2540"/>
      <c r="P179" s="2540"/>
      <c r="Q179" s="2540"/>
      <c r="R179" s="2540"/>
      <c r="S179" s="2540"/>
      <c r="T179" s="2540"/>
    </row>
    <row r="180" spans="1:20">
      <c r="A180" s="2540"/>
      <c r="B180" s="2540"/>
      <c r="C180" s="2540"/>
      <c r="D180" s="2540"/>
      <c r="E180" s="2540"/>
      <c r="F180" s="2540"/>
      <c r="G180" s="2540"/>
      <c r="H180" s="2540"/>
      <c r="I180" s="2541"/>
      <c r="J180" s="2540"/>
      <c r="K180" s="2540"/>
      <c r="L180" s="2540"/>
      <c r="M180" s="2540"/>
      <c r="N180" s="2540"/>
      <c r="O180" s="2540"/>
      <c r="P180" s="2540"/>
      <c r="Q180" s="2540"/>
      <c r="R180" s="2540"/>
      <c r="S180" s="2540"/>
      <c r="T180" s="2540"/>
    </row>
    <row r="181" spans="1:20">
      <c r="A181" s="2540"/>
      <c r="B181" s="2540"/>
      <c r="C181" s="2540"/>
      <c r="D181" s="2540"/>
      <c r="E181" s="2540"/>
      <c r="F181" s="2540"/>
      <c r="G181" s="2540"/>
      <c r="H181" s="2540"/>
      <c r="I181" s="2541"/>
      <c r="J181" s="2540"/>
      <c r="K181" s="2540"/>
      <c r="L181" s="2540"/>
      <c r="M181" s="2540"/>
      <c r="N181" s="2540"/>
      <c r="O181" s="2540"/>
      <c r="P181" s="2540"/>
      <c r="Q181" s="2540"/>
      <c r="R181" s="2540"/>
      <c r="S181" s="2540"/>
      <c r="T181" s="2540"/>
    </row>
    <row r="182" spans="1:20">
      <c r="A182" s="2540"/>
      <c r="B182" s="2540"/>
      <c r="C182" s="2540"/>
      <c r="D182" s="2540"/>
      <c r="E182" s="2540"/>
      <c r="F182" s="2540"/>
      <c r="G182" s="2540"/>
      <c r="H182" s="2540"/>
      <c r="I182" s="2541"/>
      <c r="J182" s="2540"/>
      <c r="K182" s="2540"/>
      <c r="L182" s="2540"/>
      <c r="M182" s="2540"/>
      <c r="N182" s="2540"/>
      <c r="O182" s="2540"/>
      <c r="P182" s="2540"/>
      <c r="Q182" s="2540"/>
      <c r="R182" s="2540"/>
      <c r="S182" s="2540"/>
      <c r="T182" s="2540"/>
    </row>
    <row r="183" spans="1:20">
      <c r="A183" s="2540"/>
      <c r="B183" s="2540"/>
      <c r="C183" s="2540"/>
      <c r="D183" s="2540"/>
      <c r="E183" s="2540"/>
      <c r="F183" s="2540"/>
      <c r="G183" s="2540"/>
      <c r="H183" s="2540"/>
      <c r="I183" s="2541"/>
      <c r="J183" s="2540"/>
      <c r="K183" s="2540"/>
      <c r="L183" s="2540"/>
      <c r="M183" s="2540"/>
      <c r="N183" s="2540"/>
      <c r="O183" s="2540"/>
      <c r="P183" s="2540"/>
      <c r="Q183" s="2540"/>
      <c r="R183" s="2540"/>
      <c r="S183" s="2540"/>
      <c r="T183" s="2540"/>
    </row>
    <row r="184" spans="1:20">
      <c r="A184" s="2540"/>
      <c r="B184" s="2540"/>
      <c r="C184" s="2540"/>
      <c r="D184" s="2540"/>
      <c r="E184" s="2540"/>
      <c r="F184" s="2540"/>
      <c r="G184" s="2540"/>
      <c r="H184" s="2540"/>
      <c r="I184" s="2541"/>
      <c r="J184" s="2540"/>
      <c r="K184" s="2540"/>
      <c r="L184" s="2540"/>
      <c r="M184" s="2540"/>
      <c r="N184" s="2540"/>
      <c r="O184" s="2540"/>
      <c r="P184" s="2540"/>
      <c r="Q184" s="2540"/>
      <c r="R184" s="2540"/>
      <c r="S184" s="2540"/>
      <c r="T184" s="2540"/>
    </row>
    <row r="185" spans="1:20">
      <c r="A185" s="2540"/>
      <c r="B185" s="2540"/>
      <c r="C185" s="2540"/>
      <c r="D185" s="2540"/>
      <c r="E185" s="2540"/>
      <c r="F185" s="2540"/>
      <c r="G185" s="2540"/>
      <c r="H185" s="2540"/>
      <c r="I185" s="2541"/>
      <c r="J185" s="2540"/>
      <c r="K185" s="2540"/>
      <c r="L185" s="2540"/>
      <c r="M185" s="2540"/>
      <c r="N185" s="2540"/>
      <c r="O185" s="2540"/>
      <c r="P185" s="2540"/>
      <c r="Q185" s="2540"/>
      <c r="R185" s="2540"/>
      <c r="S185" s="2540"/>
      <c r="T185" s="2540"/>
    </row>
    <row r="186" spans="1:20">
      <c r="A186" s="2540"/>
      <c r="B186" s="2540"/>
      <c r="C186" s="2540"/>
      <c r="D186" s="2540"/>
      <c r="E186" s="2540"/>
      <c r="F186" s="2540"/>
      <c r="G186" s="2540"/>
      <c r="H186" s="2540"/>
      <c r="I186" s="2541"/>
      <c r="J186" s="2540"/>
      <c r="K186" s="2540"/>
      <c r="L186" s="2540"/>
      <c r="M186" s="2540"/>
      <c r="N186" s="2540"/>
      <c r="O186" s="2540"/>
      <c r="P186" s="2540"/>
      <c r="Q186" s="2540"/>
      <c r="R186" s="2540"/>
      <c r="S186" s="2540"/>
      <c r="T186" s="2540"/>
    </row>
    <row r="187" spans="1:20">
      <c r="A187" s="2540"/>
      <c r="B187" s="2540"/>
      <c r="C187" s="2540"/>
      <c r="D187" s="2540"/>
      <c r="E187" s="2540"/>
      <c r="F187" s="2540"/>
      <c r="G187" s="2540"/>
      <c r="H187" s="2540"/>
      <c r="I187" s="2541"/>
      <c r="J187" s="2540"/>
      <c r="K187" s="2540"/>
      <c r="L187" s="2540"/>
      <c r="M187" s="2540"/>
      <c r="N187" s="2540"/>
      <c r="O187" s="2540"/>
      <c r="P187" s="2540"/>
      <c r="Q187" s="2540"/>
      <c r="R187" s="2540"/>
      <c r="S187" s="2540"/>
      <c r="T187" s="2540"/>
    </row>
    <row r="188" spans="1:20">
      <c r="A188" s="2540"/>
      <c r="B188" s="2540"/>
      <c r="C188" s="2540"/>
      <c r="D188" s="2540"/>
      <c r="E188" s="2540"/>
      <c r="F188" s="2540"/>
      <c r="G188" s="2540"/>
      <c r="H188" s="2540"/>
      <c r="I188" s="2541"/>
      <c r="J188" s="2540"/>
      <c r="K188" s="2540"/>
      <c r="L188" s="2540"/>
      <c r="M188" s="2540"/>
      <c r="N188" s="2540"/>
      <c r="O188" s="2540"/>
      <c r="P188" s="2540"/>
      <c r="Q188" s="2540"/>
      <c r="R188" s="2540"/>
      <c r="S188" s="2540"/>
      <c r="T188" s="2540"/>
    </row>
    <row r="189" spans="1:20">
      <c r="A189" s="2540"/>
      <c r="B189" s="2540"/>
      <c r="C189" s="2540"/>
      <c r="D189" s="2540"/>
      <c r="E189" s="2540"/>
      <c r="F189" s="2540"/>
      <c r="G189" s="2540"/>
      <c r="H189" s="2540"/>
      <c r="I189" s="2541"/>
      <c r="J189" s="2540"/>
      <c r="K189" s="2540"/>
      <c r="L189" s="2540"/>
      <c r="M189" s="2540"/>
      <c r="N189" s="2540"/>
      <c r="O189" s="2540"/>
      <c r="P189" s="2540"/>
      <c r="Q189" s="2540"/>
      <c r="R189" s="2540"/>
      <c r="S189" s="2540"/>
      <c r="T189" s="2540"/>
    </row>
    <row r="190" spans="1:20">
      <c r="A190" s="2540"/>
      <c r="B190" s="2540"/>
      <c r="C190" s="2540"/>
      <c r="D190" s="2540"/>
      <c r="E190" s="2540"/>
      <c r="F190" s="2540"/>
      <c r="G190" s="2540"/>
      <c r="H190" s="2540"/>
      <c r="I190" s="2541"/>
      <c r="J190" s="2540"/>
      <c r="K190" s="2540"/>
      <c r="L190" s="2540"/>
      <c r="M190" s="2540"/>
      <c r="N190" s="2540"/>
      <c r="O190" s="2540"/>
      <c r="P190" s="2540"/>
      <c r="Q190" s="2540"/>
      <c r="R190" s="2540"/>
      <c r="S190" s="2540"/>
      <c r="T190" s="2540"/>
    </row>
    <row r="191" spans="1:20">
      <c r="A191" s="2540"/>
      <c r="B191" s="2540"/>
      <c r="C191" s="2540"/>
      <c r="D191" s="2540"/>
      <c r="E191" s="2540"/>
      <c r="F191" s="2540"/>
      <c r="G191" s="2540"/>
      <c r="H191" s="2540"/>
      <c r="I191" s="2541"/>
      <c r="J191" s="2540"/>
      <c r="K191" s="2540"/>
      <c r="L191" s="2540"/>
      <c r="M191" s="2540"/>
      <c r="N191" s="2540"/>
      <c r="O191" s="2540"/>
      <c r="P191" s="2540"/>
      <c r="Q191" s="2540"/>
      <c r="R191" s="2540"/>
      <c r="S191" s="2540"/>
      <c r="T191" s="2540"/>
    </row>
    <row r="192" spans="1:20">
      <c r="A192" s="2540"/>
      <c r="B192" s="2540"/>
      <c r="C192" s="2540"/>
      <c r="D192" s="2540"/>
      <c r="E192" s="2540"/>
      <c r="F192" s="2540"/>
      <c r="G192" s="2540"/>
      <c r="H192" s="2540"/>
      <c r="I192" s="2541"/>
      <c r="J192" s="2540"/>
      <c r="K192" s="2540"/>
      <c r="L192" s="2540"/>
      <c r="M192" s="2540"/>
      <c r="N192" s="2540"/>
      <c r="O192" s="2540"/>
      <c r="P192" s="2540"/>
      <c r="Q192" s="2540"/>
      <c r="R192" s="2540"/>
      <c r="S192" s="2540"/>
      <c r="T192" s="2540"/>
    </row>
    <row r="193" spans="1:20">
      <c r="A193" s="2540"/>
      <c r="B193" s="2540"/>
      <c r="C193" s="2540"/>
      <c r="D193" s="2540"/>
      <c r="E193" s="2540"/>
      <c r="F193" s="2540"/>
      <c r="G193" s="2540"/>
      <c r="H193" s="2540"/>
      <c r="I193" s="2541"/>
      <c r="J193" s="2540"/>
      <c r="K193" s="2540"/>
      <c r="L193" s="2540"/>
      <c r="M193" s="2540"/>
      <c r="N193" s="2540"/>
      <c r="O193" s="2540"/>
      <c r="P193" s="2540"/>
      <c r="Q193" s="2540"/>
      <c r="R193" s="2540"/>
      <c r="S193" s="2540"/>
      <c r="T193" s="2540"/>
    </row>
    <row r="194" spans="1:20">
      <c r="A194" s="2540"/>
      <c r="B194" s="2540"/>
      <c r="C194" s="2540"/>
      <c r="D194" s="2540"/>
      <c r="E194" s="2540"/>
      <c r="F194" s="2540"/>
      <c r="G194" s="2540"/>
      <c r="H194" s="2540"/>
      <c r="I194" s="2541"/>
      <c r="J194" s="2540"/>
      <c r="K194" s="2540"/>
      <c r="L194" s="2540"/>
      <c r="M194" s="2540"/>
      <c r="N194" s="2540"/>
      <c r="O194" s="2540"/>
      <c r="P194" s="2540"/>
      <c r="Q194" s="2540"/>
      <c r="R194" s="2540"/>
      <c r="S194" s="2540"/>
      <c r="T194" s="2540"/>
    </row>
    <row r="195" spans="1:20">
      <c r="A195" s="2540"/>
      <c r="B195" s="2540"/>
      <c r="C195" s="2540"/>
      <c r="D195" s="2540"/>
      <c r="E195" s="2540"/>
      <c r="F195" s="2540"/>
      <c r="G195" s="2540"/>
      <c r="H195" s="2540"/>
      <c r="I195" s="2541"/>
      <c r="J195" s="2540"/>
      <c r="K195" s="2540"/>
      <c r="L195" s="2540"/>
      <c r="M195" s="2540"/>
      <c r="N195" s="2540"/>
      <c r="O195" s="2540"/>
      <c r="P195" s="2540"/>
      <c r="Q195" s="2540"/>
      <c r="R195" s="2540"/>
      <c r="S195" s="2540"/>
      <c r="T195" s="2540"/>
    </row>
    <row r="196" spans="1:20">
      <c r="A196" s="2540"/>
      <c r="B196" s="2540"/>
      <c r="C196" s="2540"/>
      <c r="D196" s="2540"/>
      <c r="E196" s="2540"/>
      <c r="F196" s="2540"/>
      <c r="G196" s="2540"/>
      <c r="H196" s="2540"/>
      <c r="I196" s="2541"/>
      <c r="J196" s="2540"/>
      <c r="K196" s="2540"/>
      <c r="L196" s="2540"/>
      <c r="M196" s="2540"/>
      <c r="N196" s="2540"/>
      <c r="O196" s="2540"/>
      <c r="P196" s="2540"/>
      <c r="Q196" s="2540"/>
      <c r="R196" s="2540"/>
      <c r="S196" s="2540"/>
      <c r="T196" s="2540"/>
    </row>
    <row r="197" spans="1:20">
      <c r="A197" s="2540"/>
      <c r="B197" s="2540"/>
      <c r="C197" s="2540"/>
      <c r="D197" s="2540"/>
      <c r="E197" s="2540"/>
      <c r="F197" s="2540"/>
      <c r="G197" s="2540"/>
      <c r="H197" s="2540"/>
      <c r="I197" s="2541"/>
      <c r="J197" s="2540"/>
      <c r="K197" s="2540"/>
      <c r="L197" s="2540"/>
      <c r="M197" s="2540"/>
      <c r="N197" s="2540"/>
      <c r="O197" s="2540"/>
      <c r="P197" s="2540"/>
      <c r="Q197" s="2540"/>
      <c r="R197" s="2540"/>
      <c r="S197" s="2540"/>
      <c r="T197" s="2540"/>
    </row>
    <row r="198" spans="1:20">
      <c r="A198" s="2540"/>
      <c r="B198" s="2540"/>
      <c r="C198" s="2540"/>
      <c r="D198" s="2540"/>
      <c r="E198" s="2540"/>
      <c r="F198" s="2540"/>
      <c r="G198" s="2540"/>
      <c r="H198" s="2540"/>
      <c r="I198" s="2541"/>
      <c r="J198" s="2540"/>
      <c r="K198" s="2540"/>
      <c r="L198" s="2540"/>
      <c r="M198" s="2540"/>
      <c r="N198" s="2540"/>
      <c r="O198" s="2540"/>
      <c r="P198" s="2540"/>
      <c r="Q198" s="2540"/>
      <c r="R198" s="2540"/>
      <c r="S198" s="2540"/>
      <c r="T198" s="2540"/>
    </row>
    <row r="199" spans="1:20">
      <c r="A199" s="2540"/>
      <c r="B199" s="2540"/>
      <c r="C199" s="2540"/>
      <c r="D199" s="2540"/>
      <c r="E199" s="2540"/>
      <c r="F199" s="2540"/>
      <c r="G199" s="2540"/>
      <c r="H199" s="2540"/>
      <c r="I199" s="2541"/>
      <c r="J199" s="2540"/>
      <c r="K199" s="2540"/>
      <c r="L199" s="2540"/>
      <c r="M199" s="2540"/>
      <c r="N199" s="2540"/>
      <c r="O199" s="2540"/>
      <c r="P199" s="2540"/>
      <c r="Q199" s="2540"/>
      <c r="R199" s="2540"/>
      <c r="S199" s="2540"/>
      <c r="T199" s="2540"/>
    </row>
    <row r="200" spans="1:20">
      <c r="A200" s="2540"/>
      <c r="B200" s="2540"/>
      <c r="C200" s="2540"/>
      <c r="D200" s="2540"/>
      <c r="E200" s="2540"/>
      <c r="F200" s="2540"/>
      <c r="G200" s="2540"/>
      <c r="H200" s="2540"/>
      <c r="I200" s="2541"/>
      <c r="J200" s="2540"/>
      <c r="K200" s="2540"/>
      <c r="L200" s="2540"/>
      <c r="M200" s="2540"/>
      <c r="N200" s="2540"/>
      <c r="O200" s="2540"/>
      <c r="P200" s="2540"/>
      <c r="Q200" s="2540"/>
      <c r="R200" s="2540"/>
      <c r="S200" s="2540"/>
      <c r="T200" s="2540"/>
    </row>
    <row r="201" spans="1:20">
      <c r="A201" s="2540"/>
      <c r="B201" s="2540"/>
      <c r="C201" s="2540"/>
      <c r="D201" s="2540"/>
      <c r="E201" s="2540"/>
      <c r="F201" s="2540"/>
      <c r="G201" s="2540"/>
      <c r="H201" s="2540"/>
      <c r="I201" s="2541"/>
      <c r="J201" s="2540"/>
      <c r="K201" s="2540"/>
      <c r="L201" s="2540"/>
      <c r="M201" s="2540"/>
      <c r="N201" s="2540"/>
      <c r="O201" s="2540"/>
      <c r="P201" s="2540"/>
      <c r="Q201" s="2540"/>
      <c r="R201" s="2540"/>
      <c r="S201" s="2540"/>
      <c r="T201" s="2540"/>
    </row>
    <row r="202" spans="1:20">
      <c r="A202" s="2540"/>
      <c r="B202" s="2540"/>
      <c r="C202" s="2540"/>
      <c r="D202" s="2540"/>
      <c r="E202" s="2540"/>
      <c r="F202" s="2540"/>
      <c r="G202" s="2540"/>
      <c r="H202" s="2540"/>
      <c r="I202" s="2541"/>
      <c r="J202" s="2540"/>
      <c r="K202" s="2540"/>
      <c r="L202" s="2540"/>
      <c r="M202" s="2540"/>
      <c r="N202" s="2540"/>
      <c r="O202" s="2540"/>
      <c r="P202" s="2540"/>
      <c r="Q202" s="2540"/>
      <c r="R202" s="2540"/>
      <c r="S202" s="2540"/>
      <c r="T202" s="2540"/>
    </row>
    <row r="203" spans="1:20">
      <c r="A203" s="2540"/>
      <c r="B203" s="2540"/>
      <c r="C203" s="2540"/>
      <c r="D203" s="2540"/>
      <c r="E203" s="2540"/>
      <c r="F203" s="2540"/>
      <c r="G203" s="2540"/>
      <c r="H203" s="2540"/>
      <c r="I203" s="2541"/>
      <c r="J203" s="2540"/>
      <c r="K203" s="2540"/>
      <c r="L203" s="2540"/>
      <c r="M203" s="2540"/>
      <c r="N203" s="2540"/>
      <c r="O203" s="2540"/>
      <c r="P203" s="2540"/>
      <c r="Q203" s="2540"/>
      <c r="R203" s="2540"/>
      <c r="S203" s="2540"/>
      <c r="T203" s="2540"/>
    </row>
    <row r="204" spans="1:20">
      <c r="A204" s="2540"/>
      <c r="B204" s="2540"/>
      <c r="C204" s="2540"/>
      <c r="D204" s="2540"/>
      <c r="E204" s="2540"/>
      <c r="F204" s="2540"/>
      <c r="G204" s="2540"/>
      <c r="H204" s="2540"/>
      <c r="I204" s="2541"/>
      <c r="J204" s="2540"/>
      <c r="K204" s="2540"/>
      <c r="L204" s="2540"/>
      <c r="M204" s="2540"/>
      <c r="N204" s="2540"/>
      <c r="O204" s="2540"/>
      <c r="P204" s="2540"/>
      <c r="Q204" s="2540"/>
      <c r="R204" s="2540"/>
      <c r="S204" s="2540"/>
      <c r="T204" s="2540"/>
    </row>
    <row r="205" spans="1:20">
      <c r="A205" s="2540"/>
      <c r="B205" s="2540"/>
      <c r="C205" s="2540"/>
      <c r="D205" s="2540"/>
      <c r="E205" s="2540"/>
      <c r="F205" s="2540"/>
      <c r="G205" s="2540"/>
      <c r="H205" s="2540"/>
      <c r="I205" s="2541"/>
      <c r="J205" s="2540"/>
      <c r="K205" s="2540"/>
      <c r="L205" s="2540"/>
      <c r="M205" s="2540"/>
      <c r="N205" s="2540"/>
      <c r="O205" s="2540"/>
      <c r="P205" s="2540"/>
      <c r="Q205" s="2540"/>
      <c r="R205" s="2540"/>
      <c r="S205" s="2540"/>
      <c r="T205" s="2540"/>
    </row>
    <row r="206" spans="1:20">
      <c r="A206" s="2540"/>
      <c r="B206" s="2540"/>
      <c r="C206" s="2540"/>
      <c r="D206" s="2540"/>
      <c r="E206" s="2540"/>
      <c r="F206" s="2540"/>
      <c r="G206" s="2540"/>
      <c r="H206" s="2540"/>
      <c r="I206" s="2541"/>
      <c r="J206" s="2540"/>
      <c r="K206" s="2540"/>
      <c r="L206" s="2540"/>
      <c r="M206" s="2540"/>
      <c r="N206" s="2540"/>
      <c r="O206" s="2540"/>
      <c r="P206" s="2540"/>
      <c r="Q206" s="2540"/>
      <c r="R206" s="2540"/>
      <c r="S206" s="2540"/>
      <c r="T206" s="2540"/>
    </row>
    <row r="207" spans="1:20">
      <c r="A207" s="2540"/>
      <c r="B207" s="2540"/>
      <c r="C207" s="2540"/>
      <c r="D207" s="2540"/>
      <c r="E207" s="2540"/>
      <c r="F207" s="2540"/>
      <c r="G207" s="2540"/>
      <c r="H207" s="2540"/>
      <c r="I207" s="2541"/>
      <c r="J207" s="2540"/>
      <c r="K207" s="2540"/>
      <c r="L207" s="2540"/>
      <c r="M207" s="2540"/>
      <c r="N207" s="2540"/>
      <c r="O207" s="2540"/>
      <c r="P207" s="2540"/>
      <c r="Q207" s="2540"/>
      <c r="R207" s="2540"/>
      <c r="S207" s="2540"/>
      <c r="T207" s="2540"/>
    </row>
    <row r="208" spans="1:20">
      <c r="A208" s="2540"/>
      <c r="B208" s="2540"/>
      <c r="C208" s="2540"/>
      <c r="D208" s="2540"/>
      <c r="E208" s="2540"/>
      <c r="F208" s="2540"/>
      <c r="G208" s="2540"/>
      <c r="H208" s="2540"/>
      <c r="I208" s="2541"/>
      <c r="J208" s="2540"/>
      <c r="K208" s="2540"/>
      <c r="L208" s="2540"/>
      <c r="M208" s="2540"/>
      <c r="N208" s="2540"/>
      <c r="O208" s="2540"/>
      <c r="P208" s="2540"/>
      <c r="Q208" s="2540"/>
      <c r="R208" s="2540"/>
      <c r="S208" s="2540"/>
      <c r="T208" s="2540"/>
    </row>
    <row r="209" spans="1:20">
      <c r="A209" s="2540"/>
      <c r="B209" s="2540"/>
      <c r="C209" s="2540"/>
      <c r="D209" s="2540"/>
      <c r="E209" s="2540"/>
      <c r="F209" s="2540"/>
      <c r="G209" s="2540"/>
      <c r="H209" s="2540"/>
      <c r="I209" s="2541"/>
      <c r="J209" s="2540"/>
      <c r="K209" s="2540"/>
      <c r="L209" s="2540"/>
      <c r="M209" s="2540"/>
      <c r="N209" s="2540"/>
      <c r="O209" s="2540"/>
      <c r="P209" s="2540"/>
      <c r="Q209" s="2540"/>
      <c r="R209" s="2540"/>
      <c r="S209" s="2540"/>
      <c r="T209" s="2540"/>
    </row>
    <row r="210" spans="1:20">
      <c r="A210" s="2540"/>
      <c r="B210" s="2540"/>
      <c r="C210" s="2540"/>
      <c r="D210" s="2540"/>
      <c r="E210" s="2540"/>
      <c r="F210" s="2540"/>
      <c r="G210" s="2540"/>
      <c r="H210" s="2540"/>
      <c r="I210" s="2541"/>
      <c r="J210" s="2540"/>
      <c r="K210" s="2540"/>
      <c r="L210" s="2540"/>
      <c r="M210" s="2540"/>
      <c r="N210" s="2540"/>
      <c r="O210" s="2540"/>
      <c r="P210" s="2540"/>
      <c r="Q210" s="2540"/>
      <c r="R210" s="2540"/>
      <c r="S210" s="2540"/>
      <c r="T210" s="2540"/>
    </row>
    <row r="211" spans="1:20">
      <c r="A211" s="2540"/>
      <c r="B211" s="2540"/>
      <c r="C211" s="2540"/>
      <c r="D211" s="2540"/>
      <c r="E211" s="2540"/>
      <c r="F211" s="2540"/>
      <c r="G211" s="2540"/>
      <c r="H211" s="2540"/>
      <c r="I211" s="2541"/>
      <c r="J211" s="2540"/>
      <c r="K211" s="2540"/>
      <c r="L211" s="2540"/>
      <c r="M211" s="2540"/>
      <c r="N211" s="2540"/>
      <c r="O211" s="2540"/>
      <c r="P211" s="2540"/>
      <c r="Q211" s="2540"/>
      <c r="R211" s="2540"/>
      <c r="S211" s="2540"/>
      <c r="T211" s="2540"/>
    </row>
    <row r="212" spans="1:20">
      <c r="A212" s="2540"/>
      <c r="B212" s="2540"/>
      <c r="C212" s="2540"/>
      <c r="D212" s="2540"/>
      <c r="E212" s="2540"/>
      <c r="F212" s="2540"/>
      <c r="G212" s="2540"/>
      <c r="H212" s="2540"/>
      <c r="I212" s="2541"/>
      <c r="J212" s="2540"/>
      <c r="K212" s="2540"/>
      <c r="L212" s="2540"/>
      <c r="M212" s="2540"/>
      <c r="N212" s="2540"/>
      <c r="O212" s="2540"/>
      <c r="P212" s="2540"/>
      <c r="Q212" s="2540"/>
      <c r="R212" s="2540"/>
      <c r="S212" s="2540"/>
      <c r="T212" s="2540"/>
    </row>
    <row r="213" spans="1:20">
      <c r="A213" s="2540"/>
      <c r="B213" s="2540"/>
      <c r="C213" s="2540"/>
      <c r="D213" s="2540"/>
      <c r="E213" s="2540"/>
      <c r="F213" s="2540"/>
      <c r="G213" s="2540"/>
      <c r="H213" s="2540"/>
      <c r="I213" s="2541"/>
      <c r="J213" s="2540"/>
      <c r="K213" s="2540"/>
      <c r="L213" s="2540"/>
      <c r="M213" s="2540"/>
      <c r="N213" s="2540"/>
      <c r="O213" s="2540"/>
      <c r="P213" s="2540"/>
      <c r="Q213" s="2540"/>
      <c r="R213" s="2540"/>
      <c r="S213" s="2540"/>
      <c r="T213" s="2540"/>
    </row>
    <row r="214" spans="1:20">
      <c r="A214" s="2540"/>
      <c r="B214" s="2540"/>
      <c r="C214" s="2540"/>
      <c r="D214" s="2540"/>
      <c r="E214" s="2540"/>
      <c r="F214" s="2540"/>
      <c r="G214" s="2540"/>
      <c r="H214" s="2540"/>
      <c r="I214" s="2541"/>
      <c r="J214" s="2540"/>
      <c r="K214" s="2540"/>
      <c r="L214" s="2540"/>
      <c r="M214" s="2540"/>
      <c r="N214" s="2540"/>
      <c r="O214" s="2540"/>
      <c r="P214" s="2540"/>
      <c r="Q214" s="2540"/>
      <c r="R214" s="2540"/>
      <c r="S214" s="2540"/>
      <c r="T214" s="2540"/>
    </row>
    <row r="215" spans="1:20">
      <c r="A215" s="2540"/>
      <c r="B215" s="2540"/>
      <c r="C215" s="2540"/>
      <c r="D215" s="2540"/>
      <c r="E215" s="2540"/>
      <c r="F215" s="2540"/>
      <c r="G215" s="2540"/>
      <c r="H215" s="2540"/>
      <c r="I215" s="2541"/>
      <c r="J215" s="2540"/>
      <c r="K215" s="2540"/>
      <c r="L215" s="2540"/>
      <c r="M215" s="2540"/>
      <c r="N215" s="2540"/>
      <c r="O215" s="2540"/>
      <c r="P215" s="2540"/>
      <c r="Q215" s="2540"/>
      <c r="R215" s="2540"/>
      <c r="S215" s="2540"/>
      <c r="T215" s="2540"/>
    </row>
    <row r="216" spans="1:20">
      <c r="A216" s="2540"/>
      <c r="B216" s="2540"/>
      <c r="C216" s="2540"/>
      <c r="D216" s="2540"/>
      <c r="E216" s="2540"/>
      <c r="F216" s="2540"/>
      <c r="G216" s="2540"/>
      <c r="H216" s="2540"/>
      <c r="I216" s="2541"/>
      <c r="J216" s="2540"/>
      <c r="K216" s="2540"/>
      <c r="L216" s="2540"/>
      <c r="M216" s="2540"/>
      <c r="N216" s="2540"/>
      <c r="O216" s="2540"/>
      <c r="P216" s="2540"/>
      <c r="Q216" s="2540"/>
      <c r="R216" s="2540"/>
      <c r="S216" s="2540"/>
      <c r="T216" s="2540"/>
    </row>
    <row r="217" spans="1:20">
      <c r="A217" s="2540"/>
      <c r="B217" s="2540"/>
      <c r="C217" s="2540"/>
      <c r="D217" s="2540"/>
      <c r="E217" s="2540"/>
      <c r="F217" s="2540"/>
      <c r="G217" s="2540"/>
      <c r="H217" s="2540"/>
      <c r="I217" s="2541"/>
      <c r="J217" s="2540"/>
      <c r="K217" s="2540"/>
      <c r="L217" s="2540"/>
      <c r="M217" s="2540"/>
      <c r="N217" s="2540"/>
      <c r="O217" s="2540"/>
      <c r="P217" s="2540"/>
      <c r="Q217" s="2540"/>
      <c r="R217" s="2540"/>
      <c r="S217" s="2540"/>
      <c r="T217" s="2540"/>
    </row>
    <row r="218" spans="1:20">
      <c r="A218" s="2540"/>
      <c r="B218" s="2540"/>
      <c r="C218" s="2540"/>
      <c r="D218" s="2540"/>
      <c r="E218" s="2540"/>
      <c r="F218" s="2540"/>
      <c r="G218" s="2540"/>
      <c r="H218" s="2540"/>
      <c r="I218" s="2541"/>
      <c r="J218" s="2540"/>
      <c r="K218" s="2540"/>
      <c r="L218" s="2540"/>
      <c r="M218" s="2540"/>
      <c r="N218" s="2540"/>
      <c r="O218" s="2540"/>
      <c r="P218" s="2540"/>
      <c r="Q218" s="2540"/>
      <c r="R218" s="2540"/>
      <c r="S218" s="2540"/>
      <c r="T218" s="2540"/>
    </row>
    <row r="219" spans="1:20">
      <c r="A219" s="2540"/>
      <c r="B219" s="2540"/>
      <c r="C219" s="2540"/>
      <c r="D219" s="2540"/>
      <c r="E219" s="2540"/>
      <c r="F219" s="2540"/>
      <c r="G219" s="2540"/>
      <c r="H219" s="2540"/>
      <c r="I219" s="2541"/>
      <c r="J219" s="2540"/>
      <c r="K219" s="2540"/>
      <c r="L219" s="2540"/>
      <c r="M219" s="2540"/>
      <c r="N219" s="2540"/>
      <c r="O219" s="2540"/>
      <c r="P219" s="2540"/>
      <c r="Q219" s="2540"/>
      <c r="R219" s="2540"/>
      <c r="S219" s="2540"/>
      <c r="T219" s="2540"/>
    </row>
    <row r="220" spans="1:20">
      <c r="A220" s="2540"/>
      <c r="B220" s="2540"/>
      <c r="C220" s="2540"/>
      <c r="D220" s="2540"/>
      <c r="E220" s="2540"/>
      <c r="F220" s="2540"/>
      <c r="G220" s="2540"/>
      <c r="H220" s="2540"/>
      <c r="I220" s="2541"/>
      <c r="J220" s="2540"/>
      <c r="K220" s="2540"/>
      <c r="L220" s="2540"/>
      <c r="M220" s="2540"/>
      <c r="N220" s="2540"/>
      <c r="O220" s="2540"/>
      <c r="P220" s="2540"/>
      <c r="Q220" s="2540"/>
      <c r="R220" s="2540"/>
      <c r="S220" s="2540"/>
      <c r="T220" s="2540"/>
    </row>
    <row r="221" spans="1:20">
      <c r="A221" s="2540"/>
      <c r="B221" s="2540"/>
      <c r="C221" s="2540"/>
      <c r="D221" s="2540"/>
      <c r="E221" s="2540"/>
      <c r="F221" s="2540"/>
      <c r="G221" s="2540"/>
      <c r="H221" s="2540"/>
      <c r="I221" s="2541"/>
      <c r="J221" s="2540"/>
      <c r="K221" s="2540"/>
      <c r="L221" s="2540"/>
      <c r="M221" s="2540"/>
      <c r="N221" s="2540"/>
      <c r="O221" s="2540"/>
      <c r="P221" s="2540"/>
      <c r="Q221" s="2540"/>
      <c r="R221" s="2540"/>
      <c r="S221" s="2540"/>
      <c r="T221" s="2540"/>
    </row>
    <row r="222" spans="1:20">
      <c r="A222" s="2540"/>
      <c r="B222" s="2540"/>
      <c r="C222" s="2540"/>
      <c r="D222" s="2540"/>
      <c r="E222" s="2540"/>
      <c r="F222" s="2540"/>
      <c r="G222" s="2540"/>
      <c r="H222" s="2540"/>
      <c r="I222" s="2541"/>
      <c r="J222" s="2540"/>
      <c r="K222" s="2540"/>
      <c r="L222" s="2540"/>
      <c r="M222" s="2540"/>
      <c r="N222" s="2540"/>
      <c r="O222" s="2540"/>
      <c r="P222" s="2540"/>
      <c r="Q222" s="2540"/>
      <c r="R222" s="2540"/>
      <c r="S222" s="2540"/>
      <c r="T222" s="2540"/>
    </row>
    <row r="223" spans="1:20">
      <c r="A223" s="2540"/>
      <c r="B223" s="2540"/>
      <c r="C223" s="2540"/>
      <c r="D223" s="2540"/>
      <c r="E223" s="2540"/>
      <c r="F223" s="2540"/>
      <c r="G223" s="2540"/>
      <c r="H223" s="2540"/>
      <c r="I223" s="2541"/>
      <c r="J223" s="2540"/>
      <c r="K223" s="2540"/>
      <c r="L223" s="2540"/>
      <c r="M223" s="2540"/>
      <c r="N223" s="2540"/>
      <c r="O223" s="2540"/>
      <c r="P223" s="2540"/>
      <c r="Q223" s="2540"/>
      <c r="R223" s="2540"/>
      <c r="S223" s="2540"/>
      <c r="T223" s="2540"/>
    </row>
    <row r="224" spans="1:20">
      <c r="A224" s="2540"/>
      <c r="B224" s="2540"/>
      <c r="C224" s="2540"/>
      <c r="D224" s="2540"/>
      <c r="E224" s="2540"/>
      <c r="F224" s="2540"/>
      <c r="G224" s="2540"/>
      <c r="H224" s="2540"/>
      <c r="I224" s="2541"/>
      <c r="J224" s="2540"/>
      <c r="K224" s="2540"/>
      <c r="L224" s="2540"/>
      <c r="M224" s="2540"/>
      <c r="N224" s="2540"/>
      <c r="O224" s="2540"/>
      <c r="P224" s="2540"/>
      <c r="Q224" s="2540"/>
      <c r="R224" s="2540"/>
      <c r="S224" s="2540"/>
      <c r="T224" s="2540"/>
    </row>
    <row r="225" spans="1:20">
      <c r="A225" s="2540"/>
      <c r="B225" s="2540"/>
      <c r="C225" s="2540"/>
      <c r="D225" s="2540"/>
      <c r="E225" s="2540"/>
      <c r="F225" s="2540"/>
      <c r="G225" s="2540"/>
      <c r="H225" s="2540"/>
      <c r="I225" s="2541"/>
      <c r="J225" s="2540"/>
      <c r="K225" s="2540"/>
      <c r="L225" s="2540"/>
      <c r="M225" s="2540"/>
      <c r="N225" s="2540"/>
      <c r="O225" s="2540"/>
      <c r="P225" s="2540"/>
      <c r="Q225" s="2540"/>
      <c r="R225" s="2540"/>
      <c r="S225" s="2540"/>
      <c r="T225" s="2540"/>
    </row>
    <row r="226" spans="1:20">
      <c r="A226" s="2540"/>
      <c r="B226" s="2540"/>
      <c r="C226" s="2540"/>
      <c r="D226" s="2540"/>
      <c r="E226" s="2540"/>
      <c r="F226" s="2540"/>
      <c r="G226" s="2540"/>
      <c r="H226" s="2540"/>
      <c r="I226" s="2541"/>
      <c r="J226" s="2540"/>
      <c r="K226" s="2540"/>
      <c r="L226" s="2540"/>
      <c r="M226" s="2540"/>
      <c r="N226" s="2540"/>
      <c r="O226" s="2540"/>
      <c r="P226" s="2540"/>
      <c r="Q226" s="2540"/>
      <c r="R226" s="2540"/>
      <c r="S226" s="2540"/>
      <c r="T226" s="2540"/>
    </row>
    <row r="227" spans="1:20">
      <c r="A227" s="2540"/>
      <c r="B227" s="2540"/>
      <c r="C227" s="2540"/>
      <c r="D227" s="2540"/>
      <c r="E227" s="2540"/>
      <c r="F227" s="2540"/>
      <c r="G227" s="2540"/>
      <c r="H227" s="2540"/>
      <c r="I227" s="2541"/>
      <c r="J227" s="2540"/>
      <c r="K227" s="2540"/>
      <c r="L227" s="2540"/>
      <c r="M227" s="2540"/>
      <c r="N227" s="2540"/>
      <c r="O227" s="2540"/>
      <c r="P227" s="2540"/>
      <c r="Q227" s="2540"/>
      <c r="R227" s="2540"/>
      <c r="S227" s="2540"/>
      <c r="T227" s="2540"/>
    </row>
    <row r="228" spans="1:20">
      <c r="A228" s="2540"/>
      <c r="B228" s="2540"/>
      <c r="C228" s="2540"/>
      <c r="D228" s="2540"/>
      <c r="E228" s="2540"/>
      <c r="F228" s="2540"/>
      <c r="G228" s="2540"/>
      <c r="H228" s="2540"/>
      <c r="I228" s="2541"/>
      <c r="J228" s="2540"/>
      <c r="K228" s="2540"/>
      <c r="L228" s="2540"/>
      <c r="M228" s="2540"/>
      <c r="N228" s="2540"/>
      <c r="O228" s="2540"/>
      <c r="P228" s="2540"/>
      <c r="Q228" s="2540"/>
      <c r="R228" s="2540"/>
      <c r="S228" s="2540"/>
      <c r="T228" s="2540"/>
    </row>
    <row r="229" spans="1:20">
      <c r="A229" s="2540"/>
      <c r="B229" s="2540"/>
      <c r="C229" s="2540"/>
      <c r="D229" s="2540"/>
      <c r="E229" s="2540"/>
      <c r="F229" s="2540"/>
      <c r="G229" s="2540"/>
      <c r="H229" s="2540"/>
      <c r="I229" s="2541"/>
      <c r="J229" s="2540"/>
      <c r="K229" s="2540"/>
      <c r="L229" s="2540"/>
      <c r="M229" s="2540"/>
      <c r="N229" s="2540"/>
      <c r="O229" s="2540"/>
      <c r="P229" s="2540"/>
      <c r="Q229" s="2540"/>
      <c r="R229" s="2540"/>
      <c r="S229" s="2540"/>
      <c r="T229" s="2540"/>
    </row>
    <row r="230" spans="1:20">
      <c r="A230" s="2540"/>
      <c r="B230" s="2540"/>
      <c r="C230" s="2540"/>
      <c r="D230" s="2540"/>
      <c r="E230" s="2540"/>
      <c r="F230" s="2540"/>
      <c r="G230" s="2540"/>
      <c r="H230" s="2540"/>
      <c r="I230" s="2541"/>
      <c r="J230" s="2540"/>
      <c r="K230" s="2540"/>
      <c r="L230" s="2540"/>
      <c r="M230" s="2540"/>
      <c r="N230" s="2540"/>
      <c r="O230" s="2540"/>
      <c r="P230" s="2540"/>
      <c r="Q230" s="2540"/>
      <c r="R230" s="2540"/>
      <c r="S230" s="2540"/>
      <c r="T230" s="2540"/>
    </row>
    <row r="231" spans="1:20">
      <c r="A231" s="2540"/>
      <c r="B231" s="2540"/>
      <c r="C231" s="2540"/>
      <c r="D231" s="2540"/>
      <c r="E231" s="2540"/>
      <c r="F231" s="2540"/>
      <c r="G231" s="2540"/>
      <c r="H231" s="2540"/>
      <c r="I231" s="2541"/>
      <c r="J231" s="2540"/>
      <c r="K231" s="2540"/>
      <c r="L231" s="2540"/>
      <c r="M231" s="2540"/>
      <c r="N231" s="2540"/>
      <c r="O231" s="2540"/>
      <c r="P231" s="2540"/>
      <c r="Q231" s="2540"/>
      <c r="R231" s="2540"/>
      <c r="S231" s="2540"/>
      <c r="T231" s="2540"/>
    </row>
    <row r="232" spans="1:20">
      <c r="A232" s="2540"/>
      <c r="B232" s="2540"/>
      <c r="C232" s="2540"/>
      <c r="D232" s="2540"/>
      <c r="E232" s="2540"/>
      <c r="F232" s="2540"/>
      <c r="G232" s="2540"/>
      <c r="H232" s="2540"/>
      <c r="I232" s="2541"/>
      <c r="J232" s="2540"/>
      <c r="K232" s="2540"/>
      <c r="L232" s="2540"/>
      <c r="M232" s="2540"/>
      <c r="N232" s="2540"/>
      <c r="O232" s="2540"/>
      <c r="P232" s="2540"/>
      <c r="Q232" s="2540"/>
      <c r="R232" s="2540"/>
      <c r="S232" s="2540"/>
      <c r="T232" s="2540"/>
    </row>
    <row r="233" spans="1:20">
      <c r="A233" s="2540"/>
      <c r="B233" s="2540"/>
      <c r="C233" s="2540"/>
      <c r="D233" s="2540"/>
      <c r="E233" s="2540"/>
      <c r="F233" s="2540"/>
      <c r="G233" s="2540"/>
      <c r="H233" s="2540"/>
      <c r="I233" s="2541"/>
      <c r="J233" s="2540"/>
      <c r="K233" s="2540"/>
      <c r="L233" s="2540"/>
      <c r="M233" s="2540"/>
      <c r="N233" s="2540"/>
      <c r="O233" s="2540"/>
      <c r="P233" s="2540"/>
      <c r="Q233" s="2540"/>
      <c r="R233" s="2540"/>
      <c r="S233" s="2540"/>
      <c r="T233" s="2540"/>
    </row>
    <row r="234" spans="1:20">
      <c r="A234" s="2540"/>
      <c r="B234" s="2540"/>
      <c r="C234" s="2540"/>
      <c r="D234" s="2540"/>
      <c r="E234" s="2540"/>
      <c r="F234" s="2540"/>
      <c r="G234" s="2540"/>
      <c r="H234" s="2540"/>
      <c r="I234" s="2541"/>
      <c r="J234" s="2540"/>
      <c r="K234" s="2540"/>
      <c r="L234" s="2540"/>
      <c r="M234" s="2540"/>
      <c r="N234" s="2540"/>
      <c r="O234" s="2540"/>
      <c r="P234" s="2540"/>
      <c r="Q234" s="2540"/>
      <c r="R234" s="2540"/>
      <c r="S234" s="2540"/>
      <c r="T234" s="2540"/>
    </row>
    <row r="235" spans="1:20">
      <c r="A235" s="2540"/>
      <c r="B235" s="2540"/>
      <c r="C235" s="2540"/>
      <c r="D235" s="2540"/>
      <c r="E235" s="2540"/>
      <c r="F235" s="2540"/>
      <c r="G235" s="2540"/>
      <c r="H235" s="2540"/>
      <c r="I235" s="2541"/>
      <c r="J235" s="2540"/>
      <c r="K235" s="2540"/>
      <c r="L235" s="2540"/>
      <c r="M235" s="2540"/>
      <c r="N235" s="2540"/>
      <c r="O235" s="2540"/>
      <c r="P235" s="2540"/>
      <c r="Q235" s="2540"/>
      <c r="R235" s="2540"/>
      <c r="S235" s="2540"/>
      <c r="T235" s="2540"/>
    </row>
    <row r="236" spans="1:20">
      <c r="A236" s="2540"/>
      <c r="B236" s="2540"/>
      <c r="C236" s="2540"/>
      <c r="D236" s="2540"/>
      <c r="E236" s="2540"/>
      <c r="F236" s="2540"/>
      <c r="G236" s="2540"/>
      <c r="H236" s="2540"/>
      <c r="I236" s="2541"/>
      <c r="J236" s="2540"/>
      <c r="K236" s="2540"/>
      <c r="L236" s="2540"/>
      <c r="M236" s="2540"/>
      <c r="N236" s="2540"/>
      <c r="O236" s="2540"/>
      <c r="P236" s="2540"/>
      <c r="Q236" s="2540"/>
      <c r="R236" s="2540"/>
      <c r="S236" s="2540"/>
      <c r="T236" s="2540"/>
    </row>
    <row r="237" spans="1:20">
      <c r="A237" s="2540"/>
      <c r="B237" s="2540"/>
      <c r="C237" s="2540"/>
      <c r="D237" s="2540"/>
      <c r="E237" s="2540"/>
      <c r="F237" s="2540"/>
      <c r="G237" s="2540"/>
      <c r="H237" s="2540"/>
      <c r="I237" s="2541"/>
      <c r="J237" s="2540"/>
      <c r="K237" s="2540"/>
      <c r="L237" s="2540"/>
      <c r="M237" s="2540"/>
      <c r="N237" s="2540"/>
      <c r="O237" s="2540"/>
      <c r="P237" s="2540"/>
      <c r="Q237" s="2540"/>
      <c r="R237" s="2540"/>
      <c r="S237" s="2540"/>
      <c r="T237" s="2540"/>
    </row>
    <row r="238" spans="1:20">
      <c r="A238" s="2540"/>
      <c r="B238" s="2540"/>
      <c r="C238" s="2540"/>
      <c r="D238" s="2540"/>
      <c r="E238" s="2540"/>
      <c r="F238" s="2540"/>
      <c r="G238" s="2540"/>
      <c r="H238" s="2540"/>
      <c r="I238" s="2541"/>
      <c r="J238" s="2540"/>
      <c r="K238" s="2540"/>
      <c r="L238" s="2540"/>
      <c r="M238" s="2540"/>
      <c r="N238" s="2540"/>
      <c r="O238" s="2540"/>
      <c r="P238" s="2540"/>
      <c r="Q238" s="2540"/>
      <c r="R238" s="2540"/>
      <c r="S238" s="2540"/>
      <c r="T238" s="2540"/>
    </row>
    <row r="239" spans="1:20">
      <c r="A239" s="2540"/>
      <c r="B239" s="2540"/>
      <c r="C239" s="2540"/>
      <c r="D239" s="2540"/>
      <c r="E239" s="2540"/>
      <c r="F239" s="2540"/>
      <c r="G239" s="2540"/>
      <c r="H239" s="2540"/>
      <c r="I239" s="2541"/>
      <c r="J239" s="2540"/>
      <c r="K239" s="2540"/>
      <c r="L239" s="2540"/>
      <c r="M239" s="2540"/>
      <c r="N239" s="2540"/>
      <c r="O239" s="2540"/>
      <c r="P239" s="2540"/>
      <c r="Q239" s="2540"/>
      <c r="R239" s="2540"/>
      <c r="S239" s="2540"/>
      <c r="T239" s="2540"/>
    </row>
    <row r="240" spans="1:20">
      <c r="A240" s="2540"/>
      <c r="B240" s="2540"/>
      <c r="C240" s="2540"/>
      <c r="D240" s="2540"/>
      <c r="E240" s="2540"/>
      <c r="F240" s="2540"/>
      <c r="G240" s="2540"/>
      <c r="H240" s="2540"/>
      <c r="I240" s="2541"/>
      <c r="J240" s="2540"/>
      <c r="K240" s="2540"/>
      <c r="L240" s="2540"/>
      <c r="M240" s="2540"/>
      <c r="N240" s="2540"/>
      <c r="O240" s="2540"/>
      <c r="P240" s="2540"/>
      <c r="Q240" s="2540"/>
      <c r="R240" s="2540"/>
      <c r="S240" s="2540"/>
      <c r="T240" s="2540"/>
    </row>
    <row r="241" spans="1:20">
      <c r="A241" s="2540"/>
      <c r="B241" s="2540"/>
      <c r="C241" s="2540"/>
      <c r="D241" s="2540"/>
      <c r="E241" s="2540"/>
      <c r="F241" s="2540"/>
      <c r="G241" s="2540"/>
      <c r="H241" s="2540"/>
      <c r="I241" s="2541"/>
      <c r="J241" s="2540"/>
      <c r="K241" s="2540"/>
      <c r="L241" s="2540"/>
      <c r="M241" s="2540"/>
      <c r="N241" s="2540"/>
      <c r="O241" s="2540"/>
      <c r="P241" s="2540"/>
      <c r="Q241" s="2540"/>
      <c r="R241" s="2540"/>
      <c r="S241" s="2540"/>
      <c r="T241" s="2540"/>
    </row>
    <row r="242" spans="1:20">
      <c r="A242" s="2540"/>
      <c r="B242" s="2540"/>
      <c r="C242" s="2540"/>
      <c r="D242" s="2540"/>
      <c r="E242" s="2540"/>
      <c r="F242" s="2540"/>
      <c r="G242" s="2540"/>
      <c r="H242" s="2540"/>
      <c r="I242" s="2541"/>
      <c r="J242" s="2540"/>
      <c r="K242" s="2540"/>
      <c r="L242" s="2540"/>
      <c r="M242" s="2540"/>
      <c r="N242" s="2540"/>
      <c r="O242" s="2540"/>
      <c r="P242" s="2540"/>
      <c r="Q242" s="2540"/>
      <c r="R242" s="2540"/>
      <c r="S242" s="2540"/>
      <c r="T242" s="2540"/>
    </row>
    <row r="243" spans="1:20">
      <c r="A243" s="2540"/>
      <c r="B243" s="2540"/>
      <c r="C243" s="2540"/>
      <c r="D243" s="2540"/>
      <c r="E243" s="2540"/>
      <c r="F243" s="2540"/>
      <c r="G243" s="2540"/>
      <c r="H243" s="2540"/>
      <c r="I243" s="2541"/>
      <c r="J243" s="2540"/>
      <c r="K243" s="2540"/>
      <c r="L243" s="2540"/>
      <c r="M243" s="2540"/>
      <c r="N243" s="2540"/>
      <c r="O243" s="2540"/>
      <c r="P243" s="2540"/>
      <c r="Q243" s="2540"/>
      <c r="R243" s="2540"/>
      <c r="S243" s="2540"/>
      <c r="T243" s="2540"/>
    </row>
    <row r="244" spans="1:20">
      <c r="A244" s="2540"/>
      <c r="B244" s="2540"/>
      <c r="C244" s="2540"/>
      <c r="D244" s="2540"/>
      <c r="E244" s="2540"/>
      <c r="F244" s="2540"/>
      <c r="G244" s="2540"/>
      <c r="H244" s="2540"/>
      <c r="I244" s="2541"/>
      <c r="J244" s="2540"/>
      <c r="K244" s="2540"/>
      <c r="L244" s="2540"/>
      <c r="M244" s="2540"/>
      <c r="N244" s="2540"/>
      <c r="O244" s="2540"/>
      <c r="P244" s="2540"/>
      <c r="Q244" s="2540"/>
      <c r="R244" s="2540"/>
      <c r="S244" s="2540"/>
      <c r="T244" s="2540"/>
    </row>
    <row r="245" spans="1:20">
      <c r="A245" s="2540"/>
      <c r="B245" s="2540"/>
      <c r="C245" s="2540"/>
      <c r="D245" s="2540"/>
      <c r="E245" s="2540"/>
      <c r="F245" s="2540"/>
      <c r="G245" s="2540"/>
      <c r="H245" s="2540"/>
      <c r="I245" s="2541"/>
      <c r="J245" s="2540"/>
      <c r="K245" s="2540"/>
      <c r="L245" s="2540"/>
      <c r="M245" s="2540"/>
      <c r="N245" s="2540"/>
      <c r="O245" s="2540"/>
      <c r="P245" s="2540"/>
      <c r="Q245" s="2540"/>
      <c r="R245" s="2540"/>
      <c r="S245" s="2540"/>
      <c r="T245" s="2540"/>
    </row>
    <row r="246" spans="1:20">
      <c r="A246" s="2540"/>
      <c r="B246" s="2540"/>
      <c r="C246" s="2540"/>
      <c r="D246" s="2540"/>
      <c r="E246" s="2540"/>
      <c r="F246" s="2540"/>
      <c r="G246" s="2540"/>
      <c r="H246" s="2540"/>
      <c r="I246" s="2541"/>
      <c r="J246" s="2540"/>
      <c r="K246" s="2540"/>
      <c r="L246" s="2540"/>
      <c r="M246" s="2540"/>
      <c r="N246" s="2540"/>
      <c r="O246" s="2540"/>
      <c r="P246" s="2540"/>
      <c r="Q246" s="2540"/>
      <c r="R246" s="2540"/>
      <c r="S246" s="2540"/>
      <c r="T246" s="2540"/>
    </row>
    <row r="247" spans="1:20">
      <c r="A247" s="2540"/>
      <c r="B247" s="2540"/>
      <c r="C247" s="2540"/>
      <c r="D247" s="2540"/>
      <c r="E247" s="2540"/>
      <c r="F247" s="2540"/>
      <c r="G247" s="2540"/>
      <c r="H247" s="2540"/>
      <c r="I247" s="2541"/>
      <c r="J247" s="2540"/>
      <c r="K247" s="2540"/>
      <c r="L247" s="2540"/>
      <c r="M247" s="2540"/>
      <c r="N247" s="2540"/>
      <c r="O247" s="2540"/>
      <c r="P247" s="2540"/>
      <c r="Q247" s="2540"/>
      <c r="R247" s="2540"/>
      <c r="S247" s="2540"/>
      <c r="T247" s="2540"/>
    </row>
    <row r="248" spans="1:20">
      <c r="A248" s="2540"/>
      <c r="B248" s="2540"/>
      <c r="C248" s="2540"/>
      <c r="D248" s="2540"/>
      <c r="E248" s="2540"/>
      <c r="F248" s="2540"/>
      <c r="G248" s="2540"/>
      <c r="H248" s="2540"/>
      <c r="I248" s="2541"/>
      <c r="J248" s="2540"/>
      <c r="K248" s="2540"/>
      <c r="L248" s="2540"/>
      <c r="M248" s="2540"/>
      <c r="N248" s="2540"/>
      <c r="O248" s="2540"/>
      <c r="P248" s="2540"/>
      <c r="Q248" s="2540"/>
      <c r="R248" s="2540"/>
      <c r="S248" s="2540"/>
      <c r="T248" s="2540"/>
    </row>
    <row r="249" spans="1:20">
      <c r="A249" s="2540"/>
      <c r="B249" s="2540"/>
      <c r="C249" s="2540"/>
      <c r="D249" s="2540"/>
      <c r="E249" s="2540"/>
      <c r="F249" s="2540"/>
      <c r="G249" s="2540"/>
      <c r="H249" s="2540"/>
      <c r="I249" s="2541"/>
      <c r="J249" s="2540"/>
      <c r="K249" s="2540"/>
      <c r="L249" s="2540"/>
      <c r="M249" s="2540"/>
      <c r="N249" s="2540"/>
      <c r="O249" s="2540"/>
      <c r="P249" s="2540"/>
      <c r="Q249" s="2540"/>
      <c r="R249" s="2540"/>
      <c r="S249" s="2540"/>
      <c r="T249" s="2540"/>
    </row>
    <row r="250" spans="1:20">
      <c r="A250" s="2540"/>
      <c r="B250" s="2540"/>
      <c r="C250" s="2540"/>
      <c r="D250" s="2540"/>
      <c r="E250" s="2540"/>
      <c r="F250" s="2540"/>
      <c r="G250" s="2540"/>
      <c r="H250" s="2540"/>
      <c r="I250" s="2541"/>
      <c r="J250" s="2540"/>
      <c r="K250" s="2540"/>
      <c r="L250" s="2540"/>
      <c r="M250" s="2540"/>
      <c r="N250" s="2540"/>
      <c r="O250" s="2540"/>
      <c r="P250" s="2540"/>
      <c r="Q250" s="2540"/>
      <c r="R250" s="2540"/>
      <c r="S250" s="2540"/>
      <c r="T250" s="2540"/>
    </row>
    <row r="251" spans="1:20">
      <c r="A251" s="2540"/>
      <c r="B251" s="2540"/>
      <c r="C251" s="2540"/>
      <c r="D251" s="2540"/>
      <c r="E251" s="2540"/>
      <c r="F251" s="2540"/>
      <c r="G251" s="2540"/>
      <c r="H251" s="2540"/>
      <c r="I251" s="2541"/>
      <c r="J251" s="2540"/>
      <c r="K251" s="2540"/>
      <c r="L251" s="2540"/>
      <c r="M251" s="2540"/>
      <c r="N251" s="2540"/>
      <c r="O251" s="2540"/>
      <c r="P251" s="2540"/>
      <c r="Q251" s="2540"/>
      <c r="R251" s="2540"/>
      <c r="S251" s="2540"/>
      <c r="T251" s="2540"/>
    </row>
    <row r="252" spans="1:20">
      <c r="A252" s="2540"/>
      <c r="B252" s="2540"/>
      <c r="C252" s="2540"/>
      <c r="D252" s="2540"/>
      <c r="E252" s="2540"/>
      <c r="F252" s="2540"/>
      <c r="G252" s="2540"/>
      <c r="H252" s="2540"/>
      <c r="I252" s="2541"/>
      <c r="J252" s="2540"/>
      <c r="K252" s="2540"/>
      <c r="L252" s="2540"/>
      <c r="M252" s="2540"/>
      <c r="N252" s="2540"/>
      <c r="O252" s="2540"/>
      <c r="P252" s="2540"/>
      <c r="Q252" s="2540"/>
      <c r="R252" s="2540"/>
      <c r="S252" s="2540"/>
      <c r="T252" s="2540"/>
    </row>
    <row r="253" spans="1:20">
      <c r="A253" s="2540"/>
      <c r="B253" s="2540"/>
      <c r="C253" s="2540"/>
      <c r="D253" s="2540"/>
      <c r="E253" s="2540"/>
      <c r="F253" s="2540"/>
      <c r="G253" s="2540"/>
      <c r="H253" s="2540"/>
      <c r="I253" s="2541"/>
      <c r="J253" s="2540"/>
      <c r="K253" s="2540"/>
      <c r="L253" s="2540"/>
      <c r="M253" s="2540"/>
      <c r="N253" s="2540"/>
      <c r="O253" s="2540"/>
      <c r="P253" s="2540"/>
      <c r="Q253" s="2540"/>
      <c r="R253" s="2540"/>
      <c r="S253" s="2540"/>
      <c r="T253" s="2540"/>
    </row>
    <row r="254" spans="1:20">
      <c r="A254" s="2540"/>
      <c r="B254" s="2540"/>
      <c r="C254" s="2540"/>
      <c r="D254" s="2540"/>
      <c r="E254" s="2540"/>
      <c r="F254" s="2540"/>
      <c r="G254" s="2540"/>
      <c r="H254" s="2540"/>
      <c r="I254" s="2541"/>
      <c r="J254" s="2540"/>
      <c r="K254" s="2540"/>
      <c r="L254" s="2540"/>
      <c r="M254" s="2540"/>
      <c r="N254" s="2540"/>
      <c r="O254" s="2540"/>
      <c r="P254" s="2540"/>
      <c r="Q254" s="2540"/>
      <c r="R254" s="2540"/>
      <c r="S254" s="2540"/>
      <c r="T254" s="2540"/>
    </row>
    <row r="255" spans="1:20">
      <c r="A255" s="2540"/>
      <c r="B255" s="2540"/>
      <c r="C255" s="2540"/>
      <c r="D255" s="2540"/>
      <c r="E255" s="2540"/>
      <c r="F255" s="2540"/>
      <c r="G255" s="2540"/>
      <c r="H255" s="2540"/>
      <c r="I255" s="2541"/>
      <c r="J255" s="2540"/>
      <c r="K255" s="2540"/>
      <c r="L255" s="2540"/>
      <c r="M255" s="2540"/>
      <c r="N255" s="2540"/>
      <c r="O255" s="2540"/>
      <c r="P255" s="2540"/>
      <c r="Q255" s="2540"/>
      <c r="R255" s="2540"/>
      <c r="S255" s="2540"/>
      <c r="T255" s="2540"/>
    </row>
    <row r="256" spans="1:20">
      <c r="A256" s="2540"/>
      <c r="B256" s="2540"/>
      <c r="C256" s="2540"/>
      <c r="D256" s="2540"/>
      <c r="E256" s="2540"/>
      <c r="F256" s="2540"/>
      <c r="G256" s="2540"/>
      <c r="H256" s="2540"/>
      <c r="I256" s="2541"/>
      <c r="J256" s="2540"/>
      <c r="K256" s="2540"/>
      <c r="L256" s="2540"/>
      <c r="M256" s="2540"/>
      <c r="N256" s="2540"/>
      <c r="O256" s="2540"/>
      <c r="P256" s="2540"/>
      <c r="Q256" s="2540"/>
      <c r="R256" s="2540"/>
      <c r="S256" s="2540"/>
      <c r="T256" s="2540"/>
    </row>
    <row r="257" spans="1:20">
      <c r="A257" s="2540"/>
      <c r="B257" s="2540"/>
      <c r="C257" s="2540"/>
      <c r="D257" s="2540"/>
      <c r="E257" s="2540"/>
      <c r="F257" s="2540"/>
      <c r="G257" s="2540"/>
      <c r="H257" s="2540"/>
      <c r="I257" s="2541"/>
      <c r="J257" s="2540"/>
      <c r="K257" s="2540"/>
      <c r="L257" s="2540"/>
      <c r="M257" s="2540"/>
      <c r="N257" s="2540"/>
      <c r="O257" s="2540"/>
      <c r="P257" s="2540"/>
      <c r="Q257" s="2540"/>
      <c r="R257" s="2540"/>
      <c r="S257" s="2540"/>
      <c r="T257" s="2540"/>
    </row>
    <row r="258" spans="1:20">
      <c r="A258" s="2540"/>
      <c r="B258" s="2540"/>
      <c r="C258" s="2540"/>
      <c r="D258" s="2540"/>
      <c r="E258" s="2540"/>
      <c r="F258" s="2540"/>
      <c r="G258" s="2540"/>
      <c r="H258" s="2540"/>
      <c r="I258" s="2541"/>
      <c r="J258" s="2540"/>
      <c r="K258" s="2540"/>
      <c r="L258" s="2540"/>
      <c r="M258" s="2540"/>
      <c r="N258" s="2540"/>
      <c r="O258" s="2540"/>
      <c r="P258" s="2540"/>
      <c r="Q258" s="2540"/>
      <c r="R258" s="2540"/>
      <c r="S258" s="2540"/>
      <c r="T258" s="2540"/>
    </row>
    <row r="259" spans="1:20">
      <c r="A259" s="2540"/>
      <c r="B259" s="2540"/>
      <c r="C259" s="2540"/>
      <c r="D259" s="2540"/>
      <c r="E259" s="2540"/>
      <c r="F259" s="2540"/>
      <c r="G259" s="2540"/>
      <c r="H259" s="2540"/>
      <c r="I259" s="2541"/>
      <c r="J259" s="2540"/>
      <c r="K259" s="2540"/>
      <c r="L259" s="2540"/>
      <c r="M259" s="2540"/>
      <c r="N259" s="2540"/>
      <c r="O259" s="2540"/>
      <c r="P259" s="2540"/>
      <c r="Q259" s="2540"/>
      <c r="R259" s="2540"/>
      <c r="S259" s="2540"/>
      <c r="T259" s="2540"/>
    </row>
    <row r="260" spans="1:20">
      <c r="A260" s="2540"/>
      <c r="B260" s="2540"/>
      <c r="C260" s="2540"/>
      <c r="D260" s="2540"/>
      <c r="E260" s="2540"/>
      <c r="F260" s="2540"/>
      <c r="G260" s="2540"/>
      <c r="H260" s="2540"/>
      <c r="I260" s="2541"/>
      <c r="J260" s="2540"/>
      <c r="K260" s="2540"/>
      <c r="L260" s="2540"/>
      <c r="M260" s="2540"/>
      <c r="N260" s="2540"/>
      <c r="O260" s="2540"/>
      <c r="P260" s="2540"/>
      <c r="Q260" s="2540"/>
      <c r="R260" s="2540"/>
      <c r="S260" s="2540"/>
      <c r="T260" s="2540"/>
    </row>
    <row r="261" spans="1:20">
      <c r="A261" s="2540"/>
      <c r="B261" s="2540"/>
      <c r="C261" s="2540"/>
      <c r="D261" s="2540"/>
      <c r="E261" s="2540"/>
      <c r="F261" s="2540"/>
      <c r="G261" s="2540"/>
      <c r="H261" s="2540"/>
      <c r="I261" s="2541"/>
      <c r="J261" s="2540"/>
      <c r="K261" s="2540"/>
      <c r="L261" s="2540"/>
      <c r="M261" s="2540"/>
      <c r="N261" s="2540"/>
      <c r="O261" s="2540"/>
      <c r="P261" s="2540"/>
      <c r="Q261" s="2540"/>
      <c r="R261" s="2540"/>
      <c r="S261" s="2540"/>
      <c r="T261" s="2540"/>
    </row>
    <row r="262" spans="1:20">
      <c r="A262" s="2540"/>
      <c r="B262" s="2540"/>
      <c r="C262" s="2540"/>
      <c r="D262" s="2540"/>
      <c r="E262" s="2540"/>
      <c r="F262" s="2540"/>
      <c r="G262" s="2540"/>
      <c r="H262" s="2540"/>
      <c r="I262" s="2541"/>
      <c r="J262" s="2540"/>
      <c r="K262" s="2540"/>
      <c r="L262" s="2540"/>
      <c r="M262" s="2540"/>
      <c r="N262" s="2540"/>
      <c r="O262" s="2540"/>
      <c r="P262" s="2540"/>
      <c r="Q262" s="2540"/>
      <c r="R262" s="2540"/>
      <c r="S262" s="2540"/>
      <c r="T262" s="2540"/>
    </row>
    <row r="263" spans="1:20">
      <c r="A263" s="2540"/>
      <c r="B263" s="2540"/>
      <c r="C263" s="2540"/>
      <c r="D263" s="2540"/>
      <c r="E263" s="2540"/>
      <c r="F263" s="2540"/>
      <c r="G263" s="2540"/>
      <c r="H263" s="2540"/>
      <c r="I263" s="2541"/>
      <c r="J263" s="2540"/>
      <c r="K263" s="2540"/>
      <c r="L263" s="2540"/>
      <c r="M263" s="2540"/>
      <c r="N263" s="2540"/>
      <c r="O263" s="2540"/>
      <c r="P263" s="2540"/>
      <c r="Q263" s="2540"/>
      <c r="R263" s="2540"/>
      <c r="S263" s="2540"/>
      <c r="T263" s="2540"/>
    </row>
    <row r="264" spans="1:20">
      <c r="A264" s="2540"/>
      <c r="B264" s="2540"/>
      <c r="C264" s="2540"/>
      <c r="D264" s="2540"/>
      <c r="E264" s="2540"/>
      <c r="F264" s="2540"/>
      <c r="G264" s="2540"/>
      <c r="H264" s="2540"/>
      <c r="I264" s="2541"/>
      <c r="J264" s="2540"/>
      <c r="K264" s="2540"/>
      <c r="L264" s="2540"/>
      <c r="M264" s="2540"/>
      <c r="N264" s="2540"/>
      <c r="O264" s="2540"/>
      <c r="P264" s="2540"/>
      <c r="Q264" s="2540"/>
      <c r="R264" s="2540"/>
      <c r="S264" s="2540"/>
      <c r="T264" s="2540"/>
    </row>
    <row r="265" spans="1:20">
      <c r="A265" s="2540"/>
      <c r="B265" s="2540"/>
      <c r="C265" s="2540"/>
      <c r="D265" s="2540"/>
      <c r="E265" s="2540"/>
      <c r="F265" s="2540"/>
      <c r="G265" s="2540"/>
      <c r="H265" s="2540"/>
      <c r="I265" s="2541"/>
      <c r="J265" s="2540"/>
      <c r="K265" s="2540"/>
      <c r="L265" s="2540"/>
      <c r="M265" s="2540"/>
      <c r="N265" s="2540"/>
      <c r="O265" s="2540"/>
      <c r="P265" s="2540"/>
      <c r="Q265" s="2540"/>
      <c r="R265" s="2540"/>
      <c r="S265" s="2540"/>
      <c r="T265" s="2540"/>
    </row>
    <row r="266" spans="1:20">
      <c r="A266" s="2540"/>
      <c r="B266" s="2540"/>
      <c r="C266" s="2540"/>
      <c r="D266" s="2540"/>
      <c r="E266" s="2540"/>
      <c r="F266" s="2540"/>
      <c r="G266" s="2540"/>
      <c r="H266" s="2540"/>
      <c r="I266" s="2541"/>
      <c r="J266" s="2540"/>
      <c r="K266" s="2540"/>
      <c r="L266" s="2540"/>
      <c r="M266" s="2540"/>
      <c r="N266" s="2540"/>
      <c r="O266" s="2540"/>
      <c r="P266" s="2540"/>
      <c r="Q266" s="2540"/>
      <c r="R266" s="2540"/>
      <c r="S266" s="2540"/>
      <c r="T266" s="2540"/>
    </row>
    <row r="267" spans="1:20">
      <c r="A267" s="2540"/>
      <c r="B267" s="2540"/>
      <c r="C267" s="2540"/>
      <c r="D267" s="2540"/>
      <c r="E267" s="2540"/>
      <c r="F267" s="2540"/>
      <c r="G267" s="2540"/>
      <c r="H267" s="2540"/>
      <c r="I267" s="2541"/>
      <c r="J267" s="2540"/>
      <c r="K267" s="2540"/>
      <c r="L267" s="2540"/>
      <c r="M267" s="2540"/>
      <c r="N267" s="2540"/>
      <c r="O267" s="2540"/>
      <c r="P267" s="2540"/>
      <c r="Q267" s="2540"/>
      <c r="R267" s="2540"/>
      <c r="S267" s="2540"/>
      <c r="T267" s="2540"/>
    </row>
    <row r="268" spans="1:20">
      <c r="A268" s="2540"/>
      <c r="B268" s="2540"/>
      <c r="C268" s="2540"/>
      <c r="D268" s="2540"/>
      <c r="E268" s="2540"/>
      <c r="F268" s="2540"/>
      <c r="G268" s="2540"/>
      <c r="H268" s="2540"/>
      <c r="I268" s="2541"/>
      <c r="J268" s="2540"/>
      <c r="K268" s="2540"/>
      <c r="L268" s="2540"/>
      <c r="M268" s="2540"/>
      <c r="N268" s="2540"/>
      <c r="O268" s="2540"/>
      <c r="P268" s="2540"/>
      <c r="Q268" s="2540"/>
      <c r="R268" s="2540"/>
      <c r="S268" s="2540"/>
      <c r="T268" s="2540"/>
    </row>
    <row r="269" spans="1:20">
      <c r="A269" s="2540"/>
      <c r="B269" s="2540"/>
      <c r="C269" s="2540"/>
      <c r="D269" s="2540"/>
      <c r="E269" s="2540"/>
      <c r="F269" s="2540"/>
      <c r="G269" s="2540"/>
      <c r="H269" s="2540"/>
      <c r="I269" s="2541"/>
      <c r="J269" s="2540"/>
      <c r="K269" s="2540"/>
      <c r="L269" s="2540"/>
      <c r="M269" s="2540"/>
      <c r="N269" s="2540"/>
      <c r="O269" s="2540"/>
      <c r="P269" s="2540"/>
      <c r="Q269" s="2540"/>
      <c r="R269" s="2540"/>
      <c r="S269" s="2540"/>
      <c r="T269" s="2540"/>
    </row>
    <row r="270" spans="1:20">
      <c r="A270" s="2540"/>
      <c r="B270" s="2540"/>
      <c r="C270" s="2540"/>
      <c r="D270" s="2540"/>
      <c r="E270" s="2540"/>
      <c r="F270" s="2540"/>
      <c r="G270" s="2540"/>
      <c r="H270" s="2540"/>
      <c r="I270" s="2541"/>
      <c r="J270" s="2540"/>
      <c r="K270" s="2540"/>
      <c r="L270" s="2540"/>
      <c r="M270" s="2540"/>
      <c r="N270" s="2540"/>
      <c r="O270" s="2540"/>
      <c r="P270" s="2540"/>
      <c r="Q270" s="2540"/>
      <c r="R270" s="2540"/>
      <c r="S270" s="2540"/>
      <c r="T270" s="2540"/>
    </row>
    <row r="271" spans="1:20">
      <c r="A271" s="2540"/>
      <c r="B271" s="2540"/>
      <c r="C271" s="2540"/>
      <c r="D271" s="2540"/>
      <c r="E271" s="2540"/>
      <c r="F271" s="2540"/>
      <c r="G271" s="2540"/>
      <c r="H271" s="2540"/>
      <c r="I271" s="2541"/>
      <c r="J271" s="2540"/>
      <c r="K271" s="2540"/>
      <c r="L271" s="2540"/>
      <c r="M271" s="2540"/>
      <c r="N271" s="2540"/>
      <c r="O271" s="2540"/>
      <c r="P271" s="2540"/>
      <c r="Q271" s="2540"/>
      <c r="R271" s="2540"/>
      <c r="S271" s="2540"/>
      <c r="T271" s="2540"/>
    </row>
    <row r="272" spans="1:20">
      <c r="A272" s="2540"/>
      <c r="B272" s="2540"/>
      <c r="C272" s="2540"/>
      <c r="D272" s="2540"/>
      <c r="E272" s="2540"/>
      <c r="F272" s="2540"/>
      <c r="G272" s="2540"/>
      <c r="H272" s="2540"/>
      <c r="I272" s="2541"/>
      <c r="J272" s="2540"/>
      <c r="K272" s="2540"/>
      <c r="L272" s="2540"/>
      <c r="M272" s="2540"/>
      <c r="N272" s="2540"/>
      <c r="O272" s="2540"/>
      <c r="P272" s="2540"/>
      <c r="Q272" s="2540"/>
      <c r="R272" s="2540"/>
      <c r="S272" s="2540"/>
      <c r="T272" s="2540"/>
    </row>
    <row r="273" spans="1:20">
      <c r="A273" s="2540"/>
      <c r="B273" s="2540"/>
      <c r="C273" s="2540"/>
      <c r="D273" s="2540"/>
      <c r="E273" s="2540"/>
      <c r="F273" s="2540"/>
      <c r="G273" s="2540"/>
      <c r="H273" s="2540"/>
      <c r="I273" s="2541"/>
      <c r="J273" s="2540"/>
      <c r="K273" s="2540"/>
      <c r="L273" s="2540"/>
      <c r="M273" s="2540"/>
      <c r="N273" s="2540"/>
      <c r="O273" s="2540"/>
      <c r="P273" s="2540"/>
      <c r="Q273" s="2540"/>
      <c r="R273" s="2540"/>
      <c r="S273" s="2540"/>
      <c r="T273" s="2540"/>
    </row>
    <row r="274" spans="1:20">
      <c r="A274" s="2540"/>
      <c r="B274" s="2540"/>
      <c r="C274" s="2540"/>
      <c r="D274" s="2540"/>
      <c r="E274" s="2540"/>
      <c r="F274" s="2540"/>
      <c r="G274" s="2540"/>
      <c r="H274" s="2540"/>
      <c r="I274" s="2541"/>
      <c r="J274" s="2540"/>
      <c r="K274" s="2540"/>
      <c r="L274" s="2540"/>
      <c r="M274" s="2540"/>
      <c r="N274" s="2540"/>
      <c r="O274" s="2540"/>
      <c r="P274" s="2540"/>
      <c r="Q274" s="2540"/>
      <c r="R274" s="2540"/>
      <c r="S274" s="2540"/>
      <c r="T274" s="2540"/>
    </row>
    <row r="275" spans="1:20">
      <c r="A275" s="2540"/>
      <c r="B275" s="2540"/>
      <c r="C275" s="2540"/>
      <c r="D275" s="2540"/>
      <c r="E275" s="2540"/>
      <c r="F275" s="2540"/>
      <c r="G275" s="2540"/>
      <c r="H275" s="2540"/>
      <c r="I275" s="2541"/>
      <c r="J275" s="2540"/>
      <c r="K275" s="2540"/>
      <c r="L275" s="2540"/>
      <c r="M275" s="2540"/>
      <c r="N275" s="2540"/>
      <c r="O275" s="2540"/>
      <c r="P275" s="2540"/>
      <c r="Q275" s="2540"/>
      <c r="R275" s="2540"/>
      <c r="S275" s="2540"/>
      <c r="T275" s="2540"/>
    </row>
    <row r="276" spans="1:20">
      <c r="A276" s="2540"/>
      <c r="B276" s="2540"/>
      <c r="C276" s="2540"/>
      <c r="D276" s="2540"/>
      <c r="E276" s="2540"/>
      <c r="F276" s="2540"/>
      <c r="G276" s="2540"/>
      <c r="H276" s="2540"/>
      <c r="I276" s="2541"/>
      <c r="J276" s="2540"/>
      <c r="K276" s="2540"/>
      <c r="L276" s="2540"/>
      <c r="M276" s="2540"/>
      <c r="N276" s="2540"/>
      <c r="O276" s="2540"/>
      <c r="P276" s="2540"/>
      <c r="Q276" s="2540"/>
      <c r="R276" s="2540"/>
      <c r="S276" s="2540"/>
      <c r="T276" s="2540"/>
    </row>
    <row r="277" spans="1:20">
      <c r="A277" s="2540"/>
      <c r="B277" s="2540"/>
      <c r="C277" s="2540"/>
      <c r="D277" s="2540"/>
      <c r="E277" s="2540"/>
      <c r="F277" s="2540"/>
      <c r="G277" s="2540"/>
      <c r="H277" s="2540"/>
      <c r="I277" s="2541"/>
      <c r="J277" s="2540"/>
      <c r="K277" s="2540"/>
      <c r="L277" s="2540"/>
      <c r="M277" s="2540"/>
      <c r="N277" s="2540"/>
      <c r="O277" s="2540"/>
      <c r="P277" s="2540"/>
      <c r="Q277" s="2540"/>
      <c r="R277" s="2540"/>
      <c r="S277" s="2540"/>
      <c r="T277" s="2540"/>
    </row>
    <row r="278" spans="1:20">
      <c r="A278" s="2540"/>
      <c r="B278" s="2540"/>
      <c r="C278" s="2540"/>
      <c r="D278" s="2540"/>
      <c r="E278" s="2540"/>
      <c r="F278" s="2540"/>
      <c r="G278" s="2540"/>
      <c r="H278" s="2540"/>
      <c r="I278" s="2541"/>
      <c r="J278" s="2540"/>
      <c r="K278" s="2540"/>
      <c r="L278" s="2540"/>
      <c r="M278" s="2540"/>
      <c r="N278" s="2540"/>
      <c r="O278" s="2540"/>
      <c r="P278" s="2540"/>
      <c r="Q278" s="2540"/>
      <c r="R278" s="2540"/>
      <c r="S278" s="2540"/>
      <c r="T278" s="2540"/>
    </row>
    <row r="279" spans="1:20">
      <c r="A279" s="2540"/>
      <c r="B279" s="2540"/>
      <c r="C279" s="2540"/>
      <c r="D279" s="2540"/>
      <c r="E279" s="2540"/>
      <c r="F279" s="2540"/>
      <c r="G279" s="2540"/>
      <c r="H279" s="2540"/>
      <c r="I279" s="2541"/>
      <c r="J279" s="2540"/>
      <c r="K279" s="2540"/>
      <c r="L279" s="2540"/>
      <c r="M279" s="2540"/>
      <c r="N279" s="2540"/>
      <c r="O279" s="2540"/>
      <c r="P279" s="2540"/>
      <c r="Q279" s="2540"/>
      <c r="R279" s="2540"/>
      <c r="S279" s="2540"/>
      <c r="T279" s="2540"/>
    </row>
    <row r="280" spans="1:20">
      <c r="A280" s="2540"/>
      <c r="B280" s="2540"/>
      <c r="C280" s="2540"/>
      <c r="D280" s="2540"/>
      <c r="E280" s="2540"/>
      <c r="F280" s="2540"/>
      <c r="G280" s="2540"/>
      <c r="H280" s="2540"/>
      <c r="I280" s="2541"/>
      <c r="J280" s="2540"/>
      <c r="K280" s="2540"/>
      <c r="L280" s="2540"/>
      <c r="M280" s="2540"/>
      <c r="N280" s="2540"/>
      <c r="O280" s="2540"/>
      <c r="P280" s="2540"/>
      <c r="Q280" s="2540"/>
      <c r="R280" s="2540"/>
      <c r="S280" s="2540"/>
      <c r="T280" s="2540"/>
    </row>
    <row r="281" spans="1:20">
      <c r="A281" s="2540"/>
      <c r="B281" s="2540"/>
      <c r="C281" s="2540"/>
      <c r="D281" s="2540"/>
      <c r="E281" s="2540"/>
      <c r="F281" s="2540"/>
      <c r="G281" s="2540"/>
      <c r="H281" s="2540"/>
      <c r="I281" s="2541"/>
      <c r="J281" s="2540"/>
      <c r="K281" s="2540"/>
      <c r="L281" s="2540"/>
      <c r="M281" s="2540"/>
      <c r="N281" s="2540"/>
      <c r="O281" s="2540"/>
      <c r="P281" s="2540"/>
      <c r="Q281" s="2540"/>
      <c r="R281" s="2540"/>
      <c r="S281" s="2540"/>
      <c r="T281" s="2540"/>
    </row>
    <row r="282" spans="1:20">
      <c r="A282" s="2540"/>
      <c r="B282" s="2540"/>
      <c r="C282" s="2540"/>
      <c r="D282" s="2540"/>
      <c r="E282" s="2540"/>
      <c r="F282" s="2540"/>
      <c r="G282" s="2540"/>
      <c r="H282" s="2540"/>
      <c r="I282" s="2541"/>
      <c r="J282" s="2540"/>
      <c r="K282" s="2540"/>
      <c r="L282" s="2540"/>
      <c r="M282" s="2540"/>
      <c r="N282" s="2540"/>
      <c r="O282" s="2540"/>
      <c r="P282" s="2540"/>
      <c r="Q282" s="2540"/>
      <c r="R282" s="2540"/>
      <c r="S282" s="2540"/>
      <c r="T282" s="2540"/>
    </row>
    <row r="283" spans="1:20">
      <c r="A283" s="2540"/>
      <c r="B283" s="2540"/>
      <c r="C283" s="2540"/>
      <c r="D283" s="2540"/>
      <c r="E283" s="2540"/>
      <c r="F283" s="2540"/>
      <c r="G283" s="2540"/>
      <c r="H283" s="2540"/>
      <c r="I283" s="2541"/>
      <c r="J283" s="2540"/>
      <c r="K283" s="2540"/>
      <c r="L283" s="2540"/>
      <c r="M283" s="2540"/>
      <c r="N283" s="2540"/>
      <c r="O283" s="2540"/>
      <c r="P283" s="2540"/>
      <c r="Q283" s="2540"/>
      <c r="R283" s="2540"/>
      <c r="S283" s="2540"/>
      <c r="T283" s="2540"/>
    </row>
    <row r="284" spans="1:20">
      <c r="A284" s="2540"/>
      <c r="B284" s="2540"/>
      <c r="C284" s="2540"/>
      <c r="D284" s="2540"/>
      <c r="E284" s="2540"/>
      <c r="F284" s="2540"/>
      <c r="G284" s="2540"/>
      <c r="H284" s="2540"/>
      <c r="I284" s="2541"/>
      <c r="J284" s="2540"/>
      <c r="K284" s="2540"/>
      <c r="L284" s="2540"/>
      <c r="M284" s="2540"/>
      <c r="N284" s="2540"/>
      <c r="O284" s="2540"/>
      <c r="P284" s="2540"/>
      <c r="Q284" s="2540"/>
      <c r="R284" s="2540"/>
      <c r="S284" s="2540"/>
      <c r="T284" s="2540"/>
    </row>
    <row r="285" spans="1:20">
      <c r="A285" s="2540"/>
      <c r="B285" s="2540"/>
      <c r="C285" s="2540"/>
      <c r="D285" s="2540"/>
      <c r="E285" s="2540"/>
      <c r="F285" s="2540"/>
      <c r="G285" s="2540"/>
      <c r="H285" s="2540"/>
      <c r="I285" s="2541"/>
      <c r="J285" s="2540"/>
      <c r="K285" s="2540"/>
      <c r="L285" s="2540"/>
      <c r="M285" s="2540"/>
      <c r="N285" s="2540"/>
      <c r="O285" s="2540"/>
      <c r="P285" s="2540"/>
      <c r="Q285" s="2540"/>
      <c r="R285" s="2540"/>
      <c r="S285" s="2540"/>
      <c r="T285" s="2540"/>
    </row>
    <row r="286" spans="1:20">
      <c r="A286" s="2540"/>
      <c r="B286" s="2540"/>
      <c r="C286" s="2540"/>
      <c r="D286" s="2540"/>
      <c r="E286" s="2540"/>
      <c r="F286" s="2540"/>
      <c r="G286" s="2540"/>
      <c r="H286" s="2540"/>
      <c r="I286" s="2541"/>
      <c r="J286" s="2540"/>
      <c r="K286" s="2540"/>
      <c r="L286" s="2540"/>
      <c r="M286" s="2540"/>
      <c r="N286" s="2540"/>
      <c r="O286" s="2540"/>
      <c r="P286" s="2540"/>
      <c r="Q286" s="2540"/>
      <c r="R286" s="2540"/>
      <c r="S286" s="2540"/>
      <c r="T286" s="2540"/>
    </row>
    <row r="287" spans="1:20">
      <c r="A287" s="2540"/>
      <c r="B287" s="2540"/>
      <c r="C287" s="2540"/>
      <c r="D287" s="2540"/>
      <c r="E287" s="2540"/>
      <c r="F287" s="2540"/>
      <c r="G287" s="2540"/>
      <c r="H287" s="2540"/>
      <c r="I287" s="2541"/>
      <c r="J287" s="2540"/>
      <c r="K287" s="2540"/>
      <c r="L287" s="2540"/>
      <c r="M287" s="2540"/>
      <c r="N287" s="2540"/>
      <c r="O287" s="2540"/>
      <c r="P287" s="2540"/>
      <c r="Q287" s="2540"/>
      <c r="R287" s="2540"/>
      <c r="S287" s="2540"/>
      <c r="T287" s="2540"/>
    </row>
    <row r="288" spans="1:20">
      <c r="A288" s="2540"/>
      <c r="B288" s="2540"/>
      <c r="C288" s="2540"/>
      <c r="D288" s="2540"/>
      <c r="E288" s="2540"/>
      <c r="F288" s="2540"/>
      <c r="G288" s="2540"/>
      <c r="H288" s="2540"/>
      <c r="I288" s="2541"/>
      <c r="J288" s="2540"/>
      <c r="K288" s="2540"/>
      <c r="L288" s="2540"/>
      <c r="M288" s="2540"/>
      <c r="N288" s="2540"/>
      <c r="O288" s="2540"/>
      <c r="P288" s="2540"/>
      <c r="Q288" s="2540"/>
      <c r="R288" s="2540"/>
      <c r="S288" s="2540"/>
      <c r="T288" s="2540"/>
    </row>
    <row r="289" spans="1:20">
      <c r="A289" s="2540"/>
      <c r="B289" s="2540"/>
      <c r="C289" s="2540"/>
      <c r="D289" s="2540"/>
      <c r="E289" s="2540"/>
      <c r="F289" s="2540"/>
      <c r="G289" s="2540"/>
      <c r="H289" s="2540"/>
      <c r="I289" s="2541"/>
      <c r="J289" s="2540"/>
      <c r="K289" s="2540"/>
      <c r="L289" s="2540"/>
      <c r="M289" s="2540"/>
      <c r="N289" s="2540"/>
      <c r="O289" s="2540"/>
      <c r="P289" s="2540"/>
      <c r="Q289" s="2540"/>
      <c r="R289" s="2540"/>
      <c r="S289" s="2540"/>
      <c r="T289" s="2540"/>
    </row>
    <row r="290" spans="1:20">
      <c r="A290" s="2540"/>
      <c r="B290" s="2540"/>
      <c r="C290" s="2540"/>
      <c r="D290" s="2540"/>
      <c r="E290" s="2540"/>
      <c r="F290" s="2540"/>
      <c r="G290" s="2540"/>
      <c r="H290" s="2540"/>
      <c r="I290" s="2541"/>
      <c r="J290" s="2540"/>
      <c r="K290" s="2540"/>
      <c r="L290" s="2540"/>
      <c r="M290" s="2540"/>
      <c r="N290" s="2540"/>
      <c r="O290" s="2540"/>
      <c r="P290" s="2540"/>
      <c r="Q290" s="2540"/>
      <c r="R290" s="2540"/>
      <c r="S290" s="2540"/>
      <c r="T290" s="2540"/>
    </row>
    <row r="291" spans="1:20">
      <c r="A291" s="2540"/>
      <c r="B291" s="2540"/>
      <c r="C291" s="2540"/>
      <c r="D291" s="2540"/>
      <c r="E291" s="2540"/>
      <c r="F291" s="2540"/>
      <c r="G291" s="2540"/>
      <c r="H291" s="2540"/>
      <c r="I291" s="2541"/>
      <c r="J291" s="2540"/>
      <c r="K291" s="2540"/>
      <c r="L291" s="2540"/>
      <c r="M291" s="2540"/>
      <c r="N291" s="2540"/>
      <c r="O291" s="2540"/>
      <c r="P291" s="2540"/>
      <c r="Q291" s="2540"/>
      <c r="R291" s="2540"/>
      <c r="S291" s="2540"/>
      <c r="T291" s="2540"/>
    </row>
    <row r="292" spans="1:20">
      <c r="A292" s="2540"/>
      <c r="B292" s="2540"/>
      <c r="C292" s="2540"/>
      <c r="D292" s="2540"/>
      <c r="E292" s="2540"/>
      <c r="F292" s="2540"/>
      <c r="G292" s="2540"/>
      <c r="H292" s="2540"/>
      <c r="I292" s="2541"/>
      <c r="J292" s="2540"/>
      <c r="K292" s="2540"/>
      <c r="L292" s="2540"/>
      <c r="M292" s="2540"/>
      <c r="N292" s="2540"/>
      <c r="O292" s="2540"/>
      <c r="P292" s="2540"/>
      <c r="Q292" s="2540"/>
      <c r="R292" s="2540"/>
      <c r="S292" s="2540"/>
      <c r="T292" s="2540"/>
    </row>
    <row r="293" spans="1:20">
      <c r="A293" s="2540"/>
      <c r="B293" s="2540"/>
      <c r="C293" s="2540"/>
      <c r="D293" s="2540"/>
      <c r="E293" s="2540"/>
      <c r="F293" s="2540"/>
      <c r="G293" s="2540"/>
      <c r="H293" s="2540"/>
      <c r="I293" s="2541"/>
      <c r="J293" s="2540"/>
      <c r="K293" s="2540"/>
      <c r="L293" s="2540"/>
      <c r="M293" s="2540"/>
      <c r="N293" s="2540"/>
      <c r="O293" s="2540"/>
      <c r="P293" s="2540"/>
      <c r="Q293" s="2540"/>
      <c r="R293" s="2540"/>
      <c r="S293" s="2540"/>
      <c r="T293" s="2540"/>
    </row>
    <row r="294" spans="1:20">
      <c r="A294" s="2540"/>
      <c r="B294" s="2540"/>
      <c r="C294" s="2540"/>
      <c r="D294" s="2540"/>
      <c r="E294" s="2540"/>
      <c r="F294" s="2540"/>
      <c r="G294" s="2540"/>
      <c r="H294" s="2540"/>
      <c r="I294" s="2541"/>
      <c r="J294" s="2540"/>
      <c r="K294" s="2540"/>
      <c r="L294" s="2540"/>
      <c r="M294" s="2540"/>
      <c r="N294" s="2540"/>
      <c r="O294" s="2540"/>
      <c r="P294" s="2540"/>
      <c r="Q294" s="2540"/>
      <c r="R294" s="2540"/>
      <c r="S294" s="2540"/>
      <c r="T294" s="2540"/>
    </row>
    <row r="295" spans="1:20">
      <c r="A295" s="2540"/>
      <c r="B295" s="2540"/>
      <c r="C295" s="2540"/>
      <c r="D295" s="2540"/>
      <c r="E295" s="2540"/>
      <c r="F295" s="2540"/>
      <c r="G295" s="2540"/>
      <c r="H295" s="2540"/>
      <c r="I295" s="2541"/>
      <c r="J295" s="2540"/>
      <c r="K295" s="2540"/>
      <c r="L295" s="2540"/>
      <c r="M295" s="2540"/>
      <c r="N295" s="2540"/>
      <c r="O295" s="2540"/>
      <c r="P295" s="2540"/>
      <c r="Q295" s="2540"/>
      <c r="R295" s="2540"/>
      <c r="S295" s="2540"/>
      <c r="T295" s="2540"/>
    </row>
    <row r="296" spans="1:20">
      <c r="A296" s="2540"/>
      <c r="B296" s="2540"/>
      <c r="C296" s="2540"/>
      <c r="D296" s="2540"/>
      <c r="E296" s="2540"/>
      <c r="F296" s="2540"/>
      <c r="G296" s="2540"/>
      <c r="H296" s="2540"/>
      <c r="I296" s="2541"/>
      <c r="J296" s="2540"/>
      <c r="K296" s="2540"/>
      <c r="L296" s="2540"/>
      <c r="M296" s="2540"/>
      <c r="N296" s="2540"/>
      <c r="O296" s="2540"/>
      <c r="P296" s="2540"/>
      <c r="Q296" s="2540"/>
      <c r="R296" s="2540"/>
      <c r="S296" s="2540"/>
      <c r="T296" s="2540"/>
    </row>
    <row r="297" spans="1:20">
      <c r="A297" s="2540"/>
      <c r="B297" s="2540"/>
      <c r="C297" s="2540"/>
      <c r="D297" s="2540"/>
      <c r="E297" s="2540"/>
      <c r="F297" s="2540"/>
      <c r="G297" s="2540"/>
      <c r="H297" s="2540"/>
      <c r="I297" s="2541"/>
      <c r="J297" s="2540"/>
      <c r="K297" s="2540"/>
      <c r="L297" s="2540"/>
      <c r="M297" s="2540"/>
      <c r="N297" s="2540"/>
      <c r="O297" s="2540"/>
      <c r="P297" s="2540"/>
      <c r="Q297" s="2540"/>
      <c r="R297" s="2540"/>
      <c r="S297" s="2540"/>
      <c r="T297" s="2540"/>
    </row>
    <row r="298" spans="1:20">
      <c r="A298" s="2540"/>
      <c r="B298" s="2540"/>
      <c r="C298" s="2540"/>
      <c r="D298" s="2540"/>
      <c r="E298" s="2540"/>
      <c r="F298" s="2540"/>
      <c r="G298" s="2540"/>
      <c r="H298" s="2540"/>
      <c r="I298" s="2541"/>
      <c r="J298" s="2540"/>
      <c r="K298" s="2540"/>
      <c r="L298" s="2540"/>
      <c r="M298" s="2540"/>
      <c r="N298" s="2540"/>
      <c r="O298" s="2540"/>
      <c r="P298" s="2540"/>
      <c r="Q298" s="2540"/>
      <c r="R298" s="2540"/>
      <c r="S298" s="2540"/>
      <c r="T298" s="2540"/>
    </row>
    <row r="299" spans="1:20">
      <c r="A299" s="2540"/>
      <c r="B299" s="2540"/>
      <c r="C299" s="2540"/>
      <c r="D299" s="2540"/>
      <c r="E299" s="2540"/>
      <c r="F299" s="2540"/>
      <c r="G299" s="2540"/>
      <c r="H299" s="2540"/>
      <c r="I299" s="2541"/>
      <c r="J299" s="2540"/>
      <c r="K299" s="2540"/>
      <c r="L299" s="2540"/>
      <c r="M299" s="2540"/>
      <c r="N299" s="2540"/>
      <c r="O299" s="2540"/>
      <c r="P299" s="2540"/>
      <c r="Q299" s="2540"/>
      <c r="R299" s="2540"/>
      <c r="S299" s="2540"/>
      <c r="T299" s="2540"/>
    </row>
    <row r="300" spans="1:20">
      <c r="A300" s="2540"/>
      <c r="B300" s="2540"/>
      <c r="C300" s="2540"/>
      <c r="D300" s="2540"/>
      <c r="E300" s="2540"/>
      <c r="F300" s="2540"/>
      <c r="G300" s="2540"/>
      <c r="H300" s="2540"/>
      <c r="I300" s="2541"/>
      <c r="J300" s="2540"/>
      <c r="K300" s="2540"/>
      <c r="L300" s="2540"/>
      <c r="M300" s="2540"/>
      <c r="N300" s="2540"/>
      <c r="O300" s="2540"/>
      <c r="P300" s="2540"/>
      <c r="Q300" s="2540"/>
      <c r="R300" s="2540"/>
      <c r="S300" s="2540"/>
      <c r="T300" s="2540"/>
    </row>
    <row r="301" spans="1:20">
      <c r="A301" s="2540"/>
      <c r="B301" s="2540"/>
      <c r="C301" s="2540"/>
      <c r="D301" s="2540"/>
      <c r="E301" s="2540"/>
      <c r="F301" s="2540"/>
      <c r="G301" s="2540"/>
      <c r="H301" s="2540"/>
      <c r="I301" s="2541"/>
      <c r="J301" s="2540"/>
      <c r="K301" s="2540"/>
      <c r="L301" s="2540"/>
      <c r="M301" s="2540"/>
      <c r="N301" s="2540"/>
      <c r="O301" s="2540"/>
      <c r="P301" s="2540"/>
      <c r="Q301" s="2540"/>
      <c r="R301" s="2540"/>
      <c r="S301" s="2540"/>
      <c r="T301" s="2540"/>
    </row>
    <row r="302" spans="1:20">
      <c r="A302" s="2540"/>
      <c r="B302" s="2540"/>
      <c r="C302" s="2540"/>
      <c r="D302" s="2540"/>
      <c r="E302" s="2540"/>
      <c r="F302" s="2540"/>
      <c r="G302" s="2540"/>
      <c r="H302" s="2540"/>
      <c r="I302" s="2541"/>
      <c r="J302" s="2540"/>
      <c r="K302" s="2540"/>
      <c r="L302" s="2540"/>
      <c r="M302" s="2540"/>
      <c r="N302" s="2540"/>
      <c r="O302" s="2540"/>
      <c r="P302" s="2540"/>
      <c r="Q302" s="2540"/>
      <c r="R302" s="2540"/>
      <c r="S302" s="2540"/>
      <c r="T302" s="2540"/>
    </row>
    <row r="303" spans="1:20">
      <c r="A303" s="2540"/>
      <c r="B303" s="2540"/>
      <c r="C303" s="2540"/>
      <c r="D303" s="2540"/>
      <c r="E303" s="2540"/>
      <c r="F303" s="2540"/>
      <c r="G303" s="2540"/>
      <c r="H303" s="2540"/>
      <c r="I303" s="2541"/>
      <c r="J303" s="2540"/>
      <c r="K303" s="2540"/>
      <c r="L303" s="2540"/>
      <c r="M303" s="2540"/>
      <c r="N303" s="2540"/>
      <c r="O303" s="2540"/>
      <c r="P303" s="2540"/>
      <c r="Q303" s="2540"/>
      <c r="R303" s="2540"/>
      <c r="S303" s="2540"/>
      <c r="T303" s="2540"/>
    </row>
    <row r="304" spans="1:20">
      <c r="A304" s="2540"/>
      <c r="B304" s="2540"/>
      <c r="C304" s="2540"/>
      <c r="D304" s="2540"/>
      <c r="E304" s="2540"/>
      <c r="F304" s="2540"/>
      <c r="G304" s="2540"/>
      <c r="H304" s="2540"/>
      <c r="I304" s="2541"/>
      <c r="J304" s="2540"/>
      <c r="K304" s="2540"/>
      <c r="L304" s="2540"/>
      <c r="M304" s="2540"/>
      <c r="N304" s="2540"/>
      <c r="O304" s="2540"/>
      <c r="P304" s="2540"/>
      <c r="Q304" s="2540"/>
      <c r="R304" s="2540"/>
      <c r="S304" s="2540"/>
      <c r="T304" s="2540"/>
    </row>
    <row r="305" spans="1:20">
      <c r="A305" s="2540"/>
      <c r="B305" s="2540"/>
      <c r="C305" s="2540"/>
      <c r="D305" s="2540"/>
      <c r="E305" s="2540"/>
      <c r="F305" s="2540"/>
      <c r="G305" s="2540"/>
      <c r="H305" s="2540"/>
      <c r="I305" s="2541"/>
      <c r="J305" s="2540"/>
      <c r="K305" s="2540"/>
      <c r="L305" s="2540"/>
      <c r="M305" s="2540"/>
      <c r="N305" s="2540"/>
      <c r="O305" s="2540"/>
      <c r="P305" s="2540"/>
      <c r="Q305" s="2540"/>
      <c r="R305" s="2540"/>
      <c r="S305" s="2540"/>
      <c r="T305" s="2540"/>
    </row>
    <row r="306" spans="1:20">
      <c r="A306" s="2540"/>
      <c r="B306" s="2540"/>
      <c r="C306" s="2540"/>
      <c r="D306" s="2540"/>
      <c r="E306" s="2540"/>
      <c r="F306" s="2540"/>
      <c r="G306" s="2540"/>
      <c r="H306" s="2540"/>
      <c r="I306" s="2541"/>
      <c r="J306" s="2540"/>
      <c r="K306" s="2540"/>
      <c r="L306" s="2540"/>
      <c r="M306" s="2540"/>
      <c r="N306" s="2540"/>
      <c r="O306" s="2540"/>
      <c r="P306" s="2540"/>
      <c r="Q306" s="2540"/>
      <c r="R306" s="2540"/>
      <c r="S306" s="2540"/>
      <c r="T306" s="2540"/>
    </row>
    <row r="307" spans="1:20">
      <c r="A307" s="2540"/>
      <c r="B307" s="2540"/>
      <c r="C307" s="2540"/>
      <c r="D307" s="2540"/>
      <c r="E307" s="2540"/>
      <c r="F307" s="2540"/>
      <c r="G307" s="2540"/>
      <c r="H307" s="2540"/>
      <c r="I307" s="2541"/>
      <c r="J307" s="2540"/>
      <c r="K307" s="2540"/>
      <c r="L307" s="2540"/>
      <c r="M307" s="2540"/>
      <c r="N307" s="2540"/>
      <c r="O307" s="2540"/>
      <c r="P307" s="2540"/>
      <c r="Q307" s="2540"/>
      <c r="R307" s="2540"/>
      <c r="S307" s="2540"/>
      <c r="T307" s="2540"/>
    </row>
    <row r="308" spans="1:20">
      <c r="A308" s="2540"/>
      <c r="B308" s="2540"/>
      <c r="C308" s="2540"/>
      <c r="D308" s="2540"/>
      <c r="E308" s="2540"/>
      <c r="F308" s="2540"/>
      <c r="G308" s="2540"/>
      <c r="H308" s="2540"/>
      <c r="I308" s="2541"/>
      <c r="J308" s="2540"/>
      <c r="K308" s="2540"/>
      <c r="L308" s="2540"/>
      <c r="M308" s="2540"/>
      <c r="N308" s="2540"/>
      <c r="O308" s="2540"/>
      <c r="P308" s="2540"/>
      <c r="Q308" s="2540"/>
      <c r="R308" s="2540"/>
      <c r="S308" s="2540"/>
      <c r="T308" s="2540"/>
    </row>
    <row r="309" spans="1:20">
      <c r="A309" s="2540"/>
      <c r="B309" s="2540"/>
      <c r="C309" s="2540"/>
      <c r="D309" s="2540"/>
      <c r="E309" s="2540"/>
      <c r="F309" s="2540"/>
      <c r="G309" s="2540"/>
      <c r="H309" s="2540"/>
      <c r="I309" s="2541"/>
      <c r="J309" s="2540"/>
      <c r="K309" s="2540"/>
      <c r="L309" s="2540"/>
      <c r="M309" s="2540"/>
      <c r="N309" s="2540"/>
      <c r="O309" s="2540"/>
      <c r="P309" s="2540"/>
      <c r="Q309" s="2540"/>
      <c r="R309" s="2540"/>
      <c r="S309" s="2540"/>
      <c r="T309" s="2540"/>
    </row>
    <row r="310" spans="1:20">
      <c r="A310" s="2540"/>
      <c r="B310" s="2540"/>
      <c r="C310" s="2540"/>
      <c r="D310" s="2540"/>
      <c r="E310" s="2540"/>
      <c r="F310" s="2540"/>
      <c r="G310" s="2540"/>
      <c r="H310" s="2540"/>
      <c r="I310" s="2541"/>
      <c r="J310" s="2540"/>
      <c r="K310" s="2540"/>
      <c r="L310" s="2540"/>
      <c r="M310" s="2540"/>
      <c r="N310" s="2540"/>
      <c r="O310" s="2540"/>
      <c r="P310" s="2540"/>
      <c r="Q310" s="2540"/>
      <c r="R310" s="2540"/>
      <c r="S310" s="2540"/>
      <c r="T310" s="2540"/>
    </row>
    <row r="311" spans="1:20">
      <c r="A311" s="2540"/>
      <c r="B311" s="2540"/>
      <c r="C311" s="2540"/>
      <c r="D311" s="2540"/>
      <c r="E311" s="2540"/>
      <c r="F311" s="2540"/>
      <c r="G311" s="2540"/>
      <c r="H311" s="2540"/>
      <c r="I311" s="2541"/>
      <c r="J311" s="2540"/>
      <c r="K311" s="2540"/>
      <c r="L311" s="2540"/>
      <c r="M311" s="2540"/>
      <c r="N311" s="2540"/>
      <c r="O311" s="2540"/>
      <c r="P311" s="2540"/>
      <c r="Q311" s="2540"/>
      <c r="R311" s="2540"/>
      <c r="S311" s="2540"/>
      <c r="T311" s="2540"/>
    </row>
    <row r="312" spans="1:20">
      <c r="A312" s="2540"/>
      <c r="B312" s="2540"/>
      <c r="C312" s="2540"/>
      <c r="D312" s="2540"/>
      <c r="E312" s="2540"/>
      <c r="F312" s="2540"/>
      <c r="G312" s="2540"/>
      <c r="H312" s="2540"/>
      <c r="I312" s="2541"/>
      <c r="J312" s="2540"/>
      <c r="K312" s="2540"/>
      <c r="L312" s="2540"/>
      <c r="M312" s="2540"/>
      <c r="N312" s="2540"/>
      <c r="O312" s="2540"/>
      <c r="P312" s="2540"/>
      <c r="Q312" s="2540"/>
      <c r="R312" s="2540"/>
      <c r="S312" s="2540"/>
      <c r="T312" s="2540"/>
    </row>
    <row r="313" spans="1:20">
      <c r="A313" s="2540"/>
      <c r="B313" s="2540"/>
      <c r="C313" s="2540"/>
      <c r="D313" s="2540"/>
      <c r="E313" s="2540"/>
      <c r="F313" s="2540"/>
      <c r="G313" s="2540"/>
      <c r="H313" s="2540"/>
      <c r="I313" s="2541"/>
      <c r="J313" s="2540"/>
      <c r="K313" s="2540"/>
      <c r="L313" s="2540"/>
      <c r="M313" s="2540"/>
      <c r="N313" s="2540"/>
      <c r="O313" s="2540"/>
      <c r="P313" s="2540"/>
      <c r="Q313" s="2540"/>
      <c r="R313" s="2540"/>
      <c r="S313" s="2540"/>
      <c r="T313" s="2540"/>
    </row>
    <row r="314" spans="1:20">
      <c r="A314" s="2540"/>
      <c r="B314" s="2540"/>
      <c r="C314" s="2540"/>
      <c r="D314" s="2540"/>
      <c r="E314" s="2540"/>
      <c r="F314" s="2540"/>
      <c r="G314" s="2540"/>
      <c r="H314" s="2540"/>
      <c r="I314" s="2541"/>
      <c r="J314" s="2540"/>
      <c r="K314" s="2540"/>
      <c r="L314" s="2540"/>
      <c r="M314" s="2540"/>
      <c r="N314" s="2540"/>
      <c r="O314" s="2540"/>
      <c r="P314" s="2540"/>
      <c r="Q314" s="2540"/>
      <c r="R314" s="2540"/>
      <c r="S314" s="2540"/>
      <c r="T314" s="2540"/>
    </row>
    <row r="315" spans="1:20">
      <c r="A315" s="2540"/>
      <c r="B315" s="2540"/>
      <c r="C315" s="2540"/>
      <c r="D315" s="2540"/>
      <c r="E315" s="2540"/>
      <c r="F315" s="2540"/>
      <c r="G315" s="2540"/>
      <c r="H315" s="2540"/>
      <c r="I315" s="2541"/>
      <c r="J315" s="2540"/>
      <c r="K315" s="2540"/>
      <c r="L315" s="2540"/>
      <c r="M315" s="2540"/>
      <c r="N315" s="2540"/>
      <c r="O315" s="2540"/>
      <c r="P315" s="2540"/>
      <c r="Q315" s="2540"/>
      <c r="R315" s="2540"/>
      <c r="S315" s="2540"/>
      <c r="T315" s="2540"/>
    </row>
    <row r="316" spans="1:20">
      <c r="A316" s="2540"/>
      <c r="B316" s="2540"/>
      <c r="C316" s="2540"/>
      <c r="D316" s="2540"/>
      <c r="E316" s="2540"/>
      <c r="F316" s="2540"/>
      <c r="G316" s="2540"/>
      <c r="H316" s="2540"/>
      <c r="I316" s="2541"/>
      <c r="J316" s="2540"/>
      <c r="K316" s="2540"/>
      <c r="L316" s="2540"/>
      <c r="M316" s="2540"/>
      <c r="N316" s="2540"/>
      <c r="O316" s="2540"/>
      <c r="P316" s="2540"/>
      <c r="Q316" s="2540"/>
      <c r="R316" s="2540"/>
      <c r="S316" s="2540"/>
      <c r="T316" s="2540"/>
    </row>
    <row r="317" spans="1:20">
      <c r="A317" s="2540"/>
      <c r="B317" s="2540"/>
      <c r="C317" s="2540"/>
      <c r="D317" s="2540"/>
      <c r="E317" s="2540"/>
      <c r="F317" s="2540"/>
      <c r="G317" s="2540"/>
      <c r="H317" s="2540"/>
      <c r="I317" s="2541"/>
      <c r="J317" s="2540"/>
      <c r="K317" s="2540"/>
      <c r="L317" s="2540"/>
      <c r="M317" s="2540"/>
      <c r="N317" s="2540"/>
      <c r="O317" s="2540"/>
      <c r="P317" s="2540"/>
      <c r="Q317" s="2540"/>
      <c r="R317" s="2540"/>
      <c r="S317" s="2540"/>
      <c r="T317" s="2540"/>
    </row>
    <row r="318" spans="1:20">
      <c r="A318" s="2540"/>
      <c r="B318" s="2540"/>
      <c r="C318" s="2540"/>
      <c r="D318" s="2540"/>
      <c r="E318" s="2540"/>
      <c r="F318" s="2540"/>
      <c r="G318" s="2540"/>
      <c r="H318" s="2540"/>
      <c r="I318" s="2541"/>
      <c r="J318" s="2540"/>
      <c r="K318" s="2540"/>
      <c r="L318" s="2540"/>
      <c r="M318" s="2540"/>
      <c r="N318" s="2540"/>
      <c r="O318" s="2540"/>
      <c r="P318" s="2540"/>
      <c r="Q318" s="2540"/>
      <c r="R318" s="2540"/>
      <c r="S318" s="2540"/>
      <c r="T318" s="2540"/>
    </row>
    <row r="319" spans="1:20">
      <c r="A319" s="2540"/>
      <c r="B319" s="2540"/>
      <c r="C319" s="2540"/>
      <c r="D319" s="2540"/>
      <c r="E319" s="2540"/>
      <c r="F319" s="2540"/>
      <c r="G319" s="2540"/>
      <c r="H319" s="2540"/>
      <c r="I319" s="2541"/>
      <c r="J319" s="2540"/>
      <c r="K319" s="2540"/>
      <c r="L319" s="2540"/>
      <c r="M319" s="2540"/>
      <c r="N319" s="2540"/>
      <c r="O319" s="2540"/>
      <c r="P319" s="2540"/>
      <c r="Q319" s="2540"/>
      <c r="R319" s="2540"/>
      <c r="S319" s="2540"/>
      <c r="T319" s="2540"/>
    </row>
    <row r="320" spans="1:20">
      <c r="A320" s="2540"/>
      <c r="B320" s="2540"/>
      <c r="C320" s="2540"/>
      <c r="D320" s="2540"/>
      <c r="E320" s="2540"/>
      <c r="F320" s="2540"/>
      <c r="G320" s="2540"/>
      <c r="H320" s="2540"/>
      <c r="I320" s="2541"/>
      <c r="J320" s="2540"/>
      <c r="K320" s="2540"/>
      <c r="L320" s="2540"/>
      <c r="M320" s="2540"/>
      <c r="N320" s="2540"/>
      <c r="O320" s="2540"/>
      <c r="P320" s="2540"/>
      <c r="Q320" s="2540"/>
      <c r="R320" s="2540"/>
      <c r="S320" s="2540"/>
      <c r="T320" s="2540"/>
    </row>
    <row r="321" spans="1:20">
      <c r="A321" s="2540"/>
      <c r="B321" s="2540"/>
      <c r="C321" s="2540"/>
      <c r="D321" s="2540"/>
      <c r="E321" s="2540"/>
      <c r="F321" s="2540"/>
      <c r="G321" s="2540"/>
      <c r="H321" s="2540"/>
      <c r="I321" s="2541"/>
      <c r="J321" s="2540"/>
      <c r="K321" s="2540"/>
      <c r="L321" s="2540"/>
      <c r="M321" s="2540"/>
      <c r="N321" s="2540"/>
      <c r="O321" s="2540"/>
      <c r="P321" s="2540"/>
      <c r="Q321" s="2540"/>
      <c r="R321" s="2540"/>
      <c r="S321" s="2540"/>
      <c r="T321" s="2540"/>
    </row>
    <row r="322" spans="1:20">
      <c r="A322" s="2540"/>
      <c r="B322" s="2540"/>
      <c r="C322" s="2540"/>
      <c r="D322" s="2540"/>
      <c r="E322" s="2540"/>
      <c r="F322" s="2540"/>
      <c r="G322" s="2540"/>
      <c r="H322" s="2540"/>
      <c r="I322" s="2541"/>
      <c r="J322" s="2540"/>
      <c r="K322" s="2540"/>
      <c r="L322" s="2540"/>
      <c r="M322" s="2540"/>
      <c r="N322" s="2540"/>
      <c r="O322" s="2540"/>
      <c r="P322" s="2540"/>
      <c r="Q322" s="2540"/>
      <c r="R322" s="2540"/>
      <c r="S322" s="2540"/>
      <c r="T322" s="2540"/>
    </row>
    <row r="323" spans="1:20">
      <c r="A323" s="2540"/>
      <c r="B323" s="2540"/>
      <c r="C323" s="2540"/>
      <c r="D323" s="2540"/>
      <c r="E323" s="2540"/>
      <c r="F323" s="2540"/>
      <c r="G323" s="2540"/>
      <c r="H323" s="2540"/>
      <c r="I323" s="2541"/>
      <c r="J323" s="2540"/>
      <c r="K323" s="2540"/>
      <c r="L323" s="2540"/>
      <c r="M323" s="2540"/>
      <c r="N323" s="2540"/>
      <c r="O323" s="2540"/>
      <c r="P323" s="2540"/>
      <c r="Q323" s="2540"/>
      <c r="R323" s="2540"/>
      <c r="S323" s="2540"/>
      <c r="T323" s="2540"/>
    </row>
    <row r="324" spans="1:20">
      <c r="A324" s="2540"/>
      <c r="B324" s="2540"/>
      <c r="C324" s="2540"/>
      <c r="D324" s="2540"/>
      <c r="E324" s="2540"/>
      <c r="F324" s="2540"/>
      <c r="G324" s="2540"/>
      <c r="H324" s="2540"/>
      <c r="I324" s="2541"/>
      <c r="J324" s="2540"/>
      <c r="K324" s="2540"/>
      <c r="L324" s="2540"/>
      <c r="M324" s="2540"/>
      <c r="N324" s="2540"/>
      <c r="O324" s="2540"/>
      <c r="P324" s="2540"/>
      <c r="Q324" s="2540"/>
      <c r="R324" s="2540"/>
      <c r="S324" s="2540"/>
      <c r="T324" s="2540"/>
    </row>
    <row r="325" spans="1:20">
      <c r="A325" s="2540"/>
      <c r="B325" s="2540"/>
      <c r="C325" s="2540"/>
      <c r="D325" s="2540"/>
      <c r="E325" s="2540"/>
      <c r="F325" s="2540"/>
      <c r="G325" s="2540"/>
      <c r="H325" s="2540"/>
      <c r="I325" s="2541"/>
      <c r="J325" s="2540"/>
      <c r="K325" s="2540"/>
      <c r="L325" s="2540"/>
      <c r="M325" s="2540"/>
      <c r="N325" s="2540"/>
      <c r="O325" s="2540"/>
      <c r="P325" s="2540"/>
      <c r="Q325" s="2540"/>
      <c r="R325" s="2540"/>
      <c r="S325" s="2540"/>
      <c r="T325" s="2540"/>
    </row>
    <row r="326" spans="1:20">
      <c r="A326" s="2540"/>
      <c r="B326" s="2540"/>
      <c r="C326" s="2540"/>
      <c r="D326" s="2540"/>
      <c r="E326" s="2540"/>
      <c r="F326" s="2540"/>
      <c r="G326" s="2540"/>
      <c r="H326" s="2540"/>
      <c r="I326" s="2541"/>
      <c r="J326" s="2540"/>
      <c r="K326" s="2540"/>
      <c r="L326" s="2540"/>
      <c r="M326" s="2540"/>
      <c r="N326" s="2540"/>
      <c r="O326" s="2540"/>
      <c r="P326" s="2540"/>
      <c r="Q326" s="2540"/>
      <c r="R326" s="2540"/>
      <c r="S326" s="2540"/>
      <c r="T326" s="2540"/>
    </row>
    <row r="327" spans="1:20">
      <c r="A327" s="2540"/>
      <c r="B327" s="2540"/>
      <c r="C327" s="2540"/>
      <c r="D327" s="2540"/>
      <c r="E327" s="2540"/>
      <c r="F327" s="2540"/>
      <c r="G327" s="2540"/>
      <c r="H327" s="2540"/>
      <c r="I327" s="2541"/>
      <c r="J327" s="2540"/>
      <c r="K327" s="2540"/>
      <c r="L327" s="2540"/>
      <c r="M327" s="2540"/>
      <c r="N327" s="2540"/>
      <c r="O327" s="2540"/>
      <c r="P327" s="2540"/>
      <c r="Q327" s="2540"/>
      <c r="R327" s="2540"/>
      <c r="S327" s="2540"/>
      <c r="T327" s="2540"/>
    </row>
    <row r="328" spans="1:20">
      <c r="A328" s="2540"/>
      <c r="B328" s="2540"/>
      <c r="C328" s="2540"/>
      <c r="D328" s="2540"/>
      <c r="E328" s="2540"/>
      <c r="F328" s="2540"/>
      <c r="G328" s="2540"/>
      <c r="H328" s="2540"/>
      <c r="I328" s="2541"/>
      <c r="J328" s="2540"/>
      <c r="K328" s="2540"/>
      <c r="L328" s="2540"/>
      <c r="M328" s="2540"/>
      <c r="N328" s="2540"/>
      <c r="O328" s="2540"/>
      <c r="P328" s="2540"/>
      <c r="Q328" s="2540"/>
      <c r="R328" s="2540"/>
      <c r="S328" s="2540"/>
      <c r="T328" s="2540"/>
    </row>
    <row r="329" spans="1:20">
      <c r="A329" s="2540"/>
      <c r="B329" s="2540"/>
      <c r="C329" s="2540"/>
      <c r="D329" s="2540"/>
      <c r="E329" s="2540"/>
      <c r="F329" s="2540"/>
      <c r="G329" s="2540"/>
      <c r="H329" s="2540"/>
      <c r="I329" s="2541"/>
      <c r="J329" s="2540"/>
      <c r="K329" s="2540"/>
      <c r="L329" s="2540"/>
      <c r="M329" s="2540"/>
      <c r="N329" s="2540"/>
      <c r="O329" s="2540"/>
      <c r="P329" s="2540"/>
      <c r="Q329" s="2540"/>
      <c r="R329" s="2540"/>
      <c r="S329" s="2540"/>
      <c r="T329" s="2540"/>
    </row>
    <row r="330" spans="1:20">
      <c r="A330" s="2540"/>
      <c r="B330" s="2540"/>
      <c r="C330" s="2540"/>
      <c r="D330" s="2540"/>
      <c r="E330" s="2540"/>
      <c r="F330" s="2540"/>
      <c r="G330" s="2540"/>
      <c r="H330" s="2540"/>
      <c r="I330" s="2541"/>
      <c r="J330" s="2540"/>
      <c r="K330" s="2540"/>
      <c r="L330" s="2540"/>
      <c r="M330" s="2540"/>
      <c r="N330" s="2540"/>
      <c r="O330" s="2540"/>
      <c r="P330" s="2540"/>
      <c r="Q330" s="2540"/>
      <c r="R330" s="2540"/>
      <c r="S330" s="2540"/>
      <c r="T330" s="2540"/>
    </row>
    <row r="331" spans="1:20">
      <c r="A331" s="2540"/>
      <c r="B331" s="2540"/>
      <c r="C331" s="2540"/>
      <c r="D331" s="2540"/>
      <c r="E331" s="2540"/>
      <c r="F331" s="2540"/>
      <c r="G331" s="2540"/>
      <c r="H331" s="2540"/>
      <c r="I331" s="2541"/>
      <c r="J331" s="2540"/>
      <c r="K331" s="2540"/>
      <c r="L331" s="2540"/>
      <c r="M331" s="2540"/>
      <c r="N331" s="2540"/>
      <c r="O331" s="2540"/>
      <c r="P331" s="2540"/>
      <c r="Q331" s="2540"/>
      <c r="R331" s="2540"/>
      <c r="S331" s="2540"/>
      <c r="T331" s="2540"/>
    </row>
    <row r="332" spans="1:20">
      <c r="A332" s="2540"/>
      <c r="B332" s="2540"/>
      <c r="C332" s="2540"/>
      <c r="D332" s="2540"/>
      <c r="E332" s="2540"/>
      <c r="F332" s="2540"/>
      <c r="G332" s="2540"/>
      <c r="H332" s="2540"/>
      <c r="I332" s="2541"/>
      <c r="J332" s="2540"/>
      <c r="K332" s="2540"/>
      <c r="L332" s="2540"/>
      <c r="M332" s="2540"/>
      <c r="N332" s="2540"/>
      <c r="O332" s="2540"/>
      <c r="P332" s="2540"/>
      <c r="Q332" s="2540"/>
      <c r="R332" s="2540"/>
      <c r="S332" s="2540"/>
      <c r="T332" s="2540"/>
    </row>
    <row r="333" spans="1:20">
      <c r="A333" s="2540"/>
      <c r="B333" s="2540"/>
      <c r="C333" s="2540"/>
      <c r="D333" s="2540"/>
      <c r="E333" s="2540"/>
      <c r="F333" s="2540"/>
      <c r="G333" s="2540"/>
      <c r="H333" s="2540"/>
      <c r="I333" s="2541"/>
      <c r="J333" s="2540"/>
      <c r="K333" s="2540"/>
      <c r="L333" s="2540"/>
      <c r="M333" s="2540"/>
      <c r="N333" s="2540"/>
      <c r="O333" s="2540"/>
      <c r="P333" s="2540"/>
      <c r="Q333" s="2540"/>
      <c r="R333" s="2540"/>
      <c r="S333" s="2540"/>
      <c r="T333" s="2540"/>
    </row>
    <row r="334" spans="1:20">
      <c r="A334" s="2540"/>
      <c r="B334" s="2540"/>
      <c r="C334" s="2540"/>
      <c r="D334" s="2540"/>
      <c r="E334" s="2540"/>
      <c r="F334" s="2540"/>
      <c r="G334" s="2540"/>
      <c r="H334" s="2540"/>
      <c r="I334" s="2541"/>
      <c r="J334" s="2540"/>
      <c r="K334" s="2540"/>
      <c r="L334" s="2540"/>
      <c r="M334" s="2540"/>
      <c r="N334" s="2540"/>
      <c r="O334" s="2540"/>
      <c r="P334" s="2540"/>
      <c r="Q334" s="2540"/>
      <c r="R334" s="2540"/>
      <c r="S334" s="2540"/>
      <c r="T334" s="2540"/>
    </row>
    <row r="335" spans="1:20">
      <c r="A335" s="2540"/>
      <c r="B335" s="2540"/>
      <c r="C335" s="2540"/>
      <c r="D335" s="2540"/>
      <c r="E335" s="2540"/>
      <c r="F335" s="2540"/>
      <c r="G335" s="2540"/>
      <c r="H335" s="2540"/>
      <c r="I335" s="2541"/>
      <c r="J335" s="2540"/>
      <c r="K335" s="2540"/>
      <c r="L335" s="2540"/>
      <c r="M335" s="2540"/>
      <c r="N335" s="2540"/>
      <c r="O335" s="2540"/>
      <c r="P335" s="2540"/>
      <c r="Q335" s="2540"/>
      <c r="R335" s="2540"/>
      <c r="S335" s="2540"/>
      <c r="T335" s="2540"/>
    </row>
    <row r="336" spans="1:20">
      <c r="A336" s="2540"/>
      <c r="B336" s="2540"/>
      <c r="C336" s="2540"/>
      <c r="D336" s="2540"/>
      <c r="E336" s="2540"/>
      <c r="F336" s="2540"/>
      <c r="G336" s="2540"/>
      <c r="H336" s="2540"/>
      <c r="I336" s="2541"/>
      <c r="J336" s="2540"/>
      <c r="K336" s="2540"/>
      <c r="L336" s="2540"/>
      <c r="M336" s="2540"/>
      <c r="N336" s="2540"/>
      <c r="O336" s="2540"/>
      <c r="P336" s="2540"/>
      <c r="Q336" s="2540"/>
      <c r="R336" s="2540"/>
      <c r="S336" s="2540"/>
      <c r="T336" s="2540"/>
    </row>
    <row r="337" spans="1:20">
      <c r="A337" s="2540"/>
      <c r="B337" s="2540"/>
      <c r="C337" s="2540"/>
      <c r="D337" s="2540"/>
      <c r="E337" s="2540"/>
      <c r="F337" s="2540"/>
      <c r="G337" s="2540"/>
      <c r="H337" s="2540"/>
      <c r="I337" s="2541"/>
      <c r="J337" s="2540"/>
      <c r="K337" s="2540"/>
      <c r="L337" s="2540"/>
      <c r="M337" s="2540"/>
      <c r="N337" s="2540"/>
      <c r="O337" s="2540"/>
      <c r="P337" s="2540"/>
      <c r="Q337" s="2540"/>
      <c r="R337" s="2540"/>
      <c r="S337" s="2540"/>
      <c r="T337" s="2540"/>
    </row>
    <row r="338" spans="1:20">
      <c r="A338" s="2540"/>
      <c r="B338" s="2540"/>
      <c r="C338" s="2540"/>
      <c r="D338" s="2540"/>
      <c r="E338" s="2540"/>
      <c r="F338" s="2540"/>
      <c r="G338" s="2540"/>
      <c r="H338" s="2540"/>
      <c r="I338" s="2541"/>
      <c r="J338" s="2540"/>
      <c r="K338" s="2540"/>
      <c r="L338" s="2540"/>
      <c r="M338" s="2540"/>
      <c r="N338" s="2540"/>
      <c r="O338" s="2540"/>
      <c r="P338" s="2540"/>
      <c r="Q338" s="2540"/>
      <c r="R338" s="2540"/>
      <c r="S338" s="2540"/>
      <c r="T338" s="2540"/>
    </row>
    <row r="339" spans="1:20">
      <c r="A339" s="2540"/>
      <c r="B339" s="2540"/>
      <c r="C339" s="2540"/>
      <c r="D339" s="2540"/>
      <c r="E339" s="2540"/>
      <c r="F339" s="2540"/>
      <c r="G339" s="2540"/>
      <c r="H339" s="2540"/>
      <c r="I339" s="2541"/>
      <c r="J339" s="2540"/>
      <c r="K339" s="2540"/>
      <c r="L339" s="2540"/>
      <c r="M339" s="2540"/>
      <c r="N339" s="2540"/>
      <c r="O339" s="2540"/>
      <c r="P339" s="2540"/>
      <c r="Q339" s="2540"/>
      <c r="R339" s="2540"/>
      <c r="S339" s="2540"/>
      <c r="T339" s="2540"/>
    </row>
    <row r="340" spans="1:20">
      <c r="A340" s="2540"/>
      <c r="B340" s="2540"/>
      <c r="C340" s="2540"/>
      <c r="D340" s="2540"/>
      <c r="E340" s="2540"/>
      <c r="F340" s="2540"/>
      <c r="G340" s="2540"/>
      <c r="H340" s="2540"/>
      <c r="I340" s="2541"/>
      <c r="J340" s="2540"/>
      <c r="K340" s="2540"/>
      <c r="L340" s="2540"/>
      <c r="M340" s="2540"/>
      <c r="N340" s="2540"/>
      <c r="O340" s="2540"/>
      <c r="P340" s="2540"/>
      <c r="Q340" s="2540"/>
      <c r="R340" s="2540"/>
      <c r="S340" s="2540"/>
      <c r="T340" s="2540"/>
    </row>
    <row r="341" spans="1:20">
      <c r="A341" s="2540"/>
      <c r="B341" s="2540"/>
      <c r="C341" s="2540"/>
      <c r="D341" s="2540"/>
      <c r="E341" s="2540"/>
      <c r="F341" s="2540"/>
      <c r="G341" s="2540"/>
      <c r="H341" s="2540"/>
      <c r="I341" s="2541"/>
      <c r="J341" s="2540"/>
      <c r="K341" s="2540"/>
      <c r="L341" s="2540"/>
      <c r="M341" s="2540"/>
      <c r="N341" s="2540"/>
      <c r="O341" s="2540"/>
      <c r="P341" s="2540"/>
      <c r="Q341" s="2540"/>
      <c r="R341" s="2540"/>
      <c r="S341" s="2540"/>
      <c r="T341" s="2540"/>
    </row>
    <row r="342" spans="1:20">
      <c r="A342" s="2540"/>
      <c r="B342" s="2540"/>
      <c r="C342" s="2540"/>
      <c r="D342" s="2540"/>
      <c r="E342" s="2540"/>
      <c r="F342" s="2540"/>
      <c r="G342" s="2540"/>
      <c r="H342" s="2540"/>
      <c r="I342" s="2541"/>
      <c r="J342" s="2540"/>
      <c r="K342" s="2540"/>
      <c r="L342" s="2540"/>
      <c r="M342" s="2540"/>
      <c r="N342" s="2540"/>
      <c r="O342" s="2540"/>
      <c r="P342" s="2540"/>
      <c r="Q342" s="2540"/>
      <c r="R342" s="2540"/>
      <c r="S342" s="2540"/>
      <c r="T342" s="2540"/>
    </row>
    <row r="343" spans="1:20">
      <c r="A343" s="2540"/>
      <c r="B343" s="2540"/>
      <c r="C343" s="2540"/>
      <c r="D343" s="2540"/>
      <c r="E343" s="2540"/>
      <c r="F343" s="2540"/>
      <c r="G343" s="2540"/>
      <c r="H343" s="2540"/>
      <c r="I343" s="2541"/>
      <c r="J343" s="2540"/>
      <c r="K343" s="2540"/>
      <c r="L343" s="2540"/>
      <c r="M343" s="2540"/>
      <c r="N343" s="2540"/>
      <c r="O343" s="2540"/>
      <c r="P343" s="2540"/>
      <c r="Q343" s="2540"/>
      <c r="R343" s="2540"/>
      <c r="S343" s="2540"/>
      <c r="T343" s="2540"/>
    </row>
    <row r="344" spans="1:20">
      <c r="A344" s="2540"/>
      <c r="B344" s="2540"/>
      <c r="C344" s="2540"/>
      <c r="D344" s="2540"/>
      <c r="E344" s="2540"/>
      <c r="F344" s="2540"/>
      <c r="G344" s="2540"/>
      <c r="H344" s="2540"/>
      <c r="I344" s="2541"/>
      <c r="J344" s="2540"/>
      <c r="K344" s="2540"/>
      <c r="L344" s="2540"/>
      <c r="M344" s="2540"/>
      <c r="N344" s="2540"/>
      <c r="O344" s="2540"/>
      <c r="P344" s="2540"/>
      <c r="Q344" s="2540"/>
      <c r="R344" s="2540"/>
      <c r="S344" s="2540"/>
      <c r="T344" s="2540"/>
    </row>
    <row r="345" spans="1:20">
      <c r="A345" s="2540"/>
      <c r="B345" s="2540"/>
      <c r="C345" s="2540"/>
      <c r="D345" s="2540"/>
      <c r="E345" s="2540"/>
      <c r="F345" s="2540"/>
      <c r="G345" s="2540"/>
      <c r="H345" s="2540"/>
      <c r="I345" s="2541"/>
      <c r="J345" s="2540"/>
      <c r="K345" s="2540"/>
      <c r="L345" s="2540"/>
      <c r="M345" s="2540"/>
      <c r="N345" s="2540"/>
      <c r="O345" s="2540"/>
      <c r="P345" s="2540"/>
      <c r="Q345" s="2540"/>
      <c r="R345" s="2540"/>
      <c r="S345" s="2540"/>
      <c r="T345" s="2540"/>
    </row>
    <row r="346" spans="1:20">
      <c r="A346" s="2540"/>
      <c r="B346" s="2540"/>
      <c r="C346" s="2540"/>
      <c r="D346" s="2540"/>
      <c r="E346" s="2540"/>
      <c r="F346" s="2540"/>
      <c r="G346" s="2540"/>
      <c r="H346" s="2540"/>
      <c r="I346" s="2541"/>
      <c r="J346" s="2540"/>
      <c r="K346" s="2540"/>
      <c r="L346" s="2540"/>
      <c r="M346" s="2540"/>
      <c r="N346" s="2540"/>
      <c r="O346" s="2540"/>
      <c r="P346" s="2540"/>
      <c r="Q346" s="2540"/>
      <c r="R346" s="2540"/>
      <c r="S346" s="2540"/>
      <c r="T346" s="2540"/>
    </row>
    <row r="347" spans="1:20">
      <c r="A347" s="2540"/>
      <c r="B347" s="2540"/>
      <c r="C347" s="2540"/>
      <c r="D347" s="2540"/>
      <c r="E347" s="2540"/>
      <c r="F347" s="2540"/>
      <c r="G347" s="2540"/>
      <c r="H347" s="2540"/>
      <c r="I347" s="2541"/>
      <c r="J347" s="2540"/>
      <c r="K347" s="2540"/>
      <c r="L347" s="2540"/>
      <c r="M347" s="2540"/>
      <c r="N347" s="2540"/>
      <c r="O347" s="2540"/>
      <c r="P347" s="2540"/>
      <c r="Q347" s="2540"/>
      <c r="R347" s="2540"/>
      <c r="S347" s="2540"/>
      <c r="T347" s="2540"/>
    </row>
    <row r="348" spans="1:20">
      <c r="A348" s="2540"/>
      <c r="B348" s="2540"/>
      <c r="C348" s="2540"/>
      <c r="D348" s="2540"/>
      <c r="E348" s="2540"/>
      <c r="F348" s="2540"/>
      <c r="G348" s="2540"/>
      <c r="H348" s="2540"/>
      <c r="I348" s="2541"/>
      <c r="J348" s="2540"/>
      <c r="K348" s="2540"/>
      <c r="L348" s="2540"/>
      <c r="M348" s="2540"/>
      <c r="N348" s="2540"/>
      <c r="O348" s="2540"/>
      <c r="P348" s="2540"/>
      <c r="Q348" s="2540"/>
      <c r="R348" s="2540"/>
      <c r="S348" s="2540"/>
      <c r="T348" s="2540"/>
    </row>
    <row r="349" spans="1:20">
      <c r="A349" s="2540"/>
      <c r="B349" s="2540"/>
      <c r="C349" s="2540"/>
      <c r="D349" s="2540"/>
      <c r="E349" s="2540"/>
      <c r="F349" s="2540"/>
      <c r="G349" s="2540"/>
      <c r="H349" s="2540"/>
      <c r="I349" s="2541"/>
      <c r="J349" s="2540"/>
      <c r="K349" s="2540"/>
      <c r="L349" s="2540"/>
      <c r="M349" s="2540"/>
      <c r="N349" s="2540"/>
      <c r="O349" s="2540"/>
      <c r="P349" s="2540"/>
      <c r="Q349" s="2540"/>
      <c r="R349" s="2540"/>
      <c r="S349" s="2540"/>
      <c r="T349" s="2540"/>
    </row>
    <row r="350" spans="1:20">
      <c r="A350" s="2540"/>
      <c r="B350" s="2540"/>
      <c r="C350" s="2540"/>
      <c r="D350" s="2540"/>
      <c r="E350" s="2540"/>
      <c r="F350" s="2540"/>
      <c r="G350" s="2540"/>
      <c r="H350" s="2540"/>
      <c r="I350" s="2541"/>
      <c r="J350" s="2540"/>
      <c r="K350" s="2540"/>
      <c r="L350" s="2540"/>
      <c r="M350" s="2540"/>
      <c r="N350" s="2540"/>
      <c r="O350" s="2540"/>
      <c r="P350" s="2540"/>
      <c r="Q350" s="2540"/>
      <c r="R350" s="2540"/>
      <c r="S350" s="2540"/>
      <c r="T350" s="2540"/>
    </row>
    <row r="351" spans="1:20">
      <c r="A351" s="2540"/>
      <c r="B351" s="2540"/>
      <c r="C351" s="2540"/>
      <c r="D351" s="2540"/>
      <c r="E351" s="2540"/>
      <c r="F351" s="2540"/>
      <c r="G351" s="2540"/>
      <c r="H351" s="2540"/>
      <c r="I351" s="2541"/>
      <c r="J351" s="2540"/>
      <c r="K351" s="2540"/>
      <c r="L351" s="2540"/>
      <c r="M351" s="2540"/>
      <c r="N351" s="2540"/>
      <c r="O351" s="2540"/>
      <c r="P351" s="2540"/>
      <c r="Q351" s="2540"/>
      <c r="R351" s="2540"/>
      <c r="S351" s="2540"/>
      <c r="T351" s="2540"/>
    </row>
    <row r="352" spans="1:20">
      <c r="A352" s="2540"/>
      <c r="B352" s="2540"/>
      <c r="C352" s="2540"/>
      <c r="D352" s="2540"/>
      <c r="E352" s="2540"/>
      <c r="F352" s="2540"/>
      <c r="G352" s="2540"/>
      <c r="H352" s="2540"/>
      <c r="I352" s="2541"/>
      <c r="J352" s="2540"/>
      <c r="K352" s="2540"/>
      <c r="L352" s="2540"/>
      <c r="M352" s="2540"/>
      <c r="N352" s="2540"/>
      <c r="O352" s="2540"/>
      <c r="P352" s="2540"/>
      <c r="Q352" s="2540"/>
      <c r="R352" s="2540"/>
      <c r="S352" s="2540"/>
      <c r="T352" s="2540"/>
    </row>
    <row r="353" spans="1:20">
      <c r="A353" s="2540"/>
      <c r="B353" s="2540"/>
      <c r="C353" s="2540"/>
      <c r="D353" s="2540"/>
      <c r="E353" s="2540"/>
      <c r="F353" s="2540"/>
      <c r="G353" s="2540"/>
      <c r="H353" s="2540"/>
      <c r="I353" s="2541"/>
      <c r="J353" s="2540"/>
      <c r="K353" s="2540"/>
      <c r="L353" s="2540"/>
      <c r="M353" s="2540"/>
      <c r="N353" s="2540"/>
      <c r="O353" s="2540"/>
      <c r="P353" s="2540"/>
      <c r="Q353" s="2540"/>
      <c r="R353" s="2540"/>
      <c r="S353" s="2540"/>
      <c r="T353" s="2540"/>
    </row>
    <row r="354" spans="1:20">
      <c r="A354" s="2540"/>
      <c r="B354" s="2540"/>
      <c r="C354" s="2540"/>
      <c r="D354" s="2540"/>
      <c r="E354" s="2540"/>
      <c r="F354" s="2540"/>
      <c r="G354" s="2540"/>
      <c r="H354" s="2540"/>
      <c r="I354" s="2541"/>
      <c r="J354" s="2540"/>
      <c r="K354" s="2540"/>
      <c r="L354" s="2540"/>
      <c r="M354" s="2540"/>
      <c r="N354" s="2540"/>
      <c r="O354" s="2540"/>
      <c r="P354" s="2540"/>
      <c r="Q354" s="2540"/>
      <c r="R354" s="2540"/>
      <c r="S354" s="2540"/>
      <c r="T354" s="2540"/>
    </row>
    <row r="355" spans="1:20">
      <c r="A355" s="2540"/>
      <c r="B355" s="2540"/>
      <c r="C355" s="2540"/>
      <c r="D355" s="2540"/>
      <c r="E355" s="2540"/>
      <c r="F355" s="2540"/>
      <c r="G355" s="2540"/>
      <c r="H355" s="2540"/>
      <c r="I355" s="2541"/>
      <c r="J355" s="2540"/>
      <c r="K355" s="2540"/>
      <c r="L355" s="2540"/>
      <c r="M355" s="2540"/>
      <c r="N355" s="2540"/>
      <c r="O355" s="2540"/>
      <c r="P355" s="2540"/>
      <c r="Q355" s="2540"/>
      <c r="R355" s="2540"/>
      <c r="S355" s="2540"/>
      <c r="T355" s="2540"/>
    </row>
    <row r="356" spans="1:20">
      <c r="A356" s="2540"/>
      <c r="B356" s="2540"/>
      <c r="C356" s="2540"/>
      <c r="D356" s="2540"/>
      <c r="E356" s="2540"/>
      <c r="F356" s="2540"/>
      <c r="G356" s="2540"/>
      <c r="H356" s="2540"/>
      <c r="I356" s="2541"/>
      <c r="J356" s="2540"/>
      <c r="K356" s="2540"/>
      <c r="L356" s="2540"/>
      <c r="M356" s="2540"/>
      <c r="N356" s="2540"/>
      <c r="O356" s="2540"/>
      <c r="P356" s="2540"/>
      <c r="Q356" s="2540"/>
      <c r="R356" s="2540"/>
      <c r="S356" s="2540"/>
      <c r="T356" s="2540"/>
    </row>
    <row r="357" spans="1:20">
      <c r="A357" s="2540"/>
      <c r="B357" s="2540"/>
      <c r="C357" s="2540"/>
      <c r="D357" s="2540"/>
      <c r="E357" s="2540"/>
      <c r="F357" s="2540"/>
      <c r="G357" s="2540"/>
      <c r="H357" s="2540"/>
      <c r="I357" s="2541"/>
      <c r="J357" s="2540"/>
      <c r="K357" s="2540"/>
      <c r="L357" s="2540"/>
      <c r="M357" s="2540"/>
      <c r="N357" s="2540"/>
      <c r="O357" s="2540"/>
      <c r="P357" s="2540"/>
      <c r="Q357" s="2540"/>
      <c r="R357" s="2540"/>
      <c r="S357" s="2540"/>
      <c r="T357" s="2540"/>
    </row>
    <row r="358" spans="1:20">
      <c r="A358" s="2540"/>
      <c r="B358" s="2540"/>
      <c r="C358" s="2540"/>
      <c r="D358" s="2540"/>
      <c r="E358" s="2540"/>
      <c r="F358" s="2540"/>
      <c r="G358" s="2540"/>
      <c r="H358" s="2540"/>
      <c r="I358" s="2541"/>
      <c r="J358" s="2540"/>
      <c r="K358" s="2540"/>
      <c r="L358" s="2540"/>
      <c r="M358" s="2540"/>
      <c r="N358" s="2540"/>
      <c r="O358" s="2540"/>
      <c r="P358" s="2540"/>
      <c r="Q358" s="2540"/>
      <c r="R358" s="2540"/>
      <c r="S358" s="2540"/>
      <c r="T358" s="2540"/>
    </row>
    <row r="359" spans="1:20">
      <c r="A359" s="2540"/>
      <c r="B359" s="2540"/>
      <c r="C359" s="2540"/>
      <c r="D359" s="2540"/>
      <c r="E359" s="2540"/>
      <c r="F359" s="2540"/>
      <c r="G359" s="2540"/>
      <c r="H359" s="2540"/>
      <c r="I359" s="2541"/>
      <c r="J359" s="2540"/>
      <c r="K359" s="2540"/>
      <c r="L359" s="2540"/>
      <c r="M359" s="2540"/>
      <c r="N359" s="2540"/>
      <c r="O359" s="2540"/>
      <c r="P359" s="2540"/>
      <c r="Q359" s="2540"/>
      <c r="R359" s="2540"/>
      <c r="S359" s="2540"/>
      <c r="T359" s="2540"/>
    </row>
    <row r="360" spans="1:20">
      <c r="A360" s="2540"/>
      <c r="B360" s="2540"/>
      <c r="C360" s="2540"/>
      <c r="D360" s="2540"/>
      <c r="E360" s="2540"/>
      <c r="F360" s="2540"/>
      <c r="G360" s="2540"/>
      <c r="H360" s="2540"/>
      <c r="I360" s="2541"/>
      <c r="J360" s="2540"/>
      <c r="K360" s="2540"/>
      <c r="L360" s="2540"/>
      <c r="M360" s="2540"/>
      <c r="N360" s="2540"/>
      <c r="O360" s="2540"/>
      <c r="P360" s="2540"/>
      <c r="Q360" s="2540"/>
      <c r="R360" s="2540"/>
      <c r="S360" s="2540"/>
      <c r="T360" s="2540"/>
    </row>
    <row r="361" spans="1:20">
      <c r="A361" s="2540"/>
      <c r="B361" s="2540"/>
      <c r="C361" s="2540"/>
      <c r="D361" s="2540"/>
      <c r="E361" s="2540"/>
      <c r="F361" s="2540"/>
      <c r="G361" s="2540"/>
      <c r="H361" s="2540"/>
      <c r="I361" s="2541"/>
      <c r="J361" s="2540"/>
      <c r="K361" s="2540"/>
      <c r="L361" s="2540"/>
      <c r="M361" s="2540"/>
      <c r="N361" s="2540"/>
      <c r="O361" s="2540"/>
      <c r="P361" s="2540"/>
      <c r="Q361" s="2540"/>
      <c r="R361" s="2540"/>
      <c r="S361" s="2540"/>
      <c r="T361" s="2540"/>
    </row>
    <row r="362" spans="1:20">
      <c r="A362" s="2540"/>
      <c r="B362" s="2540"/>
      <c r="C362" s="2540"/>
      <c r="D362" s="2540"/>
      <c r="E362" s="2540"/>
      <c r="F362" s="2540"/>
      <c r="G362" s="2540"/>
      <c r="H362" s="2540"/>
      <c r="I362" s="2541"/>
      <c r="J362" s="2540"/>
      <c r="K362" s="2540"/>
      <c r="L362" s="2540"/>
      <c r="M362" s="2540"/>
      <c r="N362" s="2540"/>
      <c r="O362" s="2540"/>
      <c r="P362" s="2540"/>
      <c r="Q362" s="2540"/>
      <c r="R362" s="2540"/>
      <c r="S362" s="2540"/>
      <c r="T362" s="2540"/>
    </row>
    <row r="363" spans="1:20">
      <c r="A363" s="2540"/>
      <c r="B363" s="2540"/>
      <c r="C363" s="2540"/>
      <c r="D363" s="2540"/>
      <c r="E363" s="2540"/>
      <c r="F363" s="2540"/>
      <c r="G363" s="2540"/>
      <c r="H363" s="2540"/>
      <c r="I363" s="2541"/>
      <c r="J363" s="2540"/>
      <c r="K363" s="2540"/>
      <c r="L363" s="2540"/>
      <c r="M363" s="2540"/>
      <c r="N363" s="2540"/>
      <c r="O363" s="2540"/>
      <c r="P363" s="2540"/>
      <c r="Q363" s="2540"/>
      <c r="R363" s="2540"/>
      <c r="S363" s="2540"/>
      <c r="T363" s="2540"/>
    </row>
    <row r="364" spans="1:20">
      <c r="A364" s="2540"/>
      <c r="B364" s="2540"/>
      <c r="C364" s="2540"/>
      <c r="D364" s="2540"/>
      <c r="E364" s="2540"/>
      <c r="F364" s="2540"/>
      <c r="G364" s="2540"/>
      <c r="H364" s="2540"/>
      <c r="I364" s="2541"/>
      <c r="J364" s="2540"/>
      <c r="K364" s="2540"/>
      <c r="L364" s="2540"/>
      <c r="M364" s="2540"/>
      <c r="N364" s="2540"/>
      <c r="O364" s="2540"/>
      <c r="P364" s="2540"/>
      <c r="Q364" s="2540"/>
      <c r="R364" s="2540"/>
      <c r="S364" s="2540"/>
      <c r="T364" s="2540"/>
    </row>
    <row r="365" spans="1:20">
      <c r="A365" s="2540"/>
      <c r="B365" s="2540"/>
      <c r="C365" s="2540"/>
      <c r="D365" s="2540"/>
      <c r="E365" s="2540"/>
      <c r="F365" s="2540"/>
      <c r="G365" s="2540"/>
      <c r="H365" s="2540"/>
      <c r="I365" s="2541"/>
      <c r="J365" s="2540"/>
      <c r="K365" s="2540"/>
      <c r="L365" s="2540"/>
      <c r="M365" s="2540"/>
      <c r="N365" s="2540"/>
      <c r="O365" s="2540"/>
      <c r="P365" s="2540"/>
      <c r="Q365" s="2540"/>
      <c r="R365" s="2540"/>
      <c r="S365" s="2540"/>
      <c r="T365" s="2540"/>
    </row>
    <row r="366" spans="1:20">
      <c r="A366" s="2540"/>
      <c r="B366" s="2540"/>
      <c r="C366" s="2540"/>
      <c r="D366" s="2540"/>
      <c r="E366" s="2540"/>
      <c r="F366" s="2540"/>
      <c r="G366" s="2540"/>
      <c r="H366" s="2540"/>
      <c r="I366" s="2541"/>
      <c r="J366" s="2540"/>
      <c r="K366" s="2540"/>
      <c r="L366" s="2540"/>
      <c r="M366" s="2540"/>
      <c r="N366" s="2540"/>
      <c r="O366" s="2540"/>
      <c r="P366" s="2540"/>
      <c r="Q366" s="2540"/>
      <c r="R366" s="2540"/>
      <c r="S366" s="2540"/>
      <c r="T366" s="2540"/>
    </row>
    <row r="367" spans="1:20">
      <c r="A367" s="2540"/>
      <c r="B367" s="2540"/>
      <c r="C367" s="2540"/>
      <c r="D367" s="2540"/>
      <c r="E367" s="2540"/>
      <c r="F367" s="2540"/>
      <c r="G367" s="2540"/>
      <c r="H367" s="2540"/>
      <c r="I367" s="2541"/>
      <c r="J367" s="2540"/>
      <c r="K367" s="2540"/>
      <c r="L367" s="2540"/>
      <c r="M367" s="2540"/>
      <c r="N367" s="2540"/>
      <c r="O367" s="2540"/>
      <c r="P367" s="2540"/>
      <c r="Q367" s="2540"/>
      <c r="R367" s="2540"/>
      <c r="S367" s="2540"/>
      <c r="T367" s="2540"/>
    </row>
    <row r="368" spans="1:20">
      <c r="A368" s="2540"/>
      <c r="B368" s="2540"/>
      <c r="C368" s="2540"/>
      <c r="D368" s="2540"/>
      <c r="E368" s="2540"/>
      <c r="F368" s="2540"/>
      <c r="G368" s="2540"/>
      <c r="H368" s="2540"/>
      <c r="I368" s="2541"/>
      <c r="J368" s="2540"/>
      <c r="K368" s="2540"/>
      <c r="L368" s="2540"/>
      <c r="M368" s="2540"/>
      <c r="N368" s="2540"/>
      <c r="O368" s="2540"/>
      <c r="P368" s="2540"/>
      <c r="Q368" s="2540"/>
      <c r="R368" s="2540"/>
      <c r="S368" s="2540"/>
      <c r="T368" s="2540"/>
    </row>
    <row r="369" spans="1:20">
      <c r="A369" s="2540"/>
      <c r="B369" s="2540"/>
      <c r="C369" s="2540"/>
      <c r="D369" s="2540"/>
      <c r="E369" s="2540"/>
      <c r="F369" s="2540"/>
      <c r="G369" s="2540"/>
      <c r="H369" s="2540"/>
      <c r="I369" s="2541"/>
      <c r="J369" s="2540"/>
      <c r="K369" s="2540"/>
      <c r="L369" s="2540"/>
      <c r="M369" s="2540"/>
      <c r="N369" s="2540"/>
      <c r="O369" s="2540"/>
      <c r="P369" s="2540"/>
      <c r="Q369" s="2540"/>
      <c r="R369" s="2540"/>
      <c r="S369" s="2540"/>
      <c r="T369" s="2540"/>
    </row>
    <row r="370" spans="1:20">
      <c r="A370" s="2540"/>
      <c r="B370" s="2540"/>
      <c r="C370" s="2540"/>
      <c r="D370" s="2540"/>
      <c r="E370" s="2540"/>
      <c r="F370" s="2540"/>
      <c r="G370" s="2540"/>
      <c r="H370" s="2540"/>
      <c r="I370" s="2541"/>
      <c r="J370" s="2540"/>
      <c r="K370" s="2540"/>
      <c r="L370" s="2540"/>
      <c r="M370" s="2540"/>
      <c r="N370" s="2540"/>
      <c r="O370" s="2540"/>
      <c r="P370" s="2540"/>
      <c r="Q370" s="2540"/>
      <c r="R370" s="2540"/>
      <c r="S370" s="2540"/>
      <c r="T370" s="2540"/>
    </row>
    <row r="371" spans="1:20">
      <c r="A371" s="2540"/>
      <c r="B371" s="2540"/>
      <c r="C371" s="2540"/>
      <c r="D371" s="2540"/>
      <c r="E371" s="2540"/>
      <c r="F371" s="2540"/>
      <c r="G371" s="2540"/>
      <c r="H371" s="2540"/>
      <c r="I371" s="2541"/>
      <c r="J371" s="2540"/>
      <c r="K371" s="2540"/>
      <c r="L371" s="2540"/>
      <c r="M371" s="2540"/>
      <c r="N371" s="2540"/>
      <c r="O371" s="2540"/>
      <c r="P371" s="2540"/>
      <c r="Q371" s="2540"/>
      <c r="R371" s="2540"/>
      <c r="S371" s="2540"/>
      <c r="T371" s="2540"/>
    </row>
    <row r="372" spans="1:20">
      <c r="A372" s="2540"/>
      <c r="B372" s="2540"/>
      <c r="C372" s="2540"/>
      <c r="D372" s="2540"/>
      <c r="E372" s="2540"/>
      <c r="F372" s="2540"/>
      <c r="G372" s="2540"/>
      <c r="H372" s="2540"/>
      <c r="I372" s="2541"/>
      <c r="J372" s="2540"/>
      <c r="K372" s="2540"/>
      <c r="L372" s="2540"/>
      <c r="M372" s="2540"/>
      <c r="N372" s="2540"/>
      <c r="O372" s="2540"/>
      <c r="P372" s="2540"/>
      <c r="Q372" s="2540"/>
      <c r="R372" s="2540"/>
      <c r="S372" s="2540"/>
      <c r="T372" s="2540"/>
    </row>
    <row r="373" spans="1:20">
      <c r="A373" s="2540"/>
      <c r="B373" s="2540"/>
      <c r="C373" s="2540"/>
      <c r="D373" s="2540"/>
      <c r="E373" s="2540"/>
      <c r="F373" s="2540"/>
      <c r="G373" s="2540"/>
      <c r="H373" s="2540"/>
      <c r="I373" s="2541"/>
      <c r="J373" s="2540"/>
      <c r="K373" s="2540"/>
      <c r="L373" s="2540"/>
      <c r="M373" s="2540"/>
      <c r="N373" s="2540"/>
      <c r="O373" s="2540"/>
      <c r="P373" s="2540"/>
      <c r="Q373" s="2540"/>
      <c r="R373" s="2540"/>
      <c r="S373" s="2540"/>
      <c r="T373" s="2540"/>
    </row>
    <row r="374" spans="1:20">
      <c r="A374" s="2540"/>
      <c r="B374" s="2540"/>
      <c r="C374" s="2540"/>
      <c r="D374" s="2540"/>
      <c r="E374" s="2540"/>
      <c r="F374" s="2540"/>
      <c r="G374" s="2540"/>
      <c r="H374" s="2540"/>
      <c r="I374" s="2541"/>
      <c r="J374" s="2540"/>
      <c r="K374" s="2540"/>
      <c r="L374" s="2540"/>
      <c r="M374" s="2540"/>
      <c r="N374" s="2540"/>
      <c r="O374" s="2540"/>
      <c r="P374" s="2540"/>
      <c r="Q374" s="2540"/>
      <c r="R374" s="2540"/>
      <c r="S374" s="2540"/>
      <c r="T374" s="2540"/>
    </row>
    <row r="375" spans="1:20">
      <c r="A375" s="2540"/>
      <c r="B375" s="2540"/>
      <c r="C375" s="2540"/>
      <c r="D375" s="2540"/>
      <c r="E375" s="2540"/>
      <c r="F375" s="2540"/>
      <c r="G375" s="2540"/>
      <c r="H375" s="2540"/>
      <c r="I375" s="2541"/>
      <c r="J375" s="2540"/>
      <c r="K375" s="2540"/>
      <c r="L375" s="2540"/>
      <c r="M375" s="2540"/>
      <c r="N375" s="2540"/>
      <c r="O375" s="2540"/>
      <c r="P375" s="2540"/>
      <c r="Q375" s="2540"/>
      <c r="R375" s="2540"/>
      <c r="S375" s="2540"/>
      <c r="T375" s="2540"/>
    </row>
    <row r="376" spans="1:20">
      <c r="A376" s="2540"/>
      <c r="B376" s="2540"/>
      <c r="C376" s="2540"/>
      <c r="D376" s="2540"/>
      <c r="E376" s="2540"/>
      <c r="F376" s="2540"/>
      <c r="G376" s="2540"/>
      <c r="H376" s="2540"/>
      <c r="I376" s="2541"/>
      <c r="J376" s="2540"/>
      <c r="K376" s="2540"/>
      <c r="L376" s="2540"/>
      <c r="M376" s="2540"/>
      <c r="N376" s="2540"/>
      <c r="O376" s="2540"/>
      <c r="P376" s="2540"/>
      <c r="Q376" s="2540"/>
      <c r="R376" s="2540"/>
      <c r="S376" s="2540"/>
      <c r="T376" s="2540"/>
    </row>
    <row r="377" spans="1:20">
      <c r="A377" s="2540"/>
      <c r="B377" s="2540"/>
      <c r="C377" s="2540"/>
      <c r="D377" s="2540"/>
      <c r="E377" s="2540"/>
      <c r="F377" s="2540"/>
      <c r="G377" s="2540"/>
      <c r="H377" s="2540"/>
      <c r="I377" s="2541"/>
      <c r="J377" s="2540"/>
      <c r="K377" s="2540"/>
      <c r="L377" s="2540"/>
      <c r="M377" s="2540"/>
      <c r="N377" s="2540"/>
      <c r="O377" s="2540"/>
      <c r="P377" s="2540"/>
      <c r="Q377" s="2540"/>
      <c r="R377" s="2540"/>
      <c r="S377" s="2540"/>
      <c r="T377" s="2540"/>
    </row>
    <row r="378" spans="1:20">
      <c r="A378" s="2540"/>
      <c r="B378" s="2540"/>
      <c r="C378" s="2540"/>
      <c r="D378" s="2540"/>
      <c r="E378" s="2540"/>
      <c r="F378" s="2540"/>
      <c r="G378" s="2540"/>
      <c r="H378" s="2540"/>
      <c r="I378" s="2541"/>
      <c r="J378" s="2540"/>
      <c r="K378" s="2540"/>
      <c r="L378" s="2540"/>
      <c r="M378" s="2540"/>
      <c r="N378" s="2540"/>
      <c r="O378" s="2540"/>
      <c r="P378" s="2540"/>
      <c r="Q378" s="2540"/>
      <c r="R378" s="2540"/>
      <c r="S378" s="2540"/>
      <c r="T378" s="2540"/>
    </row>
    <row r="379" spans="1:20">
      <c r="A379" s="2540"/>
      <c r="B379" s="2540"/>
      <c r="C379" s="2540"/>
      <c r="D379" s="2540"/>
      <c r="E379" s="2540"/>
      <c r="F379" s="2540"/>
      <c r="G379" s="2540"/>
      <c r="H379" s="2540"/>
      <c r="I379" s="2541"/>
      <c r="J379" s="2540"/>
      <c r="K379" s="2540"/>
      <c r="L379" s="2540"/>
      <c r="M379" s="2540"/>
      <c r="N379" s="2540"/>
      <c r="O379" s="2540"/>
      <c r="P379" s="2540"/>
      <c r="Q379" s="2540"/>
      <c r="R379" s="2540"/>
      <c r="S379" s="2540"/>
      <c r="T379" s="2540"/>
    </row>
    <row r="380" spans="1:20">
      <c r="A380" s="2540"/>
      <c r="B380" s="2540"/>
      <c r="C380" s="2540"/>
      <c r="D380" s="2540"/>
      <c r="E380" s="2540"/>
      <c r="F380" s="2540"/>
      <c r="G380" s="2540"/>
      <c r="H380" s="2540"/>
      <c r="I380" s="2541"/>
      <c r="J380" s="2540"/>
      <c r="K380" s="2540"/>
      <c r="L380" s="2540"/>
      <c r="M380" s="2540"/>
      <c r="N380" s="2540"/>
      <c r="O380" s="2540"/>
      <c r="P380" s="2540"/>
      <c r="Q380" s="2540"/>
      <c r="R380" s="2540"/>
      <c r="S380" s="2540"/>
      <c r="T380" s="2540"/>
    </row>
    <row r="381" spans="1:20">
      <c r="A381" s="2540"/>
      <c r="B381" s="2540"/>
      <c r="C381" s="2540"/>
      <c r="D381" s="2540"/>
      <c r="E381" s="2540"/>
      <c r="F381" s="2540"/>
      <c r="G381" s="2540"/>
      <c r="H381" s="2540"/>
      <c r="I381" s="2541"/>
      <c r="J381" s="2540"/>
      <c r="K381" s="2540"/>
      <c r="L381" s="2540"/>
      <c r="M381" s="2540"/>
      <c r="N381" s="2540"/>
      <c r="O381" s="2540"/>
      <c r="P381" s="2540"/>
      <c r="Q381" s="2540"/>
      <c r="R381" s="2540"/>
      <c r="S381" s="2540"/>
      <c r="T381" s="2540"/>
    </row>
    <row r="382" spans="1:20">
      <c r="A382" s="2540"/>
      <c r="B382" s="2540"/>
      <c r="C382" s="2540"/>
      <c r="D382" s="2540"/>
      <c r="E382" s="2540"/>
      <c r="F382" s="2540"/>
      <c r="G382" s="2540"/>
      <c r="H382" s="2540"/>
      <c r="I382" s="2541"/>
      <c r="J382" s="2540"/>
      <c r="K382" s="2540"/>
      <c r="L382" s="2540"/>
      <c r="M382" s="2540"/>
      <c r="N382" s="2540"/>
      <c r="O382" s="2540"/>
      <c r="P382" s="2540"/>
      <c r="Q382" s="2540"/>
      <c r="R382" s="2540"/>
      <c r="S382" s="2540"/>
      <c r="T382" s="2540"/>
    </row>
    <row r="383" spans="1:20">
      <c r="A383" s="2540"/>
      <c r="B383" s="2540"/>
      <c r="C383" s="2540"/>
      <c r="D383" s="2540"/>
      <c r="E383" s="2540"/>
      <c r="F383" s="2540"/>
      <c r="G383" s="2540"/>
      <c r="H383" s="2540"/>
      <c r="I383" s="2541"/>
      <c r="J383" s="2540"/>
      <c r="K383" s="2540"/>
      <c r="L383" s="2540"/>
      <c r="M383" s="2540"/>
      <c r="N383" s="2540"/>
      <c r="O383" s="2540"/>
      <c r="P383" s="2540"/>
      <c r="Q383" s="2540"/>
      <c r="R383" s="2540"/>
      <c r="S383" s="2540"/>
      <c r="T383" s="2540"/>
    </row>
    <row r="384" spans="1:20">
      <c r="A384" s="2540"/>
      <c r="B384" s="2540"/>
      <c r="C384" s="2540"/>
      <c r="D384" s="2540"/>
      <c r="E384" s="2540"/>
      <c r="F384" s="2540"/>
      <c r="G384" s="2540"/>
      <c r="H384" s="2540"/>
      <c r="I384" s="2541"/>
      <c r="J384" s="2540"/>
      <c r="K384" s="2540"/>
      <c r="L384" s="2540"/>
      <c r="M384" s="2540"/>
      <c r="N384" s="2540"/>
      <c r="O384" s="2540"/>
      <c r="P384" s="2540"/>
      <c r="Q384" s="2540"/>
      <c r="R384" s="2540"/>
      <c r="S384" s="2540"/>
      <c r="T384" s="2540"/>
    </row>
    <row r="385" spans="1:20">
      <c r="A385" s="2540"/>
      <c r="B385" s="2540"/>
      <c r="C385" s="2540"/>
      <c r="D385" s="2540"/>
      <c r="E385" s="2540"/>
      <c r="F385" s="2540"/>
      <c r="G385" s="2540"/>
      <c r="H385" s="2540"/>
      <c r="I385" s="2541"/>
      <c r="J385" s="2540"/>
      <c r="K385" s="2540"/>
      <c r="L385" s="2540"/>
      <c r="M385" s="2540"/>
      <c r="N385" s="2540"/>
      <c r="O385" s="2540"/>
      <c r="P385" s="2540"/>
      <c r="Q385" s="2540"/>
      <c r="R385" s="2540"/>
      <c r="S385" s="2540"/>
      <c r="T385" s="2540"/>
    </row>
    <row r="386" spans="1:20">
      <c r="A386" s="2540"/>
      <c r="B386" s="2540"/>
      <c r="C386" s="2540"/>
      <c r="D386" s="2540"/>
      <c r="E386" s="2540"/>
      <c r="F386" s="2540"/>
      <c r="G386" s="2540"/>
      <c r="H386" s="2540"/>
      <c r="I386" s="2541"/>
      <c r="J386" s="2540"/>
      <c r="K386" s="2540"/>
      <c r="L386" s="2540"/>
      <c r="M386" s="2540"/>
      <c r="N386" s="2540"/>
      <c r="O386" s="2540"/>
      <c r="P386" s="2540"/>
      <c r="Q386" s="2540"/>
      <c r="R386" s="2540"/>
      <c r="S386" s="2540"/>
      <c r="T386" s="2540"/>
    </row>
    <row r="387" spans="1:20">
      <c r="A387" s="2540"/>
      <c r="B387" s="2540"/>
      <c r="C387" s="2540"/>
      <c r="D387" s="2540"/>
      <c r="E387" s="2540"/>
      <c r="F387" s="2540"/>
      <c r="G387" s="2540"/>
      <c r="H387" s="2540"/>
      <c r="I387" s="2541"/>
      <c r="J387" s="2540"/>
      <c r="K387" s="2540"/>
      <c r="L387" s="2540"/>
      <c r="M387" s="2540"/>
      <c r="N387" s="2540"/>
      <c r="O387" s="2540"/>
      <c r="P387" s="2540"/>
      <c r="Q387" s="2540"/>
      <c r="R387" s="2540"/>
      <c r="S387" s="2540"/>
      <c r="T387" s="2540"/>
    </row>
    <row r="388" spans="1:20">
      <c r="A388" s="2540"/>
      <c r="B388" s="2540"/>
      <c r="C388" s="2540"/>
      <c r="D388" s="2540"/>
      <c r="E388" s="2540"/>
      <c r="F388" s="2540"/>
      <c r="G388" s="2540"/>
      <c r="H388" s="2540"/>
      <c r="I388" s="2541"/>
      <c r="J388" s="2540"/>
      <c r="K388" s="2540"/>
      <c r="L388" s="2540"/>
      <c r="M388" s="2540"/>
      <c r="N388" s="2540"/>
      <c r="O388" s="2540"/>
      <c r="P388" s="2540"/>
      <c r="Q388" s="2540"/>
      <c r="R388" s="2540"/>
      <c r="S388" s="2540"/>
      <c r="T388" s="2540"/>
    </row>
    <row r="389" spans="1:20">
      <c r="A389" s="2540"/>
      <c r="B389" s="2540"/>
      <c r="C389" s="2540"/>
      <c r="D389" s="2540"/>
      <c r="E389" s="2540"/>
      <c r="F389" s="2540"/>
      <c r="G389" s="2540"/>
      <c r="H389" s="2540"/>
      <c r="I389" s="2541"/>
      <c r="J389" s="2540"/>
      <c r="K389" s="2540"/>
      <c r="L389" s="2540"/>
      <c r="M389" s="2540"/>
      <c r="N389" s="2540"/>
      <c r="O389" s="2540"/>
      <c r="P389" s="2540"/>
      <c r="Q389" s="2540"/>
      <c r="R389" s="2540"/>
      <c r="S389" s="2540"/>
      <c r="T389" s="2540"/>
    </row>
    <row r="390" spans="1:20">
      <c r="A390" s="2540"/>
      <c r="B390" s="2540"/>
      <c r="C390" s="2540"/>
      <c r="D390" s="2540"/>
      <c r="E390" s="2540"/>
      <c r="F390" s="2540"/>
      <c r="G390" s="2540"/>
      <c r="H390" s="2540"/>
      <c r="I390" s="2541"/>
      <c r="J390" s="2540"/>
      <c r="K390" s="2540"/>
      <c r="L390" s="2540"/>
      <c r="M390" s="2540"/>
      <c r="N390" s="2540"/>
      <c r="O390" s="2540"/>
      <c r="P390" s="2540"/>
      <c r="Q390" s="2540"/>
      <c r="R390" s="2540"/>
      <c r="S390" s="2540"/>
      <c r="T390" s="2540"/>
    </row>
    <row r="391" spans="1:20">
      <c r="A391" s="2540"/>
      <c r="B391" s="2540"/>
      <c r="C391" s="2540"/>
      <c r="D391" s="2540"/>
      <c r="E391" s="2540"/>
      <c r="F391" s="2540"/>
      <c r="G391" s="2540"/>
      <c r="H391" s="2540"/>
      <c r="I391" s="2541"/>
      <c r="J391" s="2540"/>
      <c r="K391" s="2540"/>
      <c r="L391" s="2540"/>
      <c r="M391" s="2540"/>
      <c r="N391" s="2540"/>
      <c r="O391" s="2540"/>
      <c r="P391" s="2540"/>
      <c r="Q391" s="2540"/>
      <c r="R391" s="2540"/>
      <c r="S391" s="2540"/>
      <c r="T391" s="2540"/>
    </row>
    <row r="392" spans="1:20">
      <c r="A392" s="2540"/>
      <c r="B392" s="2540"/>
      <c r="C392" s="2540"/>
      <c r="D392" s="2540"/>
      <c r="E392" s="2540"/>
      <c r="F392" s="2540"/>
      <c r="G392" s="2540"/>
      <c r="H392" s="2540"/>
      <c r="I392" s="2541"/>
      <c r="J392" s="2540"/>
      <c r="K392" s="2540"/>
      <c r="L392" s="2540"/>
      <c r="M392" s="2540"/>
      <c r="N392" s="2540"/>
      <c r="O392" s="2540"/>
      <c r="P392" s="2540"/>
      <c r="Q392" s="2540"/>
      <c r="R392" s="2540"/>
      <c r="S392" s="2540"/>
      <c r="T392" s="2540"/>
    </row>
    <row r="393" spans="1:20">
      <c r="A393" s="2540"/>
      <c r="B393" s="2540"/>
      <c r="C393" s="2540"/>
      <c r="D393" s="2540"/>
      <c r="E393" s="2540"/>
      <c r="F393" s="2540"/>
      <c r="G393" s="2540"/>
      <c r="H393" s="2540"/>
      <c r="I393" s="2541"/>
      <c r="J393" s="2540"/>
      <c r="K393" s="2540"/>
      <c r="L393" s="2540"/>
      <c r="M393" s="2540"/>
      <c r="N393" s="2540"/>
      <c r="O393" s="2540"/>
      <c r="P393" s="2540"/>
      <c r="Q393" s="2540"/>
      <c r="R393" s="2540"/>
      <c r="S393" s="2540"/>
      <c r="T393" s="2540"/>
    </row>
    <row r="394" spans="1:20">
      <c r="A394" s="2540"/>
      <c r="B394" s="2540"/>
      <c r="C394" s="2540"/>
      <c r="D394" s="2540"/>
      <c r="E394" s="2540"/>
      <c r="F394" s="2540"/>
      <c r="G394" s="2540"/>
      <c r="H394" s="2540"/>
      <c r="I394" s="2541"/>
      <c r="J394" s="2540"/>
      <c r="K394" s="2540"/>
      <c r="L394" s="2540"/>
      <c r="M394" s="2540"/>
      <c r="N394" s="2540"/>
      <c r="O394" s="2540"/>
      <c r="P394" s="2540"/>
      <c r="Q394" s="2540"/>
      <c r="R394" s="2540"/>
      <c r="S394" s="2540"/>
      <c r="T394" s="2540"/>
    </row>
    <row r="395" spans="1:20">
      <c r="A395" s="2540"/>
      <c r="B395" s="2540"/>
      <c r="C395" s="2540"/>
      <c r="D395" s="2540"/>
      <c r="E395" s="2540"/>
      <c r="F395" s="2540"/>
      <c r="G395" s="2540"/>
      <c r="H395" s="2540"/>
      <c r="I395" s="2541"/>
      <c r="J395" s="2540"/>
      <c r="K395" s="2540"/>
      <c r="L395" s="2540"/>
      <c r="M395" s="2540"/>
      <c r="N395" s="2540"/>
      <c r="O395" s="2540"/>
      <c r="P395" s="2540"/>
      <c r="Q395" s="2540"/>
      <c r="R395" s="2540"/>
      <c r="S395" s="2540"/>
      <c r="T395" s="2540"/>
    </row>
    <row r="396" spans="1:20">
      <c r="A396" s="2540"/>
      <c r="B396" s="2540"/>
      <c r="C396" s="2540"/>
      <c r="D396" s="2540"/>
      <c r="E396" s="2540"/>
      <c r="F396" s="2540"/>
      <c r="G396" s="2540"/>
      <c r="H396" s="2540"/>
      <c r="I396" s="2541"/>
      <c r="J396" s="2540"/>
      <c r="K396" s="2540"/>
      <c r="L396" s="2540"/>
      <c r="M396" s="2540"/>
      <c r="N396" s="2540"/>
      <c r="O396" s="2540"/>
      <c r="P396" s="2540"/>
      <c r="Q396" s="2540"/>
      <c r="R396" s="2540"/>
      <c r="S396" s="2540"/>
      <c r="T396" s="2540"/>
    </row>
    <row r="397" spans="1:20">
      <c r="A397" s="2540"/>
      <c r="B397" s="2540"/>
      <c r="C397" s="2540"/>
      <c r="D397" s="2540"/>
      <c r="E397" s="2540"/>
      <c r="F397" s="2540"/>
      <c r="G397" s="2540"/>
      <c r="H397" s="2540"/>
      <c r="I397" s="2541"/>
      <c r="J397" s="2540"/>
      <c r="K397" s="2540"/>
      <c r="L397" s="2540"/>
      <c r="M397" s="2540"/>
      <c r="N397" s="2540"/>
      <c r="O397" s="2540"/>
      <c r="P397" s="2540"/>
      <c r="Q397" s="2540"/>
      <c r="R397" s="2540"/>
      <c r="S397" s="2540"/>
      <c r="T397" s="2540"/>
    </row>
    <row r="398" spans="1:20">
      <c r="A398" s="2540"/>
      <c r="B398" s="2540"/>
      <c r="C398" s="2540"/>
      <c r="D398" s="2540"/>
      <c r="E398" s="2540"/>
      <c r="F398" s="2540"/>
      <c r="G398" s="2540"/>
      <c r="H398" s="2540"/>
      <c r="I398" s="2541"/>
      <c r="J398" s="2540"/>
      <c r="K398" s="2540"/>
      <c r="L398" s="2540"/>
      <c r="M398" s="2540"/>
      <c r="N398" s="2540"/>
      <c r="O398" s="2540"/>
      <c r="P398" s="2540"/>
      <c r="Q398" s="2540"/>
      <c r="R398" s="2540"/>
      <c r="S398" s="2540"/>
      <c r="T398" s="2540"/>
    </row>
    <row r="399" spans="1:20">
      <c r="A399" s="2540"/>
      <c r="B399" s="2540"/>
      <c r="C399" s="2540"/>
      <c r="D399" s="2540"/>
      <c r="E399" s="2540"/>
      <c r="F399" s="2540"/>
      <c r="G399" s="2540"/>
      <c r="H399" s="2540"/>
      <c r="I399" s="2541"/>
      <c r="J399" s="2540"/>
      <c r="K399" s="2540"/>
      <c r="L399" s="2540"/>
      <c r="M399" s="2540"/>
      <c r="N399" s="2540"/>
      <c r="O399" s="2540"/>
      <c r="P399" s="2540"/>
      <c r="Q399" s="2540"/>
      <c r="R399" s="2540"/>
      <c r="S399" s="2540"/>
      <c r="T399" s="2540"/>
    </row>
    <row r="400" spans="1:20">
      <c r="A400" s="2540"/>
      <c r="B400" s="2540"/>
      <c r="C400" s="2540"/>
      <c r="D400" s="2540"/>
      <c r="E400" s="2540"/>
      <c r="F400" s="2540"/>
      <c r="G400" s="2540"/>
      <c r="H400" s="2540"/>
      <c r="I400" s="2541"/>
      <c r="J400" s="2540"/>
      <c r="K400" s="2540"/>
      <c r="L400" s="2540"/>
      <c r="M400" s="2540"/>
      <c r="N400" s="2540"/>
      <c r="O400" s="2540"/>
      <c r="P400" s="2540"/>
      <c r="Q400" s="2540"/>
      <c r="R400" s="2540"/>
      <c r="S400" s="2540"/>
      <c r="T400" s="2540"/>
    </row>
    <row r="401" spans="1:20">
      <c r="A401" s="2540"/>
      <c r="B401" s="2540"/>
      <c r="C401" s="2540"/>
      <c r="D401" s="2540"/>
      <c r="E401" s="2540"/>
      <c r="F401" s="2540"/>
      <c r="G401" s="2540"/>
      <c r="H401" s="2540"/>
      <c r="I401" s="2541"/>
      <c r="J401" s="2540"/>
      <c r="K401" s="2540"/>
      <c r="L401" s="2540"/>
      <c r="M401" s="2540"/>
      <c r="N401" s="2540"/>
      <c r="O401" s="2540"/>
      <c r="P401" s="2540"/>
      <c r="Q401" s="2540"/>
      <c r="R401" s="2540"/>
      <c r="S401" s="2540"/>
      <c r="T401" s="2540"/>
    </row>
    <row r="402" spans="1:20">
      <c r="A402" s="2540"/>
      <c r="B402" s="2540"/>
      <c r="C402" s="2540"/>
      <c r="D402" s="2540"/>
      <c r="E402" s="2540"/>
      <c r="F402" s="2540"/>
      <c r="G402" s="2540"/>
      <c r="H402" s="2540"/>
      <c r="I402" s="2541"/>
      <c r="J402" s="2540"/>
      <c r="K402" s="2540"/>
      <c r="L402" s="2540"/>
      <c r="M402" s="2540"/>
      <c r="N402" s="2540"/>
      <c r="O402" s="2540"/>
      <c r="P402" s="2540"/>
      <c r="Q402" s="2540"/>
      <c r="R402" s="2540"/>
      <c r="S402" s="2540"/>
      <c r="T402" s="2540"/>
    </row>
    <row r="403" spans="1:20">
      <c r="A403" s="2540"/>
      <c r="B403" s="2540"/>
      <c r="C403" s="2540"/>
      <c r="D403" s="2540"/>
      <c r="E403" s="2540"/>
      <c r="F403" s="2540"/>
      <c r="G403" s="2540"/>
      <c r="H403" s="2540"/>
      <c r="I403" s="2541"/>
      <c r="J403" s="2540"/>
      <c r="K403" s="2540"/>
      <c r="L403" s="2540"/>
      <c r="M403" s="2540"/>
      <c r="N403" s="2540"/>
      <c r="O403" s="2540"/>
      <c r="P403" s="2540"/>
      <c r="Q403" s="2540"/>
      <c r="R403" s="2540"/>
      <c r="S403" s="2540"/>
      <c r="T403" s="2540"/>
    </row>
    <row r="404" spans="1:20">
      <c r="A404" s="2540"/>
      <c r="B404" s="2540"/>
      <c r="C404" s="2540"/>
      <c r="D404" s="2540"/>
      <c r="E404" s="2540"/>
      <c r="F404" s="2540"/>
      <c r="G404" s="2540"/>
      <c r="H404" s="2540"/>
      <c r="I404" s="2541"/>
      <c r="J404" s="2540"/>
      <c r="K404" s="2540"/>
      <c r="L404" s="2540"/>
      <c r="M404" s="2540"/>
      <c r="N404" s="2540"/>
      <c r="O404" s="2540"/>
      <c r="P404" s="2540"/>
      <c r="Q404" s="2540"/>
      <c r="R404" s="2540"/>
      <c r="S404" s="2540"/>
      <c r="T404" s="2540"/>
    </row>
    <row r="405" spans="1:20">
      <c r="A405" s="2540"/>
      <c r="B405" s="2540"/>
      <c r="C405" s="2540"/>
      <c r="D405" s="2540"/>
      <c r="E405" s="2540"/>
      <c r="F405" s="2540"/>
      <c r="G405" s="2540"/>
      <c r="H405" s="2540"/>
      <c r="I405" s="2541"/>
      <c r="J405" s="2540"/>
      <c r="K405" s="2540"/>
      <c r="L405" s="2540"/>
      <c r="M405" s="2540"/>
      <c r="N405" s="2540"/>
      <c r="O405" s="2540"/>
      <c r="P405" s="2540"/>
      <c r="Q405" s="2540"/>
      <c r="R405" s="2540"/>
      <c r="S405" s="2540"/>
      <c r="T405" s="2540"/>
    </row>
    <row r="406" spans="1:20">
      <c r="A406" s="2540"/>
      <c r="B406" s="2540"/>
      <c r="C406" s="2540"/>
      <c r="D406" s="2540"/>
      <c r="E406" s="2540"/>
      <c r="F406" s="2540"/>
      <c r="G406" s="2540"/>
      <c r="H406" s="2540"/>
      <c r="I406" s="2541"/>
      <c r="J406" s="2540"/>
      <c r="K406" s="2540"/>
      <c r="L406" s="2540"/>
      <c r="M406" s="2540"/>
      <c r="N406" s="2540"/>
      <c r="O406" s="2540"/>
      <c r="P406" s="2540"/>
      <c r="Q406" s="2540"/>
      <c r="R406" s="2540"/>
      <c r="S406" s="2540"/>
      <c r="T406" s="2540"/>
    </row>
    <row r="407" spans="1:20">
      <c r="A407" s="2540"/>
      <c r="B407" s="2540"/>
      <c r="C407" s="2540"/>
      <c r="D407" s="2540"/>
      <c r="E407" s="2540"/>
      <c r="F407" s="2540"/>
      <c r="G407" s="2540"/>
      <c r="H407" s="2540"/>
      <c r="I407" s="2541"/>
      <c r="J407" s="2540"/>
      <c r="K407" s="2540"/>
      <c r="L407" s="2540"/>
      <c r="M407" s="2540"/>
      <c r="N407" s="2540"/>
      <c r="O407" s="2540"/>
      <c r="P407" s="2540"/>
      <c r="Q407" s="2540"/>
      <c r="R407" s="2540"/>
      <c r="S407" s="2540"/>
      <c r="T407" s="2540"/>
    </row>
    <row r="408" spans="1:20">
      <c r="A408" s="2540"/>
      <c r="B408" s="2540"/>
      <c r="C408" s="2540"/>
      <c r="D408" s="2540"/>
      <c r="E408" s="2540"/>
      <c r="F408" s="2540"/>
      <c r="G408" s="2540"/>
      <c r="H408" s="2540"/>
      <c r="I408" s="2541"/>
      <c r="J408" s="2540"/>
      <c r="K408" s="2540"/>
      <c r="L408" s="2540"/>
      <c r="M408" s="2540"/>
      <c r="N408" s="2540"/>
      <c r="O408" s="2540"/>
      <c r="P408" s="2540"/>
      <c r="Q408" s="2540"/>
      <c r="R408" s="2540"/>
      <c r="S408" s="2540"/>
      <c r="T408" s="2540"/>
    </row>
    <row r="409" spans="1:20">
      <c r="A409" s="2540"/>
      <c r="B409" s="2540"/>
      <c r="C409" s="2540"/>
      <c r="D409" s="2540"/>
      <c r="E409" s="2540"/>
      <c r="F409" s="2540"/>
      <c r="G409" s="2540"/>
      <c r="H409" s="2540"/>
      <c r="I409" s="2541"/>
      <c r="J409" s="2540"/>
      <c r="K409" s="2540"/>
      <c r="L409" s="2540"/>
      <c r="M409" s="2540"/>
      <c r="N409" s="2540"/>
      <c r="O409" s="2540"/>
      <c r="P409" s="2540"/>
      <c r="Q409" s="2540"/>
      <c r="R409" s="2540"/>
      <c r="S409" s="2540"/>
      <c r="T409" s="2540"/>
    </row>
    <row r="410" spans="1:20">
      <c r="A410" s="2540"/>
      <c r="B410" s="2540"/>
      <c r="C410" s="2540"/>
      <c r="D410" s="2540"/>
      <c r="E410" s="2540"/>
      <c r="F410" s="2540"/>
      <c r="G410" s="2540"/>
      <c r="H410" s="2540"/>
      <c r="I410" s="2541"/>
      <c r="J410" s="2540"/>
      <c r="K410" s="2540"/>
      <c r="L410" s="2540"/>
      <c r="M410" s="2540"/>
      <c r="N410" s="2540"/>
      <c r="O410" s="2540"/>
      <c r="P410" s="2540"/>
      <c r="Q410" s="2540"/>
      <c r="R410" s="2540"/>
      <c r="S410" s="2540"/>
      <c r="T410" s="2540"/>
    </row>
    <row r="411" spans="1:20">
      <c r="A411" s="2540"/>
      <c r="B411" s="2540"/>
      <c r="C411" s="2540"/>
      <c r="D411" s="2540"/>
      <c r="E411" s="2540"/>
      <c r="F411" s="2540"/>
      <c r="G411" s="2540"/>
      <c r="H411" s="2540"/>
      <c r="I411" s="2541"/>
      <c r="J411" s="2540"/>
      <c r="K411" s="2540"/>
      <c r="L411" s="2540"/>
      <c r="M411" s="2540"/>
      <c r="N411" s="2540"/>
      <c r="O411" s="2540"/>
      <c r="P411" s="2540"/>
      <c r="Q411" s="2540"/>
      <c r="R411" s="2540"/>
      <c r="S411" s="2540"/>
      <c r="T411" s="2540"/>
    </row>
    <row r="412" spans="1:20">
      <c r="A412" s="2540"/>
      <c r="B412" s="2540"/>
      <c r="C412" s="2540"/>
      <c r="D412" s="2540"/>
      <c r="E412" s="2540"/>
      <c r="F412" s="2540"/>
      <c r="G412" s="2540"/>
      <c r="H412" s="2540"/>
      <c r="I412" s="2541"/>
      <c r="J412" s="2540"/>
      <c r="K412" s="2540"/>
      <c r="L412" s="2540"/>
      <c r="M412" s="2540"/>
      <c r="N412" s="2540"/>
      <c r="O412" s="2540"/>
      <c r="P412" s="2540"/>
      <c r="Q412" s="2540"/>
      <c r="R412" s="2540"/>
      <c r="S412" s="2540"/>
      <c r="T412" s="2540"/>
    </row>
    <row r="413" spans="1:20">
      <c r="A413" s="2540"/>
      <c r="B413" s="2540"/>
      <c r="C413" s="2540"/>
      <c r="D413" s="2540"/>
      <c r="E413" s="2540"/>
      <c r="F413" s="2540"/>
      <c r="G413" s="2540"/>
      <c r="H413" s="2540"/>
      <c r="I413" s="2541"/>
      <c r="J413" s="2540"/>
      <c r="K413" s="2540"/>
      <c r="L413" s="2540"/>
      <c r="M413" s="2540"/>
      <c r="N413" s="2540"/>
      <c r="O413" s="2540"/>
      <c r="P413" s="2540"/>
      <c r="Q413" s="2540"/>
      <c r="R413" s="2540"/>
      <c r="S413" s="2540"/>
      <c r="T413" s="2540"/>
    </row>
    <row r="414" spans="1:20">
      <c r="A414" s="2540"/>
      <c r="B414" s="2540"/>
      <c r="C414" s="2540"/>
      <c r="D414" s="2540"/>
      <c r="E414" s="2540"/>
      <c r="F414" s="2540"/>
      <c r="G414" s="2540"/>
      <c r="H414" s="2540"/>
      <c r="I414" s="2541"/>
      <c r="J414" s="2540"/>
      <c r="K414" s="2540"/>
      <c r="L414" s="2540"/>
      <c r="M414" s="2540"/>
      <c r="N414" s="2540"/>
      <c r="O414" s="2540"/>
      <c r="P414" s="2540"/>
      <c r="Q414" s="2540"/>
      <c r="R414" s="2540"/>
      <c r="S414" s="2540"/>
      <c r="T414" s="2540"/>
    </row>
    <row r="415" spans="1:20">
      <c r="A415" s="2540"/>
      <c r="B415" s="2540"/>
      <c r="C415" s="2540"/>
      <c r="D415" s="2540"/>
      <c r="E415" s="2540"/>
      <c r="F415" s="2540"/>
      <c r="G415" s="2540"/>
      <c r="H415" s="2540"/>
      <c r="I415" s="2541"/>
      <c r="J415" s="2540"/>
      <c r="K415" s="2540"/>
      <c r="L415" s="2540"/>
      <c r="M415" s="2540"/>
      <c r="N415" s="2540"/>
      <c r="O415" s="2540"/>
      <c r="P415" s="2540"/>
      <c r="Q415" s="2540"/>
      <c r="R415" s="2540"/>
      <c r="S415" s="2540"/>
      <c r="T415" s="2540"/>
    </row>
    <row r="416" spans="1:20">
      <c r="A416" s="2540"/>
      <c r="B416" s="2540"/>
      <c r="C416" s="2540"/>
      <c r="D416" s="2540"/>
      <c r="E416" s="2540"/>
      <c r="F416" s="2540"/>
      <c r="G416" s="2540"/>
      <c r="H416" s="2540"/>
      <c r="I416" s="2541"/>
      <c r="J416" s="2540"/>
      <c r="K416" s="2540"/>
      <c r="L416" s="2540"/>
      <c r="M416" s="2540"/>
      <c r="N416" s="2540"/>
      <c r="O416" s="2540"/>
      <c r="P416" s="2540"/>
      <c r="Q416" s="2540"/>
      <c r="R416" s="2540"/>
      <c r="S416" s="2540"/>
      <c r="T416" s="2540"/>
    </row>
    <row r="417" spans="1:20">
      <c r="A417" s="2540"/>
      <c r="B417" s="2540"/>
      <c r="C417" s="2540"/>
      <c r="D417" s="2540"/>
      <c r="E417" s="2540"/>
      <c r="F417" s="2540"/>
      <c r="G417" s="2540"/>
      <c r="H417" s="2540"/>
      <c r="I417" s="2541"/>
      <c r="J417" s="2540"/>
      <c r="K417" s="2540"/>
      <c r="L417" s="2540"/>
      <c r="M417" s="2540"/>
      <c r="N417" s="2540"/>
      <c r="O417" s="2540"/>
      <c r="P417" s="2540"/>
      <c r="Q417" s="2540"/>
      <c r="R417" s="2540"/>
      <c r="S417" s="2540"/>
      <c r="T417" s="2540"/>
    </row>
    <row r="418" spans="1:20">
      <c r="A418" s="2540"/>
      <c r="B418" s="2540"/>
      <c r="C418" s="2540"/>
      <c r="D418" s="2540"/>
      <c r="E418" s="2540"/>
      <c r="F418" s="2540"/>
      <c r="G418" s="2540"/>
      <c r="H418" s="2540"/>
      <c r="I418" s="2541"/>
      <c r="J418" s="2540"/>
      <c r="K418" s="2540"/>
      <c r="L418" s="2540"/>
      <c r="M418" s="2540"/>
      <c r="N418" s="2540"/>
      <c r="O418" s="2540"/>
      <c r="P418" s="2540"/>
      <c r="Q418" s="2540"/>
      <c r="R418" s="2540"/>
      <c r="S418" s="2540"/>
      <c r="T418" s="2540"/>
    </row>
    <row r="419" spans="1:20">
      <c r="A419" s="2540"/>
      <c r="B419" s="2540"/>
      <c r="C419" s="2540"/>
      <c r="D419" s="2540"/>
      <c r="E419" s="2540"/>
      <c r="F419" s="2540"/>
      <c r="G419" s="2540"/>
      <c r="H419" s="2540"/>
      <c r="I419" s="2541"/>
      <c r="J419" s="2540"/>
      <c r="K419" s="2540"/>
      <c r="L419" s="2540"/>
      <c r="M419" s="2540"/>
      <c r="N419" s="2540"/>
      <c r="O419" s="2540"/>
      <c r="P419" s="2540"/>
      <c r="Q419" s="2540"/>
      <c r="R419" s="2540"/>
      <c r="S419" s="2540"/>
      <c r="T419" s="2540"/>
    </row>
    <row r="420" spans="1:20">
      <c r="A420" s="2540"/>
      <c r="B420" s="2540"/>
      <c r="C420" s="2540"/>
      <c r="D420" s="2540"/>
      <c r="E420" s="2540"/>
      <c r="F420" s="2540"/>
      <c r="G420" s="2540"/>
      <c r="H420" s="2540"/>
      <c r="I420" s="2541"/>
      <c r="J420" s="2540"/>
      <c r="K420" s="2540"/>
      <c r="L420" s="2540"/>
      <c r="M420" s="2540"/>
      <c r="N420" s="2540"/>
      <c r="O420" s="2540"/>
      <c r="P420" s="2540"/>
      <c r="Q420" s="2540"/>
      <c r="R420" s="2540"/>
      <c r="S420" s="2540"/>
      <c r="T420" s="2540"/>
    </row>
    <row r="421" spans="1:20">
      <c r="A421" s="2540"/>
      <c r="B421" s="2540"/>
      <c r="C421" s="2540"/>
      <c r="D421" s="2540"/>
      <c r="E421" s="2540"/>
      <c r="F421" s="2540"/>
      <c r="G421" s="2540"/>
      <c r="H421" s="2540"/>
      <c r="I421" s="2541"/>
      <c r="J421" s="2540"/>
      <c r="K421" s="2540"/>
      <c r="L421" s="2540"/>
      <c r="M421" s="2540"/>
      <c r="N421" s="2540"/>
      <c r="O421" s="2540"/>
      <c r="P421" s="2540"/>
      <c r="Q421" s="2540"/>
      <c r="R421" s="2540"/>
      <c r="S421" s="2540"/>
      <c r="T421" s="2540"/>
    </row>
    <row r="422" spans="1:20">
      <c r="A422" s="2540"/>
      <c r="B422" s="2540"/>
      <c r="C422" s="2540"/>
      <c r="D422" s="2540"/>
      <c r="E422" s="2540"/>
      <c r="F422" s="2540"/>
      <c r="G422" s="2540"/>
      <c r="H422" s="2540"/>
      <c r="I422" s="2541"/>
      <c r="J422" s="2540"/>
      <c r="K422" s="2540"/>
      <c r="L422" s="2540"/>
      <c r="M422" s="2540"/>
      <c r="N422" s="2540"/>
      <c r="O422" s="2540"/>
      <c r="P422" s="2540"/>
      <c r="Q422" s="2540"/>
      <c r="R422" s="2540"/>
      <c r="S422" s="2540"/>
      <c r="T422" s="2540"/>
    </row>
    <row r="423" spans="1:20">
      <c r="A423" s="2540"/>
      <c r="B423" s="2540"/>
      <c r="C423" s="2540"/>
      <c r="D423" s="2540"/>
      <c r="E423" s="2540"/>
      <c r="F423" s="2540"/>
      <c r="G423" s="2540"/>
      <c r="H423" s="2540"/>
      <c r="I423" s="2541"/>
      <c r="J423" s="2540"/>
      <c r="K423" s="2540"/>
      <c r="L423" s="2540"/>
      <c r="M423" s="2540"/>
      <c r="N423" s="2540"/>
      <c r="O423" s="2540"/>
      <c r="P423" s="2540"/>
      <c r="Q423" s="2540"/>
      <c r="R423" s="2540"/>
      <c r="S423" s="2540"/>
      <c r="T423" s="2540"/>
    </row>
    <row r="424" spans="1:20">
      <c r="A424" s="2540"/>
      <c r="B424" s="2540"/>
      <c r="C424" s="2540"/>
      <c r="D424" s="2540"/>
      <c r="E424" s="2540"/>
      <c r="F424" s="2540"/>
      <c r="G424" s="2540"/>
      <c r="H424" s="2540"/>
      <c r="I424" s="2541"/>
      <c r="J424" s="2540"/>
      <c r="K424" s="2540"/>
      <c r="L424" s="2540"/>
      <c r="M424" s="2540"/>
      <c r="N424" s="2540"/>
      <c r="O424" s="2540"/>
      <c r="P424" s="2540"/>
      <c r="Q424" s="2540"/>
      <c r="R424" s="2540"/>
      <c r="S424" s="2540"/>
      <c r="T424" s="2540"/>
    </row>
    <row r="425" spans="1:20">
      <c r="A425" s="2540"/>
      <c r="B425" s="2540"/>
      <c r="C425" s="2540"/>
      <c r="D425" s="2540"/>
      <c r="E425" s="2540"/>
      <c r="F425" s="2540"/>
      <c r="G425" s="2540"/>
      <c r="H425" s="2540"/>
      <c r="I425" s="2541"/>
      <c r="J425" s="2540"/>
      <c r="K425" s="2540"/>
      <c r="L425" s="2540"/>
      <c r="M425" s="2540"/>
      <c r="N425" s="2540"/>
      <c r="O425" s="2540"/>
      <c r="P425" s="2540"/>
      <c r="Q425" s="2540"/>
      <c r="R425" s="2540"/>
      <c r="S425" s="2540"/>
      <c r="T425" s="2540"/>
    </row>
    <row r="426" spans="1:20">
      <c r="A426" s="2540"/>
      <c r="B426" s="2540"/>
      <c r="C426" s="2540"/>
      <c r="D426" s="2540"/>
      <c r="E426" s="2540"/>
      <c r="F426" s="2540"/>
      <c r="G426" s="2540"/>
      <c r="H426" s="2540"/>
      <c r="I426" s="2541"/>
      <c r="J426" s="2540"/>
      <c r="K426" s="2540"/>
      <c r="L426" s="2540"/>
      <c r="M426" s="2540"/>
      <c r="N426" s="2540"/>
      <c r="O426" s="2540"/>
      <c r="P426" s="2540"/>
      <c r="Q426" s="2540"/>
      <c r="R426" s="2540"/>
      <c r="S426" s="2540"/>
      <c r="T426" s="2540"/>
    </row>
    <row r="427" spans="1:20">
      <c r="A427" s="2540"/>
      <c r="B427" s="2540"/>
      <c r="C427" s="2540"/>
      <c r="D427" s="2540"/>
      <c r="E427" s="2540"/>
      <c r="F427" s="2540"/>
      <c r="G427" s="2540"/>
      <c r="H427" s="2540"/>
      <c r="I427" s="2541"/>
      <c r="J427" s="2540"/>
      <c r="K427" s="2540"/>
      <c r="L427" s="2540"/>
      <c r="M427" s="2540"/>
      <c r="N427" s="2540"/>
      <c r="O427" s="2540"/>
      <c r="P427" s="2540"/>
      <c r="Q427" s="2540"/>
      <c r="R427" s="2540"/>
      <c r="S427" s="2540"/>
      <c r="T427" s="2540"/>
    </row>
    <row r="428" spans="1:20">
      <c r="A428" s="2540"/>
      <c r="B428" s="2540"/>
      <c r="C428" s="2540"/>
      <c r="D428" s="2540"/>
      <c r="E428" s="2540"/>
      <c r="F428" s="2540"/>
      <c r="G428" s="2540"/>
      <c r="H428" s="2540"/>
      <c r="I428" s="2541"/>
      <c r="J428" s="2540"/>
      <c r="K428" s="2540"/>
      <c r="L428" s="2540"/>
      <c r="M428" s="2540"/>
      <c r="N428" s="2540"/>
      <c r="O428" s="2540"/>
      <c r="P428" s="2540"/>
      <c r="Q428" s="2540"/>
      <c r="R428" s="2540"/>
      <c r="S428" s="2540"/>
      <c r="T428" s="2540"/>
    </row>
    <row r="429" spans="1:20">
      <c r="A429" s="2540"/>
      <c r="B429" s="2540"/>
      <c r="C429" s="2540"/>
      <c r="D429" s="2540"/>
      <c r="E429" s="2540"/>
      <c r="F429" s="2540"/>
      <c r="G429" s="2540"/>
      <c r="H429" s="2540"/>
      <c r="I429" s="2541"/>
      <c r="J429" s="2540"/>
      <c r="K429" s="2540"/>
      <c r="L429" s="2540"/>
      <c r="M429" s="2540"/>
      <c r="N429" s="2540"/>
      <c r="O429" s="2540"/>
      <c r="P429" s="2540"/>
      <c r="Q429" s="2540"/>
      <c r="R429" s="2540"/>
      <c r="S429" s="2540"/>
      <c r="T429" s="2540"/>
    </row>
    <row r="430" spans="1:20">
      <c r="A430" s="2540"/>
      <c r="B430" s="2540"/>
      <c r="C430" s="2540"/>
      <c r="D430" s="2540"/>
      <c r="E430" s="2540"/>
      <c r="F430" s="2540"/>
      <c r="G430" s="2540"/>
      <c r="H430" s="2540"/>
      <c r="I430" s="2541"/>
      <c r="J430" s="2540"/>
      <c r="K430" s="2540"/>
      <c r="L430" s="2540"/>
      <c r="M430" s="2540"/>
      <c r="N430" s="2540"/>
      <c r="O430" s="2540"/>
      <c r="P430" s="2540"/>
      <c r="Q430" s="2540"/>
      <c r="R430" s="2540"/>
      <c r="S430" s="2540"/>
      <c r="T430" s="2540"/>
    </row>
    <row r="431" spans="1:20">
      <c r="A431" s="2540"/>
      <c r="B431" s="2540"/>
      <c r="C431" s="2540"/>
      <c r="D431" s="2540"/>
      <c r="E431" s="2540"/>
      <c r="F431" s="2540"/>
      <c r="G431" s="2540"/>
      <c r="H431" s="2540"/>
      <c r="I431" s="2541"/>
      <c r="J431" s="2540"/>
      <c r="K431" s="2540"/>
      <c r="L431" s="2540"/>
      <c r="M431" s="2540"/>
      <c r="N431" s="2540"/>
      <c r="O431" s="2540"/>
      <c r="P431" s="2540"/>
      <c r="Q431" s="2540"/>
      <c r="R431" s="2540"/>
      <c r="S431" s="2540"/>
      <c r="T431" s="2540"/>
    </row>
    <row r="432" spans="1:20">
      <c r="A432" s="2540"/>
      <c r="B432" s="2540"/>
      <c r="C432" s="2540"/>
      <c r="D432" s="2540"/>
      <c r="E432" s="2540"/>
      <c r="F432" s="2540"/>
      <c r="G432" s="2540"/>
      <c r="H432" s="2540"/>
      <c r="I432" s="2541"/>
      <c r="J432" s="2540"/>
      <c r="K432" s="2540"/>
      <c r="L432" s="2540"/>
      <c r="M432" s="2540"/>
      <c r="N432" s="2540"/>
      <c r="O432" s="2540"/>
      <c r="P432" s="2540"/>
      <c r="Q432" s="2540"/>
      <c r="R432" s="2540"/>
      <c r="S432" s="2540"/>
      <c r="T432" s="2540"/>
    </row>
    <row r="433" spans="1:20">
      <c r="A433" s="2540"/>
      <c r="B433" s="2540"/>
      <c r="C433" s="2540"/>
      <c r="D433" s="2540"/>
      <c r="E433" s="2540"/>
      <c r="F433" s="2540"/>
      <c r="G433" s="2540"/>
      <c r="H433" s="2540"/>
      <c r="I433" s="2541"/>
      <c r="J433" s="2540"/>
      <c r="K433" s="2540"/>
      <c r="L433" s="2540"/>
      <c r="M433" s="2540"/>
      <c r="N433" s="2540"/>
      <c r="O433" s="2540"/>
      <c r="P433" s="2540"/>
      <c r="Q433" s="2540"/>
      <c r="R433" s="2540"/>
      <c r="S433" s="2540"/>
      <c r="T433" s="2540"/>
    </row>
    <row r="434" spans="1:20">
      <c r="A434" s="2540"/>
      <c r="B434" s="2540"/>
      <c r="C434" s="2540"/>
      <c r="D434" s="2540"/>
      <c r="E434" s="2540"/>
      <c r="F434" s="2540"/>
      <c r="G434" s="2540"/>
      <c r="H434" s="2540"/>
      <c r="I434" s="2541"/>
      <c r="J434" s="2540"/>
      <c r="K434" s="2540"/>
      <c r="L434" s="2540"/>
      <c r="M434" s="2540"/>
      <c r="N434" s="2540"/>
      <c r="O434" s="2540"/>
      <c r="P434" s="2540"/>
      <c r="Q434" s="2540"/>
      <c r="R434" s="2540"/>
      <c r="S434" s="2540"/>
      <c r="T434" s="2540"/>
    </row>
    <row r="435" spans="1:20">
      <c r="A435" s="2540"/>
      <c r="B435" s="2540"/>
      <c r="C435" s="2540"/>
      <c r="D435" s="2540"/>
      <c r="E435" s="2540"/>
      <c r="F435" s="2540"/>
      <c r="G435" s="2540"/>
      <c r="H435" s="2540"/>
      <c r="I435" s="2541"/>
      <c r="J435" s="2540"/>
      <c r="K435" s="2540"/>
      <c r="L435" s="2540"/>
      <c r="M435" s="2540"/>
      <c r="N435" s="2540"/>
      <c r="O435" s="2540"/>
      <c r="P435" s="2540"/>
      <c r="Q435" s="2540"/>
      <c r="R435" s="2540"/>
      <c r="S435" s="2540"/>
      <c r="T435" s="2540"/>
    </row>
    <row r="436" spans="1:20">
      <c r="A436" s="2540"/>
      <c r="B436" s="2540"/>
      <c r="C436" s="2540"/>
      <c r="D436" s="2540"/>
      <c r="E436" s="2540"/>
      <c r="F436" s="2540"/>
      <c r="G436" s="2540"/>
      <c r="H436" s="2540"/>
      <c r="I436" s="2541"/>
      <c r="J436" s="2540"/>
      <c r="K436" s="2540"/>
      <c r="L436" s="2540"/>
      <c r="M436" s="2540"/>
      <c r="N436" s="2540"/>
      <c r="O436" s="2540"/>
      <c r="P436" s="2540"/>
      <c r="Q436" s="2540"/>
      <c r="R436" s="2540"/>
      <c r="S436" s="2540"/>
      <c r="T436" s="2540"/>
    </row>
    <row r="437" spans="1:20">
      <c r="A437" s="2540"/>
      <c r="B437" s="2540"/>
      <c r="C437" s="2540"/>
      <c r="D437" s="2540"/>
      <c r="E437" s="2540"/>
      <c r="F437" s="2540"/>
      <c r="G437" s="2540"/>
      <c r="H437" s="2540"/>
      <c r="I437" s="2541"/>
      <c r="J437" s="2540"/>
      <c r="K437" s="2540"/>
      <c r="L437" s="2540"/>
      <c r="M437" s="2540"/>
      <c r="N437" s="2540"/>
      <c r="O437" s="2540"/>
      <c r="P437" s="2540"/>
      <c r="Q437" s="2540"/>
      <c r="R437" s="2540"/>
      <c r="S437" s="2540"/>
      <c r="T437" s="2540"/>
    </row>
    <row r="438" spans="1:20">
      <c r="A438" s="2540"/>
      <c r="B438" s="2540"/>
      <c r="C438" s="2540"/>
      <c r="D438" s="2540"/>
      <c r="E438" s="2540"/>
      <c r="F438" s="2540"/>
      <c r="G438" s="2540"/>
      <c r="H438" s="2540"/>
      <c r="I438" s="2541"/>
      <c r="J438" s="2540"/>
      <c r="K438" s="2540"/>
      <c r="L438" s="2540"/>
      <c r="M438" s="2540"/>
      <c r="N438" s="2540"/>
      <c r="O438" s="2540"/>
      <c r="P438" s="2540"/>
      <c r="Q438" s="2540"/>
      <c r="R438" s="2540"/>
      <c r="S438" s="2540"/>
      <c r="T438" s="2540"/>
    </row>
    <row r="439" spans="1:20">
      <c r="A439" s="2540"/>
      <c r="B439" s="2540"/>
      <c r="C439" s="2540"/>
      <c r="D439" s="2540"/>
      <c r="E439" s="2540"/>
      <c r="F439" s="2540"/>
      <c r="G439" s="2540"/>
      <c r="H439" s="2540"/>
      <c r="I439" s="2541"/>
      <c r="J439" s="2540"/>
      <c r="K439" s="2540"/>
      <c r="L439" s="2540"/>
      <c r="M439" s="2540"/>
      <c r="N439" s="2540"/>
      <c r="O439" s="2540"/>
      <c r="P439" s="2540"/>
      <c r="Q439" s="2540"/>
      <c r="R439" s="2540"/>
      <c r="S439" s="2540"/>
      <c r="T439" s="2540"/>
    </row>
    <row r="440" spans="1:20">
      <c r="A440" s="2540"/>
      <c r="B440" s="2540"/>
      <c r="C440" s="2540"/>
      <c r="D440" s="2540"/>
      <c r="E440" s="2540"/>
      <c r="F440" s="2540"/>
      <c r="G440" s="2540"/>
      <c r="H440" s="2540"/>
      <c r="I440" s="2541"/>
      <c r="J440" s="2540"/>
      <c r="K440" s="2540"/>
      <c r="L440" s="2540"/>
      <c r="M440" s="2540"/>
      <c r="N440" s="2540"/>
      <c r="O440" s="2540"/>
      <c r="P440" s="2540"/>
      <c r="Q440" s="2540"/>
      <c r="R440" s="2540"/>
      <c r="S440" s="2540"/>
      <c r="T440" s="2540"/>
    </row>
    <row r="441" spans="1:20">
      <c r="A441" s="2540"/>
      <c r="B441" s="2540"/>
      <c r="C441" s="2540"/>
      <c r="D441" s="2540"/>
      <c r="E441" s="2540"/>
      <c r="F441" s="2540"/>
      <c r="G441" s="2540"/>
      <c r="H441" s="2540"/>
      <c r="I441" s="2541"/>
      <c r="J441" s="2540"/>
      <c r="K441" s="2540"/>
      <c r="L441" s="2540"/>
      <c r="M441" s="2540"/>
      <c r="N441" s="2540"/>
      <c r="O441" s="2540"/>
      <c r="P441" s="2540"/>
      <c r="Q441" s="2540"/>
      <c r="R441" s="2540"/>
      <c r="S441" s="2540"/>
      <c r="T441" s="2540"/>
    </row>
    <row r="442" spans="1:20">
      <c r="A442" s="2540"/>
      <c r="B442" s="2540"/>
      <c r="C442" s="2540"/>
      <c r="D442" s="2540"/>
      <c r="E442" s="2540"/>
      <c r="F442" s="2540"/>
      <c r="G442" s="2540"/>
      <c r="H442" s="2540"/>
      <c r="I442" s="2541"/>
      <c r="J442" s="2540"/>
      <c r="K442" s="2540"/>
      <c r="L442" s="2540"/>
      <c r="M442" s="2540"/>
      <c r="N442" s="2540"/>
      <c r="O442" s="2540"/>
      <c r="P442" s="2540"/>
      <c r="Q442" s="2540"/>
      <c r="R442" s="2540"/>
      <c r="S442" s="2540"/>
      <c r="T442" s="2540"/>
    </row>
    <row r="443" spans="1:20">
      <c r="A443" s="2540"/>
      <c r="B443" s="2540"/>
      <c r="C443" s="2540"/>
      <c r="D443" s="2540"/>
      <c r="E443" s="2540"/>
      <c r="F443" s="2540"/>
      <c r="G443" s="2540"/>
      <c r="H443" s="2540"/>
      <c r="I443" s="2541"/>
      <c r="J443" s="2540"/>
      <c r="K443" s="2540"/>
      <c r="L443" s="2540"/>
      <c r="M443" s="2540"/>
      <c r="N443" s="2540"/>
      <c r="O443" s="2540"/>
      <c r="P443" s="2540"/>
      <c r="Q443" s="2540"/>
      <c r="R443" s="2540"/>
      <c r="S443" s="2540"/>
      <c r="T443" s="2540"/>
    </row>
    <row r="444" spans="1:20">
      <c r="A444" s="2540"/>
      <c r="B444" s="2540"/>
      <c r="C444" s="2540"/>
      <c r="D444" s="2540"/>
      <c r="E444" s="2540"/>
      <c r="F444" s="2540"/>
      <c r="G444" s="2540"/>
      <c r="H444" s="2540"/>
      <c r="I444" s="2541"/>
      <c r="J444" s="2540"/>
      <c r="K444" s="2540"/>
      <c r="L444" s="2540"/>
      <c r="M444" s="2540"/>
      <c r="N444" s="2540"/>
      <c r="O444" s="2540"/>
      <c r="P444" s="2540"/>
      <c r="Q444" s="2540"/>
      <c r="R444" s="2540"/>
      <c r="S444" s="2540"/>
      <c r="T444" s="2540"/>
    </row>
    <row r="445" spans="1:20">
      <c r="A445" s="2540"/>
      <c r="B445" s="2540"/>
      <c r="C445" s="2540"/>
      <c r="D445" s="2540"/>
      <c r="E445" s="2540"/>
      <c r="F445" s="2540"/>
      <c r="G445" s="2540"/>
      <c r="H445" s="2540"/>
      <c r="I445" s="2541"/>
      <c r="J445" s="2540"/>
      <c r="K445" s="2540"/>
      <c r="L445" s="2540"/>
      <c r="M445" s="2540"/>
      <c r="N445" s="2540"/>
      <c r="O445" s="2540"/>
      <c r="P445" s="2540"/>
      <c r="Q445" s="2540"/>
      <c r="R445" s="2540"/>
      <c r="S445" s="2540"/>
      <c r="T445" s="2540"/>
    </row>
    <row r="446" spans="1:20">
      <c r="A446" s="2540"/>
      <c r="B446" s="2540"/>
      <c r="C446" s="2540"/>
      <c r="D446" s="2540"/>
      <c r="E446" s="2540"/>
      <c r="F446" s="2540"/>
      <c r="G446" s="2540"/>
      <c r="H446" s="2540"/>
      <c r="I446" s="2541"/>
      <c r="J446" s="2540"/>
      <c r="K446" s="2540"/>
      <c r="L446" s="2540"/>
      <c r="M446" s="2540"/>
      <c r="N446" s="2540"/>
      <c r="O446" s="2540"/>
      <c r="P446" s="2540"/>
      <c r="Q446" s="2540"/>
      <c r="R446" s="2540"/>
      <c r="S446" s="2540"/>
      <c r="T446" s="2540"/>
    </row>
    <row r="447" spans="1:20">
      <c r="A447" s="2540"/>
      <c r="B447" s="2540"/>
      <c r="C447" s="2540"/>
      <c r="D447" s="2540"/>
      <c r="E447" s="2540"/>
      <c r="F447" s="2540"/>
      <c r="G447" s="2540"/>
      <c r="H447" s="2540"/>
      <c r="I447" s="2541"/>
      <c r="J447" s="2540"/>
      <c r="K447" s="2540"/>
      <c r="L447" s="2540"/>
      <c r="M447" s="2540"/>
      <c r="N447" s="2540"/>
      <c r="O447" s="2540"/>
      <c r="P447" s="2540"/>
      <c r="Q447" s="2540"/>
      <c r="R447" s="2540"/>
      <c r="S447" s="2540"/>
      <c r="T447" s="2540"/>
    </row>
    <row r="448" spans="1:20">
      <c r="A448" s="2540"/>
      <c r="B448" s="2540"/>
      <c r="C448" s="2540"/>
      <c r="D448" s="2540"/>
      <c r="E448" s="2540"/>
      <c r="F448" s="2540"/>
      <c r="G448" s="2540"/>
      <c r="H448" s="2540"/>
      <c r="I448" s="2541"/>
      <c r="J448" s="2540"/>
      <c r="K448" s="2540"/>
      <c r="L448" s="2540"/>
      <c r="M448" s="2540"/>
      <c r="N448" s="2540"/>
      <c r="O448" s="2540"/>
      <c r="P448" s="2540"/>
      <c r="Q448" s="2540"/>
      <c r="R448" s="2540"/>
      <c r="S448" s="2540"/>
      <c r="T448" s="2540"/>
    </row>
    <row r="449" spans="1:20">
      <c r="A449" s="2540"/>
      <c r="B449" s="2540"/>
      <c r="C449" s="2540"/>
      <c r="D449" s="2540"/>
      <c r="E449" s="2540"/>
      <c r="F449" s="2540"/>
      <c r="G449" s="2540"/>
      <c r="H449" s="2540"/>
      <c r="I449" s="2541"/>
      <c r="J449" s="2540"/>
      <c r="K449" s="2540"/>
      <c r="L449" s="2540"/>
      <c r="M449" s="2540"/>
      <c r="N449" s="2540"/>
      <c r="O449" s="2540"/>
      <c r="P449" s="2540"/>
      <c r="Q449" s="2540"/>
      <c r="R449" s="2540"/>
      <c r="S449" s="2540"/>
      <c r="T449" s="2540"/>
    </row>
    <row r="450" spans="1:20">
      <c r="A450" s="2540"/>
      <c r="B450" s="2540"/>
      <c r="C450" s="2540"/>
      <c r="D450" s="2540"/>
      <c r="E450" s="2540"/>
      <c r="F450" s="2540"/>
      <c r="G450" s="2540"/>
      <c r="H450" s="2540"/>
      <c r="I450" s="2541"/>
      <c r="J450" s="2540"/>
      <c r="K450" s="2540"/>
      <c r="L450" s="2540"/>
      <c r="M450" s="2540"/>
      <c r="N450" s="2540"/>
      <c r="O450" s="2540"/>
      <c r="P450" s="2540"/>
      <c r="Q450" s="2540"/>
      <c r="R450" s="2540"/>
      <c r="S450" s="2540"/>
      <c r="T450" s="2540"/>
    </row>
    <row r="451" spans="1:20">
      <c r="A451" s="2540"/>
      <c r="B451" s="2540"/>
      <c r="C451" s="2540"/>
      <c r="D451" s="2540"/>
      <c r="E451" s="2540"/>
      <c r="F451" s="2540"/>
      <c r="G451" s="2540"/>
      <c r="H451" s="2540"/>
      <c r="I451" s="2541"/>
      <c r="J451" s="2540"/>
      <c r="K451" s="2540"/>
      <c r="L451" s="2540"/>
      <c r="M451" s="2540"/>
      <c r="N451" s="2540"/>
      <c r="O451" s="2540"/>
      <c r="P451" s="2540"/>
      <c r="Q451" s="2540"/>
      <c r="R451" s="2540"/>
      <c r="S451" s="2540"/>
      <c r="T451" s="2540"/>
    </row>
    <row r="452" spans="1:20">
      <c r="A452" s="2540"/>
      <c r="B452" s="2540"/>
      <c r="C452" s="2540"/>
      <c r="D452" s="2540"/>
      <c r="E452" s="2540"/>
      <c r="F452" s="2540"/>
      <c r="G452" s="2540"/>
      <c r="H452" s="2540"/>
      <c r="I452" s="2541"/>
      <c r="J452" s="2540"/>
      <c r="K452" s="2540"/>
      <c r="L452" s="2540"/>
      <c r="M452" s="2540"/>
      <c r="N452" s="2540"/>
      <c r="O452" s="2540"/>
      <c r="P452" s="2540"/>
      <c r="Q452" s="2540"/>
      <c r="R452" s="2540"/>
      <c r="S452" s="2540"/>
      <c r="T452" s="2540"/>
    </row>
    <row r="453" spans="1:20">
      <c r="A453" s="2540"/>
      <c r="B453" s="2540"/>
      <c r="C453" s="2540"/>
      <c r="D453" s="2540"/>
      <c r="E453" s="2540"/>
      <c r="F453" s="2540"/>
      <c r="G453" s="2540"/>
      <c r="H453" s="2540"/>
      <c r="I453" s="2541"/>
      <c r="J453" s="2540"/>
      <c r="K453" s="2540"/>
      <c r="L453" s="2540"/>
      <c r="M453" s="2540"/>
      <c r="N453" s="2540"/>
      <c r="O453" s="2540"/>
      <c r="P453" s="2540"/>
      <c r="Q453" s="2540"/>
      <c r="R453" s="2540"/>
      <c r="S453" s="2540"/>
      <c r="T453" s="2540"/>
    </row>
    <row r="454" spans="1:20">
      <c r="A454" s="2540"/>
      <c r="B454" s="2540"/>
      <c r="C454" s="2540"/>
      <c r="D454" s="2540"/>
      <c r="E454" s="2540"/>
      <c r="F454" s="2540"/>
      <c r="G454" s="2540"/>
      <c r="H454" s="2540"/>
      <c r="I454" s="2541"/>
      <c r="J454" s="2540"/>
      <c r="K454" s="2540"/>
      <c r="L454" s="2540"/>
      <c r="M454" s="2540"/>
      <c r="N454" s="2540"/>
      <c r="O454" s="2540"/>
      <c r="P454" s="2540"/>
      <c r="Q454" s="2540"/>
      <c r="R454" s="2540"/>
      <c r="S454" s="2540"/>
      <c r="T454" s="2540"/>
    </row>
    <row r="455" spans="1:20">
      <c r="A455" s="2540"/>
      <c r="B455" s="2540"/>
      <c r="C455" s="2540"/>
      <c r="D455" s="2540"/>
      <c r="E455" s="2540"/>
      <c r="F455" s="2540"/>
      <c r="G455" s="2540"/>
      <c r="H455" s="2540"/>
      <c r="I455" s="2541"/>
      <c r="J455" s="2540"/>
      <c r="K455" s="2540"/>
      <c r="L455" s="2540"/>
      <c r="M455" s="2540"/>
      <c r="N455" s="2540"/>
      <c r="O455" s="2540"/>
      <c r="P455" s="2540"/>
      <c r="Q455" s="2540"/>
      <c r="R455" s="2540"/>
      <c r="S455" s="2540"/>
      <c r="T455" s="2540"/>
    </row>
    <row r="456" spans="1:20">
      <c r="A456" s="2540"/>
      <c r="B456" s="2540"/>
      <c r="C456" s="2540"/>
      <c r="D456" s="2540"/>
      <c r="E456" s="2540"/>
      <c r="F456" s="2540"/>
      <c r="G456" s="2540"/>
      <c r="H456" s="2540"/>
      <c r="I456" s="2541"/>
      <c r="J456" s="2540"/>
      <c r="K456" s="2540"/>
      <c r="L456" s="2540"/>
      <c r="M456" s="2540"/>
      <c r="N456" s="2540"/>
      <c r="O456" s="2540"/>
      <c r="P456" s="2540"/>
      <c r="Q456" s="2540"/>
      <c r="R456" s="2540"/>
      <c r="S456" s="2540"/>
      <c r="T456" s="2540"/>
    </row>
    <row r="457" spans="1:20">
      <c r="A457" s="2540"/>
      <c r="B457" s="2540"/>
      <c r="C457" s="2540"/>
      <c r="D457" s="2540"/>
      <c r="E457" s="2540"/>
      <c r="F457" s="2540"/>
      <c r="G457" s="2540"/>
      <c r="H457" s="2540"/>
      <c r="I457" s="2541"/>
      <c r="J457" s="2540"/>
      <c r="K457" s="2540"/>
      <c r="L457" s="2540"/>
      <c r="M457" s="2540"/>
      <c r="N457" s="2540"/>
      <c r="O457" s="2540"/>
      <c r="P457" s="2540"/>
      <c r="Q457" s="2540"/>
      <c r="R457" s="2540"/>
      <c r="S457" s="2540"/>
      <c r="T457" s="2540"/>
    </row>
    <row r="458" spans="1:20">
      <c r="A458" s="2540"/>
      <c r="B458" s="2540"/>
      <c r="C458" s="2540"/>
      <c r="D458" s="2540"/>
      <c r="E458" s="2540"/>
      <c r="F458" s="2540"/>
      <c r="G458" s="2540"/>
      <c r="H458" s="2540"/>
      <c r="I458" s="2541"/>
      <c r="J458" s="2540"/>
      <c r="K458" s="2540"/>
      <c r="L458" s="2540"/>
      <c r="M458" s="2540"/>
      <c r="N458" s="2540"/>
      <c r="O458" s="2540"/>
      <c r="P458" s="2540"/>
      <c r="Q458" s="2540"/>
      <c r="R458" s="2540"/>
      <c r="S458" s="2540"/>
      <c r="T458" s="2540"/>
    </row>
    <row r="459" spans="1:20">
      <c r="A459" s="2540"/>
      <c r="B459" s="2540"/>
      <c r="C459" s="2540"/>
      <c r="D459" s="2540"/>
      <c r="E459" s="2540"/>
      <c r="F459" s="2540"/>
      <c r="G459" s="2540"/>
      <c r="H459" s="2540"/>
      <c r="I459" s="2541"/>
      <c r="J459" s="2540"/>
      <c r="K459" s="2540"/>
      <c r="L459" s="2540"/>
      <c r="M459" s="2540"/>
      <c r="N459" s="2540"/>
      <c r="O459" s="2540"/>
      <c r="P459" s="2540"/>
      <c r="Q459" s="2540"/>
      <c r="R459" s="2540"/>
      <c r="S459" s="2540"/>
      <c r="T459" s="2540"/>
    </row>
    <row r="460" spans="1:20">
      <c r="A460" s="2540"/>
      <c r="B460" s="2540"/>
      <c r="C460" s="2540"/>
      <c r="D460" s="2540"/>
      <c r="E460" s="2540"/>
      <c r="F460" s="2540"/>
      <c r="G460" s="2540"/>
      <c r="H460" s="2540"/>
      <c r="I460" s="2541"/>
      <c r="J460" s="2540"/>
      <c r="K460" s="2540"/>
      <c r="L460" s="2540"/>
      <c r="M460" s="2540"/>
      <c r="N460" s="2540"/>
      <c r="O460" s="2540"/>
      <c r="P460" s="2540"/>
      <c r="Q460" s="2540"/>
      <c r="R460" s="2540"/>
      <c r="S460" s="2540"/>
      <c r="T460" s="2540"/>
    </row>
    <row r="461" spans="1:20">
      <c r="A461" s="2540"/>
      <c r="B461" s="2540"/>
      <c r="C461" s="2540"/>
      <c r="D461" s="2540"/>
      <c r="E461" s="2540"/>
      <c r="F461" s="2540"/>
      <c r="G461" s="2540"/>
      <c r="H461" s="2540"/>
      <c r="I461" s="2541"/>
      <c r="J461" s="2540"/>
      <c r="K461" s="2540"/>
      <c r="L461" s="2540"/>
      <c r="M461" s="2540"/>
      <c r="N461" s="2540"/>
      <c r="O461" s="2540"/>
      <c r="P461" s="2540"/>
      <c r="Q461" s="2540"/>
      <c r="R461" s="2540"/>
      <c r="S461" s="2540"/>
      <c r="T461" s="2540"/>
    </row>
    <row r="462" spans="1:20">
      <c r="A462" s="2540"/>
      <c r="B462" s="2540"/>
      <c r="C462" s="2540"/>
      <c r="D462" s="2540"/>
      <c r="E462" s="2540"/>
      <c r="F462" s="2540"/>
      <c r="G462" s="2540"/>
      <c r="H462" s="2540"/>
      <c r="I462" s="2541"/>
      <c r="J462" s="2540"/>
      <c r="K462" s="2540"/>
      <c r="L462" s="2540"/>
      <c r="M462" s="2540"/>
      <c r="N462" s="2540"/>
      <c r="O462" s="2540"/>
      <c r="P462" s="2540"/>
      <c r="Q462" s="2540"/>
      <c r="R462" s="2540"/>
      <c r="S462" s="2540"/>
      <c r="T462" s="2540"/>
    </row>
    <row r="463" spans="1:20">
      <c r="A463" s="2540"/>
      <c r="B463" s="2540"/>
      <c r="C463" s="2540"/>
      <c r="D463" s="2540"/>
      <c r="E463" s="2540"/>
      <c r="F463" s="2540"/>
      <c r="G463" s="2540"/>
      <c r="H463" s="2540"/>
      <c r="I463" s="2541"/>
      <c r="J463" s="2540"/>
      <c r="K463" s="2540"/>
      <c r="L463" s="2540"/>
      <c r="M463" s="2540"/>
      <c r="N463" s="2540"/>
      <c r="O463" s="2540"/>
      <c r="P463" s="2540"/>
      <c r="Q463" s="2540"/>
      <c r="R463" s="2540"/>
      <c r="S463" s="2540"/>
      <c r="T463" s="2540"/>
    </row>
    <row r="464" spans="1:20">
      <c r="A464" s="2540"/>
      <c r="B464" s="2540"/>
      <c r="C464" s="2540"/>
      <c r="D464" s="2540"/>
      <c r="E464" s="2540"/>
      <c r="F464" s="2540"/>
      <c r="G464" s="2540"/>
      <c r="H464" s="2540"/>
      <c r="I464" s="2541"/>
      <c r="J464" s="2540"/>
      <c r="K464" s="2540"/>
      <c r="L464" s="2540"/>
      <c r="M464" s="2540"/>
      <c r="N464" s="2540"/>
      <c r="O464" s="2540"/>
      <c r="P464" s="2540"/>
      <c r="Q464" s="2540"/>
      <c r="R464" s="2540"/>
      <c r="S464" s="2540"/>
      <c r="T464" s="2540"/>
    </row>
    <row r="465" spans="1:20">
      <c r="A465" s="2540"/>
      <c r="B465" s="2540"/>
      <c r="C465" s="2540"/>
      <c r="D465" s="2540"/>
      <c r="E465" s="2540"/>
      <c r="F465" s="2540"/>
      <c r="G465" s="2540"/>
      <c r="H465" s="2540"/>
      <c r="I465" s="2541"/>
      <c r="J465" s="2540"/>
      <c r="K465" s="2540"/>
      <c r="L465" s="2540"/>
      <c r="M465" s="2540"/>
      <c r="N465" s="2540"/>
      <c r="O465" s="2540"/>
      <c r="P465" s="2540"/>
      <c r="Q465" s="2540"/>
      <c r="R465" s="2540"/>
      <c r="S465" s="2540"/>
      <c r="T465" s="2540"/>
    </row>
    <row r="466" spans="1:20">
      <c r="A466" s="2540"/>
      <c r="B466" s="2540"/>
      <c r="C466" s="2540"/>
      <c r="D466" s="2540"/>
      <c r="E466" s="2540"/>
      <c r="F466" s="2540"/>
      <c r="G466" s="2540"/>
      <c r="H466" s="2540"/>
      <c r="I466" s="2541"/>
      <c r="J466" s="2540"/>
      <c r="K466" s="2540"/>
      <c r="L466" s="2540"/>
      <c r="M466" s="2540"/>
      <c r="N466" s="2540"/>
      <c r="O466" s="2540"/>
      <c r="P466" s="2540"/>
      <c r="Q466" s="2540"/>
      <c r="R466" s="2540"/>
      <c r="S466" s="2540"/>
      <c r="T466" s="2540"/>
    </row>
    <row r="467" spans="1:20">
      <c r="A467" s="2540"/>
      <c r="B467" s="2540"/>
      <c r="C467" s="2540"/>
      <c r="D467" s="2540"/>
      <c r="E467" s="2540"/>
      <c r="F467" s="2540"/>
      <c r="G467" s="2540"/>
      <c r="H467" s="2540"/>
      <c r="I467" s="2541"/>
      <c r="J467" s="2540"/>
      <c r="K467" s="2540"/>
      <c r="L467" s="2540"/>
      <c r="M467" s="2540"/>
      <c r="N467" s="2540"/>
      <c r="O467" s="2540"/>
      <c r="P467" s="2540"/>
      <c r="Q467" s="2540"/>
      <c r="R467" s="2540"/>
      <c r="S467" s="2540"/>
      <c r="T467" s="2540"/>
    </row>
    <row r="468" spans="1:20">
      <c r="A468" s="2540"/>
      <c r="B468" s="2540"/>
      <c r="C468" s="2540"/>
      <c r="D468" s="2540"/>
      <c r="E468" s="2540"/>
      <c r="F468" s="2540"/>
      <c r="G468" s="2540"/>
      <c r="H468" s="2540"/>
      <c r="I468" s="2541"/>
      <c r="J468" s="2540"/>
      <c r="K468" s="2540"/>
      <c r="L468" s="2540"/>
      <c r="M468" s="2540"/>
      <c r="N468" s="2540"/>
      <c r="O468" s="2540"/>
      <c r="P468" s="2540"/>
      <c r="Q468" s="2540"/>
      <c r="R468" s="2540"/>
      <c r="S468" s="2540"/>
      <c r="T468" s="2540"/>
    </row>
    <row r="469" spans="1:20">
      <c r="A469" s="2540"/>
      <c r="B469" s="2540"/>
      <c r="C469" s="2540"/>
      <c r="D469" s="2540"/>
      <c r="E469" s="2540"/>
      <c r="F469" s="2540"/>
      <c r="G469" s="2540"/>
      <c r="H469" s="2540"/>
      <c r="I469" s="2541"/>
      <c r="J469" s="2540"/>
      <c r="K469" s="2540"/>
      <c r="L469" s="2540"/>
      <c r="M469" s="2540"/>
      <c r="N469" s="2540"/>
      <c r="O469" s="2540"/>
      <c r="P469" s="2540"/>
      <c r="Q469" s="2540"/>
      <c r="R469" s="2540"/>
      <c r="S469" s="2540"/>
      <c r="T469" s="2540"/>
    </row>
    <row r="470" spans="1:20">
      <c r="A470" s="2540"/>
      <c r="B470" s="2540"/>
      <c r="C470" s="2540"/>
      <c r="D470" s="2540"/>
      <c r="E470" s="2540"/>
      <c r="F470" s="2540"/>
      <c r="G470" s="2540"/>
      <c r="H470" s="2540"/>
      <c r="I470" s="2541"/>
      <c r="J470" s="2540"/>
      <c r="K470" s="2540"/>
      <c r="L470" s="2540"/>
      <c r="M470" s="2540"/>
      <c r="N470" s="2540"/>
      <c r="O470" s="2540"/>
      <c r="P470" s="2540"/>
      <c r="Q470" s="2540"/>
      <c r="R470" s="2540"/>
      <c r="S470" s="2540"/>
      <c r="T470" s="2540"/>
    </row>
    <row r="471" spans="1:20">
      <c r="A471" s="2540"/>
      <c r="B471" s="2540"/>
      <c r="C471" s="2540"/>
      <c r="D471" s="2540"/>
      <c r="E471" s="2540"/>
      <c r="F471" s="2540"/>
      <c r="G471" s="2540"/>
      <c r="H471" s="2540"/>
      <c r="I471" s="2541"/>
      <c r="J471" s="2540"/>
      <c r="K471" s="2540"/>
      <c r="L471" s="2540"/>
      <c r="M471" s="2540"/>
      <c r="N471" s="2540"/>
      <c r="O471" s="2540"/>
      <c r="P471" s="2540"/>
      <c r="Q471" s="2540"/>
      <c r="R471" s="2540"/>
      <c r="S471" s="2540"/>
      <c r="T471" s="2540"/>
    </row>
    <row r="472" spans="1:20">
      <c r="A472" s="2540"/>
      <c r="B472" s="2540"/>
      <c r="C472" s="2540"/>
      <c r="D472" s="2540"/>
      <c r="E472" s="2540"/>
      <c r="F472" s="2540"/>
      <c r="G472" s="2540"/>
      <c r="H472" s="2540"/>
      <c r="I472" s="2541"/>
      <c r="J472" s="2540"/>
      <c r="K472" s="2540"/>
      <c r="L472" s="2540"/>
      <c r="M472" s="2540"/>
      <c r="N472" s="2540"/>
      <c r="O472" s="2540"/>
      <c r="P472" s="2540"/>
      <c r="Q472" s="2540"/>
      <c r="R472" s="2540"/>
      <c r="S472" s="2540"/>
      <c r="T472" s="2540"/>
    </row>
    <row r="473" spans="1:20">
      <c r="A473" s="2540"/>
      <c r="B473" s="2540"/>
      <c r="C473" s="2540"/>
      <c r="D473" s="2540"/>
      <c r="E473" s="2540"/>
      <c r="F473" s="2540"/>
      <c r="G473" s="2540"/>
      <c r="H473" s="2540"/>
      <c r="I473" s="2541"/>
      <c r="J473" s="2540"/>
      <c r="K473" s="2540"/>
      <c r="L473" s="2540"/>
      <c r="M473" s="2540"/>
      <c r="N473" s="2540"/>
      <c r="O473" s="2540"/>
      <c r="P473" s="2540"/>
      <c r="Q473" s="2540"/>
      <c r="R473" s="2540"/>
      <c r="S473" s="2540"/>
      <c r="T473" s="2540"/>
    </row>
    <row r="474" spans="1:20">
      <c r="A474" s="2540"/>
      <c r="B474" s="2540"/>
      <c r="C474" s="2540"/>
      <c r="D474" s="2540"/>
      <c r="E474" s="2540"/>
      <c r="F474" s="2540"/>
      <c r="G474" s="2540"/>
      <c r="H474" s="2540"/>
      <c r="I474" s="2541"/>
      <c r="J474" s="2540"/>
      <c r="K474" s="2540"/>
      <c r="L474" s="2540"/>
      <c r="M474" s="2540"/>
      <c r="N474" s="2540"/>
      <c r="O474" s="2540"/>
      <c r="P474" s="2540"/>
      <c r="Q474" s="2540"/>
      <c r="R474" s="2540"/>
      <c r="S474" s="2540"/>
      <c r="T474" s="2540"/>
    </row>
    <row r="475" spans="1:20">
      <c r="A475" s="2540"/>
      <c r="B475" s="2540"/>
      <c r="C475" s="2540"/>
      <c r="D475" s="2540"/>
      <c r="E475" s="2540"/>
      <c r="F475" s="2540"/>
      <c r="G475" s="2540"/>
      <c r="H475" s="2540"/>
      <c r="I475" s="2541"/>
      <c r="J475" s="2540"/>
      <c r="K475" s="2540"/>
      <c r="L475" s="2540"/>
      <c r="M475" s="2540"/>
      <c r="N475" s="2540"/>
      <c r="O475" s="2540"/>
      <c r="P475" s="2540"/>
      <c r="Q475" s="2540"/>
      <c r="R475" s="2540"/>
      <c r="S475" s="2540"/>
      <c r="T475" s="2540"/>
    </row>
    <row r="476" spans="1:20">
      <c r="A476" s="2540"/>
      <c r="B476" s="2540"/>
      <c r="C476" s="2540"/>
      <c r="D476" s="2540"/>
      <c r="E476" s="2540"/>
      <c r="F476" s="2540"/>
      <c r="G476" s="2540"/>
      <c r="H476" s="2540"/>
      <c r="I476" s="2541"/>
      <c r="J476" s="2540"/>
      <c r="K476" s="2540"/>
      <c r="L476" s="2540"/>
      <c r="M476" s="2540"/>
      <c r="N476" s="2540"/>
      <c r="O476" s="2540"/>
      <c r="P476" s="2540"/>
      <c r="Q476" s="2540"/>
      <c r="R476" s="2540"/>
      <c r="S476" s="2540"/>
      <c r="T476" s="2540"/>
    </row>
    <row r="477" spans="1:20">
      <c r="A477" s="2540"/>
      <c r="B477" s="2540"/>
      <c r="C477" s="2540"/>
      <c r="D477" s="2540"/>
      <c r="E477" s="2540"/>
      <c r="F477" s="2540"/>
      <c r="G477" s="2540"/>
      <c r="H477" s="2540"/>
      <c r="I477" s="2541"/>
      <c r="J477" s="2540"/>
      <c r="K477" s="2540"/>
      <c r="L477" s="2540"/>
      <c r="M477" s="2540"/>
      <c r="N477" s="2540"/>
      <c r="O477" s="2540"/>
      <c r="P477" s="2540"/>
      <c r="Q477" s="2540"/>
      <c r="R477" s="2540"/>
      <c r="S477" s="2540"/>
      <c r="T477" s="2540"/>
    </row>
    <row r="478" spans="1:20">
      <c r="A478" s="2540"/>
      <c r="B478" s="2540"/>
      <c r="C478" s="2540"/>
      <c r="D478" s="2540"/>
      <c r="E478" s="2540"/>
      <c r="F478" s="2540"/>
      <c r="G478" s="2540"/>
      <c r="H478" s="2540"/>
      <c r="I478" s="2541"/>
      <c r="J478" s="2540"/>
      <c r="K478" s="2540"/>
      <c r="L478" s="2540"/>
      <c r="M478" s="2540"/>
      <c r="N478" s="2540"/>
      <c r="O478" s="2540"/>
      <c r="P478" s="2540"/>
      <c r="Q478" s="2540"/>
      <c r="R478" s="2540"/>
      <c r="S478" s="2540"/>
      <c r="T478" s="2540"/>
    </row>
    <row r="479" spans="1:20">
      <c r="A479" s="2540"/>
      <c r="B479" s="2540"/>
      <c r="C479" s="2540"/>
      <c r="D479" s="2540"/>
      <c r="E479" s="2540"/>
      <c r="F479" s="2540"/>
      <c r="G479" s="2540"/>
      <c r="H479" s="2540"/>
      <c r="I479" s="2541"/>
      <c r="J479" s="2540"/>
      <c r="K479" s="2540"/>
      <c r="L479" s="2540"/>
      <c r="M479" s="2540"/>
      <c r="N479" s="2540"/>
      <c r="O479" s="2540"/>
      <c r="P479" s="2540"/>
      <c r="Q479" s="2540"/>
      <c r="R479" s="2540"/>
      <c r="S479" s="2540"/>
      <c r="T479" s="2540"/>
    </row>
    <row r="480" spans="1:20">
      <c r="A480" s="2540"/>
      <c r="B480" s="2540"/>
      <c r="C480" s="2540"/>
      <c r="D480" s="2540"/>
      <c r="E480" s="2540"/>
      <c r="F480" s="2540"/>
      <c r="G480" s="2540"/>
      <c r="H480" s="2540"/>
      <c r="I480" s="2541"/>
      <c r="J480" s="2540"/>
      <c r="K480" s="2540"/>
      <c r="L480" s="2540"/>
      <c r="M480" s="2540"/>
      <c r="N480" s="2540"/>
      <c r="O480" s="2540"/>
      <c r="P480" s="2540"/>
      <c r="Q480" s="2540"/>
      <c r="R480" s="2540"/>
      <c r="S480" s="2540"/>
      <c r="T480" s="2540"/>
    </row>
    <row r="481" spans="1:20">
      <c r="A481" s="2540"/>
      <c r="B481" s="2540"/>
      <c r="C481" s="2540"/>
      <c r="D481" s="2540"/>
      <c r="E481" s="2540"/>
      <c r="F481" s="2540"/>
      <c r="G481" s="2540"/>
      <c r="H481" s="2540"/>
      <c r="I481" s="2541"/>
      <c r="J481" s="2540"/>
      <c r="K481" s="2540"/>
      <c r="L481" s="2540"/>
      <c r="M481" s="2540"/>
      <c r="N481" s="2540"/>
      <c r="O481" s="2540"/>
      <c r="P481" s="2540"/>
      <c r="Q481" s="2540"/>
      <c r="R481" s="2540"/>
      <c r="S481" s="2540"/>
      <c r="T481" s="2540"/>
    </row>
    <row r="482" spans="1:20">
      <c r="A482" s="2540"/>
      <c r="B482" s="2540"/>
      <c r="C482" s="2540"/>
      <c r="D482" s="2540"/>
      <c r="E482" s="2540"/>
      <c r="F482" s="2540"/>
      <c r="G482" s="2540"/>
      <c r="H482" s="2540"/>
      <c r="I482" s="2541"/>
      <c r="J482" s="2540"/>
      <c r="K482" s="2540"/>
      <c r="L482" s="2540"/>
      <c r="M482" s="2540"/>
      <c r="N482" s="2540"/>
      <c r="O482" s="2540"/>
      <c r="P482" s="2540"/>
      <c r="Q482" s="2540"/>
      <c r="R482" s="2540"/>
      <c r="S482" s="2540"/>
      <c r="T482" s="2540"/>
    </row>
    <row r="483" spans="1:20">
      <c r="A483" s="2540"/>
      <c r="B483" s="2540"/>
      <c r="C483" s="2540"/>
      <c r="D483" s="2540"/>
      <c r="E483" s="2540"/>
      <c r="F483" s="2540"/>
      <c r="G483" s="2540"/>
      <c r="H483" s="2540"/>
      <c r="I483" s="2541"/>
      <c r="J483" s="2540"/>
      <c r="K483" s="2540"/>
      <c r="L483" s="2540"/>
      <c r="M483" s="2540"/>
      <c r="N483" s="2540"/>
      <c r="O483" s="2540"/>
      <c r="P483" s="2540"/>
      <c r="Q483" s="2540"/>
      <c r="R483" s="2540"/>
      <c r="S483" s="2540"/>
      <c r="T483" s="2540"/>
    </row>
    <row r="484" spans="1:20">
      <c r="A484" s="2540"/>
      <c r="B484" s="2540"/>
      <c r="C484" s="2540"/>
      <c r="D484" s="2540"/>
      <c r="E484" s="2540"/>
      <c r="F484" s="2540"/>
      <c r="G484" s="2540"/>
      <c r="H484" s="2540"/>
      <c r="I484" s="2541"/>
      <c r="J484" s="2540"/>
      <c r="K484" s="2540"/>
      <c r="L484" s="2540"/>
      <c r="M484" s="2540"/>
      <c r="N484" s="2540"/>
      <c r="O484" s="2540"/>
      <c r="P484" s="2540"/>
      <c r="Q484" s="2540"/>
      <c r="R484" s="2540"/>
      <c r="S484" s="2540"/>
      <c r="T484" s="2540"/>
    </row>
    <row r="485" spans="1:20">
      <c r="A485" s="2540"/>
      <c r="B485" s="2540"/>
      <c r="C485" s="2540"/>
      <c r="D485" s="2540"/>
      <c r="E485" s="2540"/>
      <c r="F485" s="2540"/>
      <c r="G485" s="2540"/>
      <c r="H485" s="2540"/>
      <c r="I485" s="2541"/>
      <c r="J485" s="2540"/>
      <c r="K485" s="2540"/>
      <c r="L485" s="2540"/>
      <c r="M485" s="2540"/>
      <c r="N485" s="2540"/>
      <c r="O485" s="2540"/>
      <c r="P485" s="2540"/>
      <c r="Q485" s="2540"/>
      <c r="R485" s="2540"/>
      <c r="S485" s="2540"/>
      <c r="T485" s="2540"/>
    </row>
    <row r="486" spans="1:20">
      <c r="A486" s="2540"/>
      <c r="B486" s="2540"/>
      <c r="C486" s="2540"/>
      <c r="D486" s="2540"/>
      <c r="E486" s="2540"/>
      <c r="F486" s="2540"/>
      <c r="G486" s="2540"/>
      <c r="H486" s="2540"/>
      <c r="I486" s="2541"/>
      <c r="J486" s="2540"/>
      <c r="K486" s="2540"/>
      <c r="L486" s="2540"/>
      <c r="M486" s="2540"/>
      <c r="N486" s="2540"/>
      <c r="O486" s="2540"/>
      <c r="P486" s="2540"/>
      <c r="Q486" s="2540"/>
      <c r="R486" s="2540"/>
      <c r="S486" s="2540"/>
      <c r="T486" s="2540"/>
    </row>
    <row r="487" spans="1:20">
      <c r="A487" s="2540"/>
      <c r="B487" s="2540"/>
      <c r="C487" s="2540"/>
      <c r="D487" s="2540"/>
      <c r="E487" s="2540"/>
      <c r="F487" s="2540"/>
      <c r="G487" s="2540"/>
      <c r="H487" s="2540"/>
      <c r="I487" s="2541"/>
      <c r="J487" s="2540"/>
      <c r="K487" s="2540"/>
      <c r="L487" s="2540"/>
      <c r="M487" s="2540"/>
      <c r="N487" s="2540"/>
      <c r="O487" s="2540"/>
      <c r="P487" s="2540"/>
      <c r="Q487" s="2540"/>
      <c r="R487" s="2540"/>
      <c r="S487" s="2540"/>
      <c r="T487" s="2540"/>
    </row>
    <row r="488" spans="1:20">
      <c r="A488" s="2540"/>
      <c r="B488" s="2540"/>
      <c r="C488" s="2540"/>
      <c r="D488" s="2540"/>
      <c r="E488" s="2540"/>
      <c r="F488" s="2540"/>
      <c r="G488" s="2540"/>
      <c r="H488" s="2540"/>
      <c r="I488" s="2541"/>
      <c r="J488" s="2540"/>
      <c r="K488" s="2540"/>
      <c r="L488" s="2540"/>
      <c r="M488" s="2540"/>
      <c r="N488" s="2540"/>
      <c r="O488" s="2540"/>
      <c r="P488" s="2540"/>
      <c r="Q488" s="2540"/>
      <c r="R488" s="2540"/>
      <c r="S488" s="2540"/>
      <c r="T488" s="2540"/>
    </row>
    <row r="489" spans="1:20">
      <c r="A489" s="2540"/>
      <c r="B489" s="2540"/>
      <c r="C489" s="2540"/>
      <c r="D489" s="2540"/>
      <c r="E489" s="2540"/>
      <c r="F489" s="2540"/>
      <c r="G489" s="2540"/>
      <c r="H489" s="2540"/>
      <c r="I489" s="2541"/>
      <c r="J489" s="2540"/>
      <c r="K489" s="2540"/>
      <c r="L489" s="2540"/>
      <c r="M489" s="2540"/>
      <c r="N489" s="2540"/>
      <c r="O489" s="2540"/>
      <c r="P489" s="2540"/>
      <c r="Q489" s="2540"/>
      <c r="R489" s="2540"/>
      <c r="S489" s="2540"/>
      <c r="T489" s="2540"/>
    </row>
    <row r="490" spans="1:20">
      <c r="A490" s="2540"/>
      <c r="B490" s="2540"/>
      <c r="C490" s="2540"/>
      <c r="D490" s="2540"/>
      <c r="E490" s="2540"/>
      <c r="F490" s="2540"/>
      <c r="G490" s="2540"/>
      <c r="H490" s="2540"/>
      <c r="I490" s="2541"/>
      <c r="J490" s="2540"/>
      <c r="K490" s="2540"/>
      <c r="L490" s="2540"/>
      <c r="M490" s="2540"/>
      <c r="N490" s="2540"/>
      <c r="O490" s="2540"/>
      <c r="P490" s="2540"/>
      <c r="Q490" s="2540"/>
      <c r="R490" s="2540"/>
      <c r="S490" s="2540"/>
      <c r="T490" s="2540"/>
    </row>
    <row r="491" spans="1:20">
      <c r="A491" s="2540"/>
      <c r="B491" s="2540"/>
      <c r="C491" s="2540"/>
      <c r="D491" s="2540"/>
      <c r="E491" s="2540"/>
      <c r="F491" s="2540"/>
      <c r="G491" s="2540"/>
      <c r="H491" s="2540"/>
      <c r="I491" s="2541"/>
      <c r="J491" s="2540"/>
      <c r="K491" s="2540"/>
      <c r="L491" s="2540"/>
      <c r="M491" s="2540"/>
      <c r="N491" s="2540"/>
      <c r="O491" s="2540"/>
      <c r="P491" s="2540"/>
      <c r="Q491" s="2540"/>
      <c r="R491" s="2540"/>
      <c r="S491" s="2540"/>
      <c r="T491" s="2540"/>
    </row>
    <row r="492" spans="1:20">
      <c r="A492" s="2540"/>
      <c r="B492" s="2540"/>
      <c r="C492" s="2540"/>
      <c r="D492" s="2540"/>
      <c r="E492" s="2540"/>
      <c r="F492" s="2540"/>
      <c r="G492" s="2540"/>
      <c r="H492" s="2540"/>
      <c r="I492" s="2541"/>
      <c r="J492" s="2540"/>
      <c r="K492" s="2540"/>
      <c r="L492" s="2540"/>
      <c r="M492" s="2540"/>
      <c r="N492" s="2540"/>
      <c r="O492" s="2540"/>
      <c r="P492" s="2540"/>
      <c r="Q492" s="2540"/>
      <c r="R492" s="2540"/>
      <c r="S492" s="2540"/>
      <c r="T492" s="2540"/>
    </row>
    <row r="493" spans="1:20">
      <c r="A493" s="2540"/>
      <c r="B493" s="2540"/>
      <c r="C493" s="2540"/>
      <c r="D493" s="2540"/>
      <c r="E493" s="2540"/>
      <c r="F493" s="2540"/>
      <c r="G493" s="2540"/>
      <c r="H493" s="2540"/>
      <c r="I493" s="2541"/>
      <c r="J493" s="2540"/>
      <c r="K493" s="2540"/>
      <c r="L493" s="2540"/>
      <c r="M493" s="2540"/>
      <c r="N493" s="2540"/>
      <c r="O493" s="2540"/>
      <c r="P493" s="2540"/>
      <c r="Q493" s="2540"/>
      <c r="R493" s="2540"/>
      <c r="S493" s="2540"/>
      <c r="T493" s="2540"/>
    </row>
    <row r="494" spans="1:20">
      <c r="A494" s="2540"/>
      <c r="B494" s="2540"/>
      <c r="C494" s="2540"/>
      <c r="D494" s="2540"/>
      <c r="E494" s="2540"/>
      <c r="F494" s="2540"/>
      <c r="G494" s="2540"/>
      <c r="H494" s="2540"/>
      <c r="I494" s="2541"/>
      <c r="J494" s="2540"/>
      <c r="K494" s="2540"/>
      <c r="L494" s="2540"/>
      <c r="M494" s="2540"/>
      <c r="N494" s="2540"/>
      <c r="O494" s="2540"/>
      <c r="P494" s="2540"/>
      <c r="Q494" s="2540"/>
      <c r="R494" s="2540"/>
      <c r="S494" s="2540"/>
      <c r="T494" s="2540"/>
    </row>
    <row r="495" spans="1:20">
      <c r="A495" s="2540"/>
      <c r="B495" s="2540"/>
      <c r="C495" s="2540"/>
      <c r="D495" s="2540"/>
      <c r="E495" s="2540"/>
      <c r="F495" s="2540"/>
      <c r="G495" s="2540"/>
      <c r="H495" s="2540"/>
      <c r="I495" s="2541"/>
      <c r="J495" s="2540"/>
      <c r="K495" s="2540"/>
      <c r="L495" s="2540"/>
      <c r="M495" s="2540"/>
      <c r="N495" s="2540"/>
      <c r="O495" s="2540"/>
      <c r="P495" s="2540"/>
      <c r="Q495" s="2540"/>
      <c r="R495" s="2540"/>
      <c r="S495" s="2540"/>
      <c r="T495" s="2540"/>
    </row>
    <row r="496" spans="1:20">
      <c r="A496" s="2540"/>
      <c r="B496" s="2540"/>
      <c r="C496" s="2540"/>
      <c r="D496" s="2540"/>
      <c r="E496" s="2540"/>
      <c r="F496" s="2540"/>
      <c r="G496" s="2540"/>
      <c r="H496" s="2540"/>
      <c r="I496" s="2541"/>
      <c r="J496" s="2540"/>
      <c r="K496" s="2540"/>
      <c r="L496" s="2540"/>
      <c r="M496" s="2540"/>
      <c r="N496" s="2540"/>
      <c r="O496" s="2540"/>
      <c r="P496" s="2540"/>
      <c r="Q496" s="2540"/>
      <c r="R496" s="2540"/>
      <c r="S496" s="2540"/>
      <c r="T496" s="2540"/>
    </row>
    <row r="497" spans="1:20">
      <c r="A497" s="2540"/>
      <c r="B497" s="2540"/>
      <c r="C497" s="2540"/>
      <c r="D497" s="2540"/>
      <c r="E497" s="2540"/>
      <c r="F497" s="2540"/>
      <c r="G497" s="2540"/>
      <c r="H497" s="2540"/>
      <c r="I497" s="2541"/>
      <c r="J497" s="2540"/>
      <c r="K497" s="2540"/>
      <c r="L497" s="2540"/>
      <c r="M497" s="2540"/>
      <c r="N497" s="2540"/>
      <c r="O497" s="2540"/>
      <c r="P497" s="2540"/>
      <c r="Q497" s="2540"/>
      <c r="R497" s="2540"/>
      <c r="S497" s="2540"/>
      <c r="T497" s="2540"/>
    </row>
    <row r="498" spans="1:20">
      <c r="A498" s="2540"/>
      <c r="B498" s="2540"/>
      <c r="C498" s="2540"/>
      <c r="D498" s="2540"/>
      <c r="E498" s="2540"/>
      <c r="F498" s="2540"/>
      <c r="G498" s="2540"/>
      <c r="H498" s="2540"/>
      <c r="I498" s="2541"/>
      <c r="J498" s="2540"/>
      <c r="K498" s="2540"/>
      <c r="L498" s="2540"/>
      <c r="M498" s="2540"/>
      <c r="N498" s="2540"/>
      <c r="O498" s="2540"/>
      <c r="P498" s="2540"/>
      <c r="Q498" s="2540"/>
      <c r="R498" s="2540"/>
      <c r="S498" s="2540"/>
      <c r="T498" s="2540"/>
    </row>
    <row r="499" spans="1:20">
      <c r="A499" s="2540"/>
      <c r="B499" s="2540"/>
      <c r="C499" s="2540"/>
      <c r="D499" s="2540"/>
      <c r="E499" s="2540"/>
      <c r="F499" s="2540"/>
      <c r="G499" s="2540"/>
      <c r="H499" s="2540"/>
      <c r="I499" s="2541"/>
      <c r="J499" s="2540"/>
      <c r="K499" s="2540"/>
      <c r="L499" s="2540"/>
      <c r="M499" s="2540"/>
      <c r="N499" s="2540"/>
      <c r="O499" s="2540"/>
      <c r="P499" s="2540"/>
      <c r="Q499" s="2540"/>
      <c r="R499" s="2540"/>
      <c r="S499" s="2540"/>
      <c r="T499" s="2540"/>
    </row>
    <row r="500" spans="1:20">
      <c r="A500" s="2540"/>
      <c r="B500" s="2540"/>
      <c r="C500" s="2540"/>
      <c r="D500" s="2540"/>
      <c r="E500" s="2540"/>
      <c r="F500" s="2540"/>
      <c r="G500" s="2540"/>
      <c r="H500" s="2540"/>
      <c r="I500" s="2541"/>
      <c r="J500" s="2540"/>
      <c r="K500" s="2540"/>
      <c r="L500" s="2540"/>
      <c r="M500" s="2540"/>
      <c r="N500" s="2540"/>
      <c r="O500" s="2540"/>
      <c r="P500" s="2540"/>
      <c r="Q500" s="2540"/>
      <c r="R500" s="2540"/>
      <c r="S500" s="2540"/>
      <c r="T500" s="2540"/>
    </row>
    <row r="501" spans="1:20">
      <c r="A501" s="2540"/>
      <c r="B501" s="2540"/>
      <c r="C501" s="2540"/>
      <c r="D501" s="2540"/>
      <c r="E501" s="2540"/>
      <c r="F501" s="2540"/>
      <c r="G501" s="2540"/>
      <c r="H501" s="2540"/>
      <c r="I501" s="2541"/>
      <c r="J501" s="2540"/>
      <c r="K501" s="2540"/>
      <c r="L501" s="2540"/>
      <c r="M501" s="2540"/>
      <c r="N501" s="2540"/>
      <c r="O501" s="2540"/>
      <c r="P501" s="2540"/>
      <c r="Q501" s="2540"/>
      <c r="R501" s="2540"/>
      <c r="S501" s="2540"/>
      <c r="T501" s="2540"/>
    </row>
    <row r="502" spans="1:20">
      <c r="A502" s="2540"/>
      <c r="B502" s="2540"/>
      <c r="C502" s="2540"/>
      <c r="D502" s="2540"/>
      <c r="E502" s="2540"/>
      <c r="F502" s="2540"/>
      <c r="G502" s="2540"/>
      <c r="H502" s="2540"/>
      <c r="I502" s="2541"/>
      <c r="J502" s="2540"/>
      <c r="K502" s="2540"/>
      <c r="L502" s="2540"/>
      <c r="M502" s="2540"/>
      <c r="N502" s="2540"/>
      <c r="O502" s="2540"/>
      <c r="P502" s="2540"/>
      <c r="Q502" s="2540"/>
      <c r="R502" s="2540"/>
      <c r="S502" s="2540"/>
      <c r="T502" s="2540"/>
    </row>
    <row r="503" spans="1:20">
      <c r="A503" s="2540"/>
      <c r="B503" s="2540"/>
      <c r="C503" s="2540"/>
      <c r="D503" s="2540"/>
      <c r="E503" s="2540"/>
      <c r="F503" s="2540"/>
      <c r="G503" s="2540"/>
      <c r="H503" s="2540"/>
      <c r="I503" s="2541"/>
      <c r="J503" s="2540"/>
      <c r="K503" s="2540"/>
      <c r="L503" s="2540"/>
      <c r="M503" s="2540"/>
      <c r="N503" s="2540"/>
      <c r="O503" s="2540"/>
      <c r="P503" s="2540"/>
      <c r="Q503" s="2540"/>
      <c r="R503" s="2540"/>
      <c r="S503" s="2540"/>
      <c r="T503" s="2540"/>
    </row>
    <row r="504" spans="1:20">
      <c r="A504" s="2540"/>
      <c r="B504" s="2540"/>
      <c r="C504" s="2540"/>
      <c r="D504" s="2540"/>
      <c r="E504" s="2540"/>
      <c r="F504" s="2540"/>
      <c r="G504" s="2540"/>
      <c r="H504" s="2540"/>
      <c r="I504" s="2541"/>
      <c r="J504" s="2540"/>
      <c r="K504" s="2540"/>
      <c r="L504" s="2540"/>
      <c r="M504" s="2540"/>
      <c r="N504" s="2540"/>
      <c r="O504" s="2540"/>
      <c r="P504" s="2540"/>
      <c r="Q504" s="2540"/>
      <c r="R504" s="2540"/>
      <c r="S504" s="2540"/>
      <c r="T504" s="2540"/>
    </row>
    <row r="505" spans="1:20">
      <c r="A505" s="2540"/>
      <c r="B505" s="2540"/>
      <c r="C505" s="2540"/>
      <c r="D505" s="2540"/>
      <c r="E505" s="2540"/>
      <c r="F505" s="2540"/>
      <c r="G505" s="2540"/>
      <c r="H505" s="2540"/>
      <c r="I505" s="2541"/>
      <c r="J505" s="2540"/>
      <c r="K505" s="2540"/>
      <c r="L505" s="2540"/>
      <c r="M505" s="2540"/>
      <c r="N505" s="2540"/>
      <c r="O505" s="2540"/>
      <c r="P505" s="2540"/>
      <c r="Q505" s="2540"/>
      <c r="R505" s="2540"/>
      <c r="S505" s="2540"/>
      <c r="T505" s="2540"/>
    </row>
    <row r="506" spans="1:20">
      <c r="A506" s="2540"/>
      <c r="B506" s="2540"/>
      <c r="C506" s="2540"/>
      <c r="D506" s="2540"/>
      <c r="E506" s="2540"/>
      <c r="F506" s="2540"/>
      <c r="G506" s="2540"/>
      <c r="H506" s="2540"/>
      <c r="I506" s="2541"/>
      <c r="J506" s="2540"/>
      <c r="K506" s="2540"/>
      <c r="L506" s="2540"/>
      <c r="M506" s="2540"/>
      <c r="N506" s="2540"/>
      <c r="O506" s="2540"/>
      <c r="P506" s="2540"/>
      <c r="Q506" s="2540"/>
      <c r="R506" s="2540"/>
      <c r="S506" s="2540"/>
      <c r="T506" s="2540"/>
    </row>
    <row r="507" spans="1:20">
      <c r="A507" s="2540"/>
      <c r="B507" s="2540"/>
      <c r="C507" s="2540"/>
      <c r="D507" s="2540"/>
      <c r="E507" s="2540"/>
      <c r="F507" s="2540"/>
      <c r="G507" s="2540"/>
      <c r="H507" s="2540"/>
      <c r="I507" s="2541"/>
      <c r="J507" s="2540"/>
      <c r="K507" s="2540"/>
      <c r="L507" s="2540"/>
      <c r="M507" s="2540"/>
      <c r="N507" s="2540"/>
      <c r="O507" s="2540"/>
      <c r="P507" s="2540"/>
      <c r="Q507" s="2540"/>
      <c r="R507" s="2540"/>
      <c r="S507" s="2540"/>
      <c r="T507" s="2540"/>
    </row>
    <row r="508" spans="1:20">
      <c r="A508" s="2540"/>
      <c r="B508" s="2540"/>
      <c r="C508" s="2540"/>
      <c r="D508" s="2540"/>
      <c r="E508" s="2540"/>
      <c r="F508" s="2540"/>
      <c r="G508" s="2540"/>
      <c r="H508" s="2540"/>
      <c r="I508" s="2541"/>
      <c r="J508" s="2540"/>
      <c r="K508" s="2540"/>
      <c r="L508" s="2540"/>
      <c r="M508" s="2540"/>
      <c r="N508" s="2540"/>
      <c r="O508" s="2540"/>
      <c r="P508" s="2540"/>
      <c r="Q508" s="2540"/>
      <c r="R508" s="2540"/>
      <c r="S508" s="2540"/>
      <c r="T508" s="2540"/>
    </row>
    <row r="509" spans="1:20">
      <c r="A509" s="2540"/>
      <c r="B509" s="2540"/>
      <c r="C509" s="2540"/>
      <c r="D509" s="2540"/>
      <c r="E509" s="2540"/>
      <c r="F509" s="2540"/>
      <c r="G509" s="2540"/>
      <c r="H509" s="2540"/>
      <c r="I509" s="2541"/>
      <c r="J509" s="2540"/>
      <c r="K509" s="2540"/>
      <c r="L509" s="2540"/>
      <c r="M509" s="2540"/>
      <c r="N509" s="2540"/>
      <c r="O509" s="2540"/>
      <c r="P509" s="2540"/>
      <c r="Q509" s="2540"/>
      <c r="R509" s="2540"/>
      <c r="S509" s="2540"/>
      <c r="T509" s="2540"/>
    </row>
    <row r="510" spans="1:20">
      <c r="A510" s="2540"/>
      <c r="B510" s="2540"/>
      <c r="C510" s="2540"/>
      <c r="D510" s="2540"/>
      <c r="E510" s="2540"/>
      <c r="F510" s="2540"/>
      <c r="G510" s="2540"/>
      <c r="H510" s="2540"/>
      <c r="I510" s="2541"/>
      <c r="J510" s="2540"/>
      <c r="K510" s="2540"/>
      <c r="L510" s="2540"/>
      <c r="M510" s="2540"/>
      <c r="N510" s="2540"/>
      <c r="O510" s="2540"/>
      <c r="P510" s="2540"/>
      <c r="Q510" s="2540"/>
      <c r="R510" s="2540"/>
      <c r="S510" s="2540"/>
      <c r="T510" s="2540"/>
    </row>
    <row r="511" spans="1:20">
      <c r="A511" s="2540"/>
      <c r="B511" s="2540"/>
      <c r="C511" s="2540"/>
      <c r="D511" s="2540"/>
      <c r="E511" s="2540"/>
      <c r="F511" s="2540"/>
      <c r="G511" s="2540"/>
      <c r="H511" s="2540"/>
      <c r="I511" s="2541"/>
      <c r="J511" s="2540"/>
      <c r="K511" s="2540"/>
      <c r="L511" s="2540"/>
      <c r="M511" s="2540"/>
      <c r="N511" s="2540"/>
      <c r="O511" s="2540"/>
      <c r="P511" s="2540"/>
      <c r="Q511" s="2540"/>
      <c r="R511" s="2540"/>
      <c r="S511" s="2540"/>
      <c r="T511" s="2540"/>
    </row>
    <row r="512" spans="1:20">
      <c r="A512" s="2540"/>
      <c r="B512" s="2540"/>
      <c r="C512" s="2540"/>
      <c r="D512" s="2540"/>
      <c r="E512" s="2540"/>
      <c r="F512" s="2540"/>
      <c r="G512" s="2540"/>
      <c r="H512" s="2540"/>
      <c r="I512" s="2541"/>
      <c r="J512" s="2540"/>
      <c r="K512" s="2540"/>
      <c r="L512" s="2540"/>
      <c r="M512" s="2540"/>
      <c r="N512" s="2540"/>
      <c r="O512" s="2540"/>
      <c r="P512" s="2540"/>
      <c r="Q512" s="2540"/>
      <c r="R512" s="2540"/>
      <c r="S512" s="2540"/>
      <c r="T512" s="2540"/>
    </row>
    <row r="513" spans="1:20">
      <c r="A513" s="2540"/>
      <c r="B513" s="2540"/>
      <c r="C513" s="2540"/>
      <c r="D513" s="2540"/>
      <c r="E513" s="2540"/>
      <c r="F513" s="2540"/>
      <c r="G513" s="2540"/>
      <c r="H513" s="2540"/>
      <c r="I513" s="2541"/>
      <c r="J513" s="2540"/>
      <c r="K513" s="2540"/>
      <c r="L513" s="2540"/>
      <c r="M513" s="2540"/>
      <c r="N513" s="2540"/>
      <c r="O513" s="2540"/>
      <c r="P513" s="2540"/>
      <c r="Q513" s="2540"/>
      <c r="R513" s="2540"/>
      <c r="S513" s="2540"/>
      <c r="T513" s="2540"/>
    </row>
    <row r="514" spans="1:20">
      <c r="A514" s="2540"/>
      <c r="B514" s="2540"/>
      <c r="C514" s="2540"/>
      <c r="D514" s="2540"/>
      <c r="E514" s="2540"/>
      <c r="F514" s="2540"/>
      <c r="G514" s="2540"/>
      <c r="H514" s="2540"/>
      <c r="I514" s="2541"/>
      <c r="J514" s="2540"/>
      <c r="K514" s="2540"/>
      <c r="L514" s="2540"/>
      <c r="M514" s="2540"/>
      <c r="N514" s="2540"/>
      <c r="O514" s="2540"/>
      <c r="P514" s="2540"/>
      <c r="Q514" s="2540"/>
      <c r="R514" s="2540"/>
      <c r="S514" s="2540"/>
      <c r="T514" s="2540"/>
    </row>
    <row r="515" spans="1:20">
      <c r="A515" s="2540"/>
      <c r="B515" s="2540"/>
      <c r="C515" s="2540"/>
      <c r="D515" s="2540"/>
      <c r="E515" s="2540"/>
      <c r="F515" s="2540"/>
      <c r="G515" s="2540"/>
      <c r="H515" s="2540"/>
      <c r="I515" s="2541"/>
      <c r="J515" s="2540"/>
      <c r="K515" s="2540"/>
      <c r="L515" s="2540"/>
      <c r="M515" s="2540"/>
      <c r="N515" s="2540"/>
      <c r="O515" s="2540"/>
      <c r="P515" s="2540"/>
      <c r="Q515" s="2540"/>
      <c r="R515" s="2540"/>
      <c r="S515" s="2540"/>
      <c r="T515" s="2540"/>
    </row>
    <row r="516" spans="1:20">
      <c r="A516" s="2540"/>
      <c r="B516" s="2540"/>
      <c r="C516" s="2540"/>
      <c r="D516" s="2540"/>
      <c r="E516" s="2540"/>
      <c r="F516" s="2540"/>
      <c r="G516" s="2540"/>
      <c r="H516" s="2540"/>
      <c r="I516" s="2541"/>
      <c r="J516" s="2540"/>
      <c r="K516" s="2540"/>
      <c r="L516" s="2540"/>
      <c r="M516" s="2540"/>
      <c r="N516" s="2540"/>
      <c r="O516" s="2540"/>
      <c r="P516" s="2540"/>
      <c r="Q516" s="2540"/>
      <c r="R516" s="2540"/>
      <c r="S516" s="2540"/>
      <c r="T516" s="2540"/>
    </row>
    <row r="517" spans="1:20">
      <c r="A517" s="2540"/>
      <c r="B517" s="2540"/>
      <c r="C517" s="2540"/>
      <c r="D517" s="2540"/>
      <c r="E517" s="2540"/>
      <c r="F517" s="2540"/>
      <c r="G517" s="2540"/>
      <c r="H517" s="2540"/>
      <c r="I517" s="2541"/>
      <c r="J517" s="2540"/>
      <c r="K517" s="2540"/>
      <c r="L517" s="2540"/>
      <c r="M517" s="2540"/>
      <c r="N517" s="2540"/>
      <c r="O517" s="2540"/>
      <c r="P517" s="2540"/>
      <c r="Q517" s="2540"/>
      <c r="R517" s="2540"/>
      <c r="S517" s="2540"/>
      <c r="T517" s="2540"/>
    </row>
    <row r="518" spans="1:20">
      <c r="A518" s="2540"/>
      <c r="B518" s="2540"/>
      <c r="C518" s="2540"/>
      <c r="D518" s="2540"/>
      <c r="E518" s="2540"/>
      <c r="F518" s="2540"/>
      <c r="G518" s="2540"/>
      <c r="H518" s="2540"/>
      <c r="I518" s="2541"/>
      <c r="J518" s="2540"/>
      <c r="K518" s="2540"/>
      <c r="L518" s="2540"/>
      <c r="M518" s="2540"/>
      <c r="N518" s="2540"/>
      <c r="O518" s="2540"/>
      <c r="P518" s="2540"/>
      <c r="Q518" s="2540"/>
      <c r="R518" s="2540"/>
      <c r="S518" s="2540"/>
      <c r="T518" s="2540"/>
    </row>
    <row r="519" spans="1:20">
      <c r="A519" s="2540"/>
      <c r="B519" s="2540"/>
      <c r="C519" s="2540"/>
      <c r="D519" s="2540"/>
      <c r="E519" s="2540"/>
      <c r="F519" s="2540"/>
      <c r="G519" s="2540"/>
      <c r="H519" s="2540"/>
      <c r="I519" s="2541"/>
      <c r="J519" s="2540"/>
      <c r="K519" s="2540"/>
      <c r="L519" s="2540"/>
      <c r="M519" s="2540"/>
      <c r="N519" s="2540"/>
      <c r="O519" s="2540"/>
      <c r="P519" s="2540"/>
      <c r="Q519" s="2540"/>
      <c r="R519" s="2540"/>
      <c r="S519" s="2540"/>
      <c r="T519" s="2540"/>
    </row>
    <row r="520" spans="1:20">
      <c r="A520" s="2540"/>
      <c r="B520" s="2540"/>
      <c r="C520" s="2540"/>
      <c r="D520" s="2540"/>
      <c r="E520" s="2540"/>
      <c r="F520" s="2540"/>
      <c r="G520" s="2540"/>
      <c r="H520" s="2540"/>
      <c r="I520" s="2541"/>
      <c r="J520" s="2540"/>
      <c r="K520" s="2540"/>
      <c r="L520" s="2540"/>
      <c r="M520" s="2540"/>
      <c r="N520" s="2540"/>
      <c r="O520" s="2540"/>
      <c r="P520" s="2540"/>
      <c r="Q520" s="2540"/>
      <c r="R520" s="2540"/>
      <c r="S520" s="2540"/>
      <c r="T520" s="2540"/>
    </row>
    <row r="521" spans="1:20">
      <c r="A521" s="2540"/>
      <c r="B521" s="2540"/>
      <c r="C521" s="2540"/>
      <c r="D521" s="2540"/>
      <c r="E521" s="2540"/>
      <c r="F521" s="2540"/>
      <c r="G521" s="2540"/>
      <c r="H521" s="2540"/>
      <c r="I521" s="2541"/>
      <c r="J521" s="2540"/>
      <c r="K521" s="2540"/>
      <c r="L521" s="2540"/>
      <c r="M521" s="2540"/>
      <c r="N521" s="2540"/>
      <c r="O521" s="2540"/>
      <c r="P521" s="2540"/>
      <c r="Q521" s="2540"/>
      <c r="R521" s="2540"/>
      <c r="S521" s="2540"/>
      <c r="T521" s="2540"/>
    </row>
    <row r="522" spans="1:20">
      <c r="A522" s="2540"/>
      <c r="B522" s="2540"/>
      <c r="C522" s="2540"/>
      <c r="D522" s="2540"/>
      <c r="E522" s="2540"/>
      <c r="F522" s="2540"/>
      <c r="G522" s="2540"/>
      <c r="H522" s="2540"/>
      <c r="I522" s="2541"/>
      <c r="J522" s="2540"/>
      <c r="K522" s="2540"/>
      <c r="L522" s="2540"/>
      <c r="M522" s="2540"/>
      <c r="N522" s="2540"/>
      <c r="O522" s="2540"/>
      <c r="P522" s="2540"/>
      <c r="Q522" s="2540"/>
      <c r="R522" s="2540"/>
      <c r="S522" s="2540"/>
      <c r="T522" s="2540"/>
    </row>
    <row r="523" spans="1:20">
      <c r="A523" s="2540"/>
      <c r="B523" s="2540"/>
      <c r="C523" s="2540"/>
      <c r="D523" s="2540"/>
      <c r="E523" s="2540"/>
      <c r="F523" s="2540"/>
      <c r="G523" s="2540"/>
      <c r="H523" s="2540"/>
      <c r="I523" s="2541"/>
      <c r="J523" s="2540"/>
      <c r="K523" s="2540"/>
      <c r="L523" s="2540"/>
      <c r="M523" s="2540"/>
      <c r="N523" s="2540"/>
      <c r="O523" s="2540"/>
      <c r="P523" s="2540"/>
      <c r="Q523" s="2540"/>
      <c r="R523" s="2540"/>
      <c r="S523" s="2540"/>
      <c r="T523" s="2540"/>
    </row>
    <row r="524" spans="1:20">
      <c r="A524" s="2540"/>
      <c r="B524" s="2540"/>
      <c r="C524" s="2540"/>
      <c r="D524" s="2540"/>
      <c r="E524" s="2540"/>
      <c r="F524" s="2540"/>
      <c r="G524" s="2540"/>
      <c r="H524" s="2540"/>
      <c r="I524" s="2541"/>
      <c r="J524" s="2540"/>
      <c r="K524" s="2540"/>
      <c r="L524" s="2540"/>
      <c r="M524" s="2540"/>
      <c r="N524" s="2540"/>
      <c r="O524" s="2540"/>
      <c r="P524" s="2540"/>
      <c r="Q524" s="2540"/>
      <c r="R524" s="2540"/>
      <c r="S524" s="2540"/>
      <c r="T524" s="2540"/>
    </row>
    <row r="525" spans="1:20">
      <c r="A525" s="2540"/>
      <c r="B525" s="2540"/>
      <c r="C525" s="2540"/>
      <c r="D525" s="2540"/>
      <c r="E525" s="2540"/>
      <c r="F525" s="2540"/>
      <c r="G525" s="2540"/>
      <c r="H525" s="2540"/>
      <c r="I525" s="2541"/>
      <c r="J525" s="2540"/>
      <c r="K525" s="2540"/>
      <c r="L525" s="2540"/>
      <c r="M525" s="2540"/>
      <c r="N525" s="2540"/>
      <c r="O525" s="2540"/>
      <c r="P525" s="2540"/>
      <c r="Q525" s="2540"/>
      <c r="R525" s="2540"/>
      <c r="S525" s="2540"/>
      <c r="T525" s="2540"/>
    </row>
    <row r="526" spans="1:20">
      <c r="A526" s="2540"/>
      <c r="B526" s="2540"/>
      <c r="C526" s="2540"/>
      <c r="D526" s="2540"/>
      <c r="E526" s="2540"/>
      <c r="F526" s="2540"/>
      <c r="G526" s="2540"/>
      <c r="H526" s="2540"/>
      <c r="I526" s="2541"/>
      <c r="J526" s="2540"/>
      <c r="K526" s="2540"/>
      <c r="L526" s="2540"/>
      <c r="M526" s="2540"/>
      <c r="N526" s="2540"/>
      <c r="O526" s="2540"/>
      <c r="P526" s="2540"/>
      <c r="Q526" s="2540"/>
      <c r="R526" s="2540"/>
      <c r="S526" s="2540"/>
      <c r="T526" s="2540"/>
    </row>
    <row r="527" spans="1:20">
      <c r="A527" s="2540"/>
      <c r="B527" s="2540"/>
      <c r="C527" s="2540"/>
      <c r="D527" s="2540"/>
      <c r="E527" s="2540"/>
      <c r="F527" s="2540"/>
      <c r="G527" s="2540"/>
      <c r="H527" s="2540"/>
      <c r="I527" s="2541"/>
      <c r="J527" s="2540"/>
      <c r="K527" s="2540"/>
      <c r="L527" s="2540"/>
      <c r="M527" s="2540"/>
      <c r="N527" s="2540"/>
      <c r="O527" s="2540"/>
      <c r="P527" s="2540"/>
      <c r="Q527" s="2540"/>
      <c r="R527" s="2540"/>
      <c r="S527" s="2540"/>
      <c r="T527" s="2540"/>
    </row>
    <row r="528" spans="1:20">
      <c r="A528" s="2540"/>
      <c r="B528" s="2540"/>
      <c r="C528" s="2540"/>
      <c r="D528" s="2540"/>
      <c r="E528" s="2540"/>
      <c r="F528" s="2540"/>
      <c r="G528" s="2540"/>
      <c r="H528" s="2540"/>
      <c r="I528" s="2541"/>
      <c r="J528" s="2540"/>
      <c r="K528" s="2540"/>
      <c r="L528" s="2540"/>
      <c r="M528" s="2540"/>
      <c r="N528" s="2540"/>
      <c r="O528" s="2540"/>
      <c r="P528" s="2540"/>
      <c r="Q528" s="2540"/>
      <c r="R528" s="2540"/>
      <c r="S528" s="2540"/>
      <c r="T528" s="2540"/>
    </row>
    <row r="529" spans="1:20">
      <c r="A529" s="2540"/>
      <c r="B529" s="2540"/>
      <c r="C529" s="2540"/>
      <c r="D529" s="2540"/>
      <c r="E529" s="2540"/>
      <c r="F529" s="2540"/>
      <c r="G529" s="2540"/>
      <c r="H529" s="2540"/>
      <c r="I529" s="2541"/>
      <c r="J529" s="2540"/>
      <c r="K529" s="2540"/>
      <c r="L529" s="2540"/>
      <c r="M529" s="2540"/>
      <c r="N529" s="2540"/>
      <c r="O529" s="2540"/>
      <c r="P529" s="2540"/>
      <c r="Q529" s="2540"/>
      <c r="R529" s="2540"/>
      <c r="S529" s="2540"/>
      <c r="T529" s="2540"/>
    </row>
    <row r="530" spans="1:20">
      <c r="A530" s="2540"/>
      <c r="B530" s="2540"/>
      <c r="C530" s="2540"/>
      <c r="D530" s="2540"/>
      <c r="E530" s="2540"/>
      <c r="F530" s="2540"/>
      <c r="G530" s="2540"/>
      <c r="H530" s="2540"/>
      <c r="I530" s="2541"/>
      <c r="J530" s="2540"/>
      <c r="K530" s="2540"/>
      <c r="L530" s="2540"/>
      <c r="M530" s="2540"/>
      <c r="N530" s="2540"/>
      <c r="O530" s="2540"/>
      <c r="P530" s="2540"/>
      <c r="Q530" s="2540"/>
      <c r="R530" s="2540"/>
      <c r="S530" s="2540"/>
      <c r="T530" s="2540"/>
    </row>
    <row r="531" spans="1:20">
      <c r="A531" s="2540"/>
      <c r="B531" s="2540"/>
      <c r="C531" s="2540"/>
      <c r="D531" s="2540"/>
      <c r="E531" s="2540"/>
      <c r="F531" s="2540"/>
      <c r="G531" s="2540"/>
      <c r="H531" s="2540"/>
      <c r="I531" s="2541"/>
      <c r="J531" s="2540"/>
      <c r="K531" s="2540"/>
      <c r="L531" s="2540"/>
      <c r="M531" s="2540"/>
      <c r="N531" s="2540"/>
      <c r="O531" s="2540"/>
      <c r="P531" s="2540"/>
      <c r="Q531" s="2540"/>
      <c r="R531" s="2540"/>
      <c r="S531" s="2540"/>
      <c r="T531" s="2540"/>
    </row>
    <row r="532" spans="1:20">
      <c r="A532" s="2540"/>
      <c r="B532" s="2540"/>
      <c r="C532" s="2540"/>
      <c r="D532" s="2540"/>
      <c r="E532" s="2540"/>
      <c r="F532" s="2540"/>
      <c r="G532" s="2540"/>
      <c r="H532" s="2540"/>
      <c r="I532" s="2541"/>
      <c r="J532" s="2540"/>
      <c r="K532" s="2540"/>
      <c r="L532" s="2540"/>
      <c r="M532" s="2540"/>
      <c r="N532" s="2540"/>
      <c r="O532" s="2540"/>
      <c r="P532" s="2540"/>
      <c r="Q532" s="2540"/>
      <c r="R532" s="2540"/>
      <c r="S532" s="2540"/>
      <c r="T532" s="2540"/>
    </row>
    <row r="533" spans="1:20">
      <c r="A533" s="2540"/>
      <c r="B533" s="2540"/>
      <c r="C533" s="2540"/>
      <c r="D533" s="2540"/>
      <c r="E533" s="2540"/>
      <c r="F533" s="2540"/>
      <c r="G533" s="2540"/>
      <c r="H533" s="2540"/>
      <c r="I533" s="2541"/>
      <c r="J533" s="2540"/>
      <c r="K533" s="2540"/>
      <c r="L533" s="2540"/>
      <c r="M533" s="2540"/>
      <c r="N533" s="2540"/>
      <c r="O533" s="2540"/>
      <c r="P533" s="2540"/>
      <c r="Q533" s="2540"/>
      <c r="R533" s="2540"/>
      <c r="S533" s="2540"/>
      <c r="T533" s="2540"/>
    </row>
    <row r="534" spans="1:20">
      <c r="A534" s="2540"/>
      <c r="B534" s="2540"/>
      <c r="C534" s="2540"/>
      <c r="D534" s="2540"/>
      <c r="E534" s="2540"/>
      <c r="F534" s="2540"/>
      <c r="G534" s="2540"/>
      <c r="H534" s="2540"/>
      <c r="I534" s="2541"/>
      <c r="J534" s="2540"/>
      <c r="K534" s="2540"/>
      <c r="L534" s="2540"/>
      <c r="M534" s="2540"/>
      <c r="N534" s="2540"/>
      <c r="O534" s="2540"/>
      <c r="P534" s="2540"/>
      <c r="Q534" s="2540"/>
      <c r="R534" s="2540"/>
      <c r="S534" s="2540"/>
      <c r="T534" s="2540"/>
    </row>
    <row r="535" spans="1:20">
      <c r="A535" s="2540"/>
      <c r="B535" s="2540"/>
      <c r="C535" s="2540"/>
      <c r="D535" s="2540"/>
      <c r="E535" s="2540"/>
      <c r="F535" s="2540"/>
      <c r="G535" s="2540"/>
      <c r="H535" s="2540"/>
      <c r="I535" s="2541"/>
      <c r="J535" s="2540"/>
      <c r="K535" s="2540"/>
      <c r="L535" s="2540"/>
      <c r="M535" s="2540"/>
      <c r="N535" s="2540"/>
      <c r="O535" s="2540"/>
      <c r="P535" s="2540"/>
      <c r="Q535" s="2540"/>
      <c r="R535" s="2540"/>
      <c r="S535" s="2540"/>
      <c r="T535" s="2540"/>
    </row>
    <row r="536" spans="1:20">
      <c r="A536" s="2540"/>
      <c r="B536" s="2540"/>
      <c r="C536" s="2540"/>
      <c r="D536" s="2540"/>
      <c r="E536" s="2540"/>
      <c r="F536" s="2540"/>
      <c r="G536" s="2540"/>
      <c r="H536" s="2540"/>
      <c r="I536" s="2541"/>
      <c r="J536" s="2540"/>
      <c r="K536" s="2540"/>
      <c r="L536" s="2540"/>
      <c r="M536" s="2540"/>
      <c r="N536" s="2540"/>
      <c r="O536" s="2540"/>
      <c r="P536" s="2540"/>
      <c r="Q536" s="2540"/>
      <c r="R536" s="2540"/>
      <c r="S536" s="2540"/>
      <c r="T536" s="2540"/>
    </row>
    <row r="537" spans="1:20">
      <c r="A537" s="2540"/>
      <c r="B537" s="2540"/>
      <c r="C537" s="2540"/>
      <c r="D537" s="2540"/>
      <c r="E537" s="2540"/>
      <c r="F537" s="2540"/>
      <c r="G537" s="2540"/>
      <c r="H537" s="2540"/>
      <c r="I537" s="2541"/>
      <c r="J537" s="2540"/>
      <c r="K537" s="2540"/>
      <c r="L537" s="2540"/>
      <c r="M537" s="2540"/>
      <c r="N537" s="2540"/>
      <c r="O537" s="2540"/>
      <c r="P537" s="2540"/>
      <c r="Q537" s="2540"/>
      <c r="R537" s="2540"/>
      <c r="S537" s="2540"/>
      <c r="T537" s="2540"/>
    </row>
    <row r="538" spans="1:20">
      <c r="A538" s="2540"/>
      <c r="B538" s="2540"/>
      <c r="C538" s="2540"/>
      <c r="D538" s="2540"/>
      <c r="E538" s="2540"/>
      <c r="F538" s="2540"/>
      <c r="G538" s="2540"/>
      <c r="H538" s="2540"/>
      <c r="I538" s="2541"/>
      <c r="J538" s="2540"/>
      <c r="K538" s="2540"/>
      <c r="L538" s="2540"/>
      <c r="M538" s="2540"/>
      <c r="N538" s="2540"/>
      <c r="O538" s="2540"/>
      <c r="P538" s="2540"/>
      <c r="Q538" s="2540"/>
      <c r="R538" s="2540"/>
      <c r="S538" s="2540"/>
      <c r="T538" s="2540"/>
    </row>
    <row r="539" spans="1:20">
      <c r="A539" s="2540"/>
      <c r="B539" s="2540"/>
      <c r="C539" s="2540"/>
      <c r="D539" s="2540"/>
      <c r="E539" s="2540"/>
      <c r="F539" s="2540"/>
      <c r="G539" s="2540"/>
      <c r="H539" s="2540"/>
      <c r="I539" s="2541"/>
      <c r="J539" s="2540"/>
      <c r="K539" s="2540"/>
      <c r="L539" s="2540"/>
      <c r="M539" s="2540"/>
      <c r="N539" s="2540"/>
      <c r="O539" s="2540"/>
      <c r="P539" s="2540"/>
      <c r="Q539" s="2540"/>
      <c r="R539" s="2540"/>
      <c r="S539" s="2540"/>
      <c r="T539" s="2540"/>
    </row>
    <row r="540" spans="1:20">
      <c r="A540" s="2540"/>
      <c r="B540" s="2540"/>
      <c r="C540" s="2540"/>
      <c r="D540" s="2540"/>
      <c r="E540" s="2540"/>
      <c r="F540" s="2540"/>
      <c r="G540" s="2540"/>
      <c r="H540" s="2540"/>
      <c r="I540" s="2541"/>
      <c r="J540" s="2540"/>
      <c r="K540" s="2540"/>
      <c r="L540" s="2540"/>
      <c r="M540" s="2540"/>
      <c r="N540" s="2540"/>
      <c r="O540" s="2540"/>
      <c r="P540" s="2540"/>
      <c r="Q540" s="2540"/>
      <c r="R540" s="2540"/>
      <c r="S540" s="2540"/>
      <c r="T540" s="2540"/>
    </row>
    <row r="541" spans="1:20">
      <c r="A541" s="2540"/>
      <c r="B541" s="2540"/>
      <c r="C541" s="2540"/>
      <c r="D541" s="2540"/>
      <c r="E541" s="2540"/>
      <c r="F541" s="2540"/>
      <c r="G541" s="2540"/>
      <c r="H541" s="2540"/>
      <c r="I541" s="2541"/>
      <c r="J541" s="2540"/>
      <c r="K541" s="2540"/>
      <c r="L541" s="2540"/>
      <c r="M541" s="2540"/>
      <c r="N541" s="2540"/>
      <c r="O541" s="2540"/>
      <c r="P541" s="2540"/>
      <c r="Q541" s="2540"/>
      <c r="R541" s="2540"/>
      <c r="S541" s="2540"/>
      <c r="T541" s="2540"/>
    </row>
    <row r="542" spans="1:20">
      <c r="A542" s="2540"/>
      <c r="B542" s="2540"/>
      <c r="C542" s="2540"/>
      <c r="D542" s="2540"/>
      <c r="E542" s="2540"/>
      <c r="F542" s="2540"/>
      <c r="G542" s="2540"/>
      <c r="H542" s="2540"/>
      <c r="I542" s="2541"/>
      <c r="J542" s="2540"/>
      <c r="K542" s="2540"/>
      <c r="L542" s="2540"/>
      <c r="M542" s="2540"/>
      <c r="N542" s="2540"/>
      <c r="O542" s="2540"/>
      <c r="P542" s="2540"/>
      <c r="Q542" s="2540"/>
      <c r="R542" s="2540"/>
      <c r="S542" s="2540"/>
      <c r="T542" s="2540"/>
    </row>
    <row r="543" spans="1:20">
      <c r="A543" s="2540"/>
      <c r="B543" s="2540"/>
      <c r="C543" s="2540"/>
      <c r="D543" s="2540"/>
      <c r="E543" s="2540"/>
      <c r="F543" s="2540"/>
      <c r="G543" s="2540"/>
      <c r="H543" s="2540"/>
      <c r="I543" s="2541"/>
      <c r="J543" s="2540"/>
      <c r="K543" s="2540"/>
      <c r="L543" s="2540"/>
      <c r="M543" s="2540"/>
      <c r="N543" s="2540"/>
      <c r="O543" s="2540"/>
      <c r="P543" s="2540"/>
      <c r="Q543" s="2540"/>
      <c r="R543" s="2540"/>
      <c r="S543" s="2540"/>
      <c r="T543" s="2540"/>
    </row>
    <row r="544" spans="1:20">
      <c r="A544" s="2540"/>
      <c r="B544" s="2540"/>
      <c r="C544" s="2540"/>
      <c r="D544" s="2540"/>
      <c r="E544" s="2540"/>
      <c r="F544" s="2540"/>
      <c r="G544" s="2540"/>
      <c r="H544" s="2540"/>
      <c r="I544" s="2541"/>
      <c r="J544" s="2540"/>
      <c r="K544" s="2540"/>
      <c r="L544" s="2540"/>
      <c r="M544" s="2540"/>
      <c r="N544" s="2540"/>
      <c r="O544" s="2540"/>
      <c r="P544" s="2540"/>
      <c r="Q544" s="2540"/>
      <c r="R544" s="2540"/>
      <c r="S544" s="2540"/>
      <c r="T544" s="2540"/>
    </row>
    <row r="545" spans="1:20">
      <c r="A545" s="2540"/>
      <c r="B545" s="2540"/>
      <c r="C545" s="2540"/>
      <c r="D545" s="2540"/>
      <c r="E545" s="2540"/>
      <c r="F545" s="2540"/>
      <c r="G545" s="2540"/>
      <c r="H545" s="2540"/>
      <c r="I545" s="2541"/>
      <c r="J545" s="2540"/>
      <c r="K545" s="2540"/>
      <c r="L545" s="2540"/>
      <c r="M545" s="2540"/>
      <c r="N545" s="2540"/>
      <c r="O545" s="2540"/>
      <c r="P545" s="2540"/>
      <c r="Q545" s="2540"/>
      <c r="R545" s="2540"/>
      <c r="S545" s="2540"/>
      <c r="T545" s="2540"/>
    </row>
    <row r="546" spans="1:20">
      <c r="A546" s="2540"/>
      <c r="B546" s="2540"/>
      <c r="C546" s="2540"/>
      <c r="D546" s="2540"/>
      <c r="E546" s="2540"/>
      <c r="F546" s="2540"/>
      <c r="G546" s="2540"/>
      <c r="H546" s="2540"/>
      <c r="I546" s="2541"/>
      <c r="J546" s="2540"/>
      <c r="K546" s="2540"/>
      <c r="L546" s="2540"/>
      <c r="M546" s="2540"/>
      <c r="N546" s="2540"/>
      <c r="O546" s="2540"/>
      <c r="P546" s="2540"/>
      <c r="Q546" s="2540"/>
      <c r="R546" s="2540"/>
      <c r="S546" s="2540"/>
      <c r="T546" s="2540"/>
    </row>
    <row r="547" spans="1:20">
      <c r="A547" s="2540"/>
      <c r="B547" s="2540"/>
      <c r="C547" s="2540"/>
      <c r="D547" s="2540"/>
      <c r="E547" s="2540"/>
      <c r="F547" s="2540"/>
      <c r="G547" s="2540"/>
      <c r="H547" s="2540"/>
      <c r="I547" s="2541"/>
      <c r="J547" s="2540"/>
      <c r="K547" s="2540"/>
      <c r="L547" s="2540"/>
      <c r="M547" s="2540"/>
      <c r="N547" s="2540"/>
      <c r="O547" s="2540"/>
      <c r="P547" s="2540"/>
      <c r="Q547" s="2540"/>
      <c r="R547" s="2540"/>
      <c r="S547" s="2540"/>
      <c r="T547" s="2540"/>
    </row>
    <row r="548" spans="1:20">
      <c r="A548" s="2540"/>
      <c r="B548" s="2540"/>
      <c r="C548" s="2540"/>
      <c r="D548" s="2540"/>
      <c r="E548" s="2540"/>
      <c r="F548" s="2540"/>
      <c r="G548" s="2540"/>
      <c r="H548" s="2540"/>
      <c r="I548" s="2541"/>
      <c r="J548" s="2540"/>
      <c r="K548" s="2540"/>
      <c r="L548" s="2540"/>
      <c r="M548" s="2540"/>
      <c r="N548" s="2540"/>
      <c r="O548" s="2540"/>
      <c r="P548" s="2540"/>
      <c r="Q548" s="2540"/>
      <c r="R548" s="2540"/>
      <c r="S548" s="2540"/>
      <c r="T548" s="2540"/>
    </row>
    <row r="549" spans="1:20">
      <c r="A549" s="2540"/>
      <c r="B549" s="2540"/>
      <c r="C549" s="2540"/>
      <c r="D549" s="2540"/>
      <c r="E549" s="2540"/>
      <c r="F549" s="2540"/>
      <c r="G549" s="2540"/>
      <c r="H549" s="2540"/>
      <c r="I549" s="2541"/>
      <c r="J549" s="2540"/>
      <c r="K549" s="2540"/>
      <c r="L549" s="2540"/>
      <c r="M549" s="2540"/>
      <c r="N549" s="2540"/>
      <c r="O549" s="2540"/>
      <c r="P549" s="2540"/>
      <c r="Q549" s="2540"/>
      <c r="R549" s="2540"/>
      <c r="S549" s="2540"/>
      <c r="T549" s="2540"/>
    </row>
    <row r="550" spans="1:20">
      <c r="A550" s="2540"/>
      <c r="B550" s="2540"/>
      <c r="C550" s="2540"/>
      <c r="D550" s="2540"/>
      <c r="E550" s="2540"/>
      <c r="F550" s="2540"/>
      <c r="G550" s="2540"/>
      <c r="H550" s="2540"/>
      <c r="I550" s="2541"/>
      <c r="J550" s="2540"/>
      <c r="K550" s="2540"/>
      <c r="L550" s="2540"/>
      <c r="M550" s="2540"/>
      <c r="N550" s="2540"/>
      <c r="O550" s="2540"/>
      <c r="P550" s="2540"/>
      <c r="Q550" s="2540"/>
      <c r="R550" s="2540"/>
      <c r="S550" s="2540"/>
      <c r="T550" s="2540"/>
    </row>
    <row r="551" spans="1:20">
      <c r="A551" s="2540"/>
      <c r="B551" s="2540"/>
      <c r="C551" s="2540"/>
      <c r="D551" s="2540"/>
      <c r="E551" s="2540"/>
      <c r="F551" s="2540"/>
      <c r="G551" s="2540"/>
      <c r="H551" s="2540"/>
      <c r="I551" s="2541"/>
      <c r="J551" s="2540"/>
      <c r="K551" s="2540"/>
      <c r="L551" s="2540"/>
      <c r="M551" s="2540"/>
      <c r="N551" s="2540"/>
      <c r="O551" s="2540"/>
      <c r="P551" s="2540"/>
      <c r="Q551" s="2540"/>
      <c r="R551" s="2540"/>
      <c r="S551" s="2540"/>
      <c r="T551" s="2540"/>
    </row>
    <row r="552" spans="1:20">
      <c r="A552" s="2540"/>
      <c r="B552" s="2540"/>
      <c r="C552" s="2540"/>
      <c r="D552" s="2540"/>
      <c r="E552" s="2540"/>
      <c r="F552" s="2540"/>
      <c r="G552" s="2540"/>
      <c r="H552" s="2540"/>
      <c r="I552" s="2541"/>
      <c r="J552" s="2540"/>
      <c r="K552" s="2540"/>
      <c r="L552" s="2540"/>
      <c r="M552" s="2540"/>
      <c r="N552" s="2540"/>
      <c r="O552" s="2540"/>
      <c r="P552" s="2540"/>
      <c r="Q552" s="2540"/>
      <c r="R552" s="2540"/>
      <c r="S552" s="2540"/>
      <c r="T552" s="2540"/>
    </row>
    <row r="553" spans="1:20">
      <c r="A553" s="2540"/>
      <c r="B553" s="2540"/>
      <c r="C553" s="2540"/>
      <c r="D553" s="2540"/>
      <c r="E553" s="2540"/>
      <c r="F553" s="2540"/>
      <c r="G553" s="2540"/>
      <c r="H553" s="2540"/>
      <c r="I553" s="2541"/>
      <c r="J553" s="2540"/>
      <c r="K553" s="2540"/>
      <c r="L553" s="2540"/>
      <c r="M553" s="2540"/>
      <c r="N553" s="2540"/>
      <c r="O553" s="2540"/>
      <c r="P553" s="2540"/>
      <c r="Q553" s="2540"/>
      <c r="R553" s="2540"/>
      <c r="S553" s="2540"/>
      <c r="T553" s="2540"/>
    </row>
    <row r="554" spans="1:20">
      <c r="A554" s="2540"/>
      <c r="B554" s="2540"/>
      <c r="C554" s="2540"/>
      <c r="D554" s="2540"/>
      <c r="E554" s="2540"/>
      <c r="F554" s="2540"/>
      <c r="G554" s="2540"/>
      <c r="H554" s="2540"/>
      <c r="I554" s="2541"/>
      <c r="J554" s="2540"/>
      <c r="K554" s="2540"/>
      <c r="L554" s="2540"/>
      <c r="M554" s="2540"/>
      <c r="N554" s="2540"/>
      <c r="O554" s="2540"/>
      <c r="P554" s="2540"/>
      <c r="Q554" s="2540"/>
      <c r="R554" s="2540"/>
      <c r="S554" s="2540"/>
      <c r="T554" s="2540"/>
    </row>
    <row r="555" spans="1:20">
      <c r="A555" s="2540"/>
      <c r="B555" s="2540"/>
      <c r="C555" s="2540"/>
      <c r="D555" s="2540"/>
      <c r="E555" s="2540"/>
      <c r="F555" s="2540"/>
      <c r="G555" s="2540"/>
      <c r="H555" s="2540"/>
      <c r="I555" s="2541"/>
      <c r="J555" s="2540"/>
      <c r="K555" s="2540"/>
      <c r="L555" s="2540"/>
      <c r="M555" s="2540"/>
      <c r="N555" s="2540"/>
      <c r="O555" s="2540"/>
      <c r="P555" s="2540"/>
      <c r="Q555" s="2540"/>
      <c r="R555" s="2540"/>
      <c r="S555" s="2540"/>
      <c r="T555" s="2540"/>
    </row>
    <row r="556" spans="1:20">
      <c r="A556" s="2540"/>
      <c r="B556" s="2540"/>
      <c r="C556" s="2540"/>
      <c r="D556" s="2540"/>
      <c r="E556" s="2540"/>
      <c r="F556" s="2540"/>
      <c r="G556" s="2540"/>
      <c r="H556" s="2540"/>
      <c r="I556" s="2541"/>
      <c r="J556" s="2540"/>
      <c r="K556" s="2540"/>
      <c r="L556" s="2540"/>
      <c r="M556" s="2540"/>
      <c r="N556" s="2540"/>
      <c r="O556" s="2540"/>
      <c r="P556" s="2540"/>
      <c r="Q556" s="2540"/>
      <c r="R556" s="2540"/>
      <c r="S556" s="2540"/>
      <c r="T556" s="2540"/>
    </row>
    <row r="557" spans="1:20">
      <c r="A557" s="2540"/>
      <c r="B557" s="2540"/>
      <c r="C557" s="2540"/>
      <c r="D557" s="2540"/>
      <c r="E557" s="2540"/>
      <c r="F557" s="2540"/>
      <c r="G557" s="2540"/>
      <c r="H557" s="2540"/>
      <c r="I557" s="2541"/>
      <c r="J557" s="2540"/>
      <c r="K557" s="2540"/>
      <c r="L557" s="2540"/>
      <c r="M557" s="2540"/>
      <c r="N557" s="2540"/>
      <c r="O557" s="2540"/>
      <c r="P557" s="2540"/>
      <c r="Q557" s="2540"/>
      <c r="R557" s="2540"/>
      <c r="S557" s="2540"/>
      <c r="T557" s="2540"/>
    </row>
    <row r="558" spans="1:20">
      <c r="A558" s="2540"/>
      <c r="B558" s="2540"/>
      <c r="C558" s="2540"/>
      <c r="D558" s="2540"/>
      <c r="E558" s="2540"/>
      <c r="F558" s="2540"/>
      <c r="G558" s="2540"/>
      <c r="H558" s="2540"/>
      <c r="I558" s="2541"/>
      <c r="J558" s="2540"/>
      <c r="K558" s="2540"/>
      <c r="L558" s="2540"/>
      <c r="M558" s="2540"/>
      <c r="N558" s="2540"/>
      <c r="O558" s="2540"/>
      <c r="P558" s="2540"/>
      <c r="Q558" s="2540"/>
      <c r="R558" s="2540"/>
      <c r="S558" s="2540"/>
      <c r="T558" s="2540"/>
    </row>
    <row r="559" spans="1:20">
      <c r="A559" s="2540"/>
      <c r="B559" s="2540"/>
      <c r="C559" s="2540"/>
      <c r="D559" s="2540"/>
      <c r="E559" s="2540"/>
      <c r="F559" s="2540"/>
      <c r="G559" s="2540"/>
      <c r="H559" s="2540"/>
      <c r="I559" s="2541"/>
      <c r="J559" s="2540"/>
      <c r="K559" s="2540"/>
      <c r="L559" s="2540"/>
      <c r="M559" s="2540"/>
      <c r="N559" s="2540"/>
      <c r="O559" s="2540"/>
      <c r="P559" s="2540"/>
      <c r="Q559" s="2540"/>
      <c r="R559" s="2540"/>
      <c r="S559" s="2540"/>
      <c r="T559" s="2540"/>
    </row>
    <row r="560" spans="1:20">
      <c r="A560" s="2540"/>
      <c r="B560" s="2540"/>
      <c r="C560" s="2540"/>
      <c r="D560" s="2540"/>
      <c r="E560" s="2540"/>
      <c r="F560" s="2540"/>
      <c r="G560" s="2540"/>
      <c r="H560" s="2540"/>
      <c r="I560" s="2541"/>
      <c r="J560" s="2540"/>
      <c r="K560" s="2540"/>
      <c r="L560" s="2540"/>
      <c r="M560" s="2540"/>
      <c r="N560" s="2540"/>
      <c r="O560" s="2540"/>
      <c r="P560" s="2540"/>
      <c r="Q560" s="2540"/>
      <c r="R560" s="2540"/>
      <c r="S560" s="2540"/>
      <c r="T560" s="2540"/>
    </row>
    <row r="561" spans="1:20">
      <c r="A561" s="2540"/>
      <c r="B561" s="2540"/>
      <c r="C561" s="2540"/>
      <c r="D561" s="2540"/>
      <c r="E561" s="2540"/>
      <c r="F561" s="2540"/>
      <c r="G561" s="2540"/>
      <c r="H561" s="2540"/>
      <c r="I561" s="2541"/>
      <c r="J561" s="2540"/>
      <c r="K561" s="2540"/>
      <c r="L561" s="2540"/>
      <c r="M561" s="2540"/>
      <c r="N561" s="2540"/>
      <c r="O561" s="2540"/>
      <c r="P561" s="2540"/>
      <c r="Q561" s="2540"/>
      <c r="R561" s="2540"/>
      <c r="S561" s="2540"/>
      <c r="T561" s="2540"/>
    </row>
    <row r="562" spans="1:20">
      <c r="A562" s="2540"/>
      <c r="B562" s="2540"/>
      <c r="C562" s="2540"/>
      <c r="D562" s="2540"/>
      <c r="E562" s="2540"/>
      <c r="F562" s="2540"/>
      <c r="G562" s="2540"/>
      <c r="H562" s="2540"/>
      <c r="I562" s="2541"/>
      <c r="J562" s="2540"/>
      <c r="K562" s="2540"/>
      <c r="L562" s="2540"/>
      <c r="M562" s="2540"/>
      <c r="N562" s="2540"/>
      <c r="O562" s="2540"/>
      <c r="P562" s="2540"/>
      <c r="Q562" s="2540"/>
      <c r="R562" s="2540"/>
      <c r="S562" s="2540"/>
      <c r="T562" s="2540"/>
    </row>
    <row r="563" spans="1:20">
      <c r="A563" s="2540"/>
      <c r="B563" s="2540"/>
      <c r="C563" s="2540"/>
      <c r="D563" s="2540"/>
      <c r="E563" s="2540"/>
      <c r="F563" s="2540"/>
      <c r="G563" s="2540"/>
      <c r="H563" s="2540"/>
      <c r="I563" s="2541"/>
      <c r="J563" s="2540"/>
      <c r="K563" s="2540"/>
      <c r="L563" s="2540"/>
      <c r="M563" s="2540"/>
      <c r="N563" s="2540"/>
      <c r="O563" s="2540"/>
      <c r="P563" s="2540"/>
      <c r="Q563" s="2540"/>
      <c r="R563" s="2540"/>
      <c r="S563" s="2540"/>
      <c r="T563" s="2540"/>
    </row>
    <row r="564" spans="1:20">
      <c r="A564" s="2540"/>
      <c r="B564" s="2540"/>
      <c r="C564" s="2540"/>
      <c r="D564" s="2540"/>
      <c r="E564" s="2540"/>
      <c r="F564" s="2540"/>
      <c r="G564" s="2540"/>
      <c r="H564" s="2540"/>
      <c r="I564" s="2541"/>
      <c r="J564" s="2540"/>
      <c r="K564" s="2540"/>
      <c r="L564" s="2540"/>
      <c r="M564" s="2540"/>
      <c r="N564" s="2540"/>
      <c r="O564" s="2540"/>
      <c r="P564" s="2540"/>
      <c r="Q564" s="2540"/>
      <c r="R564" s="2540"/>
      <c r="S564" s="2540"/>
      <c r="T564" s="2540"/>
    </row>
    <row r="565" spans="1:20">
      <c r="A565" s="2540"/>
      <c r="B565" s="2540"/>
      <c r="C565" s="2540"/>
      <c r="D565" s="2540"/>
      <c r="E565" s="2540"/>
      <c r="F565" s="2540"/>
      <c r="G565" s="2540"/>
      <c r="H565" s="2540"/>
      <c r="I565" s="2541"/>
      <c r="J565" s="2540"/>
      <c r="K565" s="2540"/>
      <c r="L565" s="2540"/>
      <c r="M565" s="2540"/>
      <c r="N565" s="2540"/>
      <c r="O565" s="2540"/>
      <c r="P565" s="2540"/>
      <c r="Q565" s="2540"/>
      <c r="R565" s="2540"/>
      <c r="S565" s="2540"/>
      <c r="T565" s="2540"/>
    </row>
    <row r="566" spans="1:20">
      <c r="A566" s="2540"/>
      <c r="B566" s="2540"/>
      <c r="C566" s="2540"/>
      <c r="D566" s="2540"/>
      <c r="E566" s="2540"/>
      <c r="F566" s="2540"/>
      <c r="G566" s="2540"/>
      <c r="H566" s="2540"/>
      <c r="I566" s="2541"/>
      <c r="J566" s="2540"/>
      <c r="K566" s="2540"/>
      <c r="L566" s="2540"/>
      <c r="M566" s="2540"/>
      <c r="N566" s="2540"/>
      <c r="O566" s="2540"/>
      <c r="P566" s="2540"/>
      <c r="Q566" s="2540"/>
      <c r="R566" s="2540"/>
      <c r="S566" s="2540"/>
      <c r="T566" s="2540"/>
    </row>
    <row r="567" spans="1:20">
      <c r="A567" s="2540"/>
      <c r="B567" s="2540"/>
      <c r="C567" s="2540"/>
      <c r="D567" s="2540"/>
      <c r="E567" s="2540"/>
      <c r="F567" s="2540"/>
      <c r="G567" s="2540"/>
      <c r="H567" s="2540"/>
      <c r="I567" s="2541"/>
      <c r="J567" s="2540"/>
      <c r="K567" s="2540"/>
      <c r="L567" s="2540"/>
      <c r="M567" s="2540"/>
      <c r="N567" s="2540"/>
      <c r="O567" s="2540"/>
      <c r="P567" s="2540"/>
      <c r="Q567" s="2540"/>
      <c r="R567" s="2540"/>
      <c r="S567" s="2540"/>
      <c r="T567" s="2540"/>
    </row>
    <row r="568" spans="1:20">
      <c r="A568" s="2540"/>
      <c r="B568" s="2540"/>
      <c r="C568" s="2540"/>
      <c r="D568" s="2540"/>
      <c r="E568" s="2540"/>
      <c r="F568" s="2540"/>
      <c r="G568" s="2540"/>
      <c r="H568" s="2540"/>
      <c r="I568" s="2541"/>
      <c r="J568" s="2540"/>
      <c r="K568" s="2540"/>
      <c r="L568" s="2540"/>
      <c r="M568" s="2540"/>
      <c r="N568" s="2540"/>
      <c r="O568" s="2540"/>
      <c r="P568" s="2540"/>
      <c r="Q568" s="2540"/>
      <c r="R568" s="2540"/>
      <c r="S568" s="2540"/>
      <c r="T568" s="2540"/>
    </row>
    <row r="569" spans="1:20">
      <c r="A569" s="2540"/>
      <c r="B569" s="2540"/>
      <c r="C569" s="2540"/>
      <c r="D569" s="2540"/>
      <c r="E569" s="2540"/>
      <c r="F569" s="2540"/>
      <c r="G569" s="2540"/>
      <c r="H569" s="2540"/>
      <c r="I569" s="2541"/>
      <c r="J569" s="2540"/>
      <c r="K569" s="2540"/>
      <c r="L569" s="2540"/>
      <c r="M569" s="2540"/>
      <c r="N569" s="2540"/>
      <c r="O569" s="2540"/>
      <c r="P569" s="2540"/>
      <c r="Q569" s="2540"/>
      <c r="R569" s="2540"/>
      <c r="S569" s="2540"/>
      <c r="T569" s="2540"/>
    </row>
    <row r="570" spans="1:20">
      <c r="A570" s="2540"/>
      <c r="B570" s="2540"/>
      <c r="C570" s="2540"/>
      <c r="D570" s="2540"/>
      <c r="E570" s="2540"/>
      <c r="F570" s="2540"/>
      <c r="G570" s="2540"/>
      <c r="H570" s="2540"/>
      <c r="I570" s="2541"/>
      <c r="J570" s="2540"/>
      <c r="K570" s="2540"/>
      <c r="L570" s="2540"/>
      <c r="M570" s="2540"/>
      <c r="N570" s="2540"/>
      <c r="O570" s="2540"/>
      <c r="P570" s="2540"/>
      <c r="Q570" s="2540"/>
      <c r="R570" s="2540"/>
      <c r="S570" s="2540"/>
      <c r="T570" s="2540"/>
    </row>
    <row r="571" spans="1:20">
      <c r="A571" s="2540"/>
      <c r="B571" s="2540"/>
      <c r="C571" s="2540"/>
      <c r="D571" s="2540"/>
      <c r="E571" s="2540"/>
      <c r="F571" s="2540"/>
      <c r="G571" s="2540"/>
      <c r="H571" s="2540"/>
      <c r="I571" s="2541"/>
      <c r="J571" s="2540"/>
      <c r="K571" s="2540"/>
      <c r="L571" s="2540"/>
      <c r="M571" s="2540"/>
      <c r="N571" s="2540"/>
      <c r="O571" s="2540"/>
      <c r="P571" s="2540"/>
      <c r="Q571" s="2540"/>
      <c r="R571" s="2540"/>
      <c r="S571" s="2540"/>
      <c r="T571" s="2540"/>
    </row>
    <row r="572" spans="1:20">
      <c r="A572" s="2540"/>
      <c r="B572" s="2540"/>
      <c r="C572" s="2540"/>
      <c r="D572" s="2540"/>
      <c r="E572" s="2540"/>
      <c r="F572" s="2540"/>
      <c r="G572" s="2540"/>
      <c r="H572" s="2540"/>
      <c r="I572" s="2541"/>
      <c r="J572" s="2540"/>
      <c r="K572" s="2540"/>
      <c r="L572" s="2540"/>
      <c r="M572" s="2540"/>
      <c r="N572" s="2540"/>
      <c r="O572" s="2540"/>
      <c r="P572" s="2540"/>
      <c r="Q572" s="2540"/>
      <c r="R572" s="2540"/>
      <c r="S572" s="2540"/>
      <c r="T572" s="2540"/>
    </row>
    <row r="573" spans="1:20">
      <c r="A573" s="2540"/>
      <c r="B573" s="2540"/>
      <c r="C573" s="2540"/>
      <c r="D573" s="2540"/>
      <c r="E573" s="2540"/>
      <c r="F573" s="2540"/>
      <c r="G573" s="2540"/>
      <c r="H573" s="2540"/>
      <c r="I573" s="2541"/>
      <c r="J573" s="2540"/>
      <c r="K573" s="2540"/>
      <c r="L573" s="2540"/>
      <c r="M573" s="2540"/>
      <c r="N573" s="2540"/>
      <c r="O573" s="2540"/>
      <c r="P573" s="2540"/>
      <c r="Q573" s="2540"/>
      <c r="R573" s="2540"/>
      <c r="S573" s="2540"/>
      <c r="T573" s="2540"/>
    </row>
    <row r="574" spans="1:20">
      <c r="A574" s="2540"/>
      <c r="B574" s="2540"/>
      <c r="C574" s="2540"/>
      <c r="D574" s="2540"/>
      <c r="E574" s="2540"/>
      <c r="F574" s="2540"/>
      <c r="G574" s="2540"/>
      <c r="H574" s="2540"/>
      <c r="I574" s="2541"/>
      <c r="J574" s="2540"/>
      <c r="K574" s="2540"/>
      <c r="L574" s="2540"/>
      <c r="M574" s="2540"/>
      <c r="N574" s="2540"/>
      <c r="O574" s="2540"/>
      <c r="P574" s="2540"/>
      <c r="Q574" s="2540"/>
      <c r="R574" s="2540"/>
      <c r="S574" s="2540"/>
      <c r="T574" s="2540"/>
    </row>
    <row r="575" spans="1:20">
      <c r="A575" s="2540"/>
      <c r="B575" s="2540"/>
      <c r="C575" s="2540"/>
      <c r="D575" s="2540"/>
      <c r="E575" s="2540"/>
      <c r="F575" s="2540"/>
      <c r="G575" s="2540"/>
      <c r="H575" s="2540"/>
      <c r="I575" s="2541"/>
      <c r="J575" s="2540"/>
      <c r="K575" s="2540"/>
      <c r="L575" s="2540"/>
      <c r="M575" s="2540"/>
      <c r="N575" s="2540"/>
      <c r="O575" s="2540"/>
      <c r="P575" s="2540"/>
      <c r="Q575" s="2540"/>
      <c r="R575" s="2540"/>
      <c r="S575" s="2540"/>
      <c r="T575" s="2540"/>
    </row>
    <row r="576" spans="1:20">
      <c r="A576" s="2540"/>
      <c r="B576" s="2540"/>
      <c r="C576" s="2540"/>
      <c r="D576" s="2540"/>
      <c r="E576" s="2540"/>
      <c r="F576" s="2540"/>
      <c r="G576" s="2540"/>
      <c r="H576" s="2540"/>
      <c r="I576" s="2541"/>
      <c r="J576" s="2540"/>
      <c r="K576" s="2540"/>
      <c r="L576" s="2540"/>
      <c r="M576" s="2540"/>
      <c r="N576" s="2540"/>
      <c r="O576" s="2540"/>
      <c r="P576" s="2540"/>
      <c r="Q576" s="2540"/>
      <c r="R576" s="2540"/>
      <c r="S576" s="2540"/>
      <c r="T576" s="2540"/>
    </row>
    <row r="577" spans="1:20">
      <c r="A577" s="2540"/>
      <c r="B577" s="2540"/>
      <c r="C577" s="2540"/>
      <c r="D577" s="2540"/>
      <c r="E577" s="2540"/>
      <c r="F577" s="2540"/>
      <c r="G577" s="2540"/>
      <c r="H577" s="2540"/>
      <c r="I577" s="2541"/>
      <c r="J577" s="2540"/>
      <c r="K577" s="2540"/>
      <c r="L577" s="2540"/>
      <c r="M577" s="2540"/>
      <c r="N577" s="2540"/>
      <c r="O577" s="2540"/>
      <c r="P577" s="2540"/>
      <c r="Q577" s="2540"/>
      <c r="R577" s="2540"/>
      <c r="S577" s="2540"/>
      <c r="T577" s="2540"/>
    </row>
    <row r="578" spans="1:20">
      <c r="A578" s="2540"/>
      <c r="B578" s="2540"/>
      <c r="C578" s="2540"/>
      <c r="D578" s="2540"/>
      <c r="E578" s="2540"/>
      <c r="F578" s="2540"/>
      <c r="G578" s="2540"/>
      <c r="H578" s="2540"/>
      <c r="I578" s="2541"/>
      <c r="J578" s="2540"/>
      <c r="K578" s="2540"/>
      <c r="L578" s="2540"/>
      <c r="M578" s="2540"/>
      <c r="N578" s="2540"/>
      <c r="O578" s="2540"/>
      <c r="P578" s="2540"/>
      <c r="Q578" s="2540"/>
      <c r="R578" s="2540"/>
      <c r="S578" s="2540"/>
      <c r="T578" s="2540"/>
    </row>
    <row r="579" spans="1:20">
      <c r="A579" s="2540"/>
      <c r="B579" s="2540"/>
      <c r="C579" s="2540"/>
      <c r="D579" s="2540"/>
      <c r="E579" s="2540"/>
      <c r="F579" s="2540"/>
      <c r="G579" s="2540"/>
      <c r="H579" s="2540"/>
      <c r="I579" s="2541"/>
      <c r="J579" s="2540"/>
      <c r="K579" s="2540"/>
      <c r="L579" s="2540"/>
      <c r="M579" s="2540"/>
      <c r="N579" s="2540"/>
      <c r="O579" s="2540"/>
      <c r="P579" s="2540"/>
      <c r="Q579" s="2540"/>
      <c r="R579" s="2540"/>
      <c r="S579" s="2540"/>
      <c r="T579" s="2540"/>
    </row>
    <row r="580" spans="1:20">
      <c r="A580" s="2540"/>
      <c r="B580" s="2540"/>
      <c r="C580" s="2540"/>
      <c r="D580" s="2540"/>
      <c r="E580" s="2540"/>
      <c r="F580" s="2540"/>
      <c r="G580" s="2540"/>
      <c r="H580" s="2540"/>
      <c r="I580" s="2541"/>
      <c r="J580" s="2540"/>
      <c r="K580" s="2540"/>
      <c r="L580" s="2540"/>
      <c r="M580" s="2540"/>
      <c r="N580" s="2540"/>
      <c r="O580" s="2540"/>
      <c r="P580" s="2540"/>
      <c r="Q580" s="2540"/>
      <c r="R580" s="2540"/>
      <c r="S580" s="2540"/>
      <c r="T580" s="2540"/>
    </row>
    <row r="581" spans="1:20">
      <c r="A581" s="2540"/>
      <c r="B581" s="2540"/>
      <c r="C581" s="2540"/>
      <c r="D581" s="2540"/>
      <c r="E581" s="2540"/>
      <c r="F581" s="2540"/>
      <c r="G581" s="2540"/>
      <c r="H581" s="2540"/>
      <c r="I581" s="2541"/>
      <c r="J581" s="2540"/>
      <c r="K581" s="2540"/>
      <c r="L581" s="2540"/>
      <c r="M581" s="2540"/>
      <c r="N581" s="2540"/>
      <c r="O581" s="2540"/>
      <c r="P581" s="2540"/>
      <c r="Q581" s="2540"/>
      <c r="R581" s="2540"/>
      <c r="S581" s="2540"/>
      <c r="T581" s="2540"/>
    </row>
    <row r="582" spans="1:20">
      <c r="A582" s="2540"/>
      <c r="B582" s="2540"/>
      <c r="C582" s="2540"/>
      <c r="D582" s="2540"/>
      <c r="E582" s="2540"/>
      <c r="F582" s="2540"/>
      <c r="G582" s="2540"/>
      <c r="H582" s="2540"/>
      <c r="I582" s="2541"/>
      <c r="J582" s="2540"/>
      <c r="K582" s="2540"/>
      <c r="L582" s="2540"/>
      <c r="M582" s="2540"/>
      <c r="N582" s="2540"/>
      <c r="O582" s="2540"/>
      <c r="P582" s="2540"/>
      <c r="Q582" s="2540"/>
      <c r="R582" s="2540"/>
      <c r="S582" s="2540"/>
      <c r="T582" s="2540"/>
    </row>
    <row r="583" spans="1:20">
      <c r="A583" s="2540"/>
      <c r="B583" s="2540"/>
      <c r="C583" s="2540"/>
      <c r="D583" s="2540"/>
      <c r="E583" s="2540"/>
      <c r="F583" s="2540"/>
      <c r="G583" s="2540"/>
      <c r="H583" s="2540"/>
      <c r="I583" s="2541"/>
      <c r="J583" s="2540"/>
      <c r="K583" s="2540"/>
      <c r="L583" s="2540"/>
      <c r="M583" s="2540"/>
      <c r="N583" s="2540"/>
      <c r="O583" s="2540"/>
      <c r="P583" s="2540"/>
      <c r="Q583" s="2540"/>
      <c r="R583" s="2540"/>
      <c r="S583" s="2540"/>
      <c r="T583" s="2540"/>
    </row>
    <row r="584" spans="1:20">
      <c r="A584" s="2540"/>
      <c r="B584" s="2540"/>
      <c r="C584" s="2540"/>
      <c r="D584" s="2540"/>
      <c r="E584" s="2540"/>
      <c r="F584" s="2540"/>
      <c r="G584" s="2540"/>
      <c r="H584" s="2540"/>
      <c r="I584" s="2541"/>
      <c r="J584" s="2540"/>
      <c r="K584" s="2540"/>
      <c r="L584" s="2540"/>
      <c r="M584" s="2540"/>
      <c r="N584" s="2540"/>
      <c r="O584" s="2540"/>
      <c r="P584" s="2540"/>
      <c r="Q584" s="2540"/>
      <c r="R584" s="2540"/>
      <c r="S584" s="2540"/>
      <c r="T584" s="2540"/>
    </row>
    <row r="585" spans="1:20">
      <c r="A585" s="2540"/>
      <c r="B585" s="2540"/>
      <c r="C585" s="2540"/>
      <c r="D585" s="2540"/>
      <c r="E585" s="2540"/>
      <c r="F585" s="2540"/>
      <c r="G585" s="2540"/>
      <c r="H585" s="2540"/>
      <c r="I585" s="2541"/>
      <c r="J585" s="2540"/>
      <c r="K585" s="2540"/>
      <c r="L585" s="2540"/>
      <c r="M585" s="2540"/>
      <c r="N585" s="2540"/>
      <c r="O585" s="2540"/>
      <c r="P585" s="2540"/>
      <c r="Q585" s="2540"/>
      <c r="R585" s="2540"/>
      <c r="S585" s="2540"/>
      <c r="T585" s="2540"/>
    </row>
    <row r="586" spans="1:20">
      <c r="A586" s="2540"/>
      <c r="B586" s="2540"/>
      <c r="C586" s="2540"/>
      <c r="D586" s="2540"/>
      <c r="E586" s="2540"/>
      <c r="F586" s="2540"/>
      <c r="G586" s="2540"/>
      <c r="H586" s="2540"/>
      <c r="I586" s="2541"/>
      <c r="J586" s="2540"/>
      <c r="K586" s="2540"/>
      <c r="L586" s="2540"/>
      <c r="M586" s="2540"/>
      <c r="N586" s="2540"/>
      <c r="O586" s="2540"/>
      <c r="P586" s="2540"/>
      <c r="Q586" s="2540"/>
      <c r="R586" s="2540"/>
      <c r="S586" s="2540"/>
      <c r="T586" s="2540"/>
    </row>
    <row r="587" spans="1:20">
      <c r="A587" s="2540"/>
      <c r="B587" s="2540"/>
      <c r="C587" s="2540"/>
      <c r="D587" s="2540"/>
      <c r="E587" s="2540"/>
      <c r="F587" s="2540"/>
      <c r="G587" s="2540"/>
      <c r="H587" s="2540"/>
      <c r="I587" s="2541"/>
      <c r="J587" s="2540"/>
      <c r="K587" s="2540"/>
      <c r="L587" s="2540"/>
      <c r="M587" s="2540"/>
      <c r="N587" s="2540"/>
      <c r="O587" s="2540"/>
      <c r="P587" s="2540"/>
      <c r="Q587" s="2540"/>
      <c r="R587" s="2540"/>
      <c r="S587" s="2540"/>
      <c r="T587" s="2540"/>
    </row>
    <row r="588" spans="1:20">
      <c r="A588" s="2540"/>
      <c r="B588" s="2540"/>
      <c r="C588" s="2540"/>
      <c r="D588" s="2540"/>
      <c r="E588" s="2540"/>
      <c r="F588" s="2540"/>
      <c r="G588" s="2540"/>
      <c r="H588" s="2540"/>
      <c r="I588" s="2541"/>
      <c r="J588" s="2540"/>
      <c r="K588" s="2540"/>
      <c r="L588" s="2540"/>
      <c r="M588" s="2540"/>
      <c r="N588" s="2540"/>
      <c r="O588" s="2540"/>
      <c r="P588" s="2540"/>
      <c r="Q588" s="2540"/>
      <c r="R588" s="2540"/>
      <c r="S588" s="2540"/>
      <c r="T588" s="2540"/>
    </row>
    <row r="589" spans="1:20">
      <c r="A589" s="2540"/>
      <c r="B589" s="2540"/>
      <c r="C589" s="2540"/>
      <c r="D589" s="2540"/>
      <c r="E589" s="2540"/>
      <c r="F589" s="2540"/>
      <c r="G589" s="2540"/>
      <c r="H589" s="2540"/>
      <c r="I589" s="2541"/>
      <c r="J589" s="2540"/>
      <c r="K589" s="2540"/>
      <c r="L589" s="2540"/>
      <c r="M589" s="2540"/>
      <c r="N589" s="2540"/>
      <c r="O589" s="2540"/>
      <c r="P589" s="2540"/>
      <c r="Q589" s="2540"/>
      <c r="R589" s="2540"/>
      <c r="S589" s="2540"/>
      <c r="T589" s="2540"/>
    </row>
    <row r="590" spans="1:20">
      <c r="A590" s="2540"/>
      <c r="B590" s="2540"/>
      <c r="C590" s="2540"/>
      <c r="D590" s="2540"/>
      <c r="E590" s="2540"/>
      <c r="F590" s="2540"/>
      <c r="G590" s="2540"/>
      <c r="H590" s="2540"/>
      <c r="I590" s="2541"/>
      <c r="J590" s="2540"/>
      <c r="K590" s="2540"/>
      <c r="L590" s="2540"/>
      <c r="M590" s="2540"/>
      <c r="N590" s="2540"/>
      <c r="O590" s="2540"/>
      <c r="P590" s="2540"/>
      <c r="Q590" s="2540"/>
      <c r="R590" s="2540"/>
      <c r="S590" s="2540"/>
      <c r="T590" s="2540"/>
    </row>
    <row r="591" spans="1:20">
      <c r="A591" s="2540"/>
      <c r="B591" s="2540"/>
      <c r="C591" s="2540"/>
      <c r="D591" s="2540"/>
      <c r="E591" s="2540"/>
      <c r="F591" s="2540"/>
      <c r="G591" s="2540"/>
      <c r="H591" s="2540"/>
      <c r="I591" s="2541"/>
      <c r="J591" s="2540"/>
      <c r="K591" s="2540"/>
      <c r="L591" s="2540"/>
      <c r="M591" s="2540"/>
      <c r="N591" s="2540"/>
      <c r="O591" s="2540"/>
      <c r="P591" s="2540"/>
      <c r="Q591" s="2540"/>
      <c r="R591" s="2540"/>
      <c r="S591" s="2540"/>
      <c r="T591" s="2540"/>
    </row>
    <row r="592" spans="1:20">
      <c r="A592" s="2540"/>
      <c r="B592" s="2540"/>
      <c r="C592" s="2540"/>
      <c r="D592" s="2540"/>
      <c r="E592" s="2540"/>
      <c r="F592" s="2540"/>
      <c r="G592" s="2540"/>
      <c r="H592" s="2540"/>
      <c r="I592" s="2541"/>
      <c r="J592" s="2540"/>
      <c r="K592" s="2540"/>
      <c r="L592" s="2540"/>
      <c r="M592" s="2540"/>
      <c r="N592" s="2540"/>
      <c r="O592" s="2540"/>
      <c r="P592" s="2540"/>
      <c r="Q592" s="2540"/>
      <c r="R592" s="2540"/>
      <c r="S592" s="2540"/>
      <c r="T592" s="2540"/>
    </row>
    <row r="593" spans="1:20">
      <c r="A593" s="2540"/>
      <c r="B593" s="2540"/>
      <c r="C593" s="2540"/>
      <c r="D593" s="2540"/>
      <c r="E593" s="2540"/>
      <c r="F593" s="2540"/>
      <c r="G593" s="2540"/>
      <c r="H593" s="2540"/>
      <c r="I593" s="2541"/>
      <c r="J593" s="2540"/>
      <c r="K593" s="2540"/>
      <c r="L593" s="2540"/>
      <c r="M593" s="2540"/>
      <c r="N593" s="2540"/>
      <c r="O593" s="2540"/>
      <c r="P593" s="2540"/>
      <c r="Q593" s="2540"/>
      <c r="R593" s="2540"/>
      <c r="S593" s="2540"/>
      <c r="T593" s="2540"/>
    </row>
    <row r="594" spans="1:20">
      <c r="A594" s="2540"/>
      <c r="B594" s="2540"/>
      <c r="C594" s="2540"/>
      <c r="D594" s="2540"/>
      <c r="E594" s="2540"/>
      <c r="F594" s="2540"/>
      <c r="G594" s="2540"/>
      <c r="H594" s="2540"/>
      <c r="I594" s="2541"/>
      <c r="J594" s="2540"/>
      <c r="K594" s="2540"/>
      <c r="L594" s="2540"/>
      <c r="M594" s="2540"/>
      <c r="N594" s="2540"/>
      <c r="O594" s="2540"/>
      <c r="P594" s="2540"/>
      <c r="Q594" s="2540"/>
      <c r="R594" s="2540"/>
      <c r="S594" s="2540"/>
      <c r="T594" s="2540"/>
    </row>
    <row r="595" spans="1:20">
      <c r="A595" s="2540"/>
      <c r="B595" s="2540"/>
      <c r="C595" s="2540"/>
      <c r="D595" s="2540"/>
      <c r="E595" s="2540"/>
      <c r="F595" s="2540"/>
      <c r="G595" s="2540"/>
      <c r="H595" s="2540"/>
      <c r="I595" s="2541"/>
      <c r="J595" s="2540"/>
      <c r="K595" s="2540"/>
      <c r="L595" s="2540"/>
      <c r="M595" s="2540"/>
      <c r="N595" s="2540"/>
      <c r="O595" s="2540"/>
      <c r="P595" s="2540"/>
      <c r="Q595" s="2540"/>
      <c r="R595" s="2540"/>
      <c r="S595" s="2540"/>
      <c r="T595" s="2540"/>
    </row>
    <row r="596" spans="1:20">
      <c r="A596" s="2540"/>
      <c r="B596" s="2540"/>
      <c r="C596" s="2540"/>
      <c r="D596" s="2540"/>
      <c r="E596" s="2540"/>
      <c r="F596" s="2540"/>
      <c r="G596" s="2540"/>
      <c r="H596" s="2540"/>
      <c r="I596" s="2541"/>
      <c r="J596" s="2540"/>
      <c r="K596" s="2540"/>
      <c r="L596" s="2540"/>
      <c r="M596" s="2540"/>
      <c r="N596" s="2540"/>
      <c r="O596" s="2540"/>
      <c r="P596" s="2540"/>
      <c r="Q596" s="2540"/>
      <c r="R596" s="2540"/>
      <c r="S596" s="2540"/>
      <c r="T596" s="2540"/>
    </row>
    <row r="597" spans="1:20">
      <c r="A597" s="2540"/>
      <c r="B597" s="2540"/>
      <c r="C597" s="2540"/>
      <c r="D597" s="2540"/>
      <c r="E597" s="2540"/>
      <c r="F597" s="2540"/>
      <c r="G597" s="2540"/>
      <c r="H597" s="2540"/>
      <c r="I597" s="2541"/>
      <c r="J597" s="2540"/>
      <c r="K597" s="2540"/>
      <c r="L597" s="2540"/>
      <c r="M597" s="2540"/>
      <c r="N597" s="2540"/>
      <c r="O597" s="2540"/>
      <c r="P597" s="2540"/>
      <c r="Q597" s="2540"/>
      <c r="R597" s="2540"/>
      <c r="S597" s="2540"/>
      <c r="T597" s="2540"/>
    </row>
    <row r="598" spans="1:20">
      <c r="A598" s="2540"/>
      <c r="B598" s="2540"/>
      <c r="C598" s="2540"/>
      <c r="D598" s="2540"/>
      <c r="E598" s="2540"/>
      <c r="F598" s="2540"/>
      <c r="G598" s="2540"/>
      <c r="H598" s="2540"/>
      <c r="I598" s="2541"/>
      <c r="J598" s="2540"/>
      <c r="K598" s="2540"/>
      <c r="L598" s="2540"/>
      <c r="M598" s="2540"/>
      <c r="N598" s="2540"/>
      <c r="O598" s="2540"/>
      <c r="P598" s="2540"/>
      <c r="Q598" s="2540"/>
      <c r="R598" s="2540"/>
      <c r="S598" s="2540"/>
      <c r="T598" s="2540"/>
    </row>
    <row r="599" spans="1:20">
      <c r="A599" s="2540"/>
      <c r="B599" s="2540"/>
      <c r="C599" s="2540"/>
      <c r="D599" s="2540"/>
      <c r="E599" s="2540"/>
      <c r="F599" s="2540"/>
      <c r="G599" s="2540"/>
      <c r="H599" s="2540"/>
      <c r="I599" s="2541"/>
      <c r="J599" s="2540"/>
      <c r="K599" s="2540"/>
      <c r="L599" s="2540"/>
      <c r="M599" s="2540"/>
      <c r="N599" s="2540"/>
      <c r="O599" s="2540"/>
      <c r="P599" s="2540"/>
      <c r="Q599" s="2540"/>
      <c r="R599" s="2540"/>
      <c r="S599" s="2540"/>
      <c r="T599" s="2540"/>
    </row>
    <row r="600" spans="1:20">
      <c r="A600" s="2540"/>
      <c r="B600" s="2540"/>
      <c r="C600" s="2540"/>
      <c r="D600" s="2540"/>
      <c r="E600" s="2540"/>
      <c r="F600" s="2540"/>
      <c r="G600" s="2540"/>
      <c r="H600" s="2540"/>
      <c r="I600" s="2541"/>
      <c r="J600" s="2540"/>
      <c r="K600" s="2540"/>
      <c r="L600" s="2540"/>
      <c r="M600" s="2540"/>
      <c r="N600" s="2540"/>
      <c r="O600" s="2540"/>
      <c r="P600" s="2540"/>
      <c r="Q600" s="2540"/>
      <c r="R600" s="2540"/>
      <c r="S600" s="2540"/>
      <c r="T600" s="2540"/>
    </row>
    <row r="601" spans="1:20">
      <c r="A601" s="2540"/>
      <c r="B601" s="2540"/>
      <c r="C601" s="2540"/>
      <c r="D601" s="2540"/>
      <c r="E601" s="2540"/>
      <c r="F601" s="2540"/>
      <c r="G601" s="2540"/>
      <c r="H601" s="2540"/>
      <c r="I601" s="2541"/>
      <c r="J601" s="2540"/>
      <c r="K601" s="2540"/>
      <c r="L601" s="2540"/>
      <c r="M601" s="2540"/>
      <c r="N601" s="2540"/>
      <c r="O601" s="2540"/>
      <c r="P601" s="2540"/>
      <c r="Q601" s="2540"/>
      <c r="R601" s="2540"/>
      <c r="S601" s="2540"/>
      <c r="T601" s="2540"/>
    </row>
    <row r="602" spans="1:20">
      <c r="A602" s="2540"/>
      <c r="B602" s="2540"/>
      <c r="C602" s="2540"/>
      <c r="D602" s="2540"/>
      <c r="E602" s="2540"/>
      <c r="F602" s="2540"/>
      <c r="G602" s="2540"/>
      <c r="H602" s="2540"/>
      <c r="I602" s="2541"/>
      <c r="J602" s="2540"/>
      <c r="K602" s="2540"/>
      <c r="L602" s="2540"/>
      <c r="M602" s="2540"/>
      <c r="N602" s="2540"/>
      <c r="O602" s="2540"/>
      <c r="P602" s="2540"/>
      <c r="Q602" s="2540"/>
      <c r="R602" s="2540"/>
      <c r="S602" s="2540"/>
      <c r="T602" s="2540"/>
    </row>
    <row r="603" spans="1:20">
      <c r="A603" s="2540"/>
      <c r="B603" s="2540"/>
      <c r="C603" s="2540"/>
      <c r="D603" s="2540"/>
      <c r="E603" s="2540"/>
      <c r="F603" s="2540"/>
      <c r="G603" s="2540"/>
      <c r="H603" s="2540"/>
      <c r="I603" s="2541"/>
      <c r="J603" s="2540"/>
      <c r="K603" s="2540"/>
      <c r="L603" s="2540"/>
      <c r="M603" s="2540"/>
      <c r="N603" s="2540"/>
      <c r="O603" s="2540"/>
      <c r="P603" s="2540"/>
      <c r="Q603" s="2540"/>
      <c r="R603" s="2540"/>
      <c r="S603" s="2540"/>
      <c r="T603" s="2540"/>
    </row>
    <row r="604" spans="1:20">
      <c r="A604" s="2540"/>
      <c r="B604" s="2540"/>
      <c r="C604" s="2540"/>
      <c r="D604" s="2540"/>
      <c r="E604" s="2540"/>
      <c r="F604" s="2540"/>
      <c r="G604" s="2540"/>
      <c r="H604" s="2540"/>
      <c r="I604" s="2541"/>
      <c r="J604" s="2540"/>
      <c r="K604" s="2540"/>
      <c r="L604" s="2540"/>
      <c r="M604" s="2540"/>
      <c r="N604" s="2540"/>
      <c r="O604" s="2540"/>
      <c r="P604" s="2540"/>
      <c r="Q604" s="2540"/>
      <c r="R604" s="2540"/>
      <c r="S604" s="2540"/>
      <c r="T604" s="2540"/>
    </row>
    <row r="605" spans="1:20">
      <c r="A605" s="2540"/>
      <c r="B605" s="2540"/>
      <c r="C605" s="2540"/>
      <c r="D605" s="2540"/>
      <c r="E605" s="2540"/>
      <c r="F605" s="2540"/>
      <c r="G605" s="2540"/>
      <c r="H605" s="2540"/>
      <c r="I605" s="2541"/>
      <c r="J605" s="2540"/>
      <c r="K605" s="2540"/>
      <c r="L605" s="2540"/>
      <c r="M605" s="2540"/>
      <c r="N605" s="2540"/>
      <c r="O605" s="2540"/>
      <c r="P605" s="2540"/>
      <c r="Q605" s="2540"/>
      <c r="R605" s="2540"/>
      <c r="S605" s="2540"/>
      <c r="T605" s="2540"/>
    </row>
    <row r="606" spans="1:20">
      <c r="A606" s="2540"/>
      <c r="B606" s="2540"/>
      <c r="C606" s="2540"/>
      <c r="D606" s="2540"/>
      <c r="E606" s="2540"/>
      <c r="F606" s="2540"/>
      <c r="G606" s="2540"/>
      <c r="H606" s="2540"/>
      <c r="I606" s="2541"/>
      <c r="J606" s="2540"/>
      <c r="K606" s="2540"/>
      <c r="L606" s="2540"/>
      <c r="M606" s="2540"/>
      <c r="N606" s="2540"/>
      <c r="O606" s="2540"/>
      <c r="P606" s="2540"/>
      <c r="Q606" s="2540"/>
      <c r="R606" s="2540"/>
      <c r="S606" s="2540"/>
      <c r="T606" s="2540"/>
    </row>
    <row r="607" spans="1:20">
      <c r="A607" s="2540"/>
      <c r="B607" s="2540"/>
      <c r="C607" s="2540"/>
      <c r="D607" s="2540"/>
      <c r="E607" s="2540"/>
      <c r="F607" s="2540"/>
      <c r="G607" s="2540"/>
      <c r="H607" s="2540"/>
      <c r="I607" s="2541"/>
      <c r="J607" s="2540"/>
      <c r="K607" s="2540"/>
      <c r="L607" s="2540"/>
      <c r="M607" s="2540"/>
      <c r="N607" s="2540"/>
      <c r="O607" s="2540"/>
      <c r="P607" s="2540"/>
      <c r="Q607" s="2540"/>
      <c r="R607" s="2540"/>
      <c r="S607" s="2540"/>
      <c r="T607" s="2540"/>
    </row>
    <row r="608" spans="1:20">
      <c r="A608" s="2540"/>
      <c r="B608" s="2540"/>
      <c r="C608" s="2540"/>
      <c r="D608" s="2540"/>
      <c r="E608" s="2540"/>
      <c r="F608" s="2540"/>
      <c r="G608" s="2540"/>
      <c r="H608" s="2540"/>
      <c r="I608" s="2541"/>
      <c r="J608" s="2540"/>
      <c r="K608" s="2540"/>
      <c r="L608" s="2540"/>
      <c r="M608" s="2540"/>
      <c r="N608" s="2540"/>
      <c r="O608" s="2540"/>
      <c r="P608" s="2540"/>
      <c r="Q608" s="2540"/>
      <c r="R608" s="2540"/>
      <c r="S608" s="2540"/>
      <c r="T608" s="2540"/>
    </row>
    <row r="609" spans="1:20">
      <c r="A609" s="2540"/>
      <c r="B609" s="2540"/>
      <c r="C609" s="2540"/>
      <c r="D609" s="2540"/>
      <c r="E609" s="2540"/>
      <c r="F609" s="2540"/>
      <c r="G609" s="2540"/>
      <c r="H609" s="2540"/>
      <c r="I609" s="2541"/>
      <c r="J609" s="2540"/>
      <c r="K609" s="2540"/>
      <c r="L609" s="2540"/>
      <c r="M609" s="2540"/>
      <c r="N609" s="2540"/>
      <c r="O609" s="2540"/>
      <c r="P609" s="2540"/>
      <c r="Q609" s="2540"/>
      <c r="R609" s="2540"/>
      <c r="S609" s="2540"/>
      <c r="T609" s="2540"/>
    </row>
    <row r="610" spans="1:20">
      <c r="A610" s="2540"/>
      <c r="B610" s="2540"/>
      <c r="C610" s="2540"/>
      <c r="D610" s="2540"/>
      <c r="E610" s="2540"/>
      <c r="F610" s="2540"/>
      <c r="G610" s="2540"/>
      <c r="H610" s="2540"/>
      <c r="I610" s="2541"/>
      <c r="J610" s="2540"/>
      <c r="K610" s="2540"/>
      <c r="L610" s="2540"/>
      <c r="M610" s="2540"/>
      <c r="N610" s="2540"/>
      <c r="O610" s="2540"/>
      <c r="P610" s="2540"/>
      <c r="Q610" s="2540"/>
      <c r="R610" s="2540"/>
      <c r="S610" s="2540"/>
      <c r="T610" s="2540"/>
    </row>
    <row r="611" spans="1:20">
      <c r="A611" s="2540"/>
      <c r="B611" s="2540"/>
      <c r="C611" s="2540"/>
      <c r="D611" s="2540"/>
      <c r="E611" s="2540"/>
      <c r="F611" s="2540"/>
      <c r="G611" s="2540"/>
      <c r="H611" s="2540"/>
      <c r="I611" s="2541"/>
      <c r="J611" s="2540"/>
      <c r="K611" s="2540"/>
      <c r="L611" s="2540"/>
      <c r="M611" s="2540"/>
      <c r="N611" s="2540"/>
      <c r="O611" s="2540"/>
      <c r="P611" s="2540"/>
      <c r="Q611" s="2540"/>
      <c r="R611" s="2540"/>
      <c r="S611" s="2540"/>
      <c r="T611" s="2540"/>
    </row>
    <row r="612" spans="1:20">
      <c r="A612" s="2540"/>
      <c r="B612" s="2540"/>
      <c r="C612" s="2540"/>
      <c r="D612" s="2540"/>
      <c r="E612" s="2540"/>
      <c r="F612" s="2540"/>
      <c r="G612" s="2540"/>
      <c r="H612" s="2540"/>
      <c r="I612" s="2541"/>
      <c r="J612" s="2540"/>
      <c r="K612" s="2540"/>
      <c r="L612" s="2540"/>
      <c r="M612" s="2540"/>
      <c r="N612" s="2540"/>
      <c r="O612" s="2540"/>
      <c r="P612" s="2540"/>
      <c r="Q612" s="2540"/>
      <c r="R612" s="2540"/>
      <c r="S612" s="2540"/>
      <c r="T612" s="2540"/>
    </row>
    <row r="613" spans="1:20">
      <c r="A613" s="2540"/>
      <c r="B613" s="2540"/>
      <c r="C613" s="2540"/>
      <c r="D613" s="2540"/>
      <c r="E613" s="2540"/>
      <c r="F613" s="2540"/>
      <c r="G613" s="2540"/>
      <c r="H613" s="2540"/>
      <c r="I613" s="2541"/>
      <c r="J613" s="2540"/>
      <c r="K613" s="2540"/>
      <c r="L613" s="2540"/>
      <c r="M613" s="2540"/>
      <c r="N613" s="2540"/>
      <c r="O613" s="2540"/>
      <c r="P613" s="2540"/>
      <c r="Q613" s="2540"/>
      <c r="R613" s="2540"/>
      <c r="S613" s="2540"/>
      <c r="T613" s="2540"/>
    </row>
    <row r="614" spans="1:20">
      <c r="A614" s="2540"/>
      <c r="B614" s="2540"/>
      <c r="C614" s="2540"/>
      <c r="D614" s="2540"/>
      <c r="E614" s="2540"/>
      <c r="F614" s="2540"/>
      <c r="G614" s="2540"/>
      <c r="H614" s="2540"/>
      <c r="I614" s="2541"/>
      <c r="J614" s="2540"/>
      <c r="K614" s="2540"/>
      <c r="L614" s="2540"/>
      <c r="M614" s="2540"/>
      <c r="N614" s="2540"/>
      <c r="O614" s="2540"/>
      <c r="P614" s="2540"/>
      <c r="Q614" s="2540"/>
      <c r="R614" s="2540"/>
      <c r="S614" s="2540"/>
      <c r="T614" s="2540"/>
    </row>
    <row r="615" spans="1:20">
      <c r="A615" s="2540"/>
      <c r="B615" s="2540"/>
      <c r="C615" s="2540"/>
      <c r="D615" s="2540"/>
      <c r="E615" s="2540"/>
      <c r="F615" s="2540"/>
      <c r="G615" s="2540"/>
      <c r="H615" s="2540"/>
      <c r="I615" s="2541"/>
      <c r="J615" s="2540"/>
      <c r="K615" s="2540"/>
      <c r="L615" s="2540"/>
      <c r="M615" s="2540"/>
      <c r="N615" s="2540"/>
      <c r="O615" s="2540"/>
      <c r="P615" s="2540"/>
      <c r="Q615" s="2540"/>
      <c r="R615" s="2540"/>
      <c r="S615" s="2540"/>
      <c r="T615" s="2540"/>
    </row>
    <row r="616" spans="1:20">
      <c r="A616" s="2540"/>
      <c r="B616" s="2540"/>
      <c r="C616" s="2540"/>
      <c r="D616" s="2540"/>
      <c r="E616" s="2540"/>
      <c r="F616" s="2540"/>
      <c r="G616" s="2540"/>
      <c r="H616" s="2540"/>
      <c r="I616" s="2541"/>
      <c r="J616" s="2540"/>
      <c r="K616" s="2540"/>
      <c r="L616" s="2540"/>
      <c r="M616" s="2540"/>
      <c r="N616" s="2540"/>
      <c r="O616" s="2540"/>
      <c r="P616" s="2540"/>
      <c r="Q616" s="2540"/>
      <c r="R616" s="2540"/>
      <c r="S616" s="2540"/>
      <c r="T616" s="2540"/>
    </row>
    <row r="617" spans="1:20">
      <c r="A617" s="2540"/>
      <c r="B617" s="2540"/>
      <c r="C617" s="2540"/>
      <c r="D617" s="2540"/>
      <c r="E617" s="2540"/>
      <c r="F617" s="2540"/>
      <c r="G617" s="2540"/>
      <c r="H617" s="2540"/>
      <c r="I617" s="2541"/>
      <c r="J617" s="2540"/>
      <c r="K617" s="2540"/>
      <c r="L617" s="2540"/>
      <c r="M617" s="2540"/>
      <c r="N617" s="2540"/>
      <c r="O617" s="2540"/>
      <c r="P617" s="2540"/>
      <c r="Q617" s="2540"/>
      <c r="R617" s="2540"/>
      <c r="S617" s="2540"/>
      <c r="T617" s="2540"/>
    </row>
    <row r="618" spans="1:20">
      <c r="A618" s="2540"/>
      <c r="B618" s="2540"/>
      <c r="C618" s="2540"/>
      <c r="D618" s="2540"/>
      <c r="E618" s="2540"/>
      <c r="F618" s="2540"/>
      <c r="G618" s="2540"/>
      <c r="H618" s="2540"/>
      <c r="I618" s="2541"/>
      <c r="J618" s="2540"/>
      <c r="K618" s="2540"/>
      <c r="L618" s="2540"/>
      <c r="M618" s="2540"/>
      <c r="N618" s="2540"/>
      <c r="O618" s="2540"/>
      <c r="P618" s="2540"/>
      <c r="Q618" s="2540"/>
      <c r="R618" s="2540"/>
      <c r="S618" s="2540"/>
      <c r="T618" s="2540"/>
    </row>
    <row r="619" spans="1:20">
      <c r="A619" s="2540"/>
      <c r="B619" s="2540"/>
      <c r="C619" s="2540"/>
      <c r="D619" s="2540"/>
      <c r="E619" s="2540"/>
      <c r="F619" s="2540"/>
      <c r="G619" s="2540"/>
      <c r="H619" s="2540"/>
      <c r="I619" s="2541"/>
      <c r="J619" s="2540"/>
      <c r="K619" s="2540"/>
      <c r="L619" s="2540"/>
      <c r="M619" s="2540"/>
      <c r="N619" s="2540"/>
      <c r="O619" s="2540"/>
      <c r="P619" s="2540"/>
      <c r="Q619" s="2540"/>
      <c r="R619" s="2540"/>
      <c r="S619" s="2540"/>
      <c r="T619" s="2540"/>
    </row>
    <row r="620" spans="1:20">
      <c r="A620" s="2540"/>
      <c r="B620" s="2540"/>
      <c r="C620" s="2540"/>
      <c r="D620" s="2540"/>
      <c r="E620" s="2540"/>
      <c r="F620" s="2540"/>
      <c r="G620" s="2540"/>
      <c r="H620" s="2540"/>
      <c r="I620" s="2541"/>
      <c r="J620" s="2540"/>
      <c r="K620" s="2540"/>
      <c r="L620" s="2540"/>
      <c r="M620" s="2540"/>
      <c r="N620" s="2540"/>
      <c r="O620" s="2540"/>
      <c r="P620" s="2540"/>
      <c r="Q620" s="2540"/>
      <c r="R620" s="2540"/>
      <c r="S620" s="2540"/>
      <c r="T620" s="2540"/>
    </row>
    <row r="621" spans="1:20">
      <c r="A621" s="2540"/>
      <c r="B621" s="2540"/>
      <c r="C621" s="2540"/>
      <c r="D621" s="2540"/>
      <c r="E621" s="2540"/>
      <c r="F621" s="2540"/>
      <c r="G621" s="2540"/>
      <c r="H621" s="2540"/>
      <c r="I621" s="2541"/>
      <c r="J621" s="2540"/>
      <c r="K621" s="2540"/>
      <c r="L621" s="2540"/>
      <c r="M621" s="2540"/>
      <c r="N621" s="2540"/>
      <c r="O621" s="2540"/>
      <c r="P621" s="2540"/>
      <c r="Q621" s="2540"/>
      <c r="R621" s="2540"/>
      <c r="S621" s="2540"/>
      <c r="T621" s="2540"/>
    </row>
    <row r="622" spans="1:20">
      <c r="A622" s="2540"/>
      <c r="B622" s="2540"/>
      <c r="C622" s="2540"/>
      <c r="D622" s="2540"/>
      <c r="E622" s="2540"/>
      <c r="F622" s="2540"/>
      <c r="G622" s="2540"/>
      <c r="H622" s="2540"/>
      <c r="I622" s="2541"/>
      <c r="J622" s="2540"/>
      <c r="K622" s="2540"/>
      <c r="L622" s="2540"/>
      <c r="M622" s="2540"/>
      <c r="N622" s="2540"/>
      <c r="O622" s="2540"/>
      <c r="P622" s="2540"/>
      <c r="Q622" s="2540"/>
      <c r="R622" s="2540"/>
      <c r="S622" s="2540"/>
      <c r="T622" s="2540"/>
    </row>
    <row r="623" spans="1:20">
      <c r="A623" s="2540"/>
      <c r="B623" s="2540"/>
      <c r="C623" s="2540"/>
      <c r="D623" s="2540"/>
      <c r="E623" s="2540"/>
      <c r="F623" s="2540"/>
      <c r="G623" s="2540"/>
      <c r="H623" s="2540"/>
      <c r="I623" s="2541"/>
      <c r="J623" s="2540"/>
      <c r="K623" s="2540"/>
      <c r="L623" s="2540"/>
      <c r="M623" s="2540"/>
      <c r="N623" s="2540"/>
      <c r="O623" s="2540"/>
      <c r="P623" s="2540"/>
      <c r="Q623" s="2540"/>
      <c r="R623" s="2540"/>
      <c r="S623" s="2540"/>
      <c r="T623" s="2540"/>
    </row>
    <row r="624" spans="1:20">
      <c r="A624" s="2540"/>
      <c r="B624" s="2540"/>
      <c r="C624" s="2540"/>
      <c r="D624" s="2540"/>
      <c r="E624" s="2540"/>
      <c r="F624" s="2540"/>
      <c r="G624" s="2540"/>
      <c r="H624" s="2540"/>
      <c r="I624" s="2541"/>
      <c r="J624" s="2540"/>
      <c r="K624" s="2540"/>
      <c r="L624" s="2540"/>
      <c r="M624" s="2540"/>
      <c r="N624" s="2540"/>
      <c r="O624" s="2540"/>
      <c r="P624" s="2540"/>
      <c r="Q624" s="2540"/>
      <c r="R624" s="2540"/>
      <c r="S624" s="2540"/>
      <c r="T624" s="2540"/>
    </row>
    <row r="625" spans="1:20">
      <c r="A625" s="2540"/>
      <c r="B625" s="2540"/>
      <c r="C625" s="2540"/>
      <c r="D625" s="2540"/>
      <c r="E625" s="2540"/>
      <c r="F625" s="2540"/>
      <c r="G625" s="2540"/>
      <c r="H625" s="2540"/>
      <c r="I625" s="2541"/>
      <c r="J625" s="2540"/>
      <c r="K625" s="2540"/>
      <c r="L625" s="2540"/>
      <c r="M625" s="2540"/>
      <c r="N625" s="2540"/>
      <c r="O625" s="2540"/>
      <c r="P625" s="2540"/>
      <c r="Q625" s="2540"/>
      <c r="R625" s="2540"/>
      <c r="S625" s="2540"/>
      <c r="T625" s="2540"/>
    </row>
    <row r="626" spans="1:20">
      <c r="A626" s="2540"/>
      <c r="B626" s="2540"/>
      <c r="C626" s="2540"/>
      <c r="D626" s="2540"/>
      <c r="E626" s="2540"/>
      <c r="F626" s="2540"/>
      <c r="G626" s="2540"/>
      <c r="H626" s="2540"/>
      <c r="I626" s="2541"/>
      <c r="J626" s="2540"/>
      <c r="K626" s="2540"/>
      <c r="L626" s="2540"/>
      <c r="M626" s="2540"/>
      <c r="N626" s="2540"/>
      <c r="O626" s="2540"/>
      <c r="P626" s="2540"/>
      <c r="Q626" s="2540"/>
      <c r="R626" s="2540"/>
      <c r="S626" s="2540"/>
      <c r="T626" s="2540"/>
    </row>
    <row r="627" spans="1:20">
      <c r="A627" s="2540"/>
      <c r="B627" s="2540"/>
      <c r="C627" s="2540"/>
      <c r="D627" s="2540"/>
      <c r="E627" s="2540"/>
      <c r="F627" s="2540"/>
      <c r="G627" s="2540"/>
      <c r="H627" s="2540"/>
      <c r="I627" s="2541"/>
      <c r="J627" s="2540"/>
      <c r="K627" s="2540"/>
      <c r="L627" s="2540"/>
      <c r="M627" s="2540"/>
      <c r="N627" s="2540"/>
      <c r="O627" s="2540"/>
      <c r="P627" s="2540"/>
      <c r="Q627" s="2540"/>
      <c r="R627" s="2540"/>
      <c r="S627" s="2540"/>
      <c r="T627" s="2540"/>
    </row>
    <row r="628" spans="1:20">
      <c r="A628" s="2540"/>
      <c r="B628" s="2540"/>
      <c r="C628" s="2540"/>
      <c r="D628" s="2540"/>
      <c r="E628" s="2540"/>
      <c r="F628" s="2540"/>
      <c r="G628" s="2540"/>
      <c r="H628" s="2540"/>
      <c r="I628" s="2541"/>
      <c r="J628" s="2540"/>
      <c r="K628" s="2540"/>
      <c r="L628" s="2540"/>
      <c r="M628" s="2540"/>
      <c r="N628" s="2540"/>
      <c r="O628" s="2540"/>
      <c r="P628" s="2540"/>
      <c r="Q628" s="2540"/>
      <c r="R628" s="2540"/>
      <c r="S628" s="2540"/>
      <c r="T628" s="2540"/>
    </row>
    <row r="629" spans="1:20">
      <c r="A629" s="2540"/>
      <c r="B629" s="2540"/>
      <c r="C629" s="2540"/>
      <c r="D629" s="2540"/>
      <c r="E629" s="2540"/>
      <c r="F629" s="2540"/>
      <c r="G629" s="2540"/>
      <c r="H629" s="2540"/>
      <c r="I629" s="2541"/>
      <c r="J629" s="2540"/>
      <c r="K629" s="2540"/>
      <c r="L629" s="2540"/>
      <c r="M629" s="2540"/>
      <c r="N629" s="2540"/>
      <c r="O629" s="2540"/>
      <c r="P629" s="2540"/>
      <c r="Q629" s="2540"/>
      <c r="R629" s="2540"/>
      <c r="S629" s="2540"/>
      <c r="T629" s="2540"/>
    </row>
    <row r="630" spans="1:20">
      <c r="A630" s="2540"/>
      <c r="B630" s="2540"/>
      <c r="C630" s="2540"/>
      <c r="D630" s="2540"/>
      <c r="E630" s="2540"/>
      <c r="F630" s="2540"/>
      <c r="G630" s="2540"/>
      <c r="H630" s="2540"/>
      <c r="I630" s="2541"/>
      <c r="J630" s="2540"/>
      <c r="K630" s="2540"/>
      <c r="L630" s="2540"/>
      <c r="M630" s="2540"/>
      <c r="N630" s="2540"/>
      <c r="O630" s="2540"/>
      <c r="P630" s="2540"/>
      <c r="Q630" s="2540"/>
      <c r="R630" s="2540"/>
      <c r="S630" s="2540"/>
      <c r="T630" s="2540"/>
    </row>
    <row r="631" spans="1:20">
      <c r="A631" s="2540"/>
      <c r="B631" s="2540"/>
      <c r="C631" s="2540"/>
      <c r="D631" s="2540"/>
      <c r="E631" s="2540"/>
      <c r="F631" s="2540"/>
      <c r="G631" s="2540"/>
      <c r="H631" s="2540"/>
      <c r="I631" s="2541"/>
      <c r="J631" s="2540"/>
      <c r="K631" s="2540"/>
      <c r="L631" s="2540"/>
      <c r="M631" s="2540"/>
      <c r="N631" s="2540"/>
      <c r="O631" s="2540"/>
      <c r="P631" s="2540"/>
      <c r="Q631" s="2540"/>
      <c r="R631" s="2540"/>
      <c r="S631" s="2540"/>
      <c r="T631" s="2540"/>
    </row>
    <row r="632" spans="1:20">
      <c r="A632" s="2540"/>
      <c r="B632" s="2540"/>
      <c r="C632" s="2540"/>
      <c r="D632" s="2540"/>
      <c r="E632" s="2540"/>
      <c r="F632" s="2540"/>
      <c r="G632" s="2540"/>
      <c r="H632" s="2540"/>
      <c r="I632" s="2541"/>
      <c r="J632" s="2540"/>
      <c r="K632" s="2540"/>
      <c r="L632" s="2540"/>
      <c r="M632" s="2540"/>
      <c r="N632" s="2540"/>
      <c r="O632" s="2540"/>
      <c r="P632" s="2540"/>
      <c r="Q632" s="2540"/>
      <c r="R632" s="2540"/>
      <c r="S632" s="2540"/>
      <c r="T632" s="2540"/>
    </row>
    <row r="633" spans="1:20">
      <c r="A633" s="2540"/>
      <c r="B633" s="2540"/>
      <c r="C633" s="2540"/>
      <c r="D633" s="2540"/>
      <c r="E633" s="2540"/>
      <c r="F633" s="2540"/>
      <c r="G633" s="2540"/>
      <c r="H633" s="2540"/>
      <c r="I633" s="2541"/>
      <c r="J633" s="2540"/>
      <c r="K633" s="2540"/>
      <c r="L633" s="2540"/>
      <c r="M633" s="2540"/>
      <c r="N633" s="2540"/>
      <c r="O633" s="2540"/>
      <c r="P633" s="2540"/>
      <c r="Q633" s="2540"/>
      <c r="R633" s="2540"/>
      <c r="S633" s="2540"/>
      <c r="T633" s="2540"/>
    </row>
    <row r="634" spans="1:20">
      <c r="A634" s="2540"/>
      <c r="B634" s="2540"/>
      <c r="C634" s="2540"/>
      <c r="D634" s="2540"/>
      <c r="E634" s="2540"/>
      <c r="F634" s="2540"/>
      <c r="G634" s="2540"/>
      <c r="H634" s="2540"/>
      <c r="I634" s="2541"/>
      <c r="J634" s="2540"/>
      <c r="K634" s="2540"/>
      <c r="L634" s="2540"/>
      <c r="M634" s="2540"/>
      <c r="N634" s="2540"/>
      <c r="O634" s="2540"/>
      <c r="P634" s="2540"/>
      <c r="Q634" s="2540"/>
      <c r="R634" s="2540"/>
      <c r="S634" s="2540"/>
      <c r="T634" s="2540"/>
    </row>
    <row r="635" spans="1:20">
      <c r="A635" s="2540"/>
      <c r="B635" s="2540"/>
      <c r="C635" s="2540"/>
      <c r="D635" s="2540"/>
      <c r="E635" s="2540"/>
      <c r="F635" s="2540"/>
      <c r="G635" s="2540"/>
      <c r="H635" s="2540"/>
      <c r="I635" s="2541"/>
      <c r="J635" s="2540"/>
      <c r="K635" s="2540"/>
      <c r="L635" s="2540"/>
      <c r="M635" s="2540"/>
      <c r="N635" s="2540"/>
      <c r="O635" s="2540"/>
      <c r="P635" s="2540"/>
      <c r="Q635" s="2540"/>
      <c r="R635" s="2540"/>
      <c r="S635" s="2540"/>
      <c r="T635" s="2540"/>
    </row>
    <row r="636" spans="1:20">
      <c r="A636" s="2540"/>
      <c r="B636" s="2540"/>
      <c r="C636" s="2540"/>
      <c r="D636" s="2540"/>
      <c r="E636" s="2540"/>
      <c r="F636" s="2540"/>
      <c r="G636" s="2540"/>
      <c r="H636" s="2540"/>
      <c r="I636" s="2541"/>
      <c r="J636" s="2540"/>
      <c r="K636" s="2540"/>
      <c r="L636" s="2540"/>
      <c r="M636" s="2540"/>
      <c r="N636" s="2540"/>
      <c r="O636" s="2540"/>
      <c r="P636" s="2540"/>
      <c r="Q636" s="2540"/>
      <c r="R636" s="2540"/>
      <c r="S636" s="2540"/>
      <c r="T636" s="2540"/>
    </row>
    <row r="637" spans="1:20">
      <c r="A637" s="2540"/>
      <c r="B637" s="2540"/>
      <c r="C637" s="2540"/>
      <c r="D637" s="2540"/>
      <c r="E637" s="2540"/>
      <c r="F637" s="2540"/>
      <c r="G637" s="2540"/>
      <c r="H637" s="2540"/>
      <c r="I637" s="2541"/>
      <c r="J637" s="2540"/>
      <c r="K637" s="2540"/>
      <c r="L637" s="2540"/>
      <c r="M637" s="2540"/>
      <c r="N637" s="2540"/>
      <c r="O637" s="2540"/>
      <c r="P637" s="2540"/>
      <c r="Q637" s="2540"/>
      <c r="R637" s="2540"/>
      <c r="S637" s="2540"/>
      <c r="T637" s="2540"/>
    </row>
    <row r="638" spans="1:20">
      <c r="A638" s="2540"/>
      <c r="B638" s="2540"/>
      <c r="C638" s="2540"/>
      <c r="D638" s="2540"/>
      <c r="E638" s="2540"/>
      <c r="F638" s="2540"/>
      <c r="G638" s="2540"/>
      <c r="H638" s="2540"/>
      <c r="I638" s="2541"/>
      <c r="J638" s="2540"/>
      <c r="K638" s="2540"/>
      <c r="L638" s="2540"/>
      <c r="M638" s="2540"/>
      <c r="N638" s="2540"/>
      <c r="O638" s="2540"/>
      <c r="P638" s="2540"/>
      <c r="Q638" s="2540"/>
      <c r="R638" s="2540"/>
      <c r="S638" s="2540"/>
      <c r="T638" s="2540"/>
    </row>
    <row r="639" spans="1:20">
      <c r="A639" s="2540"/>
      <c r="B639" s="2540"/>
      <c r="C639" s="2540"/>
      <c r="D639" s="2540"/>
      <c r="E639" s="2540"/>
      <c r="F639" s="2540"/>
      <c r="G639" s="2540"/>
      <c r="H639" s="2540"/>
      <c r="I639" s="2541"/>
      <c r="J639" s="2540"/>
      <c r="K639" s="2540"/>
      <c r="L639" s="2540"/>
      <c r="M639" s="2540"/>
      <c r="N639" s="2540"/>
      <c r="O639" s="2540"/>
      <c r="P639" s="2540"/>
      <c r="Q639" s="2540"/>
      <c r="R639" s="2540"/>
      <c r="S639" s="2540"/>
      <c r="T639" s="2540"/>
    </row>
    <row r="640" spans="1:20">
      <c r="A640" s="2540"/>
      <c r="B640" s="2540"/>
      <c r="C640" s="2540"/>
      <c r="D640" s="2540"/>
      <c r="E640" s="2540"/>
      <c r="F640" s="2540"/>
      <c r="G640" s="2540"/>
      <c r="H640" s="2540"/>
      <c r="I640" s="2541"/>
      <c r="J640" s="2540"/>
      <c r="K640" s="2540"/>
      <c r="L640" s="2540"/>
      <c r="M640" s="2540"/>
      <c r="N640" s="2540"/>
      <c r="O640" s="2540"/>
      <c r="P640" s="2540"/>
      <c r="Q640" s="2540"/>
      <c r="R640" s="2540"/>
      <c r="S640" s="2540"/>
      <c r="T640" s="2540"/>
    </row>
    <row r="641" spans="1:20">
      <c r="A641" s="2540"/>
      <c r="B641" s="2540"/>
      <c r="C641" s="2540"/>
      <c r="D641" s="2540"/>
      <c r="E641" s="2540"/>
      <c r="F641" s="2540"/>
      <c r="G641" s="2540"/>
      <c r="H641" s="2540"/>
      <c r="I641" s="2541"/>
      <c r="J641" s="2540"/>
      <c r="K641" s="2540"/>
      <c r="L641" s="2540"/>
      <c r="M641" s="2540"/>
      <c r="N641" s="2540"/>
      <c r="O641" s="2540"/>
      <c r="P641" s="2540"/>
      <c r="Q641" s="2540"/>
      <c r="R641" s="2540"/>
      <c r="S641" s="2540"/>
      <c r="T641" s="2540"/>
    </row>
    <row r="642" spans="1:20">
      <c r="A642" s="2540"/>
      <c r="B642" s="2540"/>
      <c r="C642" s="2540"/>
      <c r="D642" s="2540"/>
      <c r="E642" s="2540"/>
      <c r="F642" s="2540"/>
      <c r="G642" s="2540"/>
      <c r="H642" s="2540"/>
      <c r="I642" s="2541"/>
      <c r="J642" s="2540"/>
      <c r="K642" s="2540"/>
      <c r="L642" s="2540"/>
      <c r="M642" s="2540"/>
      <c r="N642" s="2540"/>
      <c r="O642" s="2540"/>
      <c r="P642" s="2540"/>
      <c r="Q642" s="2540"/>
      <c r="R642" s="2540"/>
      <c r="S642" s="2540"/>
      <c r="T642" s="2540"/>
    </row>
    <row r="643" spans="1:20">
      <c r="A643" s="2540"/>
      <c r="B643" s="2540"/>
      <c r="C643" s="2540"/>
      <c r="D643" s="2540"/>
      <c r="E643" s="2540"/>
      <c r="F643" s="2540"/>
      <c r="G643" s="2540"/>
      <c r="H643" s="2540"/>
      <c r="I643" s="2541"/>
      <c r="J643" s="2540"/>
      <c r="K643" s="2540"/>
      <c r="L643" s="2540"/>
      <c r="M643" s="2540"/>
      <c r="N643" s="2540"/>
      <c r="O643" s="2540"/>
      <c r="P643" s="2540"/>
      <c r="Q643" s="2540"/>
      <c r="R643" s="2540"/>
      <c r="S643" s="2540"/>
      <c r="T643" s="2540"/>
    </row>
    <row r="644" spans="1:20">
      <c r="A644" s="2540"/>
      <c r="B644" s="2540"/>
      <c r="C644" s="2540"/>
      <c r="D644" s="2540"/>
      <c r="E644" s="2540"/>
      <c r="F644" s="2540"/>
      <c r="G644" s="2540"/>
      <c r="H644" s="2540"/>
      <c r="I644" s="2541"/>
      <c r="J644" s="2540"/>
      <c r="K644" s="2540"/>
      <c r="L644" s="2540"/>
      <c r="M644" s="2540"/>
      <c r="N644" s="2540"/>
      <c r="O644" s="2540"/>
      <c r="P644" s="2540"/>
      <c r="Q644" s="2540"/>
      <c r="R644" s="2540"/>
      <c r="S644" s="2540"/>
      <c r="T644" s="2540"/>
    </row>
    <row r="645" spans="1:20">
      <c r="A645" s="2540"/>
      <c r="B645" s="2540"/>
      <c r="C645" s="2540"/>
      <c r="D645" s="2540"/>
      <c r="E645" s="2540"/>
      <c r="F645" s="2540"/>
      <c r="G645" s="2540"/>
      <c r="H645" s="2540"/>
      <c r="I645" s="2541"/>
      <c r="J645" s="2540"/>
      <c r="K645" s="2540"/>
      <c r="L645" s="2540"/>
      <c r="M645" s="2540"/>
      <c r="N645" s="2540"/>
      <c r="O645" s="2540"/>
      <c r="P645" s="2540"/>
      <c r="Q645" s="2540"/>
      <c r="R645" s="2540"/>
      <c r="S645" s="2540"/>
      <c r="T645" s="2540"/>
    </row>
    <row r="646" spans="1:20">
      <c r="A646" s="2540"/>
      <c r="B646" s="2540"/>
      <c r="C646" s="2540"/>
      <c r="D646" s="2540"/>
      <c r="E646" s="2540"/>
      <c r="F646" s="2540"/>
      <c r="G646" s="2540"/>
      <c r="H646" s="2540"/>
      <c r="I646" s="2541"/>
      <c r="J646" s="2540"/>
      <c r="K646" s="2540"/>
      <c r="L646" s="2540"/>
      <c r="M646" s="2540"/>
      <c r="N646" s="2540"/>
      <c r="O646" s="2540"/>
      <c r="P646" s="2540"/>
      <c r="Q646" s="2540"/>
      <c r="R646" s="2540"/>
      <c r="S646" s="2540"/>
      <c r="T646" s="2540"/>
    </row>
    <row r="647" spans="1:20">
      <c r="A647" s="2540"/>
      <c r="B647" s="2540"/>
      <c r="C647" s="2540"/>
      <c r="D647" s="2540"/>
      <c r="E647" s="2540"/>
      <c r="F647" s="2540"/>
      <c r="G647" s="2540"/>
      <c r="H647" s="2540"/>
      <c r="I647" s="2541"/>
      <c r="J647" s="2540"/>
      <c r="K647" s="2540"/>
      <c r="L647" s="2540"/>
      <c r="M647" s="2540"/>
      <c r="N647" s="2540"/>
      <c r="O647" s="2540"/>
      <c r="P647" s="2540"/>
      <c r="Q647" s="2540"/>
      <c r="R647" s="2540"/>
      <c r="S647" s="2540"/>
      <c r="T647" s="2540"/>
    </row>
    <row r="648" spans="1:20">
      <c r="A648" s="2540"/>
      <c r="B648" s="2540"/>
      <c r="C648" s="2540"/>
      <c r="D648" s="2540"/>
      <c r="E648" s="2540"/>
      <c r="F648" s="2540"/>
      <c r="G648" s="2540"/>
      <c r="H648" s="2540"/>
      <c r="I648" s="2541"/>
      <c r="J648" s="2540"/>
      <c r="K648" s="2540"/>
      <c r="L648" s="2540"/>
      <c r="M648" s="2540"/>
      <c r="N648" s="2540"/>
      <c r="O648" s="2540"/>
      <c r="P648" s="2540"/>
      <c r="Q648" s="2540"/>
      <c r="R648" s="2540"/>
      <c r="S648" s="2540"/>
      <c r="T648" s="2540"/>
    </row>
    <row r="649" spans="1:20">
      <c r="A649" s="2540"/>
      <c r="B649" s="2540"/>
      <c r="C649" s="2540"/>
      <c r="D649" s="2540"/>
      <c r="E649" s="2540"/>
      <c r="F649" s="2540"/>
      <c r="G649" s="2540"/>
      <c r="H649" s="2540"/>
      <c r="I649" s="2541"/>
      <c r="J649" s="2540"/>
      <c r="K649" s="2540"/>
      <c r="L649" s="2540"/>
      <c r="M649" s="2540"/>
      <c r="N649" s="2540"/>
      <c r="O649" s="2540"/>
      <c r="P649" s="2540"/>
      <c r="Q649" s="2540"/>
      <c r="R649" s="2540"/>
      <c r="S649" s="2540"/>
      <c r="T649" s="2540"/>
    </row>
    <row r="650" spans="1:20">
      <c r="A650" s="2540"/>
      <c r="B650" s="2540"/>
      <c r="C650" s="2540"/>
      <c r="D650" s="2540"/>
      <c r="E650" s="2540"/>
      <c r="F650" s="2540"/>
      <c r="G650" s="2540"/>
      <c r="H650" s="2540"/>
      <c r="I650" s="2541"/>
      <c r="J650" s="2540"/>
      <c r="K650" s="2540"/>
      <c r="L650" s="2540"/>
      <c r="M650" s="2540"/>
      <c r="N650" s="2540"/>
      <c r="O650" s="2540"/>
      <c r="P650" s="2540"/>
      <c r="Q650" s="2540"/>
      <c r="R650" s="2540"/>
      <c r="S650" s="2540"/>
      <c r="T650" s="2540"/>
    </row>
    <row r="651" spans="1:20">
      <c r="A651" s="2540"/>
      <c r="B651" s="2540"/>
      <c r="C651" s="2540"/>
      <c r="D651" s="2540"/>
      <c r="E651" s="2540"/>
      <c r="F651" s="2540"/>
      <c r="G651" s="2540"/>
      <c r="H651" s="2540"/>
      <c r="I651" s="2541"/>
      <c r="J651" s="2540"/>
      <c r="K651" s="2540"/>
      <c r="L651" s="2540"/>
      <c r="M651" s="2540"/>
      <c r="N651" s="2540"/>
      <c r="O651" s="2540"/>
      <c r="P651" s="2540"/>
      <c r="Q651" s="2540"/>
      <c r="R651" s="2540"/>
      <c r="S651" s="2540"/>
      <c r="T651" s="2540"/>
    </row>
    <row r="652" spans="1:20">
      <c r="A652" s="2540"/>
      <c r="B652" s="2540"/>
      <c r="C652" s="2540"/>
      <c r="D652" s="2540"/>
      <c r="E652" s="2540"/>
      <c r="F652" s="2540"/>
      <c r="G652" s="2540"/>
      <c r="H652" s="2540"/>
      <c r="I652" s="2541"/>
      <c r="J652" s="2540"/>
      <c r="K652" s="2540"/>
      <c r="L652" s="2540"/>
      <c r="M652" s="2540"/>
      <c r="N652" s="2540"/>
      <c r="O652" s="2540"/>
      <c r="P652" s="2540"/>
      <c r="Q652" s="2540"/>
      <c r="R652" s="2540"/>
      <c r="S652" s="2540"/>
      <c r="T652" s="2540"/>
    </row>
    <row r="653" spans="1:20">
      <c r="A653" s="2540"/>
      <c r="B653" s="2540"/>
      <c r="C653" s="2540"/>
      <c r="D653" s="2540"/>
      <c r="E653" s="2540"/>
      <c r="F653" s="2540"/>
      <c r="G653" s="2540"/>
      <c r="H653" s="2540"/>
      <c r="I653" s="2541"/>
      <c r="J653" s="2540"/>
      <c r="K653" s="2540"/>
      <c r="L653" s="2540"/>
      <c r="M653" s="2540"/>
      <c r="N653" s="2540"/>
      <c r="O653" s="2540"/>
      <c r="P653" s="2540"/>
      <c r="Q653" s="2540"/>
      <c r="R653" s="2540"/>
      <c r="S653" s="2540"/>
      <c r="T653" s="2540"/>
    </row>
    <row r="654" spans="1:20">
      <c r="A654" s="2540"/>
      <c r="B654" s="2540"/>
      <c r="C654" s="2540"/>
      <c r="D654" s="2540"/>
      <c r="E654" s="2540"/>
      <c r="F654" s="2540"/>
      <c r="G654" s="2540"/>
      <c r="H654" s="2540"/>
      <c r="I654" s="2541"/>
      <c r="J654" s="2540"/>
      <c r="K654" s="2540"/>
      <c r="L654" s="2540"/>
      <c r="M654" s="2540"/>
      <c r="N654" s="2540"/>
      <c r="O654" s="2540"/>
      <c r="P654" s="2540"/>
      <c r="Q654" s="2540"/>
      <c r="R654" s="2540"/>
      <c r="S654" s="2540"/>
      <c r="T654" s="2540"/>
    </row>
    <row r="655" spans="1:20">
      <c r="A655" s="2540"/>
      <c r="B655" s="2540"/>
      <c r="C655" s="2540"/>
      <c r="D655" s="2540"/>
      <c r="E655" s="2540"/>
      <c r="F655" s="2540"/>
      <c r="G655" s="2540"/>
      <c r="H655" s="2540"/>
      <c r="I655" s="2541"/>
      <c r="J655" s="2540"/>
      <c r="K655" s="2540"/>
      <c r="L655" s="2540"/>
      <c r="M655" s="2540"/>
      <c r="N655" s="2540"/>
      <c r="O655" s="2540"/>
      <c r="P655" s="2540"/>
      <c r="Q655" s="2540"/>
      <c r="R655" s="2540"/>
      <c r="S655" s="2540"/>
      <c r="T655" s="2540"/>
    </row>
    <row r="656" spans="1:20">
      <c r="A656" s="2540"/>
      <c r="B656" s="2540"/>
      <c r="C656" s="2540"/>
      <c r="D656" s="2540"/>
      <c r="E656" s="2540"/>
      <c r="F656" s="2540"/>
      <c r="G656" s="2540"/>
      <c r="H656" s="2540"/>
      <c r="I656" s="2541"/>
      <c r="J656" s="2540"/>
      <c r="K656" s="2540"/>
      <c r="L656" s="2540"/>
      <c r="M656" s="2540"/>
      <c r="N656" s="2540"/>
      <c r="O656" s="2540"/>
      <c r="P656" s="2540"/>
      <c r="Q656" s="2540"/>
      <c r="R656" s="2540"/>
      <c r="S656" s="2540"/>
      <c r="T656" s="2540"/>
    </row>
    <row r="657" spans="1:20">
      <c r="A657" s="2540"/>
      <c r="B657" s="2540"/>
      <c r="C657" s="2540"/>
      <c r="D657" s="2540"/>
      <c r="E657" s="2540"/>
      <c r="F657" s="2540"/>
      <c r="G657" s="2540"/>
      <c r="H657" s="2540"/>
      <c r="I657" s="2541"/>
      <c r="J657" s="2540"/>
      <c r="K657" s="2540"/>
      <c r="L657" s="2540"/>
      <c r="M657" s="2540"/>
      <c r="N657" s="2540"/>
      <c r="O657" s="2540"/>
      <c r="P657" s="2540"/>
      <c r="Q657" s="2540"/>
      <c r="R657" s="2540"/>
      <c r="S657" s="2540"/>
      <c r="T657" s="2540"/>
    </row>
    <row r="658" spans="1:20">
      <c r="A658" s="2540"/>
      <c r="B658" s="2540"/>
      <c r="C658" s="2540"/>
      <c r="D658" s="2540"/>
      <c r="E658" s="2540"/>
      <c r="F658" s="2540"/>
      <c r="G658" s="2540"/>
      <c r="H658" s="2540"/>
      <c r="I658" s="2541"/>
      <c r="J658" s="2540"/>
      <c r="K658" s="2540"/>
      <c r="L658" s="2540"/>
      <c r="M658" s="2540"/>
      <c r="N658" s="2540"/>
      <c r="O658" s="2540"/>
      <c r="P658" s="2540"/>
      <c r="Q658" s="2540"/>
      <c r="R658" s="2540"/>
      <c r="S658" s="2540"/>
      <c r="T658" s="2540"/>
    </row>
    <row r="659" spans="1:20">
      <c r="A659" s="2540"/>
      <c r="B659" s="2540"/>
      <c r="C659" s="2540"/>
      <c r="D659" s="2540"/>
      <c r="E659" s="2540"/>
      <c r="F659" s="2540"/>
      <c r="G659" s="2540"/>
      <c r="H659" s="2540"/>
      <c r="I659" s="2541"/>
      <c r="J659" s="2540"/>
      <c r="K659" s="2540"/>
      <c r="L659" s="2540"/>
      <c r="M659" s="2540"/>
      <c r="N659" s="2540"/>
      <c r="O659" s="2540"/>
      <c r="P659" s="2540"/>
      <c r="Q659" s="2540"/>
      <c r="R659" s="2540"/>
      <c r="S659" s="2540"/>
      <c r="T659" s="2540"/>
    </row>
    <row r="660" spans="1:20">
      <c r="A660" s="2540"/>
      <c r="B660" s="2540"/>
      <c r="C660" s="2540"/>
      <c r="D660" s="2540"/>
      <c r="E660" s="2540"/>
      <c r="F660" s="2540"/>
      <c r="G660" s="2540"/>
      <c r="H660" s="2540"/>
      <c r="I660" s="2541"/>
      <c r="J660" s="2540"/>
      <c r="K660" s="2540"/>
      <c r="L660" s="2540"/>
      <c r="M660" s="2540"/>
      <c r="N660" s="2540"/>
      <c r="O660" s="2540"/>
      <c r="P660" s="2540"/>
      <c r="Q660" s="2540"/>
      <c r="R660" s="2540"/>
      <c r="S660" s="2540"/>
      <c r="T660" s="2540"/>
    </row>
    <row r="661" spans="1:20">
      <c r="A661" s="2540"/>
      <c r="B661" s="2540"/>
      <c r="C661" s="2540"/>
      <c r="D661" s="2540"/>
      <c r="E661" s="2540"/>
      <c r="F661" s="2540"/>
      <c r="G661" s="2540"/>
      <c r="H661" s="2540"/>
      <c r="I661" s="2541"/>
      <c r="J661" s="2540"/>
      <c r="K661" s="2540"/>
      <c r="L661" s="2540"/>
      <c r="M661" s="2540"/>
      <c r="N661" s="2540"/>
      <c r="O661" s="2540"/>
      <c r="P661" s="2540"/>
      <c r="Q661" s="2540"/>
      <c r="R661" s="2540"/>
      <c r="S661" s="2540"/>
      <c r="T661" s="2540"/>
    </row>
    <row r="662" spans="1:20">
      <c r="A662" s="2540"/>
      <c r="B662" s="2540"/>
      <c r="C662" s="2540"/>
      <c r="D662" s="2540"/>
      <c r="E662" s="2540"/>
      <c r="F662" s="2540"/>
      <c r="G662" s="2540"/>
      <c r="H662" s="2540"/>
      <c r="I662" s="2541"/>
      <c r="J662" s="2540"/>
      <c r="K662" s="2540"/>
      <c r="L662" s="2540"/>
      <c r="M662" s="2540"/>
      <c r="N662" s="2540"/>
      <c r="O662" s="2540"/>
      <c r="P662" s="2540"/>
      <c r="Q662" s="2540"/>
      <c r="R662" s="2540"/>
      <c r="S662" s="2540"/>
      <c r="T662" s="2540"/>
    </row>
    <row r="663" spans="1:20">
      <c r="A663" s="2540"/>
      <c r="B663" s="2540"/>
      <c r="C663" s="2540"/>
      <c r="D663" s="2540"/>
      <c r="E663" s="2540"/>
      <c r="F663" s="2540"/>
      <c r="G663" s="2540"/>
      <c r="H663" s="2540"/>
      <c r="I663" s="2541"/>
      <c r="J663" s="2540"/>
      <c r="K663" s="2540"/>
      <c r="L663" s="2540"/>
      <c r="M663" s="2540"/>
      <c r="N663" s="2540"/>
      <c r="O663" s="2540"/>
      <c r="P663" s="2540"/>
      <c r="Q663" s="2540"/>
      <c r="R663" s="2540"/>
      <c r="S663" s="2540"/>
      <c r="T663" s="2540"/>
    </row>
    <row r="664" spans="1:20">
      <c r="A664" s="2540"/>
      <c r="B664" s="2540"/>
      <c r="C664" s="2540"/>
      <c r="D664" s="2540"/>
      <c r="E664" s="2540"/>
      <c r="F664" s="2540"/>
      <c r="G664" s="2540"/>
      <c r="H664" s="2540"/>
      <c r="I664" s="2541"/>
      <c r="J664" s="2540"/>
      <c r="K664" s="2540"/>
      <c r="L664" s="2540"/>
      <c r="M664" s="2540"/>
      <c r="N664" s="2540"/>
      <c r="O664" s="2540"/>
      <c r="P664" s="2540"/>
      <c r="Q664" s="2540"/>
      <c r="R664" s="2540"/>
      <c r="S664" s="2540"/>
      <c r="T664" s="2540"/>
    </row>
    <row r="665" spans="1:20">
      <c r="A665" s="2540"/>
      <c r="B665" s="2540"/>
      <c r="C665" s="2540"/>
      <c r="D665" s="2540"/>
      <c r="E665" s="2540"/>
      <c r="F665" s="2540"/>
      <c r="G665" s="2540"/>
      <c r="H665" s="2540"/>
      <c r="I665" s="2541"/>
      <c r="J665" s="2540"/>
      <c r="K665" s="2540"/>
      <c r="L665" s="2540"/>
      <c r="M665" s="2540"/>
      <c r="N665" s="2540"/>
      <c r="O665" s="2540"/>
      <c r="P665" s="2540"/>
      <c r="Q665" s="2540"/>
      <c r="R665" s="2540"/>
      <c r="S665" s="2540"/>
      <c r="T665" s="2540"/>
    </row>
    <row r="666" spans="1:20">
      <c r="A666" s="2540"/>
      <c r="B666" s="2540"/>
      <c r="C666" s="2540"/>
      <c r="D666" s="2540"/>
      <c r="E666" s="2540"/>
      <c r="F666" s="2540"/>
      <c r="G666" s="2540"/>
      <c r="H666" s="2540"/>
      <c r="I666" s="2541"/>
      <c r="J666" s="2540"/>
      <c r="K666" s="2540"/>
      <c r="L666" s="2540"/>
      <c r="M666" s="2540"/>
      <c r="N666" s="2540"/>
      <c r="O666" s="2540"/>
      <c r="P666" s="2540"/>
      <c r="Q666" s="2540"/>
      <c r="R666" s="2540"/>
      <c r="S666" s="2540"/>
      <c r="T666" s="2540"/>
    </row>
    <row r="667" spans="1:20">
      <c r="A667" s="2540"/>
      <c r="B667" s="2540"/>
      <c r="C667" s="2540"/>
      <c r="D667" s="2540"/>
      <c r="E667" s="2540"/>
      <c r="F667" s="2540"/>
      <c r="G667" s="2540"/>
      <c r="H667" s="2540"/>
      <c r="I667" s="2541"/>
      <c r="J667" s="2540"/>
      <c r="K667" s="2540"/>
      <c r="L667" s="2540"/>
      <c r="M667" s="2540"/>
      <c r="N667" s="2540"/>
      <c r="O667" s="2540"/>
      <c r="P667" s="2540"/>
      <c r="Q667" s="2540"/>
      <c r="R667" s="2540"/>
      <c r="S667" s="2540"/>
      <c r="T667" s="2540"/>
    </row>
    <row r="668" spans="1:20">
      <c r="A668" s="2540"/>
      <c r="B668" s="2540"/>
      <c r="C668" s="2540"/>
      <c r="D668" s="2540"/>
      <c r="E668" s="2540"/>
      <c r="F668" s="2540"/>
      <c r="G668" s="2540"/>
      <c r="H668" s="2540"/>
      <c r="I668" s="2541"/>
      <c r="J668" s="2540"/>
      <c r="K668" s="2540"/>
      <c r="L668" s="2540"/>
      <c r="M668" s="2540"/>
      <c r="N668" s="2540"/>
      <c r="O668" s="2540"/>
      <c r="P668" s="2540"/>
      <c r="Q668" s="2540"/>
      <c r="R668" s="2540"/>
      <c r="S668" s="2540"/>
      <c r="T668" s="2540"/>
    </row>
    <row r="669" spans="1:20">
      <c r="A669" s="2540"/>
      <c r="B669" s="2540"/>
      <c r="C669" s="2540"/>
      <c r="D669" s="2540"/>
      <c r="E669" s="2540"/>
      <c r="F669" s="2540"/>
      <c r="G669" s="2540"/>
      <c r="H669" s="2540"/>
      <c r="I669" s="2541"/>
      <c r="J669" s="2540"/>
      <c r="K669" s="2540"/>
      <c r="L669" s="2540"/>
      <c r="M669" s="2540"/>
      <c r="N669" s="2540"/>
      <c r="O669" s="2540"/>
      <c r="P669" s="2540"/>
      <c r="Q669" s="2540"/>
      <c r="R669" s="2540"/>
      <c r="S669" s="2540"/>
      <c r="T669" s="2540"/>
    </row>
    <row r="670" spans="1:20">
      <c r="A670" s="2540"/>
      <c r="B670" s="2540"/>
      <c r="C670" s="2540"/>
      <c r="D670" s="2540"/>
      <c r="E670" s="2540"/>
      <c r="F670" s="2540"/>
      <c r="G670" s="2540"/>
      <c r="H670" s="2540"/>
      <c r="I670" s="2541"/>
      <c r="J670" s="2540"/>
      <c r="K670" s="2540"/>
      <c r="L670" s="2540"/>
      <c r="M670" s="2540"/>
      <c r="N670" s="2540"/>
      <c r="O670" s="2540"/>
      <c r="P670" s="2540"/>
      <c r="Q670" s="2540"/>
      <c r="R670" s="2540"/>
      <c r="S670" s="2540"/>
      <c r="T670" s="2540"/>
    </row>
    <row r="671" spans="1:20">
      <c r="A671" s="2540"/>
      <c r="B671" s="2540"/>
      <c r="C671" s="2540"/>
      <c r="D671" s="2540"/>
      <c r="E671" s="2540"/>
      <c r="F671" s="2540"/>
      <c r="G671" s="2540"/>
      <c r="H671" s="2540"/>
      <c r="I671" s="2541"/>
      <c r="J671" s="2540"/>
      <c r="K671" s="2540"/>
      <c r="L671" s="2540"/>
      <c r="M671" s="2540"/>
      <c r="N671" s="2540"/>
      <c r="O671" s="2540"/>
      <c r="P671" s="2540"/>
      <c r="Q671" s="2540"/>
      <c r="R671" s="2540"/>
      <c r="S671" s="2540"/>
      <c r="T671" s="2540"/>
    </row>
    <row r="672" spans="1:20">
      <c r="A672" s="2540"/>
      <c r="B672" s="2540"/>
      <c r="C672" s="2540"/>
      <c r="D672" s="2540"/>
      <c r="E672" s="2540"/>
      <c r="F672" s="2540"/>
      <c r="G672" s="2540"/>
      <c r="H672" s="2540"/>
      <c r="I672" s="2541"/>
      <c r="J672" s="2540"/>
      <c r="K672" s="2540"/>
      <c r="L672" s="2540"/>
      <c r="M672" s="2540"/>
      <c r="N672" s="2540"/>
      <c r="O672" s="2540"/>
      <c r="P672" s="2540"/>
      <c r="Q672" s="2540"/>
      <c r="R672" s="2540"/>
      <c r="S672" s="2540"/>
      <c r="T672" s="2540"/>
    </row>
    <row r="673" spans="1:20">
      <c r="A673" s="2540"/>
      <c r="B673" s="2540"/>
      <c r="C673" s="2540"/>
      <c r="D673" s="2540"/>
      <c r="E673" s="2540"/>
      <c r="F673" s="2540"/>
      <c r="G673" s="2540"/>
      <c r="H673" s="2540"/>
      <c r="I673" s="2541"/>
      <c r="J673" s="2540"/>
      <c r="K673" s="2540"/>
      <c r="L673" s="2540"/>
      <c r="M673" s="2540"/>
      <c r="N673" s="2540"/>
      <c r="O673" s="2540"/>
      <c r="P673" s="2540"/>
      <c r="Q673" s="2540"/>
      <c r="R673" s="2540"/>
      <c r="S673" s="2540"/>
      <c r="T673" s="2540"/>
    </row>
    <row r="674" spans="1:20">
      <c r="A674" s="2540"/>
      <c r="B674" s="2540"/>
      <c r="C674" s="2540"/>
      <c r="D674" s="2540"/>
      <c r="E674" s="2540"/>
      <c r="F674" s="2540"/>
      <c r="G674" s="2540"/>
      <c r="H674" s="2540"/>
      <c r="I674" s="2541"/>
      <c r="J674" s="2540"/>
      <c r="K674" s="2540"/>
      <c r="L674" s="2540"/>
      <c r="M674" s="2540"/>
      <c r="N674" s="2540"/>
      <c r="O674" s="2540"/>
      <c r="P674" s="2540"/>
      <c r="Q674" s="2540"/>
      <c r="R674" s="2540"/>
      <c r="S674" s="2540"/>
      <c r="T674" s="2540"/>
    </row>
    <row r="675" spans="1:20">
      <c r="A675" s="2540"/>
      <c r="B675" s="2540"/>
      <c r="C675" s="2540"/>
      <c r="D675" s="2540"/>
      <c r="E675" s="2540"/>
      <c r="F675" s="2540"/>
      <c r="G675" s="2540"/>
      <c r="H675" s="2540"/>
      <c r="I675" s="2541"/>
      <c r="J675" s="2540"/>
      <c r="K675" s="2540"/>
      <c r="L675" s="2540"/>
      <c r="M675" s="2540"/>
      <c r="N675" s="2540"/>
      <c r="O675" s="2540"/>
      <c r="P675" s="2540"/>
      <c r="Q675" s="2540"/>
      <c r="R675" s="2540"/>
      <c r="S675" s="2540"/>
      <c r="T675" s="2540"/>
    </row>
    <row r="676" spans="1:20">
      <c r="A676" s="2540"/>
      <c r="B676" s="2540"/>
      <c r="C676" s="2540"/>
      <c r="D676" s="2540"/>
      <c r="E676" s="2540"/>
      <c r="F676" s="2540"/>
      <c r="G676" s="2540"/>
      <c r="H676" s="2540"/>
      <c r="I676" s="2541"/>
      <c r="J676" s="2540"/>
      <c r="K676" s="2540"/>
      <c r="L676" s="2540"/>
      <c r="M676" s="2540"/>
      <c r="N676" s="2540"/>
      <c r="O676" s="2540"/>
      <c r="P676" s="2540"/>
      <c r="Q676" s="2540"/>
      <c r="R676" s="2540"/>
      <c r="S676" s="2540"/>
      <c r="T676" s="2540"/>
    </row>
    <row r="677" spans="1:20">
      <c r="A677" s="2540"/>
      <c r="B677" s="2540"/>
      <c r="C677" s="2540"/>
      <c r="D677" s="2540"/>
      <c r="E677" s="2540"/>
      <c r="F677" s="2540"/>
      <c r="G677" s="2540"/>
      <c r="H677" s="2540"/>
      <c r="I677" s="2541"/>
      <c r="J677" s="2540"/>
      <c r="K677" s="2540"/>
      <c r="L677" s="2540"/>
      <c r="M677" s="2540"/>
      <c r="N677" s="2540"/>
      <c r="O677" s="2540"/>
      <c r="P677" s="2540"/>
      <c r="Q677" s="2540"/>
      <c r="R677" s="2540"/>
      <c r="S677" s="2540"/>
      <c r="T677" s="2540"/>
    </row>
    <row r="678" spans="1:20">
      <c r="A678" s="2540"/>
      <c r="B678" s="2540"/>
      <c r="C678" s="2540"/>
      <c r="D678" s="2540"/>
      <c r="E678" s="2540"/>
      <c r="F678" s="2540"/>
      <c r="G678" s="2540"/>
      <c r="H678" s="2540"/>
      <c r="I678" s="2541"/>
      <c r="J678" s="2540"/>
      <c r="K678" s="2540"/>
      <c r="L678" s="2540"/>
      <c r="M678" s="2540"/>
      <c r="N678" s="2540"/>
      <c r="O678" s="2540"/>
      <c r="P678" s="2540"/>
      <c r="Q678" s="2540"/>
      <c r="R678" s="2540"/>
      <c r="S678" s="2540"/>
      <c r="T678" s="2540"/>
    </row>
    <row r="679" spans="1:20">
      <c r="A679" s="2540"/>
      <c r="B679" s="2540"/>
      <c r="C679" s="2540"/>
      <c r="D679" s="2540"/>
      <c r="E679" s="2540"/>
      <c r="F679" s="2540"/>
      <c r="G679" s="2540"/>
      <c r="H679" s="2540"/>
      <c r="I679" s="2541"/>
      <c r="J679" s="2540"/>
      <c r="K679" s="2540"/>
      <c r="L679" s="2540"/>
      <c r="M679" s="2540"/>
      <c r="N679" s="2540"/>
      <c r="O679" s="2540"/>
      <c r="P679" s="2540"/>
      <c r="Q679" s="2540"/>
      <c r="R679" s="2540"/>
      <c r="S679" s="2540"/>
      <c r="T679" s="2540"/>
    </row>
    <row r="680" spans="1:20">
      <c r="A680" s="2540"/>
      <c r="B680" s="2540"/>
      <c r="C680" s="2540"/>
      <c r="D680" s="2540"/>
      <c r="E680" s="2540"/>
      <c r="F680" s="2540"/>
      <c r="G680" s="2540"/>
      <c r="H680" s="2540"/>
      <c r="I680" s="2541"/>
      <c r="J680" s="2540"/>
      <c r="K680" s="2540"/>
      <c r="L680" s="2540"/>
      <c r="M680" s="2540"/>
      <c r="N680" s="2540"/>
      <c r="O680" s="2540"/>
      <c r="P680" s="2540"/>
      <c r="Q680" s="2540"/>
      <c r="R680" s="2540"/>
      <c r="S680" s="2540"/>
      <c r="T680" s="2540"/>
    </row>
    <row r="681" spans="1:20">
      <c r="A681" s="2540"/>
      <c r="B681" s="2540"/>
      <c r="C681" s="2540"/>
      <c r="D681" s="2540"/>
      <c r="E681" s="2540"/>
      <c r="F681" s="2540"/>
      <c r="G681" s="2540"/>
      <c r="H681" s="2540"/>
      <c r="I681" s="2541"/>
      <c r="J681" s="2540"/>
      <c r="K681" s="2540"/>
      <c r="L681" s="2540"/>
      <c r="M681" s="2540"/>
      <c r="N681" s="2540"/>
      <c r="O681" s="2540"/>
      <c r="P681" s="2540"/>
      <c r="Q681" s="2540"/>
      <c r="R681" s="2540"/>
      <c r="S681" s="2540"/>
      <c r="T681" s="2540"/>
    </row>
    <row r="682" spans="1:20">
      <c r="A682" s="2540"/>
      <c r="B682" s="2540"/>
      <c r="C682" s="2540"/>
      <c r="D682" s="2540"/>
      <c r="E682" s="2540"/>
      <c r="F682" s="2540"/>
      <c r="G682" s="2540"/>
      <c r="H682" s="2540"/>
      <c r="I682" s="2541"/>
      <c r="J682" s="2540"/>
      <c r="K682" s="2540"/>
      <c r="L682" s="2540"/>
      <c r="M682" s="2540"/>
      <c r="N682" s="2540"/>
      <c r="O682" s="2540"/>
      <c r="P682" s="2540"/>
      <c r="Q682" s="2540"/>
      <c r="R682" s="2540"/>
      <c r="S682" s="2540"/>
      <c r="T682" s="2540"/>
    </row>
    <row r="683" spans="1:20">
      <c r="A683" s="2540"/>
      <c r="B683" s="2540"/>
      <c r="C683" s="2540"/>
      <c r="D683" s="2540"/>
      <c r="E683" s="2540"/>
      <c r="F683" s="2540"/>
      <c r="G683" s="2540"/>
      <c r="H683" s="2540"/>
      <c r="I683" s="2541"/>
      <c r="J683" s="2540"/>
      <c r="K683" s="2540"/>
      <c r="L683" s="2540"/>
      <c r="M683" s="2540"/>
      <c r="N683" s="2540"/>
      <c r="O683" s="2540"/>
      <c r="P683" s="2540"/>
      <c r="Q683" s="2540"/>
      <c r="R683" s="2540"/>
      <c r="S683" s="2540"/>
      <c r="T683" s="2540"/>
    </row>
    <row r="684" spans="1:20">
      <c r="A684" s="2540"/>
      <c r="B684" s="2540"/>
      <c r="C684" s="2540"/>
      <c r="D684" s="2540"/>
      <c r="E684" s="2540"/>
      <c r="F684" s="2540"/>
      <c r="G684" s="2540"/>
      <c r="H684" s="2540"/>
      <c r="I684" s="2541"/>
      <c r="J684" s="2540"/>
      <c r="K684" s="2540"/>
      <c r="L684" s="2540"/>
      <c r="M684" s="2540"/>
      <c r="N684" s="2540"/>
      <c r="O684" s="2540"/>
      <c r="P684" s="2540"/>
      <c r="Q684" s="2540"/>
      <c r="R684" s="2540"/>
      <c r="S684" s="2540"/>
      <c r="T684" s="2540"/>
    </row>
    <row r="685" spans="1:20">
      <c r="A685" s="2540"/>
      <c r="B685" s="2540"/>
      <c r="C685" s="2540"/>
      <c r="D685" s="2540"/>
      <c r="E685" s="2540"/>
      <c r="F685" s="2540"/>
      <c r="G685" s="2540"/>
      <c r="H685" s="2540"/>
      <c r="I685" s="2541"/>
      <c r="J685" s="2540"/>
      <c r="K685" s="2540"/>
      <c r="L685" s="2540"/>
      <c r="M685" s="2540"/>
      <c r="N685" s="2540"/>
      <c r="O685" s="2540"/>
      <c r="P685" s="2540"/>
      <c r="Q685" s="2540"/>
      <c r="R685" s="2540"/>
      <c r="S685" s="2540"/>
      <c r="T685" s="2540"/>
    </row>
    <row r="686" spans="1:20">
      <c r="A686" s="2540"/>
      <c r="B686" s="2540"/>
      <c r="C686" s="2540"/>
      <c r="D686" s="2540"/>
      <c r="E686" s="2540"/>
      <c r="F686" s="2540"/>
      <c r="G686" s="2540"/>
      <c r="H686" s="2540"/>
      <c r="I686" s="2541"/>
      <c r="J686" s="2540"/>
      <c r="K686" s="2540"/>
      <c r="L686" s="2540"/>
      <c r="M686" s="2540"/>
      <c r="N686" s="2540"/>
      <c r="O686" s="2540"/>
      <c r="P686" s="2540"/>
      <c r="Q686" s="2540"/>
      <c r="R686" s="2540"/>
      <c r="S686" s="2540"/>
      <c r="T686" s="2540"/>
    </row>
    <row r="687" spans="1:20">
      <c r="A687" s="2540"/>
      <c r="B687" s="2540"/>
      <c r="C687" s="2540"/>
      <c r="D687" s="2540"/>
      <c r="E687" s="2540"/>
      <c r="F687" s="2540"/>
      <c r="G687" s="2540"/>
      <c r="H687" s="2540"/>
      <c r="I687" s="2541"/>
      <c r="J687" s="2540"/>
      <c r="K687" s="2540"/>
      <c r="L687" s="2540"/>
      <c r="M687" s="2540"/>
      <c r="N687" s="2540"/>
      <c r="O687" s="2540"/>
      <c r="P687" s="2540"/>
      <c r="Q687" s="2540"/>
      <c r="R687" s="2540"/>
      <c r="S687" s="2540"/>
      <c r="T687" s="2540"/>
    </row>
    <row r="688" spans="1:20">
      <c r="A688" s="2540"/>
      <c r="B688" s="2540"/>
      <c r="C688" s="2540"/>
      <c r="D688" s="2540"/>
      <c r="E688" s="2540"/>
      <c r="F688" s="2540"/>
      <c r="G688" s="2540"/>
      <c r="H688" s="2540"/>
      <c r="I688" s="2541"/>
      <c r="J688" s="2540"/>
      <c r="K688" s="2540"/>
      <c r="L688" s="2540"/>
      <c r="M688" s="2540"/>
      <c r="N688" s="2540"/>
      <c r="O688" s="2540"/>
      <c r="P688" s="2540"/>
      <c r="Q688" s="2540"/>
      <c r="R688" s="2540"/>
      <c r="S688" s="2540"/>
      <c r="T688" s="2540"/>
    </row>
    <row r="689" spans="1:20">
      <c r="A689" s="2540"/>
      <c r="B689" s="2540"/>
      <c r="C689" s="2540"/>
      <c r="D689" s="2540"/>
      <c r="E689" s="2540"/>
      <c r="F689" s="2540"/>
      <c r="G689" s="2540"/>
      <c r="H689" s="2540"/>
      <c r="I689" s="2541"/>
      <c r="J689" s="2540"/>
      <c r="K689" s="2540"/>
      <c r="L689" s="2540"/>
      <c r="M689" s="2540"/>
      <c r="N689" s="2540"/>
      <c r="O689" s="2540"/>
      <c r="P689" s="2540"/>
      <c r="Q689" s="2540"/>
      <c r="R689" s="2540"/>
      <c r="S689" s="2540"/>
      <c r="T689" s="2540"/>
    </row>
    <row r="690" spans="1:20">
      <c r="A690" s="2540"/>
      <c r="B690" s="2540"/>
      <c r="C690" s="2540"/>
      <c r="D690" s="2540"/>
      <c r="E690" s="2540"/>
      <c r="F690" s="2540"/>
      <c r="G690" s="2540"/>
      <c r="H690" s="2540"/>
      <c r="I690" s="2541"/>
      <c r="J690" s="2540"/>
      <c r="K690" s="2540"/>
      <c r="L690" s="2540"/>
      <c r="M690" s="2540"/>
      <c r="N690" s="2540"/>
      <c r="O690" s="2540"/>
      <c r="P690" s="2540"/>
      <c r="Q690" s="2540"/>
      <c r="R690" s="2540"/>
      <c r="S690" s="2540"/>
      <c r="T690" s="2540"/>
    </row>
    <row r="691" spans="1:20">
      <c r="A691" s="2540"/>
      <c r="B691" s="2540"/>
      <c r="C691" s="2540"/>
      <c r="D691" s="2540"/>
      <c r="E691" s="2540"/>
      <c r="F691" s="2540"/>
      <c r="G691" s="2540"/>
      <c r="H691" s="2540"/>
      <c r="I691" s="2541"/>
      <c r="J691" s="2540"/>
      <c r="K691" s="2540"/>
      <c r="L691" s="2540"/>
      <c r="M691" s="2540"/>
      <c r="N691" s="2540"/>
      <c r="O691" s="2540"/>
      <c r="P691" s="2540"/>
      <c r="Q691" s="2540"/>
      <c r="R691" s="2540"/>
      <c r="S691" s="2540"/>
      <c r="T691" s="2540"/>
    </row>
    <row r="692" spans="1:20">
      <c r="A692" s="2540"/>
      <c r="B692" s="2540"/>
      <c r="C692" s="2540"/>
      <c r="D692" s="2540"/>
      <c r="E692" s="2540"/>
      <c r="F692" s="2540"/>
      <c r="G692" s="2540"/>
      <c r="H692" s="2540"/>
      <c r="I692" s="2541"/>
      <c r="J692" s="2540"/>
      <c r="K692" s="2540"/>
      <c r="L692" s="2540"/>
      <c r="M692" s="2540"/>
      <c r="N692" s="2540"/>
      <c r="O692" s="2540"/>
      <c r="P692" s="2540"/>
      <c r="Q692" s="2540"/>
      <c r="R692" s="2540"/>
      <c r="S692" s="2540"/>
      <c r="T692" s="2540"/>
    </row>
    <row r="693" spans="1:20">
      <c r="A693" s="2540"/>
      <c r="B693" s="2540"/>
      <c r="C693" s="2540"/>
      <c r="D693" s="2540"/>
      <c r="E693" s="2540"/>
      <c r="F693" s="2540"/>
      <c r="G693" s="2540"/>
      <c r="H693" s="2540"/>
      <c r="I693" s="2541"/>
      <c r="J693" s="2540"/>
      <c r="K693" s="2540"/>
      <c r="L693" s="2540"/>
      <c r="M693" s="2540"/>
      <c r="N693" s="2540"/>
      <c r="O693" s="2540"/>
      <c r="P693" s="2540"/>
      <c r="Q693" s="2540"/>
      <c r="R693" s="2540"/>
      <c r="S693" s="2540"/>
      <c r="T693" s="2540"/>
    </row>
    <row r="694" spans="1:20">
      <c r="A694" s="2540"/>
      <c r="B694" s="2540"/>
      <c r="C694" s="2540"/>
      <c r="D694" s="2540"/>
      <c r="E694" s="2540"/>
      <c r="F694" s="2540"/>
      <c r="G694" s="2540"/>
      <c r="H694" s="2540"/>
      <c r="I694" s="2541"/>
      <c r="J694" s="2540"/>
      <c r="K694" s="2540"/>
      <c r="L694" s="2540"/>
      <c r="M694" s="2540"/>
      <c r="N694" s="2540"/>
      <c r="O694" s="2540"/>
      <c r="P694" s="2540"/>
      <c r="Q694" s="2540"/>
      <c r="R694" s="2540"/>
      <c r="S694" s="2540"/>
      <c r="T694" s="2540"/>
    </row>
    <row r="695" spans="1:20">
      <c r="A695" s="2540"/>
      <c r="B695" s="2540"/>
      <c r="C695" s="2540"/>
      <c r="D695" s="2540"/>
      <c r="E695" s="2540"/>
      <c r="F695" s="2540"/>
      <c r="G695" s="2540"/>
      <c r="H695" s="2540"/>
      <c r="I695" s="2541"/>
      <c r="J695" s="2540"/>
      <c r="K695" s="2540"/>
      <c r="L695" s="2540"/>
      <c r="M695" s="2540"/>
      <c r="N695" s="2540"/>
      <c r="O695" s="2540"/>
      <c r="P695" s="2540"/>
      <c r="Q695" s="2540"/>
      <c r="R695" s="2540"/>
      <c r="S695" s="2540"/>
      <c r="T695" s="2540"/>
    </row>
    <row r="696" spans="1:20">
      <c r="A696" s="2540"/>
      <c r="B696" s="2540"/>
      <c r="C696" s="2540"/>
      <c r="D696" s="2540"/>
      <c r="E696" s="2540"/>
      <c r="F696" s="2540"/>
      <c r="G696" s="2540"/>
      <c r="H696" s="2540"/>
      <c r="I696" s="2541"/>
      <c r="J696" s="2540"/>
      <c r="K696" s="2540"/>
      <c r="L696" s="2540"/>
      <c r="M696" s="2540"/>
      <c r="N696" s="2540"/>
      <c r="O696" s="2540"/>
      <c r="P696" s="2540"/>
      <c r="Q696" s="2540"/>
      <c r="R696" s="2540"/>
      <c r="S696" s="2540"/>
      <c r="T696" s="2540"/>
    </row>
    <row r="697" spans="1:20">
      <c r="A697" s="2540"/>
      <c r="B697" s="2540"/>
      <c r="C697" s="2540"/>
      <c r="D697" s="2540"/>
      <c r="E697" s="2540"/>
      <c r="F697" s="2540"/>
      <c r="G697" s="2540"/>
      <c r="H697" s="2540"/>
      <c r="I697" s="2541"/>
      <c r="J697" s="2540"/>
      <c r="K697" s="2540"/>
      <c r="L697" s="2540"/>
      <c r="M697" s="2540"/>
      <c r="N697" s="2540"/>
      <c r="O697" s="2540"/>
      <c r="P697" s="2540"/>
      <c r="Q697" s="2540"/>
      <c r="R697" s="2540"/>
      <c r="S697" s="2540"/>
      <c r="T697" s="2540"/>
    </row>
    <row r="698" spans="1:20">
      <c r="A698" s="2540"/>
      <c r="B698" s="2540"/>
      <c r="C698" s="2540"/>
      <c r="D698" s="2540"/>
      <c r="E698" s="2540"/>
      <c r="F698" s="2540"/>
      <c r="G698" s="2540"/>
      <c r="H698" s="2540"/>
      <c r="I698" s="2541"/>
      <c r="J698" s="2540"/>
      <c r="K698" s="2540"/>
      <c r="L698" s="2540"/>
      <c r="M698" s="2540"/>
      <c r="N698" s="2540"/>
      <c r="O698" s="2540"/>
      <c r="P698" s="2540"/>
      <c r="Q698" s="2540"/>
      <c r="R698" s="2540"/>
      <c r="S698" s="2540"/>
      <c r="T698" s="2540"/>
    </row>
    <row r="699" spans="1:20">
      <c r="A699" s="2540"/>
      <c r="B699" s="2540"/>
      <c r="C699" s="2540"/>
      <c r="D699" s="2540"/>
      <c r="E699" s="2540"/>
      <c r="F699" s="2540"/>
      <c r="G699" s="2540"/>
      <c r="H699" s="2540"/>
      <c r="I699" s="2541"/>
      <c r="J699" s="2540"/>
      <c r="K699" s="2540"/>
      <c r="L699" s="2540"/>
      <c r="M699" s="2540"/>
      <c r="N699" s="2540"/>
      <c r="O699" s="2540"/>
      <c r="P699" s="2540"/>
      <c r="Q699" s="2540"/>
      <c r="R699" s="2540"/>
      <c r="S699" s="2540"/>
      <c r="T699" s="2540"/>
    </row>
    <row r="700" spans="1:20">
      <c r="A700" s="2540"/>
      <c r="B700" s="2540"/>
      <c r="C700" s="2540"/>
      <c r="D700" s="2540"/>
      <c r="E700" s="2540"/>
      <c r="F700" s="2540"/>
      <c r="G700" s="2540"/>
      <c r="H700" s="2540"/>
      <c r="I700" s="2541"/>
      <c r="J700" s="2540"/>
      <c r="K700" s="2540"/>
      <c r="L700" s="2540"/>
      <c r="M700" s="2540"/>
      <c r="N700" s="2540"/>
      <c r="O700" s="2540"/>
      <c r="P700" s="2540"/>
      <c r="Q700" s="2540"/>
      <c r="R700" s="2540"/>
      <c r="S700" s="2540"/>
      <c r="T700" s="2540"/>
    </row>
    <row r="701" spans="1:20">
      <c r="A701" s="2540"/>
      <c r="B701" s="2540"/>
      <c r="C701" s="2540"/>
      <c r="D701" s="2540"/>
      <c r="E701" s="2540"/>
      <c r="F701" s="2540"/>
      <c r="G701" s="2540"/>
      <c r="H701" s="2540"/>
      <c r="I701" s="2541"/>
      <c r="J701" s="2540"/>
      <c r="K701" s="2540"/>
      <c r="L701" s="2540"/>
      <c r="M701" s="2540"/>
      <c r="N701" s="2540"/>
      <c r="O701" s="2540"/>
      <c r="P701" s="2540"/>
      <c r="Q701" s="2540"/>
      <c r="R701" s="2540"/>
      <c r="S701" s="2540"/>
      <c r="T701" s="2540"/>
    </row>
    <row r="702" spans="1:20">
      <c r="A702" s="2540"/>
      <c r="B702" s="2540"/>
      <c r="C702" s="2540"/>
      <c r="D702" s="2540"/>
      <c r="E702" s="2540"/>
      <c r="F702" s="2540"/>
      <c r="G702" s="2540"/>
      <c r="H702" s="2540"/>
      <c r="I702" s="2541"/>
      <c r="J702" s="2540"/>
      <c r="K702" s="2540"/>
      <c r="L702" s="2540"/>
      <c r="M702" s="2540"/>
      <c r="N702" s="2540"/>
      <c r="O702" s="2540"/>
      <c r="P702" s="2540"/>
      <c r="Q702" s="2540"/>
      <c r="R702" s="2540"/>
      <c r="S702" s="2540"/>
      <c r="T702" s="2540"/>
    </row>
    <row r="703" spans="1:20">
      <c r="A703" s="2540"/>
      <c r="B703" s="2540"/>
      <c r="C703" s="2540"/>
      <c r="D703" s="2540"/>
      <c r="E703" s="2540"/>
      <c r="F703" s="2540"/>
      <c r="G703" s="2540"/>
      <c r="H703" s="2540"/>
      <c r="I703" s="2541"/>
      <c r="J703" s="2540"/>
      <c r="K703" s="2540"/>
      <c r="L703" s="2540"/>
      <c r="M703" s="2540"/>
      <c r="N703" s="2540"/>
      <c r="O703" s="2540"/>
      <c r="P703" s="2540"/>
      <c r="Q703" s="2540"/>
      <c r="R703" s="2540"/>
      <c r="S703" s="2540"/>
      <c r="T703" s="2540"/>
    </row>
    <row r="704" spans="1:20">
      <c r="A704" s="2540"/>
      <c r="B704" s="2540"/>
      <c r="C704" s="2540"/>
      <c r="D704" s="2540"/>
      <c r="E704" s="2540"/>
      <c r="F704" s="2540"/>
      <c r="G704" s="2540"/>
      <c r="H704" s="2540"/>
      <c r="I704" s="2541"/>
      <c r="J704" s="2540"/>
      <c r="K704" s="2540"/>
      <c r="L704" s="2540"/>
      <c r="M704" s="2540"/>
      <c r="N704" s="2540"/>
      <c r="O704" s="2540"/>
      <c r="P704" s="2540"/>
      <c r="Q704" s="2540"/>
      <c r="R704" s="2540"/>
      <c r="S704" s="2540"/>
      <c r="T704" s="2540"/>
    </row>
    <row r="705" spans="1:20">
      <c r="A705" s="2540"/>
      <c r="B705" s="2540"/>
      <c r="C705" s="2540"/>
      <c r="D705" s="2540"/>
      <c r="E705" s="2540"/>
      <c r="F705" s="2540"/>
      <c r="G705" s="2540"/>
      <c r="H705" s="2540"/>
      <c r="I705" s="2541"/>
      <c r="J705" s="2540"/>
      <c r="K705" s="2540"/>
      <c r="L705" s="2540"/>
      <c r="M705" s="2540"/>
      <c r="N705" s="2540"/>
      <c r="O705" s="2540"/>
      <c r="P705" s="2540"/>
      <c r="Q705" s="2540"/>
      <c r="R705" s="2540"/>
      <c r="S705" s="2540"/>
      <c r="T705" s="2540"/>
    </row>
    <row r="706" spans="1:20">
      <c r="A706" s="2540"/>
      <c r="B706" s="2540"/>
      <c r="C706" s="2540"/>
      <c r="D706" s="2540"/>
      <c r="E706" s="2540"/>
      <c r="F706" s="2540"/>
      <c r="G706" s="2540"/>
      <c r="H706" s="2540"/>
      <c r="I706" s="2541"/>
      <c r="J706" s="2540"/>
      <c r="K706" s="2540"/>
      <c r="L706" s="2540"/>
      <c r="M706" s="2540"/>
      <c r="N706" s="2540"/>
      <c r="O706" s="2540"/>
      <c r="P706" s="2540"/>
      <c r="Q706" s="2540"/>
      <c r="R706" s="2540"/>
      <c r="S706" s="2540"/>
      <c r="T706" s="2540"/>
    </row>
    <row r="707" spans="1:20">
      <c r="A707" s="2540"/>
      <c r="B707" s="2540"/>
      <c r="C707" s="2540"/>
      <c r="D707" s="2540"/>
      <c r="E707" s="2540"/>
      <c r="F707" s="2540"/>
      <c r="G707" s="2540"/>
      <c r="H707" s="2540"/>
      <c r="I707" s="2541"/>
      <c r="J707" s="2540"/>
      <c r="K707" s="2540"/>
      <c r="L707" s="2540"/>
      <c r="M707" s="2540"/>
      <c r="N707" s="2540"/>
      <c r="O707" s="2540"/>
      <c r="P707" s="2540"/>
      <c r="Q707" s="2540"/>
      <c r="R707" s="2540"/>
      <c r="S707" s="2540"/>
      <c r="T707" s="2540"/>
    </row>
    <row r="708" spans="1:20">
      <c r="A708" s="2540"/>
      <c r="B708" s="2540"/>
      <c r="C708" s="2540"/>
      <c r="D708" s="2540"/>
      <c r="E708" s="2540"/>
      <c r="F708" s="2540"/>
      <c r="G708" s="2540"/>
      <c r="H708" s="2540"/>
      <c r="I708" s="2541"/>
      <c r="J708" s="2540"/>
      <c r="K708" s="2540"/>
      <c r="L708" s="2540"/>
      <c r="M708" s="2540"/>
      <c r="N708" s="2540"/>
      <c r="O708" s="2540"/>
      <c r="P708" s="2540"/>
      <c r="Q708" s="2540"/>
      <c r="R708" s="2540"/>
      <c r="S708" s="2540"/>
      <c r="T708" s="2540"/>
    </row>
    <row r="709" spans="1:20">
      <c r="A709" s="2540"/>
      <c r="B709" s="2540"/>
      <c r="C709" s="2540"/>
      <c r="D709" s="2540"/>
      <c r="E709" s="2540"/>
      <c r="F709" s="2540"/>
      <c r="G709" s="2540"/>
      <c r="H709" s="2540"/>
      <c r="I709" s="2541"/>
      <c r="J709" s="2540"/>
      <c r="K709" s="2540"/>
      <c r="L709" s="2540"/>
      <c r="M709" s="2540"/>
      <c r="N709" s="2540"/>
      <c r="O709" s="2540"/>
      <c r="P709" s="2540"/>
      <c r="Q709" s="2540"/>
      <c r="R709" s="2540"/>
      <c r="S709" s="2540"/>
      <c r="T709" s="2540"/>
    </row>
    <row r="710" spans="1:20">
      <c r="A710" s="2540"/>
      <c r="B710" s="2540"/>
      <c r="C710" s="2540"/>
      <c r="D710" s="2540"/>
      <c r="E710" s="2540"/>
      <c r="F710" s="2540"/>
      <c r="G710" s="2540"/>
      <c r="H710" s="2540"/>
      <c r="I710" s="2541"/>
      <c r="J710" s="2540"/>
      <c r="K710" s="2540"/>
      <c r="L710" s="2540"/>
      <c r="M710" s="2540"/>
      <c r="N710" s="2540"/>
      <c r="O710" s="2540"/>
      <c r="P710" s="2540"/>
      <c r="Q710" s="2540"/>
      <c r="R710" s="2540"/>
      <c r="S710" s="2540"/>
      <c r="T710" s="2540"/>
    </row>
    <row r="711" spans="1:20">
      <c r="A711" s="2540"/>
      <c r="B711" s="2540"/>
      <c r="C711" s="2540"/>
      <c r="D711" s="2540"/>
      <c r="E711" s="2540"/>
      <c r="F711" s="2540"/>
      <c r="G711" s="2540"/>
      <c r="H711" s="2540"/>
      <c r="I711" s="2541"/>
      <c r="J711" s="2540"/>
      <c r="K711" s="2540"/>
      <c r="L711" s="2540"/>
      <c r="M711" s="2540"/>
      <c r="N711" s="2540"/>
      <c r="O711" s="2540"/>
      <c r="P711" s="2540"/>
      <c r="Q711" s="2540"/>
      <c r="R711" s="2540"/>
      <c r="S711" s="2540"/>
      <c r="T711" s="2540"/>
    </row>
    <row r="712" spans="1:20">
      <c r="A712" s="2540"/>
      <c r="B712" s="2540"/>
      <c r="C712" s="2540"/>
      <c r="D712" s="2540"/>
      <c r="E712" s="2540"/>
      <c r="F712" s="2540"/>
      <c r="G712" s="2540"/>
      <c r="H712" s="2540"/>
      <c r="I712" s="2541"/>
      <c r="J712" s="2540"/>
      <c r="K712" s="2540"/>
      <c r="L712" s="2540"/>
      <c r="M712" s="2540"/>
      <c r="N712" s="2540"/>
      <c r="O712" s="2540"/>
      <c r="P712" s="2540"/>
      <c r="Q712" s="2540"/>
      <c r="R712" s="2540"/>
      <c r="S712" s="2540"/>
      <c r="T712" s="2540"/>
    </row>
    <row r="713" spans="1:20">
      <c r="A713" s="2540"/>
      <c r="B713" s="2540"/>
      <c r="C713" s="2540"/>
      <c r="D713" s="2540"/>
      <c r="E713" s="2540"/>
      <c r="F713" s="2540"/>
      <c r="G713" s="2540"/>
      <c r="H713" s="2540"/>
      <c r="I713" s="2541"/>
      <c r="J713" s="2540"/>
      <c r="K713" s="2540"/>
      <c r="L713" s="2540"/>
      <c r="M713" s="2540"/>
      <c r="N713" s="2540"/>
      <c r="O713" s="2540"/>
      <c r="P713" s="2540"/>
      <c r="Q713" s="2540"/>
      <c r="R713" s="2540"/>
      <c r="S713" s="2540"/>
      <c r="T713" s="2540"/>
    </row>
    <row r="714" spans="1:20">
      <c r="A714" s="2540"/>
      <c r="B714" s="2540"/>
      <c r="C714" s="2540"/>
      <c r="D714" s="2540"/>
      <c r="E714" s="2540"/>
      <c r="F714" s="2540"/>
      <c r="G714" s="2540"/>
      <c r="H714" s="2540"/>
      <c r="I714" s="2541"/>
      <c r="J714" s="2540"/>
      <c r="K714" s="2540"/>
      <c r="L714" s="2540"/>
      <c r="M714" s="2540"/>
      <c r="N714" s="2540"/>
      <c r="O714" s="2540"/>
      <c r="P714" s="2540"/>
      <c r="Q714" s="2540"/>
      <c r="R714" s="2540"/>
      <c r="S714" s="2540"/>
      <c r="T714" s="2540"/>
    </row>
    <row r="715" spans="1:20">
      <c r="A715" s="2540"/>
      <c r="B715" s="2540"/>
      <c r="C715" s="2540"/>
      <c r="D715" s="2540"/>
      <c r="E715" s="2540"/>
      <c r="F715" s="2540"/>
      <c r="G715" s="2540"/>
      <c r="H715" s="2540"/>
      <c r="I715" s="2541"/>
      <c r="J715" s="2540"/>
      <c r="K715" s="2540"/>
      <c r="L715" s="2540"/>
      <c r="M715" s="2540"/>
      <c r="N715" s="2540"/>
      <c r="O715" s="2540"/>
      <c r="P715" s="2540"/>
      <c r="Q715" s="2540"/>
      <c r="R715" s="2540"/>
      <c r="S715" s="2540"/>
      <c r="T715" s="2540"/>
    </row>
    <row r="716" spans="1:20">
      <c r="A716" s="2540"/>
      <c r="B716" s="2540"/>
      <c r="C716" s="2540"/>
      <c r="D716" s="2540"/>
      <c r="E716" s="2540"/>
      <c r="F716" s="2540"/>
      <c r="G716" s="2540"/>
      <c r="H716" s="2540"/>
      <c r="I716" s="2541"/>
      <c r="J716" s="2540"/>
      <c r="K716" s="2540"/>
      <c r="L716" s="2540"/>
      <c r="M716" s="2540"/>
      <c r="N716" s="2540"/>
      <c r="O716" s="2540"/>
      <c r="P716" s="2540"/>
      <c r="Q716" s="2540"/>
      <c r="R716" s="2540"/>
      <c r="S716" s="2540"/>
      <c r="T716" s="2540"/>
    </row>
    <row r="717" spans="1:20">
      <c r="A717" s="2540"/>
      <c r="B717" s="2540"/>
      <c r="C717" s="2540"/>
      <c r="D717" s="2540"/>
      <c r="E717" s="2540"/>
      <c r="F717" s="2540"/>
      <c r="G717" s="2540"/>
      <c r="H717" s="2540"/>
      <c r="I717" s="2541"/>
      <c r="J717" s="2540"/>
      <c r="K717" s="2540"/>
      <c r="L717" s="2540"/>
      <c r="M717" s="2540"/>
      <c r="N717" s="2540"/>
      <c r="O717" s="2540"/>
      <c r="P717" s="2540"/>
      <c r="Q717" s="2540"/>
      <c r="R717" s="2540"/>
      <c r="S717" s="2540"/>
      <c r="T717" s="2540"/>
    </row>
    <row r="718" spans="1:20">
      <c r="A718" s="2540"/>
      <c r="B718" s="2540"/>
      <c r="C718" s="2540"/>
      <c r="D718" s="2540"/>
      <c r="E718" s="2540"/>
      <c r="F718" s="2540"/>
      <c r="G718" s="2540"/>
      <c r="H718" s="2540"/>
      <c r="I718" s="2541"/>
      <c r="J718" s="2540"/>
      <c r="K718" s="2540"/>
      <c r="L718" s="2540"/>
      <c r="M718" s="2540"/>
      <c r="N718" s="2540"/>
      <c r="O718" s="2540"/>
      <c r="P718" s="2540"/>
      <c r="Q718" s="2540"/>
      <c r="R718" s="2540"/>
      <c r="S718" s="2540"/>
      <c r="T718" s="2540"/>
    </row>
    <row r="719" spans="1:20">
      <c r="A719" s="2540"/>
      <c r="B719" s="2540"/>
      <c r="C719" s="2540"/>
      <c r="D719" s="2540"/>
      <c r="E719" s="2540"/>
      <c r="F719" s="2540"/>
      <c r="G719" s="2540"/>
      <c r="H719" s="2540"/>
      <c r="I719" s="2541"/>
      <c r="J719" s="2540"/>
      <c r="K719" s="2540"/>
      <c r="L719" s="2540"/>
      <c r="M719" s="2540"/>
      <c r="N719" s="2540"/>
      <c r="O719" s="2540"/>
      <c r="P719" s="2540"/>
      <c r="Q719" s="2540"/>
      <c r="R719" s="2540"/>
      <c r="S719" s="2540"/>
      <c r="T719" s="2540"/>
    </row>
    <row r="720" spans="1:20">
      <c r="A720" s="2540"/>
      <c r="B720" s="2540"/>
      <c r="C720" s="2540"/>
      <c r="D720" s="2540"/>
      <c r="E720" s="2540"/>
      <c r="F720" s="2540"/>
      <c r="G720" s="2540"/>
      <c r="H720" s="2540"/>
      <c r="I720" s="2541"/>
      <c r="J720" s="2540"/>
      <c r="K720" s="2540"/>
      <c r="L720" s="2540"/>
      <c r="M720" s="2540"/>
      <c r="N720" s="2540"/>
      <c r="O720" s="2540"/>
      <c r="P720" s="2540"/>
      <c r="Q720" s="2540"/>
      <c r="R720" s="2540"/>
      <c r="S720" s="2540"/>
      <c r="T720" s="2540"/>
    </row>
    <row r="721" spans="1:20">
      <c r="A721" s="2540"/>
      <c r="B721" s="2540"/>
      <c r="C721" s="2540"/>
      <c r="D721" s="2540"/>
      <c r="E721" s="2540"/>
      <c r="F721" s="2540"/>
      <c r="G721" s="2540"/>
      <c r="H721" s="2540"/>
      <c r="I721" s="2541"/>
      <c r="J721" s="2540"/>
      <c r="K721" s="2540"/>
      <c r="L721" s="2540"/>
      <c r="M721" s="2540"/>
      <c r="N721" s="2540"/>
      <c r="O721" s="2540"/>
      <c r="P721" s="2540"/>
      <c r="Q721" s="2540"/>
      <c r="R721" s="2540"/>
      <c r="S721" s="2540"/>
      <c r="T721" s="2540"/>
    </row>
    <row r="722" spans="1:20">
      <c r="A722" s="2540"/>
      <c r="B722" s="2540"/>
      <c r="C722" s="2540"/>
      <c r="D722" s="2540"/>
      <c r="E722" s="2540"/>
      <c r="F722" s="2540"/>
      <c r="G722" s="2540"/>
      <c r="H722" s="2540"/>
      <c r="I722" s="2541"/>
      <c r="J722" s="2540"/>
      <c r="K722" s="2540"/>
      <c r="L722" s="2540"/>
      <c r="M722" s="2540"/>
      <c r="N722" s="2540"/>
      <c r="O722" s="2540"/>
      <c r="P722" s="2540"/>
      <c r="Q722" s="2540"/>
      <c r="R722" s="2540"/>
      <c r="S722" s="2540"/>
      <c r="T722" s="2540"/>
    </row>
    <row r="723" spans="1:20">
      <c r="A723" s="2540"/>
      <c r="B723" s="2540"/>
      <c r="C723" s="2540"/>
      <c r="D723" s="2540"/>
      <c r="E723" s="2540"/>
      <c r="F723" s="2540"/>
      <c r="G723" s="2540"/>
      <c r="H723" s="2540"/>
      <c r="I723" s="2541"/>
      <c r="J723" s="2540"/>
      <c r="K723" s="2540"/>
      <c r="L723" s="2540"/>
      <c r="M723" s="2540"/>
      <c r="N723" s="2540"/>
      <c r="O723" s="2540"/>
      <c r="P723" s="2540"/>
      <c r="Q723" s="2540"/>
      <c r="R723" s="2540"/>
      <c r="S723" s="2540"/>
      <c r="T723" s="2540"/>
    </row>
    <row r="724" spans="1:20">
      <c r="A724" s="2540"/>
      <c r="B724" s="2540"/>
      <c r="C724" s="2540"/>
      <c r="D724" s="2540"/>
      <c r="E724" s="2540"/>
      <c r="F724" s="2540"/>
      <c r="G724" s="2540"/>
      <c r="H724" s="2540"/>
      <c r="I724" s="2541"/>
      <c r="J724" s="2540"/>
      <c r="K724" s="2540"/>
      <c r="L724" s="2540"/>
      <c r="M724" s="2540"/>
      <c r="N724" s="2540"/>
      <c r="O724" s="2540"/>
      <c r="P724" s="2540"/>
      <c r="Q724" s="2540"/>
      <c r="R724" s="2540"/>
      <c r="S724" s="2540"/>
      <c r="T724" s="2540"/>
    </row>
    <row r="725" spans="1:20">
      <c r="A725" s="2540"/>
      <c r="B725" s="2540"/>
      <c r="C725" s="2540"/>
      <c r="D725" s="2540"/>
      <c r="E725" s="2540"/>
      <c r="F725" s="2540"/>
      <c r="G725" s="2540"/>
      <c r="H725" s="2540"/>
      <c r="I725" s="2541"/>
      <c r="J725" s="2540"/>
      <c r="K725" s="2540"/>
      <c r="L725" s="2540"/>
      <c r="M725" s="2540"/>
      <c r="N725" s="2540"/>
      <c r="O725" s="2540"/>
      <c r="P725" s="2540"/>
      <c r="Q725" s="2540"/>
      <c r="R725" s="2540"/>
      <c r="S725" s="2540"/>
      <c r="T725" s="2540"/>
    </row>
    <row r="726" spans="1:20">
      <c r="A726" s="2540"/>
      <c r="B726" s="2540"/>
      <c r="C726" s="2540"/>
      <c r="D726" s="2540"/>
      <c r="E726" s="2540"/>
      <c r="F726" s="2540"/>
      <c r="G726" s="2540"/>
      <c r="H726" s="2540"/>
      <c r="I726" s="2541"/>
      <c r="J726" s="2540"/>
      <c r="K726" s="2540"/>
      <c r="L726" s="2540"/>
      <c r="M726" s="2540"/>
      <c r="N726" s="2540"/>
      <c r="O726" s="2540"/>
      <c r="P726" s="2540"/>
      <c r="Q726" s="2540"/>
      <c r="R726" s="2540"/>
      <c r="S726" s="2540"/>
      <c r="T726" s="2540"/>
    </row>
    <row r="727" spans="1:20">
      <c r="A727" s="2540"/>
      <c r="B727" s="2540"/>
      <c r="C727" s="2540"/>
      <c r="D727" s="2540"/>
      <c r="E727" s="2540"/>
      <c r="F727" s="2540"/>
      <c r="G727" s="2540"/>
      <c r="H727" s="2540"/>
      <c r="I727" s="2541"/>
      <c r="J727" s="2540"/>
      <c r="K727" s="2540"/>
      <c r="L727" s="2540"/>
      <c r="M727" s="2540"/>
      <c r="N727" s="2540"/>
      <c r="O727" s="2540"/>
      <c r="P727" s="2540"/>
      <c r="Q727" s="2540"/>
      <c r="R727" s="2540"/>
      <c r="S727" s="2540"/>
      <c r="T727" s="2540"/>
    </row>
    <row r="728" spans="1:20">
      <c r="A728" s="2540"/>
      <c r="B728" s="2540"/>
      <c r="C728" s="2540"/>
      <c r="D728" s="2540"/>
      <c r="E728" s="2540"/>
      <c r="F728" s="2540"/>
      <c r="G728" s="2540"/>
      <c r="H728" s="2540"/>
      <c r="I728" s="2541"/>
      <c r="J728" s="2540"/>
      <c r="K728" s="2540"/>
      <c r="L728" s="2540"/>
      <c r="M728" s="2540"/>
      <c r="N728" s="2540"/>
      <c r="O728" s="2540"/>
      <c r="P728" s="2540"/>
      <c r="Q728" s="2540"/>
      <c r="R728" s="2540"/>
      <c r="S728" s="2540"/>
      <c r="T728" s="2540"/>
    </row>
    <row r="729" spans="1:20">
      <c r="A729" s="2540"/>
      <c r="B729" s="2540"/>
      <c r="C729" s="2540"/>
      <c r="D729" s="2540"/>
      <c r="E729" s="2540"/>
      <c r="F729" s="2540"/>
      <c r="G729" s="2540"/>
      <c r="H729" s="2540"/>
      <c r="I729" s="2541"/>
      <c r="J729" s="2540"/>
      <c r="K729" s="2540"/>
      <c r="L729" s="2540"/>
      <c r="M729" s="2540"/>
      <c r="N729" s="2540"/>
      <c r="O729" s="2540"/>
      <c r="P729" s="2540"/>
      <c r="Q729" s="2540"/>
      <c r="R729" s="2540"/>
      <c r="S729" s="2540"/>
      <c r="T729" s="2540"/>
    </row>
    <row r="730" spans="1:20">
      <c r="A730" s="2540"/>
      <c r="B730" s="2540"/>
      <c r="C730" s="2540"/>
      <c r="D730" s="2540"/>
      <c r="E730" s="2540"/>
      <c r="F730" s="2540"/>
      <c r="G730" s="2540"/>
      <c r="H730" s="2540"/>
      <c r="I730" s="2541"/>
      <c r="J730" s="2540"/>
      <c r="K730" s="2540"/>
      <c r="L730" s="2540"/>
      <c r="M730" s="2540"/>
      <c r="N730" s="2540"/>
      <c r="O730" s="2540"/>
      <c r="P730" s="2540"/>
      <c r="Q730" s="2540"/>
      <c r="R730" s="2540"/>
      <c r="S730" s="2540"/>
      <c r="T730" s="2540"/>
    </row>
    <row r="731" spans="1:20">
      <c r="A731" s="2540"/>
      <c r="B731" s="2540"/>
      <c r="C731" s="2540"/>
      <c r="D731" s="2540"/>
      <c r="E731" s="2540"/>
      <c r="F731" s="2540"/>
      <c r="G731" s="2540"/>
      <c r="H731" s="2540"/>
      <c r="I731" s="2541"/>
      <c r="J731" s="2540"/>
      <c r="K731" s="2540"/>
      <c r="L731" s="2540"/>
      <c r="M731" s="2540"/>
      <c r="N731" s="2540"/>
      <c r="O731" s="2540"/>
      <c r="P731" s="2540"/>
      <c r="Q731" s="2540"/>
      <c r="R731" s="2540"/>
      <c r="S731" s="2540"/>
      <c r="T731" s="2540"/>
    </row>
    <row r="732" spans="1:20">
      <c r="A732" s="2540"/>
      <c r="B732" s="2540"/>
      <c r="C732" s="2540"/>
      <c r="D732" s="2540"/>
      <c r="E732" s="2540"/>
      <c r="F732" s="2540"/>
      <c r="G732" s="2540"/>
      <c r="H732" s="2540"/>
      <c r="I732" s="2541"/>
      <c r="J732" s="2540"/>
      <c r="K732" s="2540"/>
      <c r="L732" s="2540"/>
      <c r="M732" s="2540"/>
      <c r="N732" s="2540"/>
      <c r="O732" s="2540"/>
      <c r="P732" s="2540"/>
      <c r="Q732" s="2540"/>
      <c r="R732" s="2540"/>
      <c r="S732" s="2540"/>
      <c r="T732" s="2540"/>
    </row>
    <row r="733" spans="1:20">
      <c r="A733" s="2540"/>
      <c r="B733" s="2540"/>
      <c r="C733" s="2540"/>
      <c r="D733" s="2540"/>
      <c r="E733" s="2540"/>
      <c r="F733" s="2540"/>
      <c r="G733" s="2540"/>
      <c r="H733" s="2540"/>
      <c r="I733" s="2541"/>
      <c r="J733" s="2540"/>
      <c r="K733" s="2540"/>
      <c r="L733" s="2540"/>
      <c r="M733" s="2540"/>
      <c r="N733" s="2540"/>
      <c r="O733" s="2540"/>
      <c r="P733" s="2540"/>
      <c r="Q733" s="2540"/>
      <c r="R733" s="2540"/>
      <c r="S733" s="2540"/>
      <c r="T733" s="2540"/>
    </row>
    <row r="734" spans="1:20">
      <c r="A734" s="2540"/>
      <c r="B734" s="2540"/>
      <c r="C734" s="2540"/>
      <c r="D734" s="2540"/>
      <c r="E734" s="2540"/>
      <c r="F734" s="2540"/>
      <c r="G734" s="2540"/>
      <c r="H734" s="2540"/>
      <c r="I734" s="2541"/>
      <c r="J734" s="2540"/>
      <c r="K734" s="2540"/>
      <c r="L734" s="2540"/>
      <c r="M734" s="2540"/>
      <c r="N734" s="2540"/>
      <c r="O734" s="2540"/>
      <c r="P734" s="2540"/>
      <c r="Q734" s="2540"/>
      <c r="R734" s="2540"/>
      <c r="S734" s="2540"/>
      <c r="T734" s="2540"/>
    </row>
    <row r="735" spans="1:20">
      <c r="A735" s="2540"/>
      <c r="B735" s="2540"/>
      <c r="C735" s="2540"/>
      <c r="D735" s="2540"/>
      <c r="E735" s="2540"/>
      <c r="F735" s="2540"/>
      <c r="G735" s="2540"/>
      <c r="H735" s="2540"/>
      <c r="I735" s="2541"/>
      <c r="J735" s="2540"/>
      <c r="K735" s="2540"/>
      <c r="L735" s="2540"/>
      <c r="M735" s="2540"/>
      <c r="N735" s="2540"/>
      <c r="O735" s="2540"/>
      <c r="P735" s="2540"/>
      <c r="Q735" s="2540"/>
      <c r="R735" s="2540"/>
      <c r="S735" s="2540"/>
      <c r="T735" s="2540"/>
    </row>
    <row r="736" spans="1:20">
      <c r="A736" s="2540"/>
      <c r="B736" s="2540"/>
      <c r="C736" s="2540"/>
      <c r="D736" s="2540"/>
      <c r="E736" s="2540"/>
      <c r="F736" s="2540"/>
      <c r="G736" s="2540"/>
      <c r="H736" s="2540"/>
      <c r="I736" s="2541"/>
      <c r="J736" s="2540"/>
      <c r="K736" s="2540"/>
      <c r="L736" s="2540"/>
      <c r="M736" s="2540"/>
      <c r="N736" s="2540"/>
      <c r="O736" s="2540"/>
      <c r="P736" s="2540"/>
      <c r="Q736" s="2540"/>
      <c r="R736" s="2540"/>
      <c r="S736" s="2540"/>
      <c r="T736" s="2540"/>
    </row>
    <row r="737" spans="1:20">
      <c r="A737" s="2540"/>
      <c r="B737" s="2540"/>
      <c r="C737" s="2540"/>
      <c r="D737" s="2540"/>
      <c r="E737" s="2540"/>
      <c r="F737" s="2540"/>
      <c r="G737" s="2540"/>
      <c r="H737" s="2540"/>
      <c r="I737" s="2541"/>
      <c r="J737" s="2540"/>
      <c r="K737" s="2540"/>
      <c r="L737" s="2540"/>
      <c r="M737" s="2540"/>
      <c r="N737" s="2540"/>
      <c r="O737" s="2540"/>
      <c r="P737" s="2540"/>
      <c r="Q737" s="2540"/>
      <c r="R737" s="2540"/>
      <c r="S737" s="2540"/>
      <c r="T737" s="2540"/>
    </row>
    <row r="738" spans="1:20">
      <c r="A738" s="2540"/>
      <c r="B738" s="2540"/>
      <c r="C738" s="2540"/>
      <c r="D738" s="2540"/>
      <c r="E738" s="2540"/>
      <c r="F738" s="2540"/>
      <c r="G738" s="2540"/>
      <c r="H738" s="2540"/>
      <c r="I738" s="2541"/>
      <c r="J738" s="2540"/>
      <c r="K738" s="2540"/>
      <c r="L738" s="2540"/>
      <c r="M738" s="2540"/>
      <c r="N738" s="2540"/>
      <c r="O738" s="2540"/>
      <c r="P738" s="2540"/>
      <c r="Q738" s="2540"/>
      <c r="R738" s="2540"/>
      <c r="S738" s="2540"/>
      <c r="T738" s="2540"/>
    </row>
    <row r="739" spans="1:20">
      <c r="A739" s="2540"/>
      <c r="B739" s="2540"/>
      <c r="C739" s="2540"/>
      <c r="D739" s="2540"/>
      <c r="E739" s="2540"/>
      <c r="F739" s="2540"/>
      <c r="G739" s="2540"/>
      <c r="H739" s="2540"/>
      <c r="I739" s="2541"/>
      <c r="J739" s="2540"/>
      <c r="K739" s="2540"/>
      <c r="L739" s="2540"/>
      <c r="M739" s="2540"/>
      <c r="N739" s="2540"/>
      <c r="O739" s="2540"/>
      <c r="P739" s="2540"/>
      <c r="Q739" s="2540"/>
      <c r="R739" s="2540"/>
      <c r="S739" s="2540"/>
      <c r="T739" s="2540"/>
    </row>
    <row r="740" spans="1:20">
      <c r="A740" s="2540"/>
      <c r="B740" s="2540"/>
      <c r="C740" s="2540"/>
      <c r="D740" s="2540"/>
      <c r="E740" s="2540"/>
      <c r="F740" s="2540"/>
      <c r="G740" s="2540"/>
      <c r="H740" s="2540"/>
      <c r="I740" s="2541"/>
      <c r="J740" s="2540"/>
      <c r="K740" s="2540"/>
      <c r="L740" s="2540"/>
      <c r="M740" s="2540"/>
      <c r="N740" s="2540"/>
      <c r="O740" s="2540"/>
      <c r="P740" s="2540"/>
      <c r="Q740" s="2540"/>
      <c r="R740" s="2540"/>
      <c r="S740" s="2540"/>
      <c r="T740" s="2540"/>
    </row>
    <row r="741" spans="1:20">
      <c r="A741" s="2540"/>
      <c r="B741" s="2540"/>
      <c r="C741" s="2540"/>
      <c r="D741" s="2540"/>
      <c r="E741" s="2540"/>
      <c r="F741" s="2540"/>
      <c r="G741" s="2540"/>
      <c r="H741" s="2540"/>
      <c r="I741" s="2541"/>
      <c r="J741" s="2540"/>
      <c r="K741" s="2540"/>
      <c r="L741" s="2540"/>
      <c r="M741" s="2540"/>
      <c r="N741" s="2540"/>
      <c r="O741" s="2540"/>
      <c r="P741" s="2540"/>
      <c r="Q741" s="2540"/>
      <c r="R741" s="2540"/>
      <c r="S741" s="2540"/>
      <c r="T741" s="2540"/>
    </row>
    <row r="742" spans="1:20">
      <c r="A742" s="2540"/>
      <c r="B742" s="2540"/>
      <c r="C742" s="2540"/>
      <c r="D742" s="2540"/>
      <c r="E742" s="2540"/>
      <c r="F742" s="2540"/>
      <c r="G742" s="2540"/>
      <c r="H742" s="2540"/>
      <c r="I742" s="2541"/>
      <c r="J742" s="2540"/>
      <c r="K742" s="2540"/>
      <c r="L742" s="2540"/>
      <c r="M742" s="2540"/>
      <c r="N742" s="2540"/>
      <c r="O742" s="2540"/>
      <c r="P742" s="2540"/>
      <c r="Q742" s="2540"/>
      <c r="R742" s="2540"/>
      <c r="S742" s="2540"/>
      <c r="T742" s="2540"/>
    </row>
    <row r="743" spans="1:20">
      <c r="A743" s="2540"/>
      <c r="B743" s="2540"/>
      <c r="C743" s="2540"/>
      <c r="D743" s="2540"/>
      <c r="E743" s="2540"/>
      <c r="F743" s="2540"/>
      <c r="G743" s="2540"/>
      <c r="H743" s="2540"/>
      <c r="I743" s="2541"/>
      <c r="J743" s="2540"/>
      <c r="K743" s="2540"/>
      <c r="L743" s="2540"/>
      <c r="M743" s="2540"/>
      <c r="N743" s="2540"/>
      <c r="O743" s="2540"/>
      <c r="P743" s="2540"/>
      <c r="Q743" s="2540"/>
      <c r="R743" s="2540"/>
      <c r="S743" s="2540"/>
      <c r="T743" s="2540"/>
    </row>
    <row r="744" spans="1:20">
      <c r="A744" s="2540"/>
      <c r="B744" s="2540"/>
      <c r="C744" s="2540"/>
      <c r="D744" s="2540"/>
      <c r="E744" s="2540"/>
      <c r="F744" s="2540"/>
      <c r="G744" s="2540"/>
      <c r="H744" s="2540"/>
      <c r="I744" s="2541"/>
      <c r="J744" s="2540"/>
      <c r="K744" s="2540"/>
      <c r="L744" s="2540"/>
      <c r="M744" s="2540"/>
      <c r="N744" s="2540"/>
      <c r="O744" s="2540"/>
      <c r="P744" s="2540"/>
      <c r="Q744" s="2540"/>
      <c r="R744" s="2540"/>
      <c r="S744" s="2540"/>
      <c r="T744" s="2540"/>
    </row>
    <row r="745" spans="1:20">
      <c r="A745" s="2540"/>
      <c r="B745" s="2540"/>
      <c r="C745" s="2540"/>
      <c r="D745" s="2540"/>
      <c r="E745" s="2540"/>
      <c r="F745" s="2540"/>
      <c r="G745" s="2540"/>
      <c r="H745" s="2540"/>
      <c r="I745" s="2541"/>
      <c r="J745" s="2540"/>
      <c r="K745" s="2540"/>
      <c r="L745" s="2540"/>
      <c r="M745" s="2540"/>
      <c r="N745" s="2540"/>
      <c r="O745" s="2540"/>
      <c r="P745" s="2540"/>
      <c r="Q745" s="2540"/>
      <c r="R745" s="2540"/>
      <c r="S745" s="2540"/>
      <c r="T745" s="2540"/>
    </row>
    <row r="746" spans="1:20">
      <c r="A746" s="2540"/>
      <c r="B746" s="2540"/>
      <c r="C746" s="2540"/>
      <c r="D746" s="2540"/>
      <c r="E746" s="2540"/>
      <c r="F746" s="2540"/>
      <c r="G746" s="2540"/>
      <c r="H746" s="2540"/>
      <c r="I746" s="2541"/>
      <c r="J746" s="2540"/>
      <c r="K746" s="2540"/>
      <c r="L746" s="2540"/>
      <c r="M746" s="2540"/>
      <c r="N746" s="2540"/>
      <c r="O746" s="2540"/>
      <c r="P746" s="2540"/>
      <c r="Q746" s="2540"/>
      <c r="R746" s="2540"/>
      <c r="S746" s="2540"/>
      <c r="T746" s="2540"/>
    </row>
    <row r="747" spans="1:20">
      <c r="A747" s="2540"/>
      <c r="B747" s="2540"/>
      <c r="C747" s="2540"/>
      <c r="D747" s="2540"/>
      <c r="E747" s="2540"/>
      <c r="F747" s="2540"/>
      <c r="G747" s="2540"/>
      <c r="H747" s="2540"/>
      <c r="I747" s="2541"/>
      <c r="J747" s="2540"/>
      <c r="K747" s="2540"/>
      <c r="L747" s="2540"/>
      <c r="M747" s="2540"/>
      <c r="N747" s="2540"/>
      <c r="O747" s="2540"/>
      <c r="P747" s="2540"/>
      <c r="Q747" s="2540"/>
      <c r="R747" s="2540"/>
      <c r="S747" s="2540"/>
      <c r="T747" s="2540"/>
    </row>
    <row r="748" spans="1:20">
      <c r="A748" s="2540"/>
      <c r="B748" s="2540"/>
      <c r="C748" s="2540"/>
      <c r="D748" s="2540"/>
      <c r="E748" s="2540"/>
      <c r="F748" s="2540"/>
      <c r="G748" s="2540"/>
      <c r="H748" s="2540"/>
      <c r="I748" s="2541"/>
      <c r="J748" s="2540"/>
      <c r="K748" s="2540"/>
      <c r="L748" s="2540"/>
      <c r="M748" s="2540"/>
      <c r="N748" s="2540"/>
      <c r="O748" s="2540"/>
      <c r="P748" s="2540"/>
      <c r="Q748" s="2540"/>
      <c r="R748" s="2540"/>
      <c r="S748" s="2540"/>
      <c r="T748" s="2540"/>
    </row>
    <row r="749" spans="1:20">
      <c r="A749" s="2540"/>
      <c r="B749" s="2540"/>
      <c r="C749" s="2540"/>
      <c r="D749" s="2540"/>
      <c r="E749" s="2540"/>
      <c r="F749" s="2540"/>
      <c r="G749" s="2540"/>
      <c r="H749" s="2540"/>
      <c r="I749" s="2541"/>
      <c r="J749" s="2540"/>
      <c r="K749" s="2540"/>
      <c r="L749" s="2540"/>
      <c r="M749" s="2540"/>
      <c r="N749" s="2540"/>
      <c r="O749" s="2540"/>
      <c r="P749" s="2540"/>
      <c r="Q749" s="2540"/>
      <c r="R749" s="2540"/>
      <c r="S749" s="2540"/>
      <c r="T749" s="2540"/>
    </row>
    <row r="750" spans="1:20">
      <c r="A750" s="2540"/>
      <c r="B750" s="2540"/>
      <c r="C750" s="2540"/>
      <c r="D750" s="2540"/>
      <c r="E750" s="2540"/>
      <c r="F750" s="2540"/>
      <c r="G750" s="2540"/>
      <c r="H750" s="2540"/>
      <c r="I750" s="2541"/>
      <c r="J750" s="2540"/>
      <c r="K750" s="2540"/>
      <c r="L750" s="2540"/>
      <c r="M750" s="2540"/>
      <c r="N750" s="2540"/>
      <c r="O750" s="2540"/>
      <c r="P750" s="2540"/>
      <c r="Q750" s="2540"/>
      <c r="R750" s="2540"/>
      <c r="S750" s="2540"/>
      <c r="T750" s="2540"/>
    </row>
    <row r="751" spans="1:20">
      <c r="A751" s="2540"/>
      <c r="B751" s="2540"/>
      <c r="C751" s="2540"/>
      <c r="D751" s="2540"/>
      <c r="E751" s="2540"/>
      <c r="F751" s="2540"/>
      <c r="G751" s="2540"/>
      <c r="H751" s="2540"/>
      <c r="I751" s="2541"/>
      <c r="J751" s="2540"/>
      <c r="K751" s="2540"/>
      <c r="L751" s="2540"/>
      <c r="M751" s="2540"/>
      <c r="N751" s="2540"/>
      <c r="O751" s="2540"/>
      <c r="P751" s="2540"/>
      <c r="Q751" s="2540"/>
      <c r="R751" s="2540"/>
      <c r="S751" s="2540"/>
      <c r="T751" s="2540"/>
    </row>
    <row r="752" spans="1:20">
      <c r="A752" s="2540"/>
      <c r="B752" s="2540"/>
      <c r="C752" s="2540"/>
      <c r="D752" s="2540"/>
      <c r="E752" s="2540"/>
      <c r="F752" s="2540"/>
      <c r="G752" s="2540"/>
      <c r="H752" s="2540"/>
      <c r="I752" s="2541"/>
      <c r="J752" s="2540"/>
      <c r="K752" s="2540"/>
      <c r="L752" s="2540"/>
      <c r="M752" s="2540"/>
      <c r="N752" s="2540"/>
      <c r="O752" s="2540"/>
      <c r="P752" s="2540"/>
      <c r="Q752" s="2540"/>
      <c r="R752" s="2540"/>
      <c r="S752" s="2540"/>
      <c r="T752" s="2540"/>
    </row>
    <row r="753" spans="1:20">
      <c r="A753" s="2540"/>
      <c r="B753" s="2540"/>
      <c r="C753" s="2540"/>
      <c r="D753" s="2540"/>
      <c r="E753" s="2540"/>
      <c r="F753" s="2540"/>
      <c r="G753" s="2540"/>
      <c r="H753" s="2540"/>
      <c r="I753" s="2541"/>
      <c r="J753" s="2540"/>
      <c r="K753" s="2540"/>
      <c r="L753" s="2540"/>
      <c r="M753" s="2540"/>
      <c r="N753" s="2540"/>
      <c r="O753" s="2540"/>
      <c r="P753" s="2540"/>
      <c r="Q753" s="2540"/>
      <c r="R753" s="2540"/>
      <c r="S753" s="2540"/>
      <c r="T753" s="2540"/>
    </row>
    <row r="754" spans="1:20">
      <c r="A754" s="2540"/>
      <c r="B754" s="2540"/>
      <c r="C754" s="2540"/>
      <c r="D754" s="2540"/>
      <c r="E754" s="2540"/>
      <c r="F754" s="2540"/>
      <c r="G754" s="2540"/>
      <c r="H754" s="2540"/>
      <c r="I754" s="2541"/>
      <c r="J754" s="2540"/>
      <c r="K754" s="2540"/>
      <c r="L754" s="2540"/>
      <c r="M754" s="2540"/>
      <c r="N754" s="2540"/>
      <c r="O754" s="2540"/>
      <c r="P754" s="2540"/>
      <c r="Q754" s="2540"/>
      <c r="R754" s="2540"/>
      <c r="S754" s="2540"/>
      <c r="T754" s="2540"/>
    </row>
    <row r="755" spans="1:20">
      <c r="A755" s="2540"/>
      <c r="B755" s="2540"/>
      <c r="C755" s="2540"/>
      <c r="D755" s="2540"/>
      <c r="E755" s="2540"/>
      <c r="F755" s="2540"/>
      <c r="G755" s="2540"/>
      <c r="H755" s="2540"/>
      <c r="I755" s="2541"/>
      <c r="J755" s="2540"/>
      <c r="K755" s="2540"/>
      <c r="L755" s="2540"/>
      <c r="M755" s="2540"/>
      <c r="N755" s="2540"/>
      <c r="O755" s="2540"/>
      <c r="P755" s="2540"/>
      <c r="Q755" s="2540"/>
      <c r="R755" s="2540"/>
      <c r="S755" s="2540"/>
      <c r="T755" s="2540"/>
    </row>
    <row r="756" spans="1:20">
      <c r="A756" s="2540"/>
      <c r="B756" s="2540"/>
      <c r="C756" s="2540"/>
      <c r="D756" s="2540"/>
      <c r="E756" s="2540"/>
      <c r="F756" s="2540"/>
      <c r="G756" s="2540"/>
      <c r="H756" s="2540"/>
      <c r="I756" s="2541"/>
      <c r="J756" s="2540"/>
      <c r="K756" s="2540"/>
      <c r="L756" s="2540"/>
      <c r="M756" s="2540"/>
      <c r="N756" s="2540"/>
      <c r="O756" s="2540"/>
      <c r="P756" s="2540"/>
      <c r="Q756" s="2540"/>
      <c r="R756" s="2540"/>
      <c r="S756" s="2540"/>
      <c r="T756" s="2540"/>
    </row>
    <row r="757" spans="1:20">
      <c r="A757" s="2540"/>
      <c r="B757" s="2540"/>
      <c r="C757" s="2540"/>
      <c r="D757" s="2540"/>
      <c r="E757" s="2540"/>
      <c r="F757" s="2540"/>
      <c r="G757" s="2540"/>
      <c r="H757" s="2540"/>
      <c r="I757" s="2541"/>
      <c r="J757" s="2540"/>
      <c r="K757" s="2540"/>
      <c r="L757" s="2540"/>
      <c r="M757" s="2540"/>
      <c r="N757" s="2540"/>
      <c r="O757" s="2540"/>
      <c r="P757" s="2540"/>
      <c r="Q757" s="2540"/>
      <c r="R757" s="2540"/>
      <c r="S757" s="2540"/>
      <c r="T757" s="2540"/>
    </row>
    <row r="758" spans="1:20">
      <c r="A758" s="2540"/>
      <c r="B758" s="2540"/>
      <c r="C758" s="2540"/>
      <c r="D758" s="2540"/>
      <c r="E758" s="2540"/>
      <c r="F758" s="2540"/>
      <c r="G758" s="2540"/>
      <c r="H758" s="2540"/>
      <c r="I758" s="2541"/>
      <c r="J758" s="2540"/>
      <c r="K758" s="2540"/>
      <c r="L758" s="2540"/>
      <c r="M758" s="2540"/>
      <c r="N758" s="2540"/>
      <c r="O758" s="2540"/>
      <c r="P758" s="2540"/>
      <c r="Q758" s="2540"/>
      <c r="R758" s="2540"/>
      <c r="S758" s="2540"/>
      <c r="T758" s="2540"/>
    </row>
    <row r="759" spans="1:20">
      <c r="A759" s="2540"/>
      <c r="B759" s="2540"/>
      <c r="C759" s="2540"/>
      <c r="D759" s="2540"/>
      <c r="E759" s="2540"/>
      <c r="F759" s="2540"/>
      <c r="G759" s="2540"/>
      <c r="H759" s="2540"/>
      <c r="I759" s="2541"/>
      <c r="J759" s="2540"/>
      <c r="K759" s="2540"/>
      <c r="L759" s="2540"/>
      <c r="M759" s="2540"/>
      <c r="N759" s="2540"/>
      <c r="O759" s="2540"/>
      <c r="P759" s="2540"/>
      <c r="Q759" s="2540"/>
      <c r="R759" s="2540"/>
      <c r="S759" s="2540"/>
      <c r="T759" s="2540"/>
    </row>
    <row r="760" spans="1:20">
      <c r="A760" s="2540"/>
      <c r="B760" s="2540"/>
      <c r="C760" s="2540"/>
      <c r="D760" s="2540"/>
      <c r="E760" s="2540"/>
      <c r="F760" s="2540"/>
      <c r="G760" s="2540"/>
      <c r="H760" s="2540"/>
      <c r="I760" s="2541"/>
      <c r="J760" s="2540"/>
      <c r="K760" s="2540"/>
      <c r="L760" s="2540"/>
      <c r="M760" s="2540"/>
      <c r="N760" s="2540"/>
      <c r="O760" s="2540"/>
      <c r="P760" s="2540"/>
      <c r="Q760" s="2540"/>
      <c r="R760" s="2540"/>
      <c r="S760" s="2540"/>
      <c r="T760" s="2540"/>
    </row>
    <row r="761" spans="1:20">
      <c r="A761" s="2540"/>
      <c r="B761" s="2540"/>
      <c r="C761" s="2540"/>
      <c r="D761" s="2540"/>
      <c r="E761" s="2540"/>
      <c r="F761" s="2540"/>
      <c r="G761" s="2540"/>
      <c r="H761" s="2540"/>
      <c r="I761" s="2541"/>
      <c r="J761" s="2540"/>
      <c r="K761" s="2540"/>
      <c r="L761" s="2540"/>
      <c r="M761" s="2540"/>
      <c r="N761" s="2540"/>
      <c r="O761" s="2540"/>
      <c r="P761" s="2540"/>
      <c r="Q761" s="2540"/>
      <c r="R761" s="2540"/>
      <c r="S761" s="2540"/>
      <c r="T761" s="2540"/>
    </row>
    <row r="762" spans="1:20">
      <c r="A762" s="2540"/>
      <c r="B762" s="2540"/>
      <c r="C762" s="2540"/>
      <c r="D762" s="2540"/>
      <c r="E762" s="2540"/>
      <c r="F762" s="2540"/>
      <c r="G762" s="2540"/>
      <c r="H762" s="2540"/>
      <c r="I762" s="2541"/>
      <c r="J762" s="2540"/>
      <c r="K762" s="2540"/>
      <c r="L762" s="2540"/>
      <c r="M762" s="2540"/>
      <c r="N762" s="2540"/>
      <c r="O762" s="2540"/>
      <c r="P762" s="2540"/>
      <c r="Q762" s="2540"/>
      <c r="R762" s="2540"/>
      <c r="S762" s="2540"/>
      <c r="T762" s="2540"/>
    </row>
    <row r="763" spans="1:20">
      <c r="A763" s="2540"/>
      <c r="B763" s="2540"/>
      <c r="C763" s="2540"/>
      <c r="D763" s="2540"/>
      <c r="E763" s="2540"/>
      <c r="F763" s="2540"/>
      <c r="G763" s="2540"/>
      <c r="H763" s="2540"/>
      <c r="I763" s="2541"/>
      <c r="J763" s="2540"/>
      <c r="K763" s="2540"/>
      <c r="L763" s="2540"/>
      <c r="M763" s="2540"/>
      <c r="N763" s="2540"/>
      <c r="O763" s="2540"/>
      <c r="P763" s="2540"/>
      <c r="Q763" s="2540"/>
      <c r="R763" s="2540"/>
      <c r="S763" s="2540"/>
      <c r="T763" s="2540"/>
    </row>
    <row r="764" spans="1:20">
      <c r="A764" s="2540"/>
      <c r="B764" s="2540"/>
      <c r="C764" s="2540"/>
      <c r="D764" s="2540"/>
      <c r="E764" s="2540"/>
      <c r="F764" s="2540"/>
      <c r="G764" s="2540"/>
      <c r="H764" s="2540"/>
      <c r="I764" s="2541"/>
      <c r="J764" s="2540"/>
      <c r="K764" s="2540"/>
      <c r="L764" s="2540"/>
      <c r="M764" s="2540"/>
      <c r="N764" s="2540"/>
      <c r="O764" s="2540"/>
      <c r="P764" s="2540"/>
      <c r="Q764" s="2540"/>
      <c r="R764" s="2540"/>
      <c r="S764" s="2540"/>
      <c r="T764" s="2540"/>
    </row>
    <row r="765" spans="1:20">
      <c r="A765" s="2540"/>
      <c r="B765" s="2540"/>
      <c r="C765" s="2540"/>
      <c r="D765" s="2540"/>
      <c r="E765" s="2540"/>
      <c r="F765" s="2540"/>
      <c r="G765" s="2540"/>
      <c r="H765" s="2540"/>
      <c r="I765" s="2541"/>
      <c r="J765" s="2540"/>
      <c r="K765" s="2540"/>
      <c r="L765" s="2540"/>
      <c r="M765" s="2540"/>
      <c r="N765" s="2540"/>
      <c r="O765" s="2540"/>
      <c r="P765" s="2540"/>
      <c r="Q765" s="2540"/>
      <c r="R765" s="2540"/>
      <c r="S765" s="2540"/>
      <c r="T765" s="2540"/>
    </row>
    <row r="766" spans="1:20">
      <c r="A766" s="2540"/>
      <c r="B766" s="2540"/>
      <c r="C766" s="2540"/>
      <c r="D766" s="2540"/>
      <c r="E766" s="2540"/>
      <c r="F766" s="2540"/>
      <c r="G766" s="2540"/>
      <c r="H766" s="2540"/>
      <c r="I766" s="2541"/>
      <c r="J766" s="2540"/>
      <c r="K766" s="2540"/>
      <c r="L766" s="2540"/>
      <c r="M766" s="2540"/>
      <c r="N766" s="2540"/>
      <c r="O766" s="2540"/>
      <c r="P766" s="2540"/>
      <c r="Q766" s="2540"/>
      <c r="R766" s="2540"/>
      <c r="S766" s="2540"/>
      <c r="T766" s="2540"/>
    </row>
    <row r="767" spans="1:20">
      <c r="A767" s="2540"/>
      <c r="B767" s="2540"/>
      <c r="C767" s="2540"/>
      <c r="D767" s="2540"/>
      <c r="E767" s="2540"/>
      <c r="F767" s="2540"/>
      <c r="G767" s="2540"/>
      <c r="H767" s="2540"/>
      <c r="I767" s="2541"/>
      <c r="J767" s="2540"/>
      <c r="K767" s="2540"/>
      <c r="L767" s="2540"/>
      <c r="M767" s="2540"/>
      <c r="N767" s="2540"/>
      <c r="O767" s="2540"/>
      <c r="P767" s="2540"/>
      <c r="Q767" s="2540"/>
      <c r="R767" s="2540"/>
      <c r="S767" s="2540"/>
      <c r="T767" s="2540"/>
    </row>
    <row r="768" spans="1:20">
      <c r="A768" s="2540"/>
      <c r="B768" s="2540"/>
      <c r="C768" s="2540"/>
      <c r="D768" s="2540"/>
      <c r="E768" s="2540"/>
      <c r="F768" s="2540"/>
      <c r="G768" s="2540"/>
      <c r="H768" s="2540"/>
      <c r="I768" s="2541"/>
      <c r="J768" s="2540"/>
      <c r="K768" s="2540"/>
      <c r="L768" s="2540"/>
      <c r="M768" s="2540"/>
      <c r="N768" s="2540"/>
      <c r="O768" s="2540"/>
      <c r="P768" s="2540"/>
      <c r="Q768" s="2540"/>
      <c r="R768" s="2540"/>
      <c r="S768" s="2540"/>
      <c r="T768" s="2540"/>
    </row>
    <row r="769" spans="1:20">
      <c r="A769" s="2540"/>
      <c r="B769" s="2540"/>
      <c r="C769" s="2540"/>
      <c r="D769" s="2540"/>
      <c r="E769" s="2540"/>
      <c r="F769" s="2540"/>
      <c r="G769" s="2540"/>
      <c r="H769" s="2540"/>
      <c r="I769" s="2541"/>
      <c r="J769" s="2540"/>
      <c r="K769" s="2540"/>
      <c r="L769" s="2540"/>
      <c r="M769" s="2540"/>
      <c r="N769" s="2540"/>
      <c r="O769" s="2540"/>
      <c r="P769" s="2540"/>
      <c r="Q769" s="2540"/>
      <c r="R769" s="2540"/>
      <c r="S769" s="2540"/>
      <c r="T769" s="2540"/>
    </row>
    <row r="770" spans="1:20">
      <c r="A770" s="2540"/>
      <c r="B770" s="2540"/>
      <c r="C770" s="2540"/>
      <c r="D770" s="2540"/>
      <c r="E770" s="2540"/>
      <c r="F770" s="2540"/>
      <c r="G770" s="2540"/>
      <c r="H770" s="2540"/>
      <c r="I770" s="2541"/>
      <c r="J770" s="2540"/>
      <c r="K770" s="2540"/>
      <c r="L770" s="2540"/>
      <c r="M770" s="2540"/>
      <c r="N770" s="2540"/>
      <c r="O770" s="2540"/>
      <c r="P770" s="2540"/>
      <c r="Q770" s="2540"/>
      <c r="R770" s="2540"/>
      <c r="S770" s="2540"/>
      <c r="T770" s="2540"/>
    </row>
    <row r="771" spans="1:20">
      <c r="A771" s="2540"/>
      <c r="B771" s="2540"/>
      <c r="C771" s="2540"/>
      <c r="D771" s="2540"/>
      <c r="E771" s="2540"/>
      <c r="F771" s="2540"/>
      <c r="G771" s="2540"/>
      <c r="H771" s="2540"/>
      <c r="I771" s="2541"/>
      <c r="J771" s="2540"/>
      <c r="K771" s="2540"/>
      <c r="L771" s="2540"/>
      <c r="M771" s="2540"/>
      <c r="N771" s="2540"/>
      <c r="O771" s="2540"/>
      <c r="P771" s="2540"/>
      <c r="Q771" s="2540"/>
      <c r="R771" s="2540"/>
      <c r="S771" s="2540"/>
      <c r="T771" s="2540"/>
    </row>
    <row r="772" spans="1:20">
      <c r="A772" s="2540"/>
      <c r="B772" s="2540"/>
      <c r="C772" s="2540"/>
      <c r="D772" s="2540"/>
      <c r="E772" s="2540"/>
      <c r="F772" s="2540"/>
      <c r="G772" s="2540"/>
      <c r="H772" s="2540"/>
      <c r="I772" s="2541"/>
      <c r="J772" s="2540"/>
      <c r="K772" s="2540"/>
      <c r="L772" s="2540"/>
      <c r="M772" s="2540"/>
      <c r="N772" s="2540"/>
      <c r="O772" s="2540"/>
      <c r="P772" s="2540"/>
      <c r="Q772" s="2540"/>
      <c r="R772" s="2540"/>
      <c r="S772" s="2540"/>
      <c r="T772" s="2540"/>
    </row>
    <row r="773" spans="1:20">
      <c r="A773" s="2540"/>
      <c r="B773" s="2540"/>
      <c r="C773" s="2540"/>
      <c r="D773" s="2540"/>
      <c r="E773" s="2540"/>
      <c r="F773" s="2540"/>
      <c r="G773" s="2540"/>
      <c r="H773" s="2540"/>
      <c r="I773" s="2541"/>
      <c r="J773" s="2540"/>
      <c r="K773" s="2540"/>
      <c r="L773" s="2540"/>
      <c r="M773" s="2540"/>
      <c r="N773" s="2540"/>
      <c r="O773" s="2540"/>
      <c r="P773" s="2540"/>
      <c r="Q773" s="2540"/>
      <c r="R773" s="2540"/>
      <c r="S773" s="2540"/>
      <c r="T773" s="2540"/>
    </row>
    <row r="774" spans="1:20">
      <c r="A774" s="2540"/>
      <c r="B774" s="2540"/>
      <c r="C774" s="2540"/>
      <c r="D774" s="2540"/>
      <c r="E774" s="2540"/>
      <c r="F774" s="2540"/>
      <c r="G774" s="2540"/>
      <c r="H774" s="2540"/>
      <c r="I774" s="2541"/>
      <c r="J774" s="2540"/>
      <c r="K774" s="2540"/>
      <c r="L774" s="2540"/>
      <c r="M774" s="2540"/>
      <c r="N774" s="2540"/>
      <c r="O774" s="2540"/>
      <c r="P774" s="2540"/>
      <c r="Q774" s="2540"/>
      <c r="R774" s="2540"/>
      <c r="S774" s="2540"/>
      <c r="T774" s="2540"/>
    </row>
    <row r="775" spans="1:20">
      <c r="A775" s="2540"/>
      <c r="B775" s="2540"/>
      <c r="C775" s="2540"/>
      <c r="D775" s="2540"/>
      <c r="E775" s="2540"/>
      <c r="F775" s="2540"/>
      <c r="G775" s="2540"/>
      <c r="H775" s="2540"/>
      <c r="I775" s="2541"/>
      <c r="J775" s="2540"/>
      <c r="K775" s="2540"/>
      <c r="L775" s="2540"/>
      <c r="M775" s="2540"/>
      <c r="N775" s="2540"/>
      <c r="O775" s="2540"/>
      <c r="P775" s="2540"/>
      <c r="Q775" s="2540"/>
      <c r="R775" s="2540"/>
      <c r="S775" s="2540"/>
      <c r="T775" s="2540"/>
    </row>
    <row r="776" spans="1:20">
      <c r="A776" s="2540"/>
      <c r="B776" s="2540"/>
      <c r="C776" s="2540"/>
      <c r="D776" s="2540"/>
      <c r="E776" s="2540"/>
      <c r="F776" s="2540"/>
      <c r="G776" s="2540"/>
      <c r="H776" s="2540"/>
      <c r="I776" s="2541"/>
      <c r="J776" s="2540"/>
      <c r="K776" s="2540"/>
      <c r="L776" s="2540"/>
      <c r="M776" s="2540"/>
      <c r="N776" s="2540"/>
      <c r="O776" s="2540"/>
      <c r="P776" s="2540"/>
      <c r="Q776" s="2540"/>
      <c r="R776" s="2540"/>
      <c r="S776" s="2540"/>
      <c r="T776" s="2540"/>
    </row>
    <row r="777" spans="1:20">
      <c r="A777" s="2540"/>
      <c r="B777" s="2540"/>
      <c r="C777" s="2540"/>
      <c r="D777" s="2540"/>
      <c r="E777" s="2540"/>
      <c r="F777" s="2540"/>
      <c r="G777" s="2540"/>
      <c r="H777" s="2540"/>
      <c r="I777" s="2541"/>
      <c r="J777" s="2540"/>
      <c r="K777" s="2540"/>
      <c r="L777" s="2540"/>
      <c r="M777" s="2540"/>
      <c r="N777" s="2540"/>
      <c r="O777" s="2540"/>
      <c r="P777" s="2540"/>
      <c r="Q777" s="2540"/>
      <c r="R777" s="2540"/>
      <c r="S777" s="2540"/>
      <c r="T777" s="2540"/>
    </row>
    <row r="778" spans="1:20">
      <c r="A778" s="2540"/>
      <c r="B778" s="2540"/>
      <c r="C778" s="2540"/>
      <c r="D778" s="2540"/>
      <c r="E778" s="2540"/>
      <c r="F778" s="2540"/>
      <c r="G778" s="2540"/>
      <c r="H778" s="2540"/>
      <c r="I778" s="2541"/>
      <c r="J778" s="2540"/>
      <c r="K778" s="2540"/>
      <c r="L778" s="2540"/>
      <c r="M778" s="2540"/>
      <c r="N778" s="2540"/>
      <c r="O778" s="2540"/>
      <c r="P778" s="2540"/>
      <c r="Q778" s="2540"/>
      <c r="R778" s="2540"/>
      <c r="S778" s="2540"/>
      <c r="T778" s="2540"/>
    </row>
    <row r="779" spans="1:20">
      <c r="A779" s="2540"/>
      <c r="B779" s="2540"/>
      <c r="C779" s="2540"/>
      <c r="D779" s="2540"/>
      <c r="E779" s="2540"/>
      <c r="F779" s="2540"/>
      <c r="G779" s="2540"/>
      <c r="H779" s="2540"/>
      <c r="I779" s="2541"/>
      <c r="J779" s="2540"/>
      <c r="K779" s="2540"/>
      <c r="L779" s="2540"/>
      <c r="M779" s="2540"/>
      <c r="N779" s="2540"/>
      <c r="O779" s="2540"/>
      <c r="P779" s="2540"/>
      <c r="Q779" s="2540"/>
      <c r="R779" s="2540"/>
      <c r="S779" s="2540"/>
      <c r="T779" s="2540"/>
    </row>
    <row r="780" spans="1:20">
      <c r="A780" s="2540"/>
      <c r="B780" s="2540"/>
      <c r="C780" s="2540"/>
      <c r="D780" s="2540"/>
      <c r="E780" s="2540"/>
      <c r="F780" s="2540"/>
      <c r="G780" s="2540"/>
      <c r="H780" s="2540"/>
      <c r="I780" s="2541"/>
      <c r="J780" s="2540"/>
      <c r="K780" s="2540"/>
      <c r="L780" s="2540"/>
      <c r="M780" s="2540"/>
      <c r="N780" s="2540"/>
      <c r="O780" s="2540"/>
      <c r="P780" s="2540"/>
      <c r="Q780" s="2540"/>
      <c r="R780" s="2540"/>
      <c r="S780" s="2540"/>
      <c r="T780" s="2540"/>
    </row>
    <row r="781" spans="1:20">
      <c r="A781" s="2540"/>
      <c r="B781" s="2540"/>
      <c r="C781" s="2540"/>
      <c r="D781" s="2540"/>
      <c r="E781" s="2540"/>
      <c r="F781" s="2540"/>
      <c r="G781" s="2540"/>
      <c r="H781" s="2540"/>
      <c r="I781" s="2541"/>
      <c r="J781" s="2540"/>
      <c r="K781" s="2540"/>
      <c r="L781" s="2540"/>
      <c r="M781" s="2540"/>
      <c r="N781" s="2540"/>
      <c r="O781" s="2540"/>
      <c r="P781" s="2540"/>
      <c r="Q781" s="2540"/>
      <c r="R781" s="2540"/>
      <c r="S781" s="2540"/>
      <c r="T781" s="2540"/>
    </row>
    <row r="782" spans="1:20">
      <c r="A782" s="2540"/>
      <c r="B782" s="2540"/>
      <c r="C782" s="2540"/>
      <c r="D782" s="2540"/>
      <c r="E782" s="2540"/>
      <c r="F782" s="2540"/>
      <c r="G782" s="2540"/>
      <c r="H782" s="2540"/>
      <c r="I782" s="2541"/>
      <c r="J782" s="2540"/>
      <c r="K782" s="2540"/>
      <c r="L782" s="2540"/>
      <c r="M782" s="2540"/>
      <c r="N782" s="2540"/>
      <c r="O782" s="2540"/>
      <c r="P782" s="2540"/>
      <c r="Q782" s="2540"/>
      <c r="R782" s="2540"/>
      <c r="S782" s="2540"/>
      <c r="T782" s="2540"/>
    </row>
    <row r="783" spans="1:20">
      <c r="A783" s="2540"/>
      <c r="B783" s="2540"/>
      <c r="C783" s="2540"/>
      <c r="D783" s="2540"/>
      <c r="E783" s="2540"/>
      <c r="F783" s="2540"/>
      <c r="G783" s="2540"/>
      <c r="H783" s="2540"/>
      <c r="I783" s="2541"/>
      <c r="J783" s="2540"/>
      <c r="K783" s="2540"/>
      <c r="L783" s="2540"/>
      <c r="M783" s="2540"/>
      <c r="N783" s="2540"/>
      <c r="O783" s="2540"/>
      <c r="P783" s="2540"/>
      <c r="Q783" s="2540"/>
      <c r="R783" s="2540"/>
      <c r="S783" s="2540"/>
      <c r="T783" s="2540"/>
    </row>
    <row r="784" spans="1:20">
      <c r="A784" s="2540"/>
      <c r="B784" s="2540"/>
      <c r="C784" s="2540"/>
      <c r="D784" s="2540"/>
      <c r="E784" s="2540"/>
      <c r="F784" s="2540"/>
      <c r="G784" s="2540"/>
      <c r="H784" s="2540"/>
      <c r="I784" s="2541"/>
      <c r="J784" s="2540"/>
      <c r="K784" s="2540"/>
      <c r="L784" s="2540"/>
      <c r="M784" s="2540"/>
      <c r="N784" s="2540"/>
      <c r="O784" s="2540"/>
      <c r="P784" s="2540"/>
      <c r="Q784" s="2540"/>
      <c r="R784" s="2540"/>
      <c r="S784" s="2540"/>
      <c r="T784" s="2540"/>
    </row>
    <row r="785" spans="1:20">
      <c r="A785" s="2540"/>
      <c r="B785" s="2540"/>
      <c r="C785" s="2540"/>
      <c r="D785" s="2540"/>
      <c r="E785" s="2540"/>
      <c r="F785" s="2540"/>
      <c r="G785" s="2540"/>
      <c r="H785" s="2540"/>
      <c r="I785" s="2541"/>
      <c r="J785" s="2540"/>
      <c r="K785" s="2540"/>
      <c r="L785" s="2540"/>
      <c r="M785" s="2540"/>
      <c r="N785" s="2540"/>
      <c r="O785" s="2540"/>
      <c r="P785" s="2540"/>
      <c r="Q785" s="2540"/>
      <c r="R785" s="2540"/>
      <c r="S785" s="2540"/>
      <c r="T785" s="2540"/>
    </row>
    <row r="786" spans="1:20">
      <c r="A786" s="2540"/>
      <c r="B786" s="2540"/>
      <c r="C786" s="2540"/>
      <c r="D786" s="2540"/>
      <c r="E786" s="2540"/>
      <c r="F786" s="2540"/>
      <c r="G786" s="2540"/>
      <c r="H786" s="2540"/>
      <c r="I786" s="2541"/>
      <c r="J786" s="2540"/>
      <c r="K786" s="2540"/>
      <c r="L786" s="2540"/>
      <c r="M786" s="2540"/>
      <c r="N786" s="2540"/>
      <c r="O786" s="2540"/>
      <c r="P786" s="2540"/>
      <c r="Q786" s="2540"/>
      <c r="R786" s="2540"/>
      <c r="S786" s="2540"/>
      <c r="T786" s="2540"/>
    </row>
    <row r="787" spans="1:20">
      <c r="A787" s="2540"/>
      <c r="B787" s="2540"/>
      <c r="C787" s="2540"/>
      <c r="D787" s="2540"/>
      <c r="E787" s="2540"/>
      <c r="F787" s="2540"/>
      <c r="G787" s="2540"/>
      <c r="H787" s="2540"/>
      <c r="I787" s="2541"/>
      <c r="J787" s="2540"/>
      <c r="K787" s="2540"/>
      <c r="L787" s="2540"/>
      <c r="M787" s="2540"/>
      <c r="N787" s="2540"/>
      <c r="O787" s="2540"/>
      <c r="P787" s="2540"/>
      <c r="Q787" s="2540"/>
      <c r="R787" s="2540"/>
      <c r="S787" s="2540"/>
      <c r="T787" s="2540"/>
    </row>
    <row r="788" spans="1:20">
      <c r="A788" s="2540"/>
      <c r="B788" s="2540"/>
      <c r="C788" s="2540"/>
      <c r="D788" s="2540"/>
      <c r="E788" s="2540"/>
      <c r="F788" s="2540"/>
      <c r="G788" s="2540"/>
      <c r="H788" s="2540"/>
      <c r="I788" s="2541"/>
      <c r="J788" s="2540"/>
      <c r="K788" s="2540"/>
      <c r="L788" s="2540"/>
      <c r="M788" s="2540"/>
      <c r="N788" s="2540"/>
      <c r="O788" s="2540"/>
      <c r="P788" s="2540"/>
      <c r="Q788" s="2540"/>
      <c r="R788" s="2540"/>
      <c r="S788" s="2540"/>
      <c r="T788" s="2540"/>
    </row>
    <row r="789" spans="1:20">
      <c r="A789" s="2540"/>
      <c r="B789" s="2540"/>
      <c r="C789" s="2540"/>
      <c r="D789" s="2540"/>
      <c r="E789" s="2540"/>
      <c r="F789" s="2540"/>
      <c r="G789" s="2540"/>
      <c r="H789" s="2540"/>
      <c r="I789" s="2541"/>
      <c r="J789" s="2540"/>
      <c r="K789" s="2540"/>
      <c r="L789" s="2540"/>
      <c r="M789" s="2540"/>
      <c r="N789" s="2540"/>
      <c r="O789" s="2540"/>
      <c r="P789" s="2540"/>
      <c r="Q789" s="2540"/>
      <c r="R789" s="2540"/>
      <c r="S789" s="2540"/>
      <c r="T789" s="2540"/>
    </row>
    <row r="790" spans="1:20">
      <c r="A790" s="2540"/>
      <c r="B790" s="2540"/>
      <c r="C790" s="2540"/>
      <c r="D790" s="2540"/>
      <c r="E790" s="2540"/>
      <c r="F790" s="2540"/>
      <c r="G790" s="2540"/>
      <c r="H790" s="2540"/>
      <c r="I790" s="2541"/>
      <c r="J790" s="2540"/>
      <c r="K790" s="2540"/>
      <c r="L790" s="2540"/>
      <c r="M790" s="2540"/>
      <c r="N790" s="2540"/>
      <c r="O790" s="2540"/>
      <c r="P790" s="2540"/>
      <c r="Q790" s="2540"/>
      <c r="R790" s="2540"/>
      <c r="S790" s="2540"/>
      <c r="T790" s="2540"/>
    </row>
    <row r="791" spans="1:20">
      <c r="A791" s="2540"/>
      <c r="B791" s="2540"/>
      <c r="C791" s="2540"/>
      <c r="D791" s="2540"/>
      <c r="E791" s="2540"/>
      <c r="F791" s="2540"/>
      <c r="G791" s="2540"/>
      <c r="H791" s="2540"/>
      <c r="I791" s="2541"/>
      <c r="J791" s="2540"/>
      <c r="K791" s="2540"/>
      <c r="L791" s="2540"/>
      <c r="M791" s="2540"/>
      <c r="N791" s="2540"/>
      <c r="O791" s="2540"/>
      <c r="P791" s="2540"/>
      <c r="Q791" s="2540"/>
      <c r="R791" s="2540"/>
      <c r="S791" s="2540"/>
      <c r="T791" s="2540"/>
    </row>
    <row r="792" spans="1:20">
      <c r="A792" s="2540"/>
      <c r="B792" s="2540"/>
      <c r="C792" s="2540"/>
      <c r="D792" s="2540"/>
      <c r="E792" s="2540"/>
      <c r="F792" s="2540"/>
      <c r="G792" s="2540"/>
      <c r="H792" s="2540"/>
      <c r="I792" s="2541"/>
      <c r="J792" s="2540"/>
      <c r="K792" s="2540"/>
      <c r="L792" s="2540"/>
      <c r="M792" s="2540"/>
      <c r="N792" s="2540"/>
      <c r="O792" s="2540"/>
      <c r="P792" s="2540"/>
      <c r="Q792" s="2540"/>
      <c r="R792" s="2540"/>
      <c r="S792" s="2540"/>
      <c r="T792" s="2540"/>
    </row>
    <row r="793" spans="1:20">
      <c r="A793" s="2540"/>
      <c r="B793" s="2540"/>
      <c r="C793" s="2540"/>
      <c r="D793" s="2540"/>
      <c r="E793" s="2540"/>
      <c r="F793" s="2540"/>
      <c r="G793" s="2540"/>
      <c r="H793" s="2540"/>
      <c r="I793" s="2541"/>
      <c r="J793" s="2540"/>
      <c r="K793" s="2540"/>
      <c r="L793" s="2540"/>
      <c r="M793" s="2540"/>
      <c r="N793" s="2540"/>
      <c r="O793" s="2540"/>
      <c r="P793" s="2540"/>
      <c r="Q793" s="2540"/>
      <c r="R793" s="2540"/>
      <c r="S793" s="2540"/>
      <c r="T793" s="2540"/>
    </row>
    <row r="794" spans="1:20">
      <c r="A794" s="2540"/>
      <c r="B794" s="2540"/>
      <c r="C794" s="2540"/>
      <c r="D794" s="2540"/>
      <c r="E794" s="2540"/>
      <c r="F794" s="2540"/>
      <c r="G794" s="2540"/>
      <c r="H794" s="2540"/>
      <c r="I794" s="2541"/>
      <c r="J794" s="2540"/>
      <c r="K794" s="2540"/>
      <c r="L794" s="2540"/>
      <c r="M794" s="2540"/>
      <c r="N794" s="2540"/>
      <c r="O794" s="2540"/>
      <c r="P794" s="2540"/>
      <c r="Q794" s="2540"/>
      <c r="R794" s="2540"/>
      <c r="S794" s="2540"/>
      <c r="T794" s="2540"/>
    </row>
    <row r="795" spans="1:20">
      <c r="A795" s="2540"/>
      <c r="B795" s="2540"/>
      <c r="C795" s="2540"/>
      <c r="D795" s="2540"/>
      <c r="E795" s="2540"/>
      <c r="F795" s="2540"/>
      <c r="G795" s="2540"/>
      <c r="H795" s="2540"/>
      <c r="I795" s="2541"/>
      <c r="J795" s="2540"/>
      <c r="K795" s="2540"/>
      <c r="L795" s="2540"/>
      <c r="M795" s="2540"/>
      <c r="N795" s="2540"/>
      <c r="O795" s="2540"/>
      <c r="P795" s="2540"/>
      <c r="Q795" s="2540"/>
      <c r="R795" s="2540"/>
      <c r="S795" s="2540"/>
      <c r="T795" s="2540"/>
    </row>
    <row r="796" spans="1:20">
      <c r="A796" s="2540"/>
      <c r="B796" s="2540"/>
      <c r="C796" s="2540"/>
      <c r="D796" s="2540"/>
      <c r="E796" s="2540"/>
      <c r="F796" s="2540"/>
      <c r="G796" s="2540"/>
      <c r="H796" s="2540"/>
      <c r="I796" s="2541"/>
      <c r="J796" s="2540"/>
      <c r="K796" s="2540"/>
      <c r="L796" s="2540"/>
      <c r="M796" s="2540"/>
      <c r="N796" s="2540"/>
      <c r="O796" s="2540"/>
      <c r="P796" s="2540"/>
      <c r="Q796" s="2540"/>
      <c r="R796" s="2540"/>
      <c r="S796" s="2540"/>
      <c r="T796" s="2540"/>
    </row>
    <row r="797" spans="1:20">
      <c r="A797" s="2540"/>
      <c r="B797" s="2540"/>
      <c r="C797" s="2540"/>
      <c r="D797" s="2540"/>
      <c r="E797" s="2540"/>
      <c r="F797" s="2540"/>
      <c r="G797" s="2540"/>
      <c r="H797" s="2540"/>
      <c r="I797" s="2541"/>
      <c r="J797" s="2540"/>
      <c r="K797" s="2540"/>
      <c r="L797" s="2540"/>
      <c r="M797" s="2540"/>
      <c r="N797" s="2540"/>
      <c r="O797" s="2540"/>
      <c r="P797" s="2540"/>
      <c r="Q797" s="2540"/>
      <c r="R797" s="2540"/>
      <c r="S797" s="2540"/>
      <c r="T797" s="2540"/>
    </row>
    <row r="798" spans="1:20">
      <c r="A798" s="2540"/>
      <c r="B798" s="2540"/>
      <c r="C798" s="2540"/>
      <c r="D798" s="2540"/>
      <c r="E798" s="2540"/>
      <c r="F798" s="2540"/>
      <c r="G798" s="2540"/>
      <c r="H798" s="2540"/>
      <c r="I798" s="2541"/>
      <c r="J798" s="2540"/>
      <c r="K798" s="2540"/>
      <c r="L798" s="2540"/>
      <c r="M798" s="2540"/>
      <c r="N798" s="2540"/>
      <c r="O798" s="2540"/>
      <c r="P798" s="2540"/>
      <c r="Q798" s="2540"/>
      <c r="R798" s="2540"/>
      <c r="S798" s="2540"/>
      <c r="T798" s="2540"/>
    </row>
    <row r="799" spans="1:20">
      <c r="A799" s="2540"/>
      <c r="B799" s="2540"/>
      <c r="C799" s="2540"/>
      <c r="D799" s="2540"/>
      <c r="E799" s="2540"/>
      <c r="F799" s="2540"/>
      <c r="G799" s="2540"/>
      <c r="H799" s="2540"/>
      <c r="I799" s="2541"/>
      <c r="J799" s="2540"/>
      <c r="K799" s="2540"/>
      <c r="L799" s="2540"/>
      <c r="M799" s="2540"/>
      <c r="N799" s="2540"/>
      <c r="O799" s="2540"/>
      <c r="P799" s="2540"/>
      <c r="Q799" s="2540"/>
      <c r="R799" s="2540"/>
      <c r="S799" s="2540"/>
      <c r="T799" s="2540"/>
    </row>
    <row r="800" spans="1:20">
      <c r="A800" s="2540"/>
      <c r="B800" s="2540"/>
      <c r="C800" s="2540"/>
      <c r="D800" s="2540"/>
      <c r="E800" s="2540"/>
      <c r="F800" s="2540"/>
      <c r="G800" s="2540"/>
      <c r="H800" s="2540"/>
      <c r="I800" s="2541"/>
      <c r="J800" s="2540"/>
      <c r="K800" s="2540"/>
      <c r="L800" s="2540"/>
      <c r="M800" s="2540"/>
      <c r="N800" s="2540"/>
      <c r="O800" s="2540"/>
      <c r="P800" s="2540"/>
      <c r="Q800" s="2540"/>
      <c r="R800" s="2540"/>
      <c r="S800" s="2540"/>
      <c r="T800" s="2540"/>
    </row>
    <row r="801" spans="1:20">
      <c r="A801" s="2540"/>
      <c r="B801" s="2540"/>
      <c r="C801" s="2540"/>
      <c r="D801" s="2540"/>
      <c r="E801" s="2540"/>
      <c r="F801" s="2540"/>
      <c r="G801" s="2540"/>
      <c r="H801" s="2540"/>
      <c r="I801" s="2541"/>
      <c r="J801" s="2540"/>
      <c r="K801" s="2540"/>
      <c r="L801" s="2540"/>
      <c r="M801" s="2540"/>
      <c r="N801" s="2540"/>
      <c r="O801" s="2540"/>
      <c r="P801" s="2540"/>
      <c r="Q801" s="2540"/>
      <c r="R801" s="2540"/>
      <c r="S801" s="2540"/>
      <c r="T801" s="2540"/>
    </row>
    <row r="802" spans="1:20">
      <c r="A802" s="2540"/>
      <c r="B802" s="2540"/>
      <c r="C802" s="2540"/>
      <c r="D802" s="2540"/>
      <c r="E802" s="2540"/>
      <c r="F802" s="2540"/>
      <c r="G802" s="2540"/>
      <c r="H802" s="2540"/>
      <c r="I802" s="2541"/>
      <c r="J802" s="2540"/>
      <c r="K802" s="2540"/>
      <c r="L802" s="2540"/>
      <c r="M802" s="2540"/>
      <c r="N802" s="2540"/>
      <c r="O802" s="2540"/>
      <c r="P802" s="2540"/>
      <c r="Q802" s="2540"/>
      <c r="R802" s="2540"/>
      <c r="S802" s="2540"/>
      <c r="T802" s="2540"/>
    </row>
    <row r="803" spans="1:20">
      <c r="A803" s="2540"/>
      <c r="B803" s="2540"/>
      <c r="C803" s="2540"/>
      <c r="D803" s="2540"/>
      <c r="E803" s="2540"/>
      <c r="F803" s="2540"/>
      <c r="G803" s="2540"/>
      <c r="H803" s="2540"/>
      <c r="I803" s="2541"/>
      <c r="J803" s="2540"/>
      <c r="K803" s="2540"/>
      <c r="L803" s="2540"/>
      <c r="M803" s="2540"/>
      <c r="N803" s="2540"/>
      <c r="O803" s="2540"/>
      <c r="P803" s="2540"/>
      <c r="Q803" s="2540"/>
      <c r="R803" s="2540"/>
      <c r="S803" s="2540"/>
      <c r="T803" s="2540"/>
    </row>
    <row r="804" spans="1:20">
      <c r="A804" s="2540"/>
      <c r="B804" s="2540"/>
      <c r="C804" s="2540"/>
      <c r="D804" s="2540"/>
      <c r="E804" s="2540"/>
      <c r="F804" s="2540"/>
      <c r="G804" s="2540"/>
      <c r="H804" s="2540"/>
      <c r="I804" s="2541"/>
      <c r="J804" s="2540"/>
      <c r="K804" s="2540"/>
      <c r="L804" s="2540"/>
      <c r="M804" s="2540"/>
      <c r="N804" s="2540"/>
      <c r="O804" s="2540"/>
      <c r="P804" s="2540"/>
      <c r="Q804" s="2540"/>
      <c r="R804" s="2540"/>
      <c r="S804" s="2540"/>
      <c r="T804" s="2540"/>
    </row>
    <row r="805" spans="1:20">
      <c r="A805" s="2540"/>
      <c r="B805" s="2540"/>
      <c r="C805" s="2540"/>
      <c r="D805" s="2540"/>
      <c r="E805" s="2540"/>
      <c r="F805" s="2540"/>
      <c r="G805" s="2540"/>
      <c r="H805" s="2540"/>
      <c r="I805" s="2541"/>
      <c r="J805" s="2540"/>
      <c r="K805" s="2540"/>
      <c r="L805" s="2540"/>
      <c r="M805" s="2540"/>
      <c r="N805" s="2540"/>
      <c r="O805" s="2540"/>
      <c r="P805" s="2540"/>
      <c r="Q805" s="2540"/>
      <c r="R805" s="2540"/>
      <c r="S805" s="2540"/>
      <c r="T805" s="2540"/>
    </row>
    <row r="806" spans="1:20">
      <c r="A806" s="2540"/>
      <c r="B806" s="2540"/>
      <c r="C806" s="2540"/>
      <c r="D806" s="2540"/>
      <c r="E806" s="2540"/>
      <c r="F806" s="2540"/>
      <c r="G806" s="2540"/>
      <c r="H806" s="2540"/>
      <c r="I806" s="2541"/>
      <c r="J806" s="2540"/>
      <c r="K806" s="2540"/>
      <c r="L806" s="2540"/>
      <c r="M806" s="2540"/>
      <c r="N806" s="2540"/>
      <c r="O806" s="2540"/>
      <c r="P806" s="2540"/>
      <c r="Q806" s="2540"/>
      <c r="R806" s="2540"/>
      <c r="S806" s="2540"/>
      <c r="T806" s="2540"/>
    </row>
    <row r="807" spans="1:20">
      <c r="A807" s="2540"/>
      <c r="B807" s="2540"/>
      <c r="C807" s="2540"/>
      <c r="D807" s="2540"/>
      <c r="E807" s="2540"/>
      <c r="F807" s="2540"/>
      <c r="G807" s="2540"/>
      <c r="H807" s="2540"/>
      <c r="I807" s="2541"/>
      <c r="J807" s="2540"/>
      <c r="K807" s="2540"/>
      <c r="L807" s="2540"/>
      <c r="M807" s="2540"/>
      <c r="N807" s="2540"/>
      <c r="O807" s="2540"/>
      <c r="P807" s="2540"/>
      <c r="Q807" s="2540"/>
      <c r="R807" s="2540"/>
      <c r="S807" s="2540"/>
      <c r="T807" s="2540"/>
    </row>
    <row r="808" spans="1:20">
      <c r="A808" s="2540"/>
      <c r="B808" s="2540"/>
      <c r="C808" s="2540"/>
      <c r="D808" s="2540"/>
      <c r="E808" s="2540"/>
      <c r="F808" s="2540"/>
      <c r="G808" s="2540"/>
      <c r="H808" s="2540"/>
      <c r="I808" s="2541"/>
      <c r="J808" s="2540"/>
      <c r="K808" s="2540"/>
      <c r="L808" s="2540"/>
      <c r="M808" s="2540"/>
      <c r="N808" s="2540"/>
      <c r="O808" s="2540"/>
      <c r="P808" s="2540"/>
      <c r="Q808" s="2540"/>
      <c r="R808" s="2540"/>
      <c r="S808" s="2540"/>
      <c r="T808" s="2540"/>
    </row>
    <row r="809" spans="1:20">
      <c r="A809" s="2540"/>
      <c r="B809" s="2540"/>
      <c r="C809" s="2540"/>
      <c r="D809" s="2540"/>
      <c r="E809" s="2540"/>
      <c r="F809" s="2540"/>
      <c r="G809" s="2540"/>
      <c r="H809" s="2540"/>
      <c r="I809" s="2541"/>
      <c r="J809" s="2540"/>
      <c r="K809" s="2540"/>
      <c r="L809" s="2540"/>
      <c r="M809" s="2540"/>
      <c r="N809" s="2540"/>
      <c r="O809" s="2540"/>
      <c r="P809" s="2540"/>
      <c r="Q809" s="2540"/>
      <c r="R809" s="2540"/>
      <c r="S809" s="2540"/>
      <c r="T809" s="2540"/>
    </row>
    <row r="810" spans="1:20">
      <c r="A810" s="2540"/>
      <c r="B810" s="2540"/>
      <c r="C810" s="2540"/>
      <c r="D810" s="2540"/>
      <c r="E810" s="2540"/>
      <c r="F810" s="2540"/>
      <c r="G810" s="2540"/>
      <c r="H810" s="2540"/>
      <c r="I810" s="2541"/>
      <c r="J810" s="2540"/>
      <c r="K810" s="2540"/>
      <c r="L810" s="2540"/>
      <c r="M810" s="2540"/>
      <c r="N810" s="2540"/>
      <c r="O810" s="2540"/>
      <c r="P810" s="2540"/>
      <c r="Q810" s="2540"/>
      <c r="R810" s="2540"/>
      <c r="S810" s="2540"/>
      <c r="T810" s="2540"/>
    </row>
    <row r="811" spans="1:20">
      <c r="A811" s="2540"/>
      <c r="B811" s="2540"/>
      <c r="C811" s="2540"/>
      <c r="D811" s="2540"/>
      <c r="E811" s="2540"/>
      <c r="F811" s="2540"/>
      <c r="G811" s="2540"/>
      <c r="H811" s="2540"/>
      <c r="I811" s="2541"/>
      <c r="J811" s="2540"/>
      <c r="K811" s="2540"/>
      <c r="L811" s="2540"/>
      <c r="M811" s="2540"/>
      <c r="N811" s="2540"/>
      <c r="O811" s="2540"/>
      <c r="P811" s="2540"/>
      <c r="Q811" s="2540"/>
      <c r="R811" s="2540"/>
      <c r="S811" s="2540"/>
      <c r="T811" s="2540"/>
    </row>
    <row r="812" spans="1:20">
      <c r="A812" s="2540"/>
      <c r="B812" s="2540"/>
      <c r="C812" s="2540"/>
      <c r="D812" s="2540"/>
      <c r="E812" s="2540"/>
      <c r="F812" s="2540"/>
      <c r="G812" s="2540"/>
      <c r="H812" s="2540"/>
      <c r="I812" s="2541"/>
      <c r="J812" s="2540"/>
      <c r="K812" s="2540"/>
      <c r="L812" s="2540"/>
      <c r="M812" s="2540"/>
      <c r="N812" s="2540"/>
      <c r="O812" s="2540"/>
      <c r="P812" s="2540"/>
      <c r="Q812" s="2540"/>
      <c r="R812" s="2540"/>
      <c r="S812" s="2540"/>
      <c r="T812" s="2540"/>
    </row>
    <row r="813" spans="1:20">
      <c r="A813" s="2540"/>
      <c r="B813" s="2540"/>
      <c r="C813" s="2540"/>
      <c r="D813" s="2540"/>
      <c r="E813" s="2540"/>
      <c r="F813" s="2540"/>
      <c r="G813" s="2540"/>
      <c r="H813" s="2540"/>
      <c r="I813" s="2541"/>
      <c r="J813" s="2540"/>
      <c r="K813" s="2540"/>
      <c r="L813" s="2540"/>
      <c r="M813" s="2540"/>
      <c r="N813" s="2540"/>
      <c r="O813" s="2540"/>
      <c r="P813" s="2540"/>
      <c r="Q813" s="2540"/>
      <c r="R813" s="2540"/>
      <c r="S813" s="2540"/>
      <c r="T813" s="2540"/>
    </row>
    <row r="814" spans="1:20">
      <c r="A814" s="2540"/>
      <c r="B814" s="2540"/>
      <c r="C814" s="2540"/>
      <c r="D814" s="2540"/>
      <c r="E814" s="2540"/>
      <c r="F814" s="2540"/>
      <c r="G814" s="2540"/>
      <c r="H814" s="2540"/>
      <c r="I814" s="2541"/>
      <c r="J814" s="2540"/>
      <c r="K814" s="2540"/>
      <c r="L814" s="2540"/>
      <c r="M814" s="2540"/>
      <c r="N814" s="2540"/>
      <c r="O814" s="2540"/>
      <c r="P814" s="2540"/>
      <c r="Q814" s="2540"/>
      <c r="R814" s="2540"/>
      <c r="S814" s="2540"/>
      <c r="T814" s="2540"/>
    </row>
    <row r="815" spans="1:20">
      <c r="A815" s="2540"/>
      <c r="B815" s="2540"/>
      <c r="C815" s="2540"/>
      <c r="D815" s="2540"/>
      <c r="E815" s="2540"/>
      <c r="F815" s="2540"/>
      <c r="G815" s="2540"/>
      <c r="H815" s="2540"/>
      <c r="I815" s="2541"/>
      <c r="J815" s="2540"/>
      <c r="K815" s="2540"/>
      <c r="L815" s="2540"/>
      <c r="M815" s="2540"/>
      <c r="N815" s="2540"/>
      <c r="O815" s="2540"/>
      <c r="P815" s="2540"/>
      <c r="Q815" s="2540"/>
      <c r="R815" s="2540"/>
      <c r="S815" s="2540"/>
      <c r="T815" s="2540"/>
    </row>
    <row r="816" spans="1:20">
      <c r="A816" s="2540"/>
      <c r="B816" s="2540"/>
      <c r="C816" s="2540"/>
      <c r="D816" s="2540"/>
      <c r="E816" s="2540"/>
      <c r="F816" s="2540"/>
      <c r="G816" s="2540"/>
      <c r="H816" s="2540"/>
      <c r="I816" s="2541"/>
      <c r="J816" s="2540"/>
      <c r="K816" s="2540"/>
      <c r="L816" s="2540"/>
      <c r="M816" s="2540"/>
      <c r="N816" s="2540"/>
      <c r="O816" s="2540"/>
      <c r="P816" s="2540"/>
      <c r="Q816" s="2540"/>
      <c r="R816" s="2540"/>
      <c r="S816" s="2540"/>
      <c r="T816" s="2540"/>
    </row>
    <row r="817" spans="1:20">
      <c r="A817" s="2540"/>
      <c r="B817" s="2540"/>
      <c r="C817" s="2540"/>
      <c r="D817" s="2540"/>
      <c r="E817" s="2540"/>
      <c r="F817" s="2540"/>
      <c r="G817" s="2540"/>
      <c r="H817" s="2540"/>
      <c r="I817" s="2541"/>
      <c r="J817" s="2540"/>
      <c r="K817" s="2540"/>
      <c r="L817" s="2540"/>
      <c r="M817" s="2540"/>
      <c r="N817" s="2540"/>
      <c r="O817" s="2540"/>
      <c r="P817" s="2540"/>
      <c r="Q817" s="2540"/>
      <c r="R817" s="2540"/>
      <c r="S817" s="2540"/>
      <c r="T817" s="2540"/>
    </row>
    <row r="818" spans="1:20">
      <c r="A818" s="2540"/>
      <c r="B818" s="2540"/>
      <c r="C818" s="2540"/>
      <c r="D818" s="2540"/>
      <c r="E818" s="2540"/>
      <c r="F818" s="2540"/>
      <c r="G818" s="2540"/>
      <c r="H818" s="2540"/>
      <c r="I818" s="2541"/>
      <c r="J818" s="2540"/>
      <c r="K818" s="2540"/>
      <c r="L818" s="2540"/>
      <c r="M818" s="2540"/>
      <c r="N818" s="2540"/>
      <c r="O818" s="2540"/>
      <c r="P818" s="2540"/>
      <c r="Q818" s="2540"/>
      <c r="R818" s="2540"/>
      <c r="S818" s="2540"/>
      <c r="T818" s="2540"/>
    </row>
    <row r="819" spans="1:20">
      <c r="A819" s="2540"/>
      <c r="B819" s="2540"/>
      <c r="C819" s="2540"/>
      <c r="D819" s="2540"/>
      <c r="E819" s="2540"/>
      <c r="F819" s="2540"/>
      <c r="G819" s="2540"/>
      <c r="H819" s="2540"/>
      <c r="I819" s="2541"/>
      <c r="J819" s="2540"/>
      <c r="K819" s="2540"/>
      <c r="L819" s="2540"/>
      <c r="M819" s="2540"/>
      <c r="N819" s="2540"/>
      <c r="O819" s="2540"/>
      <c r="P819" s="2540"/>
      <c r="Q819" s="2540"/>
      <c r="R819" s="2540"/>
      <c r="S819" s="2540"/>
      <c r="T819" s="2540"/>
    </row>
    <row r="820" spans="1:20">
      <c r="A820" s="2540"/>
      <c r="B820" s="2540"/>
      <c r="C820" s="2540"/>
      <c r="D820" s="2540"/>
      <c r="E820" s="2540"/>
      <c r="F820" s="2540"/>
      <c r="G820" s="2540"/>
      <c r="H820" s="2540"/>
      <c r="I820" s="2541"/>
      <c r="J820" s="2540"/>
      <c r="K820" s="2540"/>
      <c r="L820" s="2540"/>
      <c r="M820" s="2540"/>
      <c r="N820" s="2540"/>
      <c r="O820" s="2540"/>
      <c r="P820" s="2540"/>
      <c r="Q820" s="2540"/>
      <c r="R820" s="2540"/>
      <c r="S820" s="2540"/>
      <c r="T820" s="2540"/>
    </row>
    <row r="821" spans="1:20">
      <c r="A821" s="2540"/>
      <c r="B821" s="2540"/>
      <c r="C821" s="2540"/>
      <c r="D821" s="2540"/>
      <c r="E821" s="2540"/>
      <c r="F821" s="2540"/>
      <c r="G821" s="2540"/>
      <c r="H821" s="2540"/>
      <c r="I821" s="2541"/>
      <c r="J821" s="2540"/>
      <c r="K821" s="2540"/>
      <c r="L821" s="2540"/>
      <c r="M821" s="2540"/>
      <c r="N821" s="2540"/>
      <c r="O821" s="2540"/>
      <c r="P821" s="2540"/>
      <c r="Q821" s="2540"/>
      <c r="R821" s="2540"/>
      <c r="S821" s="2540"/>
      <c r="T821" s="2540"/>
    </row>
    <row r="822" spans="1:20">
      <c r="A822" s="2540"/>
      <c r="B822" s="2540"/>
      <c r="C822" s="2540"/>
      <c r="D822" s="2540"/>
      <c r="E822" s="2540"/>
      <c r="F822" s="2540"/>
      <c r="G822" s="2540"/>
      <c r="H822" s="2540"/>
      <c r="I822" s="2541"/>
      <c r="J822" s="2540"/>
      <c r="K822" s="2540"/>
      <c r="L822" s="2540"/>
      <c r="M822" s="2540"/>
      <c r="N822" s="2540"/>
      <c r="O822" s="2540"/>
      <c r="P822" s="2540"/>
      <c r="Q822" s="2540"/>
      <c r="R822" s="2540"/>
      <c r="S822" s="2540"/>
      <c r="T822" s="2540"/>
    </row>
    <row r="823" spans="1:20">
      <c r="A823" s="2540"/>
      <c r="B823" s="2540"/>
      <c r="C823" s="2540"/>
      <c r="D823" s="2540"/>
      <c r="E823" s="2540"/>
      <c r="F823" s="2540"/>
      <c r="G823" s="2540"/>
      <c r="H823" s="2540"/>
      <c r="I823" s="2541"/>
      <c r="J823" s="2540"/>
      <c r="K823" s="2540"/>
      <c r="L823" s="2540"/>
      <c r="M823" s="2540"/>
      <c r="N823" s="2540"/>
      <c r="O823" s="2540"/>
      <c r="P823" s="2540"/>
      <c r="Q823" s="2540"/>
      <c r="R823" s="2540"/>
      <c r="S823" s="2540"/>
      <c r="T823" s="2540"/>
    </row>
    <row r="824" spans="1:20">
      <c r="A824" s="2540"/>
      <c r="B824" s="2540"/>
      <c r="C824" s="2540"/>
      <c r="D824" s="2540"/>
      <c r="E824" s="2540"/>
      <c r="F824" s="2540"/>
      <c r="G824" s="2540"/>
      <c r="H824" s="2540"/>
      <c r="I824" s="2541"/>
      <c r="J824" s="2540"/>
      <c r="K824" s="2540"/>
      <c r="L824" s="2540"/>
      <c r="M824" s="2540"/>
      <c r="N824" s="2540"/>
      <c r="O824" s="2540"/>
      <c r="P824" s="2540"/>
      <c r="Q824" s="2540"/>
      <c r="R824" s="2540"/>
      <c r="S824" s="2540"/>
      <c r="T824" s="2540"/>
    </row>
    <row r="825" spans="1:20">
      <c r="A825" s="2540"/>
      <c r="B825" s="2540"/>
      <c r="C825" s="2540"/>
      <c r="D825" s="2540"/>
      <c r="E825" s="2540"/>
      <c r="F825" s="2540"/>
      <c r="G825" s="2540"/>
      <c r="H825" s="2540"/>
      <c r="I825" s="2541"/>
      <c r="J825" s="2540"/>
      <c r="K825" s="2540"/>
      <c r="L825" s="2540"/>
      <c r="M825" s="2540"/>
      <c r="N825" s="2540"/>
      <c r="O825" s="2540"/>
      <c r="P825" s="2540"/>
      <c r="Q825" s="2540"/>
      <c r="R825" s="2540"/>
      <c r="S825" s="2540"/>
      <c r="T825" s="2540"/>
    </row>
    <row r="826" spans="1:20">
      <c r="A826" s="2540"/>
      <c r="B826" s="2540"/>
      <c r="C826" s="2540"/>
      <c r="D826" s="2540"/>
      <c r="E826" s="2540"/>
      <c r="F826" s="2540"/>
      <c r="G826" s="2540"/>
      <c r="H826" s="2540"/>
      <c r="I826" s="2541"/>
      <c r="J826" s="2540"/>
      <c r="K826" s="2540"/>
      <c r="L826" s="2540"/>
      <c r="M826" s="2540"/>
      <c r="N826" s="2540"/>
      <c r="O826" s="2540"/>
      <c r="P826" s="2540"/>
      <c r="Q826" s="2540"/>
      <c r="R826" s="2540"/>
      <c r="S826" s="2540"/>
      <c r="T826" s="2540"/>
    </row>
    <row r="827" spans="1:20">
      <c r="A827" s="2540"/>
      <c r="B827" s="2540"/>
      <c r="C827" s="2540"/>
      <c r="D827" s="2540"/>
      <c r="E827" s="2540"/>
      <c r="F827" s="2540"/>
      <c r="G827" s="2540"/>
      <c r="H827" s="2540"/>
      <c r="I827" s="2541"/>
      <c r="J827" s="2540"/>
      <c r="K827" s="2540"/>
      <c r="L827" s="2540"/>
      <c r="M827" s="2540"/>
      <c r="N827" s="2540"/>
      <c r="O827" s="2540"/>
      <c r="P827" s="2540"/>
      <c r="Q827" s="2540"/>
      <c r="R827" s="2540"/>
      <c r="S827" s="2540"/>
      <c r="T827" s="2540"/>
    </row>
    <row r="828" spans="1:20">
      <c r="A828" s="2540"/>
      <c r="B828" s="2540"/>
      <c r="C828" s="2540"/>
      <c r="D828" s="2540"/>
      <c r="E828" s="2540"/>
      <c r="F828" s="2540"/>
      <c r="G828" s="2540"/>
      <c r="H828" s="2540"/>
      <c r="I828" s="2541"/>
      <c r="J828" s="2540"/>
      <c r="K828" s="2540"/>
      <c r="L828" s="2540"/>
      <c r="M828" s="2540"/>
      <c r="N828" s="2540"/>
      <c r="O828" s="2540"/>
      <c r="P828" s="2540"/>
      <c r="Q828" s="2540"/>
      <c r="R828" s="2540"/>
      <c r="S828" s="2540"/>
      <c r="T828" s="2540"/>
    </row>
    <row r="829" spans="1:20">
      <c r="A829" s="2540"/>
      <c r="B829" s="2540"/>
      <c r="C829" s="2540"/>
      <c r="D829" s="2540"/>
      <c r="E829" s="2540"/>
      <c r="F829" s="2540"/>
      <c r="G829" s="2540"/>
      <c r="H829" s="2540"/>
      <c r="I829" s="2541"/>
      <c r="J829" s="2540"/>
      <c r="K829" s="2540"/>
      <c r="L829" s="2540"/>
      <c r="M829" s="2540"/>
      <c r="N829" s="2540"/>
      <c r="O829" s="2540"/>
      <c r="P829" s="2540"/>
      <c r="Q829" s="2540"/>
      <c r="R829" s="2540"/>
      <c r="S829" s="2540"/>
      <c r="T829" s="2540"/>
    </row>
    <row r="830" spans="1:20">
      <c r="A830" s="2540"/>
      <c r="B830" s="2540"/>
      <c r="C830" s="2540"/>
      <c r="D830" s="2540"/>
      <c r="E830" s="2540"/>
      <c r="F830" s="2540"/>
      <c r="G830" s="2540"/>
      <c r="H830" s="2540"/>
      <c r="I830" s="2541"/>
      <c r="J830" s="2540"/>
      <c r="K830" s="2540"/>
      <c r="L830" s="2540"/>
      <c r="M830" s="2540"/>
      <c r="N830" s="2540"/>
      <c r="O830" s="2540"/>
      <c r="P830" s="2540"/>
      <c r="Q830" s="2540"/>
      <c r="R830" s="2540"/>
      <c r="S830" s="2540"/>
      <c r="T830" s="2540"/>
    </row>
    <row r="831" spans="1:20">
      <c r="A831" s="2540"/>
      <c r="B831" s="2540"/>
      <c r="C831" s="2540"/>
      <c r="D831" s="2540"/>
      <c r="E831" s="2540"/>
      <c r="F831" s="2540"/>
      <c r="G831" s="2540"/>
      <c r="H831" s="2540"/>
      <c r="I831" s="2541"/>
      <c r="J831" s="2540"/>
      <c r="K831" s="2540"/>
      <c r="L831" s="2540"/>
      <c r="M831" s="2540"/>
      <c r="N831" s="2540"/>
      <c r="O831" s="2540"/>
      <c r="P831" s="2540"/>
      <c r="Q831" s="2540"/>
      <c r="R831" s="2540"/>
      <c r="S831" s="2540"/>
      <c r="T831" s="2540"/>
    </row>
    <row r="832" spans="1:20">
      <c r="A832" s="2540"/>
      <c r="B832" s="2540"/>
      <c r="C832" s="2540"/>
      <c r="D832" s="2540"/>
      <c r="E832" s="2540"/>
      <c r="F832" s="2540"/>
      <c r="G832" s="2540"/>
      <c r="H832" s="2540"/>
      <c r="I832" s="2541"/>
      <c r="J832" s="2540"/>
      <c r="K832" s="2540"/>
      <c r="L832" s="2540"/>
      <c r="M832" s="2540"/>
      <c r="N832" s="2540"/>
      <c r="O832" s="2540"/>
      <c r="P832" s="2540"/>
      <c r="Q832" s="2540"/>
      <c r="R832" s="2540"/>
      <c r="S832" s="2540"/>
      <c r="T832" s="2540"/>
    </row>
    <row r="833" spans="1:20">
      <c r="A833" s="2540"/>
      <c r="B833" s="2540"/>
      <c r="C833" s="2540"/>
      <c r="D833" s="2540"/>
      <c r="E833" s="2540"/>
      <c r="F833" s="2540"/>
      <c r="G833" s="2540"/>
      <c r="H833" s="2540"/>
      <c r="I833" s="2541"/>
      <c r="J833" s="2540"/>
      <c r="K833" s="2540"/>
      <c r="L833" s="2540"/>
      <c r="M833" s="2540"/>
      <c r="N833" s="2540"/>
      <c r="O833" s="2540"/>
      <c r="P833" s="2540"/>
      <c r="Q833" s="2540"/>
      <c r="R833" s="2540"/>
      <c r="S833" s="2540"/>
      <c r="T833" s="2540"/>
    </row>
    <row r="834" spans="1:20">
      <c r="A834" s="2540"/>
      <c r="B834" s="2540"/>
      <c r="C834" s="2540"/>
      <c r="D834" s="2540"/>
      <c r="E834" s="2540"/>
      <c r="F834" s="2540"/>
      <c r="G834" s="2540"/>
      <c r="H834" s="2540"/>
      <c r="I834" s="2541"/>
      <c r="J834" s="2540"/>
      <c r="K834" s="2540"/>
      <c r="L834" s="2540"/>
      <c r="M834" s="2540"/>
      <c r="N834" s="2540"/>
      <c r="O834" s="2540"/>
      <c r="P834" s="2540"/>
      <c r="Q834" s="2540"/>
      <c r="R834" s="2540"/>
      <c r="S834" s="2540"/>
      <c r="T834" s="2540"/>
    </row>
    <row r="835" spans="1:20">
      <c r="A835" s="2540"/>
      <c r="B835" s="2540"/>
      <c r="C835" s="2540"/>
      <c r="D835" s="2540"/>
      <c r="E835" s="2540"/>
      <c r="F835" s="2540"/>
      <c r="G835" s="2540"/>
      <c r="H835" s="2540"/>
      <c r="I835" s="2541"/>
      <c r="J835" s="2540"/>
      <c r="K835" s="2540"/>
      <c r="L835" s="2540"/>
      <c r="M835" s="2540"/>
      <c r="N835" s="2540"/>
      <c r="O835" s="2540"/>
      <c r="P835" s="2540"/>
      <c r="Q835" s="2540"/>
      <c r="R835" s="2540"/>
      <c r="S835" s="2540"/>
      <c r="T835" s="2540"/>
    </row>
    <row r="836" spans="1:20">
      <c r="A836" s="2540"/>
      <c r="B836" s="2540"/>
      <c r="C836" s="2540"/>
      <c r="D836" s="2540"/>
      <c r="E836" s="2540"/>
      <c r="F836" s="2540"/>
      <c r="G836" s="2540"/>
      <c r="H836" s="2540"/>
      <c r="I836" s="2541"/>
      <c r="J836" s="2540"/>
      <c r="K836" s="2540"/>
      <c r="L836" s="2540"/>
      <c r="M836" s="2540"/>
      <c r="N836" s="2540"/>
      <c r="O836" s="2540"/>
      <c r="P836" s="2540"/>
      <c r="Q836" s="2540"/>
      <c r="R836" s="2540"/>
      <c r="S836" s="2540"/>
      <c r="T836" s="2540"/>
    </row>
    <row r="837" spans="1:20">
      <c r="A837" s="2540"/>
      <c r="B837" s="2540"/>
      <c r="C837" s="2540"/>
      <c r="D837" s="2540"/>
      <c r="E837" s="2540"/>
      <c r="F837" s="2540"/>
      <c r="G837" s="2540"/>
      <c r="H837" s="2540"/>
      <c r="I837" s="2541"/>
      <c r="J837" s="2540"/>
      <c r="K837" s="2540"/>
      <c r="L837" s="2540"/>
      <c r="M837" s="2540"/>
      <c r="N837" s="2540"/>
      <c r="O837" s="2540"/>
      <c r="P837" s="2540"/>
      <c r="Q837" s="2540"/>
      <c r="R837" s="2540"/>
      <c r="S837" s="2540"/>
      <c r="T837" s="2540"/>
    </row>
    <row r="838" spans="1:20">
      <c r="A838" s="2540"/>
      <c r="B838" s="2540"/>
      <c r="C838" s="2540"/>
      <c r="D838" s="2540"/>
      <c r="E838" s="2540"/>
      <c r="F838" s="2540"/>
      <c r="G838" s="2540"/>
      <c r="H838" s="2540"/>
      <c r="I838" s="2541"/>
      <c r="J838" s="2540"/>
      <c r="K838" s="2540"/>
      <c r="L838" s="2540"/>
      <c r="M838" s="2540"/>
      <c r="N838" s="2540"/>
      <c r="O838" s="2540"/>
      <c r="P838" s="2540"/>
      <c r="Q838" s="2540"/>
      <c r="R838" s="2540"/>
      <c r="S838" s="2540"/>
      <c r="T838" s="2540"/>
    </row>
    <row r="839" spans="1:20">
      <c r="A839" s="2540"/>
      <c r="B839" s="2540"/>
      <c r="C839" s="2540"/>
      <c r="D839" s="2540"/>
      <c r="E839" s="2540"/>
      <c r="F839" s="2540"/>
      <c r="G839" s="2540"/>
      <c r="H839" s="2540"/>
      <c r="I839" s="2541"/>
      <c r="J839" s="2540"/>
      <c r="K839" s="2540"/>
      <c r="L839" s="2540"/>
      <c r="M839" s="2540"/>
      <c r="N839" s="2540"/>
      <c r="O839" s="2540"/>
      <c r="P839" s="2540"/>
      <c r="Q839" s="2540"/>
      <c r="R839" s="2540"/>
      <c r="S839" s="2540"/>
      <c r="T839" s="2540"/>
    </row>
    <row r="840" spans="1:20">
      <c r="A840" s="2540"/>
      <c r="B840" s="2540"/>
      <c r="C840" s="2540"/>
      <c r="D840" s="2540"/>
      <c r="E840" s="2540"/>
      <c r="F840" s="2540"/>
      <c r="G840" s="2540"/>
      <c r="H840" s="2540"/>
      <c r="I840" s="2541"/>
      <c r="J840" s="2540"/>
      <c r="K840" s="2540"/>
      <c r="L840" s="2540"/>
      <c r="M840" s="2540"/>
      <c r="N840" s="2540"/>
      <c r="O840" s="2540"/>
      <c r="P840" s="2540"/>
      <c r="Q840" s="2540"/>
      <c r="R840" s="2540"/>
      <c r="S840" s="2540"/>
      <c r="T840" s="2540"/>
    </row>
    <row r="841" spans="1:20">
      <c r="A841" s="2540"/>
      <c r="B841" s="2540"/>
      <c r="C841" s="2540"/>
      <c r="D841" s="2540"/>
      <c r="E841" s="2540"/>
      <c r="F841" s="2540"/>
      <c r="G841" s="2540"/>
      <c r="H841" s="2540"/>
      <c r="I841" s="2541"/>
      <c r="J841" s="2540"/>
      <c r="K841" s="2540"/>
      <c r="L841" s="2540"/>
      <c r="M841" s="2540"/>
      <c r="N841" s="2540"/>
      <c r="O841" s="2540"/>
      <c r="P841" s="2540"/>
      <c r="Q841" s="2540"/>
      <c r="R841" s="2540"/>
      <c r="S841" s="2540"/>
      <c r="T841" s="2540"/>
    </row>
    <row r="842" spans="1:20">
      <c r="A842" s="2540"/>
      <c r="B842" s="2540"/>
      <c r="C842" s="2540"/>
      <c r="D842" s="2540"/>
      <c r="E842" s="2540"/>
      <c r="F842" s="2540"/>
      <c r="G842" s="2540"/>
      <c r="H842" s="2540"/>
      <c r="I842" s="2541"/>
      <c r="J842" s="2540"/>
      <c r="K842" s="2540"/>
      <c r="L842" s="2540"/>
      <c r="M842" s="2540"/>
      <c r="N842" s="2540"/>
      <c r="O842" s="2540"/>
      <c r="P842" s="2540"/>
      <c r="Q842" s="2540"/>
      <c r="R842" s="2540"/>
      <c r="S842" s="2540"/>
      <c r="T842" s="2540"/>
    </row>
    <row r="843" spans="1:20">
      <c r="A843" s="2540"/>
      <c r="B843" s="2540"/>
      <c r="C843" s="2540"/>
      <c r="D843" s="2540"/>
      <c r="E843" s="2540"/>
      <c r="F843" s="2540"/>
      <c r="G843" s="2540"/>
      <c r="H843" s="2540"/>
      <c r="I843" s="2541"/>
      <c r="J843" s="2540"/>
      <c r="K843" s="2540"/>
      <c r="L843" s="2540"/>
      <c r="M843" s="2540"/>
      <c r="N843" s="2540"/>
      <c r="O843" s="2540"/>
      <c r="P843" s="2540"/>
      <c r="Q843" s="2540"/>
      <c r="R843" s="2540"/>
      <c r="S843" s="2540"/>
      <c r="T843" s="2540"/>
    </row>
    <row r="844" spans="1:20">
      <c r="A844" s="2540"/>
      <c r="B844" s="2540"/>
      <c r="C844" s="2540"/>
      <c r="D844" s="2540"/>
      <c r="E844" s="2540"/>
      <c r="F844" s="2540"/>
      <c r="G844" s="2540"/>
      <c r="H844" s="2540"/>
      <c r="I844" s="2541"/>
      <c r="J844" s="2540"/>
      <c r="K844" s="2540"/>
      <c r="L844" s="2540"/>
      <c r="M844" s="2540"/>
      <c r="N844" s="2540"/>
      <c r="O844" s="2540"/>
      <c r="P844" s="2540"/>
      <c r="Q844" s="2540"/>
      <c r="R844" s="2540"/>
      <c r="S844" s="2540"/>
      <c r="T844" s="2540"/>
    </row>
    <row r="845" spans="1:20">
      <c r="A845" s="2540"/>
      <c r="B845" s="2540"/>
      <c r="C845" s="2540"/>
      <c r="D845" s="2540"/>
      <c r="E845" s="2540"/>
      <c r="F845" s="2540"/>
      <c r="G845" s="2540"/>
      <c r="H845" s="2540"/>
      <c r="I845" s="2541"/>
      <c r="J845" s="2540"/>
      <c r="K845" s="2540"/>
      <c r="L845" s="2540"/>
      <c r="M845" s="2540"/>
      <c r="N845" s="2540"/>
      <c r="O845" s="2540"/>
      <c r="P845" s="2540"/>
      <c r="Q845" s="2540"/>
      <c r="R845" s="2540"/>
      <c r="S845" s="2540"/>
      <c r="T845" s="2540"/>
    </row>
    <row r="846" spans="1:20">
      <c r="A846" s="2540"/>
      <c r="B846" s="2540"/>
      <c r="C846" s="2540"/>
      <c r="D846" s="2540"/>
      <c r="E846" s="2540"/>
      <c r="F846" s="2540"/>
      <c r="G846" s="2540"/>
      <c r="H846" s="2540"/>
      <c r="I846" s="2541"/>
      <c r="J846" s="2540"/>
      <c r="K846" s="2540"/>
      <c r="L846" s="2540"/>
      <c r="M846" s="2540"/>
      <c r="N846" s="2540"/>
      <c r="O846" s="2540"/>
      <c r="P846" s="2540"/>
      <c r="Q846" s="2540"/>
      <c r="R846" s="2540"/>
      <c r="S846" s="2540"/>
      <c r="T846" s="2540"/>
    </row>
    <row r="847" spans="1:20">
      <c r="A847" s="2540"/>
      <c r="B847" s="2540"/>
      <c r="C847" s="2540"/>
      <c r="D847" s="2540"/>
      <c r="E847" s="2540"/>
      <c r="F847" s="2540"/>
      <c r="G847" s="2540"/>
      <c r="H847" s="2540"/>
      <c r="I847" s="2541"/>
      <c r="J847" s="2540"/>
      <c r="K847" s="2540"/>
      <c r="L847" s="2540"/>
      <c r="M847" s="2540"/>
      <c r="N847" s="2540"/>
      <c r="O847" s="2540"/>
      <c r="P847" s="2540"/>
      <c r="Q847" s="2540"/>
      <c r="R847" s="2540"/>
      <c r="S847" s="2540"/>
      <c r="T847" s="2540"/>
    </row>
    <row r="848" spans="1:20">
      <c r="A848" s="2540"/>
      <c r="B848" s="2540"/>
      <c r="C848" s="2540"/>
      <c r="D848" s="2540"/>
      <c r="E848" s="2540"/>
      <c r="F848" s="2540"/>
      <c r="G848" s="2540"/>
      <c r="H848" s="2540"/>
      <c r="I848" s="2541"/>
      <c r="J848" s="2540"/>
      <c r="K848" s="2540"/>
      <c r="L848" s="2540"/>
      <c r="M848" s="2540"/>
      <c r="N848" s="2540"/>
      <c r="O848" s="2540"/>
      <c r="P848" s="2540"/>
      <c r="Q848" s="2540"/>
      <c r="R848" s="2540"/>
      <c r="S848" s="2540"/>
      <c r="T848" s="2540"/>
    </row>
    <row r="849" spans="1:20">
      <c r="A849" s="2540"/>
      <c r="B849" s="2540"/>
      <c r="C849" s="2540"/>
      <c r="D849" s="2540"/>
      <c r="E849" s="2540"/>
      <c r="F849" s="2540"/>
      <c r="G849" s="2540"/>
      <c r="H849" s="2540"/>
      <c r="I849" s="2541"/>
      <c r="J849" s="2540"/>
      <c r="K849" s="2540"/>
      <c r="L849" s="2540"/>
      <c r="M849" s="2540"/>
      <c r="N849" s="2540"/>
      <c r="O849" s="2540"/>
      <c r="P849" s="2540"/>
      <c r="Q849" s="2540"/>
      <c r="R849" s="2540"/>
      <c r="S849" s="2540"/>
      <c r="T849" s="2540"/>
    </row>
    <row r="850" spans="1:20">
      <c r="A850" s="2540"/>
      <c r="B850" s="2540"/>
      <c r="C850" s="2540"/>
      <c r="D850" s="2540"/>
      <c r="E850" s="2540"/>
      <c r="F850" s="2540"/>
      <c r="G850" s="2540"/>
      <c r="H850" s="2540"/>
      <c r="I850" s="2541"/>
      <c r="J850" s="2540"/>
      <c r="K850" s="2540"/>
      <c r="L850" s="2540"/>
      <c r="M850" s="2540"/>
      <c r="N850" s="2540"/>
      <c r="O850" s="2540"/>
      <c r="P850" s="2540"/>
      <c r="Q850" s="2540"/>
      <c r="R850" s="2540"/>
      <c r="S850" s="2540"/>
      <c r="T850" s="2540"/>
    </row>
    <row r="851" spans="1:20">
      <c r="A851" s="2540"/>
      <c r="B851" s="2540"/>
      <c r="C851" s="2540"/>
      <c r="D851" s="2540"/>
      <c r="E851" s="2540"/>
      <c r="F851" s="2540"/>
      <c r="G851" s="2540"/>
      <c r="H851" s="2540"/>
      <c r="I851" s="2541"/>
      <c r="J851" s="2540"/>
      <c r="K851" s="2540"/>
      <c r="L851" s="2540"/>
      <c r="M851" s="2540"/>
      <c r="N851" s="2540"/>
      <c r="O851" s="2540"/>
      <c r="P851" s="2540"/>
      <c r="Q851" s="2540"/>
      <c r="R851" s="2540"/>
      <c r="S851" s="2540"/>
      <c r="T851" s="2540"/>
    </row>
    <row r="852" spans="1:20">
      <c r="A852" s="2540"/>
      <c r="B852" s="2540"/>
      <c r="C852" s="2540"/>
      <c r="D852" s="2540"/>
      <c r="E852" s="2540"/>
      <c r="F852" s="2540"/>
      <c r="G852" s="2540"/>
      <c r="H852" s="2540"/>
      <c r="I852" s="2541"/>
      <c r="J852" s="2540"/>
      <c r="K852" s="2540"/>
      <c r="L852" s="2540"/>
      <c r="M852" s="2540"/>
      <c r="N852" s="2540"/>
      <c r="O852" s="2540"/>
      <c r="P852" s="2540"/>
      <c r="Q852" s="2540"/>
      <c r="R852" s="2540"/>
      <c r="S852" s="2540"/>
      <c r="T852" s="2540"/>
    </row>
    <row r="853" spans="1:20">
      <c r="A853" s="2540"/>
      <c r="B853" s="2540"/>
      <c r="C853" s="2540"/>
      <c r="D853" s="2540"/>
      <c r="E853" s="2540"/>
      <c r="F853" s="2540"/>
      <c r="G853" s="2540"/>
      <c r="H853" s="2540"/>
      <c r="I853" s="2541"/>
      <c r="J853" s="2540"/>
      <c r="K853" s="2540"/>
      <c r="L853" s="2540"/>
      <c r="M853" s="2540"/>
      <c r="N853" s="2540"/>
      <c r="O853" s="2540"/>
      <c r="P853" s="2540"/>
      <c r="Q853" s="2540"/>
      <c r="R853" s="2540"/>
      <c r="S853" s="2540"/>
      <c r="T853" s="2540"/>
    </row>
    <row r="854" spans="1:20">
      <c r="A854" s="2540"/>
      <c r="B854" s="2540"/>
      <c r="C854" s="2540"/>
      <c r="D854" s="2540"/>
      <c r="E854" s="2540"/>
      <c r="F854" s="2540"/>
      <c r="G854" s="2540"/>
      <c r="H854" s="2540"/>
      <c r="I854" s="2541"/>
      <c r="J854" s="2540"/>
      <c r="K854" s="2540"/>
      <c r="L854" s="2540"/>
      <c r="M854" s="2540"/>
      <c r="N854" s="2540"/>
      <c r="O854" s="2540"/>
      <c r="P854" s="2540"/>
      <c r="Q854" s="2540"/>
      <c r="R854" s="2540"/>
      <c r="S854" s="2540"/>
      <c r="T854" s="2540"/>
    </row>
    <row r="855" spans="1:20">
      <c r="A855" s="2540"/>
      <c r="B855" s="2540"/>
      <c r="C855" s="2540"/>
      <c r="D855" s="2540"/>
      <c r="E855" s="2540"/>
      <c r="F855" s="2540"/>
      <c r="G855" s="2540"/>
      <c r="H855" s="2540"/>
      <c r="I855" s="2541"/>
      <c r="J855" s="2540"/>
      <c r="K855" s="2540"/>
      <c r="L855" s="2540"/>
      <c r="M855" s="2540"/>
      <c r="N855" s="2540"/>
      <c r="O855" s="2540"/>
      <c r="P855" s="2540"/>
      <c r="Q855" s="2540"/>
      <c r="R855" s="2540"/>
      <c r="S855" s="2540"/>
      <c r="T855" s="2540"/>
    </row>
    <row r="856" spans="1:20">
      <c r="A856" s="2540"/>
      <c r="B856" s="2540"/>
      <c r="C856" s="2540"/>
      <c r="D856" s="2540"/>
      <c r="E856" s="2540"/>
      <c r="F856" s="2540"/>
      <c r="G856" s="2540"/>
      <c r="H856" s="2540"/>
      <c r="I856" s="2541"/>
      <c r="J856" s="2540"/>
      <c r="K856" s="2540"/>
      <c r="L856" s="2540"/>
      <c r="M856" s="2540"/>
      <c r="N856" s="2540"/>
      <c r="O856" s="2540"/>
      <c r="P856" s="2540"/>
      <c r="Q856" s="2540"/>
      <c r="R856" s="2540"/>
      <c r="S856" s="2540"/>
      <c r="T856" s="2540"/>
    </row>
    <row r="857" spans="1:20">
      <c r="A857" s="2540"/>
      <c r="B857" s="2540"/>
      <c r="C857" s="2540"/>
      <c r="D857" s="2540"/>
      <c r="E857" s="2540"/>
      <c r="F857" s="2540"/>
      <c r="G857" s="2540"/>
      <c r="H857" s="2540"/>
      <c r="I857" s="2541"/>
      <c r="J857" s="2540"/>
      <c r="K857" s="2540"/>
      <c r="L857" s="2540"/>
      <c r="M857" s="2540"/>
      <c r="N857" s="2540"/>
      <c r="O857" s="2540"/>
      <c r="P857" s="2540"/>
      <c r="Q857" s="2540"/>
      <c r="R857" s="2540"/>
      <c r="S857" s="2540"/>
      <c r="T857" s="2540"/>
    </row>
    <row r="858" spans="1:20">
      <c r="A858" s="2540"/>
      <c r="B858" s="2540"/>
      <c r="C858" s="2540"/>
      <c r="D858" s="2540"/>
      <c r="E858" s="2540"/>
      <c r="F858" s="2540"/>
      <c r="G858" s="2540"/>
      <c r="H858" s="2540"/>
      <c r="I858" s="2541"/>
      <c r="J858" s="2540"/>
      <c r="K858" s="2540"/>
      <c r="L858" s="2540"/>
      <c r="M858" s="2540"/>
      <c r="N858" s="2540"/>
      <c r="O858" s="2540"/>
      <c r="P858" s="2540"/>
      <c r="Q858" s="2540"/>
      <c r="R858" s="2540"/>
      <c r="S858" s="2540"/>
      <c r="T858" s="2540"/>
    </row>
    <row r="859" spans="1:20">
      <c r="A859" s="2540"/>
      <c r="B859" s="2540"/>
      <c r="C859" s="2540"/>
      <c r="D859" s="2540"/>
      <c r="E859" s="2540"/>
      <c r="F859" s="2540"/>
      <c r="G859" s="2540"/>
      <c r="H859" s="2540"/>
      <c r="I859" s="2541"/>
      <c r="J859" s="2540"/>
      <c r="K859" s="2540"/>
      <c r="L859" s="2540"/>
      <c r="M859" s="2540"/>
      <c r="N859" s="2540"/>
      <c r="O859" s="2540"/>
      <c r="P859" s="2540"/>
      <c r="Q859" s="2540"/>
      <c r="R859" s="2540"/>
      <c r="S859" s="2540"/>
      <c r="T859" s="2540"/>
    </row>
    <row r="860" spans="1:20">
      <c r="A860" s="2540"/>
      <c r="B860" s="2540"/>
      <c r="C860" s="2540"/>
      <c r="D860" s="2540"/>
      <c r="E860" s="2540"/>
      <c r="F860" s="2540"/>
      <c r="G860" s="2540"/>
      <c r="H860" s="2540"/>
      <c r="I860" s="2541"/>
      <c r="J860" s="2540"/>
      <c r="K860" s="2540"/>
      <c r="L860" s="2540"/>
      <c r="M860" s="2540"/>
      <c r="N860" s="2540"/>
      <c r="O860" s="2540"/>
      <c r="P860" s="2540"/>
      <c r="Q860" s="2540"/>
      <c r="R860" s="2540"/>
      <c r="S860" s="2540"/>
      <c r="T860" s="2540"/>
    </row>
    <row r="861" spans="1:20">
      <c r="A861" s="2540"/>
      <c r="B861" s="2540"/>
      <c r="C861" s="2540"/>
      <c r="D861" s="2540"/>
      <c r="E861" s="2540"/>
      <c r="F861" s="2540"/>
      <c r="G861" s="2540"/>
      <c r="H861" s="2540"/>
      <c r="I861" s="2541"/>
      <c r="J861" s="2540"/>
      <c r="K861" s="2540"/>
      <c r="L861" s="2540"/>
      <c r="M861" s="2540"/>
      <c r="N861" s="2540"/>
      <c r="O861" s="2540"/>
      <c r="P861" s="2540"/>
      <c r="Q861" s="2540"/>
      <c r="R861" s="2540"/>
      <c r="S861" s="2540"/>
      <c r="T861" s="2540"/>
    </row>
    <row r="862" spans="1:20">
      <c r="A862" s="2540"/>
      <c r="B862" s="2540"/>
      <c r="C862" s="2540"/>
      <c r="D862" s="2540"/>
      <c r="E862" s="2540"/>
      <c r="F862" s="2540"/>
      <c r="G862" s="2540"/>
      <c r="H862" s="2540"/>
      <c r="I862" s="2541"/>
      <c r="J862" s="2540"/>
      <c r="K862" s="2540"/>
      <c r="L862" s="2540"/>
      <c r="M862" s="2540"/>
      <c r="N862" s="2540"/>
      <c r="O862" s="2540"/>
      <c r="P862" s="2540"/>
      <c r="Q862" s="2540"/>
      <c r="R862" s="2540"/>
      <c r="S862" s="2540"/>
      <c r="T862" s="2540"/>
    </row>
    <row r="863" spans="1:20">
      <c r="A863" s="2540"/>
      <c r="B863" s="2540"/>
      <c r="C863" s="2540"/>
      <c r="D863" s="2540"/>
      <c r="E863" s="2540"/>
      <c r="F863" s="2540"/>
      <c r="G863" s="2540"/>
      <c r="H863" s="2540"/>
      <c r="I863" s="2541"/>
      <c r="J863" s="2540"/>
      <c r="K863" s="2540"/>
      <c r="L863" s="2540"/>
      <c r="M863" s="2540"/>
      <c r="N863" s="2540"/>
      <c r="O863" s="2540"/>
      <c r="P863" s="2540"/>
      <c r="Q863" s="2540"/>
      <c r="R863" s="2540"/>
      <c r="S863" s="2540"/>
      <c r="T863" s="2540"/>
    </row>
    <row r="864" spans="1:20">
      <c r="A864" s="2540"/>
      <c r="B864" s="2540"/>
      <c r="C864" s="2540"/>
      <c r="D864" s="2540"/>
      <c r="E864" s="2540"/>
      <c r="F864" s="2540"/>
      <c r="G864" s="2540"/>
      <c r="H864" s="2540"/>
      <c r="I864" s="2541"/>
      <c r="J864" s="2540"/>
      <c r="K864" s="2540"/>
      <c r="L864" s="2540"/>
      <c r="M864" s="2540"/>
      <c r="N864" s="2540"/>
      <c r="O864" s="2540"/>
      <c r="P864" s="2540"/>
      <c r="Q864" s="2540"/>
      <c r="R864" s="2540"/>
      <c r="S864" s="2540"/>
      <c r="T864" s="2540"/>
    </row>
    <row r="865" spans="1:20">
      <c r="A865" s="2540"/>
      <c r="B865" s="2540"/>
      <c r="C865" s="2540"/>
      <c r="D865" s="2540"/>
      <c r="E865" s="2540"/>
      <c r="F865" s="2540"/>
      <c r="G865" s="2540"/>
      <c r="H865" s="2540"/>
      <c r="I865" s="2541"/>
      <c r="J865" s="2540"/>
      <c r="K865" s="2540"/>
      <c r="L865" s="2540"/>
      <c r="M865" s="2540"/>
      <c r="N865" s="2540"/>
      <c r="O865" s="2540"/>
      <c r="P865" s="2540"/>
      <c r="Q865" s="2540"/>
      <c r="R865" s="2540"/>
      <c r="S865" s="2540"/>
      <c r="T865" s="2540"/>
    </row>
    <row r="866" spans="1:20">
      <c r="A866" s="2540"/>
      <c r="B866" s="2540"/>
      <c r="C866" s="2540"/>
      <c r="D866" s="2540"/>
      <c r="E866" s="2540"/>
      <c r="F866" s="2540"/>
      <c r="G866" s="2540"/>
      <c r="H866" s="2540"/>
      <c r="I866" s="2541"/>
      <c r="J866" s="2540"/>
      <c r="K866" s="2540"/>
      <c r="L866" s="2540"/>
      <c r="M866" s="2540"/>
      <c r="N866" s="2540"/>
      <c r="O866" s="2540"/>
      <c r="P866" s="2540"/>
      <c r="Q866" s="2540"/>
      <c r="R866" s="2540"/>
      <c r="S866" s="2540"/>
      <c r="T866" s="2540"/>
    </row>
    <row r="867" spans="1:20">
      <c r="A867" s="2540"/>
      <c r="B867" s="2540"/>
      <c r="C867" s="2540"/>
      <c r="D867" s="2540"/>
      <c r="E867" s="2540"/>
      <c r="F867" s="2540"/>
      <c r="G867" s="2540"/>
      <c r="H867" s="2540"/>
      <c r="I867" s="2541"/>
      <c r="J867" s="2540"/>
      <c r="K867" s="2540"/>
      <c r="L867" s="2540"/>
      <c r="M867" s="2540"/>
      <c r="N867" s="2540"/>
      <c r="O867" s="2540"/>
      <c r="P867" s="2540"/>
      <c r="Q867" s="2540"/>
      <c r="R867" s="2540"/>
      <c r="S867" s="2540"/>
      <c r="T867" s="2540"/>
    </row>
    <row r="868" spans="1:20">
      <c r="A868" s="2540"/>
      <c r="B868" s="2540"/>
      <c r="C868" s="2540"/>
      <c r="D868" s="2540"/>
      <c r="E868" s="2540"/>
      <c r="F868" s="2540"/>
      <c r="G868" s="2540"/>
      <c r="H868" s="2540"/>
      <c r="I868" s="2541"/>
      <c r="J868" s="2540"/>
      <c r="K868" s="2540"/>
      <c r="L868" s="2540"/>
      <c r="M868" s="2540"/>
      <c r="N868" s="2540"/>
      <c r="O868" s="2540"/>
      <c r="P868" s="2540"/>
      <c r="Q868" s="2540"/>
      <c r="R868" s="2540"/>
      <c r="S868" s="2540"/>
      <c r="T868" s="2540"/>
    </row>
    <row r="869" spans="1:20">
      <c r="A869" s="2540"/>
      <c r="B869" s="2540"/>
      <c r="C869" s="2540"/>
      <c r="D869" s="2540"/>
      <c r="E869" s="2540"/>
      <c r="F869" s="2540"/>
      <c r="G869" s="2540"/>
      <c r="H869" s="2540"/>
      <c r="I869" s="2541"/>
      <c r="J869" s="2540"/>
      <c r="K869" s="2540"/>
      <c r="L869" s="2540"/>
      <c r="M869" s="2540"/>
      <c r="N869" s="2540"/>
      <c r="O869" s="2540"/>
      <c r="P869" s="2540"/>
      <c r="Q869" s="2540"/>
      <c r="R869" s="2540"/>
      <c r="S869" s="2540"/>
      <c r="T869" s="2540"/>
    </row>
    <row r="870" spans="1:20">
      <c r="A870" s="2540"/>
      <c r="B870" s="2540"/>
      <c r="C870" s="2540"/>
      <c r="D870" s="2540"/>
      <c r="E870" s="2540"/>
      <c r="F870" s="2540"/>
      <c r="G870" s="2540"/>
      <c r="H870" s="2540"/>
      <c r="I870" s="2541"/>
      <c r="J870" s="2540"/>
      <c r="K870" s="2540"/>
      <c r="L870" s="2540"/>
      <c r="M870" s="2540"/>
      <c r="N870" s="2540"/>
      <c r="O870" s="2540"/>
      <c r="P870" s="2540"/>
      <c r="Q870" s="2540"/>
      <c r="R870" s="2540"/>
      <c r="S870" s="2540"/>
      <c r="T870" s="2540"/>
    </row>
    <row r="871" spans="1:20">
      <c r="A871" s="2540"/>
      <c r="B871" s="2540"/>
      <c r="C871" s="2540"/>
      <c r="D871" s="2540"/>
      <c r="E871" s="2540"/>
      <c r="F871" s="2540"/>
      <c r="G871" s="2540"/>
      <c r="H871" s="2540"/>
      <c r="I871" s="2541"/>
      <c r="J871" s="2540"/>
      <c r="K871" s="2540"/>
      <c r="L871" s="2540"/>
      <c r="M871" s="2540"/>
      <c r="N871" s="2540"/>
      <c r="O871" s="2540"/>
      <c r="P871" s="2540"/>
      <c r="Q871" s="2540"/>
      <c r="R871" s="2540"/>
      <c r="S871" s="2540"/>
      <c r="T871" s="2540"/>
    </row>
    <row r="872" spans="1:20">
      <c r="A872" s="2540"/>
      <c r="B872" s="2540"/>
      <c r="C872" s="2540"/>
      <c r="D872" s="2540"/>
      <c r="E872" s="2540"/>
      <c r="F872" s="2540"/>
      <c r="G872" s="2540"/>
      <c r="H872" s="2540"/>
      <c r="I872" s="2541"/>
      <c r="J872" s="2540"/>
      <c r="K872" s="2540"/>
      <c r="L872" s="2540"/>
      <c r="M872" s="2540"/>
      <c r="N872" s="2540"/>
      <c r="O872" s="2540"/>
      <c r="P872" s="2540"/>
      <c r="Q872" s="2540"/>
      <c r="R872" s="2540"/>
      <c r="S872" s="2540"/>
      <c r="T872" s="2540"/>
    </row>
    <row r="873" spans="1:20">
      <c r="A873" s="2540"/>
      <c r="B873" s="2540"/>
      <c r="C873" s="2540"/>
      <c r="D873" s="2540"/>
      <c r="E873" s="2540"/>
      <c r="F873" s="2540"/>
      <c r="G873" s="2540"/>
      <c r="H873" s="2540"/>
      <c r="I873" s="2541"/>
      <c r="J873" s="2540"/>
      <c r="K873" s="2540"/>
      <c r="L873" s="2540"/>
      <c r="M873" s="2540"/>
      <c r="N873" s="2540"/>
      <c r="O873" s="2540"/>
      <c r="P873" s="2540"/>
      <c r="Q873" s="2540"/>
      <c r="R873" s="2540"/>
      <c r="S873" s="2540"/>
      <c r="T873" s="2540"/>
    </row>
    <row r="874" spans="1:20">
      <c r="A874" s="2540"/>
      <c r="B874" s="2540"/>
      <c r="C874" s="2540"/>
      <c r="D874" s="2540"/>
      <c r="E874" s="2540"/>
      <c r="F874" s="2540"/>
      <c r="G874" s="2540"/>
      <c r="H874" s="2540"/>
      <c r="I874" s="2541"/>
      <c r="J874" s="2540"/>
      <c r="K874" s="2540"/>
      <c r="L874" s="2540"/>
      <c r="M874" s="2540"/>
      <c r="N874" s="2540"/>
      <c r="O874" s="2540"/>
      <c r="P874" s="2540"/>
      <c r="Q874" s="2540"/>
      <c r="R874" s="2540"/>
      <c r="S874" s="2540"/>
      <c r="T874" s="2540"/>
    </row>
    <row r="875" spans="1:20">
      <c r="A875" s="2540"/>
      <c r="B875" s="2540"/>
      <c r="C875" s="2540"/>
      <c r="D875" s="2540"/>
      <c r="E875" s="2540"/>
      <c r="F875" s="2540"/>
      <c r="G875" s="2540"/>
      <c r="H875" s="2540"/>
      <c r="I875" s="2541"/>
      <c r="J875" s="2540"/>
      <c r="K875" s="2540"/>
      <c r="L875" s="2540"/>
      <c r="M875" s="2540"/>
      <c r="N875" s="2540"/>
      <c r="O875" s="2540"/>
      <c r="P875" s="2540"/>
      <c r="Q875" s="2540"/>
      <c r="R875" s="2540"/>
      <c r="S875" s="2540"/>
      <c r="T875" s="2540"/>
    </row>
    <row r="876" spans="1:20">
      <c r="A876" s="2540"/>
      <c r="B876" s="2540"/>
      <c r="C876" s="2540"/>
      <c r="D876" s="2540"/>
      <c r="E876" s="2540"/>
      <c r="F876" s="2540"/>
      <c r="G876" s="2540"/>
      <c r="H876" s="2540"/>
      <c r="I876" s="2541"/>
      <c r="J876" s="2540"/>
      <c r="K876" s="2540"/>
      <c r="L876" s="2540"/>
      <c r="M876" s="2540"/>
      <c r="N876" s="2540"/>
      <c r="O876" s="2540"/>
      <c r="P876" s="2540"/>
      <c r="Q876" s="2540"/>
      <c r="R876" s="2540"/>
      <c r="S876" s="2540"/>
      <c r="T876" s="2540"/>
    </row>
    <row r="877" spans="1:20">
      <c r="A877" s="2540"/>
      <c r="B877" s="2540"/>
      <c r="C877" s="2540"/>
      <c r="D877" s="2540"/>
      <c r="E877" s="2540"/>
      <c r="F877" s="2540"/>
      <c r="G877" s="2540"/>
      <c r="H877" s="2540"/>
      <c r="I877" s="2541"/>
      <c r="J877" s="2540"/>
      <c r="K877" s="2540"/>
      <c r="L877" s="2540"/>
      <c r="M877" s="2540"/>
      <c r="N877" s="2540"/>
      <c r="O877" s="2540"/>
      <c r="P877" s="2540"/>
      <c r="Q877" s="2540"/>
      <c r="R877" s="2540"/>
      <c r="S877" s="2540"/>
      <c r="T877" s="2540"/>
    </row>
    <row r="878" spans="1:20">
      <c r="A878" s="2540"/>
      <c r="B878" s="2540"/>
      <c r="C878" s="2540"/>
      <c r="D878" s="2540"/>
      <c r="E878" s="2540"/>
      <c r="F878" s="2540"/>
      <c r="G878" s="2540"/>
      <c r="H878" s="2540"/>
      <c r="I878" s="2541"/>
      <c r="J878" s="2540"/>
      <c r="K878" s="2540"/>
      <c r="L878" s="2540"/>
      <c r="M878" s="2540"/>
      <c r="N878" s="2540"/>
      <c r="O878" s="2540"/>
      <c r="P878" s="2540"/>
      <c r="Q878" s="2540"/>
      <c r="R878" s="2540"/>
      <c r="S878" s="2540"/>
      <c r="T878" s="2540"/>
    </row>
    <row r="879" spans="1:20">
      <c r="A879" s="2540"/>
      <c r="B879" s="2540"/>
      <c r="C879" s="2540"/>
      <c r="D879" s="2540"/>
      <c r="E879" s="2540"/>
      <c r="F879" s="2540"/>
      <c r="G879" s="2540"/>
      <c r="H879" s="2540"/>
      <c r="I879" s="2541"/>
      <c r="J879" s="2540"/>
      <c r="K879" s="2540"/>
      <c r="L879" s="2540"/>
      <c r="M879" s="2540"/>
      <c r="N879" s="2540"/>
      <c r="O879" s="2540"/>
      <c r="P879" s="2540"/>
      <c r="Q879" s="2540"/>
      <c r="R879" s="2540"/>
      <c r="S879" s="2540"/>
      <c r="T879" s="2540"/>
    </row>
    <row r="880" spans="1:20">
      <c r="A880" s="2540"/>
      <c r="B880" s="2540"/>
      <c r="C880" s="2540"/>
      <c r="D880" s="2540"/>
      <c r="E880" s="2540"/>
      <c r="F880" s="2540"/>
      <c r="G880" s="2540"/>
      <c r="H880" s="2540"/>
      <c r="I880" s="2541"/>
      <c r="J880" s="2540"/>
      <c r="K880" s="2540"/>
      <c r="L880" s="2540"/>
      <c r="M880" s="2540"/>
      <c r="N880" s="2540"/>
      <c r="O880" s="2540"/>
      <c r="P880" s="2540"/>
      <c r="Q880" s="2540"/>
      <c r="R880" s="2540"/>
      <c r="S880" s="2540"/>
      <c r="T880" s="2540"/>
    </row>
    <row r="881" spans="1:20">
      <c r="A881" s="2540"/>
      <c r="B881" s="2540"/>
      <c r="C881" s="2540"/>
      <c r="D881" s="2540"/>
      <c r="E881" s="2540"/>
      <c r="F881" s="2540"/>
      <c r="G881" s="2540"/>
      <c r="H881" s="2540"/>
      <c r="I881" s="2541"/>
      <c r="J881" s="2540"/>
      <c r="K881" s="2540"/>
      <c r="L881" s="2540"/>
      <c r="M881" s="2540"/>
      <c r="N881" s="2540"/>
      <c r="O881" s="2540"/>
      <c r="P881" s="2540"/>
      <c r="Q881" s="2540"/>
      <c r="R881" s="2540"/>
      <c r="S881" s="2540"/>
      <c r="T881" s="2540"/>
    </row>
    <row r="882" spans="1:20">
      <c r="A882" s="2540"/>
      <c r="B882" s="2540"/>
      <c r="C882" s="2540"/>
      <c r="D882" s="2540"/>
      <c r="E882" s="2540"/>
      <c r="F882" s="2540"/>
      <c r="G882" s="2540"/>
      <c r="H882" s="2540"/>
      <c r="I882" s="2541"/>
      <c r="J882" s="2540"/>
      <c r="K882" s="2540"/>
      <c r="L882" s="2540"/>
      <c r="M882" s="2540"/>
      <c r="N882" s="2540"/>
      <c r="O882" s="2540"/>
      <c r="P882" s="2540"/>
      <c r="Q882" s="2540"/>
      <c r="R882" s="2540"/>
      <c r="S882" s="2540"/>
      <c r="T882" s="2540"/>
    </row>
    <row r="883" spans="1:20">
      <c r="A883" s="2540"/>
      <c r="B883" s="2540"/>
      <c r="C883" s="2540"/>
      <c r="D883" s="2540"/>
      <c r="E883" s="2540"/>
      <c r="F883" s="2540"/>
      <c r="G883" s="2540"/>
      <c r="H883" s="2540"/>
      <c r="I883" s="2541"/>
      <c r="J883" s="2540"/>
      <c r="K883" s="2540"/>
      <c r="L883" s="2540"/>
      <c r="M883" s="2540"/>
      <c r="N883" s="2540"/>
      <c r="O883" s="2540"/>
      <c r="P883" s="2540"/>
      <c r="Q883" s="2540"/>
      <c r="R883" s="2540"/>
      <c r="S883" s="2540"/>
      <c r="T883" s="2540"/>
    </row>
    <row r="884" spans="1:20">
      <c r="A884" s="2540"/>
      <c r="B884" s="2540"/>
      <c r="C884" s="2540"/>
      <c r="D884" s="2540"/>
      <c r="E884" s="2540"/>
      <c r="F884" s="2540"/>
      <c r="G884" s="2540"/>
      <c r="H884" s="2540"/>
      <c r="I884" s="2541"/>
      <c r="J884" s="2540"/>
      <c r="K884" s="2540"/>
      <c r="L884" s="2540"/>
      <c r="M884" s="2540"/>
      <c r="N884" s="2540"/>
      <c r="O884" s="2540"/>
      <c r="P884" s="2540"/>
      <c r="Q884" s="2540"/>
      <c r="R884" s="2540"/>
      <c r="S884" s="2540"/>
      <c r="T884" s="2540"/>
    </row>
    <row r="885" spans="1:20">
      <c r="A885" s="2540"/>
      <c r="B885" s="2540"/>
      <c r="C885" s="2540"/>
      <c r="D885" s="2540"/>
      <c r="E885" s="2540"/>
      <c r="F885" s="2540"/>
      <c r="G885" s="2540"/>
      <c r="H885" s="2540"/>
      <c r="I885" s="2541"/>
      <c r="J885" s="2540"/>
      <c r="K885" s="2540"/>
      <c r="L885" s="2540"/>
      <c r="M885" s="2540"/>
      <c r="N885" s="2540"/>
      <c r="O885" s="2540"/>
      <c r="P885" s="2540"/>
      <c r="Q885" s="2540"/>
      <c r="R885" s="2540"/>
      <c r="S885" s="2540"/>
      <c r="T885" s="2540"/>
    </row>
    <row r="886" spans="1:20">
      <c r="A886" s="2540"/>
      <c r="B886" s="2540"/>
      <c r="C886" s="2540"/>
      <c r="D886" s="2540"/>
      <c r="E886" s="2540"/>
      <c r="F886" s="2540"/>
      <c r="G886" s="2540"/>
      <c r="H886" s="2540"/>
      <c r="I886" s="2541"/>
      <c r="J886" s="2540"/>
      <c r="K886" s="2540"/>
      <c r="L886" s="2540"/>
      <c r="M886" s="2540"/>
      <c r="N886" s="2540"/>
      <c r="O886" s="2540"/>
      <c r="P886" s="2540"/>
      <c r="Q886" s="2540"/>
      <c r="R886" s="2540"/>
      <c r="S886" s="2540"/>
      <c r="T886" s="2540"/>
    </row>
    <row r="887" spans="1:20">
      <c r="A887" s="2540"/>
      <c r="B887" s="2540"/>
      <c r="C887" s="2540"/>
      <c r="D887" s="2540"/>
      <c r="E887" s="2540"/>
      <c r="F887" s="2540"/>
      <c r="G887" s="2540"/>
      <c r="H887" s="2540"/>
      <c r="I887" s="2541"/>
      <c r="J887" s="2540"/>
      <c r="K887" s="2540"/>
      <c r="L887" s="2540"/>
      <c r="M887" s="2540"/>
      <c r="N887" s="2540"/>
      <c r="O887" s="2540"/>
      <c r="P887" s="2540"/>
      <c r="Q887" s="2540"/>
      <c r="R887" s="2540"/>
      <c r="S887" s="2540"/>
      <c r="T887" s="2540"/>
    </row>
    <row r="888" spans="1:20">
      <c r="A888" s="2540"/>
      <c r="B888" s="2540"/>
      <c r="C888" s="2540"/>
      <c r="D888" s="2540"/>
      <c r="E888" s="2540"/>
      <c r="F888" s="2540"/>
      <c r="G888" s="2540"/>
      <c r="H888" s="2540"/>
      <c r="I888" s="2541"/>
      <c r="J888" s="2540"/>
      <c r="K888" s="2540"/>
      <c r="L888" s="2540"/>
      <c r="M888" s="2540"/>
      <c r="N888" s="2540"/>
      <c r="O888" s="2540"/>
      <c r="P888" s="2540"/>
      <c r="Q888" s="2540"/>
      <c r="R888" s="2540"/>
      <c r="S888" s="2540"/>
      <c r="T888" s="2540"/>
    </row>
    <row r="889" spans="1:20">
      <c r="A889" s="2540"/>
      <c r="B889" s="2540"/>
      <c r="C889" s="2540"/>
      <c r="D889" s="2540"/>
      <c r="E889" s="2540"/>
      <c r="F889" s="2540"/>
      <c r="G889" s="2540"/>
      <c r="H889" s="2540"/>
      <c r="I889" s="2541"/>
      <c r="J889" s="2540"/>
      <c r="K889" s="2540"/>
      <c r="L889" s="2540"/>
      <c r="M889" s="2540"/>
      <c r="N889" s="2540"/>
      <c r="O889" s="2540"/>
      <c r="P889" s="2540"/>
      <c r="Q889" s="2540"/>
      <c r="R889" s="2540"/>
      <c r="S889" s="2540"/>
      <c r="T889" s="2540"/>
    </row>
    <row r="890" spans="1:20">
      <c r="A890" s="2540"/>
      <c r="B890" s="2540"/>
      <c r="C890" s="2540"/>
      <c r="D890" s="2540"/>
      <c r="E890" s="2540"/>
      <c r="F890" s="2540"/>
      <c r="G890" s="2540"/>
      <c r="H890" s="2540"/>
      <c r="I890" s="2541"/>
      <c r="J890" s="2540"/>
      <c r="K890" s="2540"/>
      <c r="L890" s="2540"/>
      <c r="M890" s="2540"/>
      <c r="N890" s="2540"/>
      <c r="O890" s="2540"/>
      <c r="P890" s="2540"/>
      <c r="Q890" s="2540"/>
      <c r="R890" s="2540"/>
      <c r="S890" s="2540"/>
      <c r="T890" s="2540"/>
    </row>
    <row r="891" spans="1:20">
      <c r="A891" s="2540"/>
      <c r="B891" s="2540"/>
      <c r="C891" s="2540"/>
      <c r="D891" s="2540"/>
      <c r="E891" s="2540"/>
      <c r="F891" s="2540"/>
      <c r="G891" s="2540"/>
      <c r="H891" s="2540"/>
      <c r="I891" s="2541"/>
      <c r="J891" s="2540"/>
      <c r="K891" s="2540"/>
      <c r="L891" s="2540"/>
      <c r="M891" s="2540"/>
      <c r="N891" s="2540"/>
      <c r="O891" s="2540"/>
      <c r="P891" s="2540"/>
      <c r="Q891" s="2540"/>
      <c r="R891" s="2540"/>
      <c r="S891" s="2540"/>
      <c r="T891" s="2540"/>
    </row>
    <row r="892" spans="1:20">
      <c r="A892" s="2540"/>
      <c r="B892" s="2540"/>
      <c r="C892" s="2540"/>
      <c r="D892" s="2540"/>
      <c r="E892" s="2540"/>
      <c r="F892" s="2540"/>
      <c r="G892" s="2540"/>
      <c r="H892" s="2540"/>
      <c r="I892" s="2541"/>
      <c r="J892" s="2540"/>
      <c r="K892" s="2540"/>
      <c r="L892" s="2540"/>
      <c r="M892" s="2540"/>
      <c r="N892" s="2540"/>
      <c r="O892" s="2540"/>
      <c r="P892" s="2540"/>
      <c r="Q892" s="2540"/>
      <c r="R892" s="2540"/>
      <c r="S892" s="2540"/>
      <c r="T892" s="2540"/>
    </row>
    <row r="893" spans="1:20">
      <c r="A893" s="2540"/>
      <c r="B893" s="2540"/>
      <c r="C893" s="2540"/>
      <c r="D893" s="2540"/>
      <c r="E893" s="2540"/>
      <c r="F893" s="2540"/>
      <c r="G893" s="2540"/>
      <c r="H893" s="2540"/>
      <c r="I893" s="2541"/>
      <c r="J893" s="2540"/>
      <c r="K893" s="2540"/>
      <c r="L893" s="2540"/>
      <c r="M893" s="2540"/>
      <c r="N893" s="2540"/>
      <c r="O893" s="2540"/>
      <c r="P893" s="2540"/>
      <c r="Q893" s="2540"/>
      <c r="R893" s="2540"/>
      <c r="S893" s="2540"/>
      <c r="T893" s="2540"/>
    </row>
    <row r="894" spans="1:20">
      <c r="A894" s="2540"/>
      <c r="B894" s="2540"/>
      <c r="C894" s="2540"/>
      <c r="D894" s="2540"/>
      <c r="E894" s="2540"/>
      <c r="F894" s="2540"/>
      <c r="G894" s="2540"/>
      <c r="H894" s="2540"/>
      <c r="I894" s="2541"/>
      <c r="J894" s="2540"/>
      <c r="K894" s="2540"/>
      <c r="L894" s="2540"/>
      <c r="M894" s="2540"/>
      <c r="N894" s="2540"/>
      <c r="O894" s="2540"/>
      <c r="P894" s="2540"/>
      <c r="Q894" s="2540"/>
      <c r="R894" s="2540"/>
      <c r="S894" s="2540"/>
      <c r="T894" s="2540"/>
    </row>
    <row r="895" spans="1:20">
      <c r="A895" s="2540"/>
      <c r="B895" s="2540"/>
      <c r="C895" s="2540"/>
      <c r="D895" s="2540"/>
      <c r="E895" s="2540"/>
      <c r="F895" s="2540"/>
      <c r="G895" s="2540"/>
      <c r="H895" s="2540"/>
      <c r="I895" s="2541"/>
      <c r="J895" s="2540"/>
      <c r="K895" s="2540"/>
      <c r="L895" s="2540"/>
      <c r="M895" s="2540"/>
      <c r="N895" s="2540"/>
      <c r="O895" s="2540"/>
      <c r="P895" s="2540"/>
      <c r="Q895" s="2540"/>
      <c r="R895" s="2540"/>
      <c r="S895" s="2540"/>
      <c r="T895" s="2540"/>
    </row>
    <row r="896" spans="1:20">
      <c r="A896" s="2540"/>
      <c r="B896" s="2540"/>
      <c r="C896" s="2540"/>
      <c r="D896" s="2540"/>
      <c r="E896" s="2540"/>
      <c r="F896" s="2540"/>
      <c r="G896" s="2540"/>
      <c r="H896" s="2540"/>
      <c r="I896" s="2541"/>
      <c r="J896" s="2540"/>
      <c r="K896" s="2540"/>
      <c r="L896" s="2540"/>
      <c r="M896" s="2540"/>
      <c r="N896" s="2540"/>
      <c r="O896" s="2540"/>
      <c r="P896" s="2540"/>
      <c r="Q896" s="2540"/>
      <c r="R896" s="2540"/>
      <c r="S896" s="2540"/>
      <c r="T896" s="2540"/>
    </row>
    <row r="897" spans="1:20">
      <c r="A897" s="2540"/>
      <c r="B897" s="2540"/>
      <c r="C897" s="2540"/>
      <c r="D897" s="2540"/>
      <c r="E897" s="2540"/>
      <c r="F897" s="2540"/>
      <c r="G897" s="2540"/>
      <c r="H897" s="2540"/>
      <c r="I897" s="2541"/>
      <c r="J897" s="2540"/>
      <c r="K897" s="2540"/>
      <c r="L897" s="2540"/>
      <c r="M897" s="2540"/>
      <c r="N897" s="2540"/>
      <c r="O897" s="2540"/>
      <c r="P897" s="2540"/>
      <c r="Q897" s="2540"/>
      <c r="R897" s="2540"/>
      <c r="S897" s="2540"/>
      <c r="T897" s="2540"/>
    </row>
    <row r="898" spans="1:20">
      <c r="A898" s="2540"/>
      <c r="B898" s="2540"/>
      <c r="C898" s="2540"/>
      <c r="D898" s="2540"/>
      <c r="E898" s="2540"/>
      <c r="F898" s="2540"/>
      <c r="G898" s="2540"/>
      <c r="H898" s="2540"/>
      <c r="I898" s="2541"/>
      <c r="J898" s="2540"/>
      <c r="K898" s="2540"/>
      <c r="L898" s="2540"/>
      <c r="M898" s="2540"/>
      <c r="N898" s="2540"/>
      <c r="O898" s="2540"/>
      <c r="P898" s="2540"/>
      <c r="Q898" s="2540"/>
      <c r="R898" s="2540"/>
      <c r="S898" s="2540"/>
      <c r="T898" s="2540"/>
    </row>
    <row r="899" spans="1:20">
      <c r="A899" s="2540"/>
      <c r="B899" s="2540"/>
      <c r="C899" s="2540"/>
      <c r="D899" s="2540"/>
      <c r="E899" s="2540"/>
      <c r="F899" s="2540"/>
      <c r="G899" s="2540"/>
      <c r="H899" s="2540"/>
      <c r="I899" s="2541"/>
      <c r="J899" s="2540"/>
      <c r="K899" s="2540"/>
      <c r="L899" s="2540"/>
      <c r="M899" s="2540"/>
      <c r="N899" s="2540"/>
      <c r="O899" s="2540"/>
      <c r="P899" s="2540"/>
      <c r="Q899" s="2540"/>
      <c r="R899" s="2540"/>
      <c r="S899" s="2540"/>
      <c r="T899" s="2540"/>
    </row>
    <row r="900" spans="1:20">
      <c r="A900" s="2540"/>
      <c r="B900" s="2540"/>
      <c r="C900" s="2540"/>
      <c r="D900" s="2540"/>
      <c r="E900" s="2540"/>
      <c r="F900" s="2540"/>
      <c r="G900" s="2540"/>
      <c r="H900" s="2540"/>
      <c r="I900" s="2541"/>
      <c r="J900" s="2540"/>
      <c r="K900" s="2540"/>
      <c r="L900" s="2540"/>
      <c r="M900" s="2540"/>
      <c r="N900" s="2540"/>
      <c r="O900" s="2540"/>
      <c r="P900" s="2540"/>
      <c r="Q900" s="2540"/>
      <c r="R900" s="2540"/>
      <c r="S900" s="2540"/>
      <c r="T900" s="2540"/>
    </row>
    <row r="901" spans="1:20">
      <c r="A901" s="2540"/>
      <c r="B901" s="2540"/>
      <c r="C901" s="2540"/>
      <c r="D901" s="2540"/>
      <c r="E901" s="2540"/>
      <c r="F901" s="2540"/>
      <c r="G901" s="2540"/>
      <c r="H901" s="2540"/>
      <c r="I901" s="2541"/>
      <c r="J901" s="2540"/>
      <c r="K901" s="2540"/>
      <c r="L901" s="2540"/>
      <c r="M901" s="2540"/>
      <c r="N901" s="2540"/>
      <c r="O901" s="2540"/>
      <c r="P901" s="2540"/>
      <c r="Q901" s="2540"/>
      <c r="R901" s="2540"/>
      <c r="S901" s="2540"/>
      <c r="T901" s="2540"/>
    </row>
    <row r="902" spans="1:20">
      <c r="A902" s="2540"/>
      <c r="B902" s="2540"/>
      <c r="C902" s="2540"/>
      <c r="D902" s="2540"/>
      <c r="E902" s="2540"/>
      <c r="F902" s="2540"/>
      <c r="G902" s="2540"/>
      <c r="H902" s="2540"/>
      <c r="I902" s="2541"/>
      <c r="J902" s="2540"/>
      <c r="K902" s="2540"/>
      <c r="L902" s="2540"/>
      <c r="M902" s="2540"/>
      <c r="N902" s="2540"/>
      <c r="O902" s="2540"/>
      <c r="P902" s="2540"/>
      <c r="Q902" s="2540"/>
      <c r="R902" s="2540"/>
      <c r="S902" s="2540"/>
      <c r="T902" s="2540"/>
    </row>
    <row r="903" spans="1:20">
      <c r="A903" s="2540"/>
      <c r="B903" s="2540"/>
      <c r="C903" s="2540"/>
      <c r="D903" s="2540"/>
      <c r="E903" s="2540"/>
      <c r="F903" s="2540"/>
      <c r="G903" s="2540"/>
      <c r="H903" s="2540"/>
      <c r="I903" s="2541"/>
      <c r="J903" s="2540"/>
      <c r="K903" s="2540"/>
      <c r="L903" s="2540"/>
      <c r="M903" s="2540"/>
      <c r="N903" s="2540"/>
      <c r="O903" s="2540"/>
      <c r="P903" s="2540"/>
      <c r="Q903" s="2540"/>
      <c r="R903" s="2540"/>
      <c r="S903" s="2540"/>
      <c r="T903" s="2540"/>
    </row>
    <row r="904" spans="1:20">
      <c r="A904" s="2540"/>
      <c r="B904" s="2540"/>
      <c r="C904" s="2540"/>
      <c r="D904" s="2540"/>
      <c r="E904" s="2540"/>
      <c r="F904" s="2540"/>
      <c r="G904" s="2540"/>
      <c r="H904" s="2540"/>
      <c r="I904" s="2541"/>
      <c r="J904" s="2540"/>
      <c r="K904" s="2540"/>
      <c r="L904" s="2540"/>
      <c r="M904" s="2540"/>
      <c r="N904" s="2540"/>
      <c r="O904" s="2540"/>
      <c r="P904" s="2540"/>
      <c r="Q904" s="2540"/>
      <c r="R904" s="2540"/>
      <c r="S904" s="2540"/>
      <c r="T904" s="2540"/>
    </row>
    <row r="905" spans="1:20">
      <c r="A905" s="2540"/>
      <c r="B905" s="2540"/>
      <c r="C905" s="2540"/>
      <c r="D905" s="2540"/>
      <c r="E905" s="2540"/>
      <c r="F905" s="2540"/>
      <c r="G905" s="2540"/>
      <c r="H905" s="2540"/>
      <c r="I905" s="2541"/>
      <c r="J905" s="2540"/>
      <c r="K905" s="2540"/>
      <c r="L905" s="2540"/>
      <c r="M905" s="2540"/>
      <c r="N905" s="2540"/>
      <c r="O905" s="2540"/>
      <c r="P905" s="2540"/>
      <c r="Q905" s="2540"/>
      <c r="R905" s="2540"/>
      <c r="S905" s="2540"/>
      <c r="T905" s="2540"/>
    </row>
    <row r="906" spans="1:20">
      <c r="A906" s="2540"/>
      <c r="B906" s="2540"/>
      <c r="C906" s="2540"/>
      <c r="D906" s="2540"/>
      <c r="E906" s="2540"/>
      <c r="F906" s="2540"/>
      <c r="G906" s="2540"/>
      <c r="H906" s="2540"/>
      <c r="I906" s="2541"/>
      <c r="J906" s="2540"/>
      <c r="K906" s="2540"/>
      <c r="L906" s="2540"/>
      <c r="M906" s="2540"/>
      <c r="N906" s="2540"/>
      <c r="O906" s="2540"/>
      <c r="P906" s="2540"/>
      <c r="Q906" s="2540"/>
      <c r="R906" s="2540"/>
      <c r="S906" s="2540"/>
      <c r="T906" s="2540"/>
    </row>
    <row r="907" spans="1:20">
      <c r="A907" s="2540"/>
      <c r="B907" s="2540"/>
      <c r="C907" s="2540"/>
      <c r="D907" s="2540"/>
      <c r="E907" s="2540"/>
      <c r="F907" s="2540"/>
      <c r="G907" s="2540"/>
      <c r="H907" s="2540"/>
      <c r="I907" s="2541"/>
      <c r="J907" s="2540"/>
      <c r="K907" s="2540"/>
      <c r="L907" s="2540"/>
      <c r="M907" s="2540"/>
      <c r="N907" s="2540"/>
      <c r="O907" s="2540"/>
      <c r="P907" s="2540"/>
      <c r="Q907" s="2540"/>
      <c r="R907" s="2540"/>
      <c r="S907" s="2540"/>
      <c r="T907" s="2540"/>
    </row>
    <row r="908" spans="1:20">
      <c r="A908" s="2540"/>
      <c r="B908" s="2540"/>
      <c r="C908" s="2540"/>
      <c r="D908" s="2540"/>
      <c r="E908" s="2540"/>
      <c r="F908" s="2540"/>
      <c r="G908" s="2540"/>
      <c r="H908" s="2540"/>
      <c r="I908" s="2541"/>
      <c r="J908" s="2540"/>
      <c r="K908" s="2540"/>
      <c r="L908" s="2540"/>
      <c r="M908" s="2540"/>
      <c r="N908" s="2540"/>
      <c r="O908" s="2540"/>
      <c r="P908" s="2540"/>
      <c r="Q908" s="2540"/>
      <c r="R908" s="2540"/>
      <c r="S908" s="2540"/>
      <c r="T908" s="2540"/>
    </row>
    <row r="909" spans="1:20">
      <c r="A909" s="2540"/>
      <c r="B909" s="2540"/>
      <c r="C909" s="2540"/>
      <c r="D909" s="2540"/>
      <c r="E909" s="2540"/>
      <c r="F909" s="2540"/>
      <c r="G909" s="2540"/>
      <c r="H909" s="2540"/>
      <c r="I909" s="2541"/>
      <c r="J909" s="2540"/>
      <c r="K909" s="2540"/>
      <c r="L909" s="2540"/>
      <c r="M909" s="2540"/>
      <c r="N909" s="2540"/>
      <c r="O909" s="2540"/>
      <c r="P909" s="2540"/>
      <c r="Q909" s="2540"/>
      <c r="R909" s="2540"/>
      <c r="S909" s="2540"/>
      <c r="T909" s="2540"/>
    </row>
    <row r="910" spans="1:20">
      <c r="A910" s="2540"/>
      <c r="B910" s="2540"/>
      <c r="C910" s="2540"/>
      <c r="D910" s="2540"/>
      <c r="E910" s="2540"/>
      <c r="F910" s="2540"/>
      <c r="G910" s="2540"/>
      <c r="H910" s="2540"/>
      <c r="I910" s="2541"/>
      <c r="J910" s="2540"/>
      <c r="K910" s="2540"/>
      <c r="L910" s="2540"/>
      <c r="M910" s="2540"/>
      <c r="N910" s="2540"/>
      <c r="O910" s="2540"/>
      <c r="P910" s="2540"/>
      <c r="Q910" s="2540"/>
      <c r="R910" s="2540"/>
      <c r="S910" s="2540"/>
      <c r="T910" s="2540"/>
    </row>
    <row r="911" spans="1:20">
      <c r="A911" s="2540"/>
      <c r="B911" s="2540"/>
      <c r="C911" s="2540"/>
      <c r="D911" s="2540"/>
      <c r="E911" s="2540"/>
      <c r="F911" s="2540"/>
      <c r="G911" s="2540"/>
      <c r="H911" s="2540"/>
      <c r="I911" s="2541"/>
      <c r="J911" s="2540"/>
      <c r="K911" s="2540"/>
      <c r="L911" s="2540"/>
      <c r="M911" s="2540"/>
      <c r="N911" s="2540"/>
      <c r="O911" s="2540"/>
      <c r="P911" s="2540"/>
      <c r="Q911" s="2540"/>
      <c r="R911" s="2540"/>
      <c r="S911" s="2540"/>
      <c r="T911" s="2540"/>
    </row>
    <row r="912" spans="1:20">
      <c r="A912" s="2540"/>
      <c r="B912" s="2540"/>
      <c r="C912" s="2540"/>
      <c r="D912" s="2540"/>
      <c r="E912" s="2540"/>
      <c r="F912" s="2540"/>
      <c r="G912" s="2540"/>
      <c r="H912" s="2540"/>
      <c r="I912" s="2541"/>
      <c r="J912" s="2540"/>
      <c r="K912" s="2540"/>
      <c r="L912" s="2540"/>
      <c r="M912" s="2540"/>
      <c r="N912" s="2540"/>
      <c r="O912" s="2540"/>
      <c r="P912" s="2540"/>
      <c r="Q912" s="2540"/>
      <c r="R912" s="2540"/>
      <c r="S912" s="2540"/>
      <c r="T912" s="2540"/>
    </row>
    <row r="913" spans="1:20">
      <c r="A913" s="2540"/>
      <c r="B913" s="2540"/>
      <c r="C913" s="2540"/>
      <c r="D913" s="2540"/>
      <c r="E913" s="2540"/>
      <c r="F913" s="2540"/>
      <c r="G913" s="2540"/>
      <c r="H913" s="2540"/>
      <c r="I913" s="2541"/>
      <c r="J913" s="2540"/>
      <c r="K913" s="2540"/>
      <c r="L913" s="2540"/>
      <c r="M913" s="2540"/>
      <c r="N913" s="2540"/>
      <c r="O913" s="2540"/>
      <c r="P913" s="2540"/>
      <c r="Q913" s="2540"/>
      <c r="R913" s="2540"/>
      <c r="S913" s="2540"/>
      <c r="T913" s="2540"/>
    </row>
    <row r="914" spans="1:20">
      <c r="A914" s="2540"/>
      <c r="B914" s="2540"/>
      <c r="C914" s="2540"/>
      <c r="D914" s="2540"/>
      <c r="E914" s="2540"/>
      <c r="F914" s="2540"/>
      <c r="G914" s="2540"/>
      <c r="H914" s="2540"/>
      <c r="I914" s="2541"/>
      <c r="J914" s="2540"/>
      <c r="K914" s="2540"/>
      <c r="L914" s="2540"/>
      <c r="M914" s="2540"/>
      <c r="N914" s="2540"/>
      <c r="O914" s="2540"/>
      <c r="P914" s="2540"/>
      <c r="Q914" s="2540"/>
      <c r="R914" s="2540"/>
      <c r="S914" s="2540"/>
      <c r="T914" s="2540"/>
    </row>
    <row r="915" spans="1:20">
      <c r="A915" s="2540"/>
      <c r="B915" s="2540"/>
      <c r="C915" s="2540"/>
      <c r="D915" s="2540"/>
      <c r="E915" s="2540"/>
      <c r="F915" s="2540"/>
      <c r="G915" s="2540"/>
      <c r="H915" s="2540"/>
      <c r="I915" s="2541"/>
      <c r="J915" s="2540"/>
      <c r="K915" s="2540"/>
      <c r="L915" s="2540"/>
      <c r="M915" s="2540"/>
      <c r="N915" s="2540"/>
      <c r="O915" s="2540"/>
      <c r="P915" s="2540"/>
      <c r="Q915" s="2540"/>
      <c r="R915" s="2540"/>
      <c r="S915" s="2540"/>
      <c r="T915" s="2540"/>
    </row>
    <row r="916" spans="1:20">
      <c r="A916" s="2540"/>
      <c r="B916" s="2540"/>
      <c r="C916" s="2540"/>
      <c r="D916" s="2540"/>
      <c r="E916" s="2540"/>
      <c r="F916" s="2540"/>
      <c r="G916" s="2540"/>
      <c r="H916" s="2540"/>
      <c r="I916" s="2541"/>
      <c r="J916" s="2540"/>
      <c r="K916" s="2540"/>
      <c r="L916" s="2540"/>
      <c r="M916" s="2540"/>
      <c r="N916" s="2540"/>
      <c r="O916" s="2540"/>
      <c r="P916" s="2540"/>
      <c r="Q916" s="2540"/>
      <c r="R916" s="2540"/>
      <c r="S916" s="2540"/>
      <c r="T916" s="2540"/>
    </row>
    <row r="917" spans="1:20">
      <c r="A917" s="2540"/>
      <c r="B917" s="2540"/>
      <c r="C917" s="2540"/>
      <c r="D917" s="2540"/>
      <c r="E917" s="2540"/>
      <c r="F917" s="2540"/>
      <c r="G917" s="2540"/>
      <c r="H917" s="2540"/>
      <c r="I917" s="2541"/>
      <c r="J917" s="2540"/>
      <c r="K917" s="2540"/>
      <c r="L917" s="2540"/>
      <c r="M917" s="2540"/>
      <c r="N917" s="2540"/>
      <c r="O917" s="2540"/>
      <c r="P917" s="2540"/>
      <c r="Q917" s="2540"/>
      <c r="R917" s="2540"/>
      <c r="S917" s="2540"/>
      <c r="T917" s="2540"/>
    </row>
    <row r="918" spans="1:20">
      <c r="A918" s="2540"/>
      <c r="B918" s="2540"/>
      <c r="C918" s="2540"/>
      <c r="D918" s="2540"/>
      <c r="E918" s="2540"/>
      <c r="F918" s="2540"/>
      <c r="G918" s="2540"/>
      <c r="H918" s="2540"/>
      <c r="I918" s="2541"/>
      <c r="J918" s="2540"/>
      <c r="K918" s="2540"/>
      <c r="L918" s="2540"/>
      <c r="M918" s="2540"/>
      <c r="N918" s="2540"/>
      <c r="O918" s="2540"/>
      <c r="P918" s="2540"/>
      <c r="Q918" s="2540"/>
      <c r="R918" s="2540"/>
      <c r="S918" s="2540"/>
      <c r="T918" s="2540"/>
    </row>
    <row r="919" spans="1:20">
      <c r="A919" s="2540"/>
      <c r="B919" s="2540"/>
      <c r="C919" s="2540"/>
      <c r="D919" s="2540"/>
      <c r="E919" s="2540"/>
      <c r="F919" s="2540"/>
      <c r="G919" s="2540"/>
      <c r="H919" s="2540"/>
      <c r="I919" s="2541"/>
      <c r="J919" s="2540"/>
      <c r="K919" s="2540"/>
      <c r="L919" s="2540"/>
      <c r="M919" s="2540"/>
      <c r="N919" s="2540"/>
      <c r="O919" s="2540"/>
      <c r="P919" s="2540"/>
      <c r="Q919" s="2540"/>
      <c r="R919" s="2540"/>
      <c r="S919" s="2540"/>
      <c r="T919" s="2540"/>
    </row>
    <row r="920" spans="1:20">
      <c r="A920" s="2540"/>
      <c r="B920" s="2540"/>
      <c r="C920" s="2540"/>
      <c r="D920" s="2540"/>
      <c r="E920" s="2540"/>
      <c r="F920" s="2540"/>
      <c r="G920" s="2540"/>
      <c r="H920" s="2540"/>
      <c r="I920" s="2541"/>
      <c r="J920" s="2540"/>
      <c r="K920" s="2540"/>
      <c r="L920" s="2540"/>
      <c r="M920" s="2540"/>
      <c r="N920" s="2540"/>
      <c r="O920" s="2540"/>
      <c r="P920" s="2540"/>
      <c r="Q920" s="2540"/>
      <c r="R920" s="2540"/>
      <c r="S920" s="2540"/>
      <c r="T920" s="2540"/>
    </row>
    <row r="921" spans="1:20">
      <c r="A921" s="2540"/>
      <c r="B921" s="2540"/>
      <c r="C921" s="2540"/>
      <c r="D921" s="2540"/>
      <c r="E921" s="2540"/>
      <c r="F921" s="2540"/>
      <c r="G921" s="2540"/>
      <c r="H921" s="2540"/>
      <c r="I921" s="2541"/>
      <c r="J921" s="2540"/>
      <c r="K921" s="2540"/>
      <c r="L921" s="2540"/>
      <c r="M921" s="2540"/>
      <c r="N921" s="2540"/>
      <c r="O921" s="2540"/>
      <c r="P921" s="2540"/>
      <c r="Q921" s="2540"/>
      <c r="R921" s="2540"/>
      <c r="S921" s="2540"/>
      <c r="T921" s="2540"/>
    </row>
    <row r="922" spans="1:20">
      <c r="A922" s="2540"/>
      <c r="B922" s="2540"/>
      <c r="C922" s="2540"/>
      <c r="D922" s="2540"/>
      <c r="E922" s="2540"/>
      <c r="F922" s="2540"/>
      <c r="G922" s="2540"/>
      <c r="H922" s="2540"/>
      <c r="I922" s="2541"/>
      <c r="J922" s="2540"/>
      <c r="K922" s="2540"/>
      <c r="L922" s="2540"/>
      <c r="M922" s="2540"/>
      <c r="N922" s="2540"/>
      <c r="O922" s="2540"/>
      <c r="P922" s="2540"/>
      <c r="Q922" s="2540"/>
      <c r="R922" s="2540"/>
      <c r="S922" s="2540"/>
      <c r="T922" s="2540"/>
    </row>
    <row r="923" spans="1:20">
      <c r="A923" s="2540"/>
      <c r="B923" s="2540"/>
      <c r="C923" s="2540"/>
      <c r="D923" s="2540"/>
      <c r="E923" s="2540"/>
      <c r="F923" s="2540"/>
      <c r="G923" s="2540"/>
      <c r="H923" s="2540"/>
      <c r="I923" s="2541"/>
      <c r="J923" s="2540"/>
      <c r="K923" s="2540"/>
      <c r="L923" s="2540"/>
      <c r="M923" s="2540"/>
      <c r="N923" s="2540"/>
      <c r="O923" s="2540"/>
      <c r="P923" s="2540"/>
      <c r="Q923" s="2540"/>
      <c r="R923" s="2540"/>
      <c r="S923" s="2540"/>
      <c r="T923" s="2540"/>
    </row>
    <row r="924" spans="1:20">
      <c r="A924" s="2540"/>
      <c r="B924" s="2540"/>
      <c r="C924" s="2540"/>
      <c r="D924" s="2540"/>
      <c r="E924" s="2540"/>
      <c r="F924" s="2540"/>
      <c r="G924" s="2540"/>
      <c r="H924" s="2540"/>
      <c r="I924" s="2541"/>
      <c r="J924" s="2540"/>
      <c r="K924" s="2540"/>
      <c r="L924" s="2540"/>
      <c r="M924" s="2540"/>
      <c r="N924" s="2540"/>
      <c r="O924" s="2540"/>
      <c r="P924" s="2540"/>
      <c r="Q924" s="2540"/>
      <c r="R924" s="2540"/>
      <c r="S924" s="2540"/>
      <c r="T924" s="2540"/>
    </row>
    <row r="925" spans="1:20">
      <c r="A925" s="2540"/>
      <c r="B925" s="2540"/>
      <c r="C925" s="2540"/>
      <c r="D925" s="2540"/>
      <c r="E925" s="2540"/>
      <c r="F925" s="2540"/>
      <c r="G925" s="2540"/>
      <c r="H925" s="2540"/>
      <c r="I925" s="2541"/>
      <c r="J925" s="2540"/>
      <c r="K925" s="2540"/>
      <c r="L925" s="2540"/>
      <c r="M925" s="2540"/>
      <c r="N925" s="2540"/>
      <c r="O925" s="2540"/>
      <c r="P925" s="2540"/>
      <c r="Q925" s="2540"/>
      <c r="R925" s="2540"/>
      <c r="S925" s="2540"/>
      <c r="T925" s="2540"/>
    </row>
    <row r="926" spans="1:20">
      <c r="A926" s="2540"/>
      <c r="B926" s="2540"/>
      <c r="C926" s="2540"/>
      <c r="D926" s="2540"/>
      <c r="E926" s="2540"/>
      <c r="F926" s="2540"/>
      <c r="G926" s="2540"/>
      <c r="H926" s="2540"/>
      <c r="I926" s="2541"/>
      <c r="J926" s="2540"/>
      <c r="K926" s="2540"/>
      <c r="L926" s="2540"/>
      <c r="M926" s="2540"/>
      <c r="N926" s="2540"/>
      <c r="O926" s="2540"/>
      <c r="P926" s="2540"/>
      <c r="Q926" s="2540"/>
      <c r="R926" s="2540"/>
      <c r="S926" s="2540"/>
      <c r="T926" s="2540"/>
    </row>
    <row r="927" spans="1:20">
      <c r="A927" s="2540"/>
      <c r="B927" s="2540"/>
      <c r="C927" s="2540"/>
      <c r="D927" s="2540"/>
      <c r="E927" s="2540"/>
      <c r="F927" s="2540"/>
      <c r="G927" s="2540"/>
      <c r="H927" s="2540"/>
      <c r="I927" s="2541"/>
      <c r="J927" s="2540"/>
      <c r="K927" s="2540"/>
      <c r="L927" s="2540"/>
      <c r="M927" s="2540"/>
      <c r="N927" s="2540"/>
      <c r="O927" s="2540"/>
      <c r="P927" s="2540"/>
      <c r="Q927" s="2540"/>
      <c r="R927" s="2540"/>
      <c r="S927" s="2540"/>
      <c r="T927" s="2540"/>
    </row>
    <row r="928" spans="1:20">
      <c r="A928" s="2540"/>
      <c r="B928" s="2540"/>
      <c r="C928" s="2540"/>
      <c r="D928" s="2540"/>
      <c r="E928" s="2540"/>
      <c r="F928" s="2540"/>
      <c r="G928" s="2540"/>
      <c r="H928" s="2540"/>
      <c r="I928" s="2541"/>
      <c r="J928" s="2540"/>
      <c r="K928" s="2540"/>
      <c r="L928" s="2540"/>
      <c r="M928" s="2540"/>
      <c r="N928" s="2540"/>
      <c r="O928" s="2540"/>
      <c r="P928" s="2540"/>
      <c r="Q928" s="2540"/>
      <c r="R928" s="2540"/>
      <c r="S928" s="2540"/>
      <c r="T928" s="2540"/>
    </row>
    <row r="929" spans="1:20">
      <c r="A929" s="2540"/>
      <c r="B929" s="2540"/>
      <c r="C929" s="2540"/>
      <c r="D929" s="2540"/>
      <c r="E929" s="2540"/>
      <c r="F929" s="2540"/>
      <c r="G929" s="2540"/>
      <c r="H929" s="2540"/>
      <c r="I929" s="2541"/>
      <c r="J929" s="2540"/>
      <c r="K929" s="2540"/>
      <c r="L929" s="2540"/>
      <c r="M929" s="2540"/>
      <c r="N929" s="2540"/>
      <c r="O929" s="2540"/>
      <c r="P929" s="2540"/>
      <c r="Q929" s="2540"/>
      <c r="R929" s="2540"/>
      <c r="S929" s="2540"/>
      <c r="T929" s="2540"/>
    </row>
    <row r="930" spans="1:20">
      <c r="A930" s="2540"/>
      <c r="B930" s="2540"/>
      <c r="C930" s="2540"/>
      <c r="D930" s="2540"/>
      <c r="E930" s="2540"/>
      <c r="F930" s="2540"/>
      <c r="G930" s="2540"/>
      <c r="H930" s="2540"/>
      <c r="I930" s="2541"/>
      <c r="J930" s="2540"/>
      <c r="K930" s="2540"/>
      <c r="L930" s="2540"/>
      <c r="M930" s="2540"/>
      <c r="N930" s="2540"/>
      <c r="O930" s="2540"/>
      <c r="P930" s="2540"/>
      <c r="Q930" s="2540"/>
      <c r="R930" s="2540"/>
      <c r="S930" s="2540"/>
      <c r="T930" s="2540"/>
    </row>
    <row r="931" spans="1:20">
      <c r="A931" s="2540"/>
      <c r="B931" s="2540"/>
      <c r="C931" s="2540"/>
      <c r="D931" s="2540"/>
      <c r="E931" s="2540"/>
      <c r="F931" s="2540"/>
      <c r="G931" s="2540"/>
      <c r="H931" s="2540"/>
      <c r="I931" s="2541"/>
      <c r="J931" s="2540"/>
      <c r="K931" s="2540"/>
      <c r="L931" s="2540"/>
      <c r="M931" s="2540"/>
      <c r="N931" s="2540"/>
      <c r="O931" s="2540"/>
      <c r="P931" s="2540"/>
      <c r="Q931" s="2540"/>
      <c r="R931" s="2540"/>
      <c r="S931" s="2540"/>
      <c r="T931" s="2540"/>
    </row>
    <row r="932" spans="1:20">
      <c r="A932" s="2540"/>
      <c r="B932" s="2540"/>
      <c r="C932" s="2540"/>
      <c r="D932" s="2540"/>
      <c r="E932" s="2540"/>
      <c r="F932" s="2540"/>
      <c r="G932" s="2540"/>
      <c r="H932" s="2540"/>
      <c r="I932" s="2541"/>
      <c r="J932" s="2540"/>
      <c r="K932" s="2540"/>
      <c r="L932" s="2540"/>
      <c r="M932" s="2540"/>
      <c r="N932" s="2540"/>
      <c r="O932" s="2540"/>
      <c r="P932" s="2540"/>
      <c r="Q932" s="2540"/>
      <c r="R932" s="2540"/>
      <c r="S932" s="2540"/>
      <c r="T932" s="2540"/>
    </row>
    <row r="933" spans="1:20">
      <c r="A933" s="2540"/>
      <c r="B933" s="2540"/>
      <c r="C933" s="2540"/>
      <c r="D933" s="2540"/>
      <c r="E933" s="2540"/>
      <c r="F933" s="2540"/>
      <c r="G933" s="2540"/>
      <c r="H933" s="2540"/>
      <c r="I933" s="2541"/>
      <c r="J933" s="2540"/>
      <c r="K933" s="2540"/>
      <c r="L933" s="2540"/>
      <c r="M933" s="2540"/>
      <c r="N933" s="2540"/>
      <c r="O933" s="2540"/>
      <c r="P933" s="2540"/>
      <c r="Q933" s="2540"/>
      <c r="R933" s="2540"/>
      <c r="S933" s="2540"/>
      <c r="T933" s="2540"/>
    </row>
    <row r="934" spans="1:20">
      <c r="A934" s="2540"/>
      <c r="B934" s="2540"/>
      <c r="C934" s="2540"/>
      <c r="D934" s="2540"/>
      <c r="E934" s="2540"/>
      <c r="F934" s="2540"/>
      <c r="G934" s="2540"/>
      <c r="H934" s="2540"/>
      <c r="I934" s="2541"/>
      <c r="J934" s="2540"/>
      <c r="K934" s="2540"/>
      <c r="L934" s="2540"/>
      <c r="M934" s="2540"/>
      <c r="N934" s="2540"/>
      <c r="O934" s="2540"/>
      <c r="P934" s="2540"/>
      <c r="Q934" s="2540"/>
      <c r="R934" s="2540"/>
      <c r="S934" s="2540"/>
      <c r="T934" s="2540"/>
    </row>
    <row r="935" spans="1:20">
      <c r="A935" s="2540"/>
      <c r="B935" s="2540"/>
      <c r="C935" s="2540"/>
      <c r="D935" s="2540"/>
      <c r="E935" s="2540"/>
      <c r="F935" s="2540"/>
      <c r="G935" s="2540"/>
      <c r="H935" s="2540"/>
      <c r="I935" s="2541"/>
      <c r="J935" s="2540"/>
      <c r="K935" s="2540"/>
      <c r="L935" s="2540"/>
      <c r="M935" s="2540"/>
      <c r="N935" s="2540"/>
      <c r="O935" s="2540"/>
      <c r="P935" s="2540"/>
      <c r="Q935" s="2540"/>
      <c r="R935" s="2540"/>
      <c r="S935" s="2540"/>
      <c r="T935" s="2540"/>
    </row>
    <row r="936" spans="1:20">
      <c r="A936" s="2540"/>
      <c r="B936" s="2540"/>
      <c r="C936" s="2540"/>
      <c r="D936" s="2540"/>
      <c r="E936" s="2540"/>
      <c r="F936" s="2540"/>
      <c r="G936" s="2540"/>
      <c r="H936" s="2540"/>
      <c r="I936" s="2541"/>
      <c r="J936" s="2540"/>
      <c r="K936" s="2540"/>
      <c r="L936" s="2540"/>
      <c r="M936" s="2540"/>
      <c r="N936" s="2540"/>
      <c r="O936" s="2540"/>
      <c r="P936" s="2540"/>
      <c r="Q936" s="2540"/>
      <c r="R936" s="2540"/>
      <c r="S936" s="2540"/>
      <c r="T936" s="2540"/>
    </row>
    <row r="937" spans="1:20">
      <c r="A937" s="2540"/>
      <c r="B937" s="2540"/>
      <c r="C937" s="2540"/>
      <c r="D937" s="2540"/>
      <c r="E937" s="2540"/>
      <c r="F937" s="2540"/>
      <c r="G937" s="2540"/>
      <c r="H937" s="2540"/>
      <c r="I937" s="2541"/>
      <c r="J937" s="2540"/>
      <c r="K937" s="2540"/>
      <c r="L937" s="2540"/>
      <c r="M937" s="2540"/>
      <c r="N937" s="2540"/>
      <c r="O937" s="2540"/>
      <c r="P937" s="2540"/>
      <c r="Q937" s="2540"/>
      <c r="R937" s="2540"/>
      <c r="S937" s="2540"/>
      <c r="T937" s="2540"/>
    </row>
    <row r="938" spans="1:20">
      <c r="A938" s="2540"/>
      <c r="B938" s="2540"/>
      <c r="C938" s="2540"/>
      <c r="D938" s="2540"/>
      <c r="E938" s="2540"/>
      <c r="F938" s="2540"/>
      <c r="G938" s="2540"/>
      <c r="H938" s="2540"/>
      <c r="I938" s="2541"/>
      <c r="J938" s="2540"/>
      <c r="K938" s="2540"/>
      <c r="L938" s="2540"/>
      <c r="M938" s="2540"/>
      <c r="N938" s="2540"/>
      <c r="O938" s="2540"/>
      <c r="P938" s="2540"/>
      <c r="Q938" s="2540"/>
      <c r="R938" s="2540"/>
      <c r="S938" s="2540"/>
      <c r="T938" s="2540"/>
    </row>
    <row r="939" spans="1:20">
      <c r="A939" s="2540"/>
      <c r="B939" s="2540"/>
      <c r="C939" s="2540"/>
      <c r="D939" s="2540"/>
      <c r="E939" s="2540"/>
      <c r="F939" s="2540"/>
      <c r="G939" s="2540"/>
      <c r="H939" s="2540"/>
      <c r="I939" s="2541"/>
      <c r="J939" s="2540"/>
      <c r="K939" s="2540"/>
      <c r="L939" s="2540"/>
      <c r="M939" s="2540"/>
      <c r="N939" s="2540"/>
      <c r="O939" s="2540"/>
      <c r="P939" s="2540"/>
      <c r="Q939" s="2540"/>
      <c r="R939" s="2540"/>
      <c r="S939" s="2540"/>
      <c r="T939" s="2540"/>
    </row>
    <row r="940" spans="1:20">
      <c r="A940" s="2540"/>
      <c r="B940" s="2540"/>
      <c r="C940" s="2540"/>
      <c r="D940" s="2540"/>
      <c r="E940" s="2540"/>
      <c r="F940" s="2540"/>
      <c r="G940" s="2540"/>
      <c r="H940" s="2540"/>
      <c r="I940" s="2541"/>
      <c r="J940" s="2540"/>
      <c r="K940" s="2540"/>
      <c r="L940" s="2540"/>
      <c r="M940" s="2540"/>
      <c r="N940" s="2540"/>
      <c r="O940" s="2540"/>
      <c r="P940" s="2540"/>
      <c r="Q940" s="2540"/>
      <c r="R940" s="2540"/>
      <c r="S940" s="2540"/>
      <c r="T940" s="2540"/>
    </row>
    <row r="941" spans="1:20">
      <c r="A941" s="2540"/>
      <c r="B941" s="2540"/>
      <c r="C941" s="2540"/>
      <c r="D941" s="2540"/>
      <c r="E941" s="2540"/>
      <c r="F941" s="2540"/>
      <c r="G941" s="2540"/>
      <c r="H941" s="2540"/>
      <c r="I941" s="2541"/>
      <c r="J941" s="2540"/>
      <c r="K941" s="2540"/>
      <c r="L941" s="2540"/>
      <c r="M941" s="2540"/>
      <c r="N941" s="2540"/>
      <c r="O941" s="2540"/>
      <c r="P941" s="2540"/>
      <c r="Q941" s="2540"/>
      <c r="R941" s="2540"/>
      <c r="S941" s="2540"/>
      <c r="T941" s="2540"/>
    </row>
    <row r="942" spans="1:20">
      <c r="A942" s="2540"/>
      <c r="B942" s="2540"/>
      <c r="C942" s="2540"/>
      <c r="D942" s="2540"/>
      <c r="E942" s="2540"/>
      <c r="F942" s="2540"/>
      <c r="G942" s="2540"/>
      <c r="H942" s="2540"/>
      <c r="I942" s="2541"/>
      <c r="J942" s="2540"/>
      <c r="K942" s="2540"/>
      <c r="L942" s="2540"/>
      <c r="M942" s="2540"/>
      <c r="N942" s="2540"/>
      <c r="O942" s="2540"/>
      <c r="P942" s="2540"/>
      <c r="Q942" s="2540"/>
      <c r="R942" s="2540"/>
      <c r="S942" s="2540"/>
      <c r="T942" s="2540"/>
    </row>
    <row r="943" spans="1:20">
      <c r="A943" s="2540"/>
      <c r="B943" s="2540"/>
      <c r="C943" s="2540"/>
      <c r="D943" s="2540"/>
      <c r="E943" s="2540"/>
      <c r="F943" s="2540"/>
      <c r="G943" s="2540"/>
      <c r="H943" s="2540"/>
      <c r="I943" s="2541"/>
      <c r="J943" s="2540"/>
      <c r="K943" s="2540"/>
      <c r="L943" s="2540"/>
      <c r="M943" s="2540"/>
      <c r="N943" s="2540"/>
      <c r="O943" s="2540"/>
      <c r="P943" s="2540"/>
      <c r="Q943" s="2540"/>
      <c r="R943" s="2540"/>
      <c r="S943" s="2540"/>
      <c r="T943" s="2540"/>
    </row>
    <row r="944" spans="1:20">
      <c r="A944" s="2540"/>
      <c r="B944" s="2540"/>
      <c r="C944" s="2540"/>
      <c r="D944" s="2540"/>
      <c r="E944" s="2540"/>
      <c r="F944" s="2540"/>
      <c r="G944" s="2540"/>
      <c r="H944" s="2540"/>
      <c r="I944" s="2541"/>
      <c r="J944" s="2540"/>
      <c r="K944" s="2540"/>
      <c r="L944" s="2540"/>
      <c r="M944" s="2540"/>
      <c r="N944" s="2540"/>
      <c r="O944" s="2540"/>
      <c r="P944" s="2540"/>
      <c r="Q944" s="2540"/>
      <c r="R944" s="2540"/>
      <c r="S944" s="2540"/>
      <c r="T944" s="2540"/>
    </row>
    <row r="945" spans="1:20">
      <c r="A945" s="2540"/>
      <c r="B945" s="2540"/>
      <c r="C945" s="2540"/>
      <c r="D945" s="2540"/>
      <c r="E945" s="2540"/>
      <c r="F945" s="2540"/>
      <c r="G945" s="2540"/>
      <c r="H945" s="2540"/>
      <c r="I945" s="2541"/>
      <c r="J945" s="2540"/>
      <c r="K945" s="2540"/>
      <c r="L945" s="2540"/>
      <c r="M945" s="2540"/>
      <c r="N945" s="2540"/>
      <c r="O945" s="2540"/>
      <c r="P945" s="2540"/>
      <c r="Q945" s="2540"/>
      <c r="R945" s="2540"/>
      <c r="S945" s="2540"/>
      <c r="T945" s="2540"/>
    </row>
    <row r="946" spans="1:20">
      <c r="A946" s="2540"/>
      <c r="B946" s="2540"/>
      <c r="C946" s="2540"/>
      <c r="D946" s="2540"/>
      <c r="E946" s="2540"/>
      <c r="F946" s="2540"/>
      <c r="G946" s="2540"/>
      <c r="H946" s="2540"/>
      <c r="I946" s="2541"/>
      <c r="J946" s="2540"/>
      <c r="K946" s="2540"/>
      <c r="L946" s="2540"/>
      <c r="M946" s="2540"/>
      <c r="N946" s="2540"/>
      <c r="O946" s="2540"/>
      <c r="P946" s="2540"/>
      <c r="Q946" s="2540"/>
      <c r="R946" s="2540"/>
      <c r="S946" s="2540"/>
      <c r="T946" s="2540"/>
    </row>
    <row r="947" spans="1:20">
      <c r="A947" s="2540"/>
      <c r="B947" s="2540"/>
      <c r="C947" s="2540"/>
      <c r="D947" s="2540"/>
      <c r="E947" s="2540"/>
      <c r="F947" s="2540"/>
      <c r="G947" s="2540"/>
      <c r="H947" s="2540"/>
      <c r="I947" s="2541"/>
      <c r="J947" s="2540"/>
      <c r="K947" s="2540"/>
      <c r="L947" s="2540"/>
      <c r="M947" s="2540"/>
      <c r="N947" s="2540"/>
      <c r="O947" s="2540"/>
      <c r="P947" s="2540"/>
      <c r="Q947" s="2540"/>
      <c r="R947" s="2540"/>
      <c r="S947" s="2540"/>
      <c r="T947" s="2540"/>
    </row>
    <row r="948" spans="1:20">
      <c r="A948" s="2540"/>
      <c r="B948" s="2540"/>
      <c r="C948" s="2540"/>
      <c r="D948" s="2540"/>
      <c r="E948" s="2540"/>
      <c r="F948" s="2540"/>
      <c r="G948" s="2540"/>
      <c r="H948" s="2540"/>
      <c r="I948" s="2541"/>
      <c r="J948" s="2540"/>
      <c r="K948" s="2540"/>
      <c r="L948" s="2540"/>
      <c r="M948" s="2540"/>
      <c r="N948" s="2540"/>
      <c r="O948" s="2540"/>
      <c r="P948" s="2540"/>
      <c r="Q948" s="2540"/>
      <c r="R948" s="2540"/>
      <c r="S948" s="2540"/>
      <c r="T948" s="2540"/>
    </row>
    <row r="949" spans="1:20">
      <c r="A949" s="2540"/>
      <c r="B949" s="2540"/>
      <c r="C949" s="2540"/>
      <c r="D949" s="2540"/>
      <c r="E949" s="2540"/>
      <c r="F949" s="2540"/>
      <c r="G949" s="2540"/>
      <c r="H949" s="2540"/>
      <c r="I949" s="2541"/>
      <c r="J949" s="2540"/>
      <c r="K949" s="2540"/>
      <c r="L949" s="2540"/>
      <c r="M949" s="2540"/>
      <c r="N949" s="2540"/>
      <c r="O949" s="2540"/>
      <c r="P949" s="2540"/>
      <c r="Q949" s="2540"/>
      <c r="R949" s="2540"/>
      <c r="S949" s="2540"/>
      <c r="T949" s="2540"/>
    </row>
    <row r="950" spans="1:20">
      <c r="A950" s="2540"/>
      <c r="B950" s="2540"/>
      <c r="C950" s="2540"/>
      <c r="D950" s="2540"/>
      <c r="E950" s="2540"/>
      <c r="F950" s="2540"/>
      <c r="G950" s="2540"/>
      <c r="H950" s="2540"/>
      <c r="I950" s="2541"/>
      <c r="J950" s="2540"/>
      <c r="K950" s="2540"/>
      <c r="L950" s="2540"/>
      <c r="M950" s="2540"/>
      <c r="N950" s="2540"/>
      <c r="O950" s="2540"/>
      <c r="P950" s="2540"/>
      <c r="Q950" s="2540"/>
      <c r="R950" s="2540"/>
      <c r="S950" s="2540"/>
      <c r="T950" s="2540"/>
    </row>
    <row r="951" spans="1:20">
      <c r="A951" s="2540"/>
      <c r="B951" s="2540"/>
      <c r="C951" s="2540"/>
      <c r="D951" s="2540"/>
      <c r="E951" s="2540"/>
      <c r="F951" s="2540"/>
      <c r="G951" s="2540"/>
      <c r="H951" s="2540"/>
      <c r="I951" s="2541"/>
      <c r="J951" s="2540"/>
      <c r="K951" s="2540"/>
      <c r="L951" s="2540"/>
      <c r="M951" s="2540"/>
      <c r="N951" s="2540"/>
      <c r="O951" s="2540"/>
      <c r="P951" s="2540"/>
      <c r="Q951" s="2540"/>
      <c r="R951" s="2540"/>
      <c r="S951" s="2540"/>
      <c r="T951" s="2540"/>
    </row>
    <row r="952" spans="1:20">
      <c r="A952" s="2540"/>
      <c r="B952" s="2540"/>
      <c r="C952" s="2540"/>
      <c r="D952" s="2540"/>
      <c r="E952" s="2540"/>
      <c r="F952" s="2540"/>
      <c r="G952" s="2540"/>
      <c r="H952" s="2540"/>
      <c r="I952" s="2541"/>
      <c r="J952" s="2540"/>
      <c r="K952" s="2540"/>
      <c r="L952" s="2540"/>
      <c r="M952" s="2540"/>
      <c r="N952" s="2540"/>
      <c r="O952" s="2540"/>
      <c r="P952" s="2540"/>
      <c r="Q952" s="2540"/>
      <c r="R952" s="2540"/>
      <c r="S952" s="2540"/>
      <c r="T952" s="2540"/>
    </row>
    <row r="953" spans="1:20">
      <c r="A953" s="2540"/>
      <c r="B953" s="2540"/>
      <c r="C953" s="2540"/>
      <c r="D953" s="2540"/>
      <c r="E953" s="2540"/>
      <c r="F953" s="2540"/>
      <c r="G953" s="2540"/>
      <c r="H953" s="2540"/>
      <c r="I953" s="2541"/>
      <c r="J953" s="2540"/>
      <c r="K953" s="2540"/>
      <c r="L953" s="2540"/>
      <c r="M953" s="2540"/>
      <c r="N953" s="2540"/>
      <c r="O953" s="2540"/>
      <c r="P953" s="2540"/>
      <c r="Q953" s="2540"/>
      <c r="R953" s="2540"/>
      <c r="S953" s="2540"/>
      <c r="T953" s="2540"/>
    </row>
    <row r="954" spans="1:20">
      <c r="A954" s="2540"/>
      <c r="B954" s="2540"/>
      <c r="C954" s="2540"/>
      <c r="D954" s="2540"/>
      <c r="E954" s="2540"/>
      <c r="F954" s="2540"/>
      <c r="G954" s="2540"/>
      <c r="H954" s="2540"/>
      <c r="I954" s="2541"/>
      <c r="J954" s="2540"/>
      <c r="K954" s="2540"/>
      <c r="L954" s="2540"/>
      <c r="M954" s="2540"/>
      <c r="N954" s="2540"/>
      <c r="O954" s="2540"/>
      <c r="P954" s="2540"/>
      <c r="Q954" s="2540"/>
      <c r="R954" s="2540"/>
      <c r="S954" s="2540"/>
      <c r="T954" s="2540"/>
    </row>
    <row r="955" spans="1:20">
      <c r="A955" s="2540"/>
      <c r="B955" s="2540"/>
      <c r="C955" s="2540"/>
      <c r="D955" s="2540"/>
      <c r="E955" s="2540"/>
      <c r="F955" s="2540"/>
      <c r="G955" s="2540"/>
      <c r="H955" s="2540"/>
      <c r="I955" s="2541"/>
      <c r="J955" s="2540"/>
      <c r="K955" s="2540"/>
      <c r="L955" s="2540"/>
      <c r="M955" s="2540"/>
      <c r="N955" s="2540"/>
      <c r="O955" s="2540"/>
      <c r="P955" s="2540"/>
      <c r="Q955" s="2540"/>
      <c r="R955" s="2540"/>
      <c r="S955" s="2540"/>
      <c r="T955" s="2540"/>
    </row>
    <row r="956" spans="1:20">
      <c r="A956" s="2540"/>
      <c r="B956" s="2540"/>
      <c r="C956" s="2540"/>
      <c r="D956" s="2540"/>
      <c r="E956" s="2540"/>
      <c r="F956" s="2540"/>
      <c r="G956" s="2540"/>
      <c r="H956" s="2540"/>
      <c r="I956" s="2541"/>
      <c r="J956" s="2540"/>
      <c r="K956" s="2540"/>
      <c r="L956" s="2540"/>
      <c r="M956" s="2540"/>
      <c r="N956" s="2540"/>
      <c r="O956" s="2540"/>
      <c r="P956" s="2540"/>
      <c r="Q956" s="2540"/>
      <c r="R956" s="2540"/>
      <c r="S956" s="2540"/>
      <c r="T956" s="2540"/>
    </row>
    <row r="957" spans="1:20">
      <c r="A957" s="2540"/>
      <c r="B957" s="2540"/>
      <c r="C957" s="2540"/>
      <c r="D957" s="2540"/>
      <c r="E957" s="2540"/>
      <c r="F957" s="2540"/>
      <c r="G957" s="2540"/>
      <c r="H957" s="2540"/>
      <c r="I957" s="2541"/>
      <c r="J957" s="2540"/>
      <c r="K957" s="2540"/>
      <c r="L957" s="2540"/>
      <c r="M957" s="2540"/>
      <c r="N957" s="2540"/>
      <c r="O957" s="2540"/>
      <c r="P957" s="2540"/>
      <c r="Q957" s="2540"/>
      <c r="R957" s="2540"/>
      <c r="S957" s="2540"/>
      <c r="T957" s="2540"/>
    </row>
    <row r="958" spans="1:20">
      <c r="A958" s="2540"/>
      <c r="B958" s="2540"/>
      <c r="C958" s="2540"/>
      <c r="D958" s="2540"/>
      <c r="E958" s="2540"/>
      <c r="F958" s="2540"/>
      <c r="G958" s="2540"/>
      <c r="H958" s="2540"/>
      <c r="I958" s="2541"/>
      <c r="J958" s="2540"/>
      <c r="K958" s="2540"/>
      <c r="L958" s="2540"/>
      <c r="M958" s="2540"/>
      <c r="N958" s="2540"/>
      <c r="O958" s="2540"/>
      <c r="P958" s="2540"/>
      <c r="Q958" s="2540"/>
      <c r="R958" s="2540"/>
      <c r="S958" s="2540"/>
      <c r="T958" s="2540"/>
    </row>
    <row r="959" spans="1:20">
      <c r="A959" s="2540"/>
      <c r="B959" s="2540"/>
      <c r="C959" s="2540"/>
      <c r="D959" s="2540"/>
      <c r="E959" s="2540"/>
      <c r="F959" s="2540"/>
      <c r="G959" s="2540"/>
      <c r="H959" s="2540"/>
      <c r="I959" s="2541"/>
      <c r="J959" s="2540"/>
      <c r="K959" s="2540"/>
      <c r="L959" s="2540"/>
      <c r="M959" s="2540"/>
      <c r="N959" s="2540"/>
      <c r="O959" s="2540"/>
      <c r="P959" s="2540"/>
      <c r="Q959" s="2540"/>
      <c r="R959" s="2540"/>
      <c r="S959" s="2540"/>
      <c r="T959" s="2540"/>
    </row>
    <row r="960" spans="1:20">
      <c r="A960" s="2540"/>
      <c r="B960" s="2540"/>
      <c r="C960" s="2540"/>
      <c r="D960" s="2540"/>
      <c r="E960" s="2540"/>
      <c r="F960" s="2540"/>
      <c r="G960" s="2540"/>
      <c r="H960" s="2540"/>
      <c r="I960" s="2541"/>
      <c r="J960" s="2540"/>
      <c r="K960" s="2540"/>
      <c r="L960" s="2540"/>
      <c r="M960" s="2540"/>
      <c r="N960" s="2540"/>
      <c r="O960" s="2540"/>
      <c r="P960" s="2540"/>
      <c r="Q960" s="2540"/>
      <c r="R960" s="2540"/>
      <c r="S960" s="2540"/>
      <c r="T960" s="2540"/>
    </row>
    <row r="961" spans="1:20">
      <c r="A961" s="2540"/>
      <c r="B961" s="2540"/>
      <c r="C961" s="2540"/>
      <c r="D961" s="2540"/>
      <c r="E961" s="2540"/>
      <c r="F961" s="2540"/>
      <c r="G961" s="2540"/>
      <c r="H961" s="2540"/>
      <c r="I961" s="2541"/>
      <c r="J961" s="2540"/>
      <c r="K961" s="2540"/>
      <c r="L961" s="2540"/>
      <c r="M961" s="2540"/>
      <c r="N961" s="2540"/>
      <c r="O961" s="2540"/>
      <c r="P961" s="2540"/>
      <c r="Q961" s="2540"/>
      <c r="R961" s="2540"/>
      <c r="S961" s="2540"/>
      <c r="T961" s="2540"/>
    </row>
    <row r="962" spans="1:20">
      <c r="A962" s="2540"/>
      <c r="B962" s="2540"/>
      <c r="C962" s="2540"/>
      <c r="D962" s="2540"/>
      <c r="E962" s="2540"/>
      <c r="F962" s="2540"/>
      <c r="G962" s="2540"/>
      <c r="H962" s="2540"/>
      <c r="I962" s="2541"/>
      <c r="J962" s="2540"/>
      <c r="K962" s="2540"/>
      <c r="L962" s="2540"/>
      <c r="M962" s="2540"/>
      <c r="N962" s="2540"/>
      <c r="O962" s="2540"/>
      <c r="P962" s="2540"/>
      <c r="Q962" s="2540"/>
      <c r="R962" s="2540"/>
      <c r="S962" s="2540"/>
      <c r="T962" s="2540"/>
    </row>
    <row r="963" spans="1:20">
      <c r="A963" s="2540"/>
      <c r="B963" s="2540"/>
      <c r="C963" s="2540"/>
      <c r="D963" s="2540"/>
      <c r="E963" s="2540"/>
      <c r="F963" s="2540"/>
      <c r="G963" s="2540"/>
      <c r="H963" s="2540"/>
      <c r="I963" s="2541"/>
      <c r="J963" s="2540"/>
      <c r="K963" s="2540"/>
      <c r="L963" s="2540"/>
      <c r="M963" s="2540"/>
      <c r="N963" s="2540"/>
      <c r="O963" s="2540"/>
      <c r="P963" s="2540"/>
      <c r="Q963" s="2540"/>
      <c r="R963" s="2540"/>
      <c r="S963" s="2540"/>
      <c r="T963" s="2540"/>
    </row>
    <row r="964" spans="1:20">
      <c r="A964" s="2540"/>
      <c r="B964" s="2540"/>
      <c r="C964" s="2540"/>
      <c r="D964" s="2540"/>
      <c r="E964" s="2540"/>
      <c r="F964" s="2540"/>
      <c r="G964" s="2540"/>
      <c r="H964" s="2540"/>
      <c r="I964" s="2541"/>
      <c r="J964" s="2540"/>
      <c r="K964" s="2540"/>
      <c r="L964" s="2540"/>
      <c r="M964" s="2540"/>
      <c r="N964" s="2540"/>
      <c r="O964" s="2540"/>
      <c r="P964" s="2540"/>
      <c r="Q964" s="2540"/>
      <c r="R964" s="2540"/>
      <c r="S964" s="2540"/>
      <c r="T964" s="2540"/>
    </row>
    <row r="965" spans="1:20">
      <c r="A965" s="2540"/>
      <c r="B965" s="2540"/>
      <c r="C965" s="2540"/>
      <c r="D965" s="2540"/>
      <c r="E965" s="2540"/>
      <c r="F965" s="2540"/>
      <c r="G965" s="2540"/>
      <c r="H965" s="2540"/>
      <c r="I965" s="2541"/>
      <c r="J965" s="2540"/>
      <c r="K965" s="2540"/>
      <c r="L965" s="2540"/>
      <c r="M965" s="2540"/>
      <c r="N965" s="2540"/>
      <c r="O965" s="2540"/>
      <c r="P965" s="2540"/>
      <c r="Q965" s="2540"/>
      <c r="R965" s="2540"/>
      <c r="S965" s="2540"/>
      <c r="T965" s="2540"/>
    </row>
    <row r="966" spans="1:20">
      <c r="A966" s="2540"/>
      <c r="B966" s="2540"/>
      <c r="C966" s="2540"/>
      <c r="D966" s="2540"/>
      <c r="E966" s="2540"/>
      <c r="F966" s="2540"/>
      <c r="G966" s="2540"/>
      <c r="H966" s="2540"/>
      <c r="I966" s="2541"/>
      <c r="J966" s="2540"/>
      <c r="K966" s="2540"/>
      <c r="L966" s="2540"/>
      <c r="M966" s="2540"/>
      <c r="N966" s="2540"/>
      <c r="O966" s="2540"/>
      <c r="P966" s="2540"/>
      <c r="Q966" s="2540"/>
      <c r="R966" s="2540"/>
      <c r="S966" s="2540"/>
      <c r="T966" s="2540"/>
    </row>
    <row r="967" spans="1:20">
      <c r="A967" s="2540"/>
      <c r="B967" s="2540"/>
      <c r="C967" s="2540"/>
      <c r="D967" s="2540"/>
      <c r="E967" s="2540"/>
      <c r="F967" s="2540"/>
      <c r="G967" s="2540"/>
      <c r="H967" s="2540"/>
      <c r="I967" s="2541"/>
      <c r="J967" s="2540"/>
      <c r="K967" s="2540"/>
      <c r="L967" s="2540"/>
      <c r="M967" s="2540"/>
      <c r="N967" s="2540"/>
      <c r="O967" s="2540"/>
      <c r="P967" s="2540"/>
      <c r="Q967" s="2540"/>
      <c r="R967" s="2540"/>
      <c r="S967" s="2540"/>
      <c r="T967" s="2540"/>
    </row>
    <row r="968" spans="1:20">
      <c r="A968" s="2540"/>
      <c r="B968" s="2540"/>
      <c r="C968" s="2540"/>
      <c r="D968" s="2540"/>
      <c r="E968" s="2540"/>
      <c r="F968" s="2540"/>
      <c r="G968" s="2540"/>
      <c r="H968" s="2540"/>
      <c r="I968" s="2541"/>
      <c r="J968" s="2540"/>
      <c r="K968" s="2540"/>
      <c r="L968" s="2540"/>
      <c r="M968" s="2540"/>
      <c r="N968" s="2540"/>
      <c r="O968" s="2540"/>
      <c r="P968" s="2540"/>
      <c r="Q968" s="2540"/>
      <c r="R968" s="2540"/>
      <c r="S968" s="2540"/>
      <c r="T968" s="2540"/>
    </row>
    <row r="969" spans="1:20">
      <c r="A969" s="2540"/>
      <c r="B969" s="2540"/>
      <c r="C969" s="2540"/>
      <c r="D969" s="2540"/>
      <c r="E969" s="2540"/>
      <c r="F969" s="2540"/>
      <c r="G969" s="2540"/>
      <c r="H969" s="2540"/>
      <c r="I969" s="2541"/>
      <c r="J969" s="2540"/>
      <c r="K969" s="2540"/>
      <c r="L969" s="2540"/>
      <c r="M969" s="2540"/>
      <c r="N969" s="2540"/>
      <c r="O969" s="2540"/>
      <c r="P969" s="2540"/>
      <c r="Q969" s="2540"/>
      <c r="R969" s="2540"/>
      <c r="S969" s="2540"/>
      <c r="T969" s="2540"/>
    </row>
    <row r="970" spans="1:20">
      <c r="A970" s="2540"/>
      <c r="B970" s="2540"/>
      <c r="C970" s="2540"/>
      <c r="D970" s="2540"/>
      <c r="E970" s="2540"/>
      <c r="F970" s="2540"/>
      <c r="G970" s="2540"/>
      <c r="H970" s="2540"/>
      <c r="I970" s="2541"/>
      <c r="J970" s="2540"/>
      <c r="K970" s="2540"/>
      <c r="L970" s="2540"/>
      <c r="M970" s="2540"/>
      <c r="N970" s="2540"/>
      <c r="O970" s="2540"/>
      <c r="P970" s="2540"/>
      <c r="Q970" s="2540"/>
      <c r="R970" s="2540"/>
      <c r="S970" s="2540"/>
      <c r="T970" s="2540"/>
    </row>
    <row r="971" spans="1:20">
      <c r="A971" s="2540"/>
      <c r="B971" s="2540"/>
      <c r="C971" s="2540"/>
      <c r="D971" s="2540"/>
      <c r="E971" s="2540"/>
      <c r="F971" s="2540"/>
      <c r="G971" s="2540"/>
      <c r="H971" s="2540"/>
      <c r="I971" s="2541"/>
      <c r="J971" s="2540"/>
      <c r="K971" s="2540"/>
      <c r="L971" s="2540"/>
      <c r="M971" s="2540"/>
      <c r="N971" s="2540"/>
      <c r="O971" s="2540"/>
      <c r="P971" s="2540"/>
      <c r="Q971" s="2540"/>
      <c r="R971" s="2540"/>
      <c r="S971" s="2540"/>
      <c r="T971" s="2540"/>
    </row>
    <row r="972" spans="1:20">
      <c r="A972" s="2540"/>
      <c r="B972" s="2540"/>
      <c r="C972" s="2540"/>
      <c r="D972" s="2540"/>
      <c r="E972" s="2540"/>
      <c r="F972" s="2540"/>
      <c r="G972" s="2540"/>
      <c r="H972" s="2540"/>
      <c r="I972" s="2541"/>
      <c r="J972" s="2540"/>
      <c r="K972" s="2540"/>
      <c r="L972" s="2540"/>
      <c r="M972" s="2540"/>
      <c r="N972" s="2540"/>
      <c r="O972" s="2540"/>
      <c r="P972" s="2540"/>
      <c r="Q972" s="2540"/>
      <c r="R972" s="2540"/>
      <c r="S972" s="2540"/>
      <c r="T972" s="2540"/>
    </row>
    <row r="973" spans="1:20">
      <c r="A973" s="2540"/>
      <c r="B973" s="2540"/>
      <c r="C973" s="2540"/>
      <c r="D973" s="2540"/>
      <c r="E973" s="2540"/>
      <c r="F973" s="2540"/>
      <c r="G973" s="2540"/>
      <c r="H973" s="2540"/>
      <c r="I973" s="2541"/>
      <c r="J973" s="2540"/>
      <c r="K973" s="2540"/>
      <c r="L973" s="2540"/>
      <c r="M973" s="2540"/>
      <c r="N973" s="2540"/>
      <c r="O973" s="2540"/>
      <c r="P973" s="2540"/>
      <c r="Q973" s="2540"/>
      <c r="R973" s="2540"/>
      <c r="S973" s="2540"/>
      <c r="T973" s="2540"/>
    </row>
    <row r="974" spans="1:20">
      <c r="A974" s="2540"/>
      <c r="B974" s="2540"/>
      <c r="C974" s="2540"/>
      <c r="D974" s="2540"/>
      <c r="E974" s="2540"/>
      <c r="F974" s="2540"/>
      <c r="G974" s="2540"/>
      <c r="H974" s="2540"/>
      <c r="I974" s="2541"/>
      <c r="J974" s="2540"/>
      <c r="K974" s="2540"/>
      <c r="L974" s="2540"/>
      <c r="M974" s="2540"/>
      <c r="N974" s="2540"/>
      <c r="O974" s="2540"/>
      <c r="P974" s="2540"/>
      <c r="Q974" s="2540"/>
      <c r="R974" s="2540"/>
      <c r="S974" s="2540"/>
      <c r="T974" s="2540"/>
    </row>
    <row r="975" spans="1:20">
      <c r="A975" s="2540"/>
      <c r="B975" s="2540"/>
      <c r="C975" s="2540"/>
      <c r="D975" s="2540"/>
      <c r="E975" s="2540"/>
      <c r="F975" s="2540"/>
      <c r="G975" s="2540"/>
      <c r="H975" s="2540"/>
      <c r="I975" s="2541"/>
      <c r="J975" s="2540"/>
      <c r="K975" s="2540"/>
      <c r="L975" s="2540"/>
      <c r="M975" s="2540"/>
      <c r="N975" s="2540"/>
      <c r="O975" s="2540"/>
      <c r="P975" s="2540"/>
      <c r="Q975" s="2540"/>
      <c r="R975" s="2540"/>
      <c r="S975" s="2540"/>
      <c r="T975" s="2540"/>
    </row>
    <row r="976" spans="1:20">
      <c r="A976" s="2540"/>
      <c r="B976" s="2540"/>
      <c r="C976" s="2540"/>
      <c r="D976" s="2540"/>
      <c r="E976" s="2540"/>
      <c r="F976" s="2540"/>
      <c r="G976" s="2540"/>
      <c r="H976" s="2540"/>
      <c r="I976" s="2541"/>
      <c r="J976" s="2540"/>
      <c r="K976" s="2540"/>
      <c r="L976" s="2540"/>
      <c r="M976" s="2540"/>
      <c r="N976" s="2540"/>
      <c r="O976" s="2540"/>
      <c r="P976" s="2540"/>
      <c r="Q976" s="2540"/>
      <c r="R976" s="2540"/>
      <c r="S976" s="2540"/>
      <c r="T976" s="2540"/>
    </row>
    <row r="977" spans="1:20">
      <c r="A977" s="2540"/>
      <c r="B977" s="2540"/>
      <c r="C977" s="2540"/>
      <c r="D977" s="2540"/>
      <c r="E977" s="2540"/>
      <c r="F977" s="2540"/>
      <c r="G977" s="2540"/>
      <c r="H977" s="2540"/>
      <c r="I977" s="2541"/>
      <c r="J977" s="2540"/>
      <c r="K977" s="2540"/>
      <c r="L977" s="2540"/>
      <c r="M977" s="2540"/>
      <c r="N977" s="2540"/>
      <c r="O977" s="2540"/>
      <c r="P977" s="2540"/>
      <c r="Q977" s="2540"/>
      <c r="R977" s="2540"/>
      <c r="S977" s="2540"/>
      <c r="T977" s="2540"/>
    </row>
    <row r="978" spans="1:20">
      <c r="A978" s="2540"/>
      <c r="B978" s="2540"/>
      <c r="C978" s="2540"/>
      <c r="D978" s="2540"/>
      <c r="E978" s="2540"/>
      <c r="F978" s="2540"/>
      <c r="G978" s="2540"/>
      <c r="H978" s="2540"/>
      <c r="I978" s="2541"/>
      <c r="J978" s="2540"/>
      <c r="K978" s="2540"/>
      <c r="L978" s="2540"/>
      <c r="M978" s="2540"/>
      <c r="N978" s="2540"/>
      <c r="O978" s="2540"/>
      <c r="P978" s="2540"/>
      <c r="Q978" s="2540"/>
      <c r="R978" s="2540"/>
      <c r="S978" s="2540"/>
      <c r="T978" s="2540"/>
    </row>
    <row r="979" spans="1:20">
      <c r="A979" s="2540"/>
      <c r="B979" s="2540"/>
      <c r="C979" s="2540"/>
      <c r="D979" s="2540"/>
      <c r="E979" s="2540"/>
      <c r="F979" s="2540"/>
      <c r="G979" s="2540"/>
      <c r="H979" s="2540"/>
      <c r="I979" s="2541"/>
      <c r="J979" s="2540"/>
      <c r="K979" s="2540"/>
      <c r="L979" s="2540"/>
      <c r="M979" s="2540"/>
      <c r="N979" s="2540"/>
      <c r="O979" s="2540"/>
      <c r="P979" s="2540"/>
      <c r="Q979" s="2540"/>
      <c r="R979" s="2540"/>
      <c r="S979" s="2540"/>
      <c r="T979" s="2540"/>
    </row>
    <row r="980" spans="1:20">
      <c r="A980" s="2540"/>
      <c r="B980" s="2540"/>
      <c r="C980" s="2540"/>
      <c r="D980" s="2540"/>
      <c r="E980" s="2540"/>
      <c r="F980" s="2540"/>
      <c r="G980" s="2540"/>
      <c r="H980" s="2540"/>
      <c r="I980" s="2541"/>
      <c r="J980" s="2540"/>
      <c r="K980" s="2540"/>
      <c r="L980" s="2540"/>
      <c r="M980" s="2540"/>
      <c r="N980" s="2540"/>
      <c r="O980" s="2540"/>
      <c r="P980" s="2540"/>
      <c r="Q980" s="2540"/>
      <c r="R980" s="2540"/>
      <c r="S980" s="2540"/>
      <c r="T980" s="2540"/>
    </row>
    <row r="981" spans="1:20">
      <c r="A981" s="2540"/>
      <c r="B981" s="2540"/>
      <c r="C981" s="2540"/>
      <c r="D981" s="2540"/>
      <c r="E981" s="2540"/>
      <c r="F981" s="2540"/>
      <c r="G981" s="2540"/>
      <c r="H981" s="2540"/>
      <c r="I981" s="2541"/>
      <c r="J981" s="2540"/>
      <c r="K981" s="2540"/>
      <c r="L981" s="2540"/>
      <c r="M981" s="2540"/>
      <c r="N981" s="2540"/>
      <c r="O981" s="2540"/>
      <c r="P981" s="2540"/>
      <c r="Q981" s="2540"/>
      <c r="R981" s="2540"/>
      <c r="S981" s="2540"/>
      <c r="T981" s="2540"/>
    </row>
    <row r="982" spans="1:20">
      <c r="A982" s="2540"/>
      <c r="B982" s="2540"/>
      <c r="C982" s="2540"/>
      <c r="D982" s="2540"/>
      <c r="E982" s="2540"/>
      <c r="F982" s="2540"/>
      <c r="G982" s="2540"/>
      <c r="H982" s="2540"/>
      <c r="I982" s="2541"/>
      <c r="J982" s="2540"/>
      <c r="K982" s="2540"/>
      <c r="L982" s="2540"/>
      <c r="M982" s="2540"/>
      <c r="N982" s="2540"/>
      <c r="O982" s="2540"/>
      <c r="P982" s="2540"/>
      <c r="Q982" s="2540"/>
      <c r="R982" s="2540"/>
      <c r="S982" s="2540"/>
      <c r="T982" s="2540"/>
    </row>
    <row r="983" spans="1:20">
      <c r="A983" s="2540"/>
      <c r="B983" s="2540"/>
      <c r="C983" s="2540"/>
      <c r="D983" s="2540"/>
      <c r="E983" s="2540"/>
      <c r="F983" s="2540"/>
      <c r="G983" s="2540"/>
      <c r="H983" s="2540"/>
      <c r="I983" s="2541"/>
      <c r="J983" s="2540"/>
      <c r="K983" s="2540"/>
      <c r="L983" s="2540"/>
      <c r="M983" s="2540"/>
      <c r="N983" s="2540"/>
      <c r="O983" s="2540"/>
      <c r="P983" s="2540"/>
      <c r="Q983" s="2540"/>
      <c r="R983" s="2540"/>
      <c r="S983" s="2540"/>
      <c r="T983" s="2540"/>
    </row>
    <row r="984" spans="1:20">
      <c r="A984" s="2540"/>
      <c r="B984" s="2540"/>
      <c r="C984" s="2540"/>
      <c r="D984" s="2540"/>
      <c r="E984" s="2540"/>
      <c r="F984" s="2540"/>
      <c r="G984" s="2540"/>
      <c r="H984" s="2540"/>
      <c r="I984" s="2541"/>
      <c r="J984" s="2540"/>
      <c r="K984" s="2540"/>
      <c r="L984" s="2540"/>
      <c r="M984" s="2540"/>
      <c r="N984" s="2540"/>
      <c r="O984" s="2540"/>
      <c r="P984" s="2540"/>
      <c r="Q984" s="2540"/>
      <c r="R984" s="2540"/>
      <c r="S984" s="2540"/>
      <c r="T984" s="2540"/>
    </row>
    <row r="985" spans="1:20">
      <c r="A985" s="2540"/>
      <c r="B985" s="2540"/>
      <c r="C985" s="2540"/>
      <c r="D985" s="2540"/>
      <c r="E985" s="2540"/>
      <c r="F985" s="2540"/>
      <c r="G985" s="2540"/>
      <c r="H985" s="2540"/>
      <c r="I985" s="2541"/>
      <c r="J985" s="2540"/>
      <c r="K985" s="2540"/>
      <c r="L985" s="2540"/>
      <c r="M985" s="2540"/>
      <c r="N985" s="2540"/>
      <c r="O985" s="2540"/>
      <c r="P985" s="2540"/>
      <c r="Q985" s="2540"/>
      <c r="R985" s="2540"/>
      <c r="S985" s="2540"/>
      <c r="T985" s="2540"/>
    </row>
    <row r="986" spans="1:20">
      <c r="A986" s="2540"/>
      <c r="B986" s="2540"/>
      <c r="C986" s="2540"/>
      <c r="D986" s="2540"/>
      <c r="E986" s="2540"/>
      <c r="F986" s="2540"/>
      <c r="G986" s="2540"/>
      <c r="H986" s="2540"/>
      <c r="I986" s="2541"/>
      <c r="J986" s="2540"/>
      <c r="K986" s="2540"/>
      <c r="L986" s="2540"/>
      <c r="M986" s="2540"/>
      <c r="N986" s="2540"/>
      <c r="O986" s="2540"/>
      <c r="P986" s="2540"/>
      <c r="Q986" s="2540"/>
      <c r="R986" s="2540"/>
      <c r="S986" s="2540"/>
      <c r="T986" s="2540"/>
    </row>
    <row r="987" spans="1:20">
      <c r="A987" s="2540"/>
      <c r="B987" s="2540"/>
      <c r="C987" s="2540"/>
      <c r="D987" s="2540"/>
      <c r="E987" s="2540"/>
      <c r="F987" s="2540"/>
      <c r="G987" s="2540"/>
      <c r="H987" s="2540"/>
      <c r="I987" s="2541"/>
      <c r="J987" s="2540"/>
      <c r="K987" s="2540"/>
      <c r="L987" s="2540"/>
      <c r="M987" s="2540"/>
      <c r="N987" s="2540"/>
      <c r="O987" s="2540"/>
      <c r="P987" s="2540"/>
      <c r="Q987" s="2540"/>
      <c r="R987" s="2540"/>
      <c r="S987" s="2540"/>
      <c r="T987" s="2540"/>
    </row>
    <row r="988" spans="1:20">
      <c r="A988" s="2540"/>
      <c r="B988" s="2540"/>
      <c r="C988" s="2540"/>
      <c r="D988" s="2540"/>
      <c r="E988" s="2540"/>
      <c r="F988" s="2540"/>
      <c r="G988" s="2540"/>
      <c r="H988" s="2540"/>
      <c r="I988" s="2541"/>
      <c r="J988" s="2540"/>
      <c r="K988" s="2540"/>
      <c r="L988" s="2540"/>
      <c r="M988" s="2540"/>
      <c r="N988" s="2540"/>
      <c r="O988" s="2540"/>
      <c r="P988" s="2540"/>
      <c r="Q988" s="2540"/>
      <c r="R988" s="2540"/>
      <c r="S988" s="2540"/>
      <c r="T988" s="2540"/>
    </row>
    <row r="989" spans="1:20">
      <c r="A989" s="2540"/>
      <c r="B989" s="2540"/>
      <c r="C989" s="2540"/>
      <c r="D989" s="2540"/>
      <c r="E989" s="2540"/>
      <c r="F989" s="2540"/>
      <c r="G989" s="2540"/>
      <c r="H989" s="2540"/>
      <c r="I989" s="2541"/>
      <c r="J989" s="2540"/>
      <c r="K989" s="2540"/>
      <c r="L989" s="2540"/>
      <c r="M989" s="2540"/>
      <c r="N989" s="2540"/>
      <c r="O989" s="2540"/>
      <c r="P989" s="2540"/>
      <c r="Q989" s="2540"/>
      <c r="R989" s="2540"/>
      <c r="S989" s="2540"/>
      <c r="T989" s="2540"/>
    </row>
    <row r="990" spans="1:20">
      <c r="A990" s="2540"/>
      <c r="B990" s="2540"/>
      <c r="C990" s="2540"/>
      <c r="D990" s="2540"/>
      <c r="E990" s="2540"/>
      <c r="F990" s="2540"/>
      <c r="G990" s="2540"/>
      <c r="H990" s="2540"/>
      <c r="I990" s="2541"/>
      <c r="J990" s="2540"/>
      <c r="K990" s="2540"/>
      <c r="L990" s="2540"/>
      <c r="M990" s="2540"/>
      <c r="N990" s="2540"/>
      <c r="O990" s="2540"/>
      <c r="P990" s="2540"/>
      <c r="Q990" s="2540"/>
      <c r="R990" s="2540"/>
      <c r="S990" s="2540"/>
      <c r="T990" s="2540"/>
    </row>
    <row r="991" spans="1:20">
      <c r="A991" s="2540"/>
      <c r="B991" s="2540"/>
      <c r="C991" s="2540"/>
      <c r="D991" s="2540"/>
      <c r="E991" s="2540"/>
      <c r="F991" s="2540"/>
      <c r="G991" s="2540"/>
      <c r="H991" s="2540"/>
      <c r="I991" s="2541"/>
      <c r="J991" s="2540"/>
      <c r="K991" s="2540"/>
      <c r="L991" s="2540"/>
      <c r="M991" s="2540"/>
      <c r="N991" s="2540"/>
      <c r="O991" s="2540"/>
      <c r="P991" s="2540"/>
      <c r="Q991" s="2540"/>
      <c r="R991" s="2540"/>
      <c r="S991" s="2540"/>
      <c r="T991" s="2540"/>
    </row>
    <row r="992" spans="1:20">
      <c r="A992" s="2540"/>
      <c r="B992" s="2540"/>
      <c r="C992" s="2540"/>
      <c r="D992" s="2540"/>
      <c r="E992" s="2540"/>
      <c r="F992" s="2540"/>
      <c r="G992" s="2540"/>
      <c r="H992" s="2540"/>
      <c r="I992" s="2541"/>
      <c r="J992" s="2540"/>
      <c r="K992" s="2540"/>
      <c r="L992" s="2540"/>
      <c r="M992" s="2540"/>
      <c r="N992" s="2540"/>
      <c r="O992" s="2540"/>
      <c r="P992" s="2540"/>
      <c r="Q992" s="2540"/>
      <c r="R992" s="2540"/>
      <c r="S992" s="2540"/>
      <c r="T992" s="2540"/>
    </row>
    <row r="993" spans="1:20">
      <c r="A993" s="2540"/>
      <c r="B993" s="2540"/>
      <c r="C993" s="2540"/>
      <c r="D993" s="2540"/>
      <c r="E993" s="2540"/>
      <c r="F993" s="2540"/>
      <c r="G993" s="2540"/>
      <c r="H993" s="2540"/>
      <c r="I993" s="2541"/>
      <c r="J993" s="2540"/>
      <c r="K993" s="2540"/>
      <c r="L993" s="2540"/>
      <c r="M993" s="2540"/>
      <c r="N993" s="2540"/>
      <c r="O993" s="2540"/>
      <c r="P993" s="2540"/>
      <c r="Q993" s="2540"/>
      <c r="R993" s="2540"/>
      <c r="S993" s="2540"/>
      <c r="T993" s="2540"/>
    </row>
    <row r="994" spans="1:20">
      <c r="A994" s="2540"/>
      <c r="B994" s="2540"/>
      <c r="C994" s="2540"/>
      <c r="D994" s="2540"/>
      <c r="E994" s="2540"/>
      <c r="F994" s="2540"/>
      <c r="G994" s="2540"/>
      <c r="H994" s="2540"/>
      <c r="I994" s="2541"/>
      <c r="J994" s="2540"/>
      <c r="K994" s="2540"/>
      <c r="L994" s="2540"/>
      <c r="M994" s="2540"/>
      <c r="N994" s="2540"/>
      <c r="O994" s="2540"/>
      <c r="P994" s="2540"/>
      <c r="Q994" s="2540"/>
      <c r="R994" s="2540"/>
      <c r="S994" s="2540"/>
      <c r="T994" s="2540"/>
    </row>
    <row r="995" spans="1:20">
      <c r="A995" s="2540"/>
      <c r="B995" s="2540"/>
      <c r="C995" s="2540"/>
      <c r="D995" s="2540"/>
      <c r="E995" s="2540"/>
      <c r="F995" s="2540"/>
      <c r="G995" s="2540"/>
      <c r="H995" s="2540"/>
      <c r="I995" s="2541"/>
      <c r="J995" s="2540"/>
      <c r="K995" s="2540"/>
      <c r="L995" s="2540"/>
      <c r="M995" s="2540"/>
      <c r="N995" s="2540"/>
      <c r="O995" s="2540"/>
      <c r="P995" s="2540"/>
      <c r="Q995" s="2540"/>
      <c r="R995" s="2540"/>
      <c r="S995" s="2540"/>
      <c r="T995" s="2540"/>
    </row>
    <row r="996" spans="1:20">
      <c r="A996" s="2540"/>
      <c r="B996" s="2540"/>
      <c r="C996" s="2540"/>
      <c r="D996" s="2540"/>
      <c r="E996" s="2540"/>
      <c r="F996" s="2540"/>
      <c r="G996" s="2540"/>
      <c r="H996" s="2540"/>
      <c r="I996" s="2541"/>
      <c r="J996" s="2540"/>
      <c r="K996" s="2540"/>
      <c r="L996" s="2540"/>
      <c r="M996" s="2540"/>
      <c r="N996" s="2540"/>
      <c r="O996" s="2540"/>
      <c r="P996" s="2540"/>
      <c r="Q996" s="2540"/>
      <c r="R996" s="2540"/>
      <c r="S996" s="2540"/>
      <c r="T996" s="2540"/>
    </row>
    <row r="997" spans="1:20">
      <c r="A997" s="2540"/>
      <c r="B997" s="2540"/>
      <c r="C997" s="2540"/>
      <c r="D997" s="2540"/>
      <c r="E997" s="2540"/>
      <c r="F997" s="2540"/>
      <c r="G997" s="2540"/>
      <c r="H997" s="2540"/>
      <c r="I997" s="2541"/>
      <c r="J997" s="2540"/>
      <c r="K997" s="2540"/>
      <c r="L997" s="2540"/>
      <c r="M997" s="2540"/>
      <c r="N997" s="2540"/>
      <c r="O997" s="2540"/>
      <c r="P997" s="2540"/>
      <c r="Q997" s="2540"/>
      <c r="R997" s="2540"/>
      <c r="S997" s="2540"/>
      <c r="T997" s="2540"/>
    </row>
    <row r="998" spans="1:20">
      <c r="A998" s="2540"/>
      <c r="B998" s="2540"/>
      <c r="C998" s="2540"/>
      <c r="D998" s="2540"/>
      <c r="E998" s="2540"/>
      <c r="F998" s="2540"/>
      <c r="G998" s="2540"/>
      <c r="H998" s="2540"/>
      <c r="I998" s="2541"/>
      <c r="J998" s="2540"/>
      <c r="K998" s="2540"/>
      <c r="L998" s="2540"/>
      <c r="M998" s="2540"/>
      <c r="N998" s="2540"/>
      <c r="O998" s="2540"/>
      <c r="P998" s="2540"/>
      <c r="Q998" s="2540"/>
      <c r="R998" s="2540"/>
      <c r="S998" s="2540"/>
      <c r="T998" s="2540"/>
    </row>
    <row r="999" spans="1:20">
      <c r="A999" s="2540"/>
      <c r="B999" s="2540"/>
      <c r="C999" s="2540"/>
      <c r="D999" s="2540"/>
      <c r="E999" s="2540"/>
      <c r="F999" s="2540"/>
      <c r="G999" s="2540"/>
      <c r="H999" s="2540"/>
      <c r="I999" s="2541"/>
      <c r="J999" s="2540"/>
      <c r="K999" s="2540"/>
      <c r="L999" s="2540"/>
      <c r="M999" s="2540"/>
      <c r="N999" s="2540"/>
      <c r="O999" s="2540"/>
      <c r="P999" s="2540"/>
      <c r="Q999" s="2540"/>
      <c r="R999" s="2540"/>
      <c r="S999" s="2540"/>
      <c r="T999" s="2540"/>
    </row>
    <row r="1000" spans="1:20">
      <c r="A1000" s="2540"/>
      <c r="B1000" s="2540"/>
      <c r="C1000" s="2540"/>
      <c r="D1000" s="2540"/>
      <c r="E1000" s="2540"/>
      <c r="F1000" s="2540"/>
      <c r="G1000" s="2540"/>
      <c r="H1000" s="2540"/>
      <c r="I1000" s="2541"/>
      <c r="J1000" s="2540"/>
      <c r="K1000" s="2540"/>
      <c r="L1000" s="2540"/>
      <c r="M1000" s="2540"/>
      <c r="N1000" s="2540"/>
      <c r="O1000" s="2540"/>
      <c r="P1000" s="2540"/>
      <c r="Q1000" s="2540"/>
      <c r="R1000" s="2540"/>
      <c r="S1000" s="2540"/>
      <c r="T1000" s="2540"/>
    </row>
    <row r="1001" spans="1:20">
      <c r="A1001" s="2540"/>
      <c r="B1001" s="2540"/>
      <c r="C1001" s="2540"/>
      <c r="D1001" s="2540"/>
      <c r="E1001" s="2540"/>
      <c r="F1001" s="2540"/>
      <c r="G1001" s="2540"/>
      <c r="H1001" s="2540"/>
      <c r="I1001" s="2541"/>
      <c r="J1001" s="2540"/>
      <c r="K1001" s="2540"/>
      <c r="L1001" s="2540"/>
      <c r="M1001" s="2540"/>
      <c r="N1001" s="2540"/>
      <c r="O1001" s="2540"/>
      <c r="P1001" s="2540"/>
      <c r="Q1001" s="2540"/>
      <c r="R1001" s="2540"/>
      <c r="S1001" s="2540"/>
      <c r="T1001" s="2540"/>
    </row>
    <row r="1002" spans="1:20">
      <c r="A1002" s="2540"/>
      <c r="B1002" s="2540"/>
      <c r="C1002" s="2540"/>
      <c r="D1002" s="2540"/>
      <c r="E1002" s="2540"/>
      <c r="F1002" s="2540"/>
      <c r="G1002" s="2540"/>
      <c r="H1002" s="2540"/>
      <c r="I1002" s="2541"/>
      <c r="J1002" s="2540"/>
      <c r="K1002" s="2540"/>
      <c r="L1002" s="2540"/>
      <c r="M1002" s="2540"/>
      <c r="N1002" s="2540"/>
      <c r="O1002" s="2540"/>
      <c r="P1002" s="2540"/>
      <c r="Q1002" s="2540"/>
      <c r="R1002" s="2540"/>
      <c r="S1002" s="2540"/>
      <c r="T1002" s="2540"/>
    </row>
    <row r="1003" spans="1:20">
      <c r="A1003" s="2540"/>
      <c r="B1003" s="2540"/>
      <c r="C1003" s="2540"/>
      <c r="D1003" s="2540"/>
      <c r="E1003" s="2540"/>
      <c r="F1003" s="2540"/>
      <c r="G1003" s="2540"/>
      <c r="H1003" s="2540"/>
      <c r="I1003" s="2541"/>
      <c r="J1003" s="2540"/>
      <c r="K1003" s="2540"/>
      <c r="L1003" s="2540"/>
      <c r="M1003" s="2540"/>
      <c r="N1003" s="2540"/>
      <c r="O1003" s="2540"/>
      <c r="P1003" s="2540"/>
      <c r="Q1003" s="2540"/>
      <c r="R1003" s="2540"/>
      <c r="S1003" s="2540"/>
      <c r="T1003" s="2540"/>
    </row>
    <row r="1004" spans="1:20">
      <c r="A1004" s="2540"/>
      <c r="B1004" s="2540"/>
      <c r="C1004" s="2540"/>
      <c r="D1004" s="2540"/>
      <c r="E1004" s="2540"/>
      <c r="F1004" s="2540"/>
      <c r="G1004" s="2540"/>
      <c r="H1004" s="2540"/>
      <c r="I1004" s="2541"/>
      <c r="J1004" s="2540"/>
      <c r="K1004" s="2540"/>
      <c r="L1004" s="2540"/>
      <c r="M1004" s="2540"/>
      <c r="N1004" s="2540"/>
      <c r="O1004" s="2540"/>
      <c r="P1004" s="2540"/>
      <c r="Q1004" s="2540"/>
      <c r="R1004" s="2540"/>
      <c r="S1004" s="2540"/>
      <c r="T1004" s="2540"/>
    </row>
    <row r="1005" spans="1:20">
      <c r="A1005" s="2540"/>
      <c r="B1005" s="2540"/>
      <c r="C1005" s="2540"/>
      <c r="D1005" s="2540"/>
      <c r="E1005" s="2540"/>
      <c r="F1005" s="2540"/>
      <c r="G1005" s="2540"/>
      <c r="H1005" s="2540"/>
      <c r="I1005" s="2541"/>
      <c r="J1005" s="2540"/>
      <c r="K1005" s="2540"/>
      <c r="L1005" s="2540"/>
      <c r="M1005" s="2540"/>
      <c r="N1005" s="2540"/>
      <c r="O1005" s="2540"/>
      <c r="P1005" s="2540"/>
      <c r="Q1005" s="2540"/>
      <c r="R1005" s="2540"/>
      <c r="S1005" s="2540"/>
      <c r="T1005" s="2540"/>
    </row>
    <row r="1006" spans="1:20">
      <c r="A1006" s="2540"/>
      <c r="B1006" s="2540"/>
      <c r="C1006" s="2540"/>
      <c r="D1006" s="2540"/>
      <c r="E1006" s="2540"/>
      <c r="F1006" s="2540"/>
      <c r="G1006" s="2540"/>
      <c r="H1006" s="2540"/>
      <c r="I1006" s="2541"/>
      <c r="J1006" s="2540"/>
      <c r="K1006" s="2540"/>
      <c r="L1006" s="2540"/>
      <c r="M1006" s="2540"/>
      <c r="N1006" s="2540"/>
      <c r="O1006" s="2540"/>
      <c r="P1006" s="2540"/>
      <c r="Q1006" s="2540"/>
      <c r="R1006" s="2540"/>
      <c r="S1006" s="2540"/>
      <c r="T1006" s="2540"/>
    </row>
    <row r="1007" spans="1:20">
      <c r="A1007" s="2540"/>
      <c r="B1007" s="2540"/>
      <c r="C1007" s="2540"/>
      <c r="D1007" s="2540"/>
      <c r="E1007" s="2540"/>
      <c r="F1007" s="2540"/>
      <c r="G1007" s="2540"/>
      <c r="H1007" s="2540"/>
      <c r="I1007" s="2541"/>
      <c r="J1007" s="2540"/>
      <c r="K1007" s="2540"/>
      <c r="L1007" s="2540"/>
      <c r="M1007" s="2540"/>
      <c r="N1007" s="2540"/>
      <c r="O1007" s="2540"/>
      <c r="P1007" s="2540"/>
      <c r="Q1007" s="2540"/>
      <c r="R1007" s="2540"/>
      <c r="S1007" s="2540"/>
      <c r="T1007" s="2540"/>
    </row>
    <row r="1008" spans="1:20">
      <c r="A1008" s="2540"/>
      <c r="B1008" s="2540"/>
      <c r="C1008" s="2540"/>
      <c r="D1008" s="2540"/>
      <c r="E1008" s="2540"/>
      <c r="F1008" s="2540"/>
      <c r="G1008" s="2540"/>
      <c r="H1008" s="2540"/>
      <c r="I1008" s="2541"/>
      <c r="J1008" s="2540"/>
      <c r="K1008" s="2540"/>
      <c r="L1008" s="2540"/>
      <c r="M1008" s="2540"/>
      <c r="N1008" s="2540"/>
      <c r="O1008" s="2540"/>
      <c r="P1008" s="2540"/>
      <c r="Q1008" s="2540"/>
      <c r="R1008" s="2540"/>
      <c r="S1008" s="2540"/>
      <c r="T1008" s="2540"/>
    </row>
    <row r="1009" spans="1:20">
      <c r="A1009" s="2540"/>
      <c r="B1009" s="2540"/>
      <c r="C1009" s="2540"/>
      <c r="D1009" s="2540"/>
      <c r="E1009" s="2540"/>
      <c r="F1009" s="2540"/>
      <c r="G1009" s="2540"/>
      <c r="H1009" s="2540"/>
      <c r="I1009" s="2541"/>
      <c r="J1009" s="2540"/>
      <c r="K1009" s="2540"/>
      <c r="L1009" s="2540"/>
      <c r="M1009" s="2540"/>
      <c r="N1009" s="2540"/>
      <c r="O1009" s="2540"/>
      <c r="P1009" s="2540"/>
      <c r="Q1009" s="2540"/>
      <c r="R1009" s="2540"/>
      <c r="S1009" s="2540"/>
      <c r="T1009" s="2540"/>
    </row>
    <row r="1010" spans="1:20">
      <c r="A1010" s="2540"/>
      <c r="B1010" s="2540"/>
      <c r="C1010" s="2540"/>
      <c r="D1010" s="2540"/>
      <c r="E1010" s="2540"/>
      <c r="F1010" s="2540"/>
      <c r="G1010" s="2540"/>
      <c r="H1010" s="2540"/>
      <c r="I1010" s="2541"/>
      <c r="J1010" s="2540"/>
      <c r="K1010" s="2540"/>
      <c r="L1010" s="2540"/>
      <c r="M1010" s="2540"/>
      <c r="N1010" s="2540"/>
      <c r="O1010" s="2540"/>
      <c r="P1010" s="2540"/>
      <c r="Q1010" s="2540"/>
      <c r="R1010" s="2540"/>
      <c r="S1010" s="2540"/>
      <c r="T1010" s="2540"/>
    </row>
    <row r="1011" spans="1:20">
      <c r="A1011" s="2540"/>
      <c r="B1011" s="2540"/>
      <c r="C1011" s="2540"/>
      <c r="D1011" s="2540"/>
      <c r="E1011" s="2540"/>
      <c r="F1011" s="2540"/>
      <c r="G1011" s="2540"/>
      <c r="H1011" s="2540"/>
      <c r="I1011" s="2541"/>
      <c r="J1011" s="2540"/>
      <c r="K1011" s="2540"/>
      <c r="L1011" s="2540"/>
      <c r="M1011" s="2540"/>
      <c r="N1011" s="2540"/>
      <c r="O1011" s="2540"/>
      <c r="P1011" s="2540"/>
      <c r="Q1011" s="2540"/>
      <c r="R1011" s="2540"/>
      <c r="S1011" s="2540"/>
      <c r="T1011" s="2540"/>
    </row>
    <row r="1012" spans="1:20">
      <c r="A1012" s="2540"/>
      <c r="B1012" s="2540"/>
      <c r="C1012" s="2540"/>
      <c r="D1012" s="2540"/>
      <c r="E1012" s="2540"/>
      <c r="F1012" s="2540"/>
      <c r="G1012" s="2540"/>
      <c r="H1012" s="2540"/>
      <c r="I1012" s="2541"/>
      <c r="J1012" s="2540"/>
      <c r="K1012" s="2540"/>
      <c r="L1012" s="2540"/>
      <c r="M1012" s="2540"/>
      <c r="N1012" s="2540"/>
      <c r="O1012" s="2540"/>
      <c r="P1012" s="2540"/>
      <c r="Q1012" s="2540"/>
      <c r="R1012" s="2540"/>
      <c r="S1012" s="2540"/>
      <c r="T1012" s="2540"/>
    </row>
    <row r="1013" spans="1:20">
      <c r="A1013" s="2540"/>
      <c r="B1013" s="2540"/>
      <c r="C1013" s="2540"/>
      <c r="D1013" s="2540"/>
      <c r="E1013" s="2540"/>
      <c r="F1013" s="2540"/>
      <c r="G1013" s="2540"/>
      <c r="H1013" s="2540"/>
      <c r="I1013" s="2541"/>
      <c r="J1013" s="2540"/>
      <c r="K1013" s="2540"/>
      <c r="L1013" s="2540"/>
      <c r="M1013" s="2540"/>
      <c r="N1013" s="2540"/>
      <c r="O1013" s="2540"/>
      <c r="P1013" s="2540"/>
      <c r="Q1013" s="2540"/>
      <c r="R1013" s="2540"/>
      <c r="S1013" s="2540"/>
      <c r="T1013" s="2540"/>
    </row>
    <row r="1014" spans="1:20">
      <c r="A1014" s="2540"/>
      <c r="B1014" s="2540"/>
      <c r="C1014" s="2540"/>
      <c r="D1014" s="2540"/>
      <c r="E1014" s="2540"/>
      <c r="F1014" s="2540"/>
      <c r="G1014" s="2540"/>
      <c r="H1014" s="2540"/>
      <c r="I1014" s="2541"/>
      <c r="J1014" s="2540"/>
      <c r="K1014" s="2540"/>
      <c r="L1014" s="2540"/>
      <c r="M1014" s="2540"/>
      <c r="N1014" s="2540"/>
      <c r="O1014" s="2540"/>
      <c r="P1014" s="2540"/>
      <c r="Q1014" s="2540"/>
      <c r="R1014" s="2540"/>
      <c r="S1014" s="2540"/>
      <c r="T1014" s="2540"/>
    </row>
    <row r="1015" spans="1:20">
      <c r="A1015" s="2540"/>
      <c r="B1015" s="2540"/>
      <c r="C1015" s="2540"/>
      <c r="D1015" s="2540"/>
      <c r="E1015" s="2540"/>
      <c r="F1015" s="2540"/>
      <c r="G1015" s="2540"/>
      <c r="H1015" s="2540"/>
      <c r="I1015" s="2541"/>
      <c r="J1015" s="2540"/>
      <c r="K1015" s="2540"/>
      <c r="L1015" s="2540"/>
      <c r="M1015" s="2540"/>
      <c r="N1015" s="2540"/>
      <c r="O1015" s="2540"/>
      <c r="P1015" s="2540"/>
      <c r="Q1015" s="2540"/>
      <c r="R1015" s="2540"/>
      <c r="S1015" s="2540"/>
      <c r="T1015" s="2540"/>
    </row>
    <row r="1016" spans="1:20">
      <c r="A1016" s="2540"/>
      <c r="B1016" s="2540"/>
      <c r="C1016" s="2540"/>
      <c r="D1016" s="2540"/>
      <c r="E1016" s="2540"/>
      <c r="F1016" s="2540"/>
      <c r="G1016" s="2540"/>
      <c r="H1016" s="2540"/>
      <c r="I1016" s="2541"/>
      <c r="J1016" s="2540"/>
      <c r="K1016" s="2540"/>
      <c r="L1016" s="2540"/>
      <c r="M1016" s="2540"/>
      <c r="N1016" s="2540"/>
      <c r="O1016" s="2540"/>
      <c r="P1016" s="2540"/>
      <c r="Q1016" s="2540"/>
      <c r="R1016" s="2540"/>
      <c r="S1016" s="2540"/>
      <c r="T1016" s="2540"/>
    </row>
    <row r="1017" spans="1:20">
      <c r="A1017" s="2540"/>
      <c r="B1017" s="2540"/>
      <c r="C1017" s="2540"/>
      <c r="D1017" s="2540"/>
      <c r="E1017" s="2540"/>
      <c r="F1017" s="2540"/>
      <c r="G1017" s="2540"/>
      <c r="H1017" s="2540"/>
      <c r="I1017" s="2541"/>
      <c r="J1017" s="2540"/>
      <c r="K1017" s="2540"/>
      <c r="L1017" s="2540"/>
      <c r="M1017" s="2540"/>
      <c r="N1017" s="2540"/>
      <c r="O1017" s="2540"/>
      <c r="P1017" s="2540"/>
      <c r="Q1017" s="2540"/>
      <c r="R1017" s="2540"/>
      <c r="S1017" s="2540"/>
      <c r="T1017" s="2540"/>
    </row>
    <row r="1018" spans="1:20">
      <c r="A1018" s="2540"/>
      <c r="B1018" s="2540"/>
      <c r="C1018" s="2540"/>
      <c r="D1018" s="2540"/>
      <c r="E1018" s="2540"/>
      <c r="F1018" s="2540"/>
      <c r="G1018" s="2540"/>
      <c r="H1018" s="2540"/>
      <c r="I1018" s="2541"/>
      <c r="J1018" s="2540"/>
      <c r="K1018" s="2540"/>
      <c r="L1018" s="2540"/>
      <c r="M1018" s="2540"/>
      <c r="N1018" s="2540"/>
      <c r="O1018" s="2540"/>
      <c r="P1018" s="2540"/>
      <c r="Q1018" s="2540"/>
      <c r="R1018" s="2540"/>
      <c r="S1018" s="2540"/>
      <c r="T1018" s="2540"/>
    </row>
    <row r="1019" spans="1:20">
      <c r="A1019" s="2540"/>
      <c r="B1019" s="2540"/>
      <c r="C1019" s="2540"/>
      <c r="D1019" s="2540"/>
      <c r="E1019" s="2540"/>
      <c r="F1019" s="2540"/>
      <c r="G1019" s="2540"/>
      <c r="H1019" s="2540"/>
      <c r="I1019" s="2541"/>
      <c r="J1019" s="2540"/>
      <c r="K1019" s="2540"/>
      <c r="L1019" s="2540"/>
      <c r="M1019" s="2540"/>
      <c r="N1019" s="2540"/>
      <c r="O1019" s="2540"/>
      <c r="P1019" s="2540"/>
      <c r="Q1019" s="2540"/>
      <c r="R1019" s="2540"/>
      <c r="S1019" s="2540"/>
      <c r="T1019" s="2540"/>
    </row>
    <row r="1020" spans="1:20">
      <c r="A1020" s="2540"/>
      <c r="B1020" s="2540"/>
      <c r="C1020" s="2540"/>
      <c r="D1020" s="2540"/>
      <c r="E1020" s="2540"/>
      <c r="F1020" s="2540"/>
      <c r="G1020" s="2540"/>
      <c r="H1020" s="2540"/>
      <c r="I1020" s="2541"/>
      <c r="J1020" s="2540"/>
      <c r="K1020" s="2540"/>
      <c r="L1020" s="2540"/>
      <c r="M1020" s="2540"/>
      <c r="N1020" s="2540"/>
      <c r="O1020" s="2540"/>
      <c r="P1020" s="2540"/>
      <c r="Q1020" s="2540"/>
      <c r="R1020" s="2540"/>
      <c r="S1020" s="2540"/>
      <c r="T1020" s="2540"/>
    </row>
    <row r="1021" spans="1:20">
      <c r="A1021" s="2540"/>
      <c r="B1021" s="2540"/>
      <c r="C1021" s="2540"/>
      <c r="D1021" s="2540"/>
      <c r="E1021" s="2540"/>
      <c r="F1021" s="2540"/>
      <c r="G1021" s="2540"/>
      <c r="H1021" s="2540"/>
      <c r="I1021" s="2541"/>
      <c r="J1021" s="2540"/>
      <c r="K1021" s="2540"/>
      <c r="L1021" s="2540"/>
      <c r="M1021" s="2540"/>
      <c r="N1021" s="2540"/>
      <c r="O1021" s="2540"/>
      <c r="P1021" s="2540"/>
      <c r="Q1021" s="2540"/>
      <c r="R1021" s="2540"/>
      <c r="S1021" s="2540"/>
      <c r="T1021" s="2540"/>
    </row>
    <row r="1022" spans="1:20">
      <c r="A1022" s="2540"/>
      <c r="B1022" s="2540"/>
      <c r="C1022" s="2540"/>
      <c r="D1022" s="2540"/>
      <c r="E1022" s="2540"/>
      <c r="F1022" s="2540"/>
      <c r="G1022" s="2540"/>
      <c r="H1022" s="2540"/>
      <c r="I1022" s="2541"/>
      <c r="J1022" s="2540"/>
      <c r="K1022" s="2540"/>
      <c r="L1022" s="2540"/>
      <c r="M1022" s="2540"/>
      <c r="N1022" s="2540"/>
      <c r="O1022" s="2540"/>
      <c r="P1022" s="2540"/>
      <c r="Q1022" s="2540"/>
      <c r="R1022" s="2540"/>
      <c r="S1022" s="2540"/>
      <c r="T1022" s="2540"/>
    </row>
    <row r="1023" spans="1:20">
      <c r="A1023" s="2540"/>
      <c r="B1023" s="2540"/>
      <c r="C1023" s="2540"/>
      <c r="D1023" s="2540"/>
      <c r="E1023" s="2540"/>
      <c r="F1023" s="2540"/>
      <c r="G1023" s="2540"/>
      <c r="H1023" s="2540"/>
      <c r="I1023" s="2541"/>
      <c r="J1023" s="2540"/>
      <c r="K1023" s="2540"/>
      <c r="L1023" s="2540"/>
      <c r="M1023" s="2540"/>
      <c r="N1023" s="2540"/>
      <c r="O1023" s="2540"/>
      <c r="P1023" s="2540"/>
      <c r="Q1023" s="2540"/>
      <c r="R1023" s="2540"/>
      <c r="S1023" s="2540"/>
      <c r="T1023" s="2540"/>
    </row>
    <row r="1024" spans="1:20">
      <c r="A1024" s="2540"/>
      <c r="B1024" s="2540"/>
      <c r="C1024" s="2540"/>
      <c r="D1024" s="2540"/>
      <c r="E1024" s="2540"/>
      <c r="F1024" s="2540"/>
      <c r="G1024" s="2540"/>
      <c r="H1024" s="2540"/>
      <c r="I1024" s="2541"/>
      <c r="J1024" s="2540"/>
      <c r="K1024" s="2540"/>
      <c r="L1024" s="2540"/>
      <c r="M1024" s="2540"/>
      <c r="N1024" s="2540"/>
      <c r="O1024" s="2540"/>
      <c r="P1024" s="2540"/>
      <c r="Q1024" s="2540"/>
      <c r="R1024" s="2540"/>
      <c r="S1024" s="2540"/>
      <c r="T1024" s="2540"/>
    </row>
  </sheetData>
  <mergeCells count="12">
    <mergeCell ref="A103:B103"/>
    <mergeCell ref="C103:E103"/>
    <mergeCell ref="A104:B104"/>
    <mergeCell ref="C104:E104"/>
    <mergeCell ref="A105:B105"/>
    <mergeCell ref="C105:E105"/>
    <mergeCell ref="B107:E107"/>
    <mergeCell ref="G107:H107"/>
    <mergeCell ref="A109:E109"/>
    <mergeCell ref="A107:A108"/>
    <mergeCell ref="F107:F108"/>
    <mergeCell ref="I107:I108"/>
  </mergeCells>
  <conditionalFormatting sqref="B106">
    <cfRule type="cellIs" dxfId="5" priority="2" stopIfTrue="1" operator="equal">
      <formula>$C$408</formula>
    </cfRule>
  </conditionalFormatting>
  <conditionalFormatting sqref="A109:E109">
    <cfRule type="cellIs" dxfId="2" priority="1" stopIfTrue="1" operator="equal">
      <formula>"调整金额借贷不等,请检查!差额为:"</formula>
    </cfRule>
  </conditionalFormatting>
  <dataValidations count="3">
    <dataValidation type="list" allowBlank="1" showInputMessage="1" showErrorMessage="1" sqref="C110:C154">
      <formula1>$C$1:$C$91</formula1>
    </dataValidation>
    <dataValidation type="list" allowBlank="1" showInputMessage="1" showErrorMessage="1" sqref="I110:I154">
      <formula1>$I$1:$I$3</formula1>
    </dataValidation>
    <dataValidation type="decimal" operator="between" allowBlank="1" showInputMessage="1" showErrorMessage="1" errorTitle="输入有误" error="抱歉，此处已限定只能输入数字。" sqref="G110:H154" errorStyle="warning">
      <formula1>-99999999999999900000</formula1>
      <formula2>99999999999999900000</formula2>
    </dataValidation>
  </dataValidations>
  <printOptions horizontalCentered="1"/>
  <pageMargins left="0.393700787401575" right="0.354330708661417" top="0.551181102362205" bottom="0.433070866141732" header="0.236220472440945" footer="0.236220472440945"/>
  <pageSetup paperSize="9" orientation="portrait" blackAndWhite="1"/>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5"/>
  <sheetViews>
    <sheetView topLeftCell="A31" workbookViewId="0">
      <selection activeCell="J8" sqref="J8"/>
    </sheetView>
  </sheetViews>
  <sheetFormatPr defaultColWidth="9" defaultRowHeight="14.25"/>
  <cols>
    <col min="1" max="1" width="10.25" customWidth="1"/>
    <col min="2" max="2" width="6.75" customWidth="1"/>
    <col min="3" max="3" width="11.25" customWidth="1"/>
    <col min="4" max="4" width="13.375" customWidth="1"/>
    <col min="7" max="7" width="12" customWidth="1"/>
    <col min="8" max="8" width="12.375" customWidth="1"/>
    <col min="9" max="9" width="12.875" customWidth="1"/>
    <col min="10" max="10" width="11.875" customWidth="1"/>
    <col min="12" max="12" width="11.25" customWidth="1"/>
    <col min="13" max="13" width="12" customWidth="1"/>
  </cols>
  <sheetData>
    <row r="1" spans="1:14">
      <c r="A1" s="2536" t="s">
        <v>1729</v>
      </c>
      <c r="B1" s="2534" t="s">
        <v>1730</v>
      </c>
      <c r="C1" s="2534" t="s">
        <v>1731</v>
      </c>
      <c r="D1" s="2534" t="s">
        <v>1732</v>
      </c>
      <c r="E1" s="2534" t="s">
        <v>1733</v>
      </c>
      <c r="F1" s="2534" t="s">
        <v>1730</v>
      </c>
      <c r="G1" s="2534" t="s">
        <v>1731</v>
      </c>
      <c r="H1" s="2534" t="s">
        <v>1732</v>
      </c>
      <c r="I1" s="2539"/>
      <c r="J1" s="2539"/>
      <c r="K1" s="2539"/>
      <c r="L1" s="2539"/>
      <c r="M1" s="2539"/>
      <c r="N1" s="2539"/>
    </row>
    <row r="2" ht="21" customHeight="1" spans="1:8">
      <c r="A2" s="2537"/>
      <c r="B2" s="2534"/>
      <c r="C2" s="2538"/>
      <c r="D2" s="2538"/>
      <c r="E2" s="2538"/>
      <c r="F2" s="2538"/>
      <c r="G2" s="2538"/>
      <c r="H2" s="2538"/>
    </row>
    <row r="3" ht="21" customHeight="1" spans="1:8">
      <c r="A3" s="2537" t="s">
        <v>1734</v>
      </c>
      <c r="B3" s="2534"/>
      <c r="C3" s="2538"/>
      <c r="D3" s="2538"/>
      <c r="E3" s="2538" t="s">
        <v>1735</v>
      </c>
      <c r="F3" s="2538"/>
      <c r="G3" s="2538"/>
      <c r="H3" s="2538"/>
    </row>
    <row r="4" spans="1:13">
      <c r="A4" s="2537" t="s">
        <v>1736</v>
      </c>
      <c r="B4" s="2534" t="s">
        <v>1737</v>
      </c>
      <c r="C4" s="2538">
        <v>203715132.36</v>
      </c>
      <c r="D4" s="2538">
        <v>76914775.62</v>
      </c>
      <c r="E4" s="2538" t="s">
        <v>1738</v>
      </c>
      <c r="F4" s="2538" t="s">
        <v>1739</v>
      </c>
      <c r="G4" s="2538">
        <v>4850000</v>
      </c>
      <c r="H4" s="2538">
        <v>0</v>
      </c>
      <c r="I4" s="2535">
        <f>C4-审定资负表!C7</f>
        <v>0</v>
      </c>
      <c r="J4" s="2535">
        <f>审定资负表!D7-'资产负债表对比-0603'!D4</f>
        <v>0</v>
      </c>
      <c r="L4" s="2535">
        <f>G4-审定资负表!G7</f>
        <v>0</v>
      </c>
      <c r="M4" s="2535">
        <f>H4-审定资负表!H7</f>
        <v>0</v>
      </c>
    </row>
    <row r="5" ht="60" spans="1:13">
      <c r="A5" s="2537" t="s">
        <v>1740</v>
      </c>
      <c r="B5" s="2534" t="s">
        <v>1741</v>
      </c>
      <c r="C5" s="2538">
        <v>0</v>
      </c>
      <c r="D5" s="2538">
        <v>0</v>
      </c>
      <c r="E5" s="2538" t="s">
        <v>1742</v>
      </c>
      <c r="F5" s="2538" t="s">
        <v>1743</v>
      </c>
      <c r="G5" s="2538">
        <v>0</v>
      </c>
      <c r="H5" s="2538">
        <v>0</v>
      </c>
      <c r="I5" s="2535">
        <f>C5-审定资负表!C8</f>
        <v>0</v>
      </c>
      <c r="J5" s="2535">
        <f>审定资负表!D8-'资产负债表对比-0603'!D5</f>
        <v>0</v>
      </c>
      <c r="L5" s="2535">
        <f>G5-审定资负表!G8</f>
        <v>0</v>
      </c>
      <c r="M5" s="2535">
        <f>H5-审定资负表!H8</f>
        <v>0</v>
      </c>
    </row>
    <row r="6" ht="21" customHeight="1" spans="1:13">
      <c r="A6" s="2537" t="s">
        <v>1744</v>
      </c>
      <c r="B6" s="2534" t="s">
        <v>1745</v>
      </c>
      <c r="C6" s="2538">
        <v>0</v>
      </c>
      <c r="D6" s="2538">
        <v>0</v>
      </c>
      <c r="E6" s="2538" t="s">
        <v>1746</v>
      </c>
      <c r="F6" s="2538" t="s">
        <v>1747</v>
      </c>
      <c r="G6" s="2538">
        <v>4117111</v>
      </c>
      <c r="H6" s="2538">
        <v>7000000</v>
      </c>
      <c r="I6" s="2535">
        <f>C6-审定资负表!C9</f>
        <v>0</v>
      </c>
      <c r="J6" s="2535">
        <f>审定资负表!D9-'资产负债表对比-0603'!D6</f>
        <v>0</v>
      </c>
      <c r="L6" s="2535">
        <f>G6-审定资负表!G9</f>
        <v>0</v>
      </c>
      <c r="M6" s="2535">
        <f>H6-审定资负表!H9</f>
        <v>0</v>
      </c>
    </row>
    <row r="7" ht="21" customHeight="1" spans="1:13">
      <c r="A7" s="2537" t="s">
        <v>1748</v>
      </c>
      <c r="B7" s="2534" t="s">
        <v>1749</v>
      </c>
      <c r="C7" s="2538">
        <v>21590975.9</v>
      </c>
      <c r="D7" s="2538">
        <v>27381782.29</v>
      </c>
      <c r="E7" s="2538" t="s">
        <v>1750</v>
      </c>
      <c r="F7" s="2538" t="s">
        <v>1751</v>
      </c>
      <c r="G7" s="2538">
        <v>40623542.4</v>
      </c>
      <c r="H7" s="2538">
        <v>16368470.98</v>
      </c>
      <c r="I7" s="2535">
        <f>C7-审定资负表!C10</f>
        <v>9298.51999999955</v>
      </c>
      <c r="J7" s="2535">
        <f>审定资负表!D10-'资产负债表对比-0603'!D7</f>
        <v>-1244868.69</v>
      </c>
      <c r="L7" s="2535">
        <f>G7-审定资负表!G10</f>
        <v>-1083602.82</v>
      </c>
      <c r="M7" s="2535">
        <f>H7-审定资负表!H10</f>
        <v>0</v>
      </c>
    </row>
    <row r="8" ht="21" customHeight="1" spans="1:13">
      <c r="A8" s="2537" t="s">
        <v>1752</v>
      </c>
      <c r="B8" s="2534" t="s">
        <v>1753</v>
      </c>
      <c r="C8" s="2538">
        <v>1475171.12</v>
      </c>
      <c r="D8" s="2538">
        <v>2081781.42</v>
      </c>
      <c r="E8" s="2538" t="s">
        <v>1754</v>
      </c>
      <c r="F8" s="2538" t="s">
        <v>1755</v>
      </c>
      <c r="G8" s="2538">
        <v>0</v>
      </c>
      <c r="H8" s="2538">
        <v>6115989.57</v>
      </c>
      <c r="I8" s="2535">
        <f>C8-审定资负表!C11</f>
        <v>-104568.87</v>
      </c>
      <c r="J8" s="2535">
        <f>审定资负表!D11-'资产负债表对比-0603'!D8</f>
        <v>15000</v>
      </c>
      <c r="L8" s="2535">
        <f>G8-审定资负表!G11</f>
        <v>0</v>
      </c>
      <c r="M8" s="2535">
        <f>H8-审定资负表!H11</f>
        <v>1404887</v>
      </c>
    </row>
    <row r="9" ht="21" customHeight="1" spans="1:13">
      <c r="A9" s="2537" t="s">
        <v>1756</v>
      </c>
      <c r="B9" s="2534" t="s">
        <v>1757</v>
      </c>
      <c r="C9" s="2538">
        <v>5230925.94</v>
      </c>
      <c r="D9" s="2538">
        <v>5230925.94</v>
      </c>
      <c r="E9" s="2538" t="s">
        <v>1758</v>
      </c>
      <c r="F9" s="2538" t="s">
        <v>1759</v>
      </c>
      <c r="G9" s="2538">
        <v>1416018.5</v>
      </c>
      <c r="H9" s="2538">
        <v>1116508.51</v>
      </c>
      <c r="I9" s="2535">
        <f>C9-审定资负表!C12</f>
        <v>0</v>
      </c>
      <c r="J9" s="2535">
        <f>审定资负表!D12-'资产负债表对比-0603'!D9</f>
        <v>0</v>
      </c>
      <c r="L9" s="2535">
        <f>G9-审定资负表!G12</f>
        <v>0</v>
      </c>
      <c r="M9" s="2535">
        <f>H9-审定资负表!H12</f>
        <v>0</v>
      </c>
    </row>
    <row r="10" ht="21" customHeight="1" spans="1:13">
      <c r="A10" s="2537" t="s">
        <v>1760</v>
      </c>
      <c r="B10" s="2534" t="s">
        <v>1761</v>
      </c>
      <c r="C10" s="2538">
        <v>0</v>
      </c>
      <c r="D10" s="2538">
        <v>0</v>
      </c>
      <c r="E10" s="2538" t="s">
        <v>1762</v>
      </c>
      <c r="F10" s="2538" t="s">
        <v>1763</v>
      </c>
      <c r="G10" s="2538">
        <v>444587.06</v>
      </c>
      <c r="H10" s="2538">
        <v>5652768.87</v>
      </c>
      <c r="I10" s="2535">
        <f>C10-审定资负表!C13</f>
        <v>0</v>
      </c>
      <c r="J10" s="2535">
        <f>审定资负表!D13-'资产负债表对比-0603'!D10</f>
        <v>0</v>
      </c>
      <c r="L10" s="2535">
        <f>G10-审定资负表!G13</f>
        <v>13264.8</v>
      </c>
      <c r="M10" s="2535">
        <f>H10-审定资负表!H13</f>
        <v>13264.7999999998</v>
      </c>
    </row>
    <row r="11" ht="21" customHeight="1" spans="1:13">
      <c r="A11" s="2537" t="s">
        <v>1764</v>
      </c>
      <c r="B11" s="2534" t="s">
        <v>1765</v>
      </c>
      <c r="C11" s="2538">
        <v>16806211.34</v>
      </c>
      <c r="D11" s="2538">
        <v>16618783.74</v>
      </c>
      <c r="E11" s="2538" t="s">
        <v>1766</v>
      </c>
      <c r="F11" s="2538" t="s">
        <v>1767</v>
      </c>
      <c r="G11" s="2538">
        <v>120815.96</v>
      </c>
      <c r="H11" s="2538">
        <v>151896.35</v>
      </c>
      <c r="I11" s="2535">
        <f>C11-审定资负表!C14</f>
        <v>-665843.489999998</v>
      </c>
      <c r="J11" s="2535">
        <f>审定资负表!D14-'资产负债表对比-0603'!D11</f>
        <v>363480.930000002</v>
      </c>
      <c r="L11" s="2535">
        <f>G11-审定资负表!G14</f>
        <v>0</v>
      </c>
      <c r="M11" s="2535">
        <f>H11-审定资负表!H14</f>
        <v>0</v>
      </c>
    </row>
    <row r="12" ht="21" customHeight="1" spans="1:13">
      <c r="A12" s="2537" t="s">
        <v>1768</v>
      </c>
      <c r="B12" s="2534" t="s">
        <v>1769</v>
      </c>
      <c r="C12" s="2538">
        <v>29733511.92</v>
      </c>
      <c r="D12" s="2538">
        <v>9826768.95</v>
      </c>
      <c r="E12" s="2538" t="s">
        <v>1770</v>
      </c>
      <c r="F12" s="2538" t="s">
        <v>1771</v>
      </c>
      <c r="G12" s="2538">
        <v>0</v>
      </c>
      <c r="H12" s="2538">
        <v>0</v>
      </c>
      <c r="I12" s="2535">
        <f>C12-审定资负表!C15</f>
        <v>-2228901.97</v>
      </c>
      <c r="J12" s="2535">
        <f>审定资负表!D15-'资产负债表对比-0603'!D12</f>
        <v>0</v>
      </c>
      <c r="L12" s="2535">
        <f>G12-审定资负表!G15</f>
        <v>0</v>
      </c>
      <c r="M12" s="2535">
        <f>H12-审定资负表!H15</f>
        <v>0</v>
      </c>
    </row>
    <row r="13" ht="21" customHeight="1" spans="1:13">
      <c r="A13" s="2537" t="s">
        <v>1772</v>
      </c>
      <c r="B13" s="2534" t="s">
        <v>1773</v>
      </c>
      <c r="C13" s="2538">
        <v>10231163.7</v>
      </c>
      <c r="D13" s="2538">
        <v>2192971</v>
      </c>
      <c r="E13" s="2538" t="s">
        <v>1774</v>
      </c>
      <c r="F13" s="2538" t="s">
        <v>1775</v>
      </c>
      <c r="G13" s="2538">
        <v>19669739.82</v>
      </c>
      <c r="H13" s="2538">
        <v>7123460.48</v>
      </c>
      <c r="I13" s="2535">
        <f>C13-审定资负表!C16</f>
        <v>-0.0300000011920929</v>
      </c>
      <c r="J13" s="2535">
        <f>审定资负表!D16-'资产负债表对比-0603'!D13</f>
        <v>0</v>
      </c>
      <c r="L13" s="2535">
        <f>G13-审定资负表!G16</f>
        <v>0</v>
      </c>
      <c r="M13" s="2535">
        <f>H13-审定资负表!H16</f>
        <v>0</v>
      </c>
    </row>
    <row r="14" ht="21" customHeight="1" spans="1:13">
      <c r="A14" s="2537" t="s">
        <v>1776</v>
      </c>
      <c r="B14" s="2534" t="s">
        <v>1777</v>
      </c>
      <c r="C14" s="2538">
        <v>2044868.72</v>
      </c>
      <c r="D14" s="2538">
        <v>893168.56</v>
      </c>
      <c r="E14" s="2538" t="s">
        <v>1778</v>
      </c>
      <c r="F14" s="2538" t="s">
        <v>1779</v>
      </c>
      <c r="G14" s="2538">
        <v>23891640.51</v>
      </c>
      <c r="H14" s="2538">
        <v>24230483.68</v>
      </c>
      <c r="I14" s="2535">
        <f>C14-审定资负表!C17</f>
        <v>0</v>
      </c>
      <c r="J14" s="2535">
        <f>审定资负表!D17-'资产负债表对比-0603'!D14</f>
        <v>0</v>
      </c>
      <c r="L14" s="2535">
        <f>G14-审定资负表!G17</f>
        <v>0</v>
      </c>
      <c r="M14" s="2535">
        <f>H14-审定资负表!H17</f>
        <v>0</v>
      </c>
    </row>
    <row r="15" ht="21" customHeight="1" spans="1:13">
      <c r="A15" s="2537" t="s">
        <v>1780</v>
      </c>
      <c r="B15" s="2534" t="s">
        <v>1781</v>
      </c>
      <c r="C15" s="2538">
        <v>0</v>
      </c>
      <c r="D15" s="2538">
        <v>0</v>
      </c>
      <c r="E15" s="2538" t="s">
        <v>1782</v>
      </c>
      <c r="F15" s="2538" t="s">
        <v>1783</v>
      </c>
      <c r="G15" s="2538">
        <v>8287528.07</v>
      </c>
      <c r="H15" s="2538">
        <v>0</v>
      </c>
      <c r="I15" s="2535">
        <f>C15-审定资负表!C18</f>
        <v>0</v>
      </c>
      <c r="J15" s="2535">
        <f>审定资负表!D18-'资产负债表对比-0603'!D15</f>
        <v>0</v>
      </c>
      <c r="L15" s="2535">
        <f>G15-审定资负表!G18</f>
        <v>0</v>
      </c>
      <c r="M15" s="2535">
        <f>H15-审定资负表!H18</f>
        <v>0</v>
      </c>
    </row>
    <row r="16" ht="21" customHeight="1" spans="1:13">
      <c r="A16" s="2537" t="s">
        <v>1784</v>
      </c>
      <c r="B16" s="2534"/>
      <c r="C16" s="2538">
        <v>290827961</v>
      </c>
      <c r="D16" s="2538">
        <v>141140957.52</v>
      </c>
      <c r="E16" s="2538" t="s">
        <v>1785</v>
      </c>
      <c r="F16" s="2538" t="s">
        <v>1786</v>
      </c>
      <c r="G16" s="2538">
        <v>0</v>
      </c>
      <c r="H16" s="2538">
        <v>0</v>
      </c>
      <c r="I16" s="2535">
        <f>C16-审定资负表!C19</f>
        <v>-2990015.83999997</v>
      </c>
      <c r="J16" s="2535">
        <f>审定资负表!D19-'资产负债表对比-0603'!D16</f>
        <v>-866387.76000002</v>
      </c>
      <c r="L16" s="2535">
        <f>G16-审定资负表!G19</f>
        <v>0</v>
      </c>
      <c r="M16" s="2535">
        <f>H16-审定资负表!H19</f>
        <v>0</v>
      </c>
    </row>
    <row r="17" ht="21" customHeight="1" spans="1:13">
      <c r="A17" s="2537"/>
      <c r="B17" s="2534"/>
      <c r="C17" s="2538"/>
      <c r="D17" s="2538"/>
      <c r="E17" s="2538" t="s">
        <v>1787</v>
      </c>
      <c r="F17" s="2538"/>
      <c r="G17" s="2538">
        <v>103420983.32</v>
      </c>
      <c r="H17" s="2538">
        <v>67759578.44</v>
      </c>
      <c r="I17" s="2535">
        <f>C17-审定资负表!C20</f>
        <v>0</v>
      </c>
      <c r="J17" s="2535">
        <f>审定资负表!D20-'资产负债表对比-0603'!D17</f>
        <v>0</v>
      </c>
      <c r="L17" s="2535">
        <f>G17-审定资负表!G20</f>
        <v>-1070338.02000001</v>
      </c>
      <c r="M17" s="2535">
        <f>H17-审定资负表!H20</f>
        <v>1418151.8</v>
      </c>
    </row>
    <row r="18" ht="21" customHeight="1" spans="1:13">
      <c r="A18" s="2537" t="s">
        <v>1788</v>
      </c>
      <c r="B18" s="2534"/>
      <c r="C18" s="2538"/>
      <c r="D18" s="2538"/>
      <c r="E18" s="2538"/>
      <c r="F18" s="2538"/>
      <c r="G18" s="2538"/>
      <c r="H18" s="2538"/>
      <c r="I18" s="2535">
        <f>C18-审定资负表!C21</f>
        <v>0</v>
      </c>
      <c r="J18" s="2535">
        <f>审定资负表!D21-'资产负债表对比-0603'!D18</f>
        <v>0</v>
      </c>
      <c r="L18" s="2535">
        <f>G18-审定资负表!G21</f>
        <v>0</v>
      </c>
      <c r="M18" s="2535">
        <f>H18-审定资负表!H21</f>
        <v>0</v>
      </c>
    </row>
    <row r="19" ht="21" customHeight="1" spans="1:13">
      <c r="A19" s="2537" t="s">
        <v>1789</v>
      </c>
      <c r="B19" s="2534" t="s">
        <v>1790</v>
      </c>
      <c r="C19" s="2538">
        <v>0</v>
      </c>
      <c r="D19" s="2538">
        <v>0</v>
      </c>
      <c r="E19" s="2538" t="s">
        <v>1791</v>
      </c>
      <c r="F19" s="2538"/>
      <c r="G19" s="2538"/>
      <c r="H19" s="2538"/>
      <c r="I19" s="2535">
        <f>C19-审定资负表!C22</f>
        <v>0</v>
      </c>
      <c r="J19" s="2535">
        <f>审定资负表!D22-'资产负债表对比-0603'!D19</f>
        <v>0</v>
      </c>
      <c r="L19" s="2535">
        <f>G19-审定资负表!G22</f>
        <v>0</v>
      </c>
      <c r="M19" s="2535">
        <f>H19-审定资负表!H22</f>
        <v>0</v>
      </c>
    </row>
    <row r="20" ht="21" customHeight="1" spans="1:13">
      <c r="A20" s="2537" t="s">
        <v>1792</v>
      </c>
      <c r="B20" s="2534" t="s">
        <v>1793</v>
      </c>
      <c r="C20" s="2538">
        <v>0</v>
      </c>
      <c r="D20" s="2538">
        <v>0</v>
      </c>
      <c r="E20" s="2538" t="s">
        <v>1794</v>
      </c>
      <c r="F20" s="2538" t="s">
        <v>1795</v>
      </c>
      <c r="G20" s="2538">
        <v>30498148.16</v>
      </c>
      <c r="H20" s="2538">
        <v>48202962.97</v>
      </c>
      <c r="I20" s="2535">
        <f>C20-审定资负表!C23</f>
        <v>0</v>
      </c>
      <c r="J20" s="2535">
        <f>审定资负表!D23-'资产负债表对比-0603'!D20</f>
        <v>0</v>
      </c>
      <c r="L20" s="2535">
        <f>G20-审定资负表!G23</f>
        <v>0</v>
      </c>
      <c r="M20" s="2535">
        <f>H20-审定资负表!H23</f>
        <v>0</v>
      </c>
    </row>
    <row r="21" ht="21" customHeight="1" spans="1:13">
      <c r="A21" s="2537" t="s">
        <v>1796</v>
      </c>
      <c r="B21" s="2534" t="s">
        <v>1797</v>
      </c>
      <c r="C21" s="2538">
        <v>71889420.64</v>
      </c>
      <c r="D21" s="2538">
        <v>9658781.06</v>
      </c>
      <c r="E21" s="2538" t="s">
        <v>1798</v>
      </c>
      <c r="F21" s="2538" t="s">
        <v>1799</v>
      </c>
      <c r="G21" s="2538">
        <v>0</v>
      </c>
      <c r="H21" s="2538">
        <v>0</v>
      </c>
      <c r="I21" s="2535">
        <f>C21-审定资负表!C24</f>
        <v>0.0199999958276749</v>
      </c>
      <c r="J21" s="2535">
        <f>审定资负表!D24-'资产负债表对比-0603'!D21</f>
        <v>0</v>
      </c>
      <c r="L21" s="2535">
        <f>G21-审定资负表!G24</f>
        <v>0</v>
      </c>
      <c r="M21" s="2535">
        <f>H21-审定资负表!H24</f>
        <v>0</v>
      </c>
    </row>
    <row r="22" ht="21" customHeight="1" spans="1:13">
      <c r="A22" s="2537" t="s">
        <v>1800</v>
      </c>
      <c r="B22" s="2534" t="s">
        <v>1801</v>
      </c>
      <c r="C22" s="2538">
        <v>4000000</v>
      </c>
      <c r="D22" s="2538">
        <v>4000000</v>
      </c>
      <c r="E22" s="2538" t="s">
        <v>1802</v>
      </c>
      <c r="F22" s="2538" t="s">
        <v>1803</v>
      </c>
      <c r="G22" s="2538">
        <v>12375398.73</v>
      </c>
      <c r="H22" s="2538">
        <v>18932594.8</v>
      </c>
      <c r="I22" s="2535">
        <f>C22-审定资负表!C25</f>
        <v>0</v>
      </c>
      <c r="J22" s="2535">
        <f>审定资负表!D25-'资产负债表对比-0603'!D22</f>
        <v>0</v>
      </c>
      <c r="L22" s="2535">
        <f>G22-审定资负表!G25</f>
        <v>0</v>
      </c>
      <c r="M22" s="2535">
        <f>H22-审定资负表!H25</f>
        <v>0</v>
      </c>
    </row>
    <row r="23" ht="21" customHeight="1" spans="1:13">
      <c r="A23" s="2537" t="s">
        <v>1804</v>
      </c>
      <c r="B23" s="2534" t="s">
        <v>1805</v>
      </c>
      <c r="C23" s="2538">
        <v>0</v>
      </c>
      <c r="D23" s="2538">
        <v>0</v>
      </c>
      <c r="E23" s="2538" t="s">
        <v>1806</v>
      </c>
      <c r="F23" s="2538" t="s">
        <v>1807</v>
      </c>
      <c r="G23" s="2538">
        <v>0</v>
      </c>
      <c r="H23" s="2538">
        <v>0</v>
      </c>
      <c r="I23" s="2535">
        <f>C23-审定资负表!C26</f>
        <v>0</v>
      </c>
      <c r="J23" s="2535">
        <f>审定资负表!D26-'资产负债表对比-0603'!D23</f>
        <v>0</v>
      </c>
      <c r="L23" s="2535">
        <f>G23-审定资负表!G26</f>
        <v>0</v>
      </c>
      <c r="M23" s="2535">
        <f>H23-审定资负表!H26</f>
        <v>0</v>
      </c>
    </row>
    <row r="24" ht="21" customHeight="1" spans="1:13">
      <c r="A24" s="2537" t="s">
        <v>1808</v>
      </c>
      <c r="B24" s="2534" t="s">
        <v>1809</v>
      </c>
      <c r="C24" s="2538">
        <v>63138192.37</v>
      </c>
      <c r="D24" s="2538">
        <v>67613790.3</v>
      </c>
      <c r="E24" s="2538" t="s">
        <v>1810</v>
      </c>
      <c r="F24" s="2538" t="s">
        <v>1811</v>
      </c>
      <c r="G24" s="2538">
        <v>5395983.26</v>
      </c>
      <c r="H24" s="2538">
        <v>450190.65</v>
      </c>
      <c r="I24" s="2535">
        <f>C24-审定资负表!C27</f>
        <v>0</v>
      </c>
      <c r="J24" s="2535">
        <f>审定资负表!D27-'资产负债表对比-0603'!D24</f>
        <v>0</v>
      </c>
      <c r="L24" s="2535">
        <f>G24-审定资负表!G27</f>
        <v>0</v>
      </c>
      <c r="M24" s="2535">
        <f>H24-审定资负表!H27</f>
        <v>0</v>
      </c>
    </row>
    <row r="25" ht="21" customHeight="1" spans="1:13">
      <c r="A25" s="2537" t="s">
        <v>1812</v>
      </c>
      <c r="B25" s="2534" t="s">
        <v>1813</v>
      </c>
      <c r="C25" s="2538">
        <v>50697993.93</v>
      </c>
      <c r="D25" s="2538">
        <v>2327419.91</v>
      </c>
      <c r="E25" s="2538" t="s">
        <v>1814</v>
      </c>
      <c r="F25" s="2538" t="s">
        <v>1815</v>
      </c>
      <c r="G25" s="2538">
        <v>0</v>
      </c>
      <c r="H25" s="2538">
        <v>0</v>
      </c>
      <c r="I25" s="2535">
        <f>C25-审定资负表!C28</f>
        <v>0</v>
      </c>
      <c r="J25" s="2535">
        <f>审定资负表!D28-'资产负债表对比-0603'!D25</f>
        <v>0</v>
      </c>
      <c r="L25" s="2535">
        <f>G25-审定资负表!G28</f>
        <v>0</v>
      </c>
      <c r="M25" s="2535">
        <f>H25-审定资负表!H28</f>
        <v>0</v>
      </c>
    </row>
    <row r="26" ht="21" customHeight="1" spans="1:13">
      <c r="A26" s="2537" t="s">
        <v>1816</v>
      </c>
      <c r="B26" s="2534" t="s">
        <v>1817</v>
      </c>
      <c r="C26" s="2538">
        <v>0</v>
      </c>
      <c r="D26" s="2538">
        <v>0</v>
      </c>
      <c r="E26" s="2538" t="s">
        <v>1818</v>
      </c>
      <c r="F26" s="2538" t="s">
        <v>1819</v>
      </c>
      <c r="G26" s="2538">
        <v>0</v>
      </c>
      <c r="H26" s="2538">
        <v>0</v>
      </c>
      <c r="I26" s="2535">
        <f>C26-审定资负表!C29</f>
        <v>0</v>
      </c>
      <c r="J26" s="2535">
        <f>审定资负表!D29-'资产负债表对比-0603'!D26</f>
        <v>0</v>
      </c>
      <c r="L26" s="2535">
        <f>G26-审定资负表!G29</f>
        <v>0</v>
      </c>
      <c r="M26" s="2535">
        <f>H26-审定资负表!H29</f>
        <v>0</v>
      </c>
    </row>
    <row r="27" ht="21" customHeight="1" spans="1:13">
      <c r="A27" s="2537" t="s">
        <v>1820</v>
      </c>
      <c r="B27" s="2534" t="s">
        <v>1821</v>
      </c>
      <c r="C27" s="2538">
        <v>0</v>
      </c>
      <c r="D27" s="2538">
        <v>0</v>
      </c>
      <c r="E27" s="2538" t="s">
        <v>1822</v>
      </c>
      <c r="F27" s="2538" t="s">
        <v>1823</v>
      </c>
      <c r="G27" s="2538">
        <v>3973515.53</v>
      </c>
      <c r="H27" s="2538">
        <v>2082524</v>
      </c>
      <c r="I27" s="2535">
        <f>C27-审定资负表!C30</f>
        <v>0</v>
      </c>
      <c r="J27" s="2535">
        <f>审定资负表!D30-'资产负债表对比-0603'!D27</f>
        <v>0</v>
      </c>
      <c r="L27" s="2535">
        <f>G27-审定资负表!G30</f>
        <v>0</v>
      </c>
      <c r="M27" s="2535">
        <f>H27-审定资负表!H30</f>
        <v>0</v>
      </c>
    </row>
    <row r="28" ht="21" customHeight="1" spans="1:13">
      <c r="A28" s="2537" t="s">
        <v>1824</v>
      </c>
      <c r="B28" s="2534" t="s">
        <v>1825</v>
      </c>
      <c r="C28" s="2538">
        <v>0</v>
      </c>
      <c r="D28" s="2538">
        <v>0</v>
      </c>
      <c r="E28" s="2538" t="s">
        <v>1826</v>
      </c>
      <c r="F28" s="2538"/>
      <c r="G28" s="2538">
        <v>52243045.68</v>
      </c>
      <c r="H28" s="2538">
        <v>69668272.42</v>
      </c>
      <c r="I28" s="2535">
        <f>C28-审定资负表!C31</f>
        <v>0</v>
      </c>
      <c r="J28" s="2535">
        <f>审定资负表!D31-'资产负债表对比-0603'!D28</f>
        <v>0</v>
      </c>
      <c r="L28" s="2535">
        <f>G28-审定资负表!G31</f>
        <v>0</v>
      </c>
      <c r="M28" s="2535">
        <f>H28-审定资负表!H31</f>
        <v>0</v>
      </c>
    </row>
    <row r="29" ht="21" customHeight="1" spans="1:13">
      <c r="A29" s="2537" t="s">
        <v>1827</v>
      </c>
      <c r="B29" s="2534" t="s">
        <v>1828</v>
      </c>
      <c r="C29" s="2538">
        <v>0</v>
      </c>
      <c r="D29" s="2538">
        <v>0</v>
      </c>
      <c r="E29" s="2538"/>
      <c r="F29" s="2538"/>
      <c r="G29" s="2538"/>
      <c r="H29" s="2538"/>
      <c r="I29" s="2535">
        <f>C29-审定资负表!C32</f>
        <v>0</v>
      </c>
      <c r="J29" s="2535">
        <f>审定资负表!D32-'资产负债表对比-0603'!D29</f>
        <v>0</v>
      </c>
      <c r="L29" s="2535">
        <f>G29-审定资负表!G32</f>
        <v>0</v>
      </c>
      <c r="M29" s="2535">
        <f>H29-审定资负表!H32</f>
        <v>0</v>
      </c>
    </row>
    <row r="30" ht="21" customHeight="1" spans="1:13">
      <c r="A30" s="2537" t="s">
        <v>1829</v>
      </c>
      <c r="B30" s="2534" t="s">
        <v>1830</v>
      </c>
      <c r="C30" s="2538">
        <v>10000</v>
      </c>
      <c r="D30" s="2538">
        <v>16000</v>
      </c>
      <c r="E30" s="2538" t="s">
        <v>1831</v>
      </c>
      <c r="F30" s="2538"/>
      <c r="G30" s="2538">
        <v>155664029</v>
      </c>
      <c r="H30" s="2538">
        <v>137427850.86</v>
      </c>
      <c r="I30" s="2535">
        <f>C30-审定资负表!C33</f>
        <v>0</v>
      </c>
      <c r="J30" s="2535">
        <f>审定资负表!D33-'资产负债表对比-0603'!D30</f>
        <v>0</v>
      </c>
      <c r="L30" s="2535">
        <f>G30-审定资负表!G33</f>
        <v>-1070338.02000001</v>
      </c>
      <c r="M30" s="2535">
        <f>H30-审定资负表!H33</f>
        <v>1418151.80000001</v>
      </c>
    </row>
    <row r="31" ht="21" customHeight="1" spans="1:13">
      <c r="A31" s="2537" t="s">
        <v>1832</v>
      </c>
      <c r="B31" s="2534" t="s">
        <v>1830</v>
      </c>
      <c r="C31" s="2538">
        <v>0</v>
      </c>
      <c r="D31" s="2538">
        <v>0</v>
      </c>
      <c r="E31" s="2538"/>
      <c r="F31" s="2538"/>
      <c r="G31" s="2538"/>
      <c r="H31" s="2538"/>
      <c r="I31" s="2535">
        <f>C31-审定资负表!C34</f>
        <v>0</v>
      </c>
      <c r="J31" s="2535">
        <f>审定资负表!D34-'资产负债表对比-0603'!D31</f>
        <v>0</v>
      </c>
      <c r="L31" s="2535">
        <f>G31-审定资负表!G34</f>
        <v>0</v>
      </c>
      <c r="M31" s="2535">
        <f>H31-审定资负表!H34</f>
        <v>0</v>
      </c>
    </row>
    <row r="32" ht="21" customHeight="1" spans="1:13">
      <c r="A32" s="2537" t="s">
        <v>1833</v>
      </c>
      <c r="B32" s="2534" t="s">
        <v>1834</v>
      </c>
      <c r="C32" s="2538">
        <v>0</v>
      </c>
      <c r="D32" s="2538">
        <v>0</v>
      </c>
      <c r="E32" s="2538" t="s">
        <v>1835</v>
      </c>
      <c r="F32" s="2538"/>
      <c r="G32" s="2538"/>
      <c r="H32" s="2538"/>
      <c r="I32" s="2535">
        <f>C32-审定资负表!C35</f>
        <v>0</v>
      </c>
      <c r="J32" s="2535">
        <f>审定资负表!D35-'资产负债表对比-0603'!D32</f>
        <v>0</v>
      </c>
      <c r="L32" s="2535">
        <f>G32-审定资负表!G35</f>
        <v>0</v>
      </c>
      <c r="M32" s="2535">
        <f>H32-审定资负表!H35</f>
        <v>0</v>
      </c>
    </row>
    <row r="33" ht="21" customHeight="1" spans="1:13">
      <c r="A33" s="2537" t="s">
        <v>1836</v>
      </c>
      <c r="B33" s="2534" t="s">
        <v>1837</v>
      </c>
      <c r="C33" s="2538">
        <v>170458.45</v>
      </c>
      <c r="D33" s="2538">
        <v>378415.02</v>
      </c>
      <c r="E33" s="2538" t="s">
        <v>1838</v>
      </c>
      <c r="F33" s="2538" t="s">
        <v>1839</v>
      </c>
      <c r="G33" s="2538">
        <v>137800000</v>
      </c>
      <c r="H33" s="2538">
        <v>120000000</v>
      </c>
      <c r="I33" s="2535">
        <f>C33-审定资负表!C36</f>
        <v>0</v>
      </c>
      <c r="J33" s="2535">
        <f>审定资负表!D36-'资产负债表对比-0603'!D33</f>
        <v>0</v>
      </c>
      <c r="L33" s="2535">
        <f>G33-审定资负表!G36</f>
        <v>0</v>
      </c>
      <c r="M33" s="2535">
        <f>H33-审定资负表!H36</f>
        <v>0</v>
      </c>
    </row>
    <row r="34" ht="24" spans="1:13">
      <c r="A34" s="2537" t="s">
        <v>1840</v>
      </c>
      <c r="B34" s="2534" t="s">
        <v>1815</v>
      </c>
      <c r="C34" s="2538">
        <v>1595264.2</v>
      </c>
      <c r="D34" s="2538">
        <v>810692.23</v>
      </c>
      <c r="E34" s="2538" t="s">
        <v>1841</v>
      </c>
      <c r="F34" s="2538" t="s">
        <v>1842</v>
      </c>
      <c r="G34" s="2538">
        <v>218598931.26</v>
      </c>
      <c r="H34" s="2538">
        <v>5756259.26</v>
      </c>
      <c r="I34" s="2535">
        <f>C34-审定资负表!C37</f>
        <v>40653.6199999999</v>
      </c>
      <c r="J34" s="2535">
        <f>审定资负表!D37-'资产负债表对比-0603'!D34</f>
        <v>0</v>
      </c>
      <c r="L34" s="2535">
        <f>G34-审定资负表!G37</f>
        <v>0</v>
      </c>
      <c r="M34" s="2535">
        <f>H34-审定资负表!H37</f>
        <v>0</v>
      </c>
    </row>
    <row r="35" ht="21" customHeight="1" spans="1:13">
      <c r="A35" s="2537" t="s">
        <v>1843</v>
      </c>
      <c r="B35" s="2534" t="s">
        <v>1844</v>
      </c>
      <c r="C35" s="2538">
        <v>0</v>
      </c>
      <c r="D35" s="2538">
        <v>0</v>
      </c>
      <c r="E35" s="2538" t="s">
        <v>1845</v>
      </c>
      <c r="F35" s="2538" t="s">
        <v>1846</v>
      </c>
      <c r="G35" s="2538">
        <v>0</v>
      </c>
      <c r="H35" s="2538">
        <v>0</v>
      </c>
      <c r="I35" s="2535">
        <f>C35-审定资负表!C38</f>
        <v>0</v>
      </c>
      <c r="J35" s="2535">
        <f>审定资负表!D38-'资产负债表对比-0603'!D35</f>
        <v>0</v>
      </c>
      <c r="L35" s="2535">
        <f>G35-审定资负表!G38</f>
        <v>0</v>
      </c>
      <c r="M35" s="2535">
        <f>H35-审定资负表!H38</f>
        <v>0</v>
      </c>
    </row>
    <row r="36" ht="21" customHeight="1" spans="1:13">
      <c r="A36" s="2537" t="s">
        <v>1847</v>
      </c>
      <c r="B36" s="2534"/>
      <c r="C36" s="2538">
        <v>0</v>
      </c>
      <c r="D36" s="2538">
        <v>0</v>
      </c>
      <c r="E36" s="2538" t="s">
        <v>1848</v>
      </c>
      <c r="F36" s="2538" t="s">
        <v>1849</v>
      </c>
      <c r="G36" s="2538">
        <v>0</v>
      </c>
      <c r="H36" s="2538">
        <v>0</v>
      </c>
      <c r="I36" s="2535">
        <f>C36-审定资负表!C39</f>
        <v>0</v>
      </c>
      <c r="J36" s="2535">
        <f>审定资负表!D39-'资产负债表对比-0603'!D36</f>
        <v>0</v>
      </c>
      <c r="L36" s="2535">
        <f>G36-审定资负表!G39</f>
        <v>0</v>
      </c>
      <c r="M36" s="2535">
        <f>H36-审定资负表!H39</f>
        <v>0</v>
      </c>
    </row>
    <row r="37" ht="21" customHeight="1" spans="1:13">
      <c r="A37" s="2537" t="s">
        <v>1850</v>
      </c>
      <c r="B37" s="2534"/>
      <c r="C37" s="2538">
        <v>191501329.59</v>
      </c>
      <c r="D37" s="2538">
        <v>84805098.52</v>
      </c>
      <c r="E37" s="2538" t="s">
        <v>1851</v>
      </c>
      <c r="F37" s="2538" t="s">
        <v>1852</v>
      </c>
      <c r="G37" s="2538">
        <v>-29733669.67</v>
      </c>
      <c r="H37" s="2538">
        <v>-37238054.08</v>
      </c>
      <c r="I37" s="2535">
        <f>C37-审定资负表!C40</f>
        <v>40653.6400000155</v>
      </c>
      <c r="J37" s="2535">
        <f>审定资负表!D40-'资产负债表对比-0603'!D37</f>
        <v>0</v>
      </c>
      <c r="L37" s="2535">
        <f>G37-审定资负表!G40</f>
        <v>-1879024.18</v>
      </c>
      <c r="M37" s="2535">
        <f>H37-审定资负表!H40</f>
        <v>-551764.039999999</v>
      </c>
    </row>
    <row r="38" ht="21" customHeight="1" spans="1:13">
      <c r="A38" s="2537"/>
      <c r="B38" s="2534"/>
      <c r="C38" s="2538"/>
      <c r="D38" s="2538"/>
      <c r="E38" s="2538" t="s">
        <v>1853</v>
      </c>
      <c r="F38" s="2538"/>
      <c r="G38" s="2538">
        <v>0</v>
      </c>
      <c r="H38" s="2538">
        <v>0</v>
      </c>
      <c r="I38" s="2535">
        <f>C38-审定资负表!C41</f>
        <v>0</v>
      </c>
      <c r="J38" s="2535">
        <f>审定资负表!D41-'资产负债表对比-0603'!D38</f>
        <v>0</v>
      </c>
      <c r="L38" s="2535">
        <f>G38-审定资负表!G41</f>
        <v>0</v>
      </c>
      <c r="M38" s="2535">
        <f>H38-审定资负表!H41</f>
        <v>0</v>
      </c>
    </row>
    <row r="39" ht="21" customHeight="1" spans="1:13">
      <c r="A39" s="2537"/>
      <c r="B39" s="2534"/>
      <c r="C39" s="2538"/>
      <c r="D39" s="2538"/>
      <c r="E39" s="2538" t="s">
        <v>1854</v>
      </c>
      <c r="F39" s="2538" t="s">
        <v>1855</v>
      </c>
      <c r="G39" s="2538">
        <v>0</v>
      </c>
      <c r="H39" s="2538">
        <v>0</v>
      </c>
      <c r="I39" s="2535">
        <f>C39-审定资负表!C42</f>
        <v>0</v>
      </c>
      <c r="J39" s="2535">
        <f>审定资负表!D42-'资产负债表对比-0603'!D39</f>
        <v>0</v>
      </c>
      <c r="L39" s="2535">
        <f>G39-审定资负表!G42</f>
        <v>0</v>
      </c>
      <c r="M39" s="2535">
        <f>H39-审定资负表!H42</f>
        <v>0</v>
      </c>
    </row>
    <row r="40" ht="21" customHeight="1" spans="1:13">
      <c r="A40" s="2537"/>
      <c r="B40" s="2534"/>
      <c r="C40" s="2538"/>
      <c r="D40" s="2538"/>
      <c r="E40" s="2538" t="s">
        <v>1856</v>
      </c>
      <c r="F40" s="2538"/>
      <c r="G40" s="2538">
        <v>326665261.59</v>
      </c>
      <c r="H40" s="2538">
        <v>88518205.18</v>
      </c>
      <c r="I40" s="2535">
        <f>C40-审定资负表!C43</f>
        <v>0</v>
      </c>
      <c r="J40" s="2535">
        <f>审定资负表!D43-'资产负债表对比-0603'!D40</f>
        <v>0</v>
      </c>
      <c r="L40" s="2535">
        <f>G40-审定资负表!G43</f>
        <v>-1879024.18000001</v>
      </c>
      <c r="M40" s="2535">
        <f>H40-审定资负表!H43</f>
        <v>-551764.039999992</v>
      </c>
    </row>
    <row r="41" spans="1:13">
      <c r="A41" s="2537"/>
      <c r="B41" s="2534"/>
      <c r="C41" s="2538"/>
      <c r="D41" s="2538"/>
      <c r="E41" s="2538"/>
      <c r="F41" s="2538"/>
      <c r="G41" s="2538"/>
      <c r="H41" s="2538"/>
      <c r="I41" s="2535">
        <f>C41-审定资负表!C44</f>
        <v>0</v>
      </c>
      <c r="J41" s="2535">
        <f>审定资负表!D44-'资产负债表对比-0603'!D41</f>
        <v>0</v>
      </c>
      <c r="L41" s="2535">
        <f>G41-审定资负表!G44</f>
        <v>0</v>
      </c>
      <c r="M41" s="2535">
        <f>H41-审定资负表!H44</f>
        <v>0</v>
      </c>
    </row>
    <row r="42" spans="1:13">
      <c r="A42" s="2537"/>
      <c r="B42" s="2534"/>
      <c r="C42" s="2538"/>
      <c r="D42" s="2538"/>
      <c r="E42" s="2538" t="s">
        <v>1857</v>
      </c>
      <c r="F42" s="2538"/>
      <c r="G42" s="2538"/>
      <c r="H42" s="2538"/>
      <c r="I42" s="2535">
        <f>C42-审定资负表!C45</f>
        <v>0</v>
      </c>
      <c r="J42" s="2535">
        <f>审定资负表!D45-'资产负债表对比-0603'!D42</f>
        <v>0</v>
      </c>
      <c r="L42" s="2535">
        <f>G42-审定资负表!G45</f>
        <v>0</v>
      </c>
      <c r="M42" s="2535">
        <f>H42-审定资负表!H45</f>
        <v>0</v>
      </c>
    </row>
    <row r="43" spans="1:13">
      <c r="A43" s="2537"/>
      <c r="B43" s="2534"/>
      <c r="C43" s="2538"/>
      <c r="D43" s="2538"/>
      <c r="E43" s="2538" t="s">
        <v>1858</v>
      </c>
      <c r="F43" s="2538"/>
      <c r="G43" s="2538">
        <v>326665261.59</v>
      </c>
      <c r="H43" s="2538">
        <v>88518205.18</v>
      </c>
      <c r="I43" s="2535">
        <f>C43-审定资负表!C46</f>
        <v>0</v>
      </c>
      <c r="J43" s="2535">
        <f>审定资负表!D46-'资产负债表对比-0603'!D43</f>
        <v>0</v>
      </c>
      <c r="L43" s="2535">
        <f>G43-审定资负表!G46</f>
        <v>-1879024.18000001</v>
      </c>
      <c r="M43" s="2535">
        <f>H43-审定资负表!H46</f>
        <v>-551764.039999992</v>
      </c>
    </row>
    <row r="44" spans="1:13">
      <c r="A44" s="2537"/>
      <c r="B44" s="2534"/>
      <c r="C44" s="2538"/>
      <c r="D44" s="2538"/>
      <c r="E44" s="2538"/>
      <c r="F44" s="2538"/>
      <c r="G44" s="2538"/>
      <c r="H44" s="2538"/>
      <c r="I44" s="2535">
        <f>C44-审定资负表!C47</f>
        <v>0</v>
      </c>
      <c r="J44" s="2535">
        <f>审定资负表!D47-'资产负债表对比-0603'!D44</f>
        <v>0</v>
      </c>
      <c r="L44" s="2535">
        <f>G44-审定资负表!G47</f>
        <v>0</v>
      </c>
      <c r="M44" s="2535">
        <f>H44-审定资负表!H47</f>
        <v>0</v>
      </c>
    </row>
    <row r="45" spans="1:13">
      <c r="A45" s="2537" t="s">
        <v>1859</v>
      </c>
      <c r="B45" s="2534"/>
      <c r="C45" s="2538">
        <v>482329290.59</v>
      </c>
      <c r="D45" s="2538">
        <v>225946056.04</v>
      </c>
      <c r="E45" s="2538" t="s">
        <v>1860</v>
      </c>
      <c r="F45" s="2538"/>
      <c r="G45" s="2538">
        <v>482329290.59</v>
      </c>
      <c r="H45" s="2538">
        <v>225946056.04</v>
      </c>
      <c r="I45" s="2535">
        <f>C45-审定资负表!C48</f>
        <v>-2949362.20000005</v>
      </c>
      <c r="J45" s="2535">
        <f>审定资负表!D48-'资产负债表对比-0603'!D45</f>
        <v>-866387.75999999</v>
      </c>
      <c r="L45" s="2535">
        <f>G45-审定资负表!G48</f>
        <v>-2949362.20000005</v>
      </c>
      <c r="M45" s="2535">
        <f>H45-审定资负表!H48</f>
        <v>866387.75999999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
  <sheetViews>
    <sheetView workbookViewId="0">
      <selection activeCell="E14" sqref="E14"/>
    </sheetView>
  </sheetViews>
  <sheetFormatPr defaultColWidth="9" defaultRowHeight="14.25" outlineLevelCol="5"/>
  <cols>
    <col min="1" max="1" width="22.875" customWidth="1"/>
    <col min="3" max="3" width="14.375" customWidth="1"/>
    <col min="4" max="4" width="13.5" customWidth="1"/>
    <col min="5" max="5" width="15" customWidth="1"/>
    <col min="6" max="6" width="16.375" customWidth="1"/>
  </cols>
  <sheetData>
    <row r="1" spans="1:4">
      <c r="A1" s="2534" t="s">
        <v>1861</v>
      </c>
      <c r="B1" s="2534" t="s">
        <v>1730</v>
      </c>
      <c r="C1" s="2534" t="s">
        <v>1862</v>
      </c>
      <c r="D1" s="2534" t="s">
        <v>1863</v>
      </c>
    </row>
    <row r="2" ht="21" customHeight="1" spans="1:4">
      <c r="A2" s="2535"/>
      <c r="B2" s="2535"/>
      <c r="C2" s="2535"/>
      <c r="D2" s="2535"/>
    </row>
    <row r="3" ht="21" customHeight="1" spans="1:6">
      <c r="A3" s="2535" t="s">
        <v>1864</v>
      </c>
      <c r="B3" s="2535" t="s">
        <v>1823</v>
      </c>
      <c r="C3" s="2535">
        <v>119726379.42</v>
      </c>
      <c r="D3" s="2535">
        <v>54494532.9</v>
      </c>
      <c r="E3">
        <f>C3-审定利润表!C6</f>
        <v>-371184.539999992</v>
      </c>
      <c r="F3">
        <f>D3-审定利润表!D6</f>
        <v>-371184.539999999</v>
      </c>
    </row>
    <row r="4" spans="1:6">
      <c r="A4" s="2535" t="s">
        <v>1865</v>
      </c>
      <c r="B4" s="2535" t="s">
        <v>1823</v>
      </c>
      <c r="C4" s="2535">
        <v>66380135.42</v>
      </c>
      <c r="D4" s="2535">
        <v>29364509.85</v>
      </c>
      <c r="E4">
        <f>C4-审定利润表!C7</f>
        <v>878683.480000004</v>
      </c>
      <c r="F4">
        <f>D4-审定利润表!D7</f>
        <v>0</v>
      </c>
    </row>
    <row r="5" spans="1:6">
      <c r="A5" s="2535" t="s">
        <v>1866</v>
      </c>
      <c r="B5" s="2535" t="s">
        <v>1867</v>
      </c>
      <c r="C5" s="2535">
        <v>373643.83</v>
      </c>
      <c r="D5" s="2535">
        <v>242593.74</v>
      </c>
      <c r="E5">
        <f>C5-审定利润表!C8</f>
        <v>0</v>
      </c>
      <c r="F5">
        <f>D5-审定利润表!D8</f>
        <v>0</v>
      </c>
    </row>
    <row r="6" ht="21" customHeight="1" spans="1:6">
      <c r="A6" s="2535" t="s">
        <v>1868</v>
      </c>
      <c r="B6" s="2535" t="s">
        <v>1869</v>
      </c>
      <c r="C6" s="2535">
        <v>11918966.31</v>
      </c>
      <c r="D6" s="2535">
        <v>11911652.27</v>
      </c>
      <c r="E6">
        <f>C6-审定利润表!C9</f>
        <v>0</v>
      </c>
      <c r="F6">
        <f>D6-审定利润表!D9</f>
        <v>0</v>
      </c>
    </row>
    <row r="7" ht="21" customHeight="1" spans="1:6">
      <c r="A7" s="2535" t="s">
        <v>1870</v>
      </c>
      <c r="B7" s="2535" t="s">
        <v>1869</v>
      </c>
      <c r="C7" s="2535">
        <v>13092697.23</v>
      </c>
      <c r="D7" s="2535">
        <v>18629503.08</v>
      </c>
      <c r="E7">
        <f>C7-审定利润表!C10</f>
        <v>0</v>
      </c>
      <c r="F7">
        <f>D7-审定利润表!D10</f>
        <v>13201.799999997</v>
      </c>
    </row>
    <row r="8" ht="21" customHeight="1" spans="1:6">
      <c r="A8" s="2535" t="s">
        <v>1871</v>
      </c>
      <c r="B8" s="2535" t="s">
        <v>1869</v>
      </c>
      <c r="C8" s="2535">
        <v>17583927.66</v>
      </c>
      <c r="D8" s="2535">
        <v>-174505.14</v>
      </c>
      <c r="E8">
        <f>C8-审定利润表!C11</f>
        <v>0.0100000016391277</v>
      </c>
      <c r="F8">
        <f>D8-审定利润表!D11</f>
        <v>0</v>
      </c>
    </row>
    <row r="9" ht="21" customHeight="1" spans="1:6">
      <c r="A9" s="2535" t="s">
        <v>1872</v>
      </c>
      <c r="B9" s="2535" t="s">
        <v>1873</v>
      </c>
      <c r="C9" s="2535">
        <v>1910185.8</v>
      </c>
      <c r="D9" s="2535">
        <v>3801487.12</v>
      </c>
      <c r="E9">
        <f>C9-审定利润表!C12</f>
        <v>118045.73</v>
      </c>
      <c r="F9">
        <f>D9-审定利润表!D12</f>
        <v>-1189382.3</v>
      </c>
    </row>
    <row r="10" ht="21" customHeight="1" spans="1:6">
      <c r="A10" s="2535" t="s">
        <v>1874</v>
      </c>
      <c r="B10" s="2535" t="s">
        <v>1875</v>
      </c>
      <c r="C10" s="2535">
        <v>0</v>
      </c>
      <c r="D10" s="2535">
        <v>0</v>
      </c>
      <c r="E10">
        <f>C10-审定利润表!C13</f>
        <v>0</v>
      </c>
      <c r="F10">
        <f>D10-审定利润表!D13</f>
        <v>0</v>
      </c>
    </row>
    <row r="11" ht="21" customHeight="1" spans="1:6">
      <c r="A11" s="2535" t="s">
        <v>1876</v>
      </c>
      <c r="B11" s="2535" t="s">
        <v>1877</v>
      </c>
      <c r="C11" s="2535">
        <v>0</v>
      </c>
      <c r="D11" s="2535">
        <v>0</v>
      </c>
      <c r="E11">
        <f>C11-审定利润表!C14</f>
        <v>0</v>
      </c>
      <c r="F11">
        <f>D11-审定利润表!D14</f>
        <v>0</v>
      </c>
    </row>
    <row r="12" ht="21" customHeight="1" spans="1:6">
      <c r="A12" s="2535" t="s">
        <v>1878</v>
      </c>
      <c r="B12" s="2535"/>
      <c r="C12" s="2535">
        <v>0</v>
      </c>
      <c r="D12" s="2535">
        <v>0</v>
      </c>
      <c r="E12">
        <f>C12-审定利润表!C15</f>
        <v>0</v>
      </c>
      <c r="F12">
        <f>D12-审定利润表!D15</f>
        <v>0</v>
      </c>
    </row>
    <row r="13" ht="21" customHeight="1" spans="1:6">
      <c r="A13" s="2535" t="s">
        <v>1879</v>
      </c>
      <c r="B13" s="2535" t="s">
        <v>1880</v>
      </c>
      <c r="C13" s="2535">
        <v>0</v>
      </c>
      <c r="D13" s="2535">
        <v>0</v>
      </c>
      <c r="E13">
        <f>C13-审定利润表!C16</f>
        <v>0</v>
      </c>
      <c r="F13">
        <f>D13-审定利润表!D16</f>
        <v>0</v>
      </c>
    </row>
    <row r="14" ht="21" customHeight="1" spans="1:6">
      <c r="A14" s="2535" t="s">
        <v>1881</v>
      </c>
      <c r="B14" s="2535"/>
      <c r="C14" s="2535">
        <v>0</v>
      </c>
      <c r="D14" s="2535">
        <v>0</v>
      </c>
      <c r="E14">
        <f>C14-审定利润表!C17</f>
        <v>0</v>
      </c>
      <c r="F14">
        <f>D14-审定利润表!D17</f>
        <v>0</v>
      </c>
    </row>
    <row r="15" ht="21" customHeight="1" spans="1:6">
      <c r="A15" s="2535" t="s">
        <v>1882</v>
      </c>
      <c r="B15" s="2535" t="s">
        <v>1883</v>
      </c>
      <c r="C15" s="2535">
        <v>0</v>
      </c>
      <c r="D15" s="2535">
        <v>0</v>
      </c>
      <c r="E15">
        <f>C15-审定利润表!C18</f>
        <v>0</v>
      </c>
      <c r="F15">
        <f>D15-审定利润表!D18</f>
        <v>0</v>
      </c>
    </row>
    <row r="16" ht="21" customHeight="1" spans="1:6">
      <c r="A16" s="2535" t="s">
        <v>1884</v>
      </c>
      <c r="B16" s="2535"/>
      <c r="C16" s="2535">
        <v>8466823.17</v>
      </c>
      <c r="D16" s="2535">
        <v>-9280708.02</v>
      </c>
      <c r="E16">
        <f>C16-审定利润表!C19</f>
        <v>-1367913.76</v>
      </c>
      <c r="F16">
        <f>D16-审定利润表!D19</f>
        <v>804995.960000001</v>
      </c>
    </row>
    <row r="17" ht="21" customHeight="1" spans="1:6">
      <c r="A17" s="2535" t="s">
        <v>1885</v>
      </c>
      <c r="B17" s="2535" t="s">
        <v>1886</v>
      </c>
      <c r="C17" s="2535">
        <v>853546.58</v>
      </c>
      <c r="D17" s="2535">
        <v>362052.92</v>
      </c>
      <c r="E17">
        <f>C17-审定利润表!C20</f>
        <v>0</v>
      </c>
      <c r="F17">
        <f>D17-审定利润表!D20</f>
        <v>0</v>
      </c>
    </row>
    <row r="18" ht="21" customHeight="1" spans="1:6">
      <c r="A18" s="2535" t="s">
        <v>1887</v>
      </c>
      <c r="B18" s="2535" t="s">
        <v>1888</v>
      </c>
      <c r="C18" s="2535">
        <v>2139962.48</v>
      </c>
      <c r="D18" s="2535">
        <v>24281.65</v>
      </c>
      <c r="E18">
        <f>C18-审定利润表!C21</f>
        <v>0</v>
      </c>
      <c r="F18">
        <f>D18-审定利润表!D21</f>
        <v>0</v>
      </c>
    </row>
    <row r="19" ht="21" customHeight="1" spans="1:6">
      <c r="A19" s="2535" t="s">
        <v>1889</v>
      </c>
      <c r="B19" s="2535"/>
      <c r="C19" s="2535">
        <v>7180407.27</v>
      </c>
      <c r="D19" s="2535">
        <v>-8942936.75</v>
      </c>
      <c r="E19">
        <f>C19-审定利润表!C22</f>
        <v>-1367913.76</v>
      </c>
      <c r="F19">
        <f>D19-审定利润表!D22</f>
        <v>804995.960000001</v>
      </c>
    </row>
    <row r="20" ht="21" customHeight="1" spans="1:6">
      <c r="A20" s="2535" t="s">
        <v>1890</v>
      </c>
      <c r="B20" s="2535" t="s">
        <v>1891</v>
      </c>
      <c r="C20" s="2535">
        <v>-323977.14</v>
      </c>
      <c r="D20" s="2535">
        <v>842798.93</v>
      </c>
      <c r="E20">
        <f>C20-审定利润表!C23</f>
        <v>-40653.62</v>
      </c>
      <c r="F20">
        <f>D20-审定利润表!D23</f>
        <v>0</v>
      </c>
    </row>
    <row r="21" ht="21" customHeight="1" spans="1:6">
      <c r="A21" s="2535" t="s">
        <v>1892</v>
      </c>
      <c r="B21" s="2535"/>
      <c r="C21" s="2535">
        <v>7504384.41</v>
      </c>
      <c r="D21" s="2535">
        <v>-9785735.68</v>
      </c>
      <c r="E21">
        <f>C21-审定利润表!C24</f>
        <v>-1327260.14</v>
      </c>
      <c r="F21">
        <f>D21-审定利润表!D24</f>
        <v>804995.960000001</v>
      </c>
    </row>
    <row r="22" ht="21" customHeight="1" spans="1:6">
      <c r="A22" s="2535" t="s">
        <v>1893</v>
      </c>
      <c r="B22" s="2535"/>
      <c r="C22" s="2535">
        <v>7504384.41</v>
      </c>
      <c r="D22" s="2535">
        <v>-9785735.68</v>
      </c>
      <c r="E22">
        <f>C22-审定利润表!C25</f>
        <v>-1327260.14</v>
      </c>
      <c r="F22">
        <f>D22-审定利润表!D25</f>
        <v>804995.960000001</v>
      </c>
    </row>
    <row r="23" ht="21" customHeight="1" spans="1:6">
      <c r="A23" s="2535" t="s">
        <v>1894</v>
      </c>
      <c r="B23" s="2535"/>
      <c r="C23" s="2535"/>
      <c r="D23" s="2535"/>
      <c r="E23">
        <f>C23-审定利润表!C26</f>
        <v>0</v>
      </c>
      <c r="F23">
        <f>D23-审定利润表!D26</f>
        <v>0</v>
      </c>
    </row>
    <row r="24" ht="21" customHeight="1" spans="1:6">
      <c r="A24" s="2535" t="s">
        <v>1895</v>
      </c>
      <c r="B24" s="2535"/>
      <c r="C24" s="2535">
        <v>7504384.41</v>
      </c>
      <c r="D24" s="2535">
        <v>-9785735.68</v>
      </c>
      <c r="E24">
        <f>C24-审定利润表!C27</f>
        <v>-1327260.14</v>
      </c>
      <c r="F24">
        <f>D24-审定利润表!D27</f>
        <v>804995.960000001</v>
      </c>
    </row>
    <row r="25" ht="21" customHeight="1" spans="1:6">
      <c r="A25" s="2535" t="s">
        <v>1896</v>
      </c>
      <c r="B25" s="2535"/>
      <c r="C25" s="2535"/>
      <c r="D25" s="2535">
        <v>0</v>
      </c>
      <c r="E25">
        <f>C25-审定利润表!C28</f>
        <v>0</v>
      </c>
      <c r="F25">
        <f>D25-审定利润表!D28</f>
        <v>0</v>
      </c>
    </row>
    <row r="26" ht="21" customHeight="1" spans="1:6">
      <c r="A26" s="2535" t="s">
        <v>1897</v>
      </c>
      <c r="B26" s="2535" t="s">
        <v>1855</v>
      </c>
      <c r="C26" s="2535">
        <v>0</v>
      </c>
      <c r="D26" s="2535">
        <v>0</v>
      </c>
      <c r="E26">
        <f>C26-审定利润表!C29</f>
        <v>0</v>
      </c>
      <c r="F26">
        <f>D26-审定利润表!D29</f>
        <v>0</v>
      </c>
    </row>
    <row r="27" ht="21" customHeight="1" spans="1:6">
      <c r="A27" s="2535" t="s">
        <v>1898</v>
      </c>
      <c r="B27" s="2535"/>
      <c r="C27" s="2535">
        <v>7504384.41</v>
      </c>
      <c r="D27" s="2535">
        <v>-9785735.68</v>
      </c>
      <c r="E27">
        <f>C27-审定利润表!C30</f>
        <v>-1327260.14</v>
      </c>
      <c r="F27">
        <f>D27-审定利润表!D30</f>
        <v>804995.960000001</v>
      </c>
    </row>
    <row r="28" ht="21" customHeight="1" spans="1:4">
      <c r="A28" s="2535" t="s">
        <v>1899</v>
      </c>
      <c r="B28" s="2535"/>
      <c r="C28" s="2535"/>
      <c r="D28" s="2535"/>
    </row>
    <row r="29" ht="21" customHeight="1" spans="1:4">
      <c r="A29" s="2535" t="s">
        <v>1900</v>
      </c>
      <c r="B29" s="2535"/>
      <c r="C29" s="2535"/>
      <c r="D29" s="2535"/>
    </row>
    <row r="30" ht="21" customHeight="1" spans="1:4">
      <c r="A30" s="2535" t="s">
        <v>1901</v>
      </c>
      <c r="B30" s="2535"/>
      <c r="C30" s="2535"/>
      <c r="D30" s="2535"/>
    </row>
    <row r="31" ht="21" customHeight="1"/>
    <row r="32" ht="21" customHeight="1"/>
    <row r="33" ht="21" customHeight="1"/>
    <row r="35" ht="21" customHeight="1"/>
    <row r="36" ht="21" customHeight="1"/>
    <row r="37" ht="21" customHeight="1"/>
    <row r="38" ht="21" customHeight="1"/>
    <row r="39" ht="21" customHeight="1"/>
    <row r="40" ht="21" customHeight="1"/>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0"/>
  <sheetViews>
    <sheetView workbookViewId="0">
      <selection activeCell="H16" sqref="H16"/>
    </sheetView>
  </sheetViews>
  <sheetFormatPr defaultColWidth="9" defaultRowHeight="14.25" outlineLevelCol="7"/>
  <cols>
    <col min="1" max="1" width="38.625" customWidth="1"/>
    <col min="3" max="4" width="17" customWidth="1"/>
    <col min="5" max="5" width="9" hidden="1" customWidth="1"/>
    <col min="7" max="7" width="10" customWidth="1"/>
  </cols>
  <sheetData>
    <row r="1" ht="25.5" spans="1:4">
      <c r="A1" s="2134" t="s">
        <v>60</v>
      </c>
      <c r="B1" s="2134"/>
      <c r="C1" s="2134"/>
      <c r="D1" s="2134"/>
    </row>
    <row r="2" ht="21" customHeight="1" spans="1:4">
      <c r="A2" s="2170"/>
      <c r="B2" s="2171"/>
      <c r="C2" s="2171"/>
      <c r="D2" s="2386" t="s">
        <v>1902</v>
      </c>
    </row>
    <row r="3" ht="21" customHeight="1" spans="1:4">
      <c r="A3" s="2107" t="s">
        <v>1903</v>
      </c>
      <c r="B3" s="2108" t="s">
        <v>25</v>
      </c>
      <c r="C3" s="2136"/>
      <c r="D3" s="2492" t="s">
        <v>1904</v>
      </c>
    </row>
    <row r="4" ht="15" spans="1:4">
      <c r="A4" s="2141" t="s">
        <v>61</v>
      </c>
      <c r="B4" s="2142" t="s">
        <v>62</v>
      </c>
      <c r="C4" s="2142" t="s">
        <v>1905</v>
      </c>
      <c r="D4" s="2388" t="s">
        <v>1906</v>
      </c>
    </row>
    <row r="5" spans="1:4">
      <c r="A5" s="2145"/>
      <c r="B5" s="2146"/>
      <c r="C5" s="2146"/>
      <c r="D5" s="2493"/>
    </row>
    <row r="6" ht="21" customHeight="1" spans="1:7">
      <c r="A6" s="2119" t="s">
        <v>77</v>
      </c>
      <c r="B6" s="2389" t="s">
        <v>78</v>
      </c>
      <c r="C6" s="2123">
        <v>128393619.23</v>
      </c>
      <c r="D6" s="2495">
        <v>51048705.67</v>
      </c>
      <c r="E6" s="2530">
        <f>D6-[43]审定利润表!C6</f>
        <v>-0.0300000011920929</v>
      </c>
      <c r="F6" s="2530">
        <f>C6-[44]审定利润表!C6</f>
        <v>0.270000010728836</v>
      </c>
      <c r="G6" s="2530">
        <f>D6-[44]审定利润表!D6</f>
        <v>-0.0300000011920929</v>
      </c>
    </row>
    <row r="7" ht="21" customHeight="1" spans="1:7">
      <c r="A7" s="2122" t="s">
        <v>79</v>
      </c>
      <c r="B7" s="2389" t="s">
        <v>78</v>
      </c>
      <c r="C7" s="2123">
        <v>63925607.44</v>
      </c>
      <c r="D7" s="2495">
        <v>26423840.97</v>
      </c>
      <c r="E7" s="2530">
        <f>D7-[43]审定利润表!C7</f>
        <v>0</v>
      </c>
      <c r="F7" s="2530">
        <f>C7-[44]审定利润表!C7</f>
        <v>0</v>
      </c>
      <c r="G7" s="2530">
        <f>D7-[44]审定利润表!D7</f>
        <v>0</v>
      </c>
    </row>
    <row r="8" ht="21" customHeight="1" spans="1:7">
      <c r="A8" s="2122" t="s">
        <v>80</v>
      </c>
      <c r="B8" s="2389" t="s">
        <v>81</v>
      </c>
      <c r="C8" s="2123">
        <v>373643.83</v>
      </c>
      <c r="D8" s="2495">
        <v>242593.74</v>
      </c>
      <c r="E8" s="2530">
        <f>D8-[43]审定利润表!C8</f>
        <v>0</v>
      </c>
      <c r="F8" s="2530">
        <f>C8-[44]审定利润表!C8</f>
        <v>0</v>
      </c>
      <c r="G8" s="2530">
        <f>D8-[44]审定利润表!D8</f>
        <v>0</v>
      </c>
    </row>
    <row r="9" ht="21" customHeight="1" spans="1:7">
      <c r="A9" s="2122" t="s">
        <v>82</v>
      </c>
      <c r="B9" s="2389" t="s">
        <v>83</v>
      </c>
      <c r="C9" s="2123">
        <v>12065430.01</v>
      </c>
      <c r="D9" s="2495">
        <v>11911652.27</v>
      </c>
      <c r="E9" s="2530">
        <f>D9-[43]审定利润表!C9</f>
        <v>-20840</v>
      </c>
      <c r="F9" s="2530">
        <f>C9-[44]审定利润表!C9</f>
        <v>2925.08999999985</v>
      </c>
      <c r="G9" s="2530">
        <f>D9-[44]审定利润表!D9</f>
        <v>0</v>
      </c>
    </row>
    <row r="10" ht="21" customHeight="1" spans="1:7">
      <c r="A10" s="2122" t="s">
        <v>84</v>
      </c>
      <c r="B10" s="2389" t="s">
        <v>83</v>
      </c>
      <c r="C10" s="2123">
        <v>12149974.8</v>
      </c>
      <c r="D10" s="2495">
        <v>12819786.08</v>
      </c>
      <c r="E10" s="2530">
        <f>D10-[43]审定利润表!C10</f>
        <v>-14160</v>
      </c>
      <c r="F10" s="2530">
        <f>C10-[44]审定利润表!C10</f>
        <v>-2925.08000000007</v>
      </c>
      <c r="G10" s="2530">
        <f>D10-[44]审定利润表!D10</f>
        <v>0</v>
      </c>
    </row>
    <row r="11" ht="21" customHeight="1" spans="1:7">
      <c r="A11" s="2122" t="s">
        <v>85</v>
      </c>
      <c r="B11" s="2389" t="s">
        <v>83</v>
      </c>
      <c r="C11" s="2123">
        <v>17583927.66</v>
      </c>
      <c r="D11" s="2495">
        <v>-174505.14</v>
      </c>
      <c r="E11" s="2530">
        <f>D11-[43]审定利润表!C11</f>
        <v>0</v>
      </c>
      <c r="F11" s="2530">
        <f>C11-[44]审定利润表!C11</f>
        <v>0</v>
      </c>
      <c r="G11" s="2530">
        <f>D11-[44]审定利润表!D11</f>
        <v>0</v>
      </c>
    </row>
    <row r="12" ht="21" customHeight="1" spans="1:8">
      <c r="A12" s="2122" t="s">
        <v>86</v>
      </c>
      <c r="B12" s="2389" t="s">
        <v>87</v>
      </c>
      <c r="C12" s="2123">
        <v>2020102.49</v>
      </c>
      <c r="D12" s="2495">
        <v>5417317.31</v>
      </c>
      <c r="E12" s="2530">
        <f>D12-[43]审定利润表!C12</f>
        <v>1699824.31</v>
      </c>
      <c r="F12" s="2530">
        <f>C12-[44]审定利润表!C12</f>
        <v>0</v>
      </c>
      <c r="G12" s="2530">
        <f>D12-[44]审定利润表!D12</f>
        <v>1699824.31</v>
      </c>
      <c r="H12" s="2531" t="s">
        <v>1907</v>
      </c>
    </row>
    <row r="13" ht="21" customHeight="1" spans="1:7">
      <c r="A13" s="2122" t="s">
        <v>88</v>
      </c>
      <c r="B13" s="2389" t="s">
        <v>89</v>
      </c>
      <c r="C13" s="2123">
        <v>0</v>
      </c>
      <c r="D13" s="2495">
        <v>0</v>
      </c>
      <c r="E13" s="2530">
        <f>D13-[43]审定利润表!C13</f>
        <v>0</v>
      </c>
      <c r="F13" s="2530">
        <f>C13-[44]审定利润表!C13</f>
        <v>0</v>
      </c>
      <c r="G13" s="2530">
        <f>D13-[44]审定利润表!D13</f>
        <v>0</v>
      </c>
    </row>
    <row r="14" ht="21" customHeight="1" spans="1:7">
      <c r="A14" s="2122" t="s">
        <v>90</v>
      </c>
      <c r="B14" s="2389" t="s">
        <v>91</v>
      </c>
      <c r="C14" s="2123">
        <v>0</v>
      </c>
      <c r="D14" s="2495">
        <v>0</v>
      </c>
      <c r="E14" s="2530">
        <f>D14-[43]审定利润表!C14</f>
        <v>0</v>
      </c>
      <c r="F14" s="2530">
        <f>C14-[44]审定利润表!C14</f>
        <v>0</v>
      </c>
      <c r="G14" s="2530">
        <f>D14-[44]审定利润表!D14</f>
        <v>0</v>
      </c>
    </row>
    <row r="15" ht="21" customHeight="1" spans="1:7">
      <c r="A15" s="2122" t="s">
        <v>92</v>
      </c>
      <c r="B15" s="2389"/>
      <c r="C15" s="2488">
        <f>ROUND(未审利润表!C15,2)</f>
        <v>0</v>
      </c>
      <c r="D15" s="2489">
        <f>ROUND(未审利润表!D15,2)</f>
        <v>0</v>
      </c>
      <c r="E15" s="2530">
        <f>D15-[43]审定利润表!C15</f>
        <v>0</v>
      </c>
      <c r="F15" s="2530">
        <f>C15-[44]审定利润表!C15</f>
        <v>0</v>
      </c>
      <c r="G15" s="2530">
        <f>D15-[44]审定利润表!D15</f>
        <v>0</v>
      </c>
    </row>
    <row r="16" ht="21" customHeight="1" spans="1:7">
      <c r="A16" s="2122" t="s">
        <v>1908</v>
      </c>
      <c r="B16" s="2496" t="s">
        <v>1909</v>
      </c>
      <c r="C16" s="2123">
        <v>0</v>
      </c>
      <c r="D16" s="2495">
        <v>0</v>
      </c>
      <c r="E16" s="2530">
        <f>D16-[43]审定利润表!C16</f>
        <v>0</v>
      </c>
      <c r="F16" s="2530">
        <f>C16-[44]审定利润表!C16</f>
        <v>0</v>
      </c>
      <c r="G16" s="2530">
        <f>D16-[44]审定利润表!D16</f>
        <v>0</v>
      </c>
    </row>
    <row r="17" ht="21" customHeight="1" spans="1:7">
      <c r="A17" s="2122" t="s">
        <v>93</v>
      </c>
      <c r="B17" s="2389"/>
      <c r="C17" s="2123">
        <v>0</v>
      </c>
      <c r="D17" s="2495">
        <v>0</v>
      </c>
      <c r="E17" s="2530">
        <f>D17-[43]审定利润表!C17</f>
        <v>0</v>
      </c>
      <c r="F17" s="2530">
        <f>C17-[44]审定利润表!C17</f>
        <v>0</v>
      </c>
      <c r="G17" s="2530">
        <f>D17-[44]审定利润表!D17</f>
        <v>0</v>
      </c>
    </row>
    <row r="18" ht="21" customHeight="1" spans="1:7">
      <c r="A18" s="2122" t="s">
        <v>268</v>
      </c>
      <c r="B18" s="2496" t="s">
        <v>1910</v>
      </c>
      <c r="C18" s="2123">
        <v>0</v>
      </c>
      <c r="D18" s="2495">
        <v>0</v>
      </c>
      <c r="E18" s="2530">
        <f>D18-[43]审定利润表!C18</f>
        <v>0</v>
      </c>
      <c r="F18" s="2530">
        <f>C18-[44]审定利润表!C18</f>
        <v>0</v>
      </c>
      <c r="G18" s="2530">
        <f>D18-[44]审定利润表!D18</f>
        <v>0</v>
      </c>
    </row>
    <row r="19" ht="21" customHeight="1" spans="1:7">
      <c r="A19" s="2119" t="s">
        <v>94</v>
      </c>
      <c r="B19" s="2150"/>
      <c r="C19" s="2369">
        <v>20274933</v>
      </c>
      <c r="D19" s="2497">
        <v>-5591979.56</v>
      </c>
      <c r="E19" s="2530">
        <f>D19-[43]审定利润表!C19</f>
        <v>-1664824.34</v>
      </c>
      <c r="F19" s="2530">
        <f>C19-[44]审定利润表!C19</f>
        <v>0.260000001639128</v>
      </c>
      <c r="G19" s="2530">
        <f>D19-[44]审定利润表!D19</f>
        <v>-1699824.34</v>
      </c>
    </row>
    <row r="20" ht="21" customHeight="1" spans="1:7">
      <c r="A20" s="2122" t="s">
        <v>95</v>
      </c>
      <c r="B20" s="2389" t="s">
        <v>96</v>
      </c>
      <c r="C20" s="2123">
        <v>853546.58</v>
      </c>
      <c r="D20" s="2495">
        <v>362052.92</v>
      </c>
      <c r="E20" s="2530">
        <f>D20-[43]审定利润表!C20</f>
        <v>0</v>
      </c>
      <c r="F20" s="2530">
        <f>C20-[44]审定利润表!C20</f>
        <v>0</v>
      </c>
      <c r="G20" s="2530">
        <f>D20-[44]审定利润表!D20</f>
        <v>0</v>
      </c>
    </row>
    <row r="21" ht="21" customHeight="1" spans="1:7">
      <c r="A21" s="2122" t="s">
        <v>97</v>
      </c>
      <c r="B21" s="2389" t="s">
        <v>98</v>
      </c>
      <c r="C21" s="2123">
        <v>2139962.48</v>
      </c>
      <c r="D21" s="2495">
        <v>24281.65</v>
      </c>
      <c r="E21" s="2530">
        <f>D21-[43]审定利润表!C21</f>
        <v>-1600000</v>
      </c>
      <c r="F21" s="2530">
        <f>C21-[44]审定利润表!C21</f>
        <v>0</v>
      </c>
      <c r="G21" s="2530">
        <f>D21-[44]审定利润表!D21</f>
        <v>-1600000</v>
      </c>
    </row>
    <row r="22" ht="21" customHeight="1" spans="1:7">
      <c r="A22" s="2119" t="s">
        <v>100</v>
      </c>
      <c r="B22" s="2389"/>
      <c r="C22" s="2369">
        <v>18988517.1</v>
      </c>
      <c r="D22" s="2497">
        <v>-5254208.29</v>
      </c>
      <c r="E22" s="2530">
        <f>D22-[43]审定利润表!C22</f>
        <v>-64824.3399999999</v>
      </c>
      <c r="F22" s="2530">
        <f>C22-[44]审定利润表!C22</f>
        <v>0.260000001639128</v>
      </c>
      <c r="G22" s="2530">
        <f>D22-[44]审定利润表!D22</f>
        <v>-99824.3399999999</v>
      </c>
    </row>
    <row r="23" ht="21" customHeight="1" spans="1:7">
      <c r="A23" s="2122" t="s">
        <v>101</v>
      </c>
      <c r="B23" s="2389" t="s">
        <v>102</v>
      </c>
      <c r="C23" s="2123">
        <v>492715.62</v>
      </c>
      <c r="D23" s="2495">
        <v>842798.93</v>
      </c>
      <c r="E23" s="2530">
        <f>D23-[43]审定利润表!C23</f>
        <v>3297157.65</v>
      </c>
      <c r="F23" s="2530">
        <f>C23-[44]审定利润表!C23</f>
        <v>0</v>
      </c>
      <c r="G23" s="2530">
        <f>D23-[44]审定利润表!D23</f>
        <v>0</v>
      </c>
    </row>
    <row r="24" ht="21" customHeight="1" spans="1:7">
      <c r="A24" s="2119" t="s">
        <v>103</v>
      </c>
      <c r="B24" s="2389"/>
      <c r="C24" s="2369">
        <v>18495801.48</v>
      </c>
      <c r="D24" s="2390">
        <v>-6097007.22</v>
      </c>
      <c r="E24" s="2530">
        <f>D24-[43]审定利润表!C24</f>
        <v>-3361981.99</v>
      </c>
      <c r="F24" s="2530">
        <f>C24-[44]审定利润表!C24</f>
        <v>0.260000001639128</v>
      </c>
      <c r="G24" s="2530">
        <f>D24-[44]审定利润表!D24</f>
        <v>-99824.3399999999</v>
      </c>
    </row>
    <row r="25" ht="21" customHeight="1" spans="1:7">
      <c r="A25" s="2122" t="s">
        <v>104</v>
      </c>
      <c r="B25" s="2389"/>
      <c r="C25" s="2498">
        <v>18495801.48</v>
      </c>
      <c r="D25" s="2499">
        <v>-6097007.22</v>
      </c>
      <c r="E25" s="2530">
        <f>D25-[43]审定利润表!C25</f>
        <v>-3361981.99</v>
      </c>
      <c r="F25" s="2530">
        <f>C25-[44]审定利润表!C25</f>
        <v>0.260000001639128</v>
      </c>
      <c r="G25" s="2530">
        <f>D25-[44]审定利润表!D25</f>
        <v>-99824.3399999999</v>
      </c>
    </row>
    <row r="26" ht="21" customHeight="1" spans="1:7">
      <c r="A26" s="2122" t="s">
        <v>105</v>
      </c>
      <c r="B26" s="2500"/>
      <c r="C26" s="2501"/>
      <c r="D26" s="2502"/>
      <c r="E26" s="2530">
        <f>D26-[43]审定利润表!C26</f>
        <v>0</v>
      </c>
      <c r="F26" s="2530">
        <f>C26-[44]审定利润表!C26</f>
        <v>0</v>
      </c>
      <c r="G26" s="2530">
        <f>D26-[44]审定利润表!D26</f>
        <v>0</v>
      </c>
    </row>
    <row r="27" ht="21" customHeight="1" spans="1:7">
      <c r="A27" s="2122" t="s">
        <v>269</v>
      </c>
      <c r="B27" s="2389"/>
      <c r="C27" s="2498">
        <v>18495801.48</v>
      </c>
      <c r="D27" s="2495">
        <v>-6097007.22</v>
      </c>
      <c r="E27" s="2530">
        <f>D27-[43]审定利润表!C27</f>
        <v>-3361981.99</v>
      </c>
      <c r="F27" s="2530">
        <f>C27-[44]审定利润表!C27</f>
        <v>0.260000001639128</v>
      </c>
      <c r="G27" s="2530">
        <f>D27-[44]审定利润表!D27</f>
        <v>-99824.3399999999</v>
      </c>
    </row>
    <row r="28" ht="21" customHeight="1" spans="1:7">
      <c r="A28" s="2122" t="s">
        <v>270</v>
      </c>
      <c r="B28" s="2501"/>
      <c r="C28" s="2501"/>
      <c r="D28" s="2502">
        <v>0</v>
      </c>
      <c r="E28" s="2530">
        <f>D28-[43]审定利润表!C28</f>
        <v>0</v>
      </c>
      <c r="F28" s="2530">
        <f>C28-[44]审定利润表!C28</f>
        <v>0</v>
      </c>
      <c r="G28" s="2530">
        <f>D28-[44]审定利润表!D28</f>
        <v>0</v>
      </c>
    </row>
    <row r="29" ht="21" customHeight="1" spans="1:7">
      <c r="A29" s="2119" t="s">
        <v>271</v>
      </c>
      <c r="B29" s="2503" t="s">
        <v>1911</v>
      </c>
      <c r="C29" s="2123">
        <v>0</v>
      </c>
      <c r="D29" s="2495">
        <v>0</v>
      </c>
      <c r="E29" s="2530">
        <f>D29-[43]审定利润表!C29</f>
        <v>0</v>
      </c>
      <c r="F29" s="2530">
        <f>C29-[44]审定利润表!C29</f>
        <v>0</v>
      </c>
      <c r="G29" s="2530">
        <f>D29-[44]审定利润表!D29</f>
        <v>0</v>
      </c>
    </row>
    <row r="30" ht="21" customHeight="1" spans="1:7">
      <c r="A30" s="2119" t="s">
        <v>272</v>
      </c>
      <c r="B30" s="2150"/>
      <c r="C30" s="2370">
        <v>18495801.48</v>
      </c>
      <c r="D30" s="2504">
        <v>-6097007.22</v>
      </c>
      <c r="E30" s="2530">
        <f>D30-[43]审定利润表!C30</f>
        <v>-3361981.99</v>
      </c>
      <c r="F30" s="2530">
        <f>C30-[44]审定利润表!C30</f>
        <v>0.260000001639128</v>
      </c>
      <c r="G30" s="2530">
        <f>D30-[44]审定利润表!D30</f>
        <v>-99824.3399999999</v>
      </c>
    </row>
    <row r="31" ht="21" customHeight="1" spans="1:7">
      <c r="A31" s="2119" t="s">
        <v>273</v>
      </c>
      <c r="B31" s="2150"/>
      <c r="C31" s="2151"/>
      <c r="D31" s="2152"/>
      <c r="E31" s="2530">
        <f>D31-[43]审定利润表!C31</f>
        <v>0</v>
      </c>
      <c r="F31" s="2530">
        <f>C31-[44]审定利润表!C31</f>
        <v>0</v>
      </c>
      <c r="G31" s="2530">
        <f>D31-[44]审定利润表!D31</f>
        <v>0</v>
      </c>
    </row>
    <row r="32" ht="21" customHeight="1" spans="1:7">
      <c r="A32" s="2122" t="s">
        <v>107</v>
      </c>
      <c r="B32" s="2154"/>
      <c r="C32" s="2505"/>
      <c r="D32" s="2161"/>
      <c r="E32" s="2530">
        <f>D32-[43]审定利润表!C32</f>
        <v>0</v>
      </c>
      <c r="F32" s="2530">
        <f>C32-[44]审定利润表!C32</f>
        <v>0</v>
      </c>
      <c r="G32" s="2530">
        <f>D32-[44]审定利润表!D32</f>
        <v>0</v>
      </c>
    </row>
    <row r="33" ht="21" customHeight="1" spans="1:7">
      <c r="A33" s="2391" t="s">
        <v>108</v>
      </c>
      <c r="B33" s="2506"/>
      <c r="C33" s="2507"/>
      <c r="D33" s="2508"/>
      <c r="E33" s="2530">
        <f>D33-[43]审定利润表!C33</f>
        <v>0</v>
      </c>
      <c r="F33" s="2530">
        <f>C33-[44]审定利润表!C33</f>
        <v>0</v>
      </c>
      <c r="G33" s="2530">
        <f>D33-[44]审定利润表!D33</f>
        <v>0</v>
      </c>
    </row>
    <row r="34" ht="16.5" spans="1:7">
      <c r="A34" s="2171"/>
      <c r="B34" s="2171"/>
      <c r="C34" s="2171"/>
      <c r="D34" s="2171"/>
      <c r="E34" s="2530">
        <f>D34-[43]审定利润表!C34</f>
        <v>0</v>
      </c>
      <c r="F34" s="2530">
        <f>C34-[44]审定利润表!C34</f>
        <v>0</v>
      </c>
      <c r="G34" s="2530">
        <f>D34-[44]审定利润表!D34</f>
        <v>0</v>
      </c>
    </row>
    <row r="35" ht="21" customHeight="1" spans="1:7">
      <c r="A35" s="2509" t="s">
        <v>109</v>
      </c>
      <c r="B35" s="2171"/>
      <c r="C35" s="2171"/>
      <c r="D35" s="2171"/>
      <c r="E35" s="2530">
        <f>D35-[43]审定利润表!C35</f>
        <v>0</v>
      </c>
      <c r="F35" s="2530">
        <f>C35-[44]审定利润表!C35</f>
        <v>0</v>
      </c>
      <c r="G35" s="2530">
        <f>D35-[44]审定利润表!D35</f>
        <v>0</v>
      </c>
    </row>
    <row r="36" ht="21" customHeight="1" spans="1:7">
      <c r="A36" s="2510" t="s">
        <v>110</v>
      </c>
      <c r="B36" s="2511"/>
      <c r="C36" s="2512">
        <v>18495801.48</v>
      </c>
      <c r="D36" s="2513">
        <v>-6097007.22</v>
      </c>
      <c r="E36" s="2530">
        <f>D36-[43]审定利润表!C36</f>
        <v>-3361981.99</v>
      </c>
      <c r="F36" s="2530">
        <f>C36-[44]审定利润表!C36</f>
        <v>0.260000001639128</v>
      </c>
      <c r="G36" s="2530">
        <f>D36-[44]审定利润表!D36</f>
        <v>-99824.3399999999</v>
      </c>
    </row>
    <row r="37" ht="21" customHeight="1" spans="1:7">
      <c r="A37" s="2514" t="s">
        <v>111</v>
      </c>
      <c r="B37" s="2189"/>
      <c r="C37" s="2190">
        <v>-33549325.62</v>
      </c>
      <c r="D37" s="2515">
        <v>-8652318.4</v>
      </c>
      <c r="E37" s="2530">
        <f>D37-[43]审定利润表!C37</f>
        <v>99824.3100000005</v>
      </c>
      <c r="F37" s="2530">
        <f>C37-[44]审定利润表!C37</f>
        <v>-0.0300000011920929</v>
      </c>
      <c r="G37" s="2530">
        <f>D37-[44]审定利润表!D37</f>
        <v>99824.3100000005</v>
      </c>
    </row>
    <row r="38" ht="21" customHeight="1" spans="1:8">
      <c r="A38" s="2514" t="s">
        <v>112</v>
      </c>
      <c r="B38" s="2189"/>
      <c r="C38" s="2516">
        <v>374647.56</v>
      </c>
      <c r="D38" s="2515">
        <v>18800000</v>
      </c>
      <c r="E38" s="2530">
        <f>D38-[43]审定利润表!C38</f>
        <v>0</v>
      </c>
      <c r="F38" s="2530">
        <f>C38-[44]审定利润表!C38</f>
        <v>0</v>
      </c>
      <c r="G38" s="2530">
        <f>D38-[44]审定利润表!D38</f>
        <v>0</v>
      </c>
      <c r="H38" s="2532"/>
    </row>
    <row r="39" ht="21" customHeight="1" spans="1:8">
      <c r="A39" s="2517" t="s">
        <v>113</v>
      </c>
      <c r="B39" s="2518"/>
      <c r="C39" s="2519">
        <v>-15428171.7</v>
      </c>
      <c r="D39" s="2520">
        <v>-33549325.62</v>
      </c>
      <c r="E39" s="2530">
        <f>D39-[43]审定利润表!C39</f>
        <v>-3262157.68</v>
      </c>
      <c r="F39" s="2530">
        <f>C39-[44]审定利润表!C39</f>
        <v>0.230000000447035</v>
      </c>
      <c r="G39" s="2530">
        <f>D39-[44]审定利润表!D39</f>
        <v>-0.0300000011920929</v>
      </c>
      <c r="H39" s="2533"/>
    </row>
    <row r="40" ht="21" customHeight="1" spans="1:7">
      <c r="A40" s="2509" t="s">
        <v>275</v>
      </c>
      <c r="B40" s="2171"/>
      <c r="C40" s="2171"/>
      <c r="D40" s="2171"/>
      <c r="F40" s="2530">
        <f>C40-[44]审定利润表!C40</f>
        <v>0</v>
      </c>
      <c r="G40" s="2530">
        <f>D40-[44]审定利润表!D40</f>
        <v>0</v>
      </c>
    </row>
  </sheetData>
  <mergeCells count="5">
    <mergeCell ref="A1:D1"/>
    <mergeCell ref="A4:A5"/>
    <mergeCell ref="B4:B5"/>
    <mergeCell ref="C4:C5"/>
    <mergeCell ref="D4:D5"/>
  </mergeCells>
  <hyperlinks>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20" location="报表附注!E2913" display="（六十一）"/>
    <hyperlink ref="B21" location="报表附注!E2979" display="（六十二）"/>
    <hyperlink ref="B23" location="报表附注!E2998" display="（六十三）"/>
    <hyperlink ref="B16" location="报表附注!E4104" display="（六十八）"/>
    <hyperlink ref="B18" location="报表附注!E4119" display="（六十九）"/>
    <hyperlink ref="B29" location="报表附注!E4038" display="（六十四）"/>
  </hyperlinks>
  <pageMargins left="0.7" right="0.7" top="0.75" bottom="0.75" header="0.3" footer="0.3"/>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9"/>
  <sheetViews>
    <sheetView topLeftCell="B1" workbookViewId="0">
      <selection activeCell="O10" sqref="O10"/>
    </sheetView>
  </sheetViews>
  <sheetFormatPr defaultColWidth="9" defaultRowHeight="14.25"/>
  <cols>
    <col min="1" max="1" width="36.875" customWidth="1"/>
    <col min="2" max="2" width="5.375" customWidth="1"/>
    <col min="3" max="4" width="11.125" customWidth="1"/>
    <col min="5" max="5" width="36.875" customWidth="1"/>
    <col min="6" max="6" width="5.375" customWidth="1"/>
    <col min="7" max="8" width="11.125" customWidth="1"/>
    <col min="9" max="10" width="9" hidden="1" customWidth="1"/>
    <col min="15" max="15" width="10.25" customWidth="1"/>
  </cols>
  <sheetData>
    <row r="1" ht="27.75" customHeight="1" spans="1:8">
      <c r="A1" s="2103" t="s">
        <v>190</v>
      </c>
      <c r="B1" s="2204"/>
      <c r="C1" s="2204"/>
      <c r="D1" s="2204"/>
      <c r="E1" s="2204"/>
      <c r="F1" s="2204"/>
      <c r="G1" s="2204"/>
      <c r="H1" s="2204"/>
    </row>
    <row r="2" ht="15" customHeight="1" spans="1:9">
      <c r="A2" s="2205" t="str">
        <f>IF(OR(ROUND(C48-G48,2)&lt;&gt;0,ROUND(D48-H48,2)&lt;&gt;0),"对应期间报表数不平，相差：","")</f>
        <v/>
      </c>
      <c r="B2" s="2205"/>
      <c r="C2" s="2105">
        <f>ROUND(C48-G48,2)</f>
        <v>0</v>
      </c>
      <c r="D2" s="2105">
        <f>ROUND(D48-H48,2)</f>
        <v>0</v>
      </c>
      <c r="E2" s="2108"/>
      <c r="F2" s="2136"/>
      <c r="G2" s="2206"/>
      <c r="H2" s="2207" t="s">
        <v>191</v>
      </c>
      <c r="I2" s="2525"/>
    </row>
    <row r="3" ht="15" customHeight="1" spans="1:10">
      <c r="A3" s="2208" t="str">
        <f>"编制单位："&amp;参数表!C3</f>
        <v>编制单位：深圳新阳蓝光能源管理科技股份有限公司</v>
      </c>
      <c r="B3" s="2208"/>
      <c r="C3" s="2208"/>
      <c r="D3" s="2208"/>
      <c r="E3" s="2209">
        <f>参数表!G7</f>
        <v>42735</v>
      </c>
      <c r="F3" s="2136"/>
      <c r="G3" s="2206"/>
      <c r="H3" s="2210" t="str">
        <f>"金额单位："&amp;参数表!F11</f>
        <v>金额单位：人民币元</v>
      </c>
      <c r="J3" s="2525">
        <f>C2-D2</f>
        <v>0</v>
      </c>
    </row>
    <row r="4" ht="16.5" customHeight="1" spans="1:8">
      <c r="A4" s="2211" t="s">
        <v>192</v>
      </c>
      <c r="B4" s="2212" t="s">
        <v>62</v>
      </c>
      <c r="C4" s="2213" t="str">
        <f>未审资负表!C4</f>
        <v>年末余额</v>
      </c>
      <c r="D4" s="2213" t="str">
        <f>未审资负表!D4</f>
        <v>年初余额</v>
      </c>
      <c r="E4" s="2212" t="s">
        <v>193</v>
      </c>
      <c r="F4" s="2212" t="s">
        <v>62</v>
      </c>
      <c r="G4" s="2213" t="str">
        <f>C4</f>
        <v>年末余额</v>
      </c>
      <c r="H4" s="2214" t="str">
        <f>D4</f>
        <v>年初余额</v>
      </c>
    </row>
    <row r="5" ht="16.5" customHeight="1" spans="1:8">
      <c r="A5" s="2215"/>
      <c r="B5" s="2216"/>
      <c r="C5" s="2217"/>
      <c r="D5" s="2217"/>
      <c r="E5" s="2216"/>
      <c r="F5" s="2216"/>
      <c r="G5" s="2217"/>
      <c r="H5" s="2218"/>
    </row>
    <row r="6" ht="16.5" customHeight="1" spans="1:15">
      <c r="A6" s="2219" t="s">
        <v>194</v>
      </c>
      <c r="B6" s="2220"/>
      <c r="C6" s="2221"/>
      <c r="D6" s="2222"/>
      <c r="E6" s="2223" t="s">
        <v>195</v>
      </c>
      <c r="F6" s="2223"/>
      <c r="G6" s="2343"/>
      <c r="H6" s="2354"/>
      <c r="K6" s="2526" t="s">
        <v>1912</v>
      </c>
      <c r="L6" s="2526" t="s">
        <v>1913</v>
      </c>
      <c r="M6" s="2526" t="s">
        <v>1914</v>
      </c>
      <c r="N6" s="2526" t="s">
        <v>1915</v>
      </c>
      <c r="O6" s="2525"/>
    </row>
    <row r="7" ht="16.5" customHeight="1" spans="1:15">
      <c r="A7" s="2226" t="s">
        <v>196</v>
      </c>
      <c r="B7" s="2227" t="s">
        <v>1916</v>
      </c>
      <c r="C7" s="2222">
        <f t="array" ref="C7">ROUND(SUM(IF(资负表及利润表调整分录!$C$175:$C$1227=A7,IF(资负表及利润表调整分录!$I$175:$I$1227="y",资负表及利润表调整分录!$G$175:$G$1227,0)))-SUM(IF(资负表及利润表调整分录!$C$175:$C$1227=A7,IF(资负表及利润表调整分录!$I$175:$I$1227="y",资负表及利润表调整分录!$H$175:$H$1227,0)))+未审资负表!C7,2)</f>
        <v>203715132.36</v>
      </c>
      <c r="D7" s="2222">
        <f t="array" ref="D7">ROUND(SUM(IF(资负表及利润表调整分录!$C$175:$C$1227="年初"&amp;A7,IF(资负表及利润表调整分录!$I$175:$I$1227="y",资负表及利润表调整分录!$G$175:$G$1227,0)))-SUM(IF(资负表及利润表调整分录!$C$175:$C$1227="年初"&amp;A7,IF(资负表及利润表调整分录!$I$175:$I$1227="y",资负表及利润表调整分录!$H$175:$H$1227,0)))+未审资负表!D7,2)</f>
        <v>76914775.62</v>
      </c>
      <c r="E7" s="2228" t="s">
        <v>197</v>
      </c>
      <c r="F7" s="2227" t="s">
        <v>1917</v>
      </c>
      <c r="G7" s="2222">
        <f t="array" ref="G7">ROUND(SUM(IF(资负表及利润表调整分录!$C$175:$C$1227=E7,IF(资负表及利润表调整分录!$I$175:$I$1227="y",资负表及利润表调整分录!$H$175:$H$1227,0)))-SUM(IF(资负表及利润表调整分录!$C$175:$C$1227=E7,IF(资负表及利润表调整分录!$I$175:$I$1227="y",资负表及利润表调整分录!$G$175:$G$1227,0)))+未审资负表!G7,2)</f>
        <v>4850000</v>
      </c>
      <c r="H7" s="2229">
        <f t="array" ref="H7">ROUND(SUM(IF(资负表及利润表调整分录!$C$175:$C$1227="年初"&amp;E7,IF(资负表及利润表调整分录!$I$175:$I$1227="y",资负表及利润表调整分录!$H$175:$H$1227,0)))-SUM(IF(资负表及利润表调整分录!$C$175:$C$1227="年初"&amp;E7,IF(资负表及利润表调整分录!$I$175:$I$1227="y",资负表及利润表调整分录!$G$175:$G$1227,0)))+未审资负表!H7,2)</f>
        <v>0</v>
      </c>
      <c r="I7" s="2527">
        <f>D7-[43]审定资负表!C7</f>
        <v>0</v>
      </c>
      <c r="J7" s="2527">
        <f>H7-[43]审定资负表!G7</f>
        <v>0</v>
      </c>
      <c r="K7" s="2527">
        <f>C7-[44]审定资负表!C7</f>
        <v>0</v>
      </c>
      <c r="L7" s="2527">
        <f>D7-[44]审定资负表!D7</f>
        <v>0</v>
      </c>
      <c r="M7" s="2527">
        <f>G7-[44]审定资负表!G7</f>
        <v>0</v>
      </c>
      <c r="N7" s="2527">
        <f>H7-[44]审定资负表!H7</f>
        <v>0</v>
      </c>
      <c r="O7" s="2525"/>
    </row>
    <row r="8" ht="16.5" customHeight="1" spans="1:15">
      <c r="A8" s="2226" t="s">
        <v>198</v>
      </c>
      <c r="B8" s="2227" t="s">
        <v>1918</v>
      </c>
      <c r="C8" s="2222">
        <f t="array" ref="C8">ROUND(SUM(IF(资负表及利润表调整分录!$C$175:$C$1227=A8,IF(资负表及利润表调整分录!$I$175:$I$1227="y",资负表及利润表调整分录!$G$175:$G$1227,0)))-SUM(IF(资负表及利润表调整分录!$C$175:$C$1227=A8,IF(资负表及利润表调整分录!$I$175:$I$1227="y",资负表及利润表调整分录!$H$175:$H$1227,0)))+未审资负表!C8,2)</f>
        <v>0</v>
      </c>
      <c r="D8" s="2222">
        <f t="array" ref="D8">ROUND(SUM(IF(资负表及利润表调整分录!$C$175:$C$1227="年初"&amp;A8,IF(资负表及利润表调整分录!$I$175:$I$1227="y",资负表及利润表调整分录!$G$175:$G$1227,0)))-SUM(IF(资负表及利润表调整分录!$C$175:$C$1227="年初"&amp;A8,IF(资负表及利润表调整分录!$I$175:$I$1227="y",资负表及利润表调整分录!$H$175:$H$1227,0)))+未审资负表!D8,2)</f>
        <v>0</v>
      </c>
      <c r="E8" s="2228" t="s">
        <v>199</v>
      </c>
      <c r="F8" s="2227" t="s">
        <v>1919</v>
      </c>
      <c r="G8" s="2222">
        <f t="array" ref="G8">ROUND(SUM(IF(资负表及利润表调整分录!$C$175:$C$1227=E8,IF(资负表及利润表调整分录!$I$175:$I$1227="y",资负表及利润表调整分录!$H$175:$H$1227,0)))-SUM(IF(资负表及利润表调整分录!$C$175:$C$1227=E8,IF(资负表及利润表调整分录!$I$175:$I$1227="y",资负表及利润表调整分录!$G$175:$G$1227,0)))+未审资负表!G8,2)</f>
        <v>0</v>
      </c>
      <c r="H8" s="2229">
        <f t="array" ref="H8">ROUND(SUM(IF(资负表及利润表调整分录!$C$175:$C$1227="年初"&amp;E8,IF(资负表及利润表调整分录!$I$175:$I$1227="y",资负表及利润表调整分录!$H$175:$H$1227,0)))-SUM(IF(资负表及利润表调整分录!$C$175:$C$1227="年初"&amp;E8,IF(资负表及利润表调整分录!$I$175:$I$1227="y",资负表及利润表调整分录!$G$175:$G$1227,0)))+未审资负表!H8,2)</f>
        <v>0</v>
      </c>
      <c r="I8" s="2527">
        <f>D8-[43]审定资负表!C8</f>
        <v>0</v>
      </c>
      <c r="J8" s="2527">
        <f>H8-[43]审定资负表!G8</f>
        <v>0</v>
      </c>
      <c r="K8" s="2527">
        <f>C8-[44]审定资负表!C8</f>
        <v>0</v>
      </c>
      <c r="L8" s="2527">
        <f>D8-[44]审定资负表!D8</f>
        <v>0</v>
      </c>
      <c r="M8" s="2527">
        <f>G8-[44]审定资负表!G8</f>
        <v>0</v>
      </c>
      <c r="N8" s="2527">
        <f>H8-[44]审定资负表!H8</f>
        <v>0</v>
      </c>
      <c r="O8" s="2525"/>
    </row>
    <row r="9" ht="16.5" customHeight="1" spans="1:15">
      <c r="A9" s="2226" t="s">
        <v>200</v>
      </c>
      <c r="B9" s="2227" t="s">
        <v>1920</v>
      </c>
      <c r="C9" s="2222">
        <f t="array" ref="C9">ROUND(SUM(IF(资负表及利润表调整分录!$C$175:$C$1227=A9,IF(资负表及利润表调整分录!$I$175:$I$1227="y",资负表及利润表调整分录!$G$175:$G$1227,0)))-SUM(IF(资负表及利润表调整分录!$C$175:$C$1227=A9,IF(资负表及利润表调整分录!$I$175:$I$1227="y",资负表及利润表调整分录!$H$175:$H$1227,0)))+未审资负表!C9,2)</f>
        <v>0</v>
      </c>
      <c r="D9" s="2222">
        <f t="array" ref="D9">ROUND(SUM(IF(资负表及利润表调整分录!$C$175:$C$1227="年初"&amp;A9,IF(资负表及利润表调整分录!$I$175:$I$1227="y",资负表及利润表调整分录!$G$175:$G$1227,0)))-SUM(IF(资负表及利润表调整分录!$C$175:$C$1227="年初"&amp;A9,IF(资负表及利润表调整分录!$I$175:$I$1227="y",资负表及利润表调整分录!$H$175:$H$1227,0)))+未审资负表!D9,2)</f>
        <v>0</v>
      </c>
      <c r="E9" s="2228" t="s">
        <v>201</v>
      </c>
      <c r="F9" s="2227" t="s">
        <v>1921</v>
      </c>
      <c r="G9" s="2222">
        <f t="array" ref="G9">ROUND(SUM(IF(资负表及利润表调整分录!$C$175:$C$1227=E9,IF(资负表及利润表调整分录!$I$175:$I$1227="y",资负表及利润表调整分录!$H$175:$H$1227,0)))-SUM(IF(资负表及利润表调整分录!$C$175:$C$1227=E9,IF(资负表及利润表调整分录!$I$175:$I$1227="y",资负表及利润表调整分录!$G$175:$G$1227,0)))+未审资负表!G9,2)</f>
        <v>4117111</v>
      </c>
      <c r="H9" s="2229">
        <f t="array" ref="H9">ROUND(SUM(IF(资负表及利润表调整分录!$C$175:$C$1227="年初"&amp;E9,IF(资负表及利润表调整分录!$I$175:$I$1227="y",资负表及利润表调整分录!$H$175:$H$1227,0)))-SUM(IF(资负表及利润表调整分录!$C$175:$C$1227="年初"&amp;E9,IF(资负表及利润表调整分录!$I$175:$I$1227="y",资负表及利润表调整分录!$G$175:$G$1227,0)))+未审资负表!H9,2)</f>
        <v>7000000</v>
      </c>
      <c r="I9" s="2527">
        <f>D9-[43]审定资负表!C9</f>
        <v>0</v>
      </c>
      <c r="J9" s="2527">
        <f>H9-[43]审定资负表!G9</f>
        <v>0</v>
      </c>
      <c r="K9" s="2527">
        <f>C9-[44]审定资负表!C9</f>
        <v>0</v>
      </c>
      <c r="L9" s="2527">
        <f>D9-[44]审定资负表!D9</f>
        <v>0</v>
      </c>
      <c r="M9" s="2527">
        <f>G9-[44]审定资负表!G9</f>
        <v>0</v>
      </c>
      <c r="N9" s="2527">
        <f>H9-[44]审定资负表!H9</f>
        <v>0</v>
      </c>
      <c r="O9" s="2525"/>
    </row>
    <row r="10" ht="16.5" customHeight="1" spans="1:15">
      <c r="A10" s="2226" t="s">
        <v>202</v>
      </c>
      <c r="B10" s="2227" t="s">
        <v>1922</v>
      </c>
      <c r="C10" s="2222">
        <f t="array" ref="C10">ROUND(SUM(IF(资负表及利润表调整分录!$C$175:$C$1227=A10,IF(资负表及利润表调整分录!$I$175:$I$1227="y",资负表及利润表调整分录!$G$175:$G$1227,0)))-SUM(IF(资负表及利润表调整分录!$C$175:$C$1227=A10,IF(资负表及利润表调整分录!$I$175:$I$1227="y",资负表及利润表调整分录!$H$175:$H$1227,0)))+未审资负表!C10,2)</f>
        <v>21581677.38</v>
      </c>
      <c r="D10" s="2222">
        <f t="array" ref="D10">ROUND(SUM(IF(资负表及利润表调整分录!$C$175:$C$1227="年初"&amp;A10,IF(资负表及利润表调整分录!$I$175:$I$1227="y",资负表及利润表调整分录!$G$175:$G$1227,0)))-SUM(IF(资负表及利润表调整分录!$C$175:$C$1227="年初"&amp;A10,IF(资负表及利润表调整分录!$I$175:$I$1227="y",资负表及利润表调整分录!$H$175:$H$1227,0)))+未审资负表!D10,2)</f>
        <v>26136913.6</v>
      </c>
      <c r="E10" s="2228" t="s">
        <v>203</v>
      </c>
      <c r="F10" s="2227" t="s">
        <v>1923</v>
      </c>
      <c r="G10" s="2222">
        <f t="array" ref="G10">ROUND(SUM(IF(资负表及利润表调整分录!$C$175:$C$1227=E10,IF(资负表及利润表调整分录!$I$175:$I$1227="y",资负表及利润表调整分录!$H$175:$H$1227,0)))-SUM(IF(资负表及利润表调整分录!$C$175:$C$1227=E10,IF(资负表及利润表调整分录!$I$175:$I$1227="y",资负表及利润表调整分录!$G$175:$G$1227,0)))+未审资负表!G10,2)</f>
        <v>41707145.22</v>
      </c>
      <c r="H10" s="2229">
        <f t="array" ref="H10">ROUND(SUM(IF(资负表及利润表调整分录!$C$175:$C$1227="年初"&amp;E10,IF(资负表及利润表调整分录!$I$175:$I$1227="y",资负表及利润表调整分录!$H$175:$H$1227,0)))-SUM(IF(资负表及利润表调整分录!$C$175:$C$1227="年初"&amp;E10,IF(资负表及利润表调整分录!$I$175:$I$1227="y",资负表及利润表调整分录!$G$175:$G$1227,0)))+未审资负表!H10,2)</f>
        <v>16368470.98</v>
      </c>
      <c r="I10" s="2527">
        <f>D10-[43]审定资负表!C10</f>
        <v>2028070.42</v>
      </c>
      <c r="J10" s="2527">
        <f>H10-[43]审定资负表!G10</f>
        <v>-20000</v>
      </c>
      <c r="K10" s="2527">
        <f>C10-[44]审定资负表!C10</f>
        <v>-424601.440000001</v>
      </c>
      <c r="L10" s="2527">
        <f>D10-[44]审定资负表!D10</f>
        <v>2028070.42</v>
      </c>
      <c r="M10" s="2527">
        <f>G10-[44]审定资负表!G10</f>
        <v>-5180782.18</v>
      </c>
      <c r="N10" s="2527">
        <f>H10-[44]审定资负表!H10</f>
        <v>15000</v>
      </c>
      <c r="O10" s="2528" t="s">
        <v>1924</v>
      </c>
    </row>
    <row r="11" ht="16.5" customHeight="1" spans="1:15">
      <c r="A11" s="2226" t="s">
        <v>204</v>
      </c>
      <c r="B11" s="2227" t="s">
        <v>1925</v>
      </c>
      <c r="C11" s="2222">
        <f t="array" ref="C11">ROUND(SUM(IF(资负表及利润表调整分录!$C$175:$C$1227=A11,IF(资负表及利润表调整分录!$I$175:$I$1227="y",资负表及利润表调整分录!$G$175:$G$1227,0)))-SUM(IF(资负表及利润表调整分录!$C$175:$C$1227=A11,IF(资负表及利润表调整分录!$I$175:$I$1227="y",资负表及利润表调整分录!$H$175:$H$1227,0)))+未审资负表!C11,2)</f>
        <v>1579739.99</v>
      </c>
      <c r="D11" s="2222">
        <f t="array" ref="D11">ROUND(SUM(IF(资负表及利润表调整分录!$C$175:$C$1227="年初"&amp;A11,IF(资负表及利润表调整分录!$I$175:$I$1227="y",资负表及利润表调整分录!$G$175:$G$1227,0)))-SUM(IF(资负表及利润表调整分录!$C$175:$C$1227="年初"&amp;A11,IF(资负表及利润表调整分录!$I$175:$I$1227="y",资负表及利润表调整分录!$H$175:$H$1227,0)))+未审资负表!D11,2)</f>
        <v>2096781.42</v>
      </c>
      <c r="E11" s="2228" t="s">
        <v>205</v>
      </c>
      <c r="F11" s="2227" t="s">
        <v>1926</v>
      </c>
      <c r="G11" s="2222">
        <f t="array" ref="G11">ROUND(SUM(IF(资负表及利润表调整分录!$C$175:$C$1227=E11,IF(资负表及利润表调整分录!$I$175:$I$1227="y",资负表及利润表调整分录!$H$175:$H$1227,0)))-SUM(IF(资负表及利润表调整分录!$C$175:$C$1227=E11,IF(资负表及利润表调整分录!$I$175:$I$1227="y",资负表及利润表调整分录!$G$175:$G$1227,0)))+未审资负表!G11,2)</f>
        <v>0</v>
      </c>
      <c r="H11" s="2229">
        <f t="array" ref="H11">ROUND(SUM(IF(资负表及利润表调整分录!$C$175:$C$1227="年初"&amp;E11,IF(资负表及利润表调整分录!$I$175:$I$1227="y",资负表及利润表调整分录!$H$175:$H$1227,0)))-SUM(IF(资负表及利润表调整分录!$C$175:$C$1227="年初"&amp;E11,IF(资负表及利润表调整分录!$I$175:$I$1227="y",资负表及利润表调整分录!$G$175:$G$1227,0)))+未审资负表!H11,2)</f>
        <v>4711102.57</v>
      </c>
      <c r="I11" s="2527">
        <f>D11-[43]审定资负表!C11</f>
        <v>15000</v>
      </c>
      <c r="J11" s="2527">
        <f>H11-[43]审定资负表!G11</f>
        <v>-1704784.43</v>
      </c>
      <c r="K11" s="2527">
        <f>C11-[44]审定资负表!C11</f>
        <v>104568.87</v>
      </c>
      <c r="L11" s="2527">
        <f>D11-[44]审定资负表!D11</f>
        <v>15000</v>
      </c>
      <c r="M11" s="2527">
        <f>G11-[44]审定资负表!G11</f>
        <v>0</v>
      </c>
      <c r="N11" s="2527">
        <f>H11-[44]审定资负表!H11</f>
        <v>-1404886.99</v>
      </c>
      <c r="O11" s="2525"/>
    </row>
    <row r="12" ht="16.5" customHeight="1" spans="1:15">
      <c r="A12" s="2226" t="s">
        <v>206</v>
      </c>
      <c r="B12" s="2227" t="s">
        <v>1927</v>
      </c>
      <c r="C12" s="2222">
        <f t="array" ref="C12">ROUND(SUM(IF(资负表及利润表调整分录!$C$175:$C$1227=A12,IF(资负表及利润表调整分录!$I$175:$I$1227="y",资负表及利润表调整分录!$G$175:$G$1227,0)))-SUM(IF(资负表及利润表调整分录!$C$175:$C$1227=A12,IF(资负表及利润表调整分录!$I$175:$I$1227="y",资负表及利润表调整分录!$H$175:$H$1227,0)))+未审资负表!C12,2)</f>
        <v>5230925.94</v>
      </c>
      <c r="D12" s="2222">
        <f t="array" ref="D12">ROUND(SUM(IF(资负表及利润表调整分录!$C$175:$C$1227="年初"&amp;A12,IF(资负表及利润表调整分录!$I$175:$I$1227="y",资负表及利润表调整分录!$G$175:$G$1227,0)))-SUM(IF(资负表及利润表调整分录!$C$175:$C$1227="年初"&amp;A12,IF(资负表及利润表调整分录!$I$175:$I$1227="y",资负表及利润表调整分录!$H$175:$H$1227,0)))+未审资负表!D12,2)</f>
        <v>5230925.94</v>
      </c>
      <c r="E12" s="2228" t="s">
        <v>207</v>
      </c>
      <c r="F12" s="2227" t="s">
        <v>1928</v>
      </c>
      <c r="G12" s="2222">
        <f t="array" ref="G12">ROUND(SUM(IF(资负表及利润表调整分录!$C$175:$C$1227=E12,IF(资负表及利润表调整分录!$I$175:$I$1227="y",资负表及利润表调整分录!$H$175:$H$1227,0)))-SUM(IF(资负表及利润表调整分录!$C$175:$C$1227=E12,IF(资负表及利润表调整分录!$I$175:$I$1227="y",资负表及利润表调整分录!$G$175:$G$1227,0)))+未审资负表!G12,2)</f>
        <v>1416018.5</v>
      </c>
      <c r="H12" s="2229">
        <f t="array" ref="H12">ROUND(SUM(IF(资负表及利润表调整分录!$C$175:$C$1227="年初"&amp;E12,IF(资负表及利润表调整分录!$I$175:$I$1227="y",资负表及利润表调整分录!$H$175:$H$1227,0)))-SUM(IF(资负表及利润表调整分录!$C$175:$C$1227="年初"&amp;E12,IF(资负表及利润表调整分录!$I$175:$I$1227="y",资负表及利润表调整分录!$G$175:$G$1227,0)))+未审资负表!H12,2)</f>
        <v>1116508.51</v>
      </c>
      <c r="I12" s="2527">
        <f>D12-[43]审定资负表!C12</f>
        <v>0</v>
      </c>
      <c r="J12" s="2527">
        <f>H12-[43]审定资负表!G12</f>
        <v>0</v>
      </c>
      <c r="K12" s="2527">
        <f>C12-[44]审定资负表!C12</f>
        <v>0</v>
      </c>
      <c r="L12" s="2527">
        <f>D12-[44]审定资负表!D12</f>
        <v>0</v>
      </c>
      <c r="M12" s="2527">
        <f>G12-[44]审定资负表!G12</f>
        <v>0</v>
      </c>
      <c r="N12" s="2527">
        <f>H12-[44]审定资负表!H12</f>
        <v>0</v>
      </c>
      <c r="O12" s="2529"/>
    </row>
    <row r="13" ht="16.5" customHeight="1" spans="1:14">
      <c r="A13" s="2226" t="s">
        <v>208</v>
      </c>
      <c r="B13" s="2227" t="s">
        <v>1929</v>
      </c>
      <c r="C13" s="2222">
        <f t="array" ref="C13">ROUND(SUM(IF(资负表及利润表调整分录!$C$175:$C$1227=A13,IF(资负表及利润表调整分录!$I$175:$I$1227="y",资负表及利润表调整分录!$G$175:$G$1227,0)))-SUM(IF(资负表及利润表调整分录!$C$175:$C$1227=A13,IF(资负表及利润表调整分录!$I$175:$I$1227="y",资负表及利润表调整分录!$H$175:$H$1227,0)))+未审资负表!C13,2)</f>
        <v>0</v>
      </c>
      <c r="D13" s="2222">
        <f t="array" ref="D13">ROUND(SUM(IF(资负表及利润表调整分录!$C$175:$C$1227="年初"&amp;A13,IF(资负表及利润表调整分录!$I$175:$I$1227="y",资负表及利润表调整分录!$G$175:$G$1227,0)))-SUM(IF(资负表及利润表调整分录!$C$175:$C$1227="年初"&amp;A13,IF(资负表及利润表调整分录!$I$175:$I$1227="y",资负表及利润表调整分录!$H$175:$H$1227,0)))+未审资负表!D13,2)</f>
        <v>0</v>
      </c>
      <c r="E13" s="2228" t="s">
        <v>209</v>
      </c>
      <c r="F13" s="2227" t="s">
        <v>1930</v>
      </c>
      <c r="G13" s="2222">
        <f t="array" ref="G13">ROUND(SUM(IF(资负表及利润表调整分录!$C$175:$C$1227=E13,IF(资负表及利润表调整分录!$I$175:$I$1227="y",资负表及利润表调整分录!$H$175:$H$1227,0)))-SUM(IF(资负表及利润表调整分录!$C$175:$C$1227=E13,IF(资负表及利润表调整分录!$I$175:$I$1227="y",资负表及利润表调整分录!$G$175:$G$1227,0)))+未审资负表!G13,2)</f>
        <v>431322.26</v>
      </c>
      <c r="H13" s="2229">
        <f t="array" ref="H13">ROUND(SUM(IF(资负表及利润表调整分录!$C$175:$C$1227="年初"&amp;E13,IF(资负表及利润表调整分录!$I$175:$I$1227="y",资负表及利润表调整分录!$H$175:$H$1227,0)))-SUM(IF(资负表及利润表调整分录!$C$175:$C$1227="年初"&amp;E13,IF(资负表及利润表调整分录!$I$175:$I$1227="y",资负表及利润表调整分录!$G$175:$G$1227,0)))+未审资负表!H13,2)</f>
        <v>5639504.07</v>
      </c>
      <c r="I13" s="2527">
        <f>D13-[43]审定资负表!C13</f>
        <v>0</v>
      </c>
      <c r="J13" s="2527">
        <f>H13-[43]审定资负表!G13</f>
        <v>3314389.81</v>
      </c>
      <c r="K13" s="2527">
        <f>C13-[44]审定资负表!C13</f>
        <v>0</v>
      </c>
      <c r="L13" s="2527">
        <f>D13-[44]审定资负表!D13</f>
        <v>0</v>
      </c>
      <c r="M13" s="2527">
        <f>G13-[44]审定资负表!G13</f>
        <v>-111587.8</v>
      </c>
      <c r="N13" s="2527">
        <f>H13-[44]审定资负表!H13</f>
        <v>-13264.8099999996</v>
      </c>
    </row>
    <row r="14" ht="16.5" customHeight="1" spans="1:15">
      <c r="A14" s="2226" t="s">
        <v>210</v>
      </c>
      <c r="B14" s="2227" t="s">
        <v>1931</v>
      </c>
      <c r="C14" s="2222">
        <f t="array" ref="C14">ROUND(SUM(IF(资负表及利润表调整分录!$C$175:$C$1227=A14,IF(资负表及利润表调整分录!$I$175:$I$1227="y",资负表及利润表调整分录!$G$175:$G$1227,0)))-SUM(IF(资负表及利润表调整分录!$C$175:$C$1227=A14,IF(资负表及利润表调整分录!$I$175:$I$1227="y",资负表及利润表调整分录!$H$175:$H$1227,0)))+未审资负表!C14,2)</f>
        <v>17472054.83</v>
      </c>
      <c r="D14" s="2222">
        <f t="array" ref="D14">ROUND(SUM(IF(资负表及利润表调整分录!$C$175:$C$1227="年初"&amp;A14,IF(资负表及利润表调整分录!$I$175:$I$1227="y",资负表及利润表调整分录!$G$175:$G$1227,0)))-SUM(IF(资负表及利润表调整分录!$C$175:$C$1227="年初"&amp;A14,IF(资负表及利润表调整分录!$I$175:$I$1227="y",资负表及利润表调整分录!$H$175:$H$1227,0)))+未审资负表!D14,2)</f>
        <v>16982264.67</v>
      </c>
      <c r="E14" s="2228" t="s">
        <v>211</v>
      </c>
      <c r="F14" s="2227" t="s">
        <v>1932</v>
      </c>
      <c r="G14" s="2222">
        <f t="array" ref="G14">ROUND(SUM(IF(资负表及利润表调整分录!$C$175:$C$1227=E14,IF(资负表及利润表调整分录!$I$175:$I$1227="y",资负表及利润表调整分录!$H$175:$H$1227,0)))-SUM(IF(资负表及利润表调整分录!$C$175:$C$1227=E14,IF(资负表及利润表调整分录!$I$175:$I$1227="y",资负表及利润表调整分录!$G$175:$G$1227,0)))+未审资负表!G14,2)</f>
        <v>120815.96</v>
      </c>
      <c r="H14" s="2229">
        <f t="array" ref="H14">ROUND(SUM(IF(资负表及利润表调整分录!$C$175:$C$1227="年初"&amp;E14,IF(资负表及利润表调整分录!$I$175:$I$1227="y",资负表及利润表调整分录!$H$175:$H$1227,0)))-SUM(IF(资负表及利润表调整分录!$C$175:$C$1227="年初"&amp;E14,IF(资负表及利润表调整分录!$I$175:$I$1227="y",资负表及利润表调整分录!$G$175:$G$1227,0)))+未审资负表!H14,2)</f>
        <v>151896.35</v>
      </c>
      <c r="I14" s="2527">
        <f>D14-[43]审定资负表!C14</f>
        <v>378480.930000002</v>
      </c>
      <c r="J14" s="2527">
        <f>H14-[43]审定资负表!G14</f>
        <v>0</v>
      </c>
      <c r="K14" s="2527">
        <f>C14-[44]审定资负表!C14</f>
        <v>667843.489999998</v>
      </c>
      <c r="L14" s="2527">
        <f>D14-[44]审定资负表!D14</f>
        <v>378480.930000002</v>
      </c>
      <c r="M14" s="2527">
        <f>G14-[44]审定资负表!G14</f>
        <v>0</v>
      </c>
      <c r="N14" s="2527">
        <f>H14-[44]审定资负表!H14</f>
        <v>0</v>
      </c>
      <c r="O14" s="2525" t="s">
        <v>1933</v>
      </c>
    </row>
    <row r="15" ht="16.5" customHeight="1" spans="1:15">
      <c r="A15" s="2226" t="s">
        <v>212</v>
      </c>
      <c r="B15" s="2227" t="s">
        <v>1934</v>
      </c>
      <c r="C15" s="2222">
        <f t="array" ref="C15">ROUND(SUM(IF(资负表及利润表调整分录!$C$175:$C$1227=A15,IF(资负表及利润表调整分录!$I$175:$I$1227="y",资负表及利润表调整分录!$G$175:$G$1227,0)))-SUM(IF(资负表及利润表调整分录!$C$175:$C$1227=A15,IF(资负表及利润表调整分录!$I$175:$I$1227="y",资负表及利润表调整分录!$H$175:$H$1227,0)))+未审资负表!C15,2)</f>
        <v>31962413.89</v>
      </c>
      <c r="D15" s="2222">
        <f t="array" ref="D15">ROUND(SUM(IF(资负表及利润表调整分录!$C$175:$C$1227="年初"&amp;A15,IF(资负表及利润表调整分录!$I$175:$I$1227="y",资负表及利润表调整分录!$G$175:$G$1227,0)))-SUM(IF(资负表及利润表调整分录!$C$175:$C$1227="年初"&amp;A15,IF(资负表及利润表调整分录!$I$175:$I$1227="y",资负表及利润表调整分录!$H$175:$H$1227,0)))+未审资负表!D15,2)</f>
        <v>9826768.95</v>
      </c>
      <c r="E15" s="2228" t="s">
        <v>213</v>
      </c>
      <c r="F15" s="2227" t="s">
        <v>1935</v>
      </c>
      <c r="G15" s="2222">
        <f t="array" ref="G15">ROUND(SUM(IF(资负表及利润表调整分录!$C$175:$C$1227=E15,IF(资负表及利润表调整分录!$I$175:$I$1227="y",资负表及利润表调整分录!$H$175:$H$1227,0)))-SUM(IF(资负表及利润表调整分录!$C$175:$C$1227=E15,IF(资负表及利润表调整分录!$I$175:$I$1227="y",资负表及利润表调整分录!$G$175:$G$1227,0)))+未审资负表!G15,2)</f>
        <v>0</v>
      </c>
      <c r="H15" s="2229">
        <f t="array" ref="H15">ROUND(SUM(IF(资负表及利润表调整分录!$C$175:$C$1227="年初"&amp;E15,IF(资负表及利润表调整分录!$I$175:$I$1227="y",资负表及利润表调整分录!$H$175:$H$1227,0)))-SUM(IF(资负表及利润表调整分录!$C$175:$C$1227="年初"&amp;E15,IF(资负表及利润表调整分录!$I$175:$I$1227="y",资负表及利润表调整分录!$G$175:$G$1227,0)))+未审资负表!H15,2)</f>
        <v>0</v>
      </c>
      <c r="I15" s="2527">
        <f>D15-[43]审定资负表!C15</f>
        <v>-5598059.87</v>
      </c>
      <c r="J15" s="2527">
        <f>H15-[43]审定资负表!G15</f>
        <v>0</v>
      </c>
      <c r="K15" s="2527">
        <f>C15-[44]审定资负表!C15</f>
        <v>2228901.96</v>
      </c>
      <c r="L15" s="2527">
        <f>D15-[44]审定资负表!D15</f>
        <v>-5598059.87</v>
      </c>
      <c r="M15" s="2527">
        <f>G15-[44]审定资负表!G15</f>
        <v>0</v>
      </c>
      <c r="N15" s="2527">
        <f>H15-[44]审定资负表!H15</f>
        <v>0</v>
      </c>
      <c r="O15" s="2525"/>
    </row>
    <row r="16" ht="16.5" customHeight="1" spans="1:15">
      <c r="A16" s="2226" t="s">
        <v>214</v>
      </c>
      <c r="B16" s="2503" t="s">
        <v>1936</v>
      </c>
      <c r="C16" s="2222">
        <f t="array" ref="C16">ROUND(SUM(IF(资负表及利润表调整分录!$C$175:$C$1227=A16,IF(资负表及利润表调整分录!$I$175:$I$1227="y",资负表及利润表调整分录!$G$175:$G$1227,0)))-SUM(IF(资负表及利润表调整分录!$C$175:$C$1227=A16,IF(资负表及利润表调整分录!$I$175:$I$1227="y",资负表及利润表调整分录!$H$175:$H$1227,0)))+未审资负表!C16,2)</f>
        <v>10231163.73</v>
      </c>
      <c r="D16" s="2222">
        <f t="array" ref="D16">ROUND(SUM(IF(资负表及利润表调整分录!$C$175:$C$1227="年初"&amp;A16,IF(资负表及利润表调整分录!$I$175:$I$1227="y",资负表及利润表调整分录!$G$175:$G$1227,0)))-SUM(IF(资负表及利润表调整分录!$C$175:$C$1227="年初"&amp;A16,IF(资负表及利润表调整分录!$I$175:$I$1227="y",资负表及利润表调整分录!$H$175:$H$1227,0)))+未审资负表!D16,2)</f>
        <v>2192971</v>
      </c>
      <c r="E16" s="2228" t="s">
        <v>215</v>
      </c>
      <c r="F16" s="2227" t="s">
        <v>1937</v>
      </c>
      <c r="G16" s="2222">
        <f t="array" ref="G16">ROUND(SUM(IF(资负表及利润表调整分录!$C$175:$C$1227=E16,IF(资负表及利润表调整分录!$I$175:$I$1227="y",资负表及利润表调整分录!$H$175:$H$1227,0)))-SUM(IF(资负表及利润表调整分录!$C$175:$C$1227=E16,IF(资负表及利润表调整分录!$I$175:$I$1227="y",资负表及利润表调整分录!$G$175:$G$1227,0)))+未审资负表!G16,2)</f>
        <v>19669739.82</v>
      </c>
      <c r="H16" s="2229">
        <f t="array" ref="H16">ROUND(SUM(IF(资负表及利润表调整分录!$C$175:$C$1227="年初"&amp;E16,IF(资负表及利润表调整分录!$I$175:$I$1227="y",资负表及利润表调整分录!$H$175:$H$1227,0)))-SUM(IF(资负表及利润表调整分录!$C$175:$C$1227="年初"&amp;E16,IF(资负表及利润表调整分录!$I$175:$I$1227="y",资负表及利润表调整分录!$G$175:$G$1227,0)))+未审资负表!H16,2)</f>
        <v>7123460.48</v>
      </c>
      <c r="I16" s="2527">
        <f>D16-[43]审定资负表!C16</f>
        <v>0</v>
      </c>
      <c r="J16" s="2527">
        <f>H16-[43]审定资负表!G16</f>
        <v>0</v>
      </c>
      <c r="K16" s="2527">
        <f>C16-[44]审定资负表!C16</f>
        <v>0.0300000011920929</v>
      </c>
      <c r="L16" s="2527">
        <f>D16-[44]审定资负表!D16</f>
        <v>0</v>
      </c>
      <c r="M16" s="2527">
        <f>G16-[44]审定资负表!G16</f>
        <v>2000</v>
      </c>
      <c r="N16" s="2527">
        <f>H16-[44]审定资负表!H16</f>
        <v>0</v>
      </c>
      <c r="O16" s="2525"/>
    </row>
    <row r="17" ht="16.5" customHeight="1" spans="1:15">
      <c r="A17" s="2226" t="s">
        <v>216</v>
      </c>
      <c r="B17" s="2227" t="s">
        <v>1938</v>
      </c>
      <c r="C17" s="2222">
        <f t="array" ref="C17">ROUND(SUM(IF(资负表及利润表调整分录!$C$175:$C$1227=A17,IF(资负表及利润表调整分录!$I$175:$I$1227="y",资负表及利润表调整分录!$G$175:$G$1227,0)))-SUM(IF(资负表及利润表调整分录!$C$175:$C$1227=A17,IF(资负表及利润表调整分录!$I$175:$I$1227="y",资负表及利润表调整分录!$H$175:$H$1227,0)))+未审资负表!C17,2)</f>
        <v>2044868.72</v>
      </c>
      <c r="D17" s="2222">
        <f t="array" ref="D17">ROUND(SUM(IF(资负表及利润表调整分录!$C$175:$C$1227="年初"&amp;A17,IF(资负表及利润表调整分录!$I$175:$I$1227="y",资负表及利润表调整分录!$G$175:$G$1227,0)))-SUM(IF(资负表及利润表调整分录!$C$175:$C$1227="年初"&amp;A17,IF(资负表及利润表调整分录!$I$175:$I$1227="y",资负表及利润表调整分录!$H$175:$H$1227,0)))+未审资负表!D17,2)</f>
        <v>893168.56</v>
      </c>
      <c r="E17" s="2228" t="s">
        <v>217</v>
      </c>
      <c r="F17" s="2227" t="s">
        <v>1939</v>
      </c>
      <c r="G17" s="2222">
        <f t="array" ref="G17">ROUND(SUM(IF(资负表及利润表调整分录!$C$175:$C$1227=E17,IF(资负表及利润表调整分录!$I$175:$I$1227="y",资负表及利润表调整分录!$H$175:$H$1227,0)))-SUM(IF(资负表及利润表调整分录!$C$175:$C$1227=E17,IF(资负表及利润表调整分录!$I$175:$I$1227="y",资负表及利润表调整分录!$G$175:$G$1227,0)))+未审资负表!G17,2)</f>
        <v>23891640.51</v>
      </c>
      <c r="H17" s="2229">
        <f t="array" ref="H17">ROUND(SUM(IF(资负表及利润表调整分录!$C$175:$C$1227="年初"&amp;E17,IF(资负表及利润表调整分录!$I$175:$I$1227="y",资负表及利润表调整分录!$H$175:$H$1227,0)))-SUM(IF(资负表及利润表调整分录!$C$175:$C$1227="年初"&amp;E17,IF(资负表及利润表调整分录!$I$175:$I$1227="y",资负表及利润表调整分录!$G$175:$G$1227,0)))+未审资负表!H17,2)</f>
        <v>24230483.68</v>
      </c>
      <c r="I17" s="2527">
        <f>D17-[43]审定资负表!C17</f>
        <v>-269400.47</v>
      </c>
      <c r="J17" s="2527">
        <f>H17-[43]审定资负表!G17</f>
        <v>0</v>
      </c>
      <c r="K17" s="2527">
        <f>C17-[44]审定资负表!C17</f>
        <v>-810971.79</v>
      </c>
      <c r="L17" s="2527">
        <f>D17-[44]审定资负表!D17</f>
        <v>0</v>
      </c>
      <c r="M17" s="2527">
        <f>G17-[44]审定资负表!G17</f>
        <v>0</v>
      </c>
      <c r="N17" s="2527">
        <f>H17-[44]审定资负表!H17</f>
        <v>0</v>
      </c>
      <c r="O17" s="2525"/>
    </row>
    <row r="18" ht="16.5" customHeight="1" spans="1:15">
      <c r="A18" s="2226" t="str">
        <f>IF(未审资负表!A18="","",未审资负表!A18)</f>
        <v>持有待售资产</v>
      </c>
      <c r="B18" s="2503" t="s">
        <v>1940</v>
      </c>
      <c r="C18" s="2222">
        <f t="array" ref="C18">ROUND(SUM(IF(资负表及利润表调整分录!$C$175:$C$1227=A18,IF(资负表及利润表调整分录!$I$175:$I$1227="y",资负表及利润表调整分录!$G$175:$G$1227,0)))-SUM(IF(资负表及利润表调整分录!$C$175:$C$1227=A18,IF(资负表及利润表调整分录!$I$175:$I$1227="y",资负表及利润表调整分录!$H$175:$H$1227,0)))+未审资负表!C18,2)</f>
        <v>0</v>
      </c>
      <c r="D18" s="2222">
        <f t="array" ref="D18">ROUND(SUM(IF(资负表及利润表调整分录!$C$175:$C$1227="年初"&amp;A18,IF(资负表及利润表调整分录!$I$175:$I$1227="y",资负表及利润表调整分录!$G$175:$G$1227,0)))-SUM(IF(资负表及利润表调整分录!$C$175:$C$1227="年初"&amp;A18,IF(资负表及利润表调整分录!$I$175:$I$1227="y",资负表及利润表调整分录!$H$175:$H$1227,0)))+未审资负表!D18,2)</f>
        <v>0</v>
      </c>
      <c r="E18" s="2228" t="s">
        <v>219</v>
      </c>
      <c r="F18" s="2227" t="s">
        <v>1941</v>
      </c>
      <c r="G18" s="2222">
        <f t="array" ref="G18">ROUND(SUM(IF(资负表及利润表调整分录!$C$175:$C$1227=E18,IF(资负表及利润表调整分录!$I$175:$I$1227="y",资负表及利润表调整分录!$H$175:$H$1227,0)))-SUM(IF(资负表及利润表调整分录!$C$175:$C$1227=E18,IF(资负表及利润表调整分录!$I$175:$I$1227="y",资负表及利润表调整分录!$G$175:$G$1227,0)))+未审资负表!G18,2)</f>
        <v>8287528.07</v>
      </c>
      <c r="H18" s="2229">
        <f t="array" ref="H18">ROUND(SUM(IF(资负表及利润表调整分录!$C$175:$C$1227="年初"&amp;E18,IF(资负表及利润表调整分录!$I$175:$I$1227="y",资负表及利润表调整分录!$H$175:$H$1227,0)))-SUM(IF(资负表及利润表调整分录!$C$175:$C$1227="年初"&amp;E18,IF(资负表及利润表调整分录!$I$175:$I$1227="y",资负表及利润表调整分录!$G$175:$G$1227,0)))+未审资负表!H18,2)</f>
        <v>0</v>
      </c>
      <c r="I18" s="2527">
        <f>D18-[43]审定资负表!C18</f>
        <v>0</v>
      </c>
      <c r="J18" s="2527">
        <f>H18-[43]审定资负表!G18</f>
        <v>0</v>
      </c>
      <c r="K18" s="2527">
        <f>C18-[44]审定资负表!C18</f>
        <v>0</v>
      </c>
      <c r="L18" s="2527">
        <f>D18-[44]审定资负表!D18</f>
        <v>0</v>
      </c>
      <c r="M18" s="2527">
        <f>G18-[44]审定资负表!G18</f>
        <v>-218767.02</v>
      </c>
      <c r="N18" s="2527">
        <f>H18-[44]审定资负表!H18</f>
        <v>0</v>
      </c>
      <c r="O18" s="2525"/>
    </row>
    <row r="19" ht="16.5" customHeight="1" spans="1:15">
      <c r="A19" s="2231" t="s">
        <v>220</v>
      </c>
      <c r="B19" s="2232"/>
      <c r="C19" s="2344">
        <f>ROUND(SUM(C7:C18),2)</f>
        <v>293817976.84</v>
      </c>
      <c r="D19" s="2364">
        <f>ROUND(SUM(D7:D18),2)</f>
        <v>140274569.76</v>
      </c>
      <c r="E19" s="2228" t="str">
        <f>IF(未审资负表!E19="","",未审资负表!E19)</f>
        <v>持有待售负债</v>
      </c>
      <c r="F19" s="2503" t="s">
        <v>1942</v>
      </c>
      <c r="G19" s="2222">
        <f t="array" ref="G19">ROUND(SUM(IF(资负表及利润表调整分录!$C$175:$C$1227=E19,IF(资负表及利润表调整分录!$I$175:$I$1227="y",资负表及利润表调整分录!$H$175:$H$1227,0)))-SUM(IF(资负表及利润表调整分录!$C$175:$C$1227=E19,IF(资负表及利润表调整分录!$I$175:$I$1227="y",资负表及利润表调整分录!$G$175:$G$1227,0)))+未审资负表!G19,2)</f>
        <v>0</v>
      </c>
      <c r="H19" s="2229">
        <f t="array" ref="H19">ROUND(SUM(IF(资负表及利润表调整分录!$C$175:$C$1227="年初"&amp;E19,IF(资负表及利润表调整分录!$I$175:$I$1227="y",资负表及利润表调整分录!$H$175:$H$1227,0)))-SUM(IF(资负表及利润表调整分录!$C$175:$C$1227="年初"&amp;E19,IF(资负表及利润表调整分录!$I$175:$I$1227="y",资负表及利润表调整分录!$G$175:$G$1227,0)))+未审资负表!H19,2)</f>
        <v>0</v>
      </c>
      <c r="I19" s="2527">
        <f>D19-[43]审定资负表!C19</f>
        <v>-3445908.99000001</v>
      </c>
      <c r="J19" s="2527">
        <f>H19-[43]审定资负表!G19</f>
        <v>0</v>
      </c>
      <c r="K19" s="2527">
        <f>C19-[44]审定资负表!C19</f>
        <v>1765741.11999995</v>
      </c>
      <c r="L19" s="2527">
        <f>D19-[44]审定资负表!D19</f>
        <v>-3176508.52000001</v>
      </c>
      <c r="M19" s="2527">
        <f>G19-[44]审定资负表!G19</f>
        <v>0</v>
      </c>
      <c r="N19" s="2527">
        <f>H19-[44]审定资负表!H19</f>
        <v>0</v>
      </c>
      <c r="O19" s="2525"/>
    </row>
    <row r="20" ht="16.5" customHeight="1" spans="1:15">
      <c r="A20" s="2233"/>
      <c r="B20" s="2234"/>
      <c r="C20" s="2222"/>
      <c r="D20" s="2350"/>
      <c r="E20" s="2235" t="s">
        <v>222</v>
      </c>
      <c r="F20" s="2232"/>
      <c r="G20" s="2344">
        <f>ROUND(SUM(G7:G19),2)</f>
        <v>104491321.34</v>
      </c>
      <c r="H20" s="2357">
        <f>ROUND(SUM(H7:H19),2)</f>
        <v>66341426.64</v>
      </c>
      <c r="I20" s="2527">
        <f>D20-[43]审定资负表!C20</f>
        <v>0</v>
      </c>
      <c r="J20" s="2527">
        <f>H20-[43]审定资负表!G20</f>
        <v>1589605.38</v>
      </c>
      <c r="K20" s="2527">
        <f>C20-[44]审定资负表!C20</f>
        <v>0</v>
      </c>
      <c r="L20" s="2527">
        <f>D20-[44]审定资负表!D20</f>
        <v>0</v>
      </c>
      <c r="M20" s="2527">
        <f>G20-[44]审定资负表!G20</f>
        <v>-5509137</v>
      </c>
      <c r="N20" s="2527">
        <f>H20-[44]审定资负表!H20</f>
        <v>-1403151.8</v>
      </c>
      <c r="O20" s="2525"/>
    </row>
    <row r="21" ht="16.5" customHeight="1" spans="1:15">
      <c r="A21" s="2219" t="s">
        <v>223</v>
      </c>
      <c r="B21" s="2227"/>
      <c r="C21" s="2222"/>
      <c r="D21" s="2350"/>
      <c r="E21" s="2238"/>
      <c r="F21" s="2238"/>
      <c r="G21" s="2239"/>
      <c r="H21" s="2229"/>
      <c r="I21" s="2527">
        <f>D21-[43]审定资负表!C21</f>
        <v>0</v>
      </c>
      <c r="J21" s="2527">
        <f>H21-[43]审定资负表!G21</f>
        <v>0</v>
      </c>
      <c r="K21" s="2527">
        <f>C21-[44]审定资负表!C21</f>
        <v>0</v>
      </c>
      <c r="L21" s="2527">
        <f>D21-[44]审定资负表!D21</f>
        <v>0</v>
      </c>
      <c r="M21" s="2527">
        <f>G21-[44]审定资负表!G21</f>
        <v>0</v>
      </c>
      <c r="N21" s="2527">
        <f>H21-[44]审定资负表!H21</f>
        <v>0</v>
      </c>
      <c r="O21" s="2525"/>
    </row>
    <row r="22" ht="16.5" customHeight="1" spans="1:15">
      <c r="A22" s="2226" t="s">
        <v>224</v>
      </c>
      <c r="B22" s="2227" t="s">
        <v>1943</v>
      </c>
      <c r="C22" s="2222">
        <f t="array" ref="C22">ROUND(SUM(IF(资负表及利润表调整分录!$C$175:$C$1227=A22,IF(资负表及利润表调整分录!$I$175:$I$1227="y",资负表及利润表调整分录!$G$175:$G$1227,0)))-SUM(IF(资负表及利润表调整分录!$C$175:$C$1227=A22,IF(资负表及利润表调整分录!$I$175:$I$1227="y",资负表及利润表调整分录!$H$175:$H$1227,0)))+未审资负表!C22,2)</f>
        <v>0</v>
      </c>
      <c r="D22" s="2222">
        <f t="array" ref="D22">ROUND(SUM(IF(资负表及利润表调整分录!$C$175:$C$1227="年初"&amp;A22,IF(资负表及利润表调整分录!$I$175:$I$1227="y",资负表及利润表调整分录!$G$175:$G$1227,0)))-SUM(IF(资负表及利润表调整分录!$C$175:$C$1227="年初"&amp;A22,IF(资负表及利润表调整分录!$I$175:$I$1227="y",资负表及利润表调整分录!$H$175:$H$1227,0)))+未审资负表!D22,2)</f>
        <v>0</v>
      </c>
      <c r="E22" s="2223" t="s">
        <v>225</v>
      </c>
      <c r="F22" s="2238"/>
      <c r="G22" s="2240"/>
      <c r="H22" s="2229"/>
      <c r="I22" s="2527">
        <f>D22-[43]审定资负表!C22</f>
        <v>0</v>
      </c>
      <c r="J22" s="2527">
        <f>H22-[43]审定资负表!G22</f>
        <v>0</v>
      </c>
      <c r="K22" s="2527">
        <f>C22-[44]审定资负表!C22</f>
        <v>0</v>
      </c>
      <c r="L22" s="2527">
        <f>D22-[44]审定资负表!D22</f>
        <v>0</v>
      </c>
      <c r="M22" s="2527">
        <f>G22-[44]审定资负表!G22</f>
        <v>0</v>
      </c>
      <c r="N22" s="2527">
        <f>H22-[44]审定资负表!H22</f>
        <v>0</v>
      </c>
      <c r="O22" s="2525"/>
    </row>
    <row r="23" ht="16.5" customHeight="1" spans="1:15">
      <c r="A23" s="2226" t="s">
        <v>226</v>
      </c>
      <c r="B23" s="2227" t="s">
        <v>1944</v>
      </c>
      <c r="C23" s="2222">
        <f t="array" ref="C23">ROUND(SUM(IF(资负表及利润表调整分录!$C$175:$C$1227=A23,IF(资负表及利润表调整分录!$I$175:$I$1227="y",资负表及利润表调整分录!$G$175:$G$1227,0)))-SUM(IF(资负表及利润表调整分录!$C$175:$C$1227=A23,IF(资负表及利润表调整分录!$I$175:$I$1227="y",资负表及利润表调整分录!$H$175:$H$1227,0)))+未审资负表!C23,2)</f>
        <v>0</v>
      </c>
      <c r="D23" s="2222">
        <f t="array" ref="D23">ROUND(SUM(IF(资负表及利润表调整分录!$C$175:$C$1227="年初"&amp;A23,IF(资负表及利润表调整分录!$I$175:$I$1227="y",资负表及利润表调整分录!$G$175:$G$1227,0)))-SUM(IF(资负表及利润表调整分录!$C$175:$C$1227="年初"&amp;A23,IF(资负表及利润表调整分录!$I$175:$I$1227="y",资负表及利润表调整分录!$H$175:$H$1227,0)))+未审资负表!D23,2)</f>
        <v>0</v>
      </c>
      <c r="E23" s="2228" t="s">
        <v>227</v>
      </c>
      <c r="F23" s="2227" t="s">
        <v>1945</v>
      </c>
      <c r="G23" s="2222">
        <f t="array" ref="G23">ROUND(SUM(IF(资负表及利润表调整分录!$C$175:$C$1227=E23,IF(资负表及利润表调整分录!$I$175:$I$1227="y",资负表及利润表调整分录!$H$175:$H$1227,0)))-SUM(IF(资负表及利润表调整分录!$C$175:$C$1227=E23,IF(资负表及利润表调整分录!$I$175:$I$1227="y",资负表及利润表调整分录!$G$175:$G$1227,0)))+未审资负表!G23,2)</f>
        <v>30498148.16</v>
      </c>
      <c r="H23" s="2229">
        <f t="array" ref="H23">ROUND(SUM(IF(资负表及利润表调整分录!$C$175:$C$1227="年初"&amp;E23,IF(资负表及利润表调整分录!$I$175:$I$1227="y",资负表及利润表调整分录!$H$175:$H$1227,0)))-SUM(IF(资负表及利润表调整分录!$C$175:$C$1227="年初"&amp;E23,IF(资负表及利润表调整分录!$I$175:$I$1227="y",资负表及利润表调整分录!$G$175:$G$1227,0)))+未审资负表!H23,2)</f>
        <v>48202962.97</v>
      </c>
      <c r="I23" s="2527">
        <f>D23-[43]审定资负表!C23</f>
        <v>0</v>
      </c>
      <c r="J23" s="2527">
        <f>H23-[43]审定资负表!G23</f>
        <v>0</v>
      </c>
      <c r="K23" s="2527">
        <f>C23-[44]审定资负表!C23</f>
        <v>0</v>
      </c>
      <c r="L23" s="2527">
        <f>D23-[44]审定资负表!D23</f>
        <v>0</v>
      </c>
      <c r="M23" s="2527">
        <f>G23-[44]审定资负表!G23</f>
        <v>0</v>
      </c>
      <c r="N23" s="2527">
        <f>H23-[44]审定资负表!H23</f>
        <v>0</v>
      </c>
      <c r="O23" s="2525"/>
    </row>
    <row r="24" ht="16.5" customHeight="1" spans="1:15">
      <c r="A24" s="2226" t="s">
        <v>228</v>
      </c>
      <c r="B24" s="2227" t="s">
        <v>1946</v>
      </c>
      <c r="C24" s="2222">
        <f t="array" ref="C24">ROUND(SUM(IF(资负表及利润表调整分录!$C$175:$C$1227=A24,IF(资负表及利润表调整分录!$I$175:$I$1227="y",资负表及利润表调整分录!$G$175:$G$1227,0)))-SUM(IF(资负表及利润表调整分录!$C$175:$C$1227=A24,IF(资负表及利润表调整分录!$I$175:$I$1227="y",资负表及利润表调整分录!$H$175:$H$1227,0)))+未审资负表!C24,2)</f>
        <v>71889420.62</v>
      </c>
      <c r="D24" s="2222">
        <f t="array" ref="D24">ROUND(SUM(IF(资负表及利润表调整分录!$C$175:$C$1227="年初"&amp;A24,IF(资负表及利润表调整分录!$I$175:$I$1227="y",资负表及利润表调整分录!$G$175:$G$1227,0)))-SUM(IF(资负表及利润表调整分录!$C$175:$C$1227="年初"&amp;A24,IF(资负表及利润表调整分录!$I$175:$I$1227="y",资负表及利润表调整分录!$H$175:$H$1227,0)))+未审资负表!D24,2)</f>
        <v>9658781.06</v>
      </c>
      <c r="E24" s="2228" t="s">
        <v>229</v>
      </c>
      <c r="F24" s="2227" t="s">
        <v>1947</v>
      </c>
      <c r="G24" s="2222">
        <f t="array" ref="G24">ROUND(SUM(IF(资负表及利润表调整分录!$C$175:$C$1227=E24,IF(资负表及利润表调整分录!$I$175:$I$1227="y",资负表及利润表调整分录!$H$175:$H$1227,0)))-SUM(IF(资负表及利润表调整分录!$C$175:$C$1227=E24,IF(资负表及利润表调整分录!$I$175:$I$1227="y",资负表及利润表调整分录!$G$175:$G$1227,0)))+未审资负表!G24,2)</f>
        <v>0</v>
      </c>
      <c r="H24" s="2229">
        <f t="array" ref="H24">ROUND(SUM(IF(资负表及利润表调整分录!$C$175:$C$1227="年初"&amp;E24,IF(资负表及利润表调整分录!$I$175:$I$1227="y",资负表及利润表调整分录!$H$175:$H$1227,0)))-SUM(IF(资负表及利润表调整分录!$C$175:$C$1227="年初"&amp;E24,IF(资负表及利润表调整分录!$I$175:$I$1227="y",资负表及利润表调整分录!$G$175:$G$1227,0)))+未审资负表!H24,2)</f>
        <v>0</v>
      </c>
      <c r="I24" s="2527">
        <f>D24-[43]审定资负表!C24</f>
        <v>0</v>
      </c>
      <c r="J24" s="2527">
        <f>H24-[43]审定资负表!G24</f>
        <v>0</v>
      </c>
      <c r="K24" s="2527">
        <f>C24-[44]审定资负表!C24</f>
        <v>-4358381.36999999</v>
      </c>
      <c r="L24" s="2527">
        <f>D24-[44]审定资负表!D24</f>
        <v>0</v>
      </c>
      <c r="M24" s="2527">
        <f>G24-[44]审定资负表!G24</f>
        <v>0</v>
      </c>
      <c r="N24" s="2527">
        <f>H24-[44]审定资负表!H24</f>
        <v>0</v>
      </c>
      <c r="O24" s="2525"/>
    </row>
    <row r="25" ht="16.5" customHeight="1" spans="1:15">
      <c r="A25" s="2226" t="s">
        <v>230</v>
      </c>
      <c r="B25" s="2227" t="s">
        <v>1948</v>
      </c>
      <c r="C25" s="2222">
        <f t="array" ref="C25">ROUND(SUM(IF(资负表及利润表调整分录!$C$175:$C$1227=A25,IF(资负表及利润表调整分录!$I$175:$I$1227="y",资负表及利润表调整分录!$G$175:$G$1227,0)))-SUM(IF(资负表及利润表调整分录!$C$175:$C$1227=A25,IF(资负表及利润表调整分录!$I$175:$I$1227="y",资负表及利润表调整分录!$H$175:$H$1227,0)))+未审资负表!C25,2)</f>
        <v>4000000</v>
      </c>
      <c r="D25" s="2222">
        <f t="array" ref="D25">ROUND(SUM(IF(资负表及利润表调整分录!$C$175:$C$1227="年初"&amp;A25,IF(资负表及利润表调整分录!$I$175:$I$1227="y",资负表及利润表调整分录!$G$175:$G$1227,0)))-SUM(IF(资负表及利润表调整分录!$C$175:$C$1227="年初"&amp;A25,IF(资负表及利润表调整分录!$I$175:$I$1227="y",资负表及利润表调整分录!$H$175:$H$1227,0)))+未审资负表!D25,2)</f>
        <v>4000000</v>
      </c>
      <c r="E25" s="2228" t="s">
        <v>231</v>
      </c>
      <c r="F25" s="2227" t="s">
        <v>1949</v>
      </c>
      <c r="G25" s="2222">
        <f t="array" ref="G25">ROUND(SUM(IF(资负表及利润表调整分录!$C$175:$C$1227=E25,IF(资负表及利润表调整分录!$I$175:$I$1227="y",资负表及利润表调整分录!$H$175:$H$1227,0)))-SUM(IF(资负表及利润表调整分录!$C$175:$C$1227=E25,IF(资负表及利润表调整分录!$I$175:$I$1227="y",资负表及利润表调整分录!$G$175:$G$1227,0)))+未审资负表!G25,2)</f>
        <v>12375398.73</v>
      </c>
      <c r="H25" s="2229">
        <f t="array" ref="H25">ROUND(SUM(IF(资负表及利润表调整分录!$C$175:$C$1227="年初"&amp;E25,IF(资负表及利润表调整分录!$I$175:$I$1227="y",资负表及利润表调整分录!$H$175:$H$1227,0)))-SUM(IF(资负表及利润表调整分录!$C$175:$C$1227="年初"&amp;E25,IF(资负表及利润表调整分录!$I$175:$I$1227="y",资负表及利润表调整分录!$G$175:$G$1227,0)))+未审资负表!H25,2)</f>
        <v>18932594.8</v>
      </c>
      <c r="I25" s="2527">
        <f>D25-[43]审定资负表!C25</f>
        <v>0</v>
      </c>
      <c r="J25" s="2527">
        <f>H25-[43]审定资负表!G25</f>
        <v>0</v>
      </c>
      <c r="K25" s="2527">
        <f>C25-[44]审定资负表!C25</f>
        <v>0</v>
      </c>
      <c r="L25" s="2527">
        <f>D25-[44]审定资负表!D25</f>
        <v>0</v>
      </c>
      <c r="M25" s="2527">
        <f>G25-[44]审定资负表!G25</f>
        <v>0</v>
      </c>
      <c r="N25" s="2527">
        <f>H25-[44]审定资负表!H25</f>
        <v>0</v>
      </c>
      <c r="O25" s="2525"/>
    </row>
    <row r="26" ht="16.5" customHeight="1" spans="1:15">
      <c r="A26" s="2226" t="s">
        <v>232</v>
      </c>
      <c r="B26" s="2227" t="s">
        <v>1950</v>
      </c>
      <c r="C26" s="2222">
        <f t="array" ref="C26">ROUND(SUM(IF(资负表及利润表调整分录!$C$175:$C$1227=A26,IF(资负表及利润表调整分录!$I$175:$I$1227="y",资负表及利润表调整分录!$G$175:$G$1227,0)))-SUM(IF(资负表及利润表调整分录!$C$175:$C$1227=A26,IF(资负表及利润表调整分录!$I$175:$I$1227="y",资负表及利润表调整分录!$H$175:$H$1227,0)))+未审资负表!C26,2)</f>
        <v>0</v>
      </c>
      <c r="D26" s="2222">
        <f t="array" ref="D26">ROUND(SUM(IF(资负表及利润表调整分录!$C$175:$C$1227="年初"&amp;A26,IF(资负表及利润表调整分录!$I$175:$I$1227="y",资负表及利润表调整分录!$G$175:$G$1227,0)))-SUM(IF(资负表及利润表调整分录!$C$175:$C$1227="年初"&amp;A26,IF(资负表及利润表调整分录!$I$175:$I$1227="y",资负表及利润表调整分录!$H$175:$H$1227,0)))+未审资负表!D26,2)</f>
        <v>0</v>
      </c>
      <c r="E26" s="2228" t="s">
        <v>233</v>
      </c>
      <c r="F26" s="2227" t="s">
        <v>1951</v>
      </c>
      <c r="G26" s="2222">
        <f t="array" ref="G26">ROUND(SUM(IF(资负表及利润表调整分录!$C$175:$C$1227=E26,IF(资负表及利润表调整分录!$I$175:$I$1227="y",资负表及利润表调整分录!$H$175:$H$1227,0)))-SUM(IF(资负表及利润表调整分录!$C$175:$C$1227=E26,IF(资负表及利润表调整分录!$I$175:$I$1227="y",资负表及利润表调整分录!$G$175:$G$1227,0)))+未审资负表!G26,2)</f>
        <v>0</v>
      </c>
      <c r="H26" s="2229">
        <f t="array" ref="H26">ROUND(SUM(IF(资负表及利润表调整分录!$C$175:$C$1227="年初"&amp;E26,IF(资负表及利润表调整分录!$I$175:$I$1227="y",资负表及利润表调整分录!$H$175:$H$1227,0)))-SUM(IF(资负表及利润表调整分录!$C$175:$C$1227="年初"&amp;E26,IF(资负表及利润表调整分录!$I$175:$I$1227="y",资负表及利润表调整分录!$G$175:$G$1227,0)))+未审资负表!H26,2)</f>
        <v>0</v>
      </c>
      <c r="I26" s="2527">
        <f>D26-[43]审定资负表!C26</f>
        <v>0</v>
      </c>
      <c r="J26" s="2527">
        <f>H26-[43]审定资负表!G26</f>
        <v>0</v>
      </c>
      <c r="K26" s="2527">
        <f>C26-[44]审定资负表!C26</f>
        <v>0</v>
      </c>
      <c r="L26" s="2527">
        <f>D26-[44]审定资负表!D26</f>
        <v>0</v>
      </c>
      <c r="M26" s="2527">
        <f>G26-[44]审定资负表!G26</f>
        <v>0</v>
      </c>
      <c r="N26" s="2527">
        <f>H26-[44]审定资负表!H26</f>
        <v>0</v>
      </c>
      <c r="O26" s="2525"/>
    </row>
    <row r="27" ht="16.5" customHeight="1" spans="1:15">
      <c r="A27" s="2226" t="s">
        <v>234</v>
      </c>
      <c r="B27" s="2227" t="s">
        <v>1952</v>
      </c>
      <c r="C27" s="2222">
        <f t="array" ref="C27">ROUND(SUM(IF(资负表及利润表调整分录!$C$175:$C$1227=A27,IF(资负表及利润表调整分录!$I$175:$I$1227="y",资负表及利润表调整分录!$G$175:$G$1227,0)))-SUM(IF(资负表及利润表调整分录!$C$175:$C$1227=A27,IF(资负表及利润表调整分录!$I$175:$I$1227="y",资负表及利润表调整分录!$H$175:$H$1227,0)))+未审资负表!C27,2)</f>
        <v>63138192.37</v>
      </c>
      <c r="D27" s="2222">
        <f t="array" ref="D27">ROUND(SUM(IF(资负表及利润表调整分录!$C$175:$C$1227="年初"&amp;A27,IF(资负表及利润表调整分录!$I$175:$I$1227="y",资负表及利润表调整分录!$G$175:$G$1227,0)))-SUM(IF(资负表及利润表调整分录!$C$175:$C$1227="年初"&amp;A27,IF(资负表及利润表调整分录!$I$175:$I$1227="y",资负表及利润表调整分录!$H$175:$H$1227,0)))+未审资负表!D27,2)</f>
        <v>67613790.3</v>
      </c>
      <c r="E27" s="2228" t="s">
        <v>235</v>
      </c>
      <c r="F27" s="2227" t="s">
        <v>1953</v>
      </c>
      <c r="G27" s="2222">
        <f t="array" ref="G27">ROUND(SUM(IF(资负表及利润表调整分录!$C$175:$C$1227=E27,IF(资负表及利润表调整分录!$I$175:$I$1227="y",资负表及利润表调整分录!$H$175:$H$1227,0)))-SUM(IF(资负表及利润表调整分录!$C$175:$C$1227=E27,IF(资负表及利润表调整分录!$I$175:$I$1227="y",资负表及利润表调整分录!$G$175:$G$1227,0)))+未审资负表!G27,2)</f>
        <v>5395983.26</v>
      </c>
      <c r="H27" s="2229">
        <f t="array" ref="H27">ROUND(SUM(IF(资负表及利润表调整分录!$C$175:$C$1227="年初"&amp;E27,IF(资负表及利润表调整分录!$I$175:$I$1227="y",资负表及利润表调整分录!$H$175:$H$1227,0)))-SUM(IF(资负表及利润表调整分录!$C$175:$C$1227="年初"&amp;E27,IF(资负表及利润表调整分录!$I$175:$I$1227="y",资负表及利润表调整分录!$G$175:$G$1227,0)))+未审资负表!H27,2)</f>
        <v>450190.65</v>
      </c>
      <c r="I27" s="2527">
        <f>D27-[43]审定资负表!C27</f>
        <v>-163607.730000004</v>
      </c>
      <c r="J27" s="2527">
        <f>H27-[43]审定资负表!G27</f>
        <v>0</v>
      </c>
      <c r="K27" s="2527">
        <f>C27-[44]审定资负表!C27</f>
        <v>-9060338.97000001</v>
      </c>
      <c r="L27" s="2527">
        <f>D27-[44]审定资负表!D27</f>
        <v>-163607.730000004</v>
      </c>
      <c r="M27" s="2527">
        <f>G27-[44]审定资负表!G27</f>
        <v>5395983.26</v>
      </c>
      <c r="N27" s="2527">
        <f>H27-[44]审定资负表!H27</f>
        <v>0</v>
      </c>
      <c r="O27" s="2525"/>
    </row>
    <row r="28" ht="16.5" customHeight="1" spans="1:15">
      <c r="A28" s="2226" t="s">
        <v>236</v>
      </c>
      <c r="B28" s="2227" t="s">
        <v>1954</v>
      </c>
      <c r="C28" s="2222">
        <f t="array" ref="C28">ROUND(SUM(IF(资负表及利润表调整分录!$C$175:$C$1227=A28,IF(资负表及利润表调整分录!$I$175:$I$1227="y",资负表及利润表调整分录!$G$175:$G$1227,0)))-SUM(IF(资负表及利润表调整分录!$C$175:$C$1227=A28,IF(资负表及利润表调整分录!$I$175:$I$1227="y",资负表及利润表调整分录!$H$175:$H$1227,0)))+未审资负表!C28,2)</f>
        <v>50697993.93</v>
      </c>
      <c r="D28" s="2222">
        <f t="array" ref="D28">ROUND(SUM(IF(资负表及利润表调整分录!$C$175:$C$1227="年初"&amp;A28,IF(资负表及利润表调整分录!$I$175:$I$1227="y",资负表及利润表调整分录!$G$175:$G$1227,0)))-SUM(IF(资负表及利润表调整分录!$C$175:$C$1227="年初"&amp;A28,IF(资负表及利润表调整分录!$I$175:$I$1227="y",资负表及利润表调整分录!$H$175:$H$1227,0)))+未审资负表!D28,2)</f>
        <v>2327419.91</v>
      </c>
      <c r="E28" s="2228" t="s">
        <v>237</v>
      </c>
      <c r="F28" s="2227" t="s">
        <v>1955</v>
      </c>
      <c r="G28" s="2222">
        <f t="array" ref="G28">ROUND(SUM(IF(资负表及利润表调整分录!$C$175:$C$1227=E28,IF(资负表及利润表调整分录!$I$175:$I$1227="y",资负表及利润表调整分录!$H$175:$H$1227,0)))-SUM(IF(资负表及利润表调整分录!$C$175:$C$1227=E28,IF(资负表及利润表调整分录!$I$175:$I$1227="y",资负表及利润表调整分录!$G$175:$G$1227,0)))+未审资负表!G28,2)</f>
        <v>0</v>
      </c>
      <c r="H28" s="2229">
        <f t="array" ref="H28">ROUND(SUM(IF(资负表及利润表调整分录!$C$175:$C$1227="年初"&amp;E28,IF(资负表及利润表调整分录!$I$175:$I$1227="y",资负表及利润表调整分录!$H$175:$H$1227,0)))-SUM(IF(资负表及利润表调整分录!$C$175:$C$1227="年初"&amp;E28,IF(资负表及利润表调整分录!$I$175:$I$1227="y",资负表及利润表调整分录!$G$175:$G$1227,0)))+未审资负表!H28,2)</f>
        <v>0</v>
      </c>
      <c r="I28" s="2527">
        <f>D28-[43]审定资负表!C28</f>
        <v>-1200000</v>
      </c>
      <c r="J28" s="2527">
        <f>H28-[43]审定资负表!G28</f>
        <v>0</v>
      </c>
      <c r="K28" s="2527">
        <f>C28-[44]审定资负表!C28</f>
        <v>-2037334.78</v>
      </c>
      <c r="L28" s="2527">
        <f>D28-[44]审定资负表!D28</f>
        <v>-1200000</v>
      </c>
      <c r="M28" s="2527">
        <f>G28-[44]审定资负表!G28</f>
        <v>0</v>
      </c>
      <c r="N28" s="2527">
        <f>H28-[44]审定资负表!H28</f>
        <v>0</v>
      </c>
      <c r="O28" s="2525"/>
    </row>
    <row r="29" ht="16.5" customHeight="1" spans="1:15">
      <c r="A29" s="2226" t="s">
        <v>238</v>
      </c>
      <c r="B29" s="2227" t="s">
        <v>1956</v>
      </c>
      <c r="C29" s="2222">
        <f t="array" ref="C29">ROUND(SUM(IF(资负表及利润表调整分录!$C$175:$C$1227=A29,IF(资负表及利润表调整分录!$I$175:$I$1227="y",资负表及利润表调整分录!$G$175:$G$1227,0)))-SUM(IF(资负表及利润表调整分录!$C$175:$C$1227=A29,IF(资负表及利润表调整分录!$I$175:$I$1227="y",资负表及利润表调整分录!$H$175:$H$1227,0)))+未审资负表!C29,2)</f>
        <v>0</v>
      </c>
      <c r="D29" s="2222">
        <f t="array" ref="D29">ROUND(SUM(IF(资负表及利润表调整分录!$C$175:$C$1227="年初"&amp;A29,IF(资负表及利润表调整分录!$I$175:$I$1227="y",资负表及利润表调整分录!$G$175:$G$1227,0)))-SUM(IF(资负表及利润表调整分录!$C$175:$C$1227="年初"&amp;A29,IF(资负表及利润表调整分录!$I$175:$I$1227="y",资负表及利润表调整分录!$H$175:$H$1227,0)))+未审资负表!D29,2)</f>
        <v>0</v>
      </c>
      <c r="E29" s="2228" t="s">
        <v>239</v>
      </c>
      <c r="F29" s="2227" t="s">
        <v>1957</v>
      </c>
      <c r="G29" s="2222">
        <f t="array" ref="G29">ROUND(SUM(IF(资负表及利润表调整分录!$C$175:$C$1227=E29,IF(资负表及利润表调整分录!$I$175:$I$1227="y",资负表及利润表调整分录!$H$175:$H$1227,0)))-SUM(IF(资负表及利润表调整分录!$C$175:$C$1227=E29,IF(资负表及利润表调整分录!$I$175:$I$1227="y",资负表及利润表调整分录!$G$175:$G$1227,0)))+未审资负表!G29,2)</f>
        <v>0</v>
      </c>
      <c r="H29" s="2229">
        <f t="array" ref="H29">ROUND(SUM(IF(资负表及利润表调整分录!$C$175:$C$1227="年初"&amp;E29,IF(资负表及利润表调整分录!$I$175:$I$1227="y",资负表及利润表调整分录!$H$175:$H$1227,0)))-SUM(IF(资负表及利润表调整分录!$C$175:$C$1227="年初"&amp;E29,IF(资负表及利润表调整分录!$I$175:$I$1227="y",资负表及利润表调整分录!$G$175:$G$1227,0)))+未审资负表!H29,2)</f>
        <v>0</v>
      </c>
      <c r="I29" s="2527">
        <f>D29-[43]审定资负表!C29</f>
        <v>0</v>
      </c>
      <c r="J29" s="2527">
        <f>H29-[43]审定资负表!G29</f>
        <v>0</v>
      </c>
      <c r="K29" s="2527">
        <f>C29-[44]审定资负表!C29</f>
        <v>0</v>
      </c>
      <c r="L29" s="2527">
        <f>D29-[44]审定资负表!D29</f>
        <v>0</v>
      </c>
      <c r="M29" s="2527">
        <f>G29-[44]审定资负表!G29</f>
        <v>0</v>
      </c>
      <c r="N29" s="2527">
        <f>H29-[44]审定资负表!H29</f>
        <v>0</v>
      </c>
      <c r="O29" s="2525"/>
    </row>
    <row r="30" ht="16.5" customHeight="1" spans="1:15">
      <c r="A30" s="2226" t="s">
        <v>240</v>
      </c>
      <c r="B30" s="2227" t="s">
        <v>1958</v>
      </c>
      <c r="C30" s="2222">
        <f t="array" ref="C30">ROUND(SUM(IF(资负表及利润表调整分录!$C$175:$C$1227=A30,IF(资负表及利润表调整分录!$I$175:$I$1227="y",资负表及利润表调整分录!$G$175:$G$1227,0)))-SUM(IF(资负表及利润表调整分录!$C$175:$C$1227=A30,IF(资负表及利润表调整分录!$I$175:$I$1227="y",资负表及利润表调整分录!$H$175:$H$1227,0)))+未审资负表!C30,2)</f>
        <v>0</v>
      </c>
      <c r="D30" s="2222">
        <f t="array" ref="D30">ROUND(SUM(IF(资负表及利润表调整分录!$C$175:$C$1227="年初"&amp;A30,IF(资负表及利润表调整分录!$I$175:$I$1227="y",资负表及利润表调整分录!$G$175:$G$1227,0)))-SUM(IF(资负表及利润表调整分录!$C$175:$C$1227="年初"&amp;A30,IF(资负表及利润表调整分录!$I$175:$I$1227="y",资负表及利润表调整分录!$H$175:$H$1227,0)))+未审资负表!D30,2)</f>
        <v>0</v>
      </c>
      <c r="E30" s="2228" t="str">
        <f>IF(未审资负表!E30="","",未审资负表!E30)</f>
        <v>递延收益</v>
      </c>
      <c r="F30" s="2227" t="s">
        <v>78</v>
      </c>
      <c r="G30" s="2222">
        <f t="array" ref="G30">ROUND(SUM(IF(资负表及利润表调整分录!$C$175:$C$1227=E30,IF(资负表及利润表调整分录!$I$175:$I$1227="y",资负表及利润表调整分录!$H$175:$H$1227,0)))-SUM(IF(资负表及利润表调整分录!$C$175:$C$1227=E30,IF(资负表及利润表调整分录!$I$175:$I$1227="y",资负表及利润表调整分录!$G$175:$G$1227,0)))+未审资负表!G30,2)</f>
        <v>3973515.53</v>
      </c>
      <c r="H30" s="2229">
        <f t="array" ref="H30">ROUND(SUM(IF(资负表及利润表调整分录!$C$175:$C$1227="年初"&amp;E30,IF(资负表及利润表调整分录!$I$175:$I$1227="y",资负表及利润表调整分录!$H$175:$H$1227,0)))-SUM(IF(资负表及利润表调整分录!$C$175:$C$1227="年初"&amp;E30,IF(资负表及利润表调整分录!$I$175:$I$1227="y",资负表及利润表调整分录!$G$175:$G$1227,0)))+未审资负表!H30,2)</f>
        <v>2082524</v>
      </c>
      <c r="I30" s="2527">
        <f>D30-[43]审定资负表!C30</f>
        <v>0</v>
      </c>
      <c r="J30" s="2527">
        <f>H30-[43]审定资负表!G30</f>
        <v>0</v>
      </c>
      <c r="K30" s="2527">
        <f>C30-[44]审定资负表!C30</f>
        <v>0</v>
      </c>
      <c r="L30" s="2527">
        <f>D30-[44]审定资负表!D30</f>
        <v>0</v>
      </c>
      <c r="M30" s="2527">
        <f>G30-[44]审定资负表!G30</f>
        <v>0</v>
      </c>
      <c r="N30" s="2527">
        <f>H30-[44]审定资负表!H30</f>
        <v>0</v>
      </c>
      <c r="O30" s="2525"/>
    </row>
    <row r="31" ht="16.5" customHeight="1" spans="1:15">
      <c r="A31" s="2226" t="s">
        <v>242</v>
      </c>
      <c r="B31" s="2227" t="s">
        <v>1959</v>
      </c>
      <c r="C31" s="2222">
        <f t="array" ref="C31">ROUND(SUM(IF(资负表及利润表调整分录!$C$175:$C$1227=A31,IF(资负表及利润表调整分录!$I$175:$I$1227="y",资负表及利润表调整分录!$G$175:$G$1227,0)))-SUM(IF(资负表及利润表调整分录!$C$175:$C$1227=A31,IF(资负表及利润表调整分录!$I$175:$I$1227="y",资负表及利润表调整分录!$H$175:$H$1227,0)))+未审资负表!C31,2)</f>
        <v>0</v>
      </c>
      <c r="D31" s="2222">
        <f t="array" ref="D31">ROUND(SUM(IF(资负表及利润表调整分录!$C$175:$C$1227="年初"&amp;A31,IF(资负表及利润表调整分录!$I$175:$I$1227="y",资负表及利润表调整分录!$G$175:$G$1227,0)))-SUM(IF(资负表及利润表调整分录!$C$175:$C$1227="年初"&amp;A31,IF(资负表及利润表调整分录!$I$175:$I$1227="y",资负表及利润表调整分录!$H$175:$H$1227,0)))+未审资负表!D31,2)</f>
        <v>0</v>
      </c>
      <c r="E31" s="2241" t="s">
        <v>243</v>
      </c>
      <c r="F31" s="2238"/>
      <c r="G31" s="2344">
        <f>ROUND(SUM(G23:G30),2)</f>
        <v>52243045.68</v>
      </c>
      <c r="H31" s="2357">
        <f>ROUND(SUM(H23:H30),2)</f>
        <v>69668272.42</v>
      </c>
      <c r="I31" s="2527">
        <f>D31-[43]审定资负表!C31</f>
        <v>0</v>
      </c>
      <c r="J31" s="2527">
        <f>H31-[43]审定资负表!G31</f>
        <v>0</v>
      </c>
      <c r="K31" s="2527">
        <f>C31-[44]审定资负表!C31</f>
        <v>0</v>
      </c>
      <c r="L31" s="2527">
        <f>D31-[44]审定资负表!D31</f>
        <v>0</v>
      </c>
      <c r="M31" s="2527">
        <f>G31-[44]审定资负表!G31</f>
        <v>5395983.26</v>
      </c>
      <c r="N31" s="2527">
        <f>H31-[44]审定资负表!H31</f>
        <v>0</v>
      </c>
      <c r="O31" s="2525"/>
    </row>
    <row r="32" ht="16.5" customHeight="1" spans="1:15">
      <c r="A32" s="2226" t="s">
        <v>244</v>
      </c>
      <c r="B32" s="2227" t="s">
        <v>1960</v>
      </c>
      <c r="C32" s="2222">
        <f t="array" ref="C32">ROUND(SUM(IF(资负表及利润表调整分录!$C$175:$C$1227=A32,IF(资负表及利润表调整分录!$I$175:$I$1227="y",资负表及利润表调整分录!$G$175:$G$1227,0)))-SUM(IF(资负表及利润表调整分录!$C$175:$C$1227=A32,IF(资负表及利润表调整分录!$I$175:$I$1227="y",资负表及利润表调整分录!$H$175:$H$1227,0)))+未审资负表!C32,2)</f>
        <v>0</v>
      </c>
      <c r="D32" s="2222">
        <f t="array" ref="D32">ROUND(SUM(IF(资负表及利润表调整分录!$C$175:$C$1227="年初"&amp;A32,IF(资负表及利润表调整分录!$I$175:$I$1227="y",资负表及利润表调整分录!$G$175:$G$1227,0)))-SUM(IF(资负表及利润表调整分录!$C$175:$C$1227="年初"&amp;A32,IF(资负表及利润表调整分录!$I$175:$I$1227="y",资负表及利润表调整分录!$H$175:$H$1227,0)))+未审资负表!D32,2)</f>
        <v>0</v>
      </c>
      <c r="E32" s="2238"/>
      <c r="F32" s="2238"/>
      <c r="G32" s="2239"/>
      <c r="H32" s="2229"/>
      <c r="I32" s="2527">
        <f>D32-[43]审定资负表!C32</f>
        <v>0</v>
      </c>
      <c r="J32" s="2527">
        <f>H32-[43]审定资负表!G32</f>
        <v>0</v>
      </c>
      <c r="K32" s="2527">
        <f>C32-[44]审定资负表!C32</f>
        <v>0</v>
      </c>
      <c r="L32" s="2527">
        <f>D32-[44]审定资负表!D32</f>
        <v>0</v>
      </c>
      <c r="M32" s="2527">
        <f>G32-[44]审定资负表!G32</f>
        <v>0</v>
      </c>
      <c r="N32" s="2527">
        <f>H32-[44]审定资负表!H32</f>
        <v>0</v>
      </c>
      <c r="O32" s="2525"/>
    </row>
    <row r="33" ht="16.5" customHeight="1" spans="1:15">
      <c r="A33" s="2226" t="s">
        <v>245</v>
      </c>
      <c r="B33" s="2227" t="s">
        <v>1961</v>
      </c>
      <c r="C33" s="2222">
        <f t="array" ref="C33">ROUND(SUM(IF(资负表及利润表调整分录!$C$175:$C$1227=A33,IF(资负表及利润表调整分录!$I$175:$I$1227="y",资负表及利润表调整分录!$G$175:$G$1227,0)))-SUM(IF(资负表及利润表调整分录!$C$175:$C$1227=A33,IF(资负表及利润表调整分录!$I$175:$I$1227="y",资负表及利润表调整分录!$H$175:$H$1227,0)))+未审资负表!C33,2)</f>
        <v>10000</v>
      </c>
      <c r="D33" s="2222">
        <f t="array" ref="D33">ROUND(SUM(IF(资负表及利润表调整分录!$C$175:$C$1227="年初"&amp;A33,IF(资负表及利润表调整分录!$I$175:$I$1227="y",资负表及利润表调整分录!$G$175:$G$1227,0)))-SUM(IF(资负表及利润表调整分录!$C$175:$C$1227="年初"&amp;A33,IF(资负表及利润表调整分录!$I$175:$I$1227="y",资负表及利润表调整分录!$H$175:$H$1227,0)))+未审资负表!D33,2)</f>
        <v>16000</v>
      </c>
      <c r="E33" s="2241" t="s">
        <v>246</v>
      </c>
      <c r="F33" s="2238"/>
      <c r="G33" s="2344">
        <f>ROUND(G20+G31,2)</f>
        <v>156734367.02</v>
      </c>
      <c r="H33" s="2357">
        <f>ROUND(H20+H31,2)</f>
        <v>136009699.06</v>
      </c>
      <c r="I33" s="2527">
        <f>D33-[43]审定资负表!C33</f>
        <v>0</v>
      </c>
      <c r="J33" s="2527">
        <f>H33-[43]审定资负表!G33</f>
        <v>1589605.38</v>
      </c>
      <c r="K33" s="2527">
        <f>C33-[44]审定资负表!C33</f>
        <v>0</v>
      </c>
      <c r="L33" s="2527">
        <f>D33-[44]审定资负表!D33</f>
        <v>0</v>
      </c>
      <c r="M33" s="2527">
        <f>G33-[44]审定资负表!G33</f>
        <v>-113153.73999998</v>
      </c>
      <c r="N33" s="2527">
        <f>H33-[44]审定资负表!H33</f>
        <v>-1403151.80000001</v>
      </c>
      <c r="O33" s="2525"/>
    </row>
    <row r="34" ht="16.5" customHeight="1" spans="1:15">
      <c r="A34" s="2226" t="s">
        <v>247</v>
      </c>
      <c r="B34" s="2227" t="s">
        <v>1961</v>
      </c>
      <c r="C34" s="2222">
        <f t="array" ref="C34">ROUND(SUM(IF(资负表及利润表调整分录!$C$175:$C$1227=A34,IF(资负表及利润表调整分录!$I$175:$I$1227="y",资负表及利润表调整分录!$G$175:$G$1227,0)))-SUM(IF(资负表及利润表调整分录!$C$175:$C$1227=A34,IF(资负表及利润表调整分录!$I$175:$I$1227="y",资负表及利润表调整分录!$H$175:$H$1227,0)))+未审资负表!C34,2)</f>
        <v>0</v>
      </c>
      <c r="D34" s="2222">
        <f t="array" ref="D34">ROUND(SUM(IF(资负表及利润表调整分录!$C$175:$C$1227="年初"&amp;A34,IF(资负表及利润表调整分录!$I$175:$I$1227="y",资负表及利润表调整分录!$G$175:$G$1227,0)))-SUM(IF(资负表及利润表调整分录!$C$175:$C$1227="年初"&amp;A34,IF(资负表及利润表调整分录!$I$175:$I$1227="y",资负表及利润表调整分录!$H$175:$H$1227,0)))+未审资负表!D34,2)</f>
        <v>0</v>
      </c>
      <c r="E34" s="2238"/>
      <c r="F34" s="2238"/>
      <c r="G34" s="2222"/>
      <c r="H34" s="2229"/>
      <c r="I34" s="2527">
        <f>D34-[43]审定资负表!C34</f>
        <v>0</v>
      </c>
      <c r="J34" s="2527">
        <f>H34-[43]审定资负表!G34</f>
        <v>0</v>
      </c>
      <c r="K34" s="2527">
        <f>C34-[44]审定资负表!C34</f>
        <v>0</v>
      </c>
      <c r="L34" s="2527">
        <f>D34-[44]审定资负表!D34</f>
        <v>0</v>
      </c>
      <c r="M34" s="2527">
        <f>G34-[44]审定资负表!G34</f>
        <v>0</v>
      </c>
      <c r="N34" s="2527">
        <f>H34-[44]审定资负表!H34</f>
        <v>0</v>
      </c>
      <c r="O34" s="2525"/>
    </row>
    <row r="35" ht="16.5" customHeight="1" spans="1:15">
      <c r="A35" s="2226" t="s">
        <v>248</v>
      </c>
      <c r="B35" s="2227" t="s">
        <v>1962</v>
      </c>
      <c r="C35" s="2222">
        <f t="array" ref="C35">ROUND(SUM(IF(资负表及利润表调整分录!$C$175:$C$1227=A35,IF(资负表及利润表调整分录!$I$175:$I$1227="y",资负表及利润表调整分录!$G$175:$G$1227,0)))-SUM(IF(资负表及利润表调整分录!$C$175:$C$1227=A35,IF(资负表及利润表调整分录!$I$175:$I$1227="y",资负表及利润表调整分录!$H$175:$H$1227,0)))+未审资负表!C35,2)</f>
        <v>0</v>
      </c>
      <c r="D35" s="2222">
        <f t="array" ref="D35">ROUND(SUM(IF(资负表及利润表调整分录!$C$175:$C$1227="年初"&amp;A35,IF(资负表及利润表调整分录!$I$175:$I$1227="y",资负表及利润表调整分录!$G$175:$G$1227,0)))-SUM(IF(资负表及利润表调整分录!$C$175:$C$1227="年初"&amp;A35,IF(资负表及利润表调整分录!$I$175:$I$1227="y",资负表及利润表调整分录!$H$175:$H$1227,0)))+未审资负表!D35,2)</f>
        <v>0</v>
      </c>
      <c r="E35" s="2242" t="s">
        <v>249</v>
      </c>
      <c r="F35" s="2238"/>
      <c r="G35" s="2222"/>
      <c r="H35" s="2229"/>
      <c r="I35" s="2527">
        <f>D35-[43]审定资负表!C35</f>
        <v>0</v>
      </c>
      <c r="J35" s="2527">
        <f>H35-[43]审定资负表!G35</f>
        <v>0</v>
      </c>
      <c r="K35" s="2527">
        <f>C35-[44]审定资负表!C35</f>
        <v>0</v>
      </c>
      <c r="L35" s="2527">
        <f>D35-[44]审定资负表!D35</f>
        <v>0</v>
      </c>
      <c r="M35" s="2527">
        <f>G35-[44]审定资负表!G35</f>
        <v>0</v>
      </c>
      <c r="N35" s="2527">
        <f>H35-[44]审定资负表!H35</f>
        <v>0</v>
      </c>
      <c r="O35" s="2525"/>
    </row>
    <row r="36" ht="16.5" customHeight="1" spans="1:15">
      <c r="A36" s="2226" t="s">
        <v>250</v>
      </c>
      <c r="B36" s="2227" t="s">
        <v>1963</v>
      </c>
      <c r="C36" s="2222">
        <f t="array" ref="C36">ROUND(SUM(IF(资负表及利润表调整分录!$C$175:$C$1227=A36,IF(资负表及利润表调整分录!$I$175:$I$1227="y",资负表及利润表调整分录!$G$175:$G$1227,0)))-SUM(IF(资负表及利润表调整分录!$C$175:$C$1227=A36,IF(资负表及利润表调整分录!$I$175:$I$1227="y",资负表及利润表调整分录!$H$175:$H$1227,0)))+未审资负表!C36,2)</f>
        <v>170458.45</v>
      </c>
      <c r="D36" s="2222">
        <f t="array" ref="D36">ROUND(SUM(IF(资负表及利润表调整分录!$C$175:$C$1227="年初"&amp;A36,IF(资负表及利润表调整分录!$I$175:$I$1227="y",资负表及利润表调整分录!$G$175:$G$1227,0)))-SUM(IF(资负表及利润表调整分录!$C$175:$C$1227="年初"&amp;A36,IF(资负表及利润表调整分录!$I$175:$I$1227="y",资负表及利润表调整分录!$H$175:$H$1227,0)))+未审资负表!D36,2)</f>
        <v>378415.02</v>
      </c>
      <c r="E36" s="2228" t="s">
        <v>251</v>
      </c>
      <c r="F36" s="2227" t="s">
        <v>1964</v>
      </c>
      <c r="G36" s="2222">
        <f t="array" ref="G36">ROUND(SUM(IF(资负表及利润表调整分录!$C$175:$C$1227=E36,IF(资负表及利润表调整分录!$I$175:$I$1227="y",资负表及利润表调整分录!$H$175:$H$1227,0)))-SUM(IF(资负表及利润表调整分录!$C$175:$C$1227=E36,IF(资负表及利润表调整分录!$I$175:$I$1227="y",资负表及利润表调整分录!$G$175:$G$1227,0)))+未审资负表!G36,2)</f>
        <v>137800000</v>
      </c>
      <c r="H36" s="2229">
        <f t="array" ref="H36">ROUND(SUM(IF(资负表及利润表调整分录!$C$175:$C$1227="年初"&amp;E36,IF(资负表及利润表调整分录!$I$175:$I$1227="y",资负表及利润表调整分录!$H$175:$H$1227,0)))-SUM(IF(资负表及利润表调整分录!$C$175:$C$1227="年初"&amp;E36,IF(资负表及利润表调整分录!$I$175:$I$1227="y",资负表及利润表调整分录!$G$175:$G$1227,0)))+未审资负表!H36,2)</f>
        <v>120000000</v>
      </c>
      <c r="I36" s="2527">
        <f>D36-[43]审定资负表!C36</f>
        <v>0</v>
      </c>
      <c r="J36" s="2527">
        <f>H36-[43]审定资负表!G36</f>
        <v>0</v>
      </c>
      <c r="K36" s="2527">
        <f>C36-[44]审定资负表!C36</f>
        <v>0</v>
      </c>
      <c r="L36" s="2527">
        <f>D36-[44]审定资负表!D36</f>
        <v>0</v>
      </c>
      <c r="M36" s="2527">
        <f>G36-[44]审定资负表!G36</f>
        <v>0</v>
      </c>
      <c r="N36" s="2527">
        <f>H36-[44]审定资负表!H36</f>
        <v>0</v>
      </c>
      <c r="O36" s="2525"/>
    </row>
    <row r="37" ht="16.5" customHeight="1" spans="1:15">
      <c r="A37" s="2226" t="s">
        <v>252</v>
      </c>
      <c r="B37" s="2227" t="s">
        <v>1955</v>
      </c>
      <c r="C37" s="2222">
        <f t="array" ref="C37">ROUND(SUM(IF(资负表及利润表调整分录!$C$175:$C$1227=A37,IF(资负表及利润表调整分录!$I$175:$I$1227="y",资负表及利润表调整分录!$G$175:$G$1227,0)))-SUM(IF(资负表及利润表调整分录!$C$175:$C$1227=A37,IF(资负表及利润表调整分录!$I$175:$I$1227="y",资负表及利润表调整分录!$H$175:$H$1227,0)))+未审资负表!C37,2)</f>
        <v>1554610.58</v>
      </c>
      <c r="D37" s="2222">
        <f t="array" ref="D37">ROUND(SUM(IF(资负表及利润表调整分录!$C$175:$C$1227="年初"&amp;A37,IF(资负表及利润表调整分录!$I$175:$I$1227="y",资负表及利润表调整分录!$G$175:$G$1227,0)))-SUM(IF(资负表及利润表调整分录!$C$175:$C$1227="年初"&amp;A37,IF(资负表及利润表调整分录!$I$175:$I$1227="y",资负表及利润表调整分录!$H$175:$H$1227,0)))+未审资负表!D37,2)</f>
        <v>810692.23</v>
      </c>
      <c r="E37" s="2228" t="s">
        <v>253</v>
      </c>
      <c r="F37" s="2227" t="s">
        <v>1965</v>
      </c>
      <c r="G37" s="2222">
        <f t="array" ref="G37">ROUND(SUM(IF(资负表及利润表调整分录!$C$175:$C$1227=E37,IF(资负表及利润表调整分录!$I$175:$I$1227="y",资负表及利润表调整分录!$H$175:$H$1227,0)))-SUM(IF(资负表及利润表调整分录!$C$175:$C$1227=E37,IF(资负表及利润表调整分录!$I$175:$I$1227="y",资负表及利润表调整分录!$G$175:$G$1227,0)))+未审资负表!G37,2)</f>
        <v>218598931.26</v>
      </c>
      <c r="H37" s="2229">
        <f t="array" ref="H37">ROUND(SUM(IF(资负表及利润表调整分录!$C$175:$C$1227="年初"&amp;E37,IF(资负表及利润表调整分录!$I$175:$I$1227="y",资负表及利润表调整分录!$H$175:$H$1227,0)))-SUM(IF(资负表及利润表调整分录!$C$175:$C$1227="年初"&amp;E37,IF(资负表及利润表调整分录!$I$175:$I$1227="y",资负表及利润表调整分录!$G$175:$G$1227,0)))+未审资负表!H37,2)</f>
        <v>5756259.26</v>
      </c>
      <c r="I37" s="2527">
        <f>D37-[43]审定资负表!C37</f>
        <v>0</v>
      </c>
      <c r="J37" s="2527">
        <f>H37-[43]审定资负表!G37</f>
        <v>0</v>
      </c>
      <c r="K37" s="2527">
        <f>C37-[44]审定资负表!C37</f>
        <v>776039.14</v>
      </c>
      <c r="L37" s="2527">
        <f>D37-[44]审定资负表!D37</f>
        <v>0</v>
      </c>
      <c r="M37" s="2527">
        <f>G37-[44]审定资负表!G37</f>
        <v>0</v>
      </c>
      <c r="N37" s="2527">
        <f>H37-[44]审定资负表!H37</f>
        <v>0</v>
      </c>
      <c r="O37" s="2525"/>
    </row>
    <row r="38" ht="16.5" customHeight="1" spans="1:15">
      <c r="A38" s="2226" t="s">
        <v>254</v>
      </c>
      <c r="B38" s="2227" t="s">
        <v>1966</v>
      </c>
      <c r="C38" s="2222">
        <f t="array" ref="C38">ROUND(SUM(IF(资负表及利润表调整分录!$C$175:$C$1227=A38,IF(资负表及利润表调整分录!$I$175:$I$1227="y",资负表及利润表调整分录!$G$175:$G$1227,0)))-SUM(IF(资负表及利润表调整分录!$C$175:$C$1227=A38,IF(资负表及利润表调整分录!$I$175:$I$1227="y",资负表及利润表调整分录!$H$175:$H$1227,0)))+未审资负表!C38,2)</f>
        <v>0</v>
      </c>
      <c r="D38" s="2222">
        <f t="array" ref="D38">ROUND(SUM(IF(资负表及利润表调整分录!$C$175:$C$1227="年初"&amp;A38,IF(资负表及利润表调整分录!$I$175:$I$1227="y",资负表及利润表调整分录!$G$175:$G$1227,0)))-SUM(IF(资负表及利润表调整分录!$C$175:$C$1227="年初"&amp;A38,IF(资负表及利润表调整分录!$I$175:$I$1227="y",资负表及利润表调整分录!$H$175:$H$1227,0)))+未审资负表!D38,2)</f>
        <v>0</v>
      </c>
      <c r="E38" s="2228" t="s">
        <v>255</v>
      </c>
      <c r="F38" s="2227" t="s">
        <v>1967</v>
      </c>
      <c r="G38" s="2222">
        <f t="array" ref="G38">ROUND(SUM(IF(资负表及利润表调整分录!$C$175:$C$1227="库存股",IF(资负表及利润表调整分录!$I$175:$I$1227="y",资负表及利润表调整分录!$G$175:$G$1227,0)))-SUM(IF(资负表及利润表调整分录!$C$175:$C$1227="库存股",IF(资负表及利润表调整分录!$I$175:$I$1227="y",资负表及利润表调整分录!$H$175:$H$1227,0)))+未审资负表!G38,2)</f>
        <v>0</v>
      </c>
      <c r="H38" s="2229">
        <f t="array" ref="H38">ROUND(SUM(IF(资负表及利润表调整分录!$C$175:$C$1227="年初"&amp;"库存股",IF(资负表及利润表调整分录!$I$175:$I$1227="y",资负表及利润表调整分录!$G$175:$G$1227,0)))-SUM(IF(资负表及利润表调整分录!$C$175:$C$1227="年初"&amp;"库存股",IF(资负表及利润表调整分录!$I$175:$I$1227="y",资负表及利润表调整分录!$H$175:$H$1227,0)))+未审资负表!H38,2)</f>
        <v>0</v>
      </c>
      <c r="I38" s="2527">
        <f>D38-[43]审定资负表!C38</f>
        <v>0</v>
      </c>
      <c r="J38" s="2527">
        <f>H38-[43]审定资负表!G38</f>
        <v>0</v>
      </c>
      <c r="K38" s="2527">
        <f>C38-[44]审定资负表!C38</f>
        <v>0</v>
      </c>
      <c r="L38" s="2527">
        <f>D38-[44]审定资负表!D38</f>
        <v>0</v>
      </c>
      <c r="M38" s="2527">
        <f>G38-[44]审定资负表!G38</f>
        <v>0</v>
      </c>
      <c r="N38" s="2527">
        <f>H38-[44]审定资负表!H38</f>
        <v>0</v>
      </c>
      <c r="O38" s="2525"/>
    </row>
    <row r="39" ht="16.5" customHeight="1" spans="1:15">
      <c r="A39" s="2226" t="str">
        <f>IF(未审资负表!A39="","",未审资负表!A39)</f>
        <v/>
      </c>
      <c r="B39" s="2227"/>
      <c r="C39" s="2222">
        <f t="array" ref="C39">ROUND(SUM(IF(资负表及利润表调整分录!$C$175:$C$1227=A39,IF(资负表及利润表调整分录!$I$175:$I$1227="y",资负表及利润表调整分录!$G$175:$G$1227,0)))-SUM(IF(资负表及利润表调整分录!$C$175:$C$1227=A39,IF(资负表及利润表调整分录!$I$175:$I$1227="y",资负表及利润表调整分录!$H$175:$H$1227,0)))+未审资负表!C39,2)</f>
        <v>0</v>
      </c>
      <c r="D39" s="2222">
        <f t="array" ref="D39">ROUND(SUM(IF(资负表及利润表调整分录!$C$175:$C$1227="年初"&amp;A39,IF(资负表及利润表调整分录!$I$175:$I$1227="y",资负表及利润表调整分录!$G$175:$G$1227,0)))-SUM(IF(资负表及利润表调整分录!$C$175:$C$1227="年初"&amp;A39,IF(资负表及利润表调整分录!$I$175:$I$1227="y",资负表及利润表调整分录!$H$175:$H$1227,0)))+未审资负表!D39,2)</f>
        <v>0</v>
      </c>
      <c r="E39" s="2228" t="s">
        <v>256</v>
      </c>
      <c r="F39" s="2227" t="s">
        <v>1968</v>
      </c>
      <c r="G39" s="2222">
        <f t="array" ref="G39">ROUND(SUM(IF(资负表及利润表调整分录!$C$175:$C$1227=E39,IF(资负表及利润表调整分录!$I$175:$I$1227="y",资负表及利润表调整分录!$H$175:$H$1227,0)))-SUM(IF(资负表及利润表调整分录!$C$175:$C$1227=E39,IF(资负表及利润表调整分录!$I$175:$I$1227="y",资负表及利润表调整分录!$G$175:$G$1227,0)))+未审资负表!G39,2)</f>
        <v>0</v>
      </c>
      <c r="H39" s="2229">
        <f t="array" ref="H39">ROUND(SUM(IF(资负表及利润表调整分录!$C$175:$C$1227="年初"&amp;E39,IF(资负表及利润表调整分录!$I$175:$I$1227="y",资负表及利润表调整分录!$H$175:$H$1227,0)))-SUM(IF(资负表及利润表调整分录!$C$175:$C$1227="年初"&amp;E39,IF(资负表及利润表调整分录!$I$175:$I$1227="y",资负表及利润表调整分录!$G$175:$G$1227,0)))+未审资负表!H39,2)</f>
        <v>0</v>
      </c>
      <c r="I39" s="2527">
        <f>D39-[43]审定资负表!C39</f>
        <v>0</v>
      </c>
      <c r="J39" s="2527">
        <f>H39-[43]审定资负表!G39</f>
        <v>0</v>
      </c>
      <c r="K39" s="2527">
        <f>C39-[44]审定资负表!C39</f>
        <v>0</v>
      </c>
      <c r="L39" s="2527">
        <f>D39-[44]审定资负表!D39</f>
        <v>0</v>
      </c>
      <c r="M39" s="2527">
        <f>G39-[44]审定资负表!G39</f>
        <v>-374647.56</v>
      </c>
      <c r="N39" s="2527">
        <f>H39-[44]审定资负表!H39</f>
        <v>0</v>
      </c>
      <c r="O39" s="2525"/>
    </row>
    <row r="40" ht="16.5" customHeight="1" spans="1:15">
      <c r="A40" s="2231" t="s">
        <v>257</v>
      </c>
      <c r="B40" s="2234"/>
      <c r="C40" s="2344">
        <f>ROUND(SUM(C22:C39),2)</f>
        <v>191460675.95</v>
      </c>
      <c r="D40" s="2364">
        <f>ROUND(SUM(D22:D39),2)</f>
        <v>84805098.52</v>
      </c>
      <c r="E40" s="2228" t="s">
        <v>258</v>
      </c>
      <c r="F40" s="2227" t="s">
        <v>1969</v>
      </c>
      <c r="G40" s="2222">
        <f>ROUND(审定利润表!C39,2)</f>
        <v>-27854645.49</v>
      </c>
      <c r="H40" s="2229">
        <f>ROUND(审定利润表!D39,2)</f>
        <v>-36686290.04</v>
      </c>
      <c r="I40" s="2527">
        <f>D40-[43]审定资负表!C40</f>
        <v>-1363607.73</v>
      </c>
      <c r="J40" s="2527">
        <f>H40-[43]审定资负表!G40</f>
        <v>-6399122.1</v>
      </c>
      <c r="K40" s="2527">
        <f>C40-[44]审定资负表!C40</f>
        <v>-14680015.98</v>
      </c>
      <c r="L40" s="2527">
        <f>D40-[44]审定资负表!D40</f>
        <v>-1363607.73</v>
      </c>
      <c r="M40" s="2527">
        <f>G40-[44]审定资负表!G40</f>
        <v>-12426473.56</v>
      </c>
      <c r="N40" s="2527">
        <f>H40-[44]审定资负表!H40</f>
        <v>-3136964.45</v>
      </c>
      <c r="O40" s="2525"/>
    </row>
    <row r="41" ht="16.5" customHeight="1" spans="1:15">
      <c r="A41" s="2243"/>
      <c r="B41" s="2234"/>
      <c r="C41" s="2222"/>
      <c r="D41" s="2350"/>
      <c r="E41" s="2228" t="s">
        <v>259</v>
      </c>
      <c r="F41" s="2503"/>
      <c r="G41" s="2222">
        <f t="array" ref="G41">ROUND(SUM(IF(资负表及利润表调整分录!$C$175:$C$1227=E41,IF(资负表及利润表调整分录!$I$175:$I$1227="y",资负表及利润表调整分录!$H$175:$H$1227,0)))-SUM(IF(资负表及利润表调整分录!$C$175:$C$1227=E41,IF(资负表及利润表调整分录!$I$175:$I$1227="y",资负表及利润表调整分录!$G$175:$G$1227,0)))+未审资负表!G41,2)</f>
        <v>0</v>
      </c>
      <c r="H41" s="2229">
        <f t="array" ref="H41">ROUND(SUM(IF(资负表及利润表调整分录!$C$175:$C$1227="年初"&amp;E41,IF(资负表及利润表调整分录!$I$175:$I$1227="y",资负表及利润表调整分录!$H$175:$H$1227,0)))-SUM(IF(资负表及利润表调整分录!$C$175:$C$1227="年初"&amp;E41,IF(资负表及利润表调整分录!$I$175:$I$1227="y",资负表及利润表调整分录!$G$175:$G$1227,0)))+未审资负表!H41,2)</f>
        <v>0</v>
      </c>
      <c r="I41" s="2527">
        <f>D41-[43]审定资负表!C41</f>
        <v>0</v>
      </c>
      <c r="J41" s="2527">
        <f>H41-[43]审定资负表!G41</f>
        <v>0</v>
      </c>
      <c r="K41" s="2527">
        <f>C41-[44]审定资负表!C41</f>
        <v>0</v>
      </c>
      <c r="L41" s="2527">
        <f>D41-[44]审定资负表!D41</f>
        <v>0</v>
      </c>
      <c r="M41" s="2527">
        <f>G41-[44]审定资负表!G41</f>
        <v>0</v>
      </c>
      <c r="N41" s="2527">
        <f>H41-[44]审定资负表!H41</f>
        <v>0</v>
      </c>
      <c r="O41" s="2525"/>
    </row>
    <row r="42" ht="16.5" customHeight="1" spans="1:15">
      <c r="A42" s="2243"/>
      <c r="B42" s="2234"/>
      <c r="C42" s="2222"/>
      <c r="D42" s="2350"/>
      <c r="E42" s="2228" t="str">
        <f>IF(未审资负表!E42="","",未审资负表!E42)</f>
        <v>其他综合收益</v>
      </c>
      <c r="F42" s="2503" t="s">
        <v>1911</v>
      </c>
      <c r="G42" s="2222">
        <f t="array" ref="G42">ROUND(SUM(IF(资负表及利润表调整分录!$C$175:$C$1227=E42,IF(资负表及利润表调整分录!$I$175:$I$1227="y",资负表及利润表调整分录!$H$175:$H$1227,0)))-SUM(IF(资负表及利润表调整分录!$C$175:$C$1227=E42,IF(资负表及利润表调整分录!$I$175:$I$1227="y",资负表及利润表调整分录!$G$175:$G$1227,0)))+未审资负表!G42,2)</f>
        <v>0</v>
      </c>
      <c r="H42" s="2229">
        <f t="array" ref="H42">ROUND(SUM(IF(资负表及利润表调整分录!$C$175:$C$1227="年初"&amp;E42,IF(资负表及利润表调整分录!$I$175:$I$1227="y",资负表及利润表调整分录!$H$175:$H$1227,0)))-SUM(IF(资负表及利润表调整分录!$C$175:$C$1227="年初"&amp;E42,IF(资负表及利润表调整分录!$I$175:$I$1227="y",资负表及利润表调整分录!$G$175:$G$1227,0)))+未审资负表!H42,2)</f>
        <v>0</v>
      </c>
      <c r="I42" s="2527">
        <f>D42-[43]审定资负表!C42</f>
        <v>0</v>
      </c>
      <c r="J42" s="2527">
        <f>H42-[43]审定资负表!G42</f>
        <v>0</v>
      </c>
      <c r="K42" s="2527">
        <f>C42-[44]审定资负表!C42</f>
        <v>0</v>
      </c>
      <c r="L42" s="2527">
        <f>D42-[44]审定资负表!D42</f>
        <v>0</v>
      </c>
      <c r="M42" s="2527">
        <f>G42-[44]审定资负表!G42</f>
        <v>0</v>
      </c>
      <c r="N42" s="2527">
        <f>H42-[44]审定资负表!H42</f>
        <v>0</v>
      </c>
      <c r="O42" s="2525"/>
    </row>
    <row r="43" ht="17.25" hidden="1" customHeight="1" spans="1:8">
      <c r="A43" s="2243"/>
      <c r="B43" s="2232"/>
      <c r="C43" s="2222"/>
      <c r="D43" s="2222"/>
      <c r="E43" s="2241" t="s">
        <v>261</v>
      </c>
      <c r="F43" s="2241"/>
      <c r="G43" s="2344">
        <f>ROUND(SUM(G36:G42)-2*G38,2)</f>
        <v>328544285.77</v>
      </c>
      <c r="H43" s="2357">
        <f>ROUND(SUM(H36:H42)-2*H38,2)</f>
        <v>89069969.22</v>
      </c>
    </row>
    <row r="44" ht="17.25" hidden="1" customHeight="1" spans="1:8">
      <c r="A44" s="2243"/>
      <c r="B44" s="2234"/>
      <c r="C44" s="2222"/>
      <c r="D44" s="2222"/>
      <c r="E44" s="2238"/>
      <c r="F44" s="2238"/>
      <c r="G44" s="2239"/>
      <c r="H44" s="2229"/>
    </row>
    <row r="45" ht="17.25" hidden="1" customHeight="1" spans="1:8">
      <c r="A45" s="2243"/>
      <c r="B45" s="2234"/>
      <c r="C45" s="2222"/>
      <c r="D45" s="2222"/>
      <c r="E45" s="2228" t="s">
        <v>262</v>
      </c>
      <c r="F45" s="2244"/>
      <c r="G45" s="2245"/>
      <c r="H45" s="2246"/>
    </row>
    <row r="46" ht="16.5" customHeight="1" spans="1:8">
      <c r="A46" s="2243"/>
      <c r="B46" s="2234"/>
      <c r="C46" s="2222"/>
      <c r="D46" s="2222"/>
      <c r="E46" s="2241" t="s">
        <v>263</v>
      </c>
      <c r="F46" s="2241"/>
      <c r="G46" s="2344">
        <f>ROUND(G43+G45,2)</f>
        <v>328544285.77</v>
      </c>
      <c r="H46" s="2357">
        <f>ROUND(H43+H45,2)</f>
        <v>89069969.22</v>
      </c>
    </row>
    <row r="47" ht="16.5" customHeight="1" spans="1:8">
      <c r="A47" s="2243"/>
      <c r="B47" s="2234"/>
      <c r="C47" s="2222"/>
      <c r="D47" s="2222"/>
      <c r="E47" s="2238"/>
      <c r="F47" s="2238"/>
      <c r="G47" s="2222"/>
      <c r="H47" s="2229"/>
    </row>
    <row r="48" ht="16.5" customHeight="1" spans="1:8">
      <c r="A48" s="2247" t="s">
        <v>264</v>
      </c>
      <c r="B48" s="2248"/>
      <c r="C48" s="2345">
        <f>ROUND(C19+C40,2)</f>
        <v>485278652.79</v>
      </c>
      <c r="D48" s="2345">
        <f>ROUND(D19+D40,2)</f>
        <v>225079668.28</v>
      </c>
      <c r="E48" s="2250" t="s">
        <v>265</v>
      </c>
      <c r="F48" s="2250"/>
      <c r="G48" s="2345">
        <f>ROUND(G33+G46,2)</f>
        <v>485278652.79</v>
      </c>
      <c r="H48" s="2382">
        <f>ROUND(H33+H46,2)</f>
        <v>225079668.28</v>
      </c>
    </row>
    <row r="49" ht="15" spans="2:8">
      <c r="B49" s="2524"/>
      <c r="C49" s="2524"/>
      <c r="D49" s="2524"/>
      <c r="F49" s="2524"/>
      <c r="G49" s="2524"/>
      <c r="H49" s="2524"/>
    </row>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hyperlinks>
    <hyperlink ref="B7" location="报表附注!E2" display="（一）"/>
    <hyperlink ref="B8" location="报表附注!E46" display="（二）"/>
    <hyperlink ref="B9" location="报表附注!E71" display="(三)"/>
    <hyperlink ref="B10" location="报表附注!E196" display="(六)"/>
    <hyperlink ref="B13" location="报表附注!E124" display="(四)"/>
    <hyperlink ref="B12" location="报表附注!E155" display="（五）"/>
    <hyperlink ref="B11" location="报表附注!E500" display="（七）"/>
    <hyperlink ref="B14" location="报表附注!E562" display="（八）"/>
    <hyperlink ref="B15" location="报表附注!E847" display="（九）"/>
    <hyperlink ref="B17" location="报表附注!E943" display="（十）"/>
    <hyperlink ref="B22" location="报表附注!E961" display="（十一）"/>
    <hyperlink ref="B23" location="报表附注!E986" display="（十二）"/>
    <hyperlink ref="B24" location="报表附注!E1014" display="（十三）"/>
    <hyperlink ref="B25" location="报表附注!E1052" display="（十五）"/>
    <hyperlink ref="B26" location="报表附注!E1101" display="（十六）"/>
    <hyperlink ref="B27" location="报表附注!F1142" display="（十七）"/>
    <hyperlink ref="B28" location="报表附注!E1226" display="（十八）"/>
    <hyperlink ref="B29" location="报表附注!E1334" display="（十九）"/>
    <hyperlink ref="B30" location="报表附注!E1351" display="（二十）"/>
    <hyperlink ref="B31" location="报表附注!E1365" display="（二十一）"/>
    <hyperlink ref="B32" location="报表附注!E1393" display="（二十二）"/>
    <hyperlink ref="B33" location="报表附注!E1418" display="（二十三）"/>
    <hyperlink ref="B34" location="报表附注!E1485" display="（二十三）"/>
    <hyperlink ref="B35" location="报表附注!E1557" display="（二十五）"/>
    <hyperlink ref="B36" location="报表附注!E1520" display="（二十四）"/>
    <hyperlink ref="B38" location="报表附注!E1582" display="（二十六）"/>
    <hyperlink ref="B37" location="报表附注!E1597" display="（二十七）"/>
    <hyperlink ref="F7" location="报表附注!E1770" display="（三十）"/>
    <hyperlink ref="F8" location="报表附注!E1796" display="（三十一）"/>
    <hyperlink ref="F9" location="报表附注!E1809" display="（三十二）"/>
    <hyperlink ref="F10" location="报表附注!E1824" display="（三十三）"/>
    <hyperlink ref="F11" location="报表附注!E1890" display="（三十四）"/>
    <hyperlink ref="F12" location="报表附注!E1952" display="(三十五)"/>
    <hyperlink ref="F13" location="报表附注!E1991" display="（三十六）"/>
    <hyperlink ref="F14" location="报表附注!E2025" display="（三十七）"/>
    <hyperlink ref="F15" location="报表附注!E2037" display="（三十八）"/>
    <hyperlink ref="F16" location="报表附注!E2062" display="（三十九）"/>
    <hyperlink ref="F17" location="报表附注!E2173" display="（四十一）"/>
    <hyperlink ref="F18" location="报表附注!E2251" display="（四十二）"/>
    <hyperlink ref="F23" location="报表附注!E2272" display="（四十三）"/>
    <hyperlink ref="F24" location="报表附注!E2313" display="（四十四）"/>
    <hyperlink ref="F25" location="报表附注!E2333" display="（四十五）"/>
    <hyperlink ref="F26" location="报表附注!E2368" display="（四十六）"/>
    <hyperlink ref="F27" location="报表附注!E2157" display="（四十）"/>
    <hyperlink ref="F29" location="报表附注!E2385" display="（四十七）"/>
    <hyperlink ref="F28" location="报表附注!E1597" display="（二十七）"/>
    <hyperlink ref="F30" location="报表附注!E3903" display="（五十四）"/>
    <hyperlink ref="F36" location="报表附注!E2401" display="（四十八）"/>
    <hyperlink ref="F37" location="报表附注!E2470" display="（五十一）"/>
    <hyperlink ref="F38" location="报表附注!E2444" display="（四十九）"/>
    <hyperlink ref="F39" location="报表附注!E2481" display="（五十二）"/>
    <hyperlink ref="F40" location="报表附注!E2493" display="（五十三）"/>
    <hyperlink ref="B18" location="报表附注!E4059" display="（六十五）"/>
    <hyperlink ref="F19" location="报表附注!E4074" display="（六十六）"/>
    <hyperlink ref="B16" location="报表附注!E4089" display="（六十七）"/>
    <hyperlink ref="F42" location="报表附注!E4038" display="（六十四）"/>
  </hyperlink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J49"/>
  <sheetViews>
    <sheetView showGridLines="0" showZeros="0" workbookViewId="0">
      <selection activeCell="C7" sqref="C7"/>
    </sheetView>
  </sheetViews>
  <sheetFormatPr defaultColWidth="9" defaultRowHeight="14.25"/>
  <cols>
    <col min="1" max="1" width="36.875" customWidth="1"/>
    <col min="2" max="2" width="5.375" customWidth="1"/>
    <col min="3" max="4" width="11.125" customWidth="1"/>
    <col min="5" max="5" width="36.875" customWidth="1"/>
    <col min="6" max="6" width="5.375" customWidth="1"/>
    <col min="7" max="8" width="11.125" customWidth="1"/>
    <col min="10" max="10" width="9" hidden="1" customWidth="1"/>
  </cols>
  <sheetData>
    <row r="1" ht="27.75" customHeight="1" spans="1:10">
      <c r="A1" s="2103" t="s">
        <v>190</v>
      </c>
      <c r="B1" s="2204"/>
      <c r="C1" s="2204"/>
      <c r="D1" s="2204"/>
      <c r="E1" s="2204"/>
      <c r="F1" s="2204"/>
      <c r="G1" s="2204"/>
      <c r="H1" s="2204"/>
      <c r="J1" s="2351"/>
    </row>
    <row r="2" ht="15" customHeight="1" spans="1:10">
      <c r="A2" s="2205" t="str">
        <f>IF(OR(ROUND(C48-G48,2)&lt;&gt;0,ROUND(D48-H48,2)&lt;&gt;0),"对应期间报表数不平，相差：","")</f>
        <v/>
      </c>
      <c r="B2" s="2205"/>
      <c r="C2" s="2105">
        <f>ROUND(C48-G48,2)</f>
        <v>0</v>
      </c>
      <c r="D2" s="2105">
        <f>ROUND(D48-H48,2)</f>
        <v>0</v>
      </c>
      <c r="E2" s="2108"/>
      <c r="F2" s="2136"/>
      <c r="G2" s="2206"/>
      <c r="H2" s="2207" t="s">
        <v>191</v>
      </c>
      <c r="J2" s="2522" t="s">
        <v>1970</v>
      </c>
    </row>
    <row r="3" ht="15" customHeight="1" spans="1:10">
      <c r="A3" s="2208" t="str">
        <f>"编制单位："&amp;参数表!C3</f>
        <v>编制单位：深圳新阳蓝光能源管理科技股份有限公司</v>
      </c>
      <c r="B3" s="2208"/>
      <c r="C3" s="2208"/>
      <c r="D3" s="2208"/>
      <c r="E3" s="2209">
        <f>参数表!G7</f>
        <v>42735</v>
      </c>
      <c r="F3" s="2136"/>
      <c r="G3" s="2206"/>
      <c r="H3" s="2210" t="str">
        <f>"金额单位："&amp;参数表!F11</f>
        <v>金额单位：人民币元</v>
      </c>
      <c r="J3" s="2522" t="s">
        <v>1971</v>
      </c>
    </row>
    <row r="4" ht="16.5" customHeight="1" spans="1:10">
      <c r="A4" s="2211" t="s">
        <v>192</v>
      </c>
      <c r="B4" s="2212" t="s">
        <v>62</v>
      </c>
      <c r="C4" s="2213" t="str">
        <f>未审资负表!C4</f>
        <v>年末余额</v>
      </c>
      <c r="D4" s="2213" t="str">
        <f>未审资负表!D4</f>
        <v>年初余额</v>
      </c>
      <c r="E4" s="2212" t="s">
        <v>193</v>
      </c>
      <c r="F4" s="2212" t="s">
        <v>62</v>
      </c>
      <c r="G4" s="2213" t="str">
        <f>C4</f>
        <v>年末余额</v>
      </c>
      <c r="H4" s="2214" t="str">
        <f>D4</f>
        <v>年初余额</v>
      </c>
      <c r="J4" s="2523" t="s">
        <v>516</v>
      </c>
    </row>
    <row r="5" ht="16.5" customHeight="1" spans="1:10">
      <c r="A5" s="2215"/>
      <c r="B5" s="2216"/>
      <c r="C5" s="2217"/>
      <c r="D5" s="2217"/>
      <c r="E5" s="2216"/>
      <c r="F5" s="2216"/>
      <c r="G5" s="2217"/>
      <c r="H5" s="2218"/>
      <c r="J5" s="2523" t="s">
        <v>671</v>
      </c>
    </row>
    <row r="6" ht="16.5" customHeight="1" spans="1:8">
      <c r="A6" s="2219" t="s">
        <v>194</v>
      </c>
      <c r="B6" s="2220"/>
      <c r="C6" s="2221"/>
      <c r="D6" s="2222"/>
      <c r="E6" s="2223" t="s">
        <v>195</v>
      </c>
      <c r="F6" s="2223"/>
      <c r="G6" s="2343"/>
      <c r="H6" s="2354"/>
    </row>
    <row r="7" ht="16.5" customHeight="1" spans="1:8">
      <c r="A7" s="2226" t="s">
        <v>196</v>
      </c>
      <c r="B7" s="2227" t="s">
        <v>1916</v>
      </c>
      <c r="C7" s="2222">
        <f t="array" ref="C7">ROUND(SUM(IF(资负表及利润表调整分录!$C$175:$C$1227=A7,IF(资负表及利润表调整分录!$I$175:$I$1227="y",资负表及利润表调整分录!$G$175:$G$1227,0)))-SUM(IF(资负表及利润表调整分录!$C$175:$C$1227=A7,IF(资负表及利润表调整分录!$I$175:$I$1227="y",资负表及利润表调整分录!$H$175:$H$1227,0)))+未审资负表!C7,2)</f>
        <v>203715132.36</v>
      </c>
      <c r="D7" s="2222">
        <f t="array" ref="D7">ROUND(SUM(IF(资负表及利润表调整分录!$C$175:$C$1227="年初"&amp;A7,IF(资负表及利润表调整分录!$I$175:$I$1227="y",资负表及利润表调整分录!$G$175:$G$1227,0)))-SUM(IF(资负表及利润表调整分录!$C$175:$C$1227="年初"&amp;A7,IF(资负表及利润表调整分录!$I$175:$I$1227="y",资负表及利润表调整分录!$H$175:$H$1227,0)))+未审资负表!D7,2)</f>
        <v>76914775.62</v>
      </c>
      <c r="E7" s="2228" t="s">
        <v>197</v>
      </c>
      <c r="F7" s="2227" t="s">
        <v>1917</v>
      </c>
      <c r="G7" s="2222">
        <f t="array" ref="G7">ROUND(SUM(IF(资负表及利润表调整分录!$C$175:$C$1227=E7,IF(资负表及利润表调整分录!$I$175:$I$1227="y",资负表及利润表调整分录!$H$175:$H$1227,0)))-SUM(IF(资负表及利润表调整分录!$C$175:$C$1227=E7,IF(资负表及利润表调整分录!$I$175:$I$1227="y",资负表及利润表调整分录!$G$175:$G$1227,0)))+未审资负表!G7,2)</f>
        <v>4850000</v>
      </c>
      <c r="H7" s="2229">
        <f t="array" ref="H7">ROUND(SUM(IF(资负表及利润表调整分录!$C$175:$C$1227="年初"&amp;E7,IF(资负表及利润表调整分录!$I$175:$I$1227="y",资负表及利润表调整分录!$H$175:$H$1227,0)))-SUM(IF(资负表及利润表调整分录!$C$175:$C$1227="年初"&amp;E7,IF(资负表及利润表调整分录!$I$175:$I$1227="y",资负表及利润表调整分录!$G$175:$G$1227,0)))+未审资负表!H7,2)</f>
        <v>0</v>
      </c>
    </row>
    <row r="8" ht="16.5" customHeight="1" spans="1:8">
      <c r="A8" s="2226" t="s">
        <v>198</v>
      </c>
      <c r="B8" s="2227" t="s">
        <v>1918</v>
      </c>
      <c r="C8" s="2222">
        <f t="array" ref="C8">ROUND(SUM(IF(资负表及利润表调整分录!$C$175:$C$1227=A8,IF(资负表及利润表调整分录!$I$175:$I$1227="y",资负表及利润表调整分录!$G$175:$G$1227,0)))-SUM(IF(资负表及利润表调整分录!$C$175:$C$1227=A8,IF(资负表及利润表调整分录!$I$175:$I$1227="y",资负表及利润表调整分录!$H$175:$H$1227,0)))+未审资负表!C8,2)</f>
        <v>0</v>
      </c>
      <c r="D8" s="2222">
        <f t="array" ref="D8">ROUND(SUM(IF(资负表及利润表调整分录!$C$175:$C$1227="年初"&amp;A8,IF(资负表及利润表调整分录!$I$175:$I$1227="y",资负表及利润表调整分录!$G$175:$G$1227,0)))-SUM(IF(资负表及利润表调整分录!$C$175:$C$1227="年初"&amp;A8,IF(资负表及利润表调整分录!$I$175:$I$1227="y",资负表及利润表调整分录!$H$175:$H$1227,0)))+未审资负表!D8,2)</f>
        <v>0</v>
      </c>
      <c r="E8" s="2228" t="s">
        <v>199</v>
      </c>
      <c r="F8" s="2227" t="s">
        <v>1919</v>
      </c>
      <c r="G8" s="2222">
        <f t="array" ref="G8">ROUND(SUM(IF(资负表及利润表调整分录!$C$175:$C$1227=E8,IF(资负表及利润表调整分录!$I$175:$I$1227="y",资负表及利润表调整分录!$H$175:$H$1227,0)))-SUM(IF(资负表及利润表调整分录!$C$175:$C$1227=E8,IF(资负表及利润表调整分录!$I$175:$I$1227="y",资负表及利润表调整分录!$G$175:$G$1227,0)))+未审资负表!G8,2)</f>
        <v>0</v>
      </c>
      <c r="H8" s="2229">
        <f t="array" ref="H8">ROUND(SUM(IF(资负表及利润表调整分录!$C$175:$C$1227="年初"&amp;E8,IF(资负表及利润表调整分录!$I$175:$I$1227="y",资负表及利润表调整分录!$H$175:$H$1227,0)))-SUM(IF(资负表及利润表调整分录!$C$175:$C$1227="年初"&amp;E8,IF(资负表及利润表调整分录!$I$175:$I$1227="y",资负表及利润表调整分录!$G$175:$G$1227,0)))+未审资负表!H8,2)</f>
        <v>0</v>
      </c>
    </row>
    <row r="9" ht="16.5" customHeight="1" spans="1:8">
      <c r="A9" s="2226" t="s">
        <v>200</v>
      </c>
      <c r="B9" s="2227" t="s">
        <v>1920</v>
      </c>
      <c r="C9" s="2222">
        <f t="array" ref="C9">ROUND(SUM(IF(资负表及利润表调整分录!$C$175:$C$1227=A9,IF(资负表及利润表调整分录!$I$175:$I$1227="y",资负表及利润表调整分录!$G$175:$G$1227,0)))-SUM(IF(资负表及利润表调整分录!$C$175:$C$1227=A9,IF(资负表及利润表调整分录!$I$175:$I$1227="y",资负表及利润表调整分录!$H$175:$H$1227,0)))+未审资负表!C9,2)</f>
        <v>0</v>
      </c>
      <c r="D9" s="2222">
        <f t="array" ref="D9">ROUND(SUM(IF(资负表及利润表调整分录!$C$175:$C$1227="年初"&amp;A9,IF(资负表及利润表调整分录!$I$175:$I$1227="y",资负表及利润表调整分录!$G$175:$G$1227,0)))-SUM(IF(资负表及利润表调整分录!$C$175:$C$1227="年初"&amp;A9,IF(资负表及利润表调整分录!$I$175:$I$1227="y",资负表及利润表调整分录!$H$175:$H$1227,0)))+未审资负表!D9,2)</f>
        <v>0</v>
      </c>
      <c r="E9" s="2228" t="s">
        <v>201</v>
      </c>
      <c r="F9" s="2227" t="s">
        <v>1921</v>
      </c>
      <c r="G9" s="2222">
        <f t="array" ref="G9">ROUND(SUM(IF(资负表及利润表调整分录!$C$175:$C$1227=E9,IF(资负表及利润表调整分录!$I$175:$I$1227="y",资负表及利润表调整分录!$H$175:$H$1227,0)))-SUM(IF(资负表及利润表调整分录!$C$175:$C$1227=E9,IF(资负表及利润表调整分录!$I$175:$I$1227="y",资负表及利润表调整分录!$G$175:$G$1227,0)))+未审资负表!G9,2)</f>
        <v>4117111</v>
      </c>
      <c r="H9" s="2229">
        <f t="array" ref="H9">ROUND(SUM(IF(资负表及利润表调整分录!$C$175:$C$1227="年初"&amp;E9,IF(资负表及利润表调整分录!$I$175:$I$1227="y",资负表及利润表调整分录!$H$175:$H$1227,0)))-SUM(IF(资负表及利润表调整分录!$C$175:$C$1227="年初"&amp;E9,IF(资负表及利润表调整分录!$I$175:$I$1227="y",资负表及利润表调整分录!$G$175:$G$1227,0)))+未审资负表!H9,2)</f>
        <v>7000000</v>
      </c>
    </row>
    <row r="10" ht="16.5" customHeight="1" spans="1:8">
      <c r="A10" s="2226" t="s">
        <v>202</v>
      </c>
      <c r="B10" s="2227" t="s">
        <v>1922</v>
      </c>
      <c r="C10" s="2222">
        <f t="array" ref="C10">ROUND(SUM(IF(资负表及利润表调整分录!$C$175:$C$1227=A10,IF(资负表及利润表调整分录!$I$175:$I$1227="y",资负表及利润表调整分录!$G$175:$G$1227,0)))-SUM(IF(资负表及利润表调整分录!$C$175:$C$1227=A10,IF(资负表及利润表调整分录!$I$175:$I$1227="y",资负表及利润表调整分录!$H$175:$H$1227,0)))+未审资负表!C10,2)</f>
        <v>21581677.38</v>
      </c>
      <c r="D10" s="2222">
        <f t="array" ref="D10">ROUND(SUM(IF(资负表及利润表调整分录!$C$175:$C$1227="年初"&amp;A10,IF(资负表及利润表调整分录!$I$175:$I$1227="y",资负表及利润表调整分录!$G$175:$G$1227,0)))-SUM(IF(资负表及利润表调整分录!$C$175:$C$1227="年初"&amp;A10,IF(资负表及利润表调整分录!$I$175:$I$1227="y",资负表及利润表调整分录!$H$175:$H$1227,0)))+未审资负表!D10,2)</f>
        <v>26136913.6</v>
      </c>
      <c r="E10" s="2228" t="s">
        <v>203</v>
      </c>
      <c r="F10" s="2227" t="s">
        <v>1923</v>
      </c>
      <c r="G10" s="2222">
        <f t="array" ref="G10">ROUND(SUM(IF(资负表及利润表调整分录!$C$175:$C$1227=E10,IF(资负表及利润表调整分录!$I$175:$I$1227="y",资负表及利润表调整分录!$H$175:$H$1227,0)))-SUM(IF(资负表及利润表调整分录!$C$175:$C$1227=E10,IF(资负表及利润表调整分录!$I$175:$I$1227="y",资负表及利润表调整分录!$G$175:$G$1227,0)))+未审资负表!G10,2)</f>
        <v>41707145.22</v>
      </c>
      <c r="H10" s="2229">
        <f t="array" ref="H10">ROUND(SUM(IF(资负表及利润表调整分录!$C$175:$C$1227="年初"&amp;E10,IF(资负表及利润表调整分录!$I$175:$I$1227="y",资负表及利润表调整分录!$H$175:$H$1227,0)))-SUM(IF(资负表及利润表调整分录!$C$175:$C$1227="年初"&amp;E10,IF(资负表及利润表调整分录!$I$175:$I$1227="y",资负表及利润表调整分录!$G$175:$G$1227,0)))+未审资负表!H10,2)</f>
        <v>16368470.98</v>
      </c>
    </row>
    <row r="11" ht="16.5" customHeight="1" spans="1:8">
      <c r="A11" s="2226" t="s">
        <v>204</v>
      </c>
      <c r="B11" s="2227" t="s">
        <v>1925</v>
      </c>
      <c r="C11" s="2222">
        <f t="array" ref="C11">ROUND(SUM(IF(资负表及利润表调整分录!$C$175:$C$1227=A11,IF(资负表及利润表调整分录!$I$175:$I$1227="y",资负表及利润表调整分录!$G$175:$G$1227,0)))-SUM(IF(资负表及利润表调整分录!$C$175:$C$1227=A11,IF(资负表及利润表调整分录!$I$175:$I$1227="y",资负表及利润表调整分录!$H$175:$H$1227,0)))+未审资负表!C11,2)</f>
        <v>1579739.99</v>
      </c>
      <c r="D11" s="2222">
        <f t="array" ref="D11">ROUND(SUM(IF(资负表及利润表调整分录!$C$175:$C$1227="年初"&amp;A11,IF(资负表及利润表调整分录!$I$175:$I$1227="y",资负表及利润表调整分录!$G$175:$G$1227,0)))-SUM(IF(资负表及利润表调整分录!$C$175:$C$1227="年初"&amp;A11,IF(资负表及利润表调整分录!$I$175:$I$1227="y",资负表及利润表调整分录!$H$175:$H$1227,0)))+未审资负表!D11,2)</f>
        <v>2096781.42</v>
      </c>
      <c r="E11" s="2228" t="s">
        <v>205</v>
      </c>
      <c r="F11" s="2227" t="s">
        <v>1926</v>
      </c>
      <c r="G11" s="2222">
        <f t="array" ref="G11">ROUND(SUM(IF(资负表及利润表调整分录!$C$175:$C$1227=E11,IF(资负表及利润表调整分录!$I$175:$I$1227="y",资负表及利润表调整分录!$H$175:$H$1227,0)))-SUM(IF(资负表及利润表调整分录!$C$175:$C$1227=E11,IF(资负表及利润表调整分录!$I$175:$I$1227="y",资负表及利润表调整分录!$G$175:$G$1227,0)))+未审资负表!G11,2)</f>
        <v>0</v>
      </c>
      <c r="H11" s="2229">
        <f t="array" ref="H11">ROUND(SUM(IF(资负表及利润表调整分录!$C$175:$C$1227="年初"&amp;E11,IF(资负表及利润表调整分录!$I$175:$I$1227="y",资负表及利润表调整分录!$H$175:$H$1227,0)))-SUM(IF(资负表及利润表调整分录!$C$175:$C$1227="年初"&amp;E11,IF(资负表及利润表调整分录!$I$175:$I$1227="y",资负表及利润表调整分录!$G$175:$G$1227,0)))+未审资负表!H11,2)</f>
        <v>4711102.57</v>
      </c>
    </row>
    <row r="12" ht="16.5" customHeight="1" spans="1:8">
      <c r="A12" s="2226" t="s">
        <v>206</v>
      </c>
      <c r="B12" s="2227" t="s">
        <v>1927</v>
      </c>
      <c r="C12" s="2222">
        <f t="array" ref="C12">ROUND(SUM(IF(资负表及利润表调整分录!$C$175:$C$1227=A12,IF(资负表及利润表调整分录!$I$175:$I$1227="y",资负表及利润表调整分录!$G$175:$G$1227,0)))-SUM(IF(资负表及利润表调整分录!$C$175:$C$1227=A12,IF(资负表及利润表调整分录!$I$175:$I$1227="y",资负表及利润表调整分录!$H$175:$H$1227,0)))+未审资负表!C12,2)</f>
        <v>5230925.94</v>
      </c>
      <c r="D12" s="2222">
        <f t="array" ref="D12">ROUND(SUM(IF(资负表及利润表调整分录!$C$175:$C$1227="年初"&amp;A12,IF(资负表及利润表调整分录!$I$175:$I$1227="y",资负表及利润表调整分录!$G$175:$G$1227,0)))-SUM(IF(资负表及利润表调整分录!$C$175:$C$1227="年初"&amp;A12,IF(资负表及利润表调整分录!$I$175:$I$1227="y",资负表及利润表调整分录!$H$175:$H$1227,0)))+未审资负表!D12,2)</f>
        <v>5230925.94</v>
      </c>
      <c r="E12" s="2228" t="s">
        <v>207</v>
      </c>
      <c r="F12" s="2227" t="s">
        <v>1928</v>
      </c>
      <c r="G12" s="2222">
        <f t="array" ref="G12">ROUND(SUM(IF(资负表及利润表调整分录!$C$175:$C$1227=E12,IF(资负表及利润表调整分录!$I$175:$I$1227="y",资负表及利润表调整分录!$H$175:$H$1227,0)))-SUM(IF(资负表及利润表调整分录!$C$175:$C$1227=E12,IF(资负表及利润表调整分录!$I$175:$I$1227="y",资负表及利润表调整分录!$G$175:$G$1227,0)))+未审资负表!G12,2)</f>
        <v>1416018.5</v>
      </c>
      <c r="H12" s="2229">
        <f t="array" ref="H12">ROUND(SUM(IF(资负表及利润表调整分录!$C$175:$C$1227="年初"&amp;E12,IF(资负表及利润表调整分录!$I$175:$I$1227="y",资负表及利润表调整分录!$H$175:$H$1227,0)))-SUM(IF(资负表及利润表调整分录!$C$175:$C$1227="年初"&amp;E12,IF(资负表及利润表调整分录!$I$175:$I$1227="y",资负表及利润表调整分录!$G$175:$G$1227,0)))+未审资负表!H12,2)</f>
        <v>1116508.51</v>
      </c>
    </row>
    <row r="13" ht="16.5" customHeight="1" spans="1:8">
      <c r="A13" s="2226" t="s">
        <v>208</v>
      </c>
      <c r="B13" s="2227" t="s">
        <v>1929</v>
      </c>
      <c r="C13" s="2222">
        <f t="array" ref="C13">ROUND(SUM(IF(资负表及利润表调整分录!$C$175:$C$1227=A13,IF(资负表及利润表调整分录!$I$175:$I$1227="y",资负表及利润表调整分录!$G$175:$G$1227,0)))-SUM(IF(资负表及利润表调整分录!$C$175:$C$1227=A13,IF(资负表及利润表调整分录!$I$175:$I$1227="y",资负表及利润表调整分录!$H$175:$H$1227,0)))+未审资负表!C13,2)</f>
        <v>0</v>
      </c>
      <c r="D13" s="2222">
        <f t="array" ref="D13">ROUND(SUM(IF(资负表及利润表调整分录!$C$175:$C$1227="年初"&amp;A13,IF(资负表及利润表调整分录!$I$175:$I$1227="y",资负表及利润表调整分录!$G$175:$G$1227,0)))-SUM(IF(资负表及利润表调整分录!$C$175:$C$1227="年初"&amp;A13,IF(资负表及利润表调整分录!$I$175:$I$1227="y",资负表及利润表调整分录!$H$175:$H$1227,0)))+未审资负表!D13,2)</f>
        <v>0</v>
      </c>
      <c r="E13" s="2228" t="s">
        <v>209</v>
      </c>
      <c r="F13" s="2227" t="s">
        <v>1930</v>
      </c>
      <c r="G13" s="2222">
        <f t="array" ref="G13">ROUND(SUM(IF(资负表及利润表调整分录!$C$175:$C$1227=E13,IF(资负表及利润表调整分录!$I$175:$I$1227="y",资负表及利润表调整分录!$H$175:$H$1227,0)))-SUM(IF(资负表及利润表调整分录!$C$175:$C$1227=E13,IF(资负表及利润表调整分录!$I$175:$I$1227="y",资负表及利润表调整分录!$G$175:$G$1227,0)))+未审资负表!G13,2)</f>
        <v>431322.26</v>
      </c>
      <c r="H13" s="2229">
        <f t="array" ref="H13">ROUND(SUM(IF(资负表及利润表调整分录!$C$175:$C$1227="年初"&amp;E13,IF(资负表及利润表调整分录!$I$175:$I$1227="y",资负表及利润表调整分录!$H$175:$H$1227,0)))-SUM(IF(资负表及利润表调整分录!$C$175:$C$1227="年初"&amp;E13,IF(资负表及利润表调整分录!$I$175:$I$1227="y",资负表及利润表调整分录!$G$175:$G$1227,0)))+未审资负表!H13,2)</f>
        <v>5639504.07</v>
      </c>
    </row>
    <row r="14" ht="16.5" customHeight="1" spans="1:8">
      <c r="A14" s="2226" t="s">
        <v>210</v>
      </c>
      <c r="B14" s="2227" t="s">
        <v>1931</v>
      </c>
      <c r="C14" s="2222">
        <f t="array" ref="C14">ROUND(SUM(IF(资负表及利润表调整分录!$C$175:$C$1227=A14,IF(资负表及利润表调整分录!$I$175:$I$1227="y",资负表及利润表调整分录!$G$175:$G$1227,0)))-SUM(IF(资负表及利润表调整分录!$C$175:$C$1227=A14,IF(资负表及利润表调整分录!$I$175:$I$1227="y",资负表及利润表调整分录!$H$175:$H$1227,0)))+未审资负表!C14,2)</f>
        <v>17472054.83</v>
      </c>
      <c r="D14" s="2222">
        <f t="array" ref="D14">ROUND(SUM(IF(资负表及利润表调整分录!$C$175:$C$1227="年初"&amp;A14,IF(资负表及利润表调整分录!$I$175:$I$1227="y",资负表及利润表调整分录!$G$175:$G$1227,0)))-SUM(IF(资负表及利润表调整分录!$C$175:$C$1227="年初"&amp;A14,IF(资负表及利润表调整分录!$I$175:$I$1227="y",资负表及利润表调整分录!$H$175:$H$1227,0)))+未审资负表!D14,2)</f>
        <v>16982264.67</v>
      </c>
      <c r="E14" s="2228" t="s">
        <v>211</v>
      </c>
      <c r="F14" s="2227" t="s">
        <v>1932</v>
      </c>
      <c r="G14" s="2222">
        <f t="array" ref="G14">ROUND(SUM(IF(资负表及利润表调整分录!$C$175:$C$1227=E14,IF(资负表及利润表调整分录!$I$175:$I$1227="y",资负表及利润表调整分录!$H$175:$H$1227,0)))-SUM(IF(资负表及利润表调整分录!$C$175:$C$1227=E14,IF(资负表及利润表调整分录!$I$175:$I$1227="y",资负表及利润表调整分录!$G$175:$G$1227,0)))+未审资负表!G14,2)</f>
        <v>120815.96</v>
      </c>
      <c r="H14" s="2229">
        <f t="array" ref="H14">ROUND(SUM(IF(资负表及利润表调整分录!$C$175:$C$1227="年初"&amp;E14,IF(资负表及利润表调整分录!$I$175:$I$1227="y",资负表及利润表调整分录!$H$175:$H$1227,0)))-SUM(IF(资负表及利润表调整分录!$C$175:$C$1227="年初"&amp;E14,IF(资负表及利润表调整分录!$I$175:$I$1227="y",资负表及利润表调整分录!$G$175:$G$1227,0)))+未审资负表!H14,2)</f>
        <v>151896.35</v>
      </c>
    </row>
    <row r="15" ht="16.5" customHeight="1" spans="1:8">
      <c r="A15" s="2226" t="s">
        <v>212</v>
      </c>
      <c r="B15" s="2227" t="s">
        <v>1934</v>
      </c>
      <c r="C15" s="2222">
        <f t="array" ref="C15">ROUND(SUM(IF(资负表及利润表调整分录!$C$175:$C$1227=A15,IF(资负表及利润表调整分录!$I$175:$I$1227="y",资负表及利润表调整分录!$G$175:$G$1227,0)))-SUM(IF(资负表及利润表调整分录!$C$175:$C$1227=A15,IF(资负表及利润表调整分录!$I$175:$I$1227="y",资负表及利润表调整分录!$H$175:$H$1227,0)))+未审资负表!C15,2)</f>
        <v>31962413.89</v>
      </c>
      <c r="D15" s="2222">
        <f t="array" ref="D15">ROUND(SUM(IF(资负表及利润表调整分录!$C$175:$C$1227="年初"&amp;A15,IF(资负表及利润表调整分录!$I$175:$I$1227="y",资负表及利润表调整分录!$G$175:$G$1227,0)))-SUM(IF(资负表及利润表调整分录!$C$175:$C$1227="年初"&amp;A15,IF(资负表及利润表调整分录!$I$175:$I$1227="y",资负表及利润表调整分录!$H$175:$H$1227,0)))+未审资负表!D15,2)</f>
        <v>9826768.95</v>
      </c>
      <c r="E15" s="2228" t="s">
        <v>213</v>
      </c>
      <c r="F15" s="2227" t="s">
        <v>1935</v>
      </c>
      <c r="G15" s="2222">
        <f t="array" ref="G15">ROUND(SUM(IF(资负表及利润表调整分录!$C$175:$C$1227=E15,IF(资负表及利润表调整分录!$I$175:$I$1227="y",资负表及利润表调整分录!$H$175:$H$1227,0)))-SUM(IF(资负表及利润表调整分录!$C$175:$C$1227=E15,IF(资负表及利润表调整分录!$I$175:$I$1227="y",资负表及利润表调整分录!$G$175:$G$1227,0)))+未审资负表!G15,2)</f>
        <v>0</v>
      </c>
      <c r="H15" s="2229">
        <f t="array" ref="H15">ROUND(SUM(IF(资负表及利润表调整分录!$C$175:$C$1227="年初"&amp;E15,IF(资负表及利润表调整分录!$I$175:$I$1227="y",资负表及利润表调整分录!$H$175:$H$1227,0)))-SUM(IF(资负表及利润表调整分录!$C$175:$C$1227="年初"&amp;E15,IF(资负表及利润表调整分录!$I$175:$I$1227="y",资负表及利润表调整分录!$G$175:$G$1227,0)))+未审资负表!H15,2)</f>
        <v>0</v>
      </c>
    </row>
    <row r="16" ht="16.5" customHeight="1" spans="1:8">
      <c r="A16" s="2226" t="s">
        <v>214</v>
      </c>
      <c r="B16" s="2521" t="s">
        <v>1936</v>
      </c>
      <c r="C16" s="2222">
        <f t="array" ref="C16">ROUND(SUM(IF(资负表及利润表调整分录!$C$175:$C$1227=A16,IF(资负表及利润表调整分录!$I$175:$I$1227="y",资负表及利润表调整分录!$G$175:$G$1227,0)))-SUM(IF(资负表及利润表调整分录!$C$175:$C$1227=A16,IF(资负表及利润表调整分录!$I$175:$I$1227="y",资负表及利润表调整分录!$H$175:$H$1227,0)))+未审资负表!C16,2)</f>
        <v>10231163.73</v>
      </c>
      <c r="D16" s="2222">
        <f t="array" ref="D16">ROUND(SUM(IF(资负表及利润表调整分录!$C$175:$C$1227="年初"&amp;A16,IF(资负表及利润表调整分录!$I$175:$I$1227="y",资负表及利润表调整分录!$G$175:$G$1227,0)))-SUM(IF(资负表及利润表调整分录!$C$175:$C$1227="年初"&amp;A16,IF(资负表及利润表调整分录!$I$175:$I$1227="y",资负表及利润表调整分录!$H$175:$H$1227,0)))+未审资负表!D16,2)</f>
        <v>2192971</v>
      </c>
      <c r="E16" s="2228" t="s">
        <v>215</v>
      </c>
      <c r="F16" s="2227" t="s">
        <v>1937</v>
      </c>
      <c r="G16" s="2222">
        <f t="array" ref="G16">ROUND(SUM(IF(资负表及利润表调整分录!$C$175:$C$1227=E16,IF(资负表及利润表调整分录!$I$175:$I$1227="y",资负表及利润表调整分录!$H$175:$H$1227,0)))-SUM(IF(资负表及利润表调整分录!$C$175:$C$1227=E16,IF(资负表及利润表调整分录!$I$175:$I$1227="y",资负表及利润表调整分录!$G$175:$G$1227,0)))+未审资负表!G16,2)</f>
        <v>19669739.82</v>
      </c>
      <c r="H16" s="2229">
        <f t="array" ref="H16">ROUND(SUM(IF(资负表及利润表调整分录!$C$175:$C$1227="年初"&amp;E16,IF(资负表及利润表调整分录!$I$175:$I$1227="y",资负表及利润表调整分录!$H$175:$H$1227,0)))-SUM(IF(资负表及利润表调整分录!$C$175:$C$1227="年初"&amp;E16,IF(资负表及利润表调整分录!$I$175:$I$1227="y",资负表及利润表调整分录!$G$175:$G$1227,0)))+未审资负表!H16,2)</f>
        <v>7123460.48</v>
      </c>
    </row>
    <row r="17" ht="16.5" customHeight="1" spans="1:8">
      <c r="A17" s="2226" t="s">
        <v>216</v>
      </c>
      <c r="B17" s="2227" t="s">
        <v>1938</v>
      </c>
      <c r="C17" s="2222">
        <f t="array" ref="C17">ROUND(SUM(IF(资负表及利润表调整分录!$C$175:$C$1227=A17,IF(资负表及利润表调整分录!$I$175:$I$1227="y",资负表及利润表调整分录!$G$175:$G$1227,0)))-SUM(IF(资负表及利润表调整分录!$C$175:$C$1227=A17,IF(资负表及利润表调整分录!$I$175:$I$1227="y",资负表及利润表调整分录!$H$175:$H$1227,0)))+未审资负表!C17,2)</f>
        <v>2044868.72</v>
      </c>
      <c r="D17" s="2222">
        <f t="array" ref="D17">ROUND(SUM(IF(资负表及利润表调整分录!$C$175:$C$1227="年初"&amp;A17,IF(资负表及利润表调整分录!$I$175:$I$1227="y",资负表及利润表调整分录!$G$175:$G$1227,0)))-SUM(IF(资负表及利润表调整分录!$C$175:$C$1227="年初"&amp;A17,IF(资负表及利润表调整分录!$I$175:$I$1227="y",资负表及利润表调整分录!$H$175:$H$1227,0)))+未审资负表!D17,2)</f>
        <v>893168.56</v>
      </c>
      <c r="E17" s="2228" t="s">
        <v>217</v>
      </c>
      <c r="F17" s="2227" t="s">
        <v>1939</v>
      </c>
      <c r="G17" s="2222">
        <f t="array" ref="G17">ROUND(SUM(IF(资负表及利润表调整分录!$C$175:$C$1227=E17,IF(资负表及利润表调整分录!$I$175:$I$1227="y",资负表及利润表调整分录!$H$175:$H$1227,0)))-SUM(IF(资负表及利润表调整分录!$C$175:$C$1227=E17,IF(资负表及利润表调整分录!$I$175:$I$1227="y",资负表及利润表调整分录!$G$175:$G$1227,0)))+未审资负表!G17,2)</f>
        <v>23891640.51</v>
      </c>
      <c r="H17" s="2229">
        <f t="array" ref="H17">ROUND(SUM(IF(资负表及利润表调整分录!$C$175:$C$1227="年初"&amp;E17,IF(资负表及利润表调整分录!$I$175:$I$1227="y",资负表及利润表调整分录!$H$175:$H$1227,0)))-SUM(IF(资负表及利润表调整分录!$C$175:$C$1227="年初"&amp;E17,IF(资负表及利润表调整分录!$I$175:$I$1227="y",资负表及利润表调整分录!$G$175:$G$1227,0)))+未审资负表!H17,2)</f>
        <v>24230483.68</v>
      </c>
    </row>
    <row r="18" ht="16.5" customHeight="1" spans="1:8">
      <c r="A18" s="2226" t="str">
        <f>IF(未审资负表!A18="","",未审资负表!A18)</f>
        <v>持有待售资产</v>
      </c>
      <c r="B18" s="2503" t="s">
        <v>1940</v>
      </c>
      <c r="C18" s="2222">
        <f t="array" ref="C18">ROUND(SUM(IF(资负表及利润表调整分录!$C$175:$C$1227=A18,IF(资负表及利润表调整分录!$I$175:$I$1227="y",资负表及利润表调整分录!$G$175:$G$1227,0)))-SUM(IF(资负表及利润表调整分录!$C$175:$C$1227=A18,IF(资负表及利润表调整分录!$I$175:$I$1227="y",资负表及利润表调整分录!$H$175:$H$1227,0)))+未审资负表!C18,2)</f>
        <v>0</v>
      </c>
      <c r="D18" s="2222">
        <f t="array" ref="D18">ROUND(SUM(IF(资负表及利润表调整分录!$C$175:$C$1227="年初"&amp;A18,IF(资负表及利润表调整分录!$I$175:$I$1227="y",资负表及利润表调整分录!$G$175:$G$1227,0)))-SUM(IF(资负表及利润表调整分录!$C$175:$C$1227="年初"&amp;A18,IF(资负表及利润表调整分录!$I$175:$I$1227="y",资负表及利润表调整分录!$H$175:$H$1227,0)))+未审资负表!D18,2)</f>
        <v>0</v>
      </c>
      <c r="E18" s="2228" t="s">
        <v>219</v>
      </c>
      <c r="F18" s="2227" t="s">
        <v>1941</v>
      </c>
      <c r="G18" s="2222">
        <f t="array" ref="G18">ROUND(SUM(IF(资负表及利润表调整分录!$C$175:$C$1227=E18,IF(资负表及利润表调整分录!$I$175:$I$1227="y",资负表及利润表调整分录!$H$175:$H$1227,0)))-SUM(IF(资负表及利润表调整分录!$C$175:$C$1227=E18,IF(资负表及利润表调整分录!$I$175:$I$1227="y",资负表及利润表调整分录!$G$175:$G$1227,0)))+未审资负表!G18,2)</f>
        <v>8287528.07</v>
      </c>
      <c r="H18" s="2229">
        <f t="array" ref="H18">ROUND(SUM(IF(资负表及利润表调整分录!$C$175:$C$1227="年初"&amp;E18,IF(资负表及利润表调整分录!$I$175:$I$1227="y",资负表及利润表调整分录!$H$175:$H$1227,0)))-SUM(IF(资负表及利润表调整分录!$C$175:$C$1227="年初"&amp;E18,IF(资负表及利润表调整分录!$I$175:$I$1227="y",资负表及利润表调整分录!$G$175:$G$1227,0)))+未审资负表!H18,2)</f>
        <v>0</v>
      </c>
    </row>
    <row r="19" ht="16.5" customHeight="1" spans="1:8">
      <c r="A19" s="2231" t="s">
        <v>220</v>
      </c>
      <c r="B19" s="2232"/>
      <c r="C19" s="2344">
        <f>ROUND(SUM(C7:C18),2)</f>
        <v>293817976.84</v>
      </c>
      <c r="D19" s="2364">
        <f>ROUND(SUM(D7:D18),2)</f>
        <v>140274569.76</v>
      </c>
      <c r="E19" s="2228" t="str">
        <f>IF(未审资负表!E19="","",未审资负表!E19)</f>
        <v>持有待售负债</v>
      </c>
      <c r="F19" s="2503" t="s">
        <v>1942</v>
      </c>
      <c r="G19" s="2222">
        <f t="array" ref="G19">ROUND(SUM(IF(资负表及利润表调整分录!$C$175:$C$1227=E19,IF(资负表及利润表调整分录!$I$175:$I$1227="y",资负表及利润表调整分录!$H$175:$H$1227,0)))-SUM(IF(资负表及利润表调整分录!$C$175:$C$1227=E19,IF(资负表及利润表调整分录!$I$175:$I$1227="y",资负表及利润表调整分录!$G$175:$G$1227,0)))+未审资负表!G19,2)</f>
        <v>0</v>
      </c>
      <c r="H19" s="2229">
        <f t="array" ref="H19">ROUND(SUM(IF(资负表及利润表调整分录!$C$175:$C$1227="年初"&amp;E19,IF(资负表及利润表调整分录!$I$175:$I$1227="y",资负表及利润表调整分录!$H$175:$H$1227,0)))-SUM(IF(资负表及利润表调整分录!$C$175:$C$1227="年初"&amp;E19,IF(资负表及利润表调整分录!$I$175:$I$1227="y",资负表及利润表调整分录!$G$175:$G$1227,0)))+未审资负表!H19,2)</f>
        <v>0</v>
      </c>
    </row>
    <row r="20" ht="16.5" customHeight="1" spans="1:8">
      <c r="A20" s="2233"/>
      <c r="B20" s="2234"/>
      <c r="C20" s="2222"/>
      <c r="D20" s="2350"/>
      <c r="E20" s="2235" t="s">
        <v>222</v>
      </c>
      <c r="F20" s="2232"/>
      <c r="G20" s="2344">
        <f>ROUND(SUM(G7:G19),2)</f>
        <v>104491321.34</v>
      </c>
      <c r="H20" s="2357">
        <f>ROUND(SUM(H7:H19),2)</f>
        <v>66341426.64</v>
      </c>
    </row>
    <row r="21" ht="16.5" customHeight="1" spans="1:8">
      <c r="A21" s="2219" t="s">
        <v>223</v>
      </c>
      <c r="B21" s="2227"/>
      <c r="C21" s="2222"/>
      <c r="D21" s="2350"/>
      <c r="E21" s="2238"/>
      <c r="F21" s="2238"/>
      <c r="G21" s="2222"/>
      <c r="H21" s="2229"/>
    </row>
    <row r="22" ht="16.5" customHeight="1" spans="1:8">
      <c r="A22" s="2226" t="s">
        <v>224</v>
      </c>
      <c r="B22" s="2227" t="s">
        <v>1943</v>
      </c>
      <c r="C22" s="2222">
        <f t="array" ref="C22">ROUND(SUM(IF(资负表及利润表调整分录!$C$175:$C$1227=A22,IF(资负表及利润表调整分录!$I$175:$I$1227="y",资负表及利润表调整分录!$G$175:$G$1227,0)))-SUM(IF(资负表及利润表调整分录!$C$175:$C$1227=A22,IF(资负表及利润表调整分录!$I$175:$I$1227="y",资负表及利润表调整分录!$H$175:$H$1227,0)))+未审资负表!C22,2)</f>
        <v>0</v>
      </c>
      <c r="D22" s="2222">
        <f t="array" ref="D22">ROUND(SUM(IF(资负表及利润表调整分录!$C$175:$C$1227="年初"&amp;A22,IF(资负表及利润表调整分录!$I$175:$I$1227="y",资负表及利润表调整分录!$G$175:$G$1227,0)))-SUM(IF(资负表及利润表调整分录!$C$175:$C$1227="年初"&amp;A22,IF(资负表及利润表调整分录!$I$175:$I$1227="y",资负表及利润表调整分录!$H$175:$H$1227,0)))+未审资负表!D22,2)</f>
        <v>0</v>
      </c>
      <c r="E22" s="2223" t="s">
        <v>225</v>
      </c>
      <c r="F22" s="2238"/>
      <c r="G22" s="2240"/>
      <c r="H22" s="2229"/>
    </row>
    <row r="23" ht="16.5" customHeight="1" spans="1:8">
      <c r="A23" s="2226" t="s">
        <v>226</v>
      </c>
      <c r="B23" s="2227" t="s">
        <v>1944</v>
      </c>
      <c r="C23" s="2222">
        <f t="array" ref="C23">ROUND(SUM(IF(资负表及利润表调整分录!$C$175:$C$1227=A23,IF(资负表及利润表调整分录!$I$175:$I$1227="y",资负表及利润表调整分录!$G$175:$G$1227,0)))-SUM(IF(资负表及利润表调整分录!$C$175:$C$1227=A23,IF(资负表及利润表调整分录!$I$175:$I$1227="y",资负表及利润表调整分录!$H$175:$H$1227,0)))+未审资负表!C23,2)</f>
        <v>0</v>
      </c>
      <c r="D23" s="2222">
        <f t="array" ref="D23">ROUND(SUM(IF(资负表及利润表调整分录!$C$175:$C$1227="年初"&amp;A23,IF(资负表及利润表调整分录!$I$175:$I$1227="y",资负表及利润表调整分录!$G$175:$G$1227,0)))-SUM(IF(资负表及利润表调整分录!$C$175:$C$1227="年初"&amp;A23,IF(资负表及利润表调整分录!$I$175:$I$1227="y",资负表及利润表调整分录!$H$175:$H$1227,0)))+未审资负表!D23,2)</f>
        <v>0</v>
      </c>
      <c r="E23" s="2228" t="s">
        <v>227</v>
      </c>
      <c r="F23" s="2227" t="s">
        <v>1945</v>
      </c>
      <c r="G23" s="2222">
        <f t="array" ref="G23">ROUND(SUM(IF(资负表及利润表调整分录!$C$175:$C$1227=E23,IF(资负表及利润表调整分录!$I$175:$I$1227="y",资负表及利润表调整分录!$H$175:$H$1227,0)))-SUM(IF(资负表及利润表调整分录!$C$175:$C$1227=E23,IF(资负表及利润表调整分录!$I$175:$I$1227="y",资负表及利润表调整分录!$G$175:$G$1227,0)))+未审资负表!G23,2)</f>
        <v>30498148.16</v>
      </c>
      <c r="H23" s="2229">
        <f t="array" ref="H23">ROUND(SUM(IF(资负表及利润表调整分录!$C$175:$C$1227="年初"&amp;E23,IF(资负表及利润表调整分录!$I$175:$I$1227="y",资负表及利润表调整分录!$H$175:$H$1227,0)))-SUM(IF(资负表及利润表调整分录!$C$175:$C$1227="年初"&amp;E23,IF(资负表及利润表调整分录!$I$175:$I$1227="y",资负表及利润表调整分录!$G$175:$G$1227,0)))+未审资负表!H23,2)</f>
        <v>48202962.97</v>
      </c>
    </row>
    <row r="24" ht="16.5" customHeight="1" spans="1:8">
      <c r="A24" s="2226" t="s">
        <v>228</v>
      </c>
      <c r="B24" s="2227" t="s">
        <v>1946</v>
      </c>
      <c r="C24" s="2222">
        <f t="array" ref="C24">ROUND(SUM(IF(资负表及利润表调整分录!$C$175:$C$1227=A24,IF(资负表及利润表调整分录!$I$175:$I$1227="y",资负表及利润表调整分录!$G$175:$G$1227,0)))-SUM(IF(资负表及利润表调整分录!$C$175:$C$1227=A24,IF(资负表及利润表调整分录!$I$175:$I$1227="y",资负表及利润表调整分录!$H$175:$H$1227,0)))+未审资负表!C24,2)</f>
        <v>71889420.62</v>
      </c>
      <c r="D24" s="2222">
        <f t="array" ref="D24">ROUND(SUM(IF(资负表及利润表调整分录!$C$175:$C$1227="年初"&amp;A24,IF(资负表及利润表调整分录!$I$175:$I$1227="y",资负表及利润表调整分录!$G$175:$G$1227,0)))-SUM(IF(资负表及利润表调整分录!$C$175:$C$1227="年初"&amp;A24,IF(资负表及利润表调整分录!$I$175:$I$1227="y",资负表及利润表调整分录!$H$175:$H$1227,0)))+未审资负表!D24,2)</f>
        <v>9658781.06</v>
      </c>
      <c r="E24" s="2228" t="s">
        <v>229</v>
      </c>
      <c r="F24" s="2227" t="s">
        <v>1947</v>
      </c>
      <c r="G24" s="2222">
        <f t="array" ref="G24">ROUND(SUM(IF(资负表及利润表调整分录!$C$175:$C$1227=E24,IF(资负表及利润表调整分录!$I$175:$I$1227="y",资负表及利润表调整分录!$H$175:$H$1227,0)))-SUM(IF(资负表及利润表调整分录!$C$175:$C$1227=E24,IF(资负表及利润表调整分录!$I$175:$I$1227="y",资负表及利润表调整分录!$G$175:$G$1227,0)))+未审资负表!G24,2)</f>
        <v>0</v>
      </c>
      <c r="H24" s="2229">
        <f t="array" ref="H24">ROUND(SUM(IF(资负表及利润表调整分录!$C$175:$C$1227="年初"&amp;E24,IF(资负表及利润表调整分录!$I$175:$I$1227="y",资负表及利润表调整分录!$H$175:$H$1227,0)))-SUM(IF(资负表及利润表调整分录!$C$175:$C$1227="年初"&amp;E24,IF(资负表及利润表调整分录!$I$175:$I$1227="y",资负表及利润表调整分录!$G$175:$G$1227,0)))+未审资负表!H24,2)</f>
        <v>0</v>
      </c>
    </row>
    <row r="25" ht="16.5" customHeight="1" spans="1:8">
      <c r="A25" s="2226" t="s">
        <v>230</v>
      </c>
      <c r="B25" s="2227" t="s">
        <v>1948</v>
      </c>
      <c r="C25" s="2222">
        <f t="array" ref="C25">ROUND(SUM(IF(资负表及利润表调整分录!$C$175:$C$1227=A25,IF(资负表及利润表调整分录!$I$175:$I$1227="y",资负表及利润表调整分录!$G$175:$G$1227,0)))-SUM(IF(资负表及利润表调整分录!$C$175:$C$1227=A25,IF(资负表及利润表调整分录!$I$175:$I$1227="y",资负表及利润表调整分录!$H$175:$H$1227,0)))+未审资负表!C25,2)</f>
        <v>4000000</v>
      </c>
      <c r="D25" s="2222">
        <f t="array" ref="D25">ROUND(SUM(IF(资负表及利润表调整分录!$C$175:$C$1227="年初"&amp;A25,IF(资负表及利润表调整分录!$I$175:$I$1227="y",资负表及利润表调整分录!$G$175:$G$1227,0)))-SUM(IF(资负表及利润表调整分录!$C$175:$C$1227="年初"&amp;A25,IF(资负表及利润表调整分录!$I$175:$I$1227="y",资负表及利润表调整分录!$H$175:$H$1227,0)))+未审资负表!D25,2)</f>
        <v>4000000</v>
      </c>
      <c r="E25" s="2228" t="s">
        <v>231</v>
      </c>
      <c r="F25" s="2227" t="s">
        <v>1949</v>
      </c>
      <c r="G25" s="2222">
        <f t="array" ref="G25">ROUND(SUM(IF(资负表及利润表调整分录!$C$175:$C$1227=E25,IF(资负表及利润表调整分录!$I$175:$I$1227="y",资负表及利润表调整分录!$H$175:$H$1227,0)))-SUM(IF(资负表及利润表调整分录!$C$175:$C$1227=E25,IF(资负表及利润表调整分录!$I$175:$I$1227="y",资负表及利润表调整分录!$G$175:$G$1227,0)))+未审资负表!G25,2)</f>
        <v>12375398.73</v>
      </c>
      <c r="H25" s="2229">
        <f t="array" ref="H25">ROUND(SUM(IF(资负表及利润表调整分录!$C$175:$C$1227="年初"&amp;E25,IF(资负表及利润表调整分录!$I$175:$I$1227="y",资负表及利润表调整分录!$H$175:$H$1227,0)))-SUM(IF(资负表及利润表调整分录!$C$175:$C$1227="年初"&amp;E25,IF(资负表及利润表调整分录!$I$175:$I$1227="y",资负表及利润表调整分录!$G$175:$G$1227,0)))+未审资负表!H25,2)</f>
        <v>18932594.8</v>
      </c>
    </row>
    <row r="26" ht="16.5" customHeight="1" spans="1:8">
      <c r="A26" s="2226" t="s">
        <v>232</v>
      </c>
      <c r="B26" s="2227" t="s">
        <v>1950</v>
      </c>
      <c r="C26" s="2222">
        <f t="array" ref="C26">ROUND(SUM(IF(资负表及利润表调整分录!$C$175:$C$1227=A26,IF(资负表及利润表调整分录!$I$175:$I$1227="y",资负表及利润表调整分录!$G$175:$G$1227,0)))-SUM(IF(资负表及利润表调整分录!$C$175:$C$1227=A26,IF(资负表及利润表调整分录!$I$175:$I$1227="y",资负表及利润表调整分录!$H$175:$H$1227,0)))+未审资负表!C26,2)</f>
        <v>0</v>
      </c>
      <c r="D26" s="2222">
        <f t="array" ref="D26">ROUND(SUM(IF(资负表及利润表调整分录!$C$175:$C$1227="年初"&amp;A26,IF(资负表及利润表调整分录!$I$175:$I$1227="y",资负表及利润表调整分录!$G$175:$G$1227,0)))-SUM(IF(资负表及利润表调整分录!$C$175:$C$1227="年初"&amp;A26,IF(资负表及利润表调整分录!$I$175:$I$1227="y",资负表及利润表调整分录!$H$175:$H$1227,0)))+未审资负表!D26,2)</f>
        <v>0</v>
      </c>
      <c r="E26" s="2228" t="s">
        <v>233</v>
      </c>
      <c r="F26" s="2227" t="s">
        <v>1951</v>
      </c>
      <c r="G26" s="2222">
        <f t="array" ref="G26">ROUND(SUM(IF(资负表及利润表调整分录!$C$175:$C$1227=E26,IF(资负表及利润表调整分录!$I$175:$I$1227="y",资负表及利润表调整分录!$H$175:$H$1227,0)))-SUM(IF(资负表及利润表调整分录!$C$175:$C$1227=E26,IF(资负表及利润表调整分录!$I$175:$I$1227="y",资负表及利润表调整分录!$G$175:$G$1227,0)))+未审资负表!G26,2)</f>
        <v>0</v>
      </c>
      <c r="H26" s="2229">
        <f t="array" ref="H26">ROUND(SUM(IF(资负表及利润表调整分录!$C$175:$C$1227="年初"&amp;E26,IF(资负表及利润表调整分录!$I$175:$I$1227="y",资负表及利润表调整分录!$H$175:$H$1227,0)))-SUM(IF(资负表及利润表调整分录!$C$175:$C$1227="年初"&amp;E26,IF(资负表及利润表调整分录!$I$175:$I$1227="y",资负表及利润表调整分录!$G$175:$G$1227,0)))+未审资负表!H26,2)</f>
        <v>0</v>
      </c>
    </row>
    <row r="27" ht="16.5" customHeight="1" spans="1:8">
      <c r="A27" s="2226" t="s">
        <v>234</v>
      </c>
      <c r="B27" s="2227" t="s">
        <v>1952</v>
      </c>
      <c r="C27" s="2222">
        <f t="array" ref="C27">ROUND(SUM(IF(资负表及利润表调整分录!$C$175:$C$1227=A27,IF(资负表及利润表调整分录!$I$175:$I$1227="y",资负表及利润表调整分录!$G$175:$G$1227,0)))-SUM(IF(资负表及利润表调整分录!$C$175:$C$1227=A27,IF(资负表及利润表调整分录!$I$175:$I$1227="y",资负表及利润表调整分录!$H$175:$H$1227,0)))+未审资负表!C27,2)</f>
        <v>63138192.37</v>
      </c>
      <c r="D27" s="2222">
        <f t="array" ref="D27">ROUND(SUM(IF(资负表及利润表调整分录!$C$175:$C$1227="年初"&amp;A27,IF(资负表及利润表调整分录!$I$175:$I$1227="y",资负表及利润表调整分录!$G$175:$G$1227,0)))-SUM(IF(资负表及利润表调整分录!$C$175:$C$1227="年初"&amp;A27,IF(资负表及利润表调整分录!$I$175:$I$1227="y",资负表及利润表调整分录!$H$175:$H$1227,0)))+未审资负表!D27,2)</f>
        <v>67613790.3</v>
      </c>
      <c r="E27" s="2228" t="s">
        <v>235</v>
      </c>
      <c r="F27" s="2227" t="s">
        <v>1953</v>
      </c>
      <c r="G27" s="2222">
        <f t="array" ref="G27">ROUND(SUM(IF(资负表及利润表调整分录!$C$175:$C$1227=E27,IF(资负表及利润表调整分录!$I$175:$I$1227="y",资负表及利润表调整分录!$H$175:$H$1227,0)))-SUM(IF(资负表及利润表调整分录!$C$175:$C$1227=E27,IF(资负表及利润表调整分录!$I$175:$I$1227="y",资负表及利润表调整分录!$G$175:$G$1227,0)))+未审资负表!G27,2)</f>
        <v>5395983.26</v>
      </c>
      <c r="H27" s="2229">
        <f t="array" ref="H27">ROUND(SUM(IF(资负表及利润表调整分录!$C$175:$C$1227="年初"&amp;E27,IF(资负表及利润表调整分录!$I$175:$I$1227="y",资负表及利润表调整分录!$H$175:$H$1227,0)))-SUM(IF(资负表及利润表调整分录!$C$175:$C$1227="年初"&amp;E27,IF(资负表及利润表调整分录!$I$175:$I$1227="y",资负表及利润表调整分录!$G$175:$G$1227,0)))+未审资负表!H27,2)</f>
        <v>450190.65</v>
      </c>
    </row>
    <row r="28" ht="16.5" customHeight="1" spans="1:8">
      <c r="A28" s="2226" t="s">
        <v>236</v>
      </c>
      <c r="B28" s="2227" t="s">
        <v>1954</v>
      </c>
      <c r="C28" s="2222">
        <f t="array" ref="C28">ROUND(SUM(IF(资负表及利润表调整分录!$C$175:$C$1227=A28,IF(资负表及利润表调整分录!$I$175:$I$1227="y",资负表及利润表调整分录!$G$175:$G$1227,0)))-SUM(IF(资负表及利润表调整分录!$C$175:$C$1227=A28,IF(资负表及利润表调整分录!$I$175:$I$1227="y",资负表及利润表调整分录!$H$175:$H$1227,0)))+未审资负表!C28,2)</f>
        <v>50697993.93</v>
      </c>
      <c r="D28" s="2222">
        <f t="array" ref="D28">ROUND(SUM(IF(资负表及利润表调整分录!$C$175:$C$1227="年初"&amp;A28,IF(资负表及利润表调整分录!$I$175:$I$1227="y",资负表及利润表调整分录!$G$175:$G$1227,0)))-SUM(IF(资负表及利润表调整分录!$C$175:$C$1227="年初"&amp;A28,IF(资负表及利润表调整分录!$I$175:$I$1227="y",资负表及利润表调整分录!$H$175:$H$1227,0)))+未审资负表!D28,2)</f>
        <v>2327419.91</v>
      </c>
      <c r="E28" s="2228" t="s">
        <v>237</v>
      </c>
      <c r="F28" s="2227" t="s">
        <v>1955</v>
      </c>
      <c r="G28" s="2222">
        <f t="array" ref="G28">ROUND(SUM(IF(资负表及利润表调整分录!$C$175:$C$1227=E28,IF(资负表及利润表调整分录!$I$175:$I$1227="y",资负表及利润表调整分录!$H$175:$H$1227,0)))-SUM(IF(资负表及利润表调整分录!$C$175:$C$1227=E28,IF(资负表及利润表调整分录!$I$175:$I$1227="y",资负表及利润表调整分录!$G$175:$G$1227,0)))+未审资负表!G28,2)</f>
        <v>0</v>
      </c>
      <c r="H28" s="2229">
        <f t="array" ref="H28">ROUND(SUM(IF(资负表及利润表调整分录!$C$175:$C$1227="年初"&amp;E28,IF(资负表及利润表调整分录!$I$175:$I$1227="y",资负表及利润表调整分录!$H$175:$H$1227,0)))-SUM(IF(资负表及利润表调整分录!$C$175:$C$1227="年初"&amp;E28,IF(资负表及利润表调整分录!$I$175:$I$1227="y",资负表及利润表调整分录!$G$175:$G$1227,0)))+未审资负表!H28,2)</f>
        <v>0</v>
      </c>
    </row>
    <row r="29" ht="16.5" customHeight="1" spans="1:8">
      <c r="A29" s="2226" t="s">
        <v>238</v>
      </c>
      <c r="B29" s="2227" t="s">
        <v>1956</v>
      </c>
      <c r="C29" s="2222">
        <f t="array" ref="C29">ROUND(SUM(IF(资负表及利润表调整分录!$C$175:$C$1227=A29,IF(资负表及利润表调整分录!$I$175:$I$1227="y",资负表及利润表调整分录!$G$175:$G$1227,0)))-SUM(IF(资负表及利润表调整分录!$C$175:$C$1227=A29,IF(资负表及利润表调整分录!$I$175:$I$1227="y",资负表及利润表调整分录!$H$175:$H$1227,0)))+未审资负表!C29,2)</f>
        <v>0</v>
      </c>
      <c r="D29" s="2222">
        <f t="array" ref="D29">ROUND(SUM(IF(资负表及利润表调整分录!$C$175:$C$1227="年初"&amp;A29,IF(资负表及利润表调整分录!$I$175:$I$1227="y",资负表及利润表调整分录!$G$175:$G$1227,0)))-SUM(IF(资负表及利润表调整分录!$C$175:$C$1227="年初"&amp;A29,IF(资负表及利润表调整分录!$I$175:$I$1227="y",资负表及利润表调整分录!$H$175:$H$1227,0)))+未审资负表!D29,2)</f>
        <v>0</v>
      </c>
      <c r="E29" s="2228" t="s">
        <v>239</v>
      </c>
      <c r="F29" s="2227" t="s">
        <v>1957</v>
      </c>
      <c r="G29" s="2222">
        <f t="array" ref="G29">ROUND(SUM(IF(资负表及利润表调整分录!$C$175:$C$1227=E29,IF(资负表及利润表调整分录!$I$175:$I$1227="y",资负表及利润表调整分录!$H$175:$H$1227,0)))-SUM(IF(资负表及利润表调整分录!$C$175:$C$1227=E29,IF(资负表及利润表调整分录!$I$175:$I$1227="y",资负表及利润表调整分录!$G$175:$G$1227,0)))+未审资负表!G29,2)</f>
        <v>0</v>
      </c>
      <c r="H29" s="2229">
        <f t="array" ref="H29">ROUND(SUM(IF(资负表及利润表调整分录!$C$175:$C$1227="年初"&amp;E29,IF(资负表及利润表调整分录!$I$175:$I$1227="y",资负表及利润表调整分录!$H$175:$H$1227,0)))-SUM(IF(资负表及利润表调整分录!$C$175:$C$1227="年初"&amp;E29,IF(资负表及利润表调整分录!$I$175:$I$1227="y",资负表及利润表调整分录!$G$175:$G$1227,0)))+未审资负表!H29,2)</f>
        <v>0</v>
      </c>
    </row>
    <row r="30" ht="16.5" customHeight="1" spans="1:8">
      <c r="A30" s="2226" t="s">
        <v>240</v>
      </c>
      <c r="B30" s="2227" t="s">
        <v>1958</v>
      </c>
      <c r="C30" s="2222">
        <f t="array" ref="C30">ROUND(SUM(IF(资负表及利润表调整分录!$C$175:$C$1227=A30,IF(资负表及利润表调整分录!$I$175:$I$1227="y",资负表及利润表调整分录!$G$175:$G$1227,0)))-SUM(IF(资负表及利润表调整分录!$C$175:$C$1227=A30,IF(资负表及利润表调整分录!$I$175:$I$1227="y",资负表及利润表调整分录!$H$175:$H$1227,0)))+未审资负表!C30,2)</f>
        <v>0</v>
      </c>
      <c r="D30" s="2222">
        <f t="array" ref="D30">ROUND(SUM(IF(资负表及利润表调整分录!$C$175:$C$1227="年初"&amp;A30,IF(资负表及利润表调整分录!$I$175:$I$1227="y",资负表及利润表调整分录!$G$175:$G$1227,0)))-SUM(IF(资负表及利润表调整分录!$C$175:$C$1227="年初"&amp;A30,IF(资负表及利润表调整分录!$I$175:$I$1227="y",资负表及利润表调整分录!$H$175:$H$1227,0)))+未审资负表!D30,2)</f>
        <v>0</v>
      </c>
      <c r="E30" s="2228" t="str">
        <f>IF(未审资负表!E30="","",未审资负表!E30)</f>
        <v>递延收益</v>
      </c>
      <c r="F30" s="2227" t="s">
        <v>78</v>
      </c>
      <c r="G30" s="2222">
        <f t="array" ref="G30">ROUND(SUM(IF(资负表及利润表调整分录!$C$175:$C$1227=E30,IF(资负表及利润表调整分录!$I$175:$I$1227="y",资负表及利润表调整分录!$H$175:$H$1227,0)))-SUM(IF(资负表及利润表调整分录!$C$175:$C$1227=E30,IF(资负表及利润表调整分录!$I$175:$I$1227="y",资负表及利润表调整分录!$G$175:$G$1227,0)))+未审资负表!G30,2)</f>
        <v>3973515.53</v>
      </c>
      <c r="H30" s="2229">
        <f t="array" ref="H30">ROUND(SUM(IF(资负表及利润表调整分录!$C$175:$C$1227="年初"&amp;E30,IF(资负表及利润表调整分录!$I$175:$I$1227="y",资负表及利润表调整分录!$H$175:$H$1227,0)))-SUM(IF(资负表及利润表调整分录!$C$175:$C$1227="年初"&amp;E30,IF(资负表及利润表调整分录!$I$175:$I$1227="y",资负表及利润表调整分录!$G$175:$G$1227,0)))+未审资负表!H30,2)</f>
        <v>2082524</v>
      </c>
    </row>
    <row r="31" ht="16.5" customHeight="1" spans="1:8">
      <c r="A31" s="2226" t="s">
        <v>242</v>
      </c>
      <c r="B31" s="2227" t="s">
        <v>1959</v>
      </c>
      <c r="C31" s="2222">
        <f t="array" ref="C31">ROUND(SUM(IF(资负表及利润表调整分录!$C$175:$C$1227=A31,IF(资负表及利润表调整分录!$I$175:$I$1227="y",资负表及利润表调整分录!$G$175:$G$1227,0)))-SUM(IF(资负表及利润表调整分录!$C$175:$C$1227=A31,IF(资负表及利润表调整分录!$I$175:$I$1227="y",资负表及利润表调整分录!$H$175:$H$1227,0)))+未审资负表!C31,2)</f>
        <v>0</v>
      </c>
      <c r="D31" s="2222">
        <f t="array" ref="D31">ROUND(SUM(IF(资负表及利润表调整分录!$C$175:$C$1227="年初"&amp;A31,IF(资负表及利润表调整分录!$I$175:$I$1227="y",资负表及利润表调整分录!$G$175:$G$1227,0)))-SUM(IF(资负表及利润表调整分录!$C$175:$C$1227="年初"&amp;A31,IF(资负表及利润表调整分录!$I$175:$I$1227="y",资负表及利润表调整分录!$H$175:$H$1227,0)))+未审资负表!D31,2)</f>
        <v>0</v>
      </c>
      <c r="E31" s="2241" t="s">
        <v>243</v>
      </c>
      <c r="F31" s="2238"/>
      <c r="G31" s="2344">
        <f>ROUND(SUM(G23:G30),2)</f>
        <v>52243045.68</v>
      </c>
      <c r="H31" s="2357">
        <f>ROUND(SUM(H23:H30),2)</f>
        <v>69668272.42</v>
      </c>
    </row>
    <row r="32" ht="16.5" customHeight="1" spans="1:8">
      <c r="A32" s="2226" t="s">
        <v>244</v>
      </c>
      <c r="B32" s="2227" t="s">
        <v>1960</v>
      </c>
      <c r="C32" s="2222">
        <f t="array" ref="C32">ROUND(SUM(IF(资负表及利润表调整分录!$C$175:$C$1227=A32,IF(资负表及利润表调整分录!$I$175:$I$1227="y",资负表及利润表调整分录!$G$175:$G$1227,0)))-SUM(IF(资负表及利润表调整分录!$C$175:$C$1227=A32,IF(资负表及利润表调整分录!$I$175:$I$1227="y",资负表及利润表调整分录!$H$175:$H$1227,0)))+未审资负表!C32,2)</f>
        <v>0</v>
      </c>
      <c r="D32" s="2222">
        <f t="array" ref="D32">ROUND(SUM(IF(资负表及利润表调整分录!$C$175:$C$1227="年初"&amp;A32,IF(资负表及利润表调整分录!$I$175:$I$1227="y",资负表及利润表调整分录!$G$175:$G$1227,0)))-SUM(IF(资负表及利润表调整分录!$C$175:$C$1227="年初"&amp;A32,IF(资负表及利润表调整分录!$I$175:$I$1227="y",资负表及利润表调整分录!$H$175:$H$1227,0)))+未审资负表!D32,2)</f>
        <v>0</v>
      </c>
      <c r="E32" s="2238"/>
      <c r="F32" s="2238"/>
      <c r="G32" s="2222"/>
      <c r="H32" s="2229"/>
    </row>
    <row r="33" ht="16.5" customHeight="1" spans="1:8">
      <c r="A33" s="2226" t="s">
        <v>245</v>
      </c>
      <c r="B33" s="2227" t="s">
        <v>1961</v>
      </c>
      <c r="C33" s="2222">
        <f t="array" ref="C33">ROUND(SUM(IF(资负表及利润表调整分录!$C$175:$C$1227=A33,IF(资负表及利润表调整分录!$I$175:$I$1227="y",资负表及利润表调整分录!$G$175:$G$1227,0)))-SUM(IF(资负表及利润表调整分录!$C$175:$C$1227=A33,IF(资负表及利润表调整分录!$I$175:$I$1227="y",资负表及利润表调整分录!$H$175:$H$1227,0)))+未审资负表!C33,2)</f>
        <v>10000</v>
      </c>
      <c r="D33" s="2222">
        <f t="array" ref="D33">ROUND(SUM(IF(资负表及利润表调整分录!$C$175:$C$1227="年初"&amp;A33,IF(资负表及利润表调整分录!$I$175:$I$1227="y",资负表及利润表调整分录!$G$175:$G$1227,0)))-SUM(IF(资负表及利润表调整分录!$C$175:$C$1227="年初"&amp;A33,IF(资负表及利润表调整分录!$I$175:$I$1227="y",资负表及利润表调整分录!$H$175:$H$1227,0)))+未审资负表!D33,2)</f>
        <v>16000</v>
      </c>
      <c r="E33" s="2241" t="s">
        <v>246</v>
      </c>
      <c r="F33" s="2238"/>
      <c r="G33" s="2344">
        <f>ROUND(G20+G31,2)</f>
        <v>156734367.02</v>
      </c>
      <c r="H33" s="2357">
        <f>ROUND(H20+H31,2)</f>
        <v>136009699.06</v>
      </c>
    </row>
    <row r="34" ht="16.5" customHeight="1" spans="1:8">
      <c r="A34" s="2226" t="s">
        <v>247</v>
      </c>
      <c r="B34" s="2227" t="s">
        <v>1961</v>
      </c>
      <c r="C34" s="2222">
        <f t="array" ref="C34">ROUND(SUM(IF(资负表及利润表调整分录!$C$175:$C$1227=A34,IF(资负表及利润表调整分录!$I$175:$I$1227="y",资负表及利润表调整分录!$G$175:$G$1227,0)))-SUM(IF(资负表及利润表调整分录!$C$175:$C$1227=A34,IF(资负表及利润表调整分录!$I$175:$I$1227="y",资负表及利润表调整分录!$H$175:$H$1227,0)))+未审资负表!C34,2)</f>
        <v>0</v>
      </c>
      <c r="D34" s="2222">
        <f t="array" ref="D34">ROUND(SUM(IF(资负表及利润表调整分录!$C$175:$C$1227="年初"&amp;A34,IF(资负表及利润表调整分录!$I$175:$I$1227="y",资负表及利润表调整分录!$G$175:$G$1227,0)))-SUM(IF(资负表及利润表调整分录!$C$175:$C$1227="年初"&amp;A34,IF(资负表及利润表调整分录!$I$175:$I$1227="y",资负表及利润表调整分录!$H$175:$H$1227,0)))+未审资负表!D34,2)</f>
        <v>0</v>
      </c>
      <c r="E34" s="2238"/>
      <c r="F34" s="2238"/>
      <c r="G34" s="2222"/>
      <c r="H34" s="2229"/>
    </row>
    <row r="35" ht="16.5" customHeight="1" spans="1:8">
      <c r="A35" s="2226" t="s">
        <v>248</v>
      </c>
      <c r="B35" s="2227" t="s">
        <v>1962</v>
      </c>
      <c r="C35" s="2222">
        <f t="array" ref="C35">ROUND(SUM(IF(资负表及利润表调整分录!$C$175:$C$1227=A35,IF(资负表及利润表调整分录!$I$175:$I$1227="y",资负表及利润表调整分录!$G$175:$G$1227,0)))-SUM(IF(资负表及利润表调整分录!$C$175:$C$1227=A35,IF(资负表及利润表调整分录!$I$175:$I$1227="y",资负表及利润表调整分录!$H$175:$H$1227,0)))+未审资负表!C35,2)</f>
        <v>0</v>
      </c>
      <c r="D35" s="2222">
        <f t="array" ref="D35">ROUND(SUM(IF(资负表及利润表调整分录!$C$175:$C$1227="年初"&amp;A35,IF(资负表及利润表调整分录!$I$175:$I$1227="y",资负表及利润表调整分录!$G$175:$G$1227,0)))-SUM(IF(资负表及利润表调整分录!$C$175:$C$1227="年初"&amp;A35,IF(资负表及利润表调整分录!$I$175:$I$1227="y",资负表及利润表调整分录!$H$175:$H$1227,0)))+未审资负表!D35,2)</f>
        <v>0</v>
      </c>
      <c r="E35" s="2242" t="s">
        <v>249</v>
      </c>
      <c r="F35" s="2238"/>
      <c r="G35" s="2222"/>
      <c r="H35" s="2229"/>
    </row>
    <row r="36" ht="16.5" customHeight="1" spans="1:8">
      <c r="A36" s="2226" t="s">
        <v>250</v>
      </c>
      <c r="B36" s="2227" t="s">
        <v>1963</v>
      </c>
      <c r="C36" s="2222">
        <f t="array" ref="C36">ROUND(SUM(IF(资负表及利润表调整分录!$C$175:$C$1227=A36,IF(资负表及利润表调整分录!$I$175:$I$1227="y",资负表及利润表调整分录!$G$175:$G$1227,0)))-SUM(IF(资负表及利润表调整分录!$C$175:$C$1227=A36,IF(资负表及利润表调整分录!$I$175:$I$1227="y",资负表及利润表调整分录!$H$175:$H$1227,0)))+未审资负表!C36,2)</f>
        <v>170458.45</v>
      </c>
      <c r="D36" s="2222">
        <f t="array" ref="D36">ROUND(SUM(IF(资负表及利润表调整分录!$C$175:$C$1227="年初"&amp;A36,IF(资负表及利润表调整分录!$I$175:$I$1227="y",资负表及利润表调整分录!$G$175:$G$1227,0)))-SUM(IF(资负表及利润表调整分录!$C$175:$C$1227="年初"&amp;A36,IF(资负表及利润表调整分录!$I$175:$I$1227="y",资负表及利润表调整分录!$H$175:$H$1227,0)))+未审资负表!D36,2)</f>
        <v>378415.02</v>
      </c>
      <c r="E36" s="2228" t="s">
        <v>251</v>
      </c>
      <c r="F36" s="2227" t="s">
        <v>1964</v>
      </c>
      <c r="G36" s="2222">
        <f t="array" ref="G36">ROUND(SUM(IF(资负表及利润表调整分录!$C$175:$C$1227=E36,IF(资负表及利润表调整分录!$I$175:$I$1227="y",资负表及利润表调整分录!$H$175:$H$1227,0)))-SUM(IF(资负表及利润表调整分录!$C$175:$C$1227=E36,IF(资负表及利润表调整分录!$I$175:$I$1227="y",资负表及利润表调整分录!$G$175:$G$1227,0)))+未审资负表!G36,2)</f>
        <v>137800000</v>
      </c>
      <c r="H36" s="2229">
        <f t="array" ref="H36">ROUND(SUM(IF(资负表及利润表调整分录!$C$175:$C$1227="年初"&amp;E36,IF(资负表及利润表调整分录!$I$175:$I$1227="y",资负表及利润表调整分录!$H$175:$H$1227,0)))-SUM(IF(资负表及利润表调整分录!$C$175:$C$1227="年初"&amp;E36,IF(资负表及利润表调整分录!$I$175:$I$1227="y",资负表及利润表调整分录!$G$175:$G$1227,0)))+未审资负表!H36,2)</f>
        <v>120000000</v>
      </c>
    </row>
    <row r="37" ht="16.5" customHeight="1" spans="1:8">
      <c r="A37" s="2226" t="s">
        <v>252</v>
      </c>
      <c r="B37" s="2227" t="s">
        <v>1955</v>
      </c>
      <c r="C37" s="2222">
        <f t="array" ref="C37">ROUND(SUM(IF(资负表及利润表调整分录!$C$175:$C$1227=A37,IF(资负表及利润表调整分录!$I$175:$I$1227="y",资负表及利润表调整分录!$G$175:$G$1227,0)))-SUM(IF(资负表及利润表调整分录!$C$175:$C$1227=A37,IF(资负表及利润表调整分录!$I$175:$I$1227="y",资负表及利润表调整分录!$H$175:$H$1227,0)))+未审资负表!C37,2)</f>
        <v>1554610.58</v>
      </c>
      <c r="D37" s="2222">
        <f t="array" ref="D37">ROUND(SUM(IF(资负表及利润表调整分录!$C$175:$C$1227="年初"&amp;A37,IF(资负表及利润表调整分录!$I$175:$I$1227="y",资负表及利润表调整分录!$G$175:$G$1227,0)))-SUM(IF(资负表及利润表调整分录!$C$175:$C$1227="年初"&amp;A37,IF(资负表及利润表调整分录!$I$175:$I$1227="y",资负表及利润表调整分录!$H$175:$H$1227,0)))+未审资负表!D37,2)</f>
        <v>810692.23</v>
      </c>
      <c r="E37" s="2228" t="s">
        <v>253</v>
      </c>
      <c r="F37" s="2227" t="s">
        <v>1965</v>
      </c>
      <c r="G37" s="2222">
        <f t="array" ref="G37">ROUND(SUM(IF(资负表及利润表调整分录!$C$175:$C$1227=E37,IF(资负表及利润表调整分录!$I$175:$I$1227="y",资负表及利润表调整分录!$H$175:$H$1227,0)))-SUM(IF(资负表及利润表调整分录!$C$175:$C$1227=E37,IF(资负表及利润表调整分录!$I$175:$I$1227="y",资负表及利润表调整分录!$G$175:$G$1227,0)))+未审资负表!G37,2)</f>
        <v>218598931.26</v>
      </c>
      <c r="H37" s="2229">
        <f t="array" ref="H37">ROUND(SUM(IF(资负表及利润表调整分录!$C$175:$C$1227="年初"&amp;E37,IF(资负表及利润表调整分录!$I$175:$I$1227="y",资负表及利润表调整分录!$H$175:$H$1227,0)))-SUM(IF(资负表及利润表调整分录!$C$175:$C$1227="年初"&amp;E37,IF(资负表及利润表调整分录!$I$175:$I$1227="y",资负表及利润表调整分录!$G$175:$G$1227,0)))+未审资负表!H37,2)</f>
        <v>5756259.26</v>
      </c>
    </row>
    <row r="38" ht="16.5" customHeight="1" spans="1:8">
      <c r="A38" s="2226" t="s">
        <v>254</v>
      </c>
      <c r="B38" s="2227" t="s">
        <v>1966</v>
      </c>
      <c r="C38" s="2222">
        <f t="array" ref="C38">ROUND(SUM(IF(资负表及利润表调整分录!$C$175:$C$1227=A38,IF(资负表及利润表调整分录!$I$175:$I$1227="y",资负表及利润表调整分录!$G$175:$G$1227,0)))-SUM(IF(资负表及利润表调整分录!$C$175:$C$1227=A38,IF(资负表及利润表调整分录!$I$175:$I$1227="y",资负表及利润表调整分录!$H$175:$H$1227,0)))+未审资负表!C38,2)</f>
        <v>0</v>
      </c>
      <c r="D38" s="2222">
        <f t="array" ref="D38">ROUND(SUM(IF(资负表及利润表调整分录!$C$175:$C$1227="年初"&amp;A38,IF(资负表及利润表调整分录!$I$175:$I$1227="y",资负表及利润表调整分录!$G$175:$G$1227,0)))-SUM(IF(资负表及利润表调整分录!$C$175:$C$1227="年初"&amp;A38,IF(资负表及利润表调整分录!$I$175:$I$1227="y",资负表及利润表调整分录!$H$175:$H$1227,0)))+未审资负表!D38,2)</f>
        <v>0</v>
      </c>
      <c r="E38" s="2228" t="s">
        <v>255</v>
      </c>
      <c r="F38" s="2227" t="s">
        <v>1967</v>
      </c>
      <c r="G38" s="2222">
        <f t="array" ref="G38">ROUND(SUM(IF(资负表及利润表调整分录!$C$175:$C$1227="库存股",IF(资负表及利润表调整分录!$I$175:$I$1227="y",资负表及利润表调整分录!$G$175:$G$1227,0)))-SUM(IF(资负表及利润表调整分录!$C$175:$C$1227="库存股",IF(资负表及利润表调整分录!$I$175:$I$1227="y",资负表及利润表调整分录!$H$175:$H$1227,0)))+未审资负表!G38,2)</f>
        <v>0</v>
      </c>
      <c r="H38" s="2229">
        <f t="array" ref="H38">ROUND(SUM(IF(资负表及利润表调整分录!$C$175:$C$1227="年初"&amp;"库存股",IF(资负表及利润表调整分录!$I$175:$I$1227="y",资负表及利润表调整分录!$G$175:$G$1227,0)))-SUM(IF(资负表及利润表调整分录!$C$175:$C$1227="年初"&amp;"库存股",IF(资负表及利润表调整分录!$I$175:$I$1227="y",资负表及利润表调整分录!$H$175:$H$1227,0)))+未审资负表!H38,2)</f>
        <v>0</v>
      </c>
    </row>
    <row r="39" ht="16.5" customHeight="1" spans="1:8">
      <c r="A39" s="2226" t="str">
        <f>IF(未审资负表!A39="","",未审资负表!A39)</f>
        <v/>
      </c>
      <c r="B39" s="2227"/>
      <c r="C39" s="2222">
        <f t="array" ref="C39">ROUND(SUM(IF(资负表及利润表调整分录!$C$175:$C$1227=A39,IF(资负表及利润表调整分录!$I$175:$I$1227="y",资负表及利润表调整分录!$G$175:$G$1227,0)))-SUM(IF(资负表及利润表调整分录!$C$175:$C$1227=A39,IF(资负表及利润表调整分录!$I$175:$I$1227="y",资负表及利润表调整分录!$H$175:$H$1227,0)))+未审资负表!C39,2)</f>
        <v>0</v>
      </c>
      <c r="D39" s="2222">
        <f t="array" ref="D39">ROUND(SUM(IF(资负表及利润表调整分录!$C$175:$C$1227="年初"&amp;A39,IF(资负表及利润表调整分录!$I$175:$I$1227="y",资负表及利润表调整分录!$G$175:$G$1227,0)))-SUM(IF(资负表及利润表调整分录!$C$175:$C$1227="年初"&amp;A39,IF(资负表及利润表调整分录!$I$175:$I$1227="y",资负表及利润表调整分录!$H$175:$H$1227,0)))+未审资负表!D39,2)</f>
        <v>0</v>
      </c>
      <c r="E39" s="2228" t="s">
        <v>256</v>
      </c>
      <c r="F39" s="2227" t="s">
        <v>1968</v>
      </c>
      <c r="G39" s="2222">
        <f t="array" ref="G39">ROUND(SUM(IF(资负表及利润表调整分录!$C$175:$C$1227=E39,IF(资负表及利润表调整分录!$I$175:$I$1227="y",资负表及利润表调整分录!$H$175:$H$1227,0)))-SUM(IF(资负表及利润表调整分录!$C$175:$C$1227=E39,IF(资负表及利润表调整分录!$I$175:$I$1227="y",资负表及利润表调整分录!$G$175:$G$1227,0)))+未审资负表!G39,2)</f>
        <v>0</v>
      </c>
      <c r="H39" s="2229">
        <f t="array" ref="H39">ROUND(SUM(IF(资负表及利润表调整分录!$C$175:$C$1227="年初"&amp;E39,IF(资负表及利润表调整分录!$I$175:$I$1227="y",资负表及利润表调整分录!$H$175:$H$1227,0)))-SUM(IF(资负表及利润表调整分录!$C$175:$C$1227="年初"&amp;E39,IF(资负表及利润表调整分录!$I$175:$I$1227="y",资负表及利润表调整分录!$G$175:$G$1227,0)))+未审资负表!H39,2)</f>
        <v>0</v>
      </c>
    </row>
    <row r="40" ht="16.5" customHeight="1" spans="1:8">
      <c r="A40" s="2231" t="s">
        <v>257</v>
      </c>
      <c r="B40" s="2234"/>
      <c r="C40" s="2344">
        <f>ROUND(SUM(C22:C39),2)</f>
        <v>191460675.95</v>
      </c>
      <c r="D40" s="2364">
        <f>ROUND(SUM(D22:D39),2)</f>
        <v>84805098.52</v>
      </c>
      <c r="E40" s="2228" t="s">
        <v>258</v>
      </c>
      <c r="F40" s="2227" t="s">
        <v>1969</v>
      </c>
      <c r="G40" s="2222">
        <f>ROUND(审定利润表!C39,2)</f>
        <v>-27854645.49</v>
      </c>
      <c r="H40" s="2229">
        <f>ROUND(审定利润表!D39,2)</f>
        <v>-36686290.04</v>
      </c>
    </row>
    <row r="41" ht="16.5" customHeight="1" spans="1:8">
      <c r="A41" s="2243"/>
      <c r="B41" s="2234"/>
      <c r="C41" s="2222"/>
      <c r="D41" s="2350"/>
      <c r="E41" s="2228" t="s">
        <v>259</v>
      </c>
      <c r="F41" s="2503"/>
      <c r="G41" s="2222">
        <f t="array" ref="G41">ROUND(SUM(IF(资负表及利润表调整分录!$C$175:$C$1227=E41,IF(资负表及利润表调整分录!$I$175:$I$1227="y",资负表及利润表调整分录!$H$175:$H$1227,0)))-SUM(IF(资负表及利润表调整分录!$C$175:$C$1227=E41,IF(资负表及利润表调整分录!$I$175:$I$1227="y",资负表及利润表调整分录!$G$175:$G$1227,0)))+未审资负表!G41,2)</f>
        <v>0</v>
      </c>
      <c r="H41" s="2229">
        <f t="array" ref="H41">ROUND(SUM(IF(资负表及利润表调整分录!$C$175:$C$1227="年初"&amp;E41,IF(资负表及利润表调整分录!$I$175:$I$1227="y",资负表及利润表调整分录!$H$175:$H$1227,0)))-SUM(IF(资负表及利润表调整分录!$C$175:$C$1227="年初"&amp;E41,IF(资负表及利润表调整分录!$I$175:$I$1227="y",资负表及利润表调整分录!$G$175:$G$1227,0)))+未审资负表!H41,2)</f>
        <v>0</v>
      </c>
    </row>
    <row r="42" ht="16.5" customHeight="1" spans="1:8">
      <c r="A42" s="2243"/>
      <c r="B42" s="2234"/>
      <c r="C42" s="2222"/>
      <c r="D42" s="2350"/>
      <c r="E42" s="2228" t="str">
        <f>IF(未审资负表!E42="","",未审资负表!E42)</f>
        <v>其他综合收益</v>
      </c>
      <c r="F42" s="2503" t="s">
        <v>1911</v>
      </c>
      <c r="G42" s="2222">
        <f t="array" ref="G42">ROUND(SUM(IF(资负表及利润表调整分录!$C$175:$C$1227=E42,IF(资负表及利润表调整分录!$I$175:$I$1227="y",资负表及利润表调整分录!$H$175:$H$1227,0)))-SUM(IF(资负表及利润表调整分录!$C$175:$C$1227=E42,IF(资负表及利润表调整分录!$I$175:$I$1227="y",资负表及利润表调整分录!$G$175:$G$1227,0)))+未审资负表!G42,2)</f>
        <v>0</v>
      </c>
      <c r="H42" s="2229">
        <f t="array" ref="H42">ROUND(SUM(IF(资负表及利润表调整分录!$C$175:$C$1227="年初"&amp;E42,IF(资负表及利润表调整分录!$I$175:$I$1227="y",资负表及利润表调整分录!$H$175:$H$1227,0)))-SUM(IF(资负表及利润表调整分录!$C$175:$C$1227="年初"&amp;E42,IF(资负表及利润表调整分录!$I$175:$I$1227="y",资负表及利润表调整分录!$G$175:$G$1227,0)))+未审资负表!H42,2)</f>
        <v>0</v>
      </c>
    </row>
    <row r="43" ht="17.25" hidden="1" customHeight="1" spans="1:8">
      <c r="A43" s="2243"/>
      <c r="B43" s="2232"/>
      <c r="C43" s="2222"/>
      <c r="D43" s="2222"/>
      <c r="E43" s="2241" t="s">
        <v>261</v>
      </c>
      <c r="F43" s="2241"/>
      <c r="G43" s="2344">
        <f>ROUND(SUM(G36:G42)-2*G38,2)</f>
        <v>328544285.77</v>
      </c>
      <c r="H43" s="2357">
        <f>ROUND(SUM(H36:H42)-2*H38,2)</f>
        <v>89069969.22</v>
      </c>
    </row>
    <row r="44" ht="17.25" hidden="1" customHeight="1" spans="1:8">
      <c r="A44" s="2243"/>
      <c r="B44" s="2234"/>
      <c r="C44" s="2222"/>
      <c r="D44" s="2222"/>
      <c r="E44" s="2238"/>
      <c r="F44" s="2238"/>
      <c r="G44" s="2239"/>
      <c r="H44" s="2229"/>
    </row>
    <row r="45" ht="17.25" hidden="1" customHeight="1" spans="1:8">
      <c r="A45" s="2243"/>
      <c r="B45" s="2234"/>
      <c r="C45" s="2222"/>
      <c r="D45" s="2222"/>
      <c r="E45" s="2228" t="s">
        <v>262</v>
      </c>
      <c r="F45" s="2244"/>
      <c r="G45" s="2245"/>
      <c r="H45" s="2246"/>
    </row>
    <row r="46" ht="16.5" customHeight="1" spans="1:8">
      <c r="A46" s="2243"/>
      <c r="B46" s="2234"/>
      <c r="C46" s="2222"/>
      <c r="D46" s="2222"/>
      <c r="E46" s="2241" t="s">
        <v>263</v>
      </c>
      <c r="F46" s="2241"/>
      <c r="G46" s="2344">
        <f>ROUND(G43+G45,2)</f>
        <v>328544285.77</v>
      </c>
      <c r="H46" s="2357">
        <f>ROUND(H43+H45,2)</f>
        <v>89069969.22</v>
      </c>
    </row>
    <row r="47" ht="16.5" customHeight="1" spans="1:8">
      <c r="A47" s="2243"/>
      <c r="B47" s="2234"/>
      <c r="C47" s="2222"/>
      <c r="D47" s="2222"/>
      <c r="E47" s="2238"/>
      <c r="F47" s="2238"/>
      <c r="G47" s="2222"/>
      <c r="H47" s="2229"/>
    </row>
    <row r="48" ht="16.5" customHeight="1" spans="1:8">
      <c r="A48" s="2247" t="s">
        <v>264</v>
      </c>
      <c r="B48" s="2248"/>
      <c r="C48" s="2345">
        <f>ROUND(C19+C40,2)</f>
        <v>485278652.79</v>
      </c>
      <c r="D48" s="2345">
        <f>ROUND(D19+D40,2)</f>
        <v>225079668.28</v>
      </c>
      <c r="E48" s="2250" t="s">
        <v>265</v>
      </c>
      <c r="F48" s="2250"/>
      <c r="G48" s="2345">
        <f>ROUND(G33+G46,2)</f>
        <v>485278652.79</v>
      </c>
      <c r="H48" s="2382">
        <f>ROUND(H33+H46,2)</f>
        <v>225079668.28</v>
      </c>
    </row>
    <row r="49" ht="1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2" stopIfTrue="1" operator="notEqual">
      <formula>""</formula>
    </cfRule>
  </conditionalFormatting>
  <conditionalFormatting sqref="C2:D2">
    <cfRule type="cellIs" dxfId="1" priority="3" stopIfTrue="1" operator="notEqual">
      <formula>0</formula>
    </cfRule>
  </conditionalFormatting>
  <hyperlinks>
    <hyperlink ref="B7" location="报表附注!E2" display="（一）"/>
    <hyperlink ref="B8" location="报表附注!E46" display="（二）"/>
    <hyperlink ref="B9" location="报表附注!E71" display="(三)"/>
    <hyperlink ref="B10" location="报表附注!E196" display="(六)"/>
    <hyperlink ref="B13" location="报表附注!E124" display="(四)"/>
    <hyperlink ref="B12" location="报表附注!E155" display="（五）"/>
    <hyperlink ref="B11" location="报表附注!E500" display="（七）"/>
    <hyperlink ref="B14" location="报表附注!E562" display="（八）"/>
    <hyperlink ref="B15" location="报表附注!E847" display="（九）"/>
    <hyperlink ref="B17" location="报表附注!E943" display="（十）"/>
    <hyperlink ref="B22" location="报表附注!E961" display="（十一）"/>
    <hyperlink ref="B23" location="报表附注!E986" display="（十二）"/>
    <hyperlink ref="B24" location="报表附注!E1014" display="（十三）"/>
    <hyperlink ref="B25" location="报表附注!E1052" display="（十五）"/>
    <hyperlink ref="B26" location="报表附注!E1101" display="（十六）"/>
    <hyperlink ref="B27" location="报表附注!F1142" display="（十七）"/>
    <hyperlink ref="B28" location="报表附注!E1226" display="（十八）"/>
    <hyperlink ref="B29" location="报表附注!E1334" display="（十九）"/>
    <hyperlink ref="B30" location="报表附注!E1351" display="（二十）"/>
    <hyperlink ref="B31" location="报表附注!E1365" display="（二十一）"/>
    <hyperlink ref="B32" location="报表附注!E1393" display="（二十二）"/>
    <hyperlink ref="B33" location="报表附注!E1418" display="（二十三）"/>
    <hyperlink ref="B34" location="报表附注!E1485" display="（二十三）"/>
    <hyperlink ref="B35" location="报表附注!E1557" display="（二十五）"/>
    <hyperlink ref="B36" location="报表附注!E1520" display="（二十四）"/>
    <hyperlink ref="B38" location="报表附注!E1582" display="（二十六）"/>
    <hyperlink ref="B37" location="报表附注!E1597" display="（二十七）"/>
    <hyperlink ref="F7" location="报表附注!E1770" display="（三十）"/>
    <hyperlink ref="F8" location="报表附注!E1796" display="（三十一）"/>
    <hyperlink ref="F9" location="报表附注!E1809" display="（三十二）"/>
    <hyperlink ref="F10" location="报表附注!E1824" display="（三十三）"/>
    <hyperlink ref="F11" location="报表附注!E1890" display="（三十四）"/>
    <hyperlink ref="F12" location="报表附注!E1952" display="(三十五)"/>
    <hyperlink ref="F13" location="报表附注!E1991" display="（三十六）"/>
    <hyperlink ref="F14" location="报表附注!E2025" display="（三十七）"/>
    <hyperlink ref="F15" location="报表附注!E2037" display="（三十八）"/>
    <hyperlink ref="F16" location="报表附注!E2062" display="（三十九）"/>
    <hyperlink ref="F17" location="报表附注!E2173" display="（四十一）"/>
    <hyperlink ref="F18" location="报表附注!E2251" display="（四十二）"/>
    <hyperlink ref="F23" location="报表附注!E2272" display="（四十三）"/>
    <hyperlink ref="F24" location="报表附注!E2313" display="（四十四）"/>
    <hyperlink ref="F25" location="报表附注!E2333" display="（四十五）"/>
    <hyperlink ref="F26" location="报表附注!E2368" display="（四十六）"/>
    <hyperlink ref="F27" location="报表附注!E2157" display="（四十）"/>
    <hyperlink ref="F29" location="报表附注!E2385" display="（四十七）"/>
    <hyperlink ref="F28" location="报表附注!E1597" display="（二十七）"/>
    <hyperlink ref="F30" location="报表附注!E3903" display="（五十四）"/>
    <hyperlink ref="F36" location="报表附注!E2401" display="（四十八）"/>
    <hyperlink ref="F37" location="报表附注!E2470" display="（五十一）"/>
    <hyperlink ref="F38" location="报表附注!E2444" display="（四十九）"/>
    <hyperlink ref="F39" location="报表附注!E2481" display="（五十二）"/>
    <hyperlink ref="F40" location="报表附注!E2493" display="（五十三）"/>
    <hyperlink ref="B18" location="报表附注!E4059" display="（六十五）"/>
    <hyperlink ref="F19" location="报表附注!E4074" display="（六十六）"/>
    <hyperlink ref="B16" location="报表附注!E4089" display="（六十七）"/>
    <hyperlink ref="F42" location="报表附注!E4038" display="（六十四）"/>
  </hyperlinks>
  <printOptions horizontalCentered="1"/>
  <pageMargins left="0.590551181102362" right="0.590551181102362" top="0.748031496062992" bottom="0.748031496062992" header="0.31496062992126" footer="0.62992125984252"/>
  <pageSetup paperSize="9" scale="93" fitToHeight="0" orientation="portrait" blackAndWhite="1"/>
  <headerFooter alignWithMargins="0">
    <oddFooter>&amp;L&amp;10企业负责人：&amp;C&amp;10会计机构负责人：&amp;R&amp;10制表人：</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40"/>
  <sheetViews>
    <sheetView showGridLines="0" showZeros="0" workbookViewId="0">
      <pane xSplit="1" ySplit="5" topLeftCell="B6" activePane="bottomRight" state="frozen"/>
      <selection/>
      <selection pane="topRight"/>
      <selection pane="bottomLeft"/>
      <selection pane="bottomRight" activeCell="A10" sqref="A10"/>
    </sheetView>
  </sheetViews>
  <sheetFormatPr defaultColWidth="9" defaultRowHeight="14.25" outlineLevelCol="3"/>
  <cols>
    <col min="1" max="1" width="38.625" customWidth="1"/>
    <col min="3" max="4" width="17" customWidth="1"/>
  </cols>
  <sheetData>
    <row r="1" ht="25.5" spans="1:4">
      <c r="A1" s="2134" t="s">
        <v>60</v>
      </c>
      <c r="B1" s="2134"/>
      <c r="C1" s="2134"/>
      <c r="D1" s="2134"/>
    </row>
    <row r="2" ht="21" customHeight="1" spans="1:4">
      <c r="A2" s="2170"/>
      <c r="B2" s="2171"/>
      <c r="C2" s="2171"/>
      <c r="D2" s="2386" t="s">
        <v>1902</v>
      </c>
    </row>
    <row r="3" ht="21" customHeight="1" spans="1:4">
      <c r="A3" s="2107" t="str">
        <f>"编制单位："&amp;参数表!C3</f>
        <v>编制单位：深圳新阳蓝光能源管理科技股份有限公司</v>
      </c>
      <c r="B3" s="2108" t="str">
        <f>参数表!D7</f>
        <v>2016年度</v>
      </c>
      <c r="C3" s="2136"/>
      <c r="D3" s="2492" t="str">
        <f>"金额单位："&amp;参数表!F11</f>
        <v>金额单位：人民币元</v>
      </c>
    </row>
    <row r="4" ht="15" spans="1:4">
      <c r="A4" s="2141" t="s">
        <v>61</v>
      </c>
      <c r="B4" s="2142" t="s">
        <v>62</v>
      </c>
      <c r="C4" s="2142" t="str">
        <f>未审利润表!C4</f>
        <v>本年金额</v>
      </c>
      <c r="D4" s="2388" t="str">
        <f>未审利润表!D4</f>
        <v>上年金额</v>
      </c>
    </row>
    <row r="5" spans="1:4">
      <c r="A5" s="2145"/>
      <c r="B5" s="2146"/>
      <c r="C5" s="2146"/>
      <c r="D5" s="2493"/>
    </row>
    <row r="6" ht="21" customHeight="1" spans="1:4">
      <c r="A6" s="2119" t="s">
        <v>77</v>
      </c>
      <c r="B6" s="2389" t="s">
        <v>78</v>
      </c>
      <c r="C6" s="2494">
        <f t="array" ref="C6">ROUND(SUM(IF(资负表及利润表调整分录!$C$175:$C$1227="营业收入",IF(资负表及利润表调整分录!$I$175:$I$1227="y",资负表及利润表调整分录!$H$175:$H$1227,0)))-SUM(IF(资负表及利润表调整分录!$C$175:$C$1227="营业收入",IF(资负表及利润表调整分录!$I$175:$I$1227="y",资负表及利润表调整分录!$G$175:$G$1227,0)))+未审利润表!$C$6,2)</f>
        <v>120097563.96</v>
      </c>
      <c r="D6" s="2495">
        <f t="array" ref="D6">ROUND(SUM(IF(资负表及利润表调整分录!$C$175:$C$1227="上年营业收入",IF(资负表及利润表调整分录!$I$175:$I$1227="y",资负表及利润表调整分录!$H$175:$H$1227,0)))-SUM(IF(资负表及利润表调整分录!$C$175:$C$1227="上年营业收入",IF(资负表及利润表调整分录!$I$175:$I$1227="y",资负表及利润表调整分录!$G$175:$G$1227,0)))+未审利润表!$D$6,2)</f>
        <v>54865717.44</v>
      </c>
    </row>
    <row r="7" ht="21" customHeight="1" spans="1:4">
      <c r="A7" s="2122" t="s">
        <v>79</v>
      </c>
      <c r="B7" s="2389" t="s">
        <v>78</v>
      </c>
      <c r="C7" s="2494">
        <f t="array" ref="C7">ROUND(SUM(IF(资负表及利润表调整分录!$C$175:$C$1227="营业成本",IF(资负表及利润表调整分录!$I$175:$I$1227="y",资负表及利润表调整分录!$G$175:$G$1227,0)))-SUM(IF(资负表及利润表调整分录!$C$175:$C$1227="营业成本",IF(资负表及利润表调整分录!$I$175:$I$1227="y",资负表及利润表调整分录!$H$175:$H$1227,0)))+未审利润表!$C$7,2)</f>
        <v>65501451.94</v>
      </c>
      <c r="D7" s="2495">
        <f t="array" ref="D7">ROUND(SUM(IF(资负表及利润表调整分录!$C$175:$C$1227="上年营业成本",IF(资负表及利润表调整分录!$I$175:$I$1227="y",资负表及利润表调整分录!$G$175:$G$1227,0)))-SUM(IF(资负表及利润表调整分录!$C$175:$C$1227="上年营业成本",IF(资负表及利润表调整分录!$I$175:$I$1227="y",资负表及利润表调整分录!$H$175:$H$1227,0)))+未审利润表!$D$7,2)</f>
        <v>29364509.85</v>
      </c>
    </row>
    <row r="8" ht="21" customHeight="1" spans="1:4">
      <c r="A8" s="2122" t="s">
        <v>80</v>
      </c>
      <c r="B8" s="2389" t="s">
        <v>81</v>
      </c>
      <c r="C8" s="2494">
        <f t="array" ref="C8">ROUND(SUM(IF(资负表及利润表调整分录!$C$175:$C$1227=TRIM(A8),IF(资负表及利润表调整分录!$I$175:$I$1227="y",资负表及利润表调整分录!$G$175:$G$1227,0)))-SUM(IF(资负表及利润表调整分录!$C$175:$C$1227=TRIM(A8),IF(资负表及利润表调整分录!$I$175:$I$1227="y",资负表及利润表调整分录!$H$175:$H$1227,0)))+未审利润表!$C8,2)</f>
        <v>373643.83</v>
      </c>
      <c r="D8" s="2495">
        <f t="array" ref="D8">ROUND(SUM(IF(资负表及利润表调整分录!$C$175:$C$1227="上年"&amp;TRIM(A8),IF(资负表及利润表调整分录!$I$175:$I$1227="y",资负表及利润表调整分录!$G$175:$G$1227,0)))-SUM(IF(资负表及利润表调整分录!$C$175:$C$1227="上年"&amp;TRIM(A8),IF(资负表及利润表调整分录!$I$175:$I$1227="y",资负表及利润表调整分录!$H$175:$H$1227,0)))+未审利润表!$D8,2)</f>
        <v>242593.74</v>
      </c>
    </row>
    <row r="9" ht="21" customHeight="1" spans="1:4">
      <c r="A9" s="2122" t="s">
        <v>82</v>
      </c>
      <c r="B9" s="2389" t="s">
        <v>83</v>
      </c>
      <c r="C9" s="2494">
        <f t="array" ref="C9">ROUND(SUM(IF(资负表及利润表调整分录!$C$175:$C$1227=TRIM(A9),IF(资负表及利润表调整分录!$I$175:$I$1227="y",资负表及利润表调整分录!$G$175:$G$1227,0)))-SUM(IF(资负表及利润表调整分录!$C$175:$C$1227=TRIM(A9),IF(资负表及利润表调整分录!$I$175:$I$1227="y",资负表及利润表调整分录!$H$175:$H$1227,0)))+未审利润表!$C9,2)</f>
        <v>11918966.31</v>
      </c>
      <c r="D9" s="2495">
        <f t="array" ref="D9">ROUND(SUM(IF(资负表及利润表调整分录!$C$175:$C$1227="上年"&amp;TRIM(A9),IF(资负表及利润表调整分录!$I$175:$I$1227="y",资负表及利润表调整分录!$G$175:$G$1227,0)))-SUM(IF(资负表及利润表调整分录!$C$175:$C$1227="上年"&amp;TRIM(A9),IF(资负表及利润表调整分录!$I$175:$I$1227="y",资负表及利润表调整分录!$H$175:$H$1227,0)))+未审利润表!$D9,2)</f>
        <v>11911652.27</v>
      </c>
    </row>
    <row r="10" ht="21" customHeight="1" spans="1:4">
      <c r="A10" s="2122" t="s">
        <v>84</v>
      </c>
      <c r="B10" s="2389" t="s">
        <v>83</v>
      </c>
      <c r="C10" s="2494">
        <f t="array" ref="C10">ROUND(SUM(IF(资负表及利润表调整分录!$C$175:$C$1227=TRIM(A10),IF(资负表及利润表调整分录!$I$175:$I$1227="y",资负表及利润表调整分录!$G$175:$G$1227,0)))-SUM(IF(资负表及利润表调整分录!$C$175:$C$1227=TRIM(A10),IF(资负表及利润表调整分录!$I$175:$I$1227="y",资负表及利润表调整分录!$H$175:$H$1227,0)))+未审利润表!$C10,2)</f>
        <v>13092697.23</v>
      </c>
      <c r="D10" s="2495">
        <f t="array" ref="D10">ROUND(SUM(IF(资负表及利润表调整分录!$C$175:$C$1227="上年"&amp;TRIM(A10),IF(资负表及利润表调整分录!$I$175:$I$1227="y",资负表及利润表调整分录!$G$175:$G$1227,0)))-SUM(IF(资负表及利润表调整分录!$C$175:$C$1227="上年"&amp;TRIM(A10),IF(资负表及利润表调整分录!$I$175:$I$1227="y",资负表及利润表调整分录!$H$175:$H$1227,0)))+未审利润表!$D10,2)</f>
        <v>18616301.28</v>
      </c>
    </row>
    <row r="11" ht="21" customHeight="1" spans="1:4">
      <c r="A11" s="2122" t="s">
        <v>85</v>
      </c>
      <c r="B11" s="2389" t="s">
        <v>83</v>
      </c>
      <c r="C11" s="2494">
        <f t="array" ref="C11">ROUND(SUM(IF(资负表及利润表调整分录!$C$175:$C$1227=TRIM(A11),IF(资负表及利润表调整分录!$I$175:$I$1227="y",资负表及利润表调整分录!$G$175:$G$1227,0)))-SUM(IF(资负表及利润表调整分录!$C$175:$C$1227=TRIM(A11),IF(资负表及利润表调整分录!$I$175:$I$1227="y",资负表及利润表调整分录!$H$175:$H$1227,0)))+未审利润表!$C11,2)</f>
        <v>17583927.65</v>
      </c>
      <c r="D11" s="2495">
        <f t="array" ref="D11">ROUND(SUM(IF(资负表及利润表调整分录!$C$175:$C$1227="上年"&amp;TRIM(A11),IF(资负表及利润表调整分录!$I$175:$I$1227="y",资负表及利润表调整分录!$G$175:$G$1227,0)))-SUM(IF(资负表及利润表调整分录!$C$175:$C$1227="上年"&amp;TRIM(A11),IF(资负表及利润表调整分录!$I$175:$I$1227="y",资负表及利润表调整分录!$H$175:$H$1227,0)))+未审利润表!$D11,2)</f>
        <v>-174505.14</v>
      </c>
    </row>
    <row r="12" ht="21" customHeight="1" spans="1:4">
      <c r="A12" s="2122" t="s">
        <v>86</v>
      </c>
      <c r="B12" s="2389" t="s">
        <v>87</v>
      </c>
      <c r="C12" s="2494">
        <f t="array" ref="C12">ROUND(SUM(IF(资负表及利润表调整分录!$C$175:$C$1227=TRIM(A12),IF(资负表及利润表调整分录!$I$175:$I$1227="y",资负表及利润表调整分录!$G$175:$G$1227,0)))-SUM(IF(资负表及利润表调整分录!$C$175:$C$1227=TRIM(A12),IF(资负表及利润表调整分录!$I$175:$I$1227="y",资负表及利润表调整分录!$H$175:$H$1227,0)))+未审利润表!$C12,2)</f>
        <v>1792140.07</v>
      </c>
      <c r="D12" s="2495">
        <f t="array" ref="D12">ROUND(SUM(IF(资负表及利润表调整分录!$C$175:$C$1227="上年"&amp;TRIM(A12),IF(资负表及利润表调整分录!$I$175:$I$1227="y",资负表及利润表调整分录!$G$175:$G$1227,0)))-SUM(IF(资负表及利润表调整分录!$C$175:$C$1227="上年"&amp;TRIM(A12),IF(资负表及利润表调整分录!$I$175:$I$1227="y",资负表及利润表调整分录!$H$175:$H$1227,0)))+未审利润表!$D12,2)</f>
        <v>4990869.42</v>
      </c>
    </row>
    <row r="13" ht="21" customHeight="1" spans="1:4">
      <c r="A13" s="2122" t="s">
        <v>88</v>
      </c>
      <c r="B13" s="2389" t="s">
        <v>89</v>
      </c>
      <c r="C13" s="2123">
        <f t="array" ref="C13">ROUND(SUM(IF(资负表及利润表调整分录!$C$175:$C$1227="公允价值变动收益",IF(资负表及利润表调整分录!$I$175:$I$1227="y",资负表及利润表调整分录!$H$175:$H$1227,0)))-SUM(IF(资负表及利润表调整分录!$C$175:$C$1227="公允价值变动收益",IF(资负表及利润表调整分录!$I$175:$I$1227="y",资负表及利润表调整分录!$G$175:$G$1227,0)))+未审利润表!$C$13,2)</f>
        <v>0</v>
      </c>
      <c r="D13" s="2495">
        <f t="array" ref="D13">ROUND(SUM(IF(资负表及利润表调整分录!$C$175:$C$1227="上年公允价值变动收益",IF(资负表及利润表调整分录!$I$175:$I$1227="y",资负表及利润表调整分录!$H$175:$H$1227,0)))-SUM(IF(资负表及利润表调整分录!$C$175:$C$1227="上年公允价值变动收益",IF(资负表及利润表调整分录!$I$175:$I$1227="y",资负表及利润表调整分录!$G$175:$G$1227,0)))+未审利润表!$D$13,2)</f>
        <v>0</v>
      </c>
    </row>
    <row r="14" ht="21" customHeight="1" spans="1:4">
      <c r="A14" s="2122" t="s">
        <v>90</v>
      </c>
      <c r="B14" s="2389" t="s">
        <v>91</v>
      </c>
      <c r="C14" s="2123">
        <f t="array" ref="C14">ROUND(SUM(IF(资负表及利润表调整分录!$C$175:$C$1227=TRIM(A14),IF(资负表及利润表调整分录!$I$175:$I$1227="y",资负表及利润表调整分录!$H$175:$H$1227,0)))-SUM(IF(资负表及利润表调整分录!$C$175:$C$1227=TRIM(A14),IF(资负表及利润表调整分录!$I$175:$I$1227="y",资负表及利润表调整分录!$G$175:$G$1227,0)))+未审利润表!$C14,2)</f>
        <v>0</v>
      </c>
      <c r="D14" s="2495">
        <f t="array" ref="D14">ROUND(SUM(IF(资负表及利润表调整分录!$C$175:$C$1227="上年"&amp;TRIM(A14),IF(资负表及利润表调整分录!$I$175:$I$1227="y",资负表及利润表调整分录!$H$175:$H$1227,0)))-SUM(IF(资负表及利润表调整分录!$C$175:$C$1227="上年"&amp;TRIM(A14),IF(资负表及利润表调整分录!$I$175:$I$1227="y",资负表及利润表调整分录!$G$175:$G$1227,0)))+未审利润表!$D14,2)</f>
        <v>0</v>
      </c>
    </row>
    <row r="15" ht="21" customHeight="1" spans="1:4">
      <c r="A15" s="2122" t="s">
        <v>92</v>
      </c>
      <c r="B15" s="2389"/>
      <c r="C15" s="2488">
        <f>ROUND(未审利润表!C15,2)</f>
        <v>0</v>
      </c>
      <c r="D15" s="2489">
        <f>ROUND(未审利润表!D15,2)</f>
        <v>0</v>
      </c>
    </row>
    <row r="16" ht="21" customHeight="1" spans="1:4">
      <c r="A16" s="2122" t="s">
        <v>1908</v>
      </c>
      <c r="B16" s="2496" t="s">
        <v>1909</v>
      </c>
      <c r="C16" s="2123">
        <f t="array" ref="C16">ROUND(SUM(IF(资负表及利润表调整分录!$C$175:$C$1227=TRIM(A16),IF(资负表及利润表调整分录!$I$175:$I$1227="y",资负表及利润表调整分录!$H$175:$H$1227,0)))-SUM(IF(资负表及利润表调整分录!$C$175:$C$1227=TRIM(A16),IF(资负表及利润表调整分录!$I$175:$I$1227="y",资负表及利润表调整分录!$G$175:$G$1227,0)))+未审利润表!$C16,2)</f>
        <v>0</v>
      </c>
      <c r="D16" s="2495">
        <f t="array" ref="D16">ROUND(SUM(IF(资负表及利润表调整分录!$C$175:$C$1227="上年"&amp;TRIM(A16),IF(资负表及利润表调整分录!$I$175:$I$1227="y",资负表及利润表调整分录!$H$175:$H$1227,0)))-SUM(IF(资负表及利润表调整分录!$C$175:$C$1227="上年"&amp;TRIM(A16),IF(资负表及利润表调整分录!$I$175:$I$1227="y",资负表及利润表调整分录!$G$175:$G$1227,0)))+未审利润表!$D16,2)</f>
        <v>0</v>
      </c>
    </row>
    <row r="17" ht="21" customHeight="1" spans="1:4">
      <c r="A17" s="2122" t="s">
        <v>93</v>
      </c>
      <c r="B17" s="2389"/>
      <c r="C17" s="2123">
        <f t="array" ref="C17">ROUND(SUM(IF(资负表及利润表调整分录!$C$175:$C$1227=TRIM(A17),IF(资负表及利润表调整分录!$I$175:$I$1227="y",资负表及利润表调整分录!$H$175:$H$1227,0)))-SUM(IF(资负表及利润表调整分录!$C$175:$C$1227=TRIM(A17),IF(资负表及利润表调整分录!$I$175:$I$1227="y",资负表及利润表调整分录!$G$175:$G$1227,0)))+未审利润表!$C17,2)</f>
        <v>0</v>
      </c>
      <c r="D17" s="2495">
        <f t="array" ref="D17">ROUND(SUM(IF(资负表及利润表调整分录!$C$175:$C$1227="上年"&amp;TRIM(A17),IF(资负表及利润表调整分录!$I$175:$I$1227="y",资负表及利润表调整分录!$H$175:$H$1227,0)))-SUM(IF(资负表及利润表调整分录!$C$175:$C$1227="上年"&amp;TRIM(A17),IF(资负表及利润表调整分录!$I$175:$I$1227="y",资负表及利润表调整分录!$G$175:$G$1227,0)))+未审利润表!$D17,2)</f>
        <v>0</v>
      </c>
    </row>
    <row r="18" ht="21" customHeight="1" spans="1:4">
      <c r="A18" s="2122" t="str">
        <f>未审利润表!A18</f>
        <v>    其他收益</v>
      </c>
      <c r="B18" s="2496" t="s">
        <v>1910</v>
      </c>
      <c r="C18" s="2123">
        <f t="array" ref="C18">ROUND(SUM(IF(资负表及利润表调整分录!$C$175:$C$1227=TRIM(A18),IF(资负表及利润表调整分录!$I$175:$I$1227="y",资负表及利润表调整分录!$H$175:$H$1227,0)))-SUM(IF(资负表及利润表调整分录!$C$175:$C$1227=TRIM(A18),IF(资负表及利润表调整分录!$I$175:$I$1227="y",资负表及利润表调整分录!$G$175:$G$1227,0)))+未审利润表!$C18,2)</f>
        <v>0</v>
      </c>
      <c r="D18" s="2495">
        <f t="array" ref="D18">ROUND(SUM(IF(资负表及利润表调整分录!$C$175:$C$1227="上年"&amp;TRIM(A18),IF(资负表及利润表调整分录!$I$175:$I$1227="y",资负表及利润表调整分录!$H$175:$H$1227,0)))-SUM(IF(资负表及利润表调整分录!$C$175:$C$1227="上年"&amp;TRIM(A18),IF(资负表及利润表调整分录!$I$175:$I$1227="y",资负表及利润表调整分录!$G$175:$G$1227,0)))+未审利润表!$D18,2)</f>
        <v>0</v>
      </c>
    </row>
    <row r="19" ht="21" customHeight="1" spans="1:4">
      <c r="A19" s="2119" t="s">
        <v>94</v>
      </c>
      <c r="B19" s="2150"/>
      <c r="C19" s="2369">
        <f>ROUND(C6-SUM(C7:C12)+SUM(C13:C14)+C16+C17+C18,2)</f>
        <v>9834736.93</v>
      </c>
      <c r="D19" s="2497">
        <f>ROUND(D6-SUM(D7:D12)+SUM(D13:D14)+D16+D17+D18,2)</f>
        <v>-10085703.98</v>
      </c>
    </row>
    <row r="20" ht="21" customHeight="1" spans="1:4">
      <c r="A20" s="2122" t="s">
        <v>95</v>
      </c>
      <c r="B20" s="2389" t="s">
        <v>96</v>
      </c>
      <c r="C20" s="2494">
        <f t="array" ref="C20">ROUND(SUM(IF(资负表及利润表调整分录!$C$175:$C$1227="营业外收入",IF(资负表及利润表调整分录!$I$175:$I$1227="y",资负表及利润表调整分录!$H$175:$H$1227,0)))-SUM(IF(资负表及利润表调整分录!$C$175:$C$1227="营业外收入",IF(资负表及利润表调整分录!$I$175:$I$1227="y",资负表及利润表调整分录!$G$175:$G$1227,0)))+未审利润表!$C$20,2)</f>
        <v>853546.58</v>
      </c>
      <c r="D20" s="2495">
        <f t="array" ref="D20">ROUND(SUM(IF(资负表及利润表调整分录!$C$175:$C$1227="上年营业外收入",IF(资负表及利润表调整分录!$I$175:$I$1227="y",资负表及利润表调整分录!$H$175:$H$1227,0)))-SUM(IF(资负表及利润表调整分录!$C$175:$C$1227="上年营业外收入",IF(资负表及利润表调整分录!$I$175:$I$1227="y",资负表及利润表调整分录!$G$175:$G$1227,0)))+未审利润表!$D$20,2)</f>
        <v>362052.92</v>
      </c>
    </row>
    <row r="21" ht="21" customHeight="1" spans="1:4">
      <c r="A21" s="2122" t="s">
        <v>97</v>
      </c>
      <c r="B21" s="2389" t="s">
        <v>98</v>
      </c>
      <c r="C21" s="2494">
        <f t="array" ref="C21">ROUND(SUM(IF(资负表及利润表调整分录!$C$175:$C$1227="营业外支出",IF(资负表及利润表调整分录!$I$175:$I$1227="y",资负表及利润表调整分录!$G$175:$G$1227,0)))-SUM(IF(资负表及利润表调整分录!$C$175:$C$1227="营业外支出",IF(资负表及利润表调整分录!$I$175:$I$1227="y",资负表及利润表调整分录!$H$175:$H$1227,0)))+未审利润表!$C$21,2)</f>
        <v>2139962.48</v>
      </c>
      <c r="D21" s="2495">
        <f t="array" ref="D21">ROUND(SUM(IF(资负表及利润表调整分录!$C$175:$C$1227="上年营业外支出",IF(资负表及利润表调整分录!$I$175:$I$1227="y",资负表及利润表调整分录!$G$175:$G$1227,0)))-SUM(IF(资负表及利润表调整分录!$C$175:$C$1227="上年营业外支出",IF(资负表及利润表调整分录!$I$175:$I$1227="y",资负表及利润表调整分录!$H$175:$H$1227,0)))+未审利润表!$D$21,2)</f>
        <v>24281.65</v>
      </c>
    </row>
    <row r="22" ht="21" customHeight="1" spans="1:4">
      <c r="A22" s="2119" t="s">
        <v>100</v>
      </c>
      <c r="B22" s="2389"/>
      <c r="C22" s="2369">
        <f>ROUND(C19+C20-C21,2)</f>
        <v>8548321.03</v>
      </c>
      <c r="D22" s="2497">
        <f>ROUND(D19+D20-D21,2)</f>
        <v>-9747932.71</v>
      </c>
    </row>
    <row r="23" ht="21" customHeight="1" spans="1:4">
      <c r="A23" s="2122" t="s">
        <v>101</v>
      </c>
      <c r="B23" s="2389" t="s">
        <v>102</v>
      </c>
      <c r="C23" s="2494">
        <f t="array" ref="C23">ROUND(SUM(IF(资负表及利润表调整分录!$C$175:$C$1227="所得税费用",IF(资负表及利润表调整分录!$I$175:$I$1227="y",资负表及利润表调整分录!$G$175:$G$1227,0)))-SUM(IF(资负表及利润表调整分录!$C$175:$C$1227="所得税费用",IF(资负表及利润表调整分录!$I$175:$I$1227="y",资负表及利润表调整分录!$H$175:$H$1227,0)))+未审利润表!$C$23,2)</f>
        <v>-283323.52</v>
      </c>
      <c r="D23" s="2495">
        <f t="array" ref="D23">ROUND(SUM(IF(资负表及利润表调整分录!$C$175:$C$1227="上年所得税费用",IF(资负表及利润表调整分录!$I$175:$I$1227="y",资负表及利润表调整分录!$G$175:$G$1227,0)))-SUM(IF(资负表及利润表调整分录!$C$175:$C$1227="上年所得税费用",IF(资负表及利润表调整分录!$I$175:$I$1227="y",资负表及利润表调整分录!$H$175:$H$1227,0)))+未审利润表!$D$23,2)</f>
        <v>842798.93</v>
      </c>
    </row>
    <row r="24" ht="21" customHeight="1" spans="1:4">
      <c r="A24" s="2119" t="s">
        <v>103</v>
      </c>
      <c r="B24" s="2389"/>
      <c r="C24" s="2369">
        <f>ROUND(C22-C23,2)</f>
        <v>8831644.55</v>
      </c>
      <c r="D24" s="2390">
        <f>ROUND(D22-D23,2)</f>
        <v>-10590731.64</v>
      </c>
    </row>
    <row r="25" ht="21" customHeight="1" spans="1:4">
      <c r="A25" s="2122" t="s">
        <v>104</v>
      </c>
      <c r="B25" s="2389"/>
      <c r="C25" s="2498">
        <f>ROUND(C24-C26,2)</f>
        <v>8831644.55</v>
      </c>
      <c r="D25" s="2499">
        <f>ROUND(D24-D26,2)</f>
        <v>-10590731.64</v>
      </c>
    </row>
    <row r="26" ht="21" customHeight="1" spans="1:4">
      <c r="A26" s="2122" t="s">
        <v>105</v>
      </c>
      <c r="B26" s="2500"/>
      <c r="C26" s="2501"/>
      <c r="D26" s="2502"/>
    </row>
    <row r="27" ht="21" customHeight="1" spans="1:4">
      <c r="A27" s="2122" t="s">
        <v>269</v>
      </c>
      <c r="B27" s="2389"/>
      <c r="C27" s="2498">
        <f>C24-C28</f>
        <v>8831644.55</v>
      </c>
      <c r="D27" s="2495">
        <f>D24-D28</f>
        <v>-10590731.64</v>
      </c>
    </row>
    <row r="28" ht="21" customHeight="1" spans="1:4">
      <c r="A28" s="2122" t="s">
        <v>270</v>
      </c>
      <c r="B28" s="2501"/>
      <c r="C28" s="2501"/>
      <c r="D28" s="2502">
        <f t="array" ref="D28">ROUND(SUM(IF(资负表及利润表调整分录!$C$175:$C$1227="上年"&amp;TRIM(A28),IF(资负表及利润表调整分录!$I$175:$I$1227="y",资负表及利润表调整分录!$H$175:$H$1227,0)))-SUM(IF(资负表及利润表调整分录!$C$175:$C$1227="上年"&amp;TRIM(A28),IF(资负表及利润表调整分录!$I$175:$I$1227="y",资负表及利润表调整分录!$G$175:$G$1227,0)))+未审利润表!$D28,2)</f>
        <v>0</v>
      </c>
    </row>
    <row r="29" ht="21" customHeight="1" spans="1:4">
      <c r="A29" s="2119" t="s">
        <v>271</v>
      </c>
      <c r="B29" s="2503" t="s">
        <v>1911</v>
      </c>
      <c r="C29" s="2123">
        <f>未审利润表!C29</f>
        <v>0</v>
      </c>
      <c r="D29" s="2495">
        <f>未审利润表!D29</f>
        <v>0</v>
      </c>
    </row>
    <row r="30" ht="21" customHeight="1" spans="1:4">
      <c r="A30" s="2119" t="s">
        <v>272</v>
      </c>
      <c r="B30" s="2150"/>
      <c r="C30" s="2370">
        <f>C29+C24</f>
        <v>8831644.55</v>
      </c>
      <c r="D30" s="2504">
        <f>D24+D29</f>
        <v>-10590731.64</v>
      </c>
    </row>
    <row r="31" ht="21" customHeight="1" spans="1:4">
      <c r="A31" s="2119" t="s">
        <v>273</v>
      </c>
      <c r="B31" s="2150"/>
      <c r="C31" s="2151"/>
      <c r="D31" s="2152"/>
    </row>
    <row r="32" ht="21" customHeight="1" spans="1:4">
      <c r="A32" s="2122" t="s">
        <v>107</v>
      </c>
      <c r="B32" s="2154"/>
      <c r="C32" s="2505"/>
      <c r="D32" s="2161"/>
    </row>
    <row r="33" ht="21" customHeight="1" spans="1:4">
      <c r="A33" s="2391" t="s">
        <v>108</v>
      </c>
      <c r="B33" s="2506"/>
      <c r="C33" s="2507"/>
      <c r="D33" s="2508"/>
    </row>
    <row r="34" ht="16.5" spans="1:4">
      <c r="A34" s="2171"/>
      <c r="B34" s="2171"/>
      <c r="C34" s="2171"/>
      <c r="D34" s="2171"/>
    </row>
    <row r="35" ht="21" customHeight="1" spans="1:4">
      <c r="A35" s="2509" t="s">
        <v>109</v>
      </c>
      <c r="B35" s="2171"/>
      <c r="C35" s="2171"/>
      <c r="D35" s="2171"/>
    </row>
    <row r="36" ht="21" customHeight="1" spans="1:4">
      <c r="A36" s="2510" t="s">
        <v>110</v>
      </c>
      <c r="B36" s="2511"/>
      <c r="C36" s="2512">
        <f>ROUND(C24,2)</f>
        <v>8831644.55</v>
      </c>
      <c r="D36" s="2513">
        <f>ROUND(D24,2)</f>
        <v>-10590731.64</v>
      </c>
    </row>
    <row r="37" ht="21" customHeight="1" spans="1:4">
      <c r="A37" s="2514" t="s">
        <v>111</v>
      </c>
      <c r="B37" s="2189"/>
      <c r="C37" s="2190">
        <f>ROUND(D39,2)</f>
        <v>-36686290.04</v>
      </c>
      <c r="D37" s="2515">
        <f t="array" ref="D37">ROUND(SUM(IF(资负表及利润表调整分录!$C$175:$C$1227="上年年初未分配利润",IF(资负表及利润表调整分录!$I$175:$I$1227="y",资负表及利润表调整分录!$H$175:$H$1227,0)))-SUM(IF(资负表及利润表调整分录!$C$175:$C$1227="上年年初未分配利润",IF(资负表及利润表调整分录!$I$175:$I$1227="y",资负表及利润表调整分录!$G$175:$G$1227,0)))+未审利润表!$D$37,2)</f>
        <v>-7295558.4</v>
      </c>
    </row>
    <row r="38" ht="21" customHeight="1" spans="1:4">
      <c r="A38" s="2514" t="s">
        <v>112</v>
      </c>
      <c r="B38" s="2189"/>
      <c r="C38" s="2516">
        <f t="array" ref="C38">ROUND(SUM(IF(资负表及利润表调整分录!$C$175:$C$1227="利润分配",IF(资负表及利润表调整分录!$I$175:$I$1227="y",资负表及利润表调整分录!$G$175:$G$1227,0)))-SUM(IF(资负表及利润表调整分录!$C$175:$C$1227="利润分配",IF(资负表及利润表调整分录!$I$175:$I$1227="y",资负表及利润表调整分录!$H$175:$H$1227,0)))+未审利润表!$C$38,2)</f>
        <v>0</v>
      </c>
      <c r="D38" s="2515">
        <f t="array" ref="D38">ROUND(SUM(IF(资负表及利润表调整分录!$C$175:$C$1227="上年利润分配",IF(资负表及利润表调整分录!$I$175:$I$1227="y",资负表及利润表调整分录!$G$175:$G$1227,0)))-SUM(IF(资负表及利润表调整分录!$C$175:$C$1227="上年利润分配",IF(资负表及利润表调整分录!$I$175:$I$1227="y",资负表及利润表调整分录!$H$175:$H$1227,0)))+未审利润表!$D$38,2)</f>
        <v>18800000</v>
      </c>
    </row>
    <row r="39" ht="21" customHeight="1" spans="1:4">
      <c r="A39" s="2517" t="s">
        <v>113</v>
      </c>
      <c r="B39" s="2518"/>
      <c r="C39" s="2519">
        <f>ROUND(C36+C37-C38,2)</f>
        <v>-27854645.49</v>
      </c>
      <c r="D39" s="2520">
        <f>ROUND(D36+D37-D38,2)</f>
        <v>-36686290.04</v>
      </c>
    </row>
    <row r="40" ht="21" customHeight="1" spans="1:4">
      <c r="A40" s="2509" t="s">
        <v>275</v>
      </c>
      <c r="B40" s="2171"/>
      <c r="C40" s="2171"/>
      <c r="D40" s="2171"/>
    </row>
  </sheetData>
  <mergeCells count="5">
    <mergeCell ref="A1:D1"/>
    <mergeCell ref="A4:A5"/>
    <mergeCell ref="B4:B5"/>
    <mergeCell ref="C4:C5"/>
    <mergeCell ref="D4:D5"/>
  </mergeCells>
  <hyperlinks>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20" location="报表附注!E2913" display="（六十一）"/>
    <hyperlink ref="B21" location="报表附注!E2979" display="（六十二）"/>
    <hyperlink ref="B23" location="报表附注!E2998" display="（六十三）"/>
    <hyperlink ref="B16" location="报表附注!E4104" display="（六十八）"/>
    <hyperlink ref="B18" location="报表附注!E4119" display="（六十九）"/>
    <hyperlink ref="B29" location="报表附注!E4038" display="（六十四）"/>
  </hyperlinks>
  <printOptions horizontalCentered="1"/>
  <pageMargins left="0.393700787401575" right="0.433070866141732" top="0.984251968503937" bottom="1.5748031496063" header="0.511811023622047" footer="1.42"/>
  <pageSetup paperSize="9" orientation="portrait" blackAndWhite="1"/>
  <headerFooter alignWithMargins="0">
    <oddFooter>&amp;L&amp;10企业负责人：&amp;C&amp;10会计机构负责人：&amp;R&amp;10制表人：</oddFooter>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85"/>
  <sheetViews>
    <sheetView showGridLines="0" showZeros="0" workbookViewId="0">
      <pane xSplit="1" ySplit="5" topLeftCell="B6" activePane="bottomRight" state="frozen"/>
      <selection/>
      <selection pane="topRight"/>
      <selection pane="bottomLeft"/>
      <selection pane="bottomRight" activeCell="H20" sqref="H20"/>
    </sheetView>
  </sheetViews>
  <sheetFormatPr defaultColWidth="9" defaultRowHeight="14.25" outlineLevelCol="3"/>
  <cols>
    <col min="1" max="1" width="47.625" customWidth="1"/>
    <col min="2" max="2" width="6" customWidth="1"/>
    <col min="3" max="4" width="15.625" customWidth="1"/>
  </cols>
  <sheetData>
    <row r="1" ht="25.5" spans="1:4">
      <c r="A1" s="2134" t="s">
        <v>115</v>
      </c>
      <c r="B1" s="2135"/>
      <c r="C1" s="2135"/>
      <c r="D1" s="2135"/>
    </row>
    <row r="2" ht="15" customHeight="1" spans="1:4">
      <c r="A2" s="2104" t="str">
        <f>IF(OR(C2&lt;&gt;0,D2&lt;&gt;"会企03表"),"对应列“期末现金及现金等价物余额”与资产负债表不符，相差：","")</f>
        <v>对应列“期末现金及现金等价物余额”与资产负债表不符，相差：</v>
      </c>
      <c r="B2" s="2136"/>
      <c r="C2" s="2105">
        <f>ROUND(C49-审定资负表!C7,2)</f>
        <v>-4158216.16</v>
      </c>
      <c r="D2" s="2137">
        <f>IF(ROUND(D49-审定资负表!D7,2)=0,"会企03表",ROUND(D49-审定资负表!D7,2))</f>
        <v>-10750015.27</v>
      </c>
    </row>
    <row r="3" ht="15" customHeight="1" spans="1:4">
      <c r="A3" s="2107" t="str">
        <f>"编制单位："&amp;参数表!C3</f>
        <v>编制单位：深圳新阳蓝光能源管理科技股份有限公司</v>
      </c>
      <c r="B3" s="2108" t="str">
        <f>参数表!D7</f>
        <v>2016年度</v>
      </c>
      <c r="C3" s="2206"/>
      <c r="D3" s="2140" t="str">
        <f>"金额单位："&amp;参数表!F11</f>
        <v>金额单位：人民币元</v>
      </c>
    </row>
    <row r="4" ht="15" spans="1:4">
      <c r="A4" s="2141" t="s">
        <v>61</v>
      </c>
      <c r="B4" s="2142" t="s">
        <v>62</v>
      </c>
      <c r="C4" s="2143" t="str">
        <f>审定利润表!C4</f>
        <v>本年金额</v>
      </c>
      <c r="D4" s="2144" t="str">
        <f>审定利润表!D4</f>
        <v>上年金额</v>
      </c>
    </row>
    <row r="5" spans="1:4">
      <c r="A5" s="2145"/>
      <c r="B5" s="2146"/>
      <c r="C5" s="2147"/>
      <c r="D5" s="2148"/>
    </row>
    <row r="6" ht="15" customHeight="1" spans="1:4">
      <c r="A6" s="2149" t="s">
        <v>116</v>
      </c>
      <c r="B6" s="2150"/>
      <c r="C6" s="2151"/>
      <c r="D6" s="2152"/>
    </row>
    <row r="7" ht="15" customHeight="1" spans="1:4">
      <c r="A7" s="2153" t="s">
        <v>117</v>
      </c>
      <c r="B7" s="2154"/>
      <c r="C7" s="2151">
        <f t="array" ref="C7">ROUND(SUM(IF(现流表调整分录!$C$110:$C$154=TRIM(A7),IF(现流表调整分录!$I$110:$I$154="y",现流表调整分录!$G$110:$G$154,0)))-SUM(IF(现流表调整分录!$C$110:$C$154=TRIM(A7),IF(现流表调整分录!$I$110:$I$154="y",现流表调整分录!$H$110:$H$154,0)))+未审现流表!C7,2)</f>
        <v>60566550.55</v>
      </c>
      <c r="D7" s="2152">
        <f t="array" ref="D7">ROUND(SUM(IF(现流表调整分录!$C$110:$C$154="上年"&amp;TRIM(A7),IF(现流表调整分录!$I$110:$I$154="y",现流表调整分录!$G$110:$G$154,0)))-SUM(IF(现流表调整分录!$C$110:$C$154="上年"&amp;TRIM(A7),IF(现流表调整分录!$I$110:$I$154="y",现流表调整分录!$H$110:$H$154,0)))+未审现流表!D7,2)</f>
        <v>0</v>
      </c>
    </row>
    <row r="8" ht="15" customHeight="1" spans="1:4">
      <c r="A8" s="2153" t="s">
        <v>118</v>
      </c>
      <c r="B8" s="2154"/>
      <c r="C8" s="2151">
        <f t="array" ref="C8">ROUND(SUM(IF(现流表调整分录!$C$110:$C$154=TRIM(A8),IF(现流表调整分录!$I$110:$I$154="y",现流表调整分录!$G$110:$G$154,0)))-SUM(IF(现流表调整分录!$C$110:$C$154=TRIM(A8),IF(现流表调整分录!$I$110:$I$154="y",现流表调整分录!$H$110:$H$154,0)))+未审现流表!C8,2)</f>
        <v>715762.64</v>
      </c>
      <c r="D8" s="2152">
        <f t="array" ref="D8">ROUND(SUM(IF(现流表调整分录!$C$110:$C$154="上年"&amp;TRIM(A8),IF(现流表调整分录!$I$110:$I$154="y",现流表调整分录!$G$110:$G$154,0)))-SUM(IF(现流表调整分录!$C$110:$C$154="上年"&amp;TRIM(A8),IF(现流表调整分录!$I$110:$I$154="y",现流表调整分录!$H$110:$H$154,0)))+未审现流表!D8,2)</f>
        <v>0</v>
      </c>
    </row>
    <row r="9" ht="15" customHeight="1" spans="1:4">
      <c r="A9" s="2153" t="s">
        <v>119</v>
      </c>
      <c r="B9" s="2099" t="s">
        <v>120</v>
      </c>
      <c r="C9" s="2151">
        <f t="array" ref="C9">ROUND(SUM(IF(现流表调整分录!$C$110:$C$154=TRIM(A9),IF(现流表调整分录!$I$110:$I$154="y",现流表调整分录!$G$110:$G$154,0)))-SUM(IF(现流表调整分录!$C$110:$C$154=TRIM(A9),IF(现流表调整分录!$I$110:$I$154="y",现流表调整分录!$H$110:$H$154,0)))+未审现流表!C9,2)</f>
        <v>15400669.23</v>
      </c>
      <c r="D9" s="2152">
        <f t="array" ref="D9">ROUND(SUM(IF(现流表调整分录!$C$110:$C$154="上年"&amp;TRIM(A9),IF(现流表调整分录!$I$110:$I$154="y",现流表调整分录!$G$110:$G$154,0)))-SUM(IF(现流表调整分录!$C$110:$C$154="上年"&amp;TRIM(A9),IF(现流表调整分录!$I$110:$I$154="y",现流表调整分录!$H$110:$H$154,0)))+未审现流表!D9,2)</f>
        <v>0</v>
      </c>
    </row>
    <row r="10" ht="15" customHeight="1" spans="1:4">
      <c r="A10" s="2155" t="s">
        <v>121</v>
      </c>
      <c r="B10" s="2150"/>
      <c r="C10" s="2369">
        <f>ROUND(SUM(C7:C9),2)</f>
        <v>76682982.42</v>
      </c>
      <c r="D10" s="2390">
        <f>ROUND(SUM(D7:D9),2)</f>
        <v>0</v>
      </c>
    </row>
    <row r="11" ht="15" customHeight="1" spans="1:4">
      <c r="A11" s="2153" t="s">
        <v>122</v>
      </c>
      <c r="B11" s="2154"/>
      <c r="C11" s="2151">
        <f t="array" ref="C11">ROUND(SUM(IF(现流表调整分录!$C$110:$C$154=TRIM(A11),IF(现流表调整分录!$I$110:$I$154="y",现流表调整分录!$H$110:$H$154,0)))-SUM(IF(现流表调整分录!$C$110:$C$154=TRIM(A11),IF(现流表调整分录!$I$110:$I$154="y",现流表调整分录!$G$110:$G$154,0)))+未审现流表!C11,2)</f>
        <v>84892237.23</v>
      </c>
      <c r="D11" s="2152">
        <f t="array" ref="D11">ROUND(SUM(IF(现流表调整分录!$C$110:$C$154="上年"&amp;TRIM(A11),IF(现流表调整分录!$I$110:$I$154="y",现流表调整分录!$H$110:$H$154,0)))-SUM(IF(现流表调整分录!$C$110:$C$154="上年"&amp;TRIM(A11),IF(现流表调整分录!$I$110:$I$154="y",现流表调整分录!$G$110:$G$154,0)))+未审现流表!D11,2)</f>
        <v>0</v>
      </c>
    </row>
    <row r="12" ht="15" customHeight="1" spans="1:4">
      <c r="A12" s="2153" t="s">
        <v>123</v>
      </c>
      <c r="B12" s="2154"/>
      <c r="C12" s="2151">
        <f t="array" ref="C12">ROUND(SUM(IF(现流表调整分录!$C$110:$C$154=TRIM(A12),IF(现流表调整分录!$I$110:$I$154="y",现流表调整分录!$H$110:$H$154,0)))-SUM(IF(现流表调整分录!$C$110:$C$154=TRIM(A12),IF(现流表调整分录!$I$110:$I$154="y",现流表调整分录!$G$110:$G$154,0)))+未审现流表!C12,2)</f>
        <v>10228960.26</v>
      </c>
      <c r="D12" s="2152">
        <f t="array" ref="D12">ROUND(SUM(IF(现流表调整分录!$C$110:$C$154="上年"&amp;TRIM(A12),IF(现流表调整分录!$I$110:$I$154="y",现流表调整分录!$H$110:$H$154,0)))-SUM(IF(现流表调整分录!$C$110:$C$154="上年"&amp;TRIM(A12),IF(现流表调整分录!$I$110:$I$154="y",现流表调整分录!$G$110:$G$154,0)))+未审现流表!D12,2)</f>
        <v>0</v>
      </c>
    </row>
    <row r="13" ht="15" customHeight="1" spans="1:4">
      <c r="A13" s="2153" t="s">
        <v>124</v>
      </c>
      <c r="B13" s="2154"/>
      <c r="C13" s="2151">
        <f t="array" ref="C13">ROUND(SUM(IF(现流表调整分录!$C$110:$C$154=TRIM(A13),IF(现流表调整分录!$I$110:$I$154="y",现流表调整分录!$H$110:$H$154,0)))-SUM(IF(现流表调整分录!$C$110:$C$154=TRIM(A13),IF(现流表调整分录!$I$110:$I$154="y",现流表调整分录!$G$110:$G$154,0)))+未审现流表!C13,2)</f>
        <v>6259149.31</v>
      </c>
      <c r="D13" s="2152">
        <f t="array" ref="D13">ROUND(SUM(IF(现流表调整分录!$C$110:$C$154="上年"&amp;TRIM(A13),IF(现流表调整分录!$I$110:$I$154="y",现流表调整分录!$H$110:$H$154,0)))-SUM(IF(现流表调整分录!$C$110:$C$154="上年"&amp;TRIM(A13),IF(现流表调整分录!$I$110:$I$154="y",现流表调整分录!$G$110:$G$154,0)))+未审现流表!D13,2)</f>
        <v>0</v>
      </c>
    </row>
    <row r="14" ht="15" customHeight="1" spans="1:4">
      <c r="A14" s="2153" t="s">
        <v>125</v>
      </c>
      <c r="B14" s="2099" t="s">
        <v>120</v>
      </c>
      <c r="C14" s="2151">
        <f t="array" ref="C14">ROUND(SUM(IF(现流表调整分录!$C$110:$C$154=TRIM(A14),IF(现流表调整分录!$I$110:$I$154="y",现流表调整分录!$H$110:$H$154,0)))-SUM(IF(现流表调整分录!$C$110:$C$154=TRIM(A14),IF(现流表调整分录!$I$110:$I$154="y",现流表调整分录!$G$110:$G$154,0)))+未审现流表!C14,2)</f>
        <v>13364186.34</v>
      </c>
      <c r="D14" s="2152">
        <f t="array" ref="D14">ROUND(SUM(IF(现流表调整分录!$C$110:$C$154="上年"&amp;TRIM(A14),IF(现流表调整分录!$I$110:$I$154="y",现流表调整分录!$H$110:$H$154,0)))-SUM(IF(现流表调整分录!$C$110:$C$154="上年"&amp;TRIM(A14),IF(现流表调整分录!$I$110:$I$154="y",现流表调整分录!$G$110:$G$154,0)))+未审现流表!D14,2)</f>
        <v>0</v>
      </c>
    </row>
    <row r="15" ht="15" customHeight="1" spans="1:4">
      <c r="A15" s="2155" t="s">
        <v>126</v>
      </c>
      <c r="B15" s="2150"/>
      <c r="C15" s="2369">
        <f>ROUND(SUM(C11:C14),2)</f>
        <v>114744533.14</v>
      </c>
      <c r="D15" s="2390">
        <f>ROUND(SUM(D11:D14),2)</f>
        <v>0</v>
      </c>
    </row>
    <row r="16" ht="15" customHeight="1" spans="1:4">
      <c r="A16" s="2155" t="s">
        <v>127</v>
      </c>
      <c r="B16" s="2150"/>
      <c r="C16" s="2369">
        <f>ROUND(C10-C15,2)</f>
        <v>-38061550.72</v>
      </c>
      <c r="D16" s="2390">
        <f>ROUND(D10-D15,2)</f>
        <v>0</v>
      </c>
    </row>
    <row r="17" ht="15" customHeight="1" spans="1:4">
      <c r="A17" s="2158"/>
      <c r="B17" s="2150"/>
      <c r="C17" s="2151"/>
      <c r="D17" s="2152"/>
    </row>
    <row r="18" ht="15" customHeight="1" spans="1:4">
      <c r="A18" s="2149" t="s">
        <v>128</v>
      </c>
      <c r="B18" s="2150"/>
      <c r="C18" s="2151"/>
      <c r="D18" s="2152"/>
    </row>
    <row r="19" ht="15" customHeight="1" spans="1:4">
      <c r="A19" s="2153" t="s">
        <v>129</v>
      </c>
      <c r="B19" s="2154"/>
      <c r="C19" s="2151">
        <f t="array" ref="C19">ROUND(SUM(IF(现流表调整分录!$C$110:$C$154=TRIM(A19),IF(现流表调整分录!$I$110:$I$154="y",现流表调整分录!$G$110:$G$154,0)))-SUM(IF(现流表调整分录!$C$110:$C$154=TRIM(A19),IF(现流表调整分录!$I$110:$I$154="y",现流表调整分录!$H$110:$H$154,0)))+未审现流表!C19,2)</f>
        <v>0</v>
      </c>
      <c r="D19" s="2152">
        <f t="array" ref="D19">ROUND(SUM(IF(现流表调整分录!$C$110:$C$154="上年"&amp;TRIM(A19),IF(现流表调整分录!$I$110:$I$154="y",现流表调整分录!$G$110:$G$154,0)))-SUM(IF(现流表调整分录!$C$110:$C$154="上年"&amp;TRIM(A19),IF(现流表调整分录!$I$110:$I$154="y",现流表调整分录!$H$110:$H$154,0)))+未审现流表!D19,2)</f>
        <v>0</v>
      </c>
    </row>
    <row r="20" ht="15" customHeight="1" spans="1:4">
      <c r="A20" s="2153" t="s">
        <v>130</v>
      </c>
      <c r="B20" s="2154"/>
      <c r="C20" s="2151">
        <f t="array" ref="C20">ROUND(SUM(IF(现流表调整分录!$C$110:$C$154=TRIM(A20),IF(现流表调整分录!$I$110:$I$154="y",现流表调整分录!$G$110:$G$154,0)))-SUM(IF(现流表调整分录!$C$110:$C$154=TRIM(A20),IF(现流表调整分录!$I$110:$I$154="y",现流表调整分录!$H$110:$H$154,0)))+未审现流表!C20,2)</f>
        <v>0</v>
      </c>
      <c r="D20" s="2152">
        <f t="array" ref="D20">ROUND(SUM(IF(现流表调整分录!$C$110:$C$154="上年"&amp;TRIM(A20),IF(现流表调整分录!$I$110:$I$154="y",现流表调整分录!$G$110:$G$154,0)))-SUM(IF(现流表调整分录!$C$110:$C$154="上年"&amp;TRIM(A20),IF(现流表调整分录!$I$110:$I$154="y",现流表调整分录!$H$110:$H$154,0)))+未审现流表!D20,2)</f>
        <v>0</v>
      </c>
    </row>
    <row r="21" ht="15" customHeight="1" spans="1:4">
      <c r="A21" s="2153" t="s">
        <v>131</v>
      </c>
      <c r="B21" s="2154"/>
      <c r="C21" s="2151">
        <f t="array" ref="C21">ROUND(SUM(IF(现流表调整分录!$C$110:$C$154=TRIM(A21),IF(现流表调整分录!$I$110:$I$154="y",现流表调整分录!$G$110:$G$154,0)))-SUM(IF(现流表调整分录!$C$110:$C$154=TRIM(A21),IF(现流表调整分录!$I$110:$I$154="y",现流表调整分录!$H$110:$H$154,0)))+未审现流表!C21,2)</f>
        <v>51129.13</v>
      </c>
      <c r="D21" s="2152">
        <f t="array" ref="D21">ROUND(SUM(IF(现流表调整分录!$C$110:$C$154="上年"&amp;TRIM(A21),IF(现流表调整分录!$I$110:$I$154="y",现流表调整分录!$G$110:$G$154,0)))-SUM(IF(现流表调整分录!$C$110:$C$154="上年"&amp;TRIM(A21),IF(现流表调整分录!$I$110:$I$154="y",现流表调整分录!$H$110:$H$154,0)))+未审现流表!D21,2)</f>
        <v>0</v>
      </c>
    </row>
    <row r="22" ht="15" customHeight="1" spans="1:4">
      <c r="A22" s="2153" t="s">
        <v>132</v>
      </c>
      <c r="B22" s="2154"/>
      <c r="C22" s="2151">
        <f t="array" ref="C22">ROUND(SUM(IF(现流表调整分录!$C$110:$C$154=TRIM(A22),IF(现流表调整分录!$I$110:$I$154="y",现流表调整分录!$G$110:$G$154,0)))-SUM(IF(现流表调整分录!$C$110:$C$154=TRIM(A22),IF(现流表调整分录!$I$110:$I$154="y",现流表调整分录!$H$110:$H$154,0)))+未审现流表!C22,2)</f>
        <v>0</v>
      </c>
      <c r="D22" s="2152">
        <f t="array" ref="D22">ROUND(SUM(IF(现流表调整分录!$C$110:$C$154="上年"&amp;TRIM(A22),IF(现流表调整分录!$I$110:$I$154="y",现流表调整分录!$G$110:$G$154,0)))-SUM(IF(现流表调整分录!$C$110:$C$154="上年"&amp;TRIM(A22),IF(现流表调整分录!$I$110:$I$154="y",现流表调整分录!$H$110:$H$154,0)))+未审现流表!D22,2)</f>
        <v>0</v>
      </c>
    </row>
    <row r="23" ht="15" customHeight="1" spans="1:4">
      <c r="A23" s="2153" t="s">
        <v>133</v>
      </c>
      <c r="B23" s="2159" t="s">
        <v>134</v>
      </c>
      <c r="C23" s="2151">
        <f t="array" ref="C23">ROUND(SUM(IF(现流表调整分录!$C$110:$C$154=TRIM(A23),IF(现流表调整分录!$I$110:$I$154="y",现流表调整分录!$G$110:$G$154,0)))-SUM(IF(现流表调整分录!$C$110:$C$154=TRIM(A23),IF(现流表调整分录!$I$110:$I$154="y",现流表调整分录!$H$110:$H$154,0)))+未审现流表!C23,2)</f>
        <v>0</v>
      </c>
      <c r="D23" s="2152">
        <f t="array" ref="D23">ROUND(SUM(IF(现流表调整分录!$C$110:$C$154="上年"&amp;TRIM(A23),IF(现流表调整分录!$I$110:$I$154="y",现流表调整分录!$G$110:$G$154,0)))-SUM(IF(现流表调整分录!$C$110:$C$154="上年"&amp;TRIM(A23),IF(现流表调整分录!$I$110:$I$154="y",现流表调整分录!$H$110:$H$154,0)))+未审现流表!D23,2)</f>
        <v>0</v>
      </c>
    </row>
    <row r="24" ht="15" customHeight="1" spans="1:4">
      <c r="A24" s="2155" t="s">
        <v>135</v>
      </c>
      <c r="B24" s="2150"/>
      <c r="C24" s="2369">
        <f>ROUND(SUM(C19:C23),2)</f>
        <v>51129.13</v>
      </c>
      <c r="D24" s="2390">
        <f>ROUND(SUM(D19:D23),2)</f>
        <v>0</v>
      </c>
    </row>
    <row r="25" ht="15" customHeight="1" spans="1:4">
      <c r="A25" s="2153" t="s">
        <v>136</v>
      </c>
      <c r="B25" s="2154"/>
      <c r="C25" s="2151">
        <f t="array" ref="C25">ROUND(SUM(IF(现流表调整分录!$C$110:$C$154=TRIM(A25),IF(现流表调整分录!$I$110:$I$154="y",现流表调整分录!$H$110:$H$154,0)))-SUM(IF(现流表调整分录!$C$110:$C$154=TRIM(A25),IF(现流表调整分录!$I$110:$I$154="y",现流表调整分录!$G$110:$G$154,0)))+未审现流表!C25,2)</f>
        <v>28946323.47</v>
      </c>
      <c r="D25" s="2152">
        <f t="array" ref="D25">ROUND(SUM(IF(现流表调整分录!$C$110:$C$154="上年"&amp;TRIM(A25),IF(现流表调整分录!$I$110:$I$154="y",现流表调整分录!$H$110:$H$154,0)))-SUM(IF(现流表调整分录!$C$110:$C$154="上年"&amp;TRIM(A25),IF(现流表调整分录!$I$110:$I$154="y",现流表调整分录!$G$110:$G$154,0)))+未审现流表!D25,2)</f>
        <v>0</v>
      </c>
    </row>
    <row r="26" ht="15" customHeight="1" spans="1:4">
      <c r="A26" s="2153" t="s">
        <v>137</v>
      </c>
      <c r="B26" s="2154"/>
      <c r="C26" s="2151">
        <f t="array" ref="C26">ROUND(SUM(IF(现流表调整分录!$C$110:$C$154=TRIM(A26),IF(现流表调整分录!$I$110:$I$154="y",现流表调整分录!$H$110:$H$154,0)))-SUM(IF(现流表调整分录!$C$110:$C$154=TRIM(A26),IF(现流表调整分录!$I$110:$I$154="y",现流表调整分录!$G$110:$G$154,0)))+未审现流表!C26,2)</f>
        <v>0</v>
      </c>
      <c r="D26" s="2152">
        <f t="array" ref="D26">ROUND(SUM(IF(现流表调整分录!$C$110:$C$154="上年"&amp;TRIM(A26),IF(现流表调整分录!$I$110:$I$154="y",现流表调整分录!$H$110:$H$154,0)))-SUM(IF(现流表调整分录!$C$110:$C$154="上年"&amp;TRIM(A26),IF(现流表调整分录!$I$110:$I$154="y",现流表调整分录!$G$110:$G$154,0)))+未审现流表!D26,2)</f>
        <v>0</v>
      </c>
    </row>
    <row r="27" ht="15" customHeight="1" spans="1:4">
      <c r="A27" s="2153" t="s">
        <v>138</v>
      </c>
      <c r="B27" s="2154"/>
      <c r="C27" s="2151">
        <f t="array" ref="C27">ROUND(SUM(IF(现流表调整分录!$C$110:$C$154=TRIM(A27),IF(现流表调整分录!$I$110:$I$154="y",现流表调整分录!$H$110:$H$154,0)))-SUM(IF(现流表调整分录!$C$110:$C$154=TRIM(A27),IF(现流表调整分录!$I$110:$I$154="y",现流表调整分录!$G$110:$G$154,0)))+未审现流表!C27,2)</f>
        <v>0</v>
      </c>
      <c r="D27" s="2152">
        <f t="array" ref="D27">ROUND(SUM(IF(现流表调整分录!$C$110:$C$154="上年"&amp;TRIM(A27),IF(现流表调整分录!$I$110:$I$154="y",现流表调整分录!$H$110:$H$154,0)))-SUM(IF(现流表调整分录!$C$110:$C$154="上年"&amp;TRIM(A27),IF(现流表调整分录!$I$110:$I$154="y",现流表调整分录!$G$110:$G$154,0)))+未审现流表!D27,2)</f>
        <v>0</v>
      </c>
    </row>
    <row r="28" ht="15" customHeight="1" spans="1:4">
      <c r="A28" s="2153" t="s">
        <v>139</v>
      </c>
      <c r="B28" s="2159" t="s">
        <v>134</v>
      </c>
      <c r="C28" s="2151">
        <f t="array" ref="C28">ROUND(SUM(IF(现流表调整分录!$C$110:$C$154=TRIM(A28),IF(现流表调整分录!$I$110:$I$154="y",现流表调整分录!$H$110:$H$154,0)))-SUM(IF(现流表调整分录!$C$110:$C$154=TRIM(A28),IF(现流表调整分录!$I$110:$I$154="y",现流表调整分录!$G$110:$G$154,0)))+未审现流表!C28,2)</f>
        <v>0</v>
      </c>
      <c r="D28" s="2152">
        <f t="array" ref="D28">ROUND(SUM(IF(现流表调整分录!$C$110:$C$154="上年"&amp;TRIM(A28),IF(现流表调整分录!$I$110:$I$154="y",现流表调整分录!$H$110:$H$154,0)))-SUM(IF(现流表调整分录!$C$110:$C$154="上年"&amp;TRIM(A28),IF(现流表调整分录!$I$110:$I$154="y",现流表调整分录!$G$110:$G$154,0)))+未审现流表!D28,2)</f>
        <v>0</v>
      </c>
    </row>
    <row r="29" ht="15" customHeight="1" spans="1:4">
      <c r="A29" s="2155" t="s">
        <v>140</v>
      </c>
      <c r="B29" s="2150"/>
      <c r="C29" s="2369">
        <f>ROUND(SUM(C25:C28),2)</f>
        <v>28946323.47</v>
      </c>
      <c r="D29" s="2390">
        <f>ROUND(SUM(D25:D28),2)</f>
        <v>0</v>
      </c>
    </row>
    <row r="30" ht="15" customHeight="1" spans="1:4">
      <c r="A30" s="2155" t="s">
        <v>141</v>
      </c>
      <c r="B30" s="2150"/>
      <c r="C30" s="2369">
        <f>ROUND(C24-C29,2)</f>
        <v>-28895194.34</v>
      </c>
      <c r="D30" s="2390">
        <f>ROUND(D24-D29,2)</f>
        <v>0</v>
      </c>
    </row>
    <row r="31" ht="15" customHeight="1" spans="1:4">
      <c r="A31" s="2160"/>
      <c r="B31" s="2150"/>
      <c r="C31" s="2151"/>
      <c r="D31" s="2152"/>
    </row>
    <row r="32" ht="15" customHeight="1" spans="1:4">
      <c r="A32" s="2149" t="s">
        <v>142</v>
      </c>
      <c r="B32" s="2150"/>
      <c r="C32" s="2151"/>
      <c r="D32" s="2152"/>
    </row>
    <row r="33" ht="15" customHeight="1" spans="1:4">
      <c r="A33" s="2153" t="s">
        <v>143</v>
      </c>
      <c r="B33" s="2154"/>
      <c r="C33" s="2151">
        <f t="array" ref="C33">ROUND(SUM(IF(现流表调整分录!$C$110:$C$154=TRIM(A33),IF(现流表调整分录!$I$110:$I$154="y",现流表调整分录!$G$110:$G$154,0)))-SUM(IF(现流表调整分录!$C$110:$C$154=TRIM(A33),IF(现流表调整分录!$I$110:$I$154="y",现流表调整分录!$H$110:$H$154,0)))+未审现流表!C33,2)</f>
        <v>230642672</v>
      </c>
      <c r="D33" s="2152">
        <f t="array" ref="D33">ROUND(SUM(IF(现流表调整分录!$C$110:$C$154="上年"&amp;TRIM(A33),IF(现流表调整分录!$I$110:$I$154="y",现流表调整分录!$G$110:$G$154,0)))-SUM(IF(现流表调整分录!$C$110:$C$154="上年"&amp;TRIM(A33),IF(现流表调整分录!$I$110:$I$154="y",现流表调整分录!$H$110:$H$154,0)))+未审现流表!D33,2)</f>
        <v>0</v>
      </c>
    </row>
    <row r="34" ht="15" hidden="1" customHeight="1" spans="1:4">
      <c r="A34" s="2153" t="s">
        <v>144</v>
      </c>
      <c r="B34" s="2154"/>
      <c r="C34" s="2151">
        <f t="array" ref="C34">ROUND(SUM(IF(现流表调整分录!$C$110:$C$154=TRIM(A34),IF(现流表调整分录!$I$110:$I$154="y",现流表调整分录!$G$110:$G$154,0)))-SUM(IF(现流表调整分录!$C$110:$C$154=TRIM(A34),IF(现流表调整分录!$I$110:$I$154="y",现流表调整分录!$H$110:$H$154,0)))+未审现流表!C34,2)</f>
        <v>0</v>
      </c>
      <c r="D34" s="2152">
        <f t="array" ref="D34">ROUND(SUM(IF(现流表调整分录!$C$110:$C$154="上年"&amp;TRIM(A34),IF(现流表调整分录!$I$110:$I$154="y",现流表调整分录!$G$110:$G$154,0)))-SUM(IF(现流表调整分录!$C$110:$C$154="上年"&amp;TRIM(A34),IF(现流表调整分录!$I$110:$I$154="y",现流表调整分录!$H$110:$H$154,0)))+未审现流表!D34,2)</f>
        <v>0</v>
      </c>
    </row>
    <row r="35" ht="15" customHeight="1" spans="1:4">
      <c r="A35" s="2153" t="s">
        <v>145</v>
      </c>
      <c r="B35" s="2154"/>
      <c r="C35" s="2151">
        <f t="array" ref="C35">ROUND(SUM(IF(现流表调整分录!$C$110:$C$154=TRIM(A35),IF(现流表调整分录!$I$110:$I$154="y",现流表调整分录!$G$110:$G$154,0)))-SUM(IF(现流表调整分录!$C$110:$C$154=TRIM(A35),IF(现流表调整分录!$I$110:$I$154="y",现流表调整分录!$H$110:$H$154,0)))+未审现流表!C35,2)</f>
        <v>31000000</v>
      </c>
      <c r="D35" s="2152">
        <f t="array" ref="D35">ROUND(SUM(IF(现流表调整分录!$C$110:$C$154="上年"&amp;TRIM(A35),IF(现流表调整分录!$I$110:$I$154="y",现流表调整分录!$G$110:$G$154,0)))-SUM(IF(现流表调整分录!$C$110:$C$154="上年"&amp;TRIM(A35),IF(现流表调整分录!$I$110:$I$154="y",现流表调整分录!$H$110:$H$154,0)))+未审现流表!D35,2)</f>
        <v>0</v>
      </c>
    </row>
    <row r="36" ht="15" customHeight="1" spans="1:4">
      <c r="A36" s="2153" t="s">
        <v>146</v>
      </c>
      <c r="B36" s="2154"/>
      <c r="C36" s="2151">
        <f t="array" ref="C36">ROUND(SUM(IF(现流表调整分录!$C$110:$C$154=TRIM(A36),IF(现流表调整分录!$I$110:$I$154="y",现流表调整分录!$G$110:$G$154,0)))-SUM(IF(现流表调整分录!$C$110:$C$154=TRIM(A36),IF(现流表调整分录!$I$110:$I$154="y",现流表调整分录!$H$110:$H$154,0)))+未审现流表!C36,2)</f>
        <v>0</v>
      </c>
      <c r="D36" s="2152">
        <f t="array" ref="D36">ROUND(SUM(IF(现流表调整分录!$C$110:$C$154="上年"&amp;TRIM(A36),IF(现流表调整分录!$I$110:$I$154="y",现流表调整分录!$G$110:$G$154,0)))-SUM(IF(现流表调整分录!$C$110:$C$154="上年"&amp;TRIM(A36),IF(现流表调整分录!$I$110:$I$154="y",现流表调整分录!$H$110:$H$154,0)))+未审现流表!D36,2)</f>
        <v>0</v>
      </c>
    </row>
    <row r="37" ht="15" customHeight="1" spans="1:4">
      <c r="A37" s="2153" t="s">
        <v>147</v>
      </c>
      <c r="B37" s="2159" t="s">
        <v>148</v>
      </c>
      <c r="C37" s="2151">
        <f t="array" ref="C37">ROUND(SUM(IF(现流表调整分录!$C$110:$C$154=TRIM(A37),IF(现流表调整分录!$I$110:$I$154="y",现流表调整分录!$G$110:$G$154,0)))-SUM(IF(现流表调整分录!$C$110:$C$154=TRIM(A37),IF(现流表调整分录!$I$110:$I$154="y",现流表调整分录!$H$110:$H$154,0)))+未审现流表!C37,2)</f>
        <v>0</v>
      </c>
      <c r="D37" s="2152">
        <f t="array" ref="D37">ROUND(SUM(IF(现流表调整分录!$C$110:$C$154="上年"&amp;TRIM(A37),IF(现流表调整分录!$I$110:$I$154="y",现流表调整分录!$G$110:$G$154,0)))-SUM(IF(现流表调整分录!$C$110:$C$154="上年"&amp;TRIM(A37),IF(现流表调整分录!$I$110:$I$154="y",现流表调整分录!$H$110:$H$154,0)))+未审现流表!D37,2)</f>
        <v>0</v>
      </c>
    </row>
    <row r="38" ht="15" customHeight="1" spans="1:4">
      <c r="A38" s="2155" t="s">
        <v>149</v>
      </c>
      <c r="B38" s="2150"/>
      <c r="C38" s="2369">
        <f>ROUND(SUM(C33:C37)-C34,2)</f>
        <v>261642672</v>
      </c>
      <c r="D38" s="2390">
        <f>ROUND(SUM(D33:D37)-D34,2)</f>
        <v>0</v>
      </c>
    </row>
    <row r="39" ht="15" customHeight="1" spans="1:4">
      <c r="A39" s="2153" t="s">
        <v>150</v>
      </c>
      <c r="B39" s="2154"/>
      <c r="C39" s="2151">
        <f t="array" ref="C39">ROUND(SUM(IF(现流表调整分录!$C$110:$C$154=TRIM(A39),IF(现流表调整分录!$I$110:$I$154="y",现流表调整分录!$H$110:$H$154,0)))-SUM(IF(现流表调整分录!$C$110:$C$154=TRIM(A39),IF(现流表调整分录!$I$110:$I$154="y",现流表调整分录!$G$110:$G$154,0)))+未审现流表!C39,2)</f>
        <v>44144814.81</v>
      </c>
      <c r="D39" s="2152">
        <f t="array" ref="D39">ROUND(SUM(IF(现流表调整分录!$C$110:$C$154="上年"&amp;TRIM(A39),IF(现流表调整分录!$I$110:$I$154="y",现流表调整分录!$H$110:$H$154,0)))-SUM(IF(现流表调整分录!$C$110:$C$154="上年"&amp;TRIM(A39),IF(现流表调整分录!$I$110:$I$154="y",现流表调整分录!$G$110:$G$154,0)))+未审现流表!D39,2)</f>
        <v>0</v>
      </c>
    </row>
    <row r="40" ht="15" customHeight="1" spans="1:4">
      <c r="A40" s="2153" t="s">
        <v>151</v>
      </c>
      <c r="B40" s="2154"/>
      <c r="C40" s="2151">
        <f t="array" ref="C40">ROUND(SUM(IF(现流表调整分录!$C$110:$C$154=TRIM(A40),IF(现流表调整分录!$I$110:$I$154="y",现流表调整分录!$H$110:$H$154,0)))-SUM(IF(现流表调整分录!$C$110:$C$154=TRIM(A40),IF(现流表调整分录!$I$110:$I$154="y",现流表调整分录!$G$110:$G$154,0)))+未审现流表!C40,2)</f>
        <v>6308223.85</v>
      </c>
      <c r="D40" s="2152">
        <f t="array" ref="D40">ROUND(SUM(IF(现流表调整分录!$C$110:$C$154="上年"&amp;TRIM(A40),IF(现流表调整分录!$I$110:$I$154="y",现流表调整分录!$H$110:$H$154,0)))-SUM(IF(现流表调整分录!$C$110:$C$154="上年"&amp;TRIM(A40),IF(现流表调整分录!$I$110:$I$154="y",现流表调整分录!$G$110:$G$154,0)))+未审现流表!D40,2)</f>
        <v>0</v>
      </c>
    </row>
    <row r="41" ht="15" hidden="1" customHeight="1" spans="1:4">
      <c r="A41" s="2153" t="s">
        <v>152</v>
      </c>
      <c r="B41" s="2154"/>
      <c r="C41" s="2151">
        <f t="array" ref="C41">ROUND(SUM(IF(现流表调整分录!$C$110:$C$154=TRIM(A41),IF(现流表调整分录!$I$110:$I$154="y",现流表调整分录!$H$110:$H$154,0)))-SUM(IF(现流表调整分录!$C$110:$C$154=TRIM(A41),IF(现流表调整分录!$I$110:$I$154="y",现流表调整分录!$G$110:$G$154,0)))+未审现流表!C41,2)</f>
        <v>0</v>
      </c>
      <c r="D41" s="2152">
        <f t="array" ref="D41">ROUND(SUM(IF(现流表调整分录!$C$110:$C$154="上年"&amp;TRIM(A41),IF(现流表调整分录!$I$110:$I$154="y",现流表调整分录!$H$110:$H$154,0)))-SUM(IF(现流表调整分录!$C$110:$C$154="上年"&amp;TRIM(A41),IF(现流表调整分录!$I$110:$I$154="y",现流表调整分录!$G$110:$G$154,0)))+未审现流表!D41,2)</f>
        <v>0</v>
      </c>
    </row>
    <row r="42" ht="15" customHeight="1" spans="1:4">
      <c r="A42" s="2153" t="s">
        <v>153</v>
      </c>
      <c r="B42" s="2159" t="s">
        <v>148</v>
      </c>
      <c r="C42" s="2151">
        <f t="array" ref="C42">ROUND(SUM(IF(现流表调整分录!$C$110:$C$154=TRIM(A42),IF(现流表调整分录!$I$110:$I$154="y",现流表调整分录!$H$110:$H$154,0)))-SUM(IF(现流表调整分录!$C$110:$C$154=TRIM(A42),IF(现流表调整分录!$I$110:$I$154="y",现流表调整分录!$G$110:$G$154,0)))+未审现流表!C42,2)</f>
        <v>10873286.42</v>
      </c>
      <c r="D42" s="2152">
        <f t="array" ref="D42">ROUND(SUM(IF(现流表调整分录!$C$110:$C$154="上年"&amp;TRIM(A42),IF(现流表调整分录!$I$110:$I$154="y",现流表调整分录!$H$110:$H$154,0)))-SUM(IF(现流表调整分录!$C$110:$C$154="上年"&amp;TRIM(A42),IF(现流表调整分录!$I$110:$I$154="y",现流表调整分录!$G$110:$G$154,0)))+未审现流表!D42,2)</f>
        <v>0</v>
      </c>
    </row>
    <row r="43" ht="15" customHeight="1" spans="1:4">
      <c r="A43" s="2155" t="s">
        <v>154</v>
      </c>
      <c r="B43" s="2150"/>
      <c r="C43" s="2369">
        <f>ROUND(SUM(C39:C42)-C41,2)</f>
        <v>61326325.08</v>
      </c>
      <c r="D43" s="2390">
        <f>ROUND(SUM(D39:D42)-D41,2)</f>
        <v>0</v>
      </c>
    </row>
    <row r="44" ht="15" customHeight="1" spans="1:4">
      <c r="A44" s="2155" t="s">
        <v>155</v>
      </c>
      <c r="B44" s="2150"/>
      <c r="C44" s="2369">
        <f>ROUND(C38-C43,2)</f>
        <v>200316346.92</v>
      </c>
      <c r="D44" s="2390">
        <f>ROUND(D38-D43,2)</f>
        <v>0</v>
      </c>
    </row>
    <row r="45" ht="15" customHeight="1" spans="1:4">
      <c r="A45" s="2160"/>
      <c r="B45" s="2150"/>
      <c r="C45" s="2151"/>
      <c r="D45" s="2152"/>
    </row>
    <row r="46" ht="15" customHeight="1" spans="1:4">
      <c r="A46" s="2149" t="s">
        <v>156</v>
      </c>
      <c r="B46" s="2154"/>
      <c r="C46" s="2151">
        <f t="array" ref="C46">ROUND(SUM(IF(现流表调整分录!$C$110:$C$154=TRIM(A46),IF(现流表调整分录!$I$110:$I$154="y",现流表调整分录!$G$110:$G$154,0)))-SUM(IF(现流表调整分录!$C$110:$C$154=TRIM(A46),IF(现流表调整分录!$I$110:$I$154="y",现流表调整分录!$H$110:$H$154,0)))+未审现流表!C46,2)</f>
        <v>32553.99</v>
      </c>
      <c r="D46" s="2152">
        <f t="array" ref="D46">ROUND(SUM(IF(现流表调整分录!$C$110:$C$154="上年"&amp;TRIM(A46),IF(现流表调整分录!$I$110:$I$154="y",现流表调整分录!$G$110:$G$154,0)))-SUM(IF(现流表调整分录!$C$110:$C$154="上年"&amp;TRIM(A46),IF(现流表调整分录!$I$110:$I$154="y",现流表调整分录!$H$110:$H$154,0)))+未审现流表!D46,2)</f>
        <v>0</v>
      </c>
    </row>
    <row r="47" ht="15" customHeight="1" spans="1:4">
      <c r="A47" s="2149" t="s">
        <v>157</v>
      </c>
      <c r="B47" s="2150"/>
      <c r="C47" s="2369">
        <f>ROUND(C16+C30+C44+C46,2)</f>
        <v>133392155.85</v>
      </c>
      <c r="D47" s="2390">
        <f>ROUND(D16+D30+D44+D46,2)</f>
        <v>0</v>
      </c>
    </row>
    <row r="48" ht="15" customHeight="1" spans="1:4">
      <c r="A48" s="2153" t="s">
        <v>158</v>
      </c>
      <c r="B48" s="2150"/>
      <c r="C48" s="2151">
        <f>ROUND(D49,2)</f>
        <v>66164760.35</v>
      </c>
      <c r="D48" s="2161">
        <f>ROUND(未审现流表!D48,2)</f>
        <v>66164760.35</v>
      </c>
    </row>
    <row r="49" ht="15" customHeight="1" spans="1:4">
      <c r="A49" s="2162" t="s">
        <v>159</v>
      </c>
      <c r="B49" s="2163"/>
      <c r="C49" s="2373">
        <f>ROUND(C47+C48,2)</f>
        <v>199556916.2</v>
      </c>
      <c r="D49" s="2478">
        <f>ROUND(D47+D48,2)</f>
        <v>66164760.35</v>
      </c>
    </row>
    <row r="50" ht="15" spans="1:4">
      <c r="A50" s="2136"/>
      <c r="B50" s="2136"/>
      <c r="C50" s="2206"/>
      <c r="D50" s="2206"/>
    </row>
    <row r="51" spans="1:4">
      <c r="A51" s="2104" t="str">
        <f>IF(OR(C51&lt;&gt;0,D51&lt;&gt;0),"主表的经营活动现金产生的流量净额与附表不符，相差：","")</f>
        <v>主表的经营活动现金产生的流量净额与附表不符，相差：</v>
      </c>
      <c r="B51" s="2136"/>
      <c r="C51" s="2105">
        <f>ROUND(C16-C72,2)</f>
        <v>7632043.24</v>
      </c>
      <c r="D51" s="2105">
        <f>ROUND(D16-D72,2)</f>
        <v>-199235970.03</v>
      </c>
    </row>
    <row r="52" ht="15" customHeight="1" spans="1:4">
      <c r="A52" s="2479" t="s">
        <v>1972</v>
      </c>
      <c r="B52" s="2136"/>
      <c r="C52" s="2206"/>
      <c r="D52" s="2206"/>
    </row>
    <row r="53" ht="15" customHeight="1" spans="1:4">
      <c r="A53" s="2480" t="s">
        <v>160</v>
      </c>
      <c r="B53" s="2136"/>
      <c r="C53" s="2206"/>
      <c r="D53" s="2206"/>
    </row>
    <row r="54" ht="15" customHeight="1" spans="1:4">
      <c r="A54" s="2481" t="s">
        <v>161</v>
      </c>
      <c r="B54" s="2142" t="s">
        <v>162</v>
      </c>
      <c r="C54" s="2482" t="str">
        <f>C4</f>
        <v>本年金额</v>
      </c>
      <c r="D54" s="2483" t="str">
        <f>D4</f>
        <v>上年金额</v>
      </c>
    </row>
    <row r="55" ht="15" customHeight="1" spans="1:4">
      <c r="A55" s="2484" t="s">
        <v>164</v>
      </c>
      <c r="B55" s="2150"/>
      <c r="C55" s="2151"/>
      <c r="D55" s="2152"/>
    </row>
    <row r="56" ht="15" customHeight="1" spans="1:4">
      <c r="A56" s="2485" t="s">
        <v>110</v>
      </c>
      <c r="B56" s="2416"/>
      <c r="C56" s="2151">
        <f>ROUND(审定利润表!C24,2)</f>
        <v>8831644.55</v>
      </c>
      <c r="D56" s="2152">
        <f>ROUND(审定利润表!D24,2)</f>
        <v>-10590731.64</v>
      </c>
    </row>
    <row r="57" ht="15" customHeight="1" spans="1:4">
      <c r="A57" s="2153" t="s">
        <v>165</v>
      </c>
      <c r="B57" s="2416"/>
      <c r="C57" s="2151">
        <f t="array" ref="C57">ROUND(SUM(IF(现流表调整分录!$C$110:$C$154="计提的资产减值准备",IF(现流表调整分录!$I$110:$I$154="y",现流表调整分录!$G$110:$G$154,0)))-SUM(IF(现流表调整分录!$C$110:$C$154="计提的资产减值准备",IF(现流表调整分录!$I$110:$I$154="y",现流表调整分录!$H$110:$H$154,0)))+未审现流表!C57,2)</f>
        <v>1895849.54</v>
      </c>
      <c r="D57" s="2152">
        <f t="array" ref="D57">ROUND(SUM(IF(现流表调整分录!$C$110:$C$154="上年计提的资产减值准备",IF(现流表调整分录!$I$110:$I$154="y",现流表调整分录!$G$110:$G$154,0)))-SUM(IF(现流表调整分录!$C$110:$C$154="上年计提的资产减值准备",IF(现流表调整分录!$I$110:$I$154="y",现流表调整分录!$H$110:$H$154,0)))+未审现流表!D57,2)</f>
        <v>4990869.42</v>
      </c>
    </row>
    <row r="58" ht="15" customHeight="1" spans="1:4">
      <c r="A58" s="2485" t="s">
        <v>166</v>
      </c>
      <c r="B58" s="2416"/>
      <c r="C58" s="2151">
        <f t="array" ref="C58">ROUND(SUM(IF(现流表调整分录!$C$110:$C$154=TRIM(A58),IF(现流表调整分录!$I$110:$I$154="y",现流表调整分录!$G$110:$G$154,0)))-SUM(IF(现流表调整分录!$C$110:$C$154=TRIM(A58),IF(现流表调整分录!$I$110:$I$154="y",现流表调整分录!$H$110:$H$154,0)))+未审现流表!C58,2)</f>
        <v>10725982.08</v>
      </c>
      <c r="D58" s="2152">
        <f t="array" ref="D58">ROUND(SUM(IF(现流表调整分录!$C$110:$C$154="上年"&amp;TRIM(A58),IF(现流表调整分录!$I$110:$I$154="y",现流表调整分录!$G$110:$G$154,0)))-SUM(IF(现流表调整分录!$C$110:$C$154="上年"&amp;TRIM(A58),IF(现流表调整分录!$I$110:$I$154="y",现流表调整分录!$H$110:$H$154,0)))+未审现流表!D58,2)</f>
        <v>0</v>
      </c>
    </row>
    <row r="59" ht="15" customHeight="1" spans="1:4">
      <c r="A59" s="2485" t="s">
        <v>167</v>
      </c>
      <c r="B59" s="2416"/>
      <c r="C59" s="2151">
        <f t="array" ref="C59">ROUND(SUM(IF(现流表调整分录!$C$110:$C$154=TRIM(A59),IF(现流表调整分录!$I$110:$I$154="y",现流表调整分录!$G$110:$G$154,0)))-SUM(IF(现流表调整分录!$C$110:$C$154=TRIM(A59),IF(现流表调整分录!$I$110:$I$154="y",现流表调整分录!$H$110:$H$154,0)))+未审现流表!C59,2)</f>
        <v>6000</v>
      </c>
      <c r="D59" s="2152">
        <f t="array" ref="D59">ROUND(SUM(IF(现流表调整分录!$C$110:$C$154="上年"&amp;TRIM(A59),IF(现流表调整分录!$I$110:$I$154="y",现流表调整分录!$G$110:$G$154,0)))-SUM(IF(现流表调整分录!$C$110:$C$154="上年"&amp;TRIM(A59),IF(现流表调整分录!$I$110:$I$154="y",现流表调整分录!$H$110:$H$154,0)))+未审现流表!D59,2)</f>
        <v>0</v>
      </c>
    </row>
    <row r="60" ht="15" customHeight="1" spans="1:4">
      <c r="A60" s="2485" t="s">
        <v>168</v>
      </c>
      <c r="B60" s="2416"/>
      <c r="C60" s="2151">
        <f t="array" ref="C60">ROUND(SUM(IF(现流表调整分录!$C$110:$C$154=TRIM(A60),IF(现流表调整分录!$I$110:$I$154="y",现流表调整分录!$G$110:$G$154,0)))-SUM(IF(现流表调整分录!$C$110:$C$154=TRIM(A60),IF(现流表调整分录!$I$110:$I$154="y",现流表调整分录!$H$110:$H$154,0)))+未审现流表!C60,2)</f>
        <v>207956.57</v>
      </c>
      <c r="D60" s="2152">
        <f t="array" ref="D60">ROUND(SUM(IF(现流表调整分录!$C$110:$C$154="上年"&amp;TRIM(A60),IF(现流表调整分录!$I$110:$I$154="y",现流表调整分录!$G$110:$G$154,0)))-SUM(IF(现流表调整分录!$C$110:$C$154="上年"&amp;TRIM(A60),IF(现流表调整分录!$I$110:$I$154="y",现流表调整分录!$H$110:$H$154,0)))+未审现流表!D60,2)</f>
        <v>0</v>
      </c>
    </row>
    <row r="61" ht="15" customHeight="1" spans="1:4">
      <c r="A61" s="2485" t="s">
        <v>169</v>
      </c>
      <c r="B61" s="2416"/>
      <c r="C61" s="2151">
        <f t="array" ref="C61">ROUND(SUM(IF(现流表调整分录!$C$110:$C$154=TRIM(A61),IF(现流表调整分录!$I$110:$I$154="y",现流表调整分录!$G$110:$G$154,0)))-SUM(IF(现流表调整分录!$C$110:$C$154=TRIM(A61),IF(现流表调整分录!$I$110:$I$154="y",现流表调整分录!$H$110:$H$154,0)))+未审现流表!C61,2)</f>
        <v>68120.1</v>
      </c>
      <c r="D61" s="2152">
        <f t="array" ref="D61">ROUND(SUM(IF(现流表调整分录!$C$110:$C$154="上年"&amp;TRIM(A61),IF(现流表调整分录!$I$110:$I$154="y",现流表调整分录!$G$110:$G$154,0)))-SUM(IF(现流表调整分录!$C$110:$C$154="上年"&amp;TRIM(A61),IF(现流表调整分录!$I$110:$I$154="y",现流表调整分录!$H$110:$H$154,0)))+未审现流表!D61,2)</f>
        <v>0</v>
      </c>
    </row>
    <row r="62" ht="15" customHeight="1" spans="1:4">
      <c r="A62" s="2485" t="s">
        <v>170</v>
      </c>
      <c r="B62" s="2416"/>
      <c r="C62" s="2151">
        <f t="array" ref="C62">ROUND(SUM(IF(现流表调整分录!$C$110:$C$154=TRIM(A62),IF(现流表调整分录!$I$110:$I$154="y",现流表调整分录!$G$110:$G$154,0)))-SUM(IF(现流表调整分录!$C$110:$C$154=TRIM(A62),IF(现流表调整分录!$I$110:$I$154="y",现流表调整分录!$H$110:$H$154,0)))+未审现流表!C62,2)</f>
        <v>0</v>
      </c>
      <c r="D62" s="2152">
        <f t="array" ref="D62">ROUND(SUM(IF(现流表调整分录!$C$110:$C$154="上年"&amp;TRIM(A62),IF(现流表调整分录!$I$110:$I$154="y",现流表调整分录!$G$110:$G$154,0)))-SUM(IF(现流表调整分录!$C$110:$C$154="上年"&amp;TRIM(A62),IF(现流表调整分录!$I$110:$I$154="y",现流表调整分录!$H$110:$H$154,0)))+未审现流表!D62,2)</f>
        <v>0</v>
      </c>
    </row>
    <row r="63" ht="15" customHeight="1" spans="1:4">
      <c r="A63" s="2485" t="s">
        <v>171</v>
      </c>
      <c r="B63" s="2416"/>
      <c r="C63" s="2151">
        <f t="array" ref="C63">ROUND(SUM(IF(现流表调整分录!$C$110:$C$154=TRIM(A63),IF(现流表调整分录!$I$110:$I$154="y",现流表调整分录!$G$110:$G$154,0)))-SUM(IF(现流表调整分录!$C$110:$C$154=TRIM(A63),IF(现流表调整分录!$I$110:$I$154="y",现流表调整分录!$H$110:$H$154,0)))+未审现流表!C63,2)</f>
        <v>0</v>
      </c>
      <c r="D63" s="2152">
        <f t="array" ref="D63">ROUND(SUM(IF(现流表调整分录!$C$110:$C$154="上年"&amp;TRIM(A63),IF(现流表调整分录!$I$110:$I$154="y",现流表调整分录!$G$110:$G$154,0)))-SUM(IF(现流表调整分录!$C$110:$C$154="上年"&amp;TRIM(A63),IF(现流表调整分录!$I$110:$I$154="y",现流表调整分录!$H$110:$H$154,0)))+未审现流表!D63,2)</f>
        <v>0</v>
      </c>
    </row>
    <row r="64" ht="15" customHeight="1" spans="1:4">
      <c r="A64" s="2485" t="s">
        <v>85</v>
      </c>
      <c r="B64" s="2416"/>
      <c r="C64" s="2151">
        <f t="array" ref="C64">ROUND(SUM(IF(现流表调整分录!$C$110:$C$154=TRIM(A64),IF(现流表调整分录!$I$110:$I$154="y",现流表调整分录!$G$110:$G$154,0)))-SUM(IF(现流表调整分录!$C$110:$C$154=TRIM(A64),IF(现流表调整分录!$I$110:$I$154="y",现流表调整分录!$H$110:$H$154,0)))+未审现流表!C64,2)</f>
        <v>18267390.45</v>
      </c>
      <c r="D64" s="2152">
        <f t="array" ref="D64">ROUND(SUM(IF(现流表调整分录!$C$110:$C$154="上年"&amp;TRIM(A64),IF(现流表调整分录!$I$110:$I$154="y",现流表调整分录!$G$110:$G$154,0)))-SUM(IF(现流表调整分录!$C$110:$C$154="上年"&amp;TRIM(A64),IF(现流表调整分录!$I$110:$I$154="y",现流表调整分录!$H$110:$H$154,0)))+未审现流表!D64,2)</f>
        <v>6623057.53</v>
      </c>
    </row>
    <row r="65" ht="15" customHeight="1" spans="1:4">
      <c r="A65" s="2485" t="s">
        <v>172</v>
      </c>
      <c r="B65" s="2416"/>
      <c r="C65" s="2151">
        <f t="array" ref="C65">ROUND(SUM(IF(现流表调整分录!$C$110:$C$154=TRIM(A65),IF(现流表调整分录!$I$110:$I$154="y",现流表调整分录!$G$110:$G$154,0)))-SUM(IF(现流表调整分录!$C$110:$C$154=TRIM(A65),IF(现流表调整分录!$I$110:$I$154="y",现流表调整分录!$H$110:$H$154,0)))+未审现流表!C65,2)</f>
        <v>0</v>
      </c>
      <c r="D65" s="2152">
        <f t="array" ref="D65">ROUND(SUM(IF(现流表调整分录!$C$110:$C$154="上年"&amp;TRIM(A65),IF(现流表调整分录!$I$110:$I$154="y",现流表调整分录!$G$110:$G$154,0)))-SUM(IF(现流表调整分录!$C$110:$C$154="上年"&amp;TRIM(A65),IF(现流表调整分录!$I$110:$I$154="y",现流表调整分录!$H$110:$H$154,0)))+未审现流表!D65,2)</f>
        <v>0</v>
      </c>
    </row>
    <row r="66" ht="15" customHeight="1" spans="1:4">
      <c r="A66" s="2485" t="s">
        <v>173</v>
      </c>
      <c r="B66" s="2416"/>
      <c r="C66" s="2151">
        <f t="array" ref="C66">ROUND(SUM(IF(现流表调整分录!$C$110:$C$154=TRIM(A66),IF(现流表调整分录!$I$110:$I$154="y",现流表调整分录!$G$110:$G$154,0)))-SUM(IF(现流表调整分录!$C$110:$C$154=TRIM(A66),IF(现流表调整分录!$I$110:$I$154="y",现流表调整分录!$H$110:$H$154,0)))+未审现流表!C66,2)</f>
        <v>24825.52</v>
      </c>
      <c r="D66" s="2152">
        <f t="array" ref="D66">ROUND(SUM(IF(现流表调整分录!$C$110:$C$154="上年"&amp;TRIM(A66),IF(现流表调整分录!$I$110:$I$154="y",现流表调整分录!$G$110:$G$154,0)))-SUM(IF(现流表调整分录!$C$110:$C$154="上年"&amp;TRIM(A66),IF(现流表调整分录!$I$110:$I$154="y",现流表调整分录!$H$110:$H$154,0)))+未审现流表!D66,2)</f>
        <v>0</v>
      </c>
    </row>
    <row r="67" ht="15" customHeight="1" spans="1:4">
      <c r="A67" s="2485" t="s">
        <v>174</v>
      </c>
      <c r="B67" s="2416"/>
      <c r="C67" s="2151">
        <f t="array" ref="C67">ROUND(SUM(IF(现流表调整分录!$C$110:$C$154=TRIM(A67),IF(现流表调整分录!$I$110:$I$154="y",现流表调整分录!$G$110:$G$154,0)))-SUM(IF(现流表调整分录!$C$110:$C$154=TRIM(A67),IF(现流表调整分录!$I$110:$I$154="y",现流表调整分录!$H$110:$H$154,0)))+未审现流表!C67,2)</f>
        <v>0</v>
      </c>
      <c r="D67" s="2152">
        <f t="array" ref="D67">ROUND(SUM(IF(现流表调整分录!$C$110:$C$154="上年"&amp;TRIM(A67),IF(现流表调整分录!$I$110:$I$154="y",现流表调整分录!$G$110:$G$154,0)))-SUM(IF(现流表调整分录!$C$110:$C$154="上年"&amp;TRIM(A67),IF(现流表调整分录!$I$110:$I$154="y",现流表调整分录!$H$110:$H$154,0)))+未审现流表!D67,2)</f>
        <v>0</v>
      </c>
    </row>
    <row r="68" ht="15" customHeight="1" spans="1:4">
      <c r="A68" s="2485" t="s">
        <v>175</v>
      </c>
      <c r="B68" s="2416"/>
      <c r="C68" s="2151">
        <f t="array" ref="C68">ROUND(SUM(IF(现流表调整分录!$C$110:$C$154=TRIM(A68),IF(现流表调整分录!$I$110:$I$154="y",现流表调整分录!$G$110:$G$154,0)))-SUM(IF(现流表调整分录!$C$110:$C$154=TRIM(A68),IF(现流表调整分录!$I$110:$I$154="y",现流表调整分录!$H$110:$H$154,0)))+未审现流表!C68,2)</f>
        <v>-40160366.77</v>
      </c>
      <c r="D68" s="2152">
        <f t="array" ref="D68">ROUND(SUM(IF(现流表调整分录!$C$110:$C$154="上年"&amp;TRIM(A68),IF(现流表调整分录!$I$110:$I$154="y",现流表调整分录!$G$110:$G$154,0)))-SUM(IF(现流表调整分录!$C$110:$C$154="上年"&amp;TRIM(A68),IF(现流表调整分录!$I$110:$I$154="y",现流表调整分录!$H$110:$H$154,0)))+未审现流表!D68,2)</f>
        <v>-1647900.77</v>
      </c>
    </row>
    <row r="69" ht="15" customHeight="1" spans="1:4">
      <c r="A69" s="2485" t="s">
        <v>176</v>
      </c>
      <c r="B69" s="2416"/>
      <c r="C69" s="2151">
        <f t="array" ref="C69">ROUND(SUM(IF(现流表调整分录!$C$110:$C$154=TRIM(A69),IF(现流表调整分录!$I$110:$I$154="y",现流表调整分录!$G$110:$G$154,0)))-SUM(IF(现流表调整分录!$C$110:$C$154=TRIM(A69),IF(现流表调整分录!$I$110:$I$154="y",现流表调整分录!$H$110:$H$154,0)))+未审现流表!C69,2)</f>
        <v>-64887311.39</v>
      </c>
      <c r="D69" s="2152">
        <f t="array" ref="D69">ROUND(SUM(IF(现流表调整分录!$C$110:$C$154="上年"&amp;TRIM(A69),IF(现流表调整分录!$I$110:$I$154="y",现流表调整分录!$G$110:$G$154,0)))-SUM(IF(现流表调整分录!$C$110:$C$154="上年"&amp;TRIM(A69),IF(现流表调整分录!$I$110:$I$154="y",现流表调整分录!$H$110:$H$154,0)))+未审现流表!D69,2)</f>
        <v>201481369.14</v>
      </c>
    </row>
    <row r="70" ht="15" customHeight="1" spans="1:4">
      <c r="A70" s="2485" t="s">
        <v>177</v>
      </c>
      <c r="B70" s="2416"/>
      <c r="C70" s="2151">
        <f t="array" ref="C70">ROUND(SUM(IF(现流表调整分录!$C$110:$C$154=TRIM(A70),IF(现流表调整分录!$I$110:$I$154="y",现流表调整分录!$G$110:$G$154,0)))-SUM(IF(现流表调整分录!$C$110:$C$154=TRIM(A70),IF(现流表调整分录!$I$110:$I$154="y",现流表调整分录!$H$110:$H$154,0)))+未审现流表!C70,2)</f>
        <v>19326315.39</v>
      </c>
      <c r="D70" s="2152">
        <f t="array" ref="D70">ROUND(SUM(IF(现流表调整分录!$C$110:$C$154="上年"&amp;TRIM(A70),IF(现流表调整分录!$I$110:$I$154="y",现流表调整分录!$G$110:$G$154,0)))-SUM(IF(现流表调整分录!$C$110:$C$154="上年"&amp;TRIM(A70),IF(现流表调整分录!$I$110:$I$154="y",现流表调整分录!$H$110:$H$154,0)))+未审现流表!D70,2)</f>
        <v>-1620693.65</v>
      </c>
    </row>
    <row r="71" ht="15" customHeight="1" spans="1:4">
      <c r="A71" s="2485" t="s">
        <v>178</v>
      </c>
      <c r="B71" s="2416"/>
      <c r="C71" s="2151">
        <f t="array" ref="C71">ROUND(SUM(IF(现流表调整分录!$C$110:$C$154=TRIM(A71),IF(现流表调整分录!$I$110:$I$154="y",现流表调整分录!$G$110:$G$154,0)))-SUM(IF(现流表调整分录!$C$110:$C$154=TRIM(A71),IF(现流表调整分录!$I$110:$I$154="y",现流表调整分录!$H$110:$H$154,0)))+未审现流表!C71,2)</f>
        <v>0</v>
      </c>
      <c r="D71" s="2152">
        <f t="array" ref="D71">ROUND(SUM(IF(现流表调整分录!$C$110:$C$154="上年"&amp;TRIM(A71),IF(现流表调整分录!$I$110:$I$154="y",现流表调整分录!$G$110:$G$154,0)))-SUM(IF(现流表调整分录!$C$110:$C$154="上年"&amp;TRIM(A71),IF(现流表调整分录!$I$110:$I$154="y",现流表调整分录!$H$110:$H$154,0)))+未审现流表!D71,2)</f>
        <v>0</v>
      </c>
    </row>
    <row r="72" ht="15" customHeight="1" spans="1:4">
      <c r="A72" s="2486" t="s">
        <v>179</v>
      </c>
      <c r="B72" s="2416"/>
      <c r="C72" s="2369">
        <f>ROUND(SUM(C56:C71),2)</f>
        <v>-45693593.96</v>
      </c>
      <c r="D72" s="2390">
        <f>ROUND(SUM(D56:D71),2)</f>
        <v>199235970.03</v>
      </c>
    </row>
    <row r="73" ht="15" customHeight="1" spans="1:4">
      <c r="A73" s="2485"/>
      <c r="B73" s="2416"/>
      <c r="C73" s="2416"/>
      <c r="D73" s="2487"/>
    </row>
    <row r="74" ht="15" customHeight="1" spans="1:4">
      <c r="A74" s="2486" t="s">
        <v>180</v>
      </c>
      <c r="B74" s="2416"/>
      <c r="C74" s="2416"/>
      <c r="D74" s="2487"/>
    </row>
    <row r="75" ht="15" customHeight="1" spans="1:4">
      <c r="A75" s="2485" t="s">
        <v>181</v>
      </c>
      <c r="B75" s="2416"/>
      <c r="C75" s="2488">
        <f>ROUND(未审现流表!C75,2)</f>
        <v>0</v>
      </c>
      <c r="D75" s="2489">
        <f>ROUND(未审现流表!D75,2)</f>
        <v>0</v>
      </c>
    </row>
    <row r="76" ht="15" customHeight="1" spans="1:4">
      <c r="A76" s="2485" t="s">
        <v>182</v>
      </c>
      <c r="B76" s="2416"/>
      <c r="C76" s="2488">
        <f>ROUND(未审现流表!C76,2)</f>
        <v>0</v>
      </c>
      <c r="D76" s="2489">
        <f>ROUND(未审现流表!D76,2)</f>
        <v>0</v>
      </c>
    </row>
    <row r="77" ht="15" customHeight="1" spans="1:4">
      <c r="A77" s="2485" t="s">
        <v>183</v>
      </c>
      <c r="B77" s="2416"/>
      <c r="C77" s="2488">
        <f>ROUND(未审现流表!C77,2)</f>
        <v>0</v>
      </c>
      <c r="D77" s="2489">
        <f>ROUND(未审现流表!D77,2)</f>
        <v>0</v>
      </c>
    </row>
    <row r="78" ht="15" customHeight="1" spans="1:4">
      <c r="A78" s="2485"/>
      <c r="B78" s="2416"/>
      <c r="C78" s="2416"/>
      <c r="D78" s="2487"/>
    </row>
    <row r="79" ht="15" customHeight="1" spans="1:4">
      <c r="A79" s="2486" t="s">
        <v>184</v>
      </c>
      <c r="B79" s="2416"/>
      <c r="C79" s="2416"/>
      <c r="D79" s="2487"/>
    </row>
    <row r="80" ht="15" customHeight="1" spans="1:4">
      <c r="A80" s="2485" t="s">
        <v>185</v>
      </c>
      <c r="B80" s="2416"/>
      <c r="C80" s="2151">
        <f>ROUND(审定资负表!C7,2)</f>
        <v>203715132.36</v>
      </c>
      <c r="D80" s="2152">
        <f>ROUND(审定资负表!D7,2)</f>
        <v>76914775.62</v>
      </c>
    </row>
    <row r="81" ht="15" customHeight="1" spans="1:4">
      <c r="A81" s="2485" t="s">
        <v>186</v>
      </c>
      <c r="B81" s="2416"/>
      <c r="C81" s="2151">
        <f>ROUND(审定资负表!D7,2)</f>
        <v>76914775.62</v>
      </c>
      <c r="D81" s="2152">
        <f>ROUND(D48,2)</f>
        <v>66164760.35</v>
      </c>
    </row>
    <row r="82" ht="15" customHeight="1" spans="1:4">
      <c r="A82" s="2485" t="s">
        <v>187</v>
      </c>
      <c r="B82" s="2416"/>
      <c r="C82" s="2488">
        <f>ROUND(未审现流表!C82,2)</f>
        <v>0</v>
      </c>
      <c r="D82" s="2489">
        <f>ROUND(未审现流表!D82,2)</f>
        <v>0</v>
      </c>
    </row>
    <row r="83" ht="15" customHeight="1" spans="1:4">
      <c r="A83" s="2485" t="s">
        <v>188</v>
      </c>
      <c r="B83" s="2416"/>
      <c r="C83" s="2488">
        <f>ROUND(未审现流表!C83,2)</f>
        <v>0</v>
      </c>
      <c r="D83" s="2489"/>
    </row>
    <row r="84" ht="15" customHeight="1" spans="1:4">
      <c r="A84" s="2490" t="s">
        <v>189</v>
      </c>
      <c r="B84" s="2491"/>
      <c r="C84" s="2373">
        <f>ROUND(C80-C81+C82-C83,2)</f>
        <v>126800356.74</v>
      </c>
      <c r="D84" s="2478">
        <f>ROUND(D80-D81+D82-D83,2)</f>
        <v>10750015.27</v>
      </c>
    </row>
    <row r="85" ht="1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hyperlinks>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rintOptions horizontalCentered="1"/>
  <pageMargins left="0.393700787401575" right="0.393700787401575" top="0.78740157480315" bottom="0.511811023622047" header="0.511811023622047" footer="0.47244094488189"/>
  <pageSetup paperSize="9" orientation="portrait" blackAndWhite="1"/>
  <headerFooter alignWithMargins="0">
    <oddFooter>&amp;L&amp;10企业负责人：&amp;C&amp;10会计机构负责人：&amp;R&amp;10制表人：</oddFooter>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H65"/>
  <sheetViews>
    <sheetView showGridLines="0" showZeros="0" workbookViewId="0">
      <pane xSplit="1" ySplit="6" topLeftCell="B28" activePane="bottomRight" state="frozen"/>
      <selection/>
      <selection pane="topRight"/>
      <selection pane="bottomLeft"/>
      <selection pane="bottomRight" activeCell="F58" sqref="F58"/>
    </sheetView>
  </sheetViews>
  <sheetFormatPr defaultColWidth="9" defaultRowHeight="14.25" outlineLevelCol="7"/>
  <cols>
    <col min="1" max="1" width="38.375" customWidth="1"/>
    <col min="2" max="8" width="13.375" customWidth="1"/>
  </cols>
  <sheetData>
    <row r="1" ht="25.5" spans="1:8">
      <c r="A1" s="2103" t="s">
        <v>277</v>
      </c>
      <c r="B1" s="2103"/>
      <c r="C1" s="2103"/>
      <c r="D1" s="2103"/>
      <c r="E1" s="2103"/>
      <c r="F1" s="2103"/>
      <c r="G1" s="2103"/>
      <c r="H1" s="2103"/>
    </row>
    <row r="2" ht="15" customHeight="1" spans="1:8">
      <c r="A2" s="2104" t="str">
        <f>IF(OR(ABS(B2)&lt;&gt;0,ABS(C2)&lt;&gt;0,ABS(D2)&lt;&gt;0,ABS(E2)&lt;&gt;0,ABS(F2)&lt;&gt;0,ABS(G2)&lt;&gt;0),"本期期末余额与资产负债表不符，相差：","")</f>
        <v/>
      </c>
      <c r="B2" s="2105">
        <f>ROUND(B32-审定资负表!$G$36,2)</f>
        <v>0</v>
      </c>
      <c r="C2" s="2105">
        <f>ROUND(C32-审定资负表!$G$37,2)</f>
        <v>0</v>
      </c>
      <c r="D2" s="2105">
        <f>ROUND(D32-审定资负表!$G$38,2)</f>
        <v>0</v>
      </c>
      <c r="E2" s="2105">
        <f>ROUND(E32-审定资负表!$G$39,2)</f>
        <v>0</v>
      </c>
      <c r="F2" s="2105">
        <f>ROUND(F32-审定资负表!$G$40,2)</f>
        <v>0</v>
      </c>
      <c r="G2" s="2105">
        <f>ROUND(G32-审定资负表!$G$41-审定资负表!$G$42,2)</f>
        <v>0</v>
      </c>
      <c r="H2" s="2106" t="s">
        <v>278</v>
      </c>
    </row>
    <row r="3" ht="15" customHeight="1" spans="1:8">
      <c r="A3" s="2107" t="str">
        <f>"编制单位："&amp;参数表!C3</f>
        <v>编制单位：深圳新阳蓝光能源管理科技股份有限公司</v>
      </c>
      <c r="B3" s="2108"/>
      <c r="C3" s="2108"/>
      <c r="D3" s="2108" t="str">
        <f>参数表!D7</f>
        <v>2016年度</v>
      </c>
      <c r="E3" s="2108"/>
      <c r="F3" s="2108"/>
      <c r="G3" s="2108"/>
      <c r="H3" s="2106" t="str">
        <f>"金额单位："&amp;参数表!F11</f>
        <v>金额单位：人民币元</v>
      </c>
    </row>
    <row r="4" ht="15" spans="1:8">
      <c r="A4" s="2109" t="s">
        <v>61</v>
      </c>
      <c r="B4" s="2128" t="str">
        <f>审定利润表!C4</f>
        <v>本年金额</v>
      </c>
      <c r="C4" s="2129"/>
      <c r="D4" s="2129"/>
      <c r="E4" s="2129"/>
      <c r="F4" s="2129"/>
      <c r="G4" s="2129"/>
      <c r="H4" s="2130"/>
    </row>
    <row r="5" spans="1:8">
      <c r="A5" s="2113"/>
      <c r="B5" s="2131"/>
      <c r="C5" s="2132"/>
      <c r="D5" s="2132"/>
      <c r="E5" s="2132"/>
      <c r="F5" s="2132"/>
      <c r="G5" s="2132"/>
      <c r="H5" s="2133"/>
    </row>
    <row r="6" ht="15" customHeight="1" spans="1:8">
      <c r="A6" s="2113"/>
      <c r="B6" s="2117" t="s">
        <v>279</v>
      </c>
      <c r="C6" s="2117" t="s">
        <v>253</v>
      </c>
      <c r="D6" s="2117" t="s">
        <v>255</v>
      </c>
      <c r="E6" s="2117" t="s">
        <v>256</v>
      </c>
      <c r="F6" s="2117" t="s">
        <v>258</v>
      </c>
      <c r="G6" s="2117" t="s">
        <v>280</v>
      </c>
      <c r="H6" s="2118" t="s">
        <v>263</v>
      </c>
    </row>
    <row r="7" ht="15" customHeight="1" spans="1:8">
      <c r="A7" s="2119" t="s">
        <v>281</v>
      </c>
      <c r="B7" s="2120">
        <f>B64</f>
        <v>120000000</v>
      </c>
      <c r="C7" s="2120">
        <f>C64</f>
        <v>5756259.26</v>
      </c>
      <c r="D7" s="2120">
        <f t="shared" ref="D7:G7" si="0">D64</f>
        <v>0</v>
      </c>
      <c r="E7" s="2120">
        <f t="shared" si="0"/>
        <v>0</v>
      </c>
      <c r="F7" s="2120">
        <f t="shared" si="0"/>
        <v>-36686290.04</v>
      </c>
      <c r="G7" s="2120">
        <f t="shared" si="0"/>
        <v>0</v>
      </c>
      <c r="H7" s="2121">
        <f>ROUND(SUM(B7:G7)-2*D7,2)</f>
        <v>89069969.22</v>
      </c>
    </row>
    <row r="8" ht="15" customHeight="1" spans="1:8">
      <c r="A8" s="2122" t="s">
        <v>282</v>
      </c>
      <c r="B8" s="2120">
        <f>ROUND(未审权益表!B8,2)</f>
        <v>0</v>
      </c>
      <c r="C8" s="2120">
        <f>ROUND(未审权益表!C8,2)</f>
        <v>0</v>
      </c>
      <c r="D8" s="2120">
        <f>ROUND(未审权益表!D8,2)</f>
        <v>0</v>
      </c>
      <c r="E8" s="2120">
        <f>ROUND(未审权益表!E8,2)</f>
        <v>0</v>
      </c>
      <c r="F8" s="2120">
        <f>ROUND(未审权益表!F8,2)</f>
        <v>0</v>
      </c>
      <c r="G8" s="2120">
        <f>ROUND(未审权益表!G8,2)</f>
        <v>0</v>
      </c>
      <c r="H8" s="2121">
        <f t="shared" ref="H8:H32" si="1">ROUND(SUM(B8:G8)-2*D8,2)</f>
        <v>0</v>
      </c>
    </row>
    <row r="9" ht="15" customHeight="1" spans="1:8">
      <c r="A9" s="2122" t="s">
        <v>283</v>
      </c>
      <c r="B9" s="2123">
        <f t="shared" ref="B9:G9" si="2">ROUND(B10-B7-B8,2)</f>
        <v>0</v>
      </c>
      <c r="C9" s="2123">
        <f t="shared" si="2"/>
        <v>0</v>
      </c>
      <c r="D9" s="2123">
        <f t="shared" si="2"/>
        <v>0</v>
      </c>
      <c r="E9" s="2123">
        <f t="shared" si="2"/>
        <v>0</v>
      </c>
      <c r="F9" s="2123">
        <f t="shared" si="2"/>
        <v>0</v>
      </c>
      <c r="G9" s="2123">
        <f t="shared" si="2"/>
        <v>0</v>
      </c>
      <c r="H9" s="2121">
        <f t="shared" si="1"/>
        <v>0</v>
      </c>
    </row>
    <row r="10" ht="15" customHeight="1" spans="1:8">
      <c r="A10" s="2119" t="s">
        <v>284</v>
      </c>
      <c r="B10" s="2123">
        <f t="shared" ref="B10:G10" si="3">ROUND(B64,2)</f>
        <v>120000000</v>
      </c>
      <c r="C10" s="2123">
        <f t="shared" si="3"/>
        <v>5756259.26</v>
      </c>
      <c r="D10" s="2123">
        <f t="shared" si="3"/>
        <v>0</v>
      </c>
      <c r="E10" s="2123">
        <f t="shared" si="3"/>
        <v>0</v>
      </c>
      <c r="F10" s="2123">
        <f t="shared" si="3"/>
        <v>-36686290.04</v>
      </c>
      <c r="G10" s="2123">
        <f t="shared" si="3"/>
        <v>0</v>
      </c>
      <c r="H10" s="2121">
        <f t="shared" si="1"/>
        <v>89069969.22</v>
      </c>
    </row>
    <row r="11" ht="15" customHeight="1" spans="1:8">
      <c r="A11" s="2119" t="s">
        <v>285</v>
      </c>
      <c r="B11" s="2123">
        <f t="shared" ref="B11:G11" si="4">ROUND(B18+B19+B23+B27,2)</f>
        <v>17800000</v>
      </c>
      <c r="C11" s="2123">
        <f t="shared" si="4"/>
        <v>212842672</v>
      </c>
      <c r="D11" s="2123">
        <f t="shared" si="4"/>
        <v>0</v>
      </c>
      <c r="E11" s="2123">
        <f t="shared" si="4"/>
        <v>0</v>
      </c>
      <c r="F11" s="2123">
        <f t="shared" si="4"/>
        <v>8831644.55</v>
      </c>
      <c r="G11" s="2123">
        <f t="shared" si="4"/>
        <v>0</v>
      </c>
      <c r="H11" s="2121">
        <f t="shared" si="1"/>
        <v>239474316.55</v>
      </c>
    </row>
    <row r="12" ht="15" customHeight="1" spans="1:8">
      <c r="A12" s="2119" t="s">
        <v>286</v>
      </c>
      <c r="B12" s="2123"/>
      <c r="C12" s="2123"/>
      <c r="D12" s="2123"/>
      <c r="E12" s="2123"/>
      <c r="F12" s="2123">
        <f>ROUND(审定利润表!C24,2)</f>
        <v>8831644.55</v>
      </c>
      <c r="G12" s="2123"/>
      <c r="H12" s="2121">
        <f t="shared" si="1"/>
        <v>8831644.55</v>
      </c>
    </row>
    <row r="13" ht="15" customHeight="1" spans="1:8">
      <c r="A13" s="2119" t="s">
        <v>287</v>
      </c>
      <c r="B13" s="2123">
        <f t="shared" ref="B13:G13" si="5">ROUND(B14+B15+B16+B17,2)</f>
        <v>0</v>
      </c>
      <c r="C13" s="2123">
        <f t="shared" si="5"/>
        <v>0</v>
      </c>
      <c r="D13" s="2123">
        <f t="shared" si="5"/>
        <v>0</v>
      </c>
      <c r="E13" s="2123">
        <f t="shared" si="5"/>
        <v>0</v>
      </c>
      <c r="F13" s="2123">
        <f t="shared" si="5"/>
        <v>0</v>
      </c>
      <c r="G13" s="2123">
        <f t="shared" si="5"/>
        <v>0</v>
      </c>
      <c r="H13" s="2121">
        <f t="shared" si="1"/>
        <v>0</v>
      </c>
    </row>
    <row r="14" ht="15" customHeight="1" spans="1:8">
      <c r="A14" s="2124" t="s">
        <v>288</v>
      </c>
      <c r="B14" s="2120">
        <f>ROUND(未审权益表!B14,2)</f>
        <v>0</v>
      </c>
      <c r="C14" s="2120">
        <f>ROUND(未审权益表!C14,2)</f>
        <v>0</v>
      </c>
      <c r="D14" s="2120">
        <f>ROUND(未审权益表!D14,2)</f>
        <v>0</v>
      </c>
      <c r="E14" s="2120">
        <f>ROUND(未审权益表!E14,2)</f>
        <v>0</v>
      </c>
      <c r="F14" s="2120">
        <f>ROUND(未审权益表!F14,2)</f>
        <v>0</v>
      </c>
      <c r="G14" s="2120">
        <f>ROUND(未审权益表!G14,2)</f>
        <v>0</v>
      </c>
      <c r="H14" s="2121">
        <f t="shared" si="1"/>
        <v>0</v>
      </c>
    </row>
    <row r="15" ht="15" customHeight="1" spans="1:8">
      <c r="A15" s="2124" t="s">
        <v>289</v>
      </c>
      <c r="B15" s="2120">
        <f>ROUND(未审权益表!B15,2)</f>
        <v>0</v>
      </c>
      <c r="C15" s="2120">
        <f>ROUND(未审权益表!C15,2)</f>
        <v>0</v>
      </c>
      <c r="D15" s="2120">
        <f>ROUND(未审权益表!D15,2)</f>
        <v>0</v>
      </c>
      <c r="E15" s="2120">
        <f>ROUND(未审权益表!E15,2)</f>
        <v>0</v>
      </c>
      <c r="F15" s="2120">
        <f>ROUND(未审权益表!F15,2)</f>
        <v>0</v>
      </c>
      <c r="G15" s="2120">
        <f>ROUND(未审权益表!G15,2)</f>
        <v>0</v>
      </c>
      <c r="H15" s="2121">
        <f t="shared" si="1"/>
        <v>0</v>
      </c>
    </row>
    <row r="16" ht="15" customHeight="1" spans="1:8">
      <c r="A16" s="2124" t="s">
        <v>290</v>
      </c>
      <c r="B16" s="2120">
        <f>ROUND(未审权益表!B16,2)</f>
        <v>0</v>
      </c>
      <c r="C16" s="2120">
        <f>ROUND(未审权益表!C16,2)</f>
        <v>0</v>
      </c>
      <c r="D16" s="2120">
        <f>ROUND(未审权益表!D16,2)</f>
        <v>0</v>
      </c>
      <c r="E16" s="2120">
        <f>ROUND(未审权益表!E16,2)</f>
        <v>0</v>
      </c>
      <c r="F16" s="2120">
        <f>ROUND(未审权益表!F16,2)</f>
        <v>0</v>
      </c>
      <c r="G16" s="2120">
        <f>ROUND(未审权益表!G16,2)</f>
        <v>0</v>
      </c>
      <c r="H16" s="2121">
        <f t="shared" si="1"/>
        <v>0</v>
      </c>
    </row>
    <row r="17" ht="15" customHeight="1" spans="1:8">
      <c r="A17" s="2124" t="s">
        <v>291</v>
      </c>
      <c r="B17" s="2120">
        <f>ROUND(未审权益表!B17,2)</f>
        <v>0</v>
      </c>
      <c r="C17" s="2120">
        <f>ROUND(未审权益表!C17,2)</f>
        <v>0</v>
      </c>
      <c r="D17" s="2120">
        <f>ROUND(未审权益表!D17,2)</f>
        <v>0</v>
      </c>
      <c r="E17" s="2120">
        <f>ROUND(未审权益表!E17,2)</f>
        <v>0</v>
      </c>
      <c r="F17" s="2120">
        <f>ROUND(未审权益表!F17,2)</f>
        <v>0</v>
      </c>
      <c r="G17" s="2120">
        <f>ROUND(未审权益表!G17,2)</f>
        <v>0</v>
      </c>
      <c r="H17" s="2121">
        <f t="shared" si="1"/>
        <v>0</v>
      </c>
    </row>
    <row r="18" ht="15" customHeight="1" spans="1:8">
      <c r="A18" s="2119" t="s">
        <v>292</v>
      </c>
      <c r="B18" s="2123">
        <f t="shared" ref="B18:G18" si="6">ROUND(B12+B13,2)</f>
        <v>0</v>
      </c>
      <c r="C18" s="2123">
        <f t="shared" si="6"/>
        <v>0</v>
      </c>
      <c r="D18" s="2123">
        <f t="shared" si="6"/>
        <v>0</v>
      </c>
      <c r="E18" s="2123">
        <f t="shared" si="6"/>
        <v>0</v>
      </c>
      <c r="F18" s="2123">
        <f t="shared" si="6"/>
        <v>8831644.55</v>
      </c>
      <c r="G18" s="2123">
        <f t="shared" si="6"/>
        <v>0</v>
      </c>
      <c r="H18" s="2121">
        <f t="shared" si="1"/>
        <v>8831644.55</v>
      </c>
    </row>
    <row r="19" ht="15" customHeight="1" spans="1:8">
      <c r="A19" s="2119" t="s">
        <v>293</v>
      </c>
      <c r="B19" s="2123">
        <f t="shared" ref="B19:G19" si="7">ROUND(B20+B21+B22,2)</f>
        <v>17800000</v>
      </c>
      <c r="C19" s="2123">
        <f t="shared" si="7"/>
        <v>212842672</v>
      </c>
      <c r="D19" s="2123">
        <f t="shared" si="7"/>
        <v>0</v>
      </c>
      <c r="E19" s="2123">
        <f t="shared" si="7"/>
        <v>0</v>
      </c>
      <c r="F19" s="2123">
        <f t="shared" si="7"/>
        <v>0</v>
      </c>
      <c r="G19" s="2123">
        <f t="shared" si="7"/>
        <v>0</v>
      </c>
      <c r="H19" s="2121">
        <f t="shared" si="1"/>
        <v>230642672</v>
      </c>
    </row>
    <row r="20" ht="15" customHeight="1" spans="1:8">
      <c r="A20" s="2124" t="s">
        <v>294</v>
      </c>
      <c r="B20" s="2120">
        <f>ROUND(未审权益表!B20,2)</f>
        <v>17800000</v>
      </c>
      <c r="C20" s="2120">
        <f>ROUND(未审权益表!C20,2)</f>
        <v>212842672</v>
      </c>
      <c r="D20" s="2120">
        <f>ROUND(未审权益表!D20,2)</f>
        <v>0</v>
      </c>
      <c r="E20" s="2120">
        <f>ROUND(未审权益表!E20,2)</f>
        <v>0</v>
      </c>
      <c r="F20" s="2120">
        <f>ROUND(未审权益表!F20,2)</f>
        <v>0</v>
      </c>
      <c r="G20" s="2120">
        <f>ROUND(未审权益表!G20,2)</f>
        <v>0</v>
      </c>
      <c r="H20" s="2121">
        <f t="shared" si="1"/>
        <v>230642672</v>
      </c>
    </row>
    <row r="21" ht="15" customHeight="1" spans="1:8">
      <c r="A21" s="2124" t="s">
        <v>295</v>
      </c>
      <c r="B21" s="2120">
        <f>ROUND(未审权益表!B21,2)</f>
        <v>0</v>
      </c>
      <c r="C21" s="2120">
        <f>ROUND(未审权益表!C21,2)</f>
        <v>0</v>
      </c>
      <c r="D21" s="2120">
        <f>ROUND(未审权益表!D21,2)</f>
        <v>0</v>
      </c>
      <c r="E21" s="2120">
        <f>ROUND(未审权益表!E21,2)</f>
        <v>0</v>
      </c>
      <c r="F21" s="2120">
        <f>ROUND(未审权益表!F21,2)</f>
        <v>0</v>
      </c>
      <c r="G21" s="2120">
        <f>ROUND(未审权益表!G21,2)</f>
        <v>0</v>
      </c>
      <c r="H21" s="2121">
        <f t="shared" si="1"/>
        <v>0</v>
      </c>
    </row>
    <row r="22" ht="15" customHeight="1" spans="1:8">
      <c r="A22" s="2124" t="s">
        <v>296</v>
      </c>
      <c r="B22" s="2120">
        <f>ROUND(未审权益表!B22,2)</f>
        <v>0</v>
      </c>
      <c r="C22" s="2120">
        <f>ROUND(未审权益表!C22,2)</f>
        <v>0</v>
      </c>
      <c r="D22" s="2120">
        <f>ROUND(未审权益表!D22,2)</f>
        <v>0</v>
      </c>
      <c r="E22" s="2120">
        <f>ROUND(未审权益表!E22,2)</f>
        <v>0</v>
      </c>
      <c r="F22" s="2120">
        <f>ROUND(未审权益表!F22,2)</f>
        <v>0</v>
      </c>
      <c r="G22" s="2120">
        <f>ROUND(未审权益表!G22,2)</f>
        <v>0</v>
      </c>
      <c r="H22" s="2121">
        <f t="shared" si="1"/>
        <v>0</v>
      </c>
    </row>
    <row r="23" ht="15" customHeight="1" spans="1:8">
      <c r="A23" s="2119" t="s">
        <v>297</v>
      </c>
      <c r="B23" s="2123">
        <f t="shared" ref="B23:G23" si="8">ROUND(B24+B25+B26,2)</f>
        <v>0</v>
      </c>
      <c r="C23" s="2123">
        <f t="shared" si="8"/>
        <v>0</v>
      </c>
      <c r="D23" s="2123">
        <f t="shared" si="8"/>
        <v>0</v>
      </c>
      <c r="E23" s="2123">
        <f t="shared" si="8"/>
        <v>0</v>
      </c>
      <c r="F23" s="2123">
        <f t="shared" si="8"/>
        <v>0</v>
      </c>
      <c r="G23" s="2123">
        <f t="shared" si="8"/>
        <v>0</v>
      </c>
      <c r="H23" s="2121">
        <f t="shared" si="1"/>
        <v>0</v>
      </c>
    </row>
    <row r="24" ht="15" customHeight="1" spans="1:8">
      <c r="A24" s="2124" t="s">
        <v>298</v>
      </c>
      <c r="B24" s="2120">
        <f>ROUND(未审权益表!B24,2)</f>
        <v>0</v>
      </c>
      <c r="C24" s="2120">
        <f>ROUND(未审权益表!C24,2)</f>
        <v>0</v>
      </c>
      <c r="D24" s="2120">
        <f>ROUND(未审权益表!D24,2)</f>
        <v>0</v>
      </c>
      <c r="E24" s="2120"/>
      <c r="F24" s="2120"/>
      <c r="G24" s="2120">
        <f>ROUND(未审权益表!G24,2)</f>
        <v>0</v>
      </c>
      <c r="H24" s="2121">
        <f t="shared" si="1"/>
        <v>0</v>
      </c>
    </row>
    <row r="25" ht="15" customHeight="1" spans="1:8">
      <c r="A25" s="2124" t="s">
        <v>299</v>
      </c>
      <c r="B25" s="2120">
        <f>ROUND(未审权益表!B25,2)</f>
        <v>0</v>
      </c>
      <c r="C25" s="2120">
        <f>ROUND(未审权益表!C25,2)</f>
        <v>0</v>
      </c>
      <c r="D25" s="2120">
        <f>ROUND(未审权益表!D25,2)</f>
        <v>0</v>
      </c>
      <c r="E25" s="2120">
        <f>ROUND(未审权益表!E25,2)</f>
        <v>0</v>
      </c>
      <c r="F25" s="2120">
        <f>ROUND(未审权益表!F25,2)</f>
        <v>0</v>
      </c>
      <c r="G25" s="2120">
        <f>ROUND(未审权益表!G25,2)</f>
        <v>0</v>
      </c>
      <c r="H25" s="2121">
        <f t="shared" si="1"/>
        <v>0</v>
      </c>
    </row>
    <row r="26" ht="15" customHeight="1" spans="1:8">
      <c r="A26" s="2124" t="s">
        <v>296</v>
      </c>
      <c r="B26" s="2120">
        <f>ROUND(未审权益表!B26,2)</f>
        <v>0</v>
      </c>
      <c r="C26" s="2120">
        <f>ROUND(未审权益表!C26,2)</f>
        <v>0</v>
      </c>
      <c r="D26" s="2120">
        <f>ROUND(未审权益表!D26,2)</f>
        <v>0</v>
      </c>
      <c r="E26" s="2120">
        <f>ROUND(未审权益表!E26,2)</f>
        <v>0</v>
      </c>
      <c r="F26" s="2120">
        <f>ROUND(未审权益表!F26,2)</f>
        <v>0</v>
      </c>
      <c r="G26" s="2120">
        <f>ROUND(未审权益表!G26,2)</f>
        <v>0</v>
      </c>
      <c r="H26" s="2121">
        <f t="shared" si="1"/>
        <v>0</v>
      </c>
    </row>
    <row r="27" ht="15" customHeight="1" spans="1:8">
      <c r="A27" s="2119" t="s">
        <v>300</v>
      </c>
      <c r="B27" s="2123">
        <f t="shared" ref="B27:G27" si="9">ROUND(B28+B29+B30+B31,2)</f>
        <v>0</v>
      </c>
      <c r="C27" s="2123">
        <f t="shared" si="9"/>
        <v>0</v>
      </c>
      <c r="D27" s="2123">
        <f t="shared" si="9"/>
        <v>0</v>
      </c>
      <c r="E27" s="2123">
        <f t="shared" si="9"/>
        <v>0</v>
      </c>
      <c r="F27" s="2123">
        <f t="shared" si="9"/>
        <v>0</v>
      </c>
      <c r="G27" s="2123">
        <f t="shared" si="9"/>
        <v>0</v>
      </c>
      <c r="H27" s="2121">
        <f t="shared" si="1"/>
        <v>0</v>
      </c>
    </row>
    <row r="28" ht="15" customHeight="1" spans="1:8">
      <c r="A28" s="2124" t="s">
        <v>301</v>
      </c>
      <c r="B28" s="2120">
        <f>ROUND(未审权益表!B28,2)</f>
        <v>0</v>
      </c>
      <c r="C28" s="2120">
        <f>ROUND(未审权益表!C28,2)</f>
        <v>0</v>
      </c>
      <c r="D28" s="2120">
        <f>ROUND(未审权益表!D28,2)</f>
        <v>0</v>
      </c>
      <c r="E28" s="2120">
        <f>ROUND(未审权益表!E28,2)</f>
        <v>0</v>
      </c>
      <c r="F28" s="2120">
        <f>ROUND(未审权益表!F28,2)</f>
        <v>0</v>
      </c>
      <c r="G28" s="2120">
        <f>ROUND(未审权益表!G28,2)</f>
        <v>0</v>
      </c>
      <c r="H28" s="2121">
        <f t="shared" si="1"/>
        <v>0</v>
      </c>
    </row>
    <row r="29" ht="15" customHeight="1" spans="1:8">
      <c r="A29" s="2124" t="s">
        <v>302</v>
      </c>
      <c r="B29" s="2120">
        <f>ROUND(未审权益表!B29,2)</f>
        <v>0</v>
      </c>
      <c r="C29" s="2120">
        <f>ROUND(未审权益表!C29,2)</f>
        <v>0</v>
      </c>
      <c r="D29" s="2120">
        <f>ROUND(未审权益表!D29,2)</f>
        <v>0</v>
      </c>
      <c r="E29" s="2120">
        <f>ROUND(未审权益表!E29,2)</f>
        <v>0</v>
      </c>
      <c r="F29" s="2120">
        <f>ROUND(未审权益表!F29,2)</f>
        <v>0</v>
      </c>
      <c r="G29" s="2120">
        <f>ROUND(未审权益表!G29,2)</f>
        <v>0</v>
      </c>
      <c r="H29" s="2121">
        <f t="shared" si="1"/>
        <v>0</v>
      </c>
    </row>
    <row r="30" ht="15" customHeight="1" spans="1:8">
      <c r="A30" s="2124" t="s">
        <v>303</v>
      </c>
      <c r="B30" s="2120">
        <f>ROUND(未审权益表!B30,2)</f>
        <v>0</v>
      </c>
      <c r="C30" s="2120">
        <f>ROUND(未审权益表!C30,2)</f>
        <v>0</v>
      </c>
      <c r="D30" s="2120">
        <f>ROUND(未审权益表!D30,2)</f>
        <v>0</v>
      </c>
      <c r="E30" s="2120">
        <f>ROUND(未审权益表!E30,2)</f>
        <v>0</v>
      </c>
      <c r="F30" s="2120">
        <f>ROUND(未审权益表!F30,2)</f>
        <v>0</v>
      </c>
      <c r="G30" s="2120">
        <f>ROUND(未审权益表!G30,2)</f>
        <v>0</v>
      </c>
      <c r="H30" s="2121">
        <f t="shared" si="1"/>
        <v>0</v>
      </c>
    </row>
    <row r="31" ht="15" customHeight="1" spans="1:8">
      <c r="A31" s="2124" t="s">
        <v>291</v>
      </c>
      <c r="B31" s="2120">
        <f>ROUND(未审权益表!B31,2)</f>
        <v>0</v>
      </c>
      <c r="C31" s="2120">
        <f>ROUND(未审权益表!C31,2)</f>
        <v>0</v>
      </c>
      <c r="D31" s="2120">
        <f>ROUND(未审权益表!D31,2)</f>
        <v>0</v>
      </c>
      <c r="E31" s="2120">
        <f>ROUND(未审权益表!E31,2)</f>
        <v>0</v>
      </c>
      <c r="F31" s="2120">
        <f>ROUND(未审权益表!F31,2)</f>
        <v>0</v>
      </c>
      <c r="G31" s="2120">
        <f>ROUND(未审权益表!G31,2)</f>
        <v>0</v>
      </c>
      <c r="H31" s="2121">
        <f t="shared" si="1"/>
        <v>0</v>
      </c>
    </row>
    <row r="32" ht="15" customHeight="1" spans="1:8">
      <c r="A32" s="2125" t="s">
        <v>304</v>
      </c>
      <c r="B32" s="2126">
        <f t="shared" ref="B32:G32" si="10">ROUND(B10+B11,2)</f>
        <v>137800000</v>
      </c>
      <c r="C32" s="2126">
        <f t="shared" si="10"/>
        <v>218598931.26</v>
      </c>
      <c r="D32" s="2126">
        <f t="shared" si="10"/>
        <v>0</v>
      </c>
      <c r="E32" s="2126">
        <f t="shared" si="10"/>
        <v>0</v>
      </c>
      <c r="F32" s="2126">
        <f t="shared" si="10"/>
        <v>-27854645.49</v>
      </c>
      <c r="G32" s="2126">
        <f t="shared" si="10"/>
        <v>0</v>
      </c>
      <c r="H32" s="2127">
        <f t="shared" si="1"/>
        <v>328544285.77</v>
      </c>
    </row>
    <row r="33" ht="26.25" spans="1:8">
      <c r="A33" s="2103" t="s">
        <v>277</v>
      </c>
      <c r="B33" s="2103"/>
      <c r="C33" s="2103"/>
      <c r="D33" s="2103"/>
      <c r="E33" s="2103"/>
      <c r="F33" s="2103"/>
      <c r="G33" s="2103"/>
      <c r="H33" s="2103"/>
    </row>
    <row r="34" ht="15" customHeight="1" spans="1:8">
      <c r="A34" s="2104" t="str">
        <f>IF(OR(ABS(B34)&lt;&gt;0,ABS(C34)&lt;&gt;0,ABS(D34)&lt;&gt;0,ABS(E34)&lt;&gt;0,ABS(F34)&lt;&gt;0,ABS(G34)&lt;&gt;0),"上期期末余额与资产负债表不符，相差：","")</f>
        <v/>
      </c>
      <c r="B34" s="2105">
        <f>ROUND(B64-审定资负表!$H$36,2)</f>
        <v>0</v>
      </c>
      <c r="C34" s="2105">
        <f>ROUND(C64-审定资负表!$H$37,2)</f>
        <v>0</v>
      </c>
      <c r="D34" s="2105">
        <f>ROUND(D64-审定资负表!$H$38,2)</f>
        <v>0</v>
      </c>
      <c r="E34" s="2105">
        <f>ROUND(E64-审定资负表!$H$39,2)</f>
        <v>0</v>
      </c>
      <c r="F34" s="2105">
        <f>ROUND(F64-审定资负表!$H$40,2)</f>
        <v>0</v>
      </c>
      <c r="G34" s="2105">
        <f>ROUND(G64-审定资负表!$H$41-审定资负表!$H$42,2)</f>
        <v>0</v>
      </c>
      <c r="H34" s="2106" t="s">
        <v>305</v>
      </c>
    </row>
    <row r="35" ht="15" customHeight="1" spans="1:8">
      <c r="A35" s="2107" t="str">
        <f>"编制单位："&amp;参数表!C3</f>
        <v>编制单位：深圳新阳蓝光能源管理科技股份有限公司</v>
      </c>
      <c r="B35" s="2108"/>
      <c r="C35" s="2108"/>
      <c r="D35" s="2108" t="str">
        <f>参数表!D7</f>
        <v>2016年度</v>
      </c>
      <c r="E35" s="2108"/>
      <c r="F35" s="2108"/>
      <c r="G35" s="2108"/>
      <c r="H35" s="2106" t="str">
        <f>"金额单位："&amp;参数表!F11</f>
        <v>金额单位：人民币元</v>
      </c>
    </row>
    <row r="36" ht="15" spans="1:8">
      <c r="A36" s="2109" t="s">
        <v>61</v>
      </c>
      <c r="B36" s="2128" t="str">
        <f>审定利润表!D4</f>
        <v>上年金额</v>
      </c>
      <c r="C36" s="2129"/>
      <c r="D36" s="2129"/>
      <c r="E36" s="2129"/>
      <c r="F36" s="2129"/>
      <c r="G36" s="2129"/>
      <c r="H36" s="2130"/>
    </row>
    <row r="37" spans="1:8">
      <c r="A37" s="2113"/>
      <c r="B37" s="2131"/>
      <c r="C37" s="2132"/>
      <c r="D37" s="2132"/>
      <c r="E37" s="2132"/>
      <c r="F37" s="2132"/>
      <c r="G37" s="2132"/>
      <c r="H37" s="2133"/>
    </row>
    <row r="38" ht="15" customHeight="1" spans="1:8">
      <c r="A38" s="2113"/>
      <c r="B38" s="2117" t="s">
        <v>279</v>
      </c>
      <c r="C38" s="2117" t="s">
        <v>253</v>
      </c>
      <c r="D38" s="2117" t="s">
        <v>255</v>
      </c>
      <c r="E38" s="2117" t="s">
        <v>256</v>
      </c>
      <c r="F38" s="2117" t="s">
        <v>258</v>
      </c>
      <c r="G38" s="2117" t="s">
        <v>280</v>
      </c>
      <c r="H38" s="2118" t="s">
        <v>263</v>
      </c>
    </row>
    <row r="39" ht="15" customHeight="1" spans="1:8">
      <c r="A39" s="2119" t="s">
        <v>281</v>
      </c>
      <c r="B39" s="2120">
        <f>ROUND(未审权益表!B39,2)</f>
        <v>220000000</v>
      </c>
      <c r="C39" s="2120">
        <f>ROUND(未审权益表!C39,2)</f>
        <v>0</v>
      </c>
      <c r="D39" s="2120">
        <f>ROUND(未审权益表!D39,2)</f>
        <v>0</v>
      </c>
      <c r="E39" s="2120"/>
      <c r="F39" s="2120">
        <f>审定利润表!D37</f>
        <v>-7295558.4</v>
      </c>
      <c r="G39" s="2120">
        <f>ROUND(未审权益表!G39,2)</f>
        <v>0</v>
      </c>
      <c r="H39" s="2121">
        <f t="shared" ref="H39:H64" si="11">ROUND(SUM(B39:G39)-2*D39,2)</f>
        <v>212704441.6</v>
      </c>
    </row>
    <row r="40" ht="15" customHeight="1" spans="1:8">
      <c r="A40" s="2122" t="s">
        <v>282</v>
      </c>
      <c r="B40" s="2120">
        <f>ROUND(未审权益表!B40,2)</f>
        <v>0</v>
      </c>
      <c r="C40" s="2120">
        <f>ROUND(未审权益表!C40,2)</f>
        <v>0</v>
      </c>
      <c r="D40" s="2120">
        <f>ROUND(未审权益表!D40,2)</f>
        <v>0</v>
      </c>
      <c r="E40" s="2120">
        <f>ROUND(未审权益表!E40,2)</f>
        <v>0</v>
      </c>
      <c r="F40" s="2120">
        <f>ROUND(未审权益表!F40,2)</f>
        <v>0</v>
      </c>
      <c r="G40" s="2120">
        <f>ROUND(未审权益表!G40,2)</f>
        <v>0</v>
      </c>
      <c r="H40" s="2121">
        <f t="shared" si="11"/>
        <v>0</v>
      </c>
    </row>
    <row r="41" ht="15" customHeight="1" spans="1:8">
      <c r="A41" s="2122" t="s">
        <v>283</v>
      </c>
      <c r="B41" s="2120">
        <f>ROUND(未审权益表!B41,2)</f>
        <v>0</v>
      </c>
      <c r="C41" s="2120">
        <f>ROUND(未审权益表!C41,2)</f>
        <v>0</v>
      </c>
      <c r="D41" s="2120">
        <f>ROUND(未审权益表!D41,2)</f>
        <v>0</v>
      </c>
      <c r="E41" s="2120">
        <f>ROUND(未审权益表!E41,2)</f>
        <v>0</v>
      </c>
      <c r="F41" s="2123">
        <f>ROUND(F42-F39-F40,2)</f>
        <v>0</v>
      </c>
      <c r="G41" s="2120">
        <f>ROUND(未审权益表!G41,2)</f>
        <v>0</v>
      </c>
      <c r="H41" s="2121">
        <f t="shared" si="11"/>
        <v>0</v>
      </c>
    </row>
    <row r="42" ht="15" customHeight="1" spans="1:8">
      <c r="A42" s="2119" t="s">
        <v>284</v>
      </c>
      <c r="B42" s="2123">
        <f t="shared" ref="B42:G42" si="12">ROUND(B39+B40+B41,2)</f>
        <v>220000000</v>
      </c>
      <c r="C42" s="2123">
        <f t="shared" si="12"/>
        <v>0</v>
      </c>
      <c r="D42" s="2123">
        <f t="shared" si="12"/>
        <v>0</v>
      </c>
      <c r="E42" s="2123">
        <f t="shared" si="12"/>
        <v>0</v>
      </c>
      <c r="F42" s="2123">
        <f>ROUND(审定利润表!D37,2)</f>
        <v>-7295558.4</v>
      </c>
      <c r="G42" s="2123">
        <f t="shared" si="12"/>
        <v>0</v>
      </c>
      <c r="H42" s="2121">
        <f t="shared" si="11"/>
        <v>212704441.6</v>
      </c>
    </row>
    <row r="43" ht="15" customHeight="1" spans="1:8">
      <c r="A43" s="2119" t="s">
        <v>285</v>
      </c>
      <c r="B43" s="2123">
        <f t="shared" ref="B43:G43" si="13">ROUND(B50+B51+B55+B59,2)</f>
        <v>-100000000</v>
      </c>
      <c r="C43" s="2123">
        <f t="shared" si="13"/>
        <v>5756259.26</v>
      </c>
      <c r="D43" s="2123">
        <f t="shared" si="13"/>
        <v>0</v>
      </c>
      <c r="E43" s="2123">
        <f t="shared" si="13"/>
        <v>0</v>
      </c>
      <c r="F43" s="2123">
        <f t="shared" si="13"/>
        <v>-29390731.64</v>
      </c>
      <c r="G43" s="2123">
        <f t="shared" si="13"/>
        <v>0</v>
      </c>
      <c r="H43" s="2121">
        <f t="shared" si="11"/>
        <v>-123634472.38</v>
      </c>
    </row>
    <row r="44" ht="15" customHeight="1" spans="1:8">
      <c r="A44" s="2119" t="s">
        <v>286</v>
      </c>
      <c r="B44" s="2123"/>
      <c r="C44" s="2123"/>
      <c r="D44" s="2123"/>
      <c r="E44" s="2123"/>
      <c r="F44" s="2123">
        <f>ROUND(审定利润表!D24,2)</f>
        <v>-10590731.64</v>
      </c>
      <c r="G44" s="2123"/>
      <c r="H44" s="2121">
        <f t="shared" si="11"/>
        <v>-10590731.64</v>
      </c>
    </row>
    <row r="45" ht="15" customHeight="1" spans="1:8">
      <c r="A45" s="2119" t="s">
        <v>287</v>
      </c>
      <c r="B45" s="2123">
        <f t="shared" ref="B45:G45" si="14">ROUND(B46+B47+B48+B49,2)</f>
        <v>0</v>
      </c>
      <c r="C45" s="2123">
        <f t="shared" si="14"/>
        <v>0</v>
      </c>
      <c r="D45" s="2123">
        <f t="shared" si="14"/>
        <v>0</v>
      </c>
      <c r="E45" s="2123">
        <f t="shared" si="14"/>
        <v>0</v>
      </c>
      <c r="F45" s="2123">
        <f t="shared" si="14"/>
        <v>0</v>
      </c>
      <c r="G45" s="2123">
        <f t="shared" si="14"/>
        <v>0</v>
      </c>
      <c r="H45" s="2121">
        <f t="shared" si="11"/>
        <v>0</v>
      </c>
    </row>
    <row r="46" ht="15" customHeight="1" spans="1:8">
      <c r="A46" s="2124" t="s">
        <v>288</v>
      </c>
      <c r="B46" s="2120">
        <f>ROUND(未审权益表!B46,2)</f>
        <v>0</v>
      </c>
      <c r="C46" s="2120">
        <f>ROUND(未审权益表!C46,2)</f>
        <v>0</v>
      </c>
      <c r="D46" s="2120">
        <f>ROUND(未审权益表!D46,2)</f>
        <v>0</v>
      </c>
      <c r="E46" s="2120">
        <f>ROUND(未审权益表!E46,2)</f>
        <v>0</v>
      </c>
      <c r="F46" s="2120">
        <f>ROUND(未审权益表!F46,2)</f>
        <v>0</v>
      </c>
      <c r="G46" s="2120">
        <f>ROUND(未审权益表!G46,2)</f>
        <v>0</v>
      </c>
      <c r="H46" s="2121">
        <f t="shared" si="11"/>
        <v>0</v>
      </c>
    </row>
    <row r="47" ht="15" customHeight="1" spans="1:8">
      <c r="A47" s="2124" t="s">
        <v>289</v>
      </c>
      <c r="B47" s="2120">
        <f>ROUND(未审权益表!B47,2)</f>
        <v>0</v>
      </c>
      <c r="C47" s="2120">
        <f>ROUND(未审权益表!C47,2)</f>
        <v>0</v>
      </c>
      <c r="D47" s="2120">
        <f>ROUND(未审权益表!D47,2)</f>
        <v>0</v>
      </c>
      <c r="E47" s="2120">
        <f>ROUND(未审权益表!E47,2)</f>
        <v>0</v>
      </c>
      <c r="F47" s="2120">
        <f>ROUND(未审权益表!F47,2)</f>
        <v>0</v>
      </c>
      <c r="G47" s="2120">
        <f>ROUND(未审权益表!G47,2)</f>
        <v>0</v>
      </c>
      <c r="H47" s="2121">
        <f t="shared" si="11"/>
        <v>0</v>
      </c>
    </row>
    <row r="48" ht="15" customHeight="1" spans="1:8">
      <c r="A48" s="2124" t="s">
        <v>290</v>
      </c>
      <c r="B48" s="2120">
        <f>ROUND(未审权益表!B48,2)</f>
        <v>0</v>
      </c>
      <c r="C48" s="2120">
        <f>ROUND(未审权益表!C48,2)</f>
        <v>0</v>
      </c>
      <c r="D48" s="2120">
        <f>ROUND(未审权益表!D48,2)</f>
        <v>0</v>
      </c>
      <c r="E48" s="2120">
        <f>ROUND(未审权益表!E48,2)</f>
        <v>0</v>
      </c>
      <c r="F48" s="2120">
        <f>ROUND(未审权益表!F48,2)</f>
        <v>0</v>
      </c>
      <c r="G48" s="2120">
        <f>ROUND(未审权益表!G48,2)</f>
        <v>0</v>
      </c>
      <c r="H48" s="2121">
        <f t="shared" si="11"/>
        <v>0</v>
      </c>
    </row>
    <row r="49" ht="15" customHeight="1" spans="1:8">
      <c r="A49" s="2124" t="s">
        <v>291</v>
      </c>
      <c r="B49" s="2120">
        <f>ROUND(未审权益表!B49,2)</f>
        <v>0</v>
      </c>
      <c r="C49" s="2120">
        <f>ROUND(未审权益表!C49,2)</f>
        <v>0</v>
      </c>
      <c r="D49" s="2120">
        <f>ROUND(未审权益表!D49,2)</f>
        <v>0</v>
      </c>
      <c r="E49" s="2120">
        <f>ROUND(未审权益表!E49,2)</f>
        <v>0</v>
      </c>
      <c r="F49" s="2120">
        <f>ROUND(未审权益表!F49,2)</f>
        <v>0</v>
      </c>
      <c r="G49" s="2120">
        <f>ROUND(未审权益表!G49,2)</f>
        <v>0</v>
      </c>
      <c r="H49" s="2121">
        <f t="shared" si="11"/>
        <v>0</v>
      </c>
    </row>
    <row r="50" ht="15" customHeight="1" spans="1:8">
      <c r="A50" s="2119" t="s">
        <v>292</v>
      </c>
      <c r="B50" s="2123">
        <f t="shared" ref="B50:G50" si="15">ROUND(B44+B45,2)</f>
        <v>0</v>
      </c>
      <c r="C50" s="2123">
        <f t="shared" si="15"/>
        <v>0</v>
      </c>
      <c r="D50" s="2123">
        <f t="shared" si="15"/>
        <v>0</v>
      </c>
      <c r="E50" s="2123">
        <f t="shared" si="15"/>
        <v>0</v>
      </c>
      <c r="F50" s="2123">
        <f t="shared" si="15"/>
        <v>-10590731.64</v>
      </c>
      <c r="G50" s="2123">
        <f t="shared" si="15"/>
        <v>0</v>
      </c>
      <c r="H50" s="2121">
        <f t="shared" si="11"/>
        <v>-10590731.64</v>
      </c>
    </row>
    <row r="51" ht="15" customHeight="1" spans="1:8">
      <c r="A51" s="2119" t="s">
        <v>293</v>
      </c>
      <c r="B51" s="2123">
        <f t="shared" ref="B51:G51" si="16">ROUND(B52+B53+B54,2)</f>
        <v>-100000000</v>
      </c>
      <c r="C51" s="2123">
        <f t="shared" si="16"/>
        <v>5756259.26</v>
      </c>
      <c r="D51" s="2123">
        <f t="shared" si="16"/>
        <v>0</v>
      </c>
      <c r="E51" s="2123">
        <f t="shared" si="16"/>
        <v>0</v>
      </c>
      <c r="F51" s="2123">
        <f t="shared" si="16"/>
        <v>0</v>
      </c>
      <c r="G51" s="2123">
        <f t="shared" si="16"/>
        <v>0</v>
      </c>
      <c r="H51" s="2121">
        <f t="shared" si="11"/>
        <v>-94243740.74</v>
      </c>
    </row>
    <row r="52" ht="15" customHeight="1" spans="1:8">
      <c r="A52" s="2124" t="s">
        <v>294</v>
      </c>
      <c r="B52" s="2120">
        <f>ROUND(未审权益表!B52,2)</f>
        <v>-100000000</v>
      </c>
      <c r="C52" s="2120">
        <f>ROUND(未审权益表!C52,2)</f>
        <v>5756259.26</v>
      </c>
      <c r="D52" s="2120">
        <f>ROUND(未审权益表!D52,2)</f>
        <v>0</v>
      </c>
      <c r="E52" s="2120">
        <f>ROUND(未审权益表!E52,2)</f>
        <v>0</v>
      </c>
      <c r="F52" s="2120">
        <f>ROUND(未审权益表!F52,2)</f>
        <v>0</v>
      </c>
      <c r="G52" s="2120">
        <f>ROUND(未审权益表!G52,2)</f>
        <v>0</v>
      </c>
      <c r="H52" s="2121">
        <f t="shared" si="11"/>
        <v>-94243740.74</v>
      </c>
    </row>
    <row r="53" ht="15" customHeight="1" spans="1:8">
      <c r="A53" s="2124" t="s">
        <v>295</v>
      </c>
      <c r="B53" s="2120">
        <f>ROUND(未审权益表!B53,2)</f>
        <v>0</v>
      </c>
      <c r="C53" s="2120">
        <f>ROUND(未审权益表!C53,2)</f>
        <v>0</v>
      </c>
      <c r="D53" s="2120">
        <f>ROUND(未审权益表!D53,2)</f>
        <v>0</v>
      </c>
      <c r="E53" s="2120">
        <f>ROUND(未审权益表!E53,2)</f>
        <v>0</v>
      </c>
      <c r="F53" s="2120">
        <f>ROUND(未审权益表!F53,2)</f>
        <v>0</v>
      </c>
      <c r="G53" s="2120">
        <f>ROUND(未审权益表!G53,2)</f>
        <v>0</v>
      </c>
      <c r="H53" s="2121">
        <f t="shared" si="11"/>
        <v>0</v>
      </c>
    </row>
    <row r="54" ht="15" customHeight="1" spans="1:8">
      <c r="A54" s="2124" t="s">
        <v>296</v>
      </c>
      <c r="B54" s="2120">
        <f>ROUND(未审权益表!B54,2)</f>
        <v>0</v>
      </c>
      <c r="C54" s="2120">
        <f>ROUND(未审权益表!C54,2)</f>
        <v>0</v>
      </c>
      <c r="D54" s="2120">
        <f>ROUND(未审权益表!D54,2)</f>
        <v>0</v>
      </c>
      <c r="E54" s="2120">
        <f>ROUND(未审权益表!E54,2)</f>
        <v>0</v>
      </c>
      <c r="F54" s="2120">
        <f>ROUND(未审权益表!F54,2)</f>
        <v>0</v>
      </c>
      <c r="G54" s="2120">
        <f>ROUND(未审权益表!G54,2)</f>
        <v>0</v>
      </c>
      <c r="H54" s="2121">
        <f t="shared" si="11"/>
        <v>0</v>
      </c>
    </row>
    <row r="55" ht="15" customHeight="1" spans="1:8">
      <c r="A55" s="2119" t="s">
        <v>297</v>
      </c>
      <c r="B55" s="2123">
        <f t="shared" ref="B55:G55" si="17">ROUND(B56+B57+B58,2)</f>
        <v>0</v>
      </c>
      <c r="C55" s="2123">
        <f t="shared" si="17"/>
        <v>0</v>
      </c>
      <c r="D55" s="2123">
        <f t="shared" si="17"/>
        <v>0</v>
      </c>
      <c r="E55" s="2123">
        <f t="shared" si="17"/>
        <v>0</v>
      </c>
      <c r="F55" s="2123">
        <f t="shared" si="17"/>
        <v>-18800000</v>
      </c>
      <c r="G55" s="2123">
        <f t="shared" si="17"/>
        <v>0</v>
      </c>
      <c r="H55" s="2121">
        <f t="shared" si="11"/>
        <v>-18800000</v>
      </c>
    </row>
    <row r="56" ht="15" customHeight="1" spans="1:8">
      <c r="A56" s="2124" t="s">
        <v>298</v>
      </c>
      <c r="B56" s="2120">
        <f>ROUND(未审权益表!B56,2)</f>
        <v>0</v>
      </c>
      <c r="C56" s="2120">
        <f>ROUND(未审权益表!C56,2)</f>
        <v>0</v>
      </c>
      <c r="D56" s="2120">
        <f>ROUND(未审权益表!D56,2)</f>
        <v>0</v>
      </c>
      <c r="E56" s="2120">
        <f>ROUND(未审权益表!E56,2)</f>
        <v>0</v>
      </c>
      <c r="F56" s="2120">
        <f>ROUND(未审权益表!F56,2)</f>
        <v>0</v>
      </c>
      <c r="G56" s="2120">
        <f>ROUND(未审权益表!G56,2)</f>
        <v>0</v>
      </c>
      <c r="H56" s="2121">
        <f t="shared" si="11"/>
        <v>0</v>
      </c>
    </row>
    <row r="57" ht="15" customHeight="1" spans="1:8">
      <c r="A57" s="2124" t="s">
        <v>299</v>
      </c>
      <c r="B57" s="2120">
        <f>ROUND(未审权益表!B57,2)</f>
        <v>0</v>
      </c>
      <c r="C57" s="2120">
        <f>ROUND(未审权益表!C57,2)</f>
        <v>0</v>
      </c>
      <c r="D57" s="2120">
        <f>ROUND(未审权益表!D57,2)</f>
        <v>0</v>
      </c>
      <c r="E57" s="2120">
        <f>ROUND(未审权益表!E57,2)</f>
        <v>0</v>
      </c>
      <c r="F57" s="2120">
        <f>-审定利润表!D38</f>
        <v>-18800000</v>
      </c>
      <c r="G57" s="2120">
        <f>ROUND(未审权益表!G57,2)</f>
        <v>0</v>
      </c>
      <c r="H57" s="2121">
        <f t="shared" si="11"/>
        <v>-18800000</v>
      </c>
    </row>
    <row r="58" ht="15" customHeight="1" spans="1:8">
      <c r="A58" s="2124" t="s">
        <v>296</v>
      </c>
      <c r="B58" s="2120">
        <f>ROUND(未审权益表!B58,2)</f>
        <v>0</v>
      </c>
      <c r="C58" s="2120">
        <f>ROUND(未审权益表!C58,2)</f>
        <v>0</v>
      </c>
      <c r="D58" s="2120">
        <f>ROUND(未审权益表!D58,2)</f>
        <v>0</v>
      </c>
      <c r="E58" s="2120">
        <f>ROUND(未审权益表!E58,2)</f>
        <v>0</v>
      </c>
      <c r="F58" s="2120">
        <f>ROUND(未审权益表!F58,2)</f>
        <v>0</v>
      </c>
      <c r="G58" s="2120">
        <f>ROUND(未审权益表!G58,2)</f>
        <v>0</v>
      </c>
      <c r="H58" s="2121">
        <f t="shared" si="11"/>
        <v>0</v>
      </c>
    </row>
    <row r="59" ht="15" customHeight="1" spans="1:8">
      <c r="A59" s="2119" t="s">
        <v>300</v>
      </c>
      <c r="B59" s="2123">
        <f t="shared" ref="B59:G59" si="18">ROUND(B60+B61+B62+B63,2)</f>
        <v>0</v>
      </c>
      <c r="C59" s="2123">
        <f t="shared" si="18"/>
        <v>0</v>
      </c>
      <c r="D59" s="2123">
        <f t="shared" si="18"/>
        <v>0</v>
      </c>
      <c r="E59" s="2123">
        <f t="shared" si="18"/>
        <v>0</v>
      </c>
      <c r="F59" s="2123">
        <f t="shared" si="18"/>
        <v>0</v>
      </c>
      <c r="G59" s="2123">
        <f t="shared" si="18"/>
        <v>0</v>
      </c>
      <c r="H59" s="2121">
        <f t="shared" si="11"/>
        <v>0</v>
      </c>
    </row>
    <row r="60" ht="15" customHeight="1" spans="1:8">
      <c r="A60" s="2124" t="s">
        <v>301</v>
      </c>
      <c r="B60" s="2120">
        <f>ROUND(未审权益表!B60,2)</f>
        <v>0</v>
      </c>
      <c r="C60" s="2120">
        <f>ROUND(未审权益表!C60,2)</f>
        <v>0</v>
      </c>
      <c r="D60" s="2120">
        <f>ROUND(未审权益表!D60,2)</f>
        <v>0</v>
      </c>
      <c r="E60" s="2120">
        <f>ROUND(未审权益表!E60,2)</f>
        <v>0</v>
      </c>
      <c r="F60" s="2120">
        <f>ROUND(未审权益表!F60,2)</f>
        <v>0</v>
      </c>
      <c r="G60" s="2120">
        <f>ROUND(未审权益表!G60,2)</f>
        <v>0</v>
      </c>
      <c r="H60" s="2121">
        <f t="shared" si="11"/>
        <v>0</v>
      </c>
    </row>
    <row r="61" ht="15" customHeight="1" spans="1:8">
      <c r="A61" s="2124" t="s">
        <v>302</v>
      </c>
      <c r="B61" s="2120">
        <f>ROUND(未审权益表!B61,2)</f>
        <v>0</v>
      </c>
      <c r="C61" s="2120">
        <f>ROUND(未审权益表!C61,2)</f>
        <v>0</v>
      </c>
      <c r="D61" s="2120">
        <f>ROUND(未审权益表!D61,2)</f>
        <v>0</v>
      </c>
      <c r="E61" s="2120">
        <f>ROUND(未审权益表!E61,2)</f>
        <v>0</v>
      </c>
      <c r="F61" s="2120">
        <f>ROUND(未审权益表!F61,2)</f>
        <v>0</v>
      </c>
      <c r="G61" s="2120">
        <f>ROUND(未审权益表!G61,2)</f>
        <v>0</v>
      </c>
      <c r="H61" s="2121">
        <f t="shared" si="11"/>
        <v>0</v>
      </c>
    </row>
    <row r="62" ht="15" customHeight="1" spans="1:8">
      <c r="A62" s="2124" t="s">
        <v>303</v>
      </c>
      <c r="B62" s="2120">
        <f>ROUND(未审权益表!B62,2)</f>
        <v>0</v>
      </c>
      <c r="C62" s="2120">
        <f>ROUND(未审权益表!C62,2)</f>
        <v>0</v>
      </c>
      <c r="D62" s="2120">
        <f>ROUND(未审权益表!D62,2)</f>
        <v>0</v>
      </c>
      <c r="E62" s="2120"/>
      <c r="F62" s="2120"/>
      <c r="G62" s="2120">
        <f>ROUND(未审权益表!G62,2)</f>
        <v>0</v>
      </c>
      <c r="H62" s="2121">
        <f t="shared" si="11"/>
        <v>0</v>
      </c>
    </row>
    <row r="63" ht="15" customHeight="1" spans="1:8">
      <c r="A63" s="2124" t="s">
        <v>291</v>
      </c>
      <c r="B63" s="2120">
        <f>ROUND(未审权益表!B63,2)</f>
        <v>0</v>
      </c>
      <c r="C63" s="2120">
        <f>ROUND(未审权益表!C63,2)</f>
        <v>0</v>
      </c>
      <c r="D63" s="2120">
        <f>ROUND(未审权益表!D63,2)</f>
        <v>0</v>
      </c>
      <c r="E63" s="2120">
        <f>ROUND(未审权益表!E63,2)</f>
        <v>0</v>
      </c>
      <c r="F63" s="2120">
        <f>ROUND(未审权益表!F63,2)</f>
        <v>0</v>
      </c>
      <c r="G63" s="2120">
        <f>ROUND(未审权益表!G63,2)</f>
        <v>0</v>
      </c>
      <c r="H63" s="2121">
        <f t="shared" si="11"/>
        <v>0</v>
      </c>
    </row>
    <row r="64" ht="15" customHeight="1" spans="1:8">
      <c r="A64" s="2125" t="s">
        <v>304</v>
      </c>
      <c r="B64" s="2126">
        <f t="shared" ref="B64:G64" si="19">ROUND(B42+B43,2)</f>
        <v>120000000</v>
      </c>
      <c r="C64" s="2126">
        <f t="shared" si="19"/>
        <v>5756259.26</v>
      </c>
      <c r="D64" s="2126">
        <f t="shared" si="19"/>
        <v>0</v>
      </c>
      <c r="E64" s="2126">
        <f t="shared" si="19"/>
        <v>0</v>
      </c>
      <c r="F64" s="2126">
        <f t="shared" si="19"/>
        <v>-36686290.04</v>
      </c>
      <c r="G64" s="2126">
        <f t="shared" si="19"/>
        <v>0</v>
      </c>
      <c r="H64" s="2127">
        <f t="shared" si="11"/>
        <v>89069969.22</v>
      </c>
    </row>
    <row r="65" ht="15"/>
  </sheetData>
  <mergeCells count="6">
    <mergeCell ref="A1:H1"/>
    <mergeCell ref="A33:H33"/>
    <mergeCell ref="A4:A6"/>
    <mergeCell ref="A36:A38"/>
    <mergeCell ref="B4:H5"/>
    <mergeCell ref="B36:H37"/>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3" header="0.275590551181102" footer="0.71"/>
  <pageSetup paperSize="9" scale="95" fitToHeight="0" orientation="landscape" blackAndWhite="1"/>
  <headerFooter alignWithMargins="0">
    <oddFooter>&amp;L&amp;10企业负责人:&amp;C&amp;10会计机构负责人：&amp;R&amp;10制表人：</oddFooter>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4.25"/>
  <cols>
    <col min="1" max="1" width="37.75" customWidth="1"/>
    <col min="2" max="9" width="12.25" customWidth="1"/>
    <col min="10" max="10" width="26.75" hidden="1" customWidth="1"/>
    <col min="11" max="11" width="16.25" customWidth="1"/>
  </cols>
  <sheetData>
    <row r="1" ht="25.5" spans="1:9">
      <c r="A1" s="2395" t="s">
        <v>1973</v>
      </c>
      <c r="B1" s="2395"/>
      <c r="C1" s="2395"/>
      <c r="D1" s="2395"/>
      <c r="E1" s="2395"/>
      <c r="F1" s="2395"/>
      <c r="G1" s="2395"/>
      <c r="H1" s="2395"/>
      <c r="I1" s="2395"/>
    </row>
    <row r="2" spans="1:9">
      <c r="A2" s="2397" t="s">
        <v>313</v>
      </c>
      <c r="B2" s="2465"/>
      <c r="C2" s="2465"/>
      <c r="D2" s="2465"/>
      <c r="E2" s="2465"/>
      <c r="F2" s="2465"/>
      <c r="G2" s="2465"/>
      <c r="H2" s="2465"/>
      <c r="I2" s="2465"/>
    </row>
    <row r="3" spans="1:9">
      <c r="A3" s="2399" t="s">
        <v>314</v>
      </c>
      <c r="B3" s="2465"/>
      <c r="C3" s="2465"/>
      <c r="D3" s="2465"/>
      <c r="E3" s="2465"/>
      <c r="F3" s="2465"/>
      <c r="G3" s="2465"/>
      <c r="H3" s="2465"/>
      <c r="I3" s="2465"/>
    </row>
    <row r="4" spans="1:9">
      <c r="A4" s="2466" t="s">
        <v>315</v>
      </c>
      <c r="B4" s="2426" t="s">
        <v>316</v>
      </c>
      <c r="C4" s="2426"/>
      <c r="D4" s="2426"/>
      <c r="E4" s="2426" t="s">
        <v>317</v>
      </c>
      <c r="F4" s="2426"/>
      <c r="G4" s="2426"/>
      <c r="H4" s="2446"/>
      <c r="I4" s="2446"/>
    </row>
    <row r="5" spans="1:9">
      <c r="A5" s="2467"/>
      <c r="B5" s="2426" t="s">
        <v>318</v>
      </c>
      <c r="C5" s="2426" t="s">
        <v>319</v>
      </c>
      <c r="D5" s="2426" t="s">
        <v>320</v>
      </c>
      <c r="E5" s="2426" t="s">
        <v>318</v>
      </c>
      <c r="F5" s="2426" t="s">
        <v>319</v>
      </c>
      <c r="G5" s="2426" t="s">
        <v>320</v>
      </c>
      <c r="H5" s="2446"/>
      <c r="I5" s="2446"/>
    </row>
    <row r="6" spans="1:10">
      <c r="A6" s="2427" t="s">
        <v>321</v>
      </c>
      <c r="B6" s="2150"/>
      <c r="C6" s="2468"/>
      <c r="D6" s="2369">
        <f>ROUND(SUM(D7:D11),2)</f>
        <v>0</v>
      </c>
      <c r="E6" s="2150"/>
      <c r="F6" s="2468"/>
      <c r="G6" s="2369">
        <f>ROUND(SUM(G7:G11),2)</f>
        <v>0</v>
      </c>
      <c r="H6" s="2418"/>
      <c r="I6" s="2418"/>
      <c r="J6" s="2436" t="s">
        <v>322</v>
      </c>
    </row>
    <row r="7" spans="1:10">
      <c r="A7" s="2427" t="s">
        <v>323</v>
      </c>
      <c r="B7" s="2150"/>
      <c r="C7" s="2468"/>
      <c r="D7" s="2469">
        <f>IF(未审附注之流动资产!D7="",0,未审附注之流动资产!D7)</f>
        <v>0</v>
      </c>
      <c r="E7" s="2150"/>
      <c r="F7" s="2468"/>
      <c r="G7" s="2469">
        <f>IF(未审附注之流动资产!G7="",0,未审附注之流动资产!G7)</f>
        <v>0</v>
      </c>
      <c r="H7" s="2418"/>
      <c r="I7" s="2418"/>
      <c r="J7" s="2436" t="s">
        <v>324</v>
      </c>
    </row>
    <row r="8" spans="1:10">
      <c r="A8" s="2470" t="s">
        <v>325</v>
      </c>
      <c r="B8" s="2123" t="str">
        <f>IF(C8=0,"",ROUND(D8/C8,2))</f>
        <v/>
      </c>
      <c r="C8" s="2471">
        <f>IF(未审附注之流动资产!C8="",0,未审附注之流动资产!C8)</f>
        <v>0</v>
      </c>
      <c r="D8" s="2469">
        <f>IF(未审附注之流动资产!D8="",0,未审附注之流动资产!D8)</f>
        <v>0</v>
      </c>
      <c r="E8" s="2123" t="str">
        <f>IF(F8=0,"",ROUND(G8/F8,2))</f>
        <v/>
      </c>
      <c r="F8" s="2471">
        <f>IF(未审附注之流动资产!F8="",0,未审附注之流动资产!F8)</f>
        <v>0</v>
      </c>
      <c r="G8" s="2469">
        <f>IF(未审附注之流动资产!G8="",0,未审附注之流动资产!G8)</f>
        <v>0</v>
      </c>
      <c r="H8" s="2418"/>
      <c r="I8" s="2418"/>
      <c r="J8" s="2436" t="s">
        <v>326</v>
      </c>
    </row>
    <row r="9" spans="1:10">
      <c r="A9" s="2470" t="s">
        <v>327</v>
      </c>
      <c r="B9" s="2123" t="str">
        <f>IF(C9=0,"",ROUND(D9/C9,2))</f>
        <v/>
      </c>
      <c r="C9" s="2471">
        <f>IF(未审附注之流动资产!C9="",0,未审附注之流动资产!C9)</f>
        <v>0</v>
      </c>
      <c r="D9" s="2469">
        <f>IF(未审附注之流动资产!D9="",0,未审附注之流动资产!D9)</f>
        <v>0</v>
      </c>
      <c r="E9" s="2123" t="str">
        <f>IF(F9=0,"",ROUND(G9/F9,2))</f>
        <v/>
      </c>
      <c r="F9" s="2471">
        <f>IF(未审附注之流动资产!F9="",0,未审附注之流动资产!F9)</f>
        <v>0</v>
      </c>
      <c r="G9" s="2469">
        <f>IF(未审附注之流动资产!G9="",0,未审附注之流动资产!G9)</f>
        <v>0</v>
      </c>
      <c r="H9" s="2418"/>
      <c r="I9" s="2418"/>
      <c r="J9" s="2436" t="s">
        <v>328</v>
      </c>
    </row>
    <row r="10" spans="1:10">
      <c r="A10" s="2470" t="s">
        <v>329</v>
      </c>
      <c r="B10" s="2123" t="str">
        <f>IF(C10=0,"",ROUND(D10/C10,2))</f>
        <v/>
      </c>
      <c r="C10" s="2471">
        <f>IF(未审附注之流动资产!C10="",0,未审附注之流动资产!C10)</f>
        <v>0</v>
      </c>
      <c r="D10" s="2469">
        <f>IF(未审附注之流动资产!D10="",0,未审附注之流动资产!D10)</f>
        <v>0</v>
      </c>
      <c r="E10" s="2123" t="str">
        <f>IF(F10=0,"",ROUND(G10/F10,2))</f>
        <v/>
      </c>
      <c r="F10" s="2471">
        <f>IF(未审附注之流动资产!F10="",0,未审附注之流动资产!F10)</f>
        <v>0</v>
      </c>
      <c r="G10" s="2469">
        <f>IF(未审附注之流动资产!G10="",0,未审附注之流动资产!G10)</f>
        <v>0</v>
      </c>
      <c r="H10" s="2418"/>
      <c r="I10" s="2418"/>
      <c r="J10" s="2436" t="s">
        <v>330</v>
      </c>
    </row>
    <row r="11" spans="1:10">
      <c r="A11" s="2470" t="s">
        <v>331</v>
      </c>
      <c r="B11" s="2123" t="str">
        <f>IF(C11=0,"",ROUND(D11/C11,2))</f>
        <v/>
      </c>
      <c r="C11" s="2471">
        <f>IF(未审附注之流动资产!C11="",0,未审附注之流动资产!C11)</f>
        <v>0</v>
      </c>
      <c r="D11" s="2469">
        <f>IF(未审附注之流动资产!D11="",0,未审附注之流动资产!D11)</f>
        <v>0</v>
      </c>
      <c r="E11" s="2123" t="str">
        <f>IF(F11=0,"",ROUND(G11/F11,2))</f>
        <v/>
      </c>
      <c r="F11" s="2471">
        <f>IF(未审附注之流动资产!F11="",0,未审附注之流动资产!F11)</f>
        <v>0</v>
      </c>
      <c r="G11" s="2469">
        <f>IF(未审附注之流动资产!G11="",0,未审附注之流动资产!G11)</f>
        <v>0</v>
      </c>
      <c r="H11" s="2418"/>
      <c r="I11" s="2418"/>
      <c r="J11" s="2436" t="s">
        <v>332</v>
      </c>
    </row>
    <row r="12" spans="1:10">
      <c r="A12" s="2427" t="s">
        <v>333</v>
      </c>
      <c r="B12" s="2416"/>
      <c r="C12" s="2468"/>
      <c r="D12" s="2369">
        <f>ROUND(SUM(D13:D17),2)</f>
        <v>0</v>
      </c>
      <c r="E12" s="2416"/>
      <c r="F12" s="2468"/>
      <c r="G12" s="2369">
        <f>ROUND(SUM(G13:G17),2)</f>
        <v>0</v>
      </c>
      <c r="H12" s="2418"/>
      <c r="I12" s="2418"/>
      <c r="J12" s="2436" t="s">
        <v>334</v>
      </c>
    </row>
    <row r="13" spans="1:10">
      <c r="A13" s="2427" t="s">
        <v>323</v>
      </c>
      <c r="B13" s="2416"/>
      <c r="C13" s="2468"/>
      <c r="D13" s="2469">
        <f>IF(未审附注之流动资产!D13="",0,未审附注之流动资产!D13)</f>
        <v>0</v>
      </c>
      <c r="E13" s="2416"/>
      <c r="F13" s="2468"/>
      <c r="G13" s="2469">
        <f>IF(未审附注之流动资产!G13="",0,未审附注之流动资产!G13)</f>
        <v>0</v>
      </c>
      <c r="H13" s="2418"/>
      <c r="I13" s="2418"/>
      <c r="J13" s="2436" t="s">
        <v>335</v>
      </c>
    </row>
    <row r="14" spans="1:10">
      <c r="A14" s="2470" t="s">
        <v>325</v>
      </c>
      <c r="B14" s="2123" t="str">
        <f>IF(C14=0,"",ROUND(D14/C14,2))</f>
        <v/>
      </c>
      <c r="C14" s="2471">
        <f>IF(未审附注之流动资产!C14="",0,未审附注之流动资产!C14)</f>
        <v>0</v>
      </c>
      <c r="D14" s="2469">
        <f>IF(未审附注之流动资产!D14="",0,未审附注之流动资产!D14)</f>
        <v>0</v>
      </c>
      <c r="E14" s="2123" t="str">
        <f>IF(F14=0,"",ROUND(G14/F14,2))</f>
        <v/>
      </c>
      <c r="F14" s="2471">
        <f>IF(未审附注之流动资产!F14="",0,未审附注之流动资产!F14)</f>
        <v>0</v>
      </c>
      <c r="G14" s="2469">
        <f>IF(未审附注之流动资产!G14="",0,未审附注之流动资产!G14)</f>
        <v>0</v>
      </c>
      <c r="H14" s="2418"/>
      <c r="I14" s="2418"/>
      <c r="J14" s="2436" t="s">
        <v>336</v>
      </c>
    </row>
    <row r="15" spans="1:10">
      <c r="A15" s="2470" t="s">
        <v>327</v>
      </c>
      <c r="B15" s="2123" t="str">
        <f>IF(C15=0,"",ROUND(D15/C15,2))</f>
        <v/>
      </c>
      <c r="C15" s="2471">
        <f>IF(未审附注之流动资产!C15="",0,未审附注之流动资产!C15)</f>
        <v>0</v>
      </c>
      <c r="D15" s="2469">
        <f>IF(未审附注之流动资产!D15="",0,未审附注之流动资产!D15)</f>
        <v>0</v>
      </c>
      <c r="E15" s="2123" t="str">
        <f>IF(F15=0,"",ROUND(G15/F15,2))</f>
        <v/>
      </c>
      <c r="F15" s="2471">
        <f>IF(未审附注之流动资产!F15="",0,未审附注之流动资产!F15)</f>
        <v>0</v>
      </c>
      <c r="G15" s="2469">
        <f>IF(未审附注之流动资产!G15="",0,未审附注之流动资产!G15)</f>
        <v>0</v>
      </c>
      <c r="H15" s="2418"/>
      <c r="I15" s="2418"/>
      <c r="J15" s="2436" t="s">
        <v>337</v>
      </c>
    </row>
    <row r="16" spans="1:10">
      <c r="A16" s="2470" t="s">
        <v>329</v>
      </c>
      <c r="B16" s="2123" t="str">
        <f>IF(C16=0,"",ROUND(D16/C16,2))</f>
        <v/>
      </c>
      <c r="C16" s="2471">
        <f>IF(未审附注之流动资产!C16="",0,未审附注之流动资产!C16)</f>
        <v>0</v>
      </c>
      <c r="D16" s="2469">
        <f>IF(未审附注之流动资产!D16="",0,未审附注之流动资产!D16)</f>
        <v>0</v>
      </c>
      <c r="E16" s="2123" t="str">
        <f>IF(F16=0,"",ROUND(G16/F16,2))</f>
        <v/>
      </c>
      <c r="F16" s="2471">
        <f>IF(未审附注之流动资产!F16="",0,未审附注之流动资产!F16)</f>
        <v>0</v>
      </c>
      <c r="G16" s="2469">
        <f>IF(未审附注之流动资产!G16="",0,未审附注之流动资产!G16)</f>
        <v>0</v>
      </c>
      <c r="H16" s="2418"/>
      <c r="I16" s="2418"/>
      <c r="J16" s="2436" t="s">
        <v>338</v>
      </c>
    </row>
    <row r="17" spans="1:10">
      <c r="A17" s="2470" t="s">
        <v>331</v>
      </c>
      <c r="B17" s="2123" t="str">
        <f>IF(C17=0,"",ROUND(D17/C17,2))</f>
        <v/>
      </c>
      <c r="C17" s="2471">
        <f>IF(未审附注之流动资产!C17="",0,未审附注之流动资产!C17)</f>
        <v>0</v>
      </c>
      <c r="D17" s="2469">
        <f>IF(未审附注之流动资产!D17="",0,未审附注之流动资产!D17)</f>
        <v>0</v>
      </c>
      <c r="E17" s="2123" t="str">
        <f>IF(F17=0,"",ROUND(G17/F17,2))</f>
        <v/>
      </c>
      <c r="F17" s="2471">
        <f>IF(未审附注之流动资产!F17="",0,未审附注之流动资产!F17)</f>
        <v>0</v>
      </c>
      <c r="G17" s="2469">
        <f>IF(未审附注之流动资产!G17="",0,未审附注之流动资产!G17)</f>
        <v>0</v>
      </c>
      <c r="H17" s="2418"/>
      <c r="I17" s="2418"/>
      <c r="J17" s="2436" t="s">
        <v>339</v>
      </c>
    </row>
    <row r="18" spans="1:10">
      <c r="A18" s="2427" t="s">
        <v>340</v>
      </c>
      <c r="B18" s="2416"/>
      <c r="C18" s="2468"/>
      <c r="D18" s="2369">
        <f>ROUND(SUM(D19:D23),2)</f>
        <v>0</v>
      </c>
      <c r="E18" s="2416"/>
      <c r="F18" s="2468"/>
      <c r="G18" s="2369">
        <f>ROUND(SUM(G19:G23),2)</f>
        <v>0</v>
      </c>
      <c r="H18" s="2418"/>
      <c r="I18" s="2418"/>
      <c r="J18" s="2436" t="s">
        <v>341</v>
      </c>
    </row>
    <row r="19" spans="1:10">
      <c r="A19" s="2427" t="s">
        <v>323</v>
      </c>
      <c r="B19" s="2416"/>
      <c r="C19" s="2468"/>
      <c r="D19" s="2469">
        <f>IF(未审附注之流动资产!D19="",0,未审附注之流动资产!D19)</f>
        <v>0</v>
      </c>
      <c r="E19" s="2416"/>
      <c r="F19" s="2468"/>
      <c r="G19" s="2469">
        <f>IF(未审附注之流动资产!G19="",0,未审附注之流动资产!G19)</f>
        <v>0</v>
      </c>
      <c r="H19" s="2418"/>
      <c r="I19" s="2418"/>
      <c r="J19" s="2436" t="s">
        <v>342</v>
      </c>
    </row>
    <row r="20" spans="1:10">
      <c r="A20" s="2470" t="s">
        <v>325</v>
      </c>
      <c r="B20" s="2123" t="str">
        <f>IF(C20=0,"",ROUND(D20/C20,2))</f>
        <v/>
      </c>
      <c r="C20" s="2471">
        <f>IF(未审附注之流动资产!C20="",0,未审附注之流动资产!C20)</f>
        <v>0</v>
      </c>
      <c r="D20" s="2469">
        <f>IF(未审附注之流动资产!D20="",0,未审附注之流动资产!D20)</f>
        <v>0</v>
      </c>
      <c r="E20" s="2123" t="str">
        <f>IF(F20=0,"",ROUND(G20/F20,2))</f>
        <v/>
      </c>
      <c r="F20" s="2471">
        <f>IF(未审附注之流动资产!F20="",0,未审附注之流动资产!F20)</f>
        <v>0</v>
      </c>
      <c r="G20" s="2469">
        <f>IF(未审附注之流动资产!G20="",0,未审附注之流动资产!G20)</f>
        <v>0</v>
      </c>
      <c r="H20" s="2418"/>
      <c r="I20" s="2418"/>
      <c r="J20" s="2436" t="s">
        <v>343</v>
      </c>
    </row>
    <row r="21" spans="1:10">
      <c r="A21" s="2470" t="s">
        <v>327</v>
      </c>
      <c r="B21" s="2123" t="str">
        <f>IF(C21=0,"",ROUND(D21/C21,2))</f>
        <v/>
      </c>
      <c r="C21" s="2471">
        <f>IF(未审附注之流动资产!C21="",0,未审附注之流动资产!C21)</f>
        <v>0</v>
      </c>
      <c r="D21" s="2469">
        <f>IF(未审附注之流动资产!D21="",0,未审附注之流动资产!D21)</f>
        <v>0</v>
      </c>
      <c r="E21" s="2123" t="str">
        <f>IF(F21=0,"",ROUND(G21/F21,2))</f>
        <v/>
      </c>
      <c r="F21" s="2471">
        <f>IF(未审附注之流动资产!F21="",0,未审附注之流动资产!F21)</f>
        <v>0</v>
      </c>
      <c r="G21" s="2469">
        <f>IF(未审附注之流动资产!G21="",0,未审附注之流动资产!G21)</f>
        <v>0</v>
      </c>
      <c r="H21" s="2418"/>
      <c r="I21" s="2418"/>
      <c r="J21" s="2436" t="s">
        <v>344</v>
      </c>
    </row>
    <row r="22" spans="1:10">
      <c r="A22" s="2470" t="s">
        <v>329</v>
      </c>
      <c r="B22" s="2123" t="str">
        <f>IF(C22=0,"",ROUND(D22/C22,2))</f>
        <v/>
      </c>
      <c r="C22" s="2471">
        <f>IF(未审附注之流动资产!C22="",0,未审附注之流动资产!C22)</f>
        <v>0</v>
      </c>
      <c r="D22" s="2469">
        <f>IF(未审附注之流动资产!D22="",0,未审附注之流动资产!D22)</f>
        <v>0</v>
      </c>
      <c r="E22" s="2123" t="str">
        <f>IF(F22=0,"",ROUND(G22/F22,2))</f>
        <v/>
      </c>
      <c r="F22" s="2471">
        <f>IF(未审附注之流动资产!F22="",0,未审附注之流动资产!F22)</f>
        <v>0</v>
      </c>
      <c r="G22" s="2469">
        <f>IF(未审附注之流动资产!G22="",0,未审附注之流动资产!G22)</f>
        <v>0</v>
      </c>
      <c r="H22" s="2418"/>
      <c r="I22" s="2418"/>
      <c r="J22" s="2436" t="s">
        <v>345</v>
      </c>
    </row>
    <row r="23" spans="1:10">
      <c r="A23" s="2470" t="s">
        <v>331</v>
      </c>
      <c r="B23" s="2123" t="str">
        <f>IF(C23=0,"",ROUND(D23/C23,2))</f>
        <v/>
      </c>
      <c r="C23" s="2471">
        <f>IF(未审附注之流动资产!C23="",0,未审附注之流动资产!C23)</f>
        <v>0</v>
      </c>
      <c r="D23" s="2469">
        <f>IF(未审附注之流动资产!D23="",0,未审附注之流动资产!D23)</f>
        <v>0</v>
      </c>
      <c r="E23" s="2123" t="str">
        <f>IF(F23=0,"",ROUND(G23/F23,2))</f>
        <v/>
      </c>
      <c r="F23" s="2471">
        <f>IF(未审附注之流动资产!F23="",0,未审附注之流动资产!F23)</f>
        <v>0</v>
      </c>
      <c r="G23" s="2469">
        <f>IF(未审附注之流动资产!G23="",0,未审附注之流动资产!G23)</f>
        <v>0</v>
      </c>
      <c r="H23" s="2418"/>
      <c r="I23" s="2418"/>
      <c r="J23" s="2436" t="s">
        <v>346</v>
      </c>
    </row>
    <row r="24" spans="1:10">
      <c r="A24" s="2400" t="s">
        <v>347</v>
      </c>
      <c r="B24" s="2150"/>
      <c r="C24" s="2468"/>
      <c r="D24" s="2369">
        <f>ROUND(D6+D12+D18,2)</f>
        <v>0</v>
      </c>
      <c r="E24" s="2150"/>
      <c r="F24" s="2468"/>
      <c r="G24" s="2369">
        <f>ROUND(G6+G12+G18,2)</f>
        <v>0</v>
      </c>
      <c r="H24" s="2418"/>
      <c r="I24" s="2418"/>
      <c r="J24" s="2436" t="s">
        <v>348</v>
      </c>
    </row>
    <row r="25" spans="1:9">
      <c r="A25" s="2419"/>
      <c r="B25" s="2419"/>
      <c r="C25" s="2419"/>
      <c r="D25" s="2419"/>
      <c r="E25" s="2419"/>
      <c r="F25" s="2419"/>
      <c r="G25" s="2419"/>
      <c r="H25" s="2418"/>
      <c r="I25" s="2418"/>
    </row>
    <row r="26" spans="1:9">
      <c r="A26" s="2422" t="s">
        <v>349</v>
      </c>
      <c r="B26" s="2419"/>
      <c r="C26" s="2419"/>
      <c r="D26" s="2419"/>
      <c r="E26" s="2419"/>
      <c r="F26" s="2419"/>
      <c r="G26" s="2419"/>
      <c r="H26" s="2418"/>
      <c r="I26" s="2418"/>
    </row>
    <row r="27" spans="1:9">
      <c r="A27" s="2400" t="s">
        <v>350</v>
      </c>
      <c r="B27" s="2400" t="s">
        <v>351</v>
      </c>
      <c r="C27" s="2400" t="s">
        <v>352</v>
      </c>
      <c r="D27" s="2400" t="s">
        <v>353</v>
      </c>
      <c r="E27" s="2400" t="s">
        <v>354</v>
      </c>
      <c r="F27" s="2419"/>
      <c r="G27" s="2446"/>
      <c r="H27" s="2446"/>
      <c r="I27" s="2446"/>
    </row>
    <row r="28" spans="1:10">
      <c r="A28" s="2410">
        <f>IF(未审附注之流动资产!A28="",0,未审附注之流动资产!A28)</f>
        <v>0</v>
      </c>
      <c r="B28" s="2403">
        <f>IF(未审附注之流动资产!B28="",0,未审附注之流动资产!B28)</f>
        <v>0</v>
      </c>
      <c r="C28" s="2410">
        <f>IF(未审附注之流动资产!C28="",0,未审附注之流动资产!C28)</f>
        <v>0</v>
      </c>
      <c r="D28" s="2410">
        <f>IF(未审附注之流动资产!D28="",0,未审附注之流动资产!D28)</f>
        <v>0</v>
      </c>
      <c r="E28" s="2472">
        <f>IF(未审附注之流动资产!E28="",0,未审附注之流动资产!E28)</f>
        <v>0</v>
      </c>
      <c r="F28" s="2419"/>
      <c r="G28" s="2446"/>
      <c r="H28" s="2446"/>
      <c r="I28" s="2446"/>
      <c r="J28" s="2436" t="s">
        <v>355</v>
      </c>
    </row>
    <row r="29" spans="1:10">
      <c r="A29" s="2410">
        <f>IF(未审附注之流动资产!A29="",0,未审附注之流动资产!A29)</f>
        <v>0</v>
      </c>
      <c r="B29" s="2403">
        <f>IF(未审附注之流动资产!B29="",0,未审附注之流动资产!B29)</f>
        <v>0</v>
      </c>
      <c r="C29" s="2410">
        <f>IF(未审附注之流动资产!C29="",0,未审附注之流动资产!C29)</f>
        <v>0</v>
      </c>
      <c r="D29" s="2410">
        <f>IF(未审附注之流动资产!D29="",0,未审附注之流动资产!D29)</f>
        <v>0</v>
      </c>
      <c r="E29" s="2472">
        <f>IF(未审附注之流动资产!E29="",0,未审附注之流动资产!E29)</f>
        <v>0</v>
      </c>
      <c r="F29" s="2419"/>
      <c r="G29" s="2446"/>
      <c r="H29" s="2446"/>
      <c r="I29" s="2446"/>
      <c r="J29" s="2436" t="s">
        <v>355</v>
      </c>
    </row>
    <row r="30" spans="1:10">
      <c r="A30" s="2410">
        <f>IF(未审附注之流动资产!A30="",0,未审附注之流动资产!A30)</f>
        <v>0</v>
      </c>
      <c r="B30" s="2403">
        <f>IF(未审附注之流动资产!B30="",0,未审附注之流动资产!B30)</f>
        <v>0</v>
      </c>
      <c r="C30" s="2410">
        <f>IF(未审附注之流动资产!C30="",0,未审附注之流动资产!C30)</f>
        <v>0</v>
      </c>
      <c r="D30" s="2410">
        <f>IF(未审附注之流动资产!D30="",0,未审附注之流动资产!D30)</f>
        <v>0</v>
      </c>
      <c r="E30" s="2472">
        <f>IF(未审附注之流动资产!E30="",0,未审附注之流动资产!E30)</f>
        <v>0</v>
      </c>
      <c r="F30" s="2419"/>
      <c r="G30" s="2446"/>
      <c r="H30" s="2446"/>
      <c r="I30" s="2446"/>
      <c r="J30" s="2436" t="s">
        <v>355</v>
      </c>
    </row>
    <row r="31" spans="1:10">
      <c r="A31" s="2410">
        <f>IF(未审附注之流动资产!A31="",0,未审附注之流动资产!A31)</f>
        <v>0</v>
      </c>
      <c r="B31" s="2403">
        <f>IF(未审附注之流动资产!B31="",0,未审附注之流动资产!B31)</f>
        <v>0</v>
      </c>
      <c r="C31" s="2410">
        <f>IF(未审附注之流动资产!C31="",0,未审附注之流动资产!C31)</f>
        <v>0</v>
      </c>
      <c r="D31" s="2410">
        <f>IF(未审附注之流动资产!D31="",0,未审附注之流动资产!D31)</f>
        <v>0</v>
      </c>
      <c r="E31" s="2472">
        <f>IF(未审附注之流动资产!E31="",0,未审附注之流动资产!E31)</f>
        <v>0</v>
      </c>
      <c r="F31" s="2419"/>
      <c r="G31" s="2446"/>
      <c r="H31" s="2446"/>
      <c r="I31" s="2446"/>
      <c r="J31" s="2436" t="s">
        <v>355</v>
      </c>
    </row>
    <row r="32" spans="1:10">
      <c r="A32" s="2410">
        <f>IF(未审附注之流动资产!A32="",0,未审附注之流动资产!A32)</f>
        <v>0</v>
      </c>
      <c r="B32" s="2403">
        <f>IF(未审附注之流动资产!B32="",0,未审附注之流动资产!B32)</f>
        <v>0</v>
      </c>
      <c r="C32" s="2410">
        <f>IF(未审附注之流动资产!C32="",0,未审附注之流动资产!C32)</f>
        <v>0</v>
      </c>
      <c r="D32" s="2410">
        <f>IF(未审附注之流动资产!D32="",0,未审附注之流动资产!D32)</f>
        <v>0</v>
      </c>
      <c r="E32" s="2472">
        <f>IF(未审附注之流动资产!E32="",0,未审附注之流动资产!E32)</f>
        <v>0</v>
      </c>
      <c r="F32" s="2419"/>
      <c r="G32" s="2446"/>
      <c r="H32" s="2446"/>
      <c r="I32" s="2446"/>
      <c r="J32" s="2436" t="s">
        <v>355</v>
      </c>
    </row>
    <row r="33" spans="1:10">
      <c r="A33" s="2410">
        <f>IF(未审附注之流动资产!A33="",0,未审附注之流动资产!A33)</f>
        <v>0</v>
      </c>
      <c r="B33" s="2403">
        <f>IF(未审附注之流动资产!B33="",0,未审附注之流动资产!B33)</f>
        <v>0</v>
      </c>
      <c r="C33" s="2410">
        <f>IF(未审附注之流动资产!C33="",0,未审附注之流动资产!C33)</f>
        <v>0</v>
      </c>
      <c r="D33" s="2410">
        <f>IF(未审附注之流动资产!D33="",0,未审附注之流动资产!D33)</f>
        <v>0</v>
      </c>
      <c r="E33" s="2472">
        <f>IF(未审附注之流动资产!E33="",0,未审附注之流动资产!E33)</f>
        <v>0</v>
      </c>
      <c r="F33" s="2419"/>
      <c r="G33" s="2446"/>
      <c r="H33" s="2446"/>
      <c r="I33" s="2446"/>
      <c r="J33" s="2436" t="s">
        <v>355</v>
      </c>
    </row>
    <row r="34" spans="1:10">
      <c r="A34" s="2410">
        <f>IF(未审附注之流动资产!A34="",0,未审附注之流动资产!A34)</f>
        <v>0</v>
      </c>
      <c r="B34" s="2403">
        <f>IF(未审附注之流动资产!B34="",0,未审附注之流动资产!B34)</f>
        <v>0</v>
      </c>
      <c r="C34" s="2410">
        <f>IF(未审附注之流动资产!C34="",0,未审附注之流动资产!C34)</f>
        <v>0</v>
      </c>
      <c r="D34" s="2410">
        <f>IF(未审附注之流动资产!D34="",0,未审附注之流动资产!D34)</f>
        <v>0</v>
      </c>
      <c r="E34" s="2472">
        <f>IF(未审附注之流动资产!E34="",0,未审附注之流动资产!E34)</f>
        <v>0</v>
      </c>
      <c r="F34" s="2419"/>
      <c r="G34" s="2446"/>
      <c r="H34" s="2446"/>
      <c r="I34" s="2446"/>
      <c r="J34" s="2436" t="s">
        <v>355</v>
      </c>
    </row>
    <row r="35" spans="1:10">
      <c r="A35" s="2410">
        <f>IF(未审附注之流动资产!A35="",0,未审附注之流动资产!A35)</f>
        <v>0</v>
      </c>
      <c r="B35" s="2403">
        <f>IF(未审附注之流动资产!B35="",0,未审附注之流动资产!B35)</f>
        <v>0</v>
      </c>
      <c r="C35" s="2410">
        <f>IF(未审附注之流动资产!C35="",0,未审附注之流动资产!C35)</f>
        <v>0</v>
      </c>
      <c r="D35" s="2410">
        <f>IF(未审附注之流动资产!D35="",0,未审附注之流动资产!D35)</f>
        <v>0</v>
      </c>
      <c r="E35" s="2472">
        <f>IF(未审附注之流动资产!E35="",0,未审附注之流动资产!E35)</f>
        <v>0</v>
      </c>
      <c r="F35" s="2419"/>
      <c r="G35" s="2446"/>
      <c r="H35" s="2446"/>
      <c r="I35" s="2446"/>
      <c r="J35" s="2436" t="s">
        <v>355</v>
      </c>
    </row>
    <row r="36" spans="1:10">
      <c r="A36" s="2410">
        <f>IF(未审附注之流动资产!A36="",0,未审附注之流动资产!A36)</f>
        <v>0</v>
      </c>
      <c r="B36" s="2403">
        <f>IF(未审附注之流动资产!B36="",0,未审附注之流动资产!B36)</f>
        <v>0</v>
      </c>
      <c r="C36" s="2410">
        <f>IF(未审附注之流动资产!C36="",0,未审附注之流动资产!C36)</f>
        <v>0</v>
      </c>
      <c r="D36" s="2410">
        <f>IF(未审附注之流动资产!D36="",0,未审附注之流动资产!D36)</f>
        <v>0</v>
      </c>
      <c r="E36" s="2472">
        <f>IF(未审附注之流动资产!E36="",0,未审附注之流动资产!E36)</f>
        <v>0</v>
      </c>
      <c r="F36" s="2419"/>
      <c r="G36" s="2446"/>
      <c r="H36" s="2446"/>
      <c r="I36" s="2446"/>
      <c r="J36" s="2436" t="s">
        <v>355</v>
      </c>
    </row>
    <row r="37" spans="1:10">
      <c r="A37" s="2410">
        <f>IF(未审附注之流动资产!A37="",0,未审附注之流动资产!A37)</f>
        <v>0</v>
      </c>
      <c r="B37" s="2403">
        <f>IF(未审附注之流动资产!B37="",0,未审附注之流动资产!B37)</f>
        <v>0</v>
      </c>
      <c r="C37" s="2410">
        <f>IF(未审附注之流动资产!C37="",0,未审附注之流动资产!C37)</f>
        <v>0</v>
      </c>
      <c r="D37" s="2410">
        <f>IF(未审附注之流动资产!D37="",0,未审附注之流动资产!D37)</f>
        <v>0</v>
      </c>
      <c r="E37" s="2472">
        <f>IF(未审附注之流动资产!E37="",0,未审附注之流动资产!E37)</f>
        <v>0</v>
      </c>
      <c r="F37" s="2419"/>
      <c r="G37" s="2446"/>
      <c r="H37" s="2446"/>
      <c r="I37" s="2446"/>
      <c r="J37" s="2436" t="s">
        <v>355</v>
      </c>
    </row>
    <row r="38" spans="1:10">
      <c r="A38" s="2400" t="s">
        <v>347</v>
      </c>
      <c r="B38" s="2369">
        <f>ROUND(SUM(B28:B37),2)</f>
        <v>0</v>
      </c>
      <c r="C38" s="2369"/>
      <c r="D38" s="2369"/>
      <c r="E38" s="2369"/>
      <c r="F38" s="2419"/>
      <c r="G38" s="2446"/>
      <c r="H38" s="2446"/>
      <c r="I38" s="2446"/>
      <c r="J38" s="2436" t="s">
        <v>356</v>
      </c>
    </row>
    <row r="39" spans="1:9">
      <c r="A39" s="2419"/>
      <c r="B39" s="2419"/>
      <c r="C39" s="2419"/>
      <c r="D39" s="2419"/>
      <c r="E39" s="2419"/>
      <c r="F39" s="2419"/>
      <c r="G39" s="2419"/>
      <c r="H39" s="2419"/>
      <c r="I39" s="2419"/>
    </row>
    <row r="40" spans="1:9">
      <c r="A40" s="2422" t="s">
        <v>357</v>
      </c>
      <c r="B40" s="2419"/>
      <c r="C40" s="2419"/>
      <c r="D40" s="2419"/>
      <c r="E40" s="2419"/>
      <c r="F40" s="2419"/>
      <c r="G40" s="2419"/>
      <c r="H40" s="2419"/>
      <c r="I40" s="2419"/>
    </row>
    <row r="41" spans="1:9">
      <c r="A41" s="2400" t="s">
        <v>358</v>
      </c>
      <c r="B41" s="2402" t="s">
        <v>359</v>
      </c>
      <c r="C41" s="2400" t="s">
        <v>360</v>
      </c>
      <c r="D41" s="2400" t="s">
        <v>361</v>
      </c>
      <c r="E41" s="2419"/>
      <c r="F41" s="2419"/>
      <c r="G41" s="2446"/>
      <c r="H41" s="2446"/>
      <c r="I41" s="2446"/>
    </row>
    <row r="42" spans="1:10">
      <c r="A42" s="2410">
        <f>IF(未审附注之流动资产!A42="",0,未审附注之流动资产!A42)</f>
        <v>0</v>
      </c>
      <c r="B42" s="2410">
        <f>IF(未审附注之流动资产!B42="",0,未审附注之流动资产!B42)</f>
        <v>0</v>
      </c>
      <c r="C42" s="2403">
        <f>IF(未审附注之流动资产!C42="",0,未审附注之流动资产!C42)</f>
        <v>0</v>
      </c>
      <c r="D42" s="2410">
        <f>IF(未审附注之流动资产!D42="",0,未审附注之流动资产!D42)</f>
        <v>0</v>
      </c>
      <c r="E42" s="2419"/>
      <c r="F42" s="2419"/>
      <c r="G42" s="2446"/>
      <c r="H42" s="2446"/>
      <c r="I42" s="2446"/>
      <c r="J42" s="2436" t="s">
        <v>362</v>
      </c>
    </row>
    <row r="43" spans="1:10">
      <c r="A43" s="2410">
        <f>IF(未审附注之流动资产!A43="",0,未审附注之流动资产!A43)</f>
        <v>0</v>
      </c>
      <c r="B43" s="2410">
        <f>IF(未审附注之流动资产!B43="",0,未审附注之流动资产!B43)</f>
        <v>0</v>
      </c>
      <c r="C43" s="2403">
        <f>IF(未审附注之流动资产!C43="",0,未审附注之流动资产!C43)</f>
        <v>0</v>
      </c>
      <c r="D43" s="2410">
        <f>IF(未审附注之流动资产!D43="",0,未审附注之流动资产!D43)</f>
        <v>0</v>
      </c>
      <c r="E43" s="2419"/>
      <c r="F43" s="2419"/>
      <c r="G43" s="2446"/>
      <c r="H43" s="2446"/>
      <c r="I43" s="2446"/>
      <c r="J43" s="2436" t="s">
        <v>362</v>
      </c>
    </row>
    <row r="44" spans="1:10">
      <c r="A44" s="2410">
        <f>IF(未审附注之流动资产!A44="",0,未审附注之流动资产!A44)</f>
        <v>0</v>
      </c>
      <c r="B44" s="2410">
        <f>IF(未审附注之流动资产!B44="",0,未审附注之流动资产!B44)</f>
        <v>0</v>
      </c>
      <c r="C44" s="2403">
        <f>IF(未审附注之流动资产!C44="",0,未审附注之流动资产!C44)</f>
        <v>0</v>
      </c>
      <c r="D44" s="2410">
        <f>IF(未审附注之流动资产!D44="",0,未审附注之流动资产!D44)</f>
        <v>0</v>
      </c>
      <c r="E44" s="2419"/>
      <c r="F44" s="2419"/>
      <c r="G44" s="2446"/>
      <c r="H44" s="2446"/>
      <c r="I44" s="2446"/>
      <c r="J44" s="2436" t="s">
        <v>362</v>
      </c>
    </row>
    <row r="45" spans="1:10">
      <c r="A45" s="2410">
        <f>IF(未审附注之流动资产!A45="",0,未审附注之流动资产!A45)</f>
        <v>0</v>
      </c>
      <c r="B45" s="2410">
        <f>IF(未审附注之流动资产!B45="",0,未审附注之流动资产!B45)</f>
        <v>0</v>
      </c>
      <c r="C45" s="2403">
        <f>IF(未审附注之流动资产!C45="",0,未审附注之流动资产!C45)</f>
        <v>0</v>
      </c>
      <c r="D45" s="2410">
        <f>IF(未审附注之流动资产!D45="",0,未审附注之流动资产!D45)</f>
        <v>0</v>
      </c>
      <c r="E45" s="2419"/>
      <c r="F45" s="2419"/>
      <c r="G45" s="2446"/>
      <c r="H45" s="2446"/>
      <c r="I45" s="2446"/>
      <c r="J45" s="2436" t="s">
        <v>362</v>
      </c>
    </row>
    <row r="46" spans="1:10">
      <c r="A46" s="2410">
        <f>IF(未审附注之流动资产!A46="",0,未审附注之流动资产!A46)</f>
        <v>0</v>
      </c>
      <c r="B46" s="2410">
        <f>IF(未审附注之流动资产!B46="",0,未审附注之流动资产!B46)</f>
        <v>0</v>
      </c>
      <c r="C46" s="2403">
        <f>IF(未审附注之流动资产!C46="",0,未审附注之流动资产!C46)</f>
        <v>0</v>
      </c>
      <c r="D46" s="2410">
        <f>IF(未审附注之流动资产!D46="",0,未审附注之流动资产!D46)</f>
        <v>0</v>
      </c>
      <c r="E46" s="2419"/>
      <c r="F46" s="2419"/>
      <c r="G46" s="2446"/>
      <c r="H46" s="2446"/>
      <c r="I46" s="2446"/>
      <c r="J46" s="2436" t="s">
        <v>362</v>
      </c>
    </row>
    <row r="47" spans="1:10">
      <c r="A47" s="2410">
        <f>IF(未审附注之流动资产!A47="",0,未审附注之流动资产!A47)</f>
        <v>0</v>
      </c>
      <c r="B47" s="2410">
        <f>IF(未审附注之流动资产!B47="",0,未审附注之流动资产!B47)</f>
        <v>0</v>
      </c>
      <c r="C47" s="2403">
        <f>IF(未审附注之流动资产!C47="",0,未审附注之流动资产!C47)</f>
        <v>0</v>
      </c>
      <c r="D47" s="2410">
        <f>IF(未审附注之流动资产!D47="",0,未审附注之流动资产!D47)</f>
        <v>0</v>
      </c>
      <c r="E47" s="2419"/>
      <c r="F47" s="2419"/>
      <c r="G47" s="2446"/>
      <c r="H47" s="2446"/>
      <c r="I47" s="2446"/>
      <c r="J47" s="2436" t="s">
        <v>362</v>
      </c>
    </row>
    <row r="48" spans="1:10">
      <c r="A48" s="2410">
        <f>IF(未审附注之流动资产!A48="",0,未审附注之流动资产!A48)</f>
        <v>0</v>
      </c>
      <c r="B48" s="2410">
        <f>IF(未审附注之流动资产!B48="",0,未审附注之流动资产!B48)</f>
        <v>0</v>
      </c>
      <c r="C48" s="2403">
        <f>IF(未审附注之流动资产!C48="",0,未审附注之流动资产!C48)</f>
        <v>0</v>
      </c>
      <c r="D48" s="2410">
        <f>IF(未审附注之流动资产!D48="",0,未审附注之流动资产!D48)</f>
        <v>0</v>
      </c>
      <c r="E48" s="2419"/>
      <c r="F48" s="2419"/>
      <c r="G48" s="2446"/>
      <c r="H48" s="2446"/>
      <c r="I48" s="2446"/>
      <c r="J48" s="2436" t="s">
        <v>362</v>
      </c>
    </row>
    <row r="49" spans="1:10">
      <c r="A49" s="2410">
        <f>IF(未审附注之流动资产!A49="",0,未审附注之流动资产!A49)</f>
        <v>0</v>
      </c>
      <c r="B49" s="2410">
        <f>IF(未审附注之流动资产!B49="",0,未审附注之流动资产!B49)</f>
        <v>0</v>
      </c>
      <c r="C49" s="2403">
        <f>IF(未审附注之流动资产!C49="",0,未审附注之流动资产!C49)</f>
        <v>0</v>
      </c>
      <c r="D49" s="2410">
        <f>IF(未审附注之流动资产!D49="",0,未审附注之流动资产!D49)</f>
        <v>0</v>
      </c>
      <c r="E49" s="2419"/>
      <c r="F49" s="2419"/>
      <c r="G49" s="2446"/>
      <c r="H49" s="2446"/>
      <c r="I49" s="2446"/>
      <c r="J49" s="2436" t="s">
        <v>362</v>
      </c>
    </row>
    <row r="50" spans="1:10">
      <c r="A50" s="2410">
        <f>IF(未审附注之流动资产!A50="",0,未审附注之流动资产!A50)</f>
        <v>0</v>
      </c>
      <c r="B50" s="2410">
        <f>IF(未审附注之流动资产!B50="",0,未审附注之流动资产!B50)</f>
        <v>0</v>
      </c>
      <c r="C50" s="2403">
        <f>IF(未审附注之流动资产!C50="",0,未审附注之流动资产!C50)</f>
        <v>0</v>
      </c>
      <c r="D50" s="2410">
        <f>IF(未审附注之流动资产!D50="",0,未审附注之流动资产!D50)</f>
        <v>0</v>
      </c>
      <c r="E50" s="2419"/>
      <c r="F50" s="2419"/>
      <c r="G50" s="2446"/>
      <c r="H50" s="2446"/>
      <c r="I50" s="2446"/>
      <c r="J50" s="2436" t="s">
        <v>362</v>
      </c>
    </row>
    <row r="51" spans="1:10">
      <c r="A51" s="2410">
        <f>IF(未审附注之流动资产!A51="",0,未审附注之流动资产!A51)</f>
        <v>0</v>
      </c>
      <c r="B51" s="2410">
        <f>IF(未审附注之流动资产!B51="",0,未审附注之流动资产!B51)</f>
        <v>0</v>
      </c>
      <c r="C51" s="2403">
        <f>IF(未审附注之流动资产!C51="",0,未审附注之流动资产!C51)</f>
        <v>0</v>
      </c>
      <c r="D51" s="2410">
        <f>IF(未审附注之流动资产!D51="",0,未审附注之流动资产!D51)</f>
        <v>0</v>
      </c>
      <c r="E51" s="2419"/>
      <c r="F51" s="2419"/>
      <c r="G51" s="2446"/>
      <c r="H51" s="2446"/>
      <c r="I51" s="2446"/>
      <c r="J51" s="2436" t="s">
        <v>362</v>
      </c>
    </row>
    <row r="52" spans="1:10">
      <c r="A52" s="2400" t="s">
        <v>347</v>
      </c>
      <c r="B52" s="2369"/>
      <c r="C52" s="2369">
        <f>ROUND(SUM(C42:C51),2)</f>
        <v>0</v>
      </c>
      <c r="D52" s="2369">
        <f>ROUND(SUM(D42:D51),2)</f>
        <v>0</v>
      </c>
      <c r="E52" s="2419"/>
      <c r="F52" s="2419"/>
      <c r="G52" s="2446"/>
      <c r="H52" s="2446"/>
      <c r="I52" s="2446"/>
      <c r="J52" s="2436" t="s">
        <v>363</v>
      </c>
    </row>
    <row r="53" spans="1:9">
      <c r="A53" s="2419"/>
      <c r="B53" s="2419"/>
      <c r="C53" s="2419"/>
      <c r="D53" s="2419"/>
      <c r="E53" s="2419"/>
      <c r="F53" s="2419"/>
      <c r="G53" s="2419"/>
      <c r="H53" s="2419"/>
      <c r="I53" s="2419"/>
    </row>
    <row r="54" spans="1:9">
      <c r="A54" s="2422" t="s">
        <v>364</v>
      </c>
      <c r="B54" s="2419"/>
      <c r="C54" s="2419"/>
      <c r="D54" s="2419"/>
      <c r="E54" s="2419"/>
      <c r="F54" s="2419"/>
      <c r="G54" s="2419"/>
      <c r="H54" s="2419"/>
      <c r="I54" s="2419"/>
    </row>
    <row r="55" spans="1:9">
      <c r="A55" s="2400" t="s">
        <v>365</v>
      </c>
      <c r="B55" s="2400" t="s">
        <v>366</v>
      </c>
      <c r="C55" s="2400" t="s">
        <v>367</v>
      </c>
      <c r="D55" s="2400" t="s">
        <v>368</v>
      </c>
      <c r="E55" s="2400" t="s">
        <v>369</v>
      </c>
      <c r="F55" s="2419"/>
      <c r="G55" s="2446"/>
      <c r="H55" s="2446"/>
      <c r="I55" s="2446"/>
    </row>
    <row r="56" spans="1:10">
      <c r="A56" s="2410">
        <f>IF(未审附注之流动资产!A56="",0,未审附注之流动资产!A56)</f>
        <v>0</v>
      </c>
      <c r="B56" s="2403">
        <f>IF(未审附注之流动资产!B56="",0,未审附注之流动资产!B56)</f>
        <v>0</v>
      </c>
      <c r="C56" s="2403">
        <f>IF(未审附注之流动资产!C56="",0,未审附注之流动资产!C56)</f>
        <v>0</v>
      </c>
      <c r="D56" s="2410">
        <f>IF(未审附注之流动资产!D56="",0,未审附注之流动资产!D56)</f>
        <v>0</v>
      </c>
      <c r="E56" s="2410">
        <f>IF(未审附注之流动资产!E56="",0,未审附注之流动资产!E56)</f>
        <v>0</v>
      </c>
      <c r="F56" s="2419"/>
      <c r="G56" s="2446"/>
      <c r="H56" s="2446"/>
      <c r="I56" s="2446"/>
      <c r="J56" s="2436" t="s">
        <v>370</v>
      </c>
    </row>
    <row r="57" spans="1:10">
      <c r="A57" s="2410">
        <f>IF(未审附注之流动资产!A57="",0,未审附注之流动资产!A57)</f>
        <v>0</v>
      </c>
      <c r="B57" s="2403">
        <f>IF(未审附注之流动资产!B57="",0,未审附注之流动资产!B57)</f>
        <v>0</v>
      </c>
      <c r="C57" s="2403">
        <f>IF(未审附注之流动资产!C57="",0,未审附注之流动资产!C57)</f>
        <v>0</v>
      </c>
      <c r="D57" s="2410">
        <f>IF(未审附注之流动资产!D57="",0,未审附注之流动资产!D57)</f>
        <v>0</v>
      </c>
      <c r="E57" s="2410">
        <f>IF(未审附注之流动资产!E57="",0,未审附注之流动资产!E57)</f>
        <v>0</v>
      </c>
      <c r="F57" s="2419"/>
      <c r="G57" s="2446"/>
      <c r="H57" s="2446"/>
      <c r="I57" s="2446"/>
      <c r="J57" s="2436" t="s">
        <v>370</v>
      </c>
    </row>
    <row r="58" spans="1:10">
      <c r="A58" s="2410">
        <f>IF(未审附注之流动资产!A58="",0,未审附注之流动资产!A58)</f>
        <v>0</v>
      </c>
      <c r="B58" s="2403">
        <f>IF(未审附注之流动资产!B58="",0,未审附注之流动资产!B58)</f>
        <v>0</v>
      </c>
      <c r="C58" s="2403">
        <f>IF(未审附注之流动资产!C58="",0,未审附注之流动资产!C58)</f>
        <v>0</v>
      </c>
      <c r="D58" s="2410">
        <f>IF(未审附注之流动资产!D58="",0,未审附注之流动资产!D58)</f>
        <v>0</v>
      </c>
      <c r="E58" s="2410">
        <f>IF(未审附注之流动资产!E58="",0,未审附注之流动资产!E58)</f>
        <v>0</v>
      </c>
      <c r="F58" s="2419"/>
      <c r="G58" s="2446"/>
      <c r="H58" s="2446"/>
      <c r="I58" s="2446"/>
      <c r="J58" s="2436" t="s">
        <v>370</v>
      </c>
    </row>
    <row r="59" spans="1:10">
      <c r="A59" s="2410">
        <f>IF(未审附注之流动资产!A59="",0,未审附注之流动资产!A59)</f>
        <v>0</v>
      </c>
      <c r="B59" s="2403">
        <f>IF(未审附注之流动资产!B59="",0,未审附注之流动资产!B59)</f>
        <v>0</v>
      </c>
      <c r="C59" s="2403">
        <f>IF(未审附注之流动资产!C59="",0,未审附注之流动资产!C59)</f>
        <v>0</v>
      </c>
      <c r="D59" s="2410">
        <f>IF(未审附注之流动资产!D59="",0,未审附注之流动资产!D59)</f>
        <v>0</v>
      </c>
      <c r="E59" s="2410">
        <f>IF(未审附注之流动资产!E59="",0,未审附注之流动资产!E59)</f>
        <v>0</v>
      </c>
      <c r="F59" s="2419"/>
      <c r="G59" s="2446"/>
      <c r="H59" s="2446"/>
      <c r="I59" s="2446"/>
      <c r="J59" s="2436" t="s">
        <v>370</v>
      </c>
    </row>
    <row r="60" spans="1:10">
      <c r="A60" s="2410">
        <f>IF(未审附注之流动资产!A60="",0,未审附注之流动资产!A60)</f>
        <v>0</v>
      </c>
      <c r="B60" s="2403">
        <f>IF(未审附注之流动资产!B60="",0,未审附注之流动资产!B60)</f>
        <v>0</v>
      </c>
      <c r="C60" s="2403">
        <f>IF(未审附注之流动资产!C60="",0,未审附注之流动资产!C60)</f>
        <v>0</v>
      </c>
      <c r="D60" s="2410">
        <f>IF(未审附注之流动资产!D60="",0,未审附注之流动资产!D60)</f>
        <v>0</v>
      </c>
      <c r="E60" s="2410">
        <f>IF(未审附注之流动资产!E60="",0,未审附注之流动资产!E60)</f>
        <v>0</v>
      </c>
      <c r="F60" s="2419"/>
      <c r="G60" s="2446"/>
      <c r="H60" s="2446"/>
      <c r="I60" s="2446"/>
      <c r="J60" s="2436" t="s">
        <v>370</v>
      </c>
    </row>
    <row r="61" spans="1:10">
      <c r="A61" s="2410">
        <f>IF(未审附注之流动资产!A61="",0,未审附注之流动资产!A61)</f>
        <v>0</v>
      </c>
      <c r="B61" s="2403">
        <f>IF(未审附注之流动资产!B61="",0,未审附注之流动资产!B61)</f>
        <v>0</v>
      </c>
      <c r="C61" s="2403">
        <f>IF(未审附注之流动资产!C61="",0,未审附注之流动资产!C61)</f>
        <v>0</v>
      </c>
      <c r="D61" s="2410">
        <f>IF(未审附注之流动资产!D61="",0,未审附注之流动资产!D61)</f>
        <v>0</v>
      </c>
      <c r="E61" s="2410">
        <f>IF(未审附注之流动资产!E61="",0,未审附注之流动资产!E61)</f>
        <v>0</v>
      </c>
      <c r="F61" s="2419"/>
      <c r="G61" s="2446"/>
      <c r="H61" s="2446"/>
      <c r="I61" s="2446"/>
      <c r="J61" s="2436" t="s">
        <v>370</v>
      </c>
    </row>
    <row r="62" spans="1:10">
      <c r="A62" s="2410">
        <f>IF(未审附注之流动资产!A62="",0,未审附注之流动资产!A62)</f>
        <v>0</v>
      </c>
      <c r="B62" s="2403">
        <f>IF(未审附注之流动资产!B62="",0,未审附注之流动资产!B62)</f>
        <v>0</v>
      </c>
      <c r="C62" s="2403">
        <f>IF(未审附注之流动资产!C62="",0,未审附注之流动资产!C62)</f>
        <v>0</v>
      </c>
      <c r="D62" s="2410">
        <f>IF(未审附注之流动资产!D62="",0,未审附注之流动资产!D62)</f>
        <v>0</v>
      </c>
      <c r="E62" s="2410">
        <f>IF(未审附注之流动资产!E62="",0,未审附注之流动资产!E62)</f>
        <v>0</v>
      </c>
      <c r="F62" s="2419"/>
      <c r="G62" s="2446"/>
      <c r="H62" s="2446"/>
      <c r="I62" s="2446"/>
      <c r="J62" s="2436" t="s">
        <v>370</v>
      </c>
    </row>
    <row r="63" spans="1:10">
      <c r="A63" s="2410">
        <f>IF(未审附注之流动资产!A63="",0,未审附注之流动资产!A63)</f>
        <v>0</v>
      </c>
      <c r="B63" s="2403">
        <f>IF(未审附注之流动资产!B63="",0,未审附注之流动资产!B63)</f>
        <v>0</v>
      </c>
      <c r="C63" s="2403">
        <f>IF(未审附注之流动资产!C63="",0,未审附注之流动资产!C63)</f>
        <v>0</v>
      </c>
      <c r="D63" s="2410">
        <f>IF(未审附注之流动资产!D63="",0,未审附注之流动资产!D63)</f>
        <v>0</v>
      </c>
      <c r="E63" s="2410">
        <f>IF(未审附注之流动资产!E63="",0,未审附注之流动资产!E63)</f>
        <v>0</v>
      </c>
      <c r="F63" s="2419"/>
      <c r="G63" s="2446"/>
      <c r="H63" s="2446"/>
      <c r="I63" s="2446"/>
      <c r="J63" s="2436" t="s">
        <v>370</v>
      </c>
    </row>
    <row r="64" spans="1:10">
      <c r="A64" s="2410">
        <f>IF(未审附注之流动资产!A64="",0,未审附注之流动资产!A64)</f>
        <v>0</v>
      </c>
      <c r="B64" s="2403">
        <f>IF(未审附注之流动资产!B64="",0,未审附注之流动资产!B64)</f>
        <v>0</v>
      </c>
      <c r="C64" s="2403">
        <f>IF(未审附注之流动资产!C64="",0,未审附注之流动资产!C64)</f>
        <v>0</v>
      </c>
      <c r="D64" s="2410">
        <f>IF(未审附注之流动资产!D64="",0,未审附注之流动资产!D64)</f>
        <v>0</v>
      </c>
      <c r="E64" s="2410">
        <f>IF(未审附注之流动资产!E64="",0,未审附注之流动资产!E64)</f>
        <v>0</v>
      </c>
      <c r="F64" s="2419"/>
      <c r="G64" s="2446"/>
      <c r="H64" s="2446"/>
      <c r="I64" s="2446"/>
      <c r="J64" s="2436" t="s">
        <v>370</v>
      </c>
    </row>
    <row r="65" spans="1:10">
      <c r="A65" s="2410">
        <f>IF(未审附注之流动资产!A65="",0,未审附注之流动资产!A65)</f>
        <v>0</v>
      </c>
      <c r="B65" s="2403">
        <f>IF(未审附注之流动资产!B65="",0,未审附注之流动资产!B65)</f>
        <v>0</v>
      </c>
      <c r="C65" s="2403">
        <f>IF(未审附注之流动资产!C65="",0,未审附注之流动资产!C65)</f>
        <v>0</v>
      </c>
      <c r="D65" s="2410">
        <f>IF(未审附注之流动资产!D65="",0,未审附注之流动资产!D65)</f>
        <v>0</v>
      </c>
      <c r="E65" s="2410">
        <f>IF(未审附注之流动资产!E65="",0,未审附注之流动资产!E65)</f>
        <v>0</v>
      </c>
      <c r="F65" s="2419"/>
      <c r="G65" s="2446"/>
      <c r="H65" s="2446"/>
      <c r="I65" s="2446"/>
      <c r="J65" s="2436" t="s">
        <v>370</v>
      </c>
    </row>
    <row r="66" spans="1:10">
      <c r="A66" s="2400" t="s">
        <v>347</v>
      </c>
      <c r="B66" s="2369">
        <f>ROUND(SUM(B56:B65),2)</f>
        <v>0</v>
      </c>
      <c r="C66" s="2369">
        <f>ROUND(SUM(C56:C65),2)</f>
        <v>0</v>
      </c>
      <c r="D66" s="2369"/>
      <c r="E66" s="2369"/>
      <c r="F66" s="2419"/>
      <c r="G66" s="2446"/>
      <c r="H66" s="2446"/>
      <c r="I66" s="2446"/>
      <c r="J66" s="2436" t="s">
        <v>371</v>
      </c>
    </row>
    <row r="67" spans="1:9">
      <c r="A67" s="2419"/>
      <c r="B67" s="2419"/>
      <c r="C67" s="2419"/>
      <c r="D67" s="2419"/>
      <c r="E67" s="2419"/>
      <c r="F67" s="2419"/>
      <c r="G67" s="2419"/>
      <c r="H67" s="2419"/>
      <c r="I67" s="2419"/>
    </row>
    <row r="68" spans="1:9">
      <c r="A68" s="2419"/>
      <c r="B68" s="2419"/>
      <c r="C68" s="2419"/>
      <c r="D68" s="2419"/>
      <c r="E68" s="2419"/>
      <c r="F68" s="2419"/>
      <c r="G68" s="2419"/>
      <c r="H68" s="2419"/>
      <c r="I68" s="2419"/>
    </row>
    <row r="69" spans="1:9">
      <c r="A69" s="2397" t="s">
        <v>372</v>
      </c>
      <c r="B69" s="2398"/>
      <c r="C69" s="2398"/>
      <c r="D69" s="2398"/>
      <c r="E69" s="2398"/>
      <c r="F69" s="2398"/>
      <c r="G69" s="2398"/>
      <c r="H69" s="2398"/>
      <c r="I69" s="2398"/>
    </row>
    <row r="70" spans="1:9">
      <c r="A70" s="2399" t="s">
        <v>314</v>
      </c>
      <c r="B70" s="2398"/>
      <c r="C70" s="2398"/>
      <c r="D70" s="2398"/>
      <c r="E70" s="2398"/>
      <c r="F70" s="2398"/>
      <c r="G70" s="2398"/>
      <c r="H70" s="2398"/>
      <c r="I70" s="2398"/>
    </row>
    <row r="71" spans="1:9">
      <c r="A71" s="2400" t="s">
        <v>373</v>
      </c>
      <c r="B71" s="2400" t="s">
        <v>374</v>
      </c>
      <c r="C71" s="2400" t="s">
        <v>375</v>
      </c>
      <c r="D71" s="2398"/>
      <c r="E71" s="2398"/>
      <c r="F71" s="2398"/>
      <c r="G71" s="2398"/>
      <c r="H71" s="2398"/>
      <c r="I71" s="2398"/>
    </row>
    <row r="72" spans="1:10">
      <c r="A72" s="2402" t="s">
        <v>376</v>
      </c>
      <c r="B72" s="2403">
        <f>IF(未审附注之流动资产!B72="",0,未审附注之流动资产!B72)</f>
        <v>0</v>
      </c>
      <c r="C72" s="2403">
        <f>IF(未审附注之流动资产!C72="",0,未审附注之流动资产!C72)</f>
        <v>0</v>
      </c>
      <c r="D72" s="2398"/>
      <c r="E72" s="2398"/>
      <c r="F72" s="2398"/>
      <c r="G72" s="2398"/>
      <c r="H72" s="2398"/>
      <c r="I72" s="2398"/>
      <c r="J72" s="2436" t="s">
        <v>377</v>
      </c>
    </row>
    <row r="73" spans="1:10">
      <c r="A73" s="2402" t="s">
        <v>378</v>
      </c>
      <c r="B73" s="2403">
        <f>IF(未审附注之流动资产!B73="",0,未审附注之流动资产!B73)</f>
        <v>0</v>
      </c>
      <c r="C73" s="2403">
        <f>IF(未审附注之流动资产!C73="",0,未审附注之流动资产!C73)</f>
        <v>0</v>
      </c>
      <c r="D73" s="2398"/>
      <c r="E73" s="2398"/>
      <c r="F73" s="2398"/>
      <c r="G73" s="2398"/>
      <c r="H73" s="2398"/>
      <c r="I73" s="2398"/>
      <c r="J73" s="2436" t="s">
        <v>379</v>
      </c>
    </row>
    <row r="74" spans="1:10">
      <c r="A74" s="2402" t="s">
        <v>380</v>
      </c>
      <c r="B74" s="2403">
        <f>IF(未审附注之流动资产!B74="",0,未审附注之流动资产!B74)</f>
        <v>0</v>
      </c>
      <c r="C74" s="2403">
        <f>IF(未审附注之流动资产!C74="",0,未审附注之流动资产!C74)</f>
        <v>0</v>
      </c>
      <c r="D74" s="2398"/>
      <c r="E74" s="2398"/>
      <c r="F74" s="2398"/>
      <c r="G74" s="2398"/>
      <c r="H74" s="2398"/>
      <c r="I74" s="2398"/>
      <c r="J74" s="2436" t="s">
        <v>381</v>
      </c>
    </row>
    <row r="75" spans="1:10">
      <c r="A75" s="2402" t="s">
        <v>382</v>
      </c>
      <c r="B75" s="2403">
        <f>IF(未审附注之流动资产!B75="",0,未审附注之流动资产!B75)</f>
        <v>0</v>
      </c>
      <c r="C75" s="2403">
        <f>IF(未审附注之流动资产!C75="",0,未审附注之流动资产!C75)</f>
        <v>0</v>
      </c>
      <c r="D75" s="2398"/>
      <c r="E75" s="2398"/>
      <c r="F75" s="2398"/>
      <c r="G75" s="2398"/>
      <c r="H75" s="2398"/>
      <c r="I75" s="2398"/>
      <c r="J75" s="2436" t="s">
        <v>383</v>
      </c>
    </row>
    <row r="76" spans="1:10">
      <c r="A76" s="2402" t="s">
        <v>280</v>
      </c>
      <c r="B76" s="2403">
        <f>IF(未审附注之流动资产!B76="",0,未审附注之流动资产!B76)</f>
        <v>0</v>
      </c>
      <c r="C76" s="2403">
        <f>IF(未审附注之流动资产!C76="",0,未审附注之流动资产!C76)</f>
        <v>0</v>
      </c>
      <c r="D76" s="2398"/>
      <c r="E76" s="2398"/>
      <c r="F76" s="2398"/>
      <c r="G76" s="2398"/>
      <c r="H76" s="2398"/>
      <c r="I76" s="2398"/>
      <c r="J76" s="2436" t="s">
        <v>384</v>
      </c>
    </row>
    <row r="77" spans="1:10">
      <c r="A77" s="2400" t="s">
        <v>385</v>
      </c>
      <c r="B77" s="2369">
        <f>ROUND(SUM(B72:B76),2)</f>
        <v>0</v>
      </c>
      <c r="C77" s="2369">
        <f>ROUND(SUM(C72:C76),2)</f>
        <v>0</v>
      </c>
      <c r="D77" s="2398"/>
      <c r="E77" s="2398"/>
      <c r="F77" s="2398"/>
      <c r="G77" s="2398"/>
      <c r="H77" s="2398"/>
      <c r="I77" s="2398"/>
      <c r="J77" s="2436" t="s">
        <v>386</v>
      </c>
    </row>
    <row r="78" spans="1:9">
      <c r="A78" s="2398"/>
      <c r="B78" s="2398"/>
      <c r="C78" s="2398"/>
      <c r="D78" s="2398"/>
      <c r="E78" s="2398"/>
      <c r="F78" s="2398"/>
      <c r="G78" s="2398"/>
      <c r="H78" s="2398"/>
      <c r="I78" s="2398"/>
    </row>
    <row r="79" spans="1:9">
      <c r="A79" s="2422" t="s">
        <v>387</v>
      </c>
      <c r="B79" s="2419"/>
      <c r="C79" s="2419"/>
      <c r="D79" s="2419"/>
      <c r="E79" s="2419"/>
      <c r="F79" s="2419"/>
      <c r="G79" s="2419"/>
      <c r="H79" s="2419"/>
      <c r="I79" s="2419"/>
    </row>
    <row r="80" spans="1:9">
      <c r="A80" s="2400" t="s">
        <v>350</v>
      </c>
      <c r="B80" s="2400" t="s">
        <v>351</v>
      </c>
      <c r="C80" s="2400" t="s">
        <v>368</v>
      </c>
      <c r="D80" s="2400" t="s">
        <v>354</v>
      </c>
      <c r="E80" s="2419"/>
      <c r="F80" s="2419"/>
      <c r="G80" s="2446"/>
      <c r="H80" s="2446"/>
      <c r="I80" s="2446"/>
    </row>
    <row r="81" spans="1:10">
      <c r="A81" s="2410">
        <f>IF(未审附注之流动资产!A81="",0,未审附注之流动资产!A81)</f>
        <v>0</v>
      </c>
      <c r="B81" s="2403">
        <f>IF(未审附注之流动资产!B81="",0,未审附注之流动资产!B81)</f>
        <v>0</v>
      </c>
      <c r="C81" s="2410">
        <f>IF(未审附注之流动资产!C81="",0,未审附注之流动资产!C81)</f>
        <v>0</v>
      </c>
      <c r="D81" s="2410">
        <f>IF(未审附注之流动资产!D81="",0,未审附注之流动资产!D81)</f>
        <v>0</v>
      </c>
      <c r="E81" s="2419"/>
      <c r="F81" s="2419"/>
      <c r="G81" s="2446"/>
      <c r="H81" s="2446"/>
      <c r="I81" s="2446"/>
      <c r="J81" s="2436" t="s">
        <v>388</v>
      </c>
    </row>
    <row r="82" spans="1:10">
      <c r="A82" s="2410">
        <f>IF(未审附注之流动资产!A82="",0,未审附注之流动资产!A82)</f>
        <v>0</v>
      </c>
      <c r="B82" s="2403">
        <f>IF(未审附注之流动资产!B82="",0,未审附注之流动资产!B82)</f>
        <v>0</v>
      </c>
      <c r="C82" s="2410">
        <f>IF(未审附注之流动资产!C82="",0,未审附注之流动资产!C82)</f>
        <v>0</v>
      </c>
      <c r="D82" s="2410">
        <f>IF(未审附注之流动资产!D82="",0,未审附注之流动资产!D82)</f>
        <v>0</v>
      </c>
      <c r="E82" s="2419"/>
      <c r="F82" s="2419"/>
      <c r="G82" s="2446"/>
      <c r="H82" s="2446"/>
      <c r="I82" s="2446"/>
      <c r="J82" s="2436" t="s">
        <v>388</v>
      </c>
    </row>
    <row r="83" spans="1:10">
      <c r="A83" s="2410">
        <f>IF(未审附注之流动资产!A83="",0,未审附注之流动资产!A83)</f>
        <v>0</v>
      </c>
      <c r="B83" s="2403">
        <f>IF(未审附注之流动资产!B83="",0,未审附注之流动资产!B83)</f>
        <v>0</v>
      </c>
      <c r="C83" s="2410">
        <f>IF(未审附注之流动资产!C83="",0,未审附注之流动资产!C83)</f>
        <v>0</v>
      </c>
      <c r="D83" s="2410">
        <f>IF(未审附注之流动资产!D83="",0,未审附注之流动资产!D83)</f>
        <v>0</v>
      </c>
      <c r="E83" s="2419"/>
      <c r="F83" s="2419"/>
      <c r="G83" s="2446"/>
      <c r="H83" s="2446"/>
      <c r="I83" s="2446"/>
      <c r="J83" s="2436" t="s">
        <v>388</v>
      </c>
    </row>
    <row r="84" spans="1:10">
      <c r="A84" s="2410">
        <f>IF(未审附注之流动资产!A84="",0,未审附注之流动资产!A84)</f>
        <v>0</v>
      </c>
      <c r="B84" s="2403">
        <f>IF(未审附注之流动资产!B84="",0,未审附注之流动资产!B84)</f>
        <v>0</v>
      </c>
      <c r="C84" s="2410">
        <f>IF(未审附注之流动资产!C84="",0,未审附注之流动资产!C84)</f>
        <v>0</v>
      </c>
      <c r="D84" s="2410">
        <f>IF(未审附注之流动资产!D84="",0,未审附注之流动资产!D84)</f>
        <v>0</v>
      </c>
      <c r="E84" s="2419"/>
      <c r="F84" s="2419"/>
      <c r="G84" s="2446"/>
      <c r="H84" s="2446"/>
      <c r="I84" s="2446"/>
      <c r="J84" s="2436" t="s">
        <v>388</v>
      </c>
    </row>
    <row r="85" spans="1:10">
      <c r="A85" s="2410">
        <f>IF(未审附注之流动资产!A85="",0,未审附注之流动资产!A85)</f>
        <v>0</v>
      </c>
      <c r="B85" s="2403">
        <f>IF(未审附注之流动资产!B85="",0,未审附注之流动资产!B85)</f>
        <v>0</v>
      </c>
      <c r="C85" s="2410">
        <f>IF(未审附注之流动资产!C85="",0,未审附注之流动资产!C85)</f>
        <v>0</v>
      </c>
      <c r="D85" s="2410">
        <f>IF(未审附注之流动资产!D85="",0,未审附注之流动资产!D85)</f>
        <v>0</v>
      </c>
      <c r="E85" s="2419"/>
      <c r="F85" s="2419"/>
      <c r="G85" s="2446"/>
      <c r="H85" s="2446"/>
      <c r="I85" s="2446"/>
      <c r="J85" s="2436" t="s">
        <v>388</v>
      </c>
    </row>
    <row r="86" spans="1:10">
      <c r="A86" s="2410">
        <f>IF(未审附注之流动资产!A86="",0,未审附注之流动资产!A86)</f>
        <v>0</v>
      </c>
      <c r="B86" s="2403">
        <f>IF(未审附注之流动资产!B86="",0,未审附注之流动资产!B86)</f>
        <v>0</v>
      </c>
      <c r="C86" s="2410">
        <f>IF(未审附注之流动资产!C86="",0,未审附注之流动资产!C86)</f>
        <v>0</v>
      </c>
      <c r="D86" s="2410">
        <f>IF(未审附注之流动资产!D86="",0,未审附注之流动资产!D86)</f>
        <v>0</v>
      </c>
      <c r="E86" s="2419"/>
      <c r="F86" s="2419"/>
      <c r="G86" s="2446"/>
      <c r="H86" s="2446"/>
      <c r="I86" s="2446"/>
      <c r="J86" s="2436" t="s">
        <v>388</v>
      </c>
    </row>
    <row r="87" spans="1:10">
      <c r="A87" s="2410">
        <f>IF(未审附注之流动资产!A87="",0,未审附注之流动资产!A87)</f>
        <v>0</v>
      </c>
      <c r="B87" s="2403">
        <f>IF(未审附注之流动资产!B87="",0,未审附注之流动资产!B87)</f>
        <v>0</v>
      </c>
      <c r="C87" s="2410">
        <f>IF(未审附注之流动资产!C87="",0,未审附注之流动资产!C87)</f>
        <v>0</v>
      </c>
      <c r="D87" s="2410">
        <f>IF(未审附注之流动资产!D87="",0,未审附注之流动资产!D87)</f>
        <v>0</v>
      </c>
      <c r="E87" s="2419"/>
      <c r="F87" s="2419"/>
      <c r="G87" s="2446"/>
      <c r="H87" s="2446"/>
      <c r="I87" s="2446"/>
      <c r="J87" s="2436" t="s">
        <v>388</v>
      </c>
    </row>
    <row r="88" spans="1:10">
      <c r="A88" s="2410">
        <f>IF(未审附注之流动资产!A88="",0,未审附注之流动资产!A88)</f>
        <v>0</v>
      </c>
      <c r="B88" s="2403">
        <f>IF(未审附注之流动资产!B88="",0,未审附注之流动资产!B88)</f>
        <v>0</v>
      </c>
      <c r="C88" s="2410">
        <f>IF(未审附注之流动资产!C88="",0,未审附注之流动资产!C88)</f>
        <v>0</v>
      </c>
      <c r="D88" s="2410">
        <f>IF(未审附注之流动资产!D88="",0,未审附注之流动资产!D88)</f>
        <v>0</v>
      </c>
      <c r="E88" s="2419"/>
      <c r="F88" s="2419"/>
      <c r="G88" s="2446"/>
      <c r="H88" s="2446"/>
      <c r="I88" s="2446"/>
      <c r="J88" s="2436" t="s">
        <v>388</v>
      </c>
    </row>
    <row r="89" spans="1:10">
      <c r="A89" s="2410">
        <f>IF(未审附注之流动资产!A89="",0,未审附注之流动资产!A89)</f>
        <v>0</v>
      </c>
      <c r="B89" s="2403">
        <f>IF(未审附注之流动资产!B89="",0,未审附注之流动资产!B89)</f>
        <v>0</v>
      </c>
      <c r="C89" s="2410">
        <f>IF(未审附注之流动资产!C89="",0,未审附注之流动资产!C89)</f>
        <v>0</v>
      </c>
      <c r="D89" s="2410">
        <f>IF(未审附注之流动资产!D89="",0,未审附注之流动资产!D89)</f>
        <v>0</v>
      </c>
      <c r="E89" s="2419"/>
      <c r="F89" s="2419"/>
      <c r="G89" s="2446"/>
      <c r="H89" s="2446"/>
      <c r="I89" s="2446"/>
      <c r="J89" s="2436" t="s">
        <v>388</v>
      </c>
    </row>
    <row r="90" spans="1:10">
      <c r="A90" s="2410">
        <f>IF(未审附注之流动资产!A90="",0,未审附注之流动资产!A90)</f>
        <v>0</v>
      </c>
      <c r="B90" s="2403">
        <f>IF(未审附注之流动资产!B90="",0,未审附注之流动资产!B90)</f>
        <v>0</v>
      </c>
      <c r="C90" s="2410">
        <f>IF(未审附注之流动资产!C90="",0,未审附注之流动资产!C90)</f>
        <v>0</v>
      </c>
      <c r="D90" s="2410">
        <f>IF(未审附注之流动资产!D90="",0,未审附注之流动资产!D90)</f>
        <v>0</v>
      </c>
      <c r="E90" s="2419"/>
      <c r="F90" s="2419"/>
      <c r="G90" s="2446"/>
      <c r="H90" s="2446"/>
      <c r="I90" s="2446"/>
      <c r="J90" s="2436" t="s">
        <v>388</v>
      </c>
    </row>
    <row r="91" spans="1:10">
      <c r="A91" s="2400" t="s">
        <v>347</v>
      </c>
      <c r="B91" s="2369">
        <f>ROUND(SUM(B81:B90),2)</f>
        <v>0</v>
      </c>
      <c r="C91" s="2369"/>
      <c r="D91" s="2369"/>
      <c r="E91" s="2419"/>
      <c r="F91" s="2419"/>
      <c r="G91" s="2446"/>
      <c r="H91" s="2446"/>
      <c r="I91" s="2446"/>
      <c r="J91" s="2436" t="s">
        <v>389</v>
      </c>
    </row>
    <row r="92" spans="1:10">
      <c r="A92" s="2417"/>
      <c r="B92" s="2418"/>
      <c r="C92" s="2418"/>
      <c r="D92" s="2418"/>
      <c r="E92" s="2418"/>
      <c r="F92" s="2419"/>
      <c r="G92" s="2446"/>
      <c r="H92" s="2446"/>
      <c r="I92" s="2446"/>
      <c r="J92" s="2436"/>
    </row>
    <row r="93" spans="1:9">
      <c r="A93" s="2421"/>
      <c r="B93" s="2398"/>
      <c r="C93" s="2398"/>
      <c r="D93" s="2398"/>
      <c r="E93" s="2398"/>
      <c r="F93" s="2398"/>
      <c r="G93" s="2398"/>
      <c r="H93" s="2398"/>
      <c r="I93" s="2398"/>
    </row>
    <row r="94" spans="1:9">
      <c r="A94" s="2397" t="s">
        <v>390</v>
      </c>
      <c r="B94" s="2398"/>
      <c r="C94" s="2398"/>
      <c r="D94" s="2398"/>
      <c r="E94" s="2398"/>
      <c r="F94" s="2398"/>
      <c r="G94" s="2398"/>
      <c r="H94" s="2398"/>
      <c r="I94" s="2398"/>
    </row>
    <row r="95" spans="1:9">
      <c r="A95" s="2399" t="s">
        <v>314</v>
      </c>
      <c r="B95" s="2398"/>
      <c r="C95" s="2398"/>
      <c r="D95" s="2398"/>
      <c r="E95" s="2398"/>
      <c r="F95" s="2398"/>
      <c r="G95" s="2398"/>
      <c r="H95" s="2398"/>
      <c r="I95" s="2398"/>
    </row>
    <row r="96" spans="1:9">
      <c r="A96" s="2401" t="s">
        <v>391</v>
      </c>
      <c r="B96" s="2400" t="s">
        <v>316</v>
      </c>
      <c r="C96" s="2400" t="s">
        <v>317</v>
      </c>
      <c r="D96" s="2398"/>
      <c r="E96" s="2398"/>
      <c r="F96" s="2398"/>
      <c r="G96" s="2398"/>
      <c r="H96" s="2398"/>
      <c r="I96" s="2398"/>
    </row>
    <row r="97" spans="1:10">
      <c r="A97" s="2405" t="s">
        <v>392</v>
      </c>
      <c r="B97" s="2403">
        <f>IF(未审附注之流动资产!B97="",0,未审附注之流动资产!B97)</f>
        <v>0</v>
      </c>
      <c r="C97" s="2403">
        <f>IF(未审附注之流动资产!C97="",0,未审附注之流动资产!C97)</f>
        <v>0</v>
      </c>
      <c r="D97" s="2398"/>
      <c r="E97" s="2398"/>
      <c r="F97" s="2398"/>
      <c r="G97" s="2398"/>
      <c r="H97" s="2398"/>
      <c r="I97" s="2398"/>
      <c r="J97" s="2436" t="s">
        <v>393</v>
      </c>
    </row>
    <row r="98" spans="1:10">
      <c r="A98" s="2405" t="s">
        <v>394</v>
      </c>
      <c r="B98" s="2403">
        <f>IF(未审附注之流动资产!B98="",0,未审附注之流动资产!B98)</f>
        <v>0</v>
      </c>
      <c r="C98" s="2403">
        <f>IF(未审附注之流动资产!C98="",0,未审附注之流动资产!C98)</f>
        <v>0</v>
      </c>
      <c r="D98" s="2398"/>
      <c r="E98" s="2398"/>
      <c r="F98" s="2398"/>
      <c r="G98" s="2398"/>
      <c r="H98" s="2398"/>
      <c r="I98" s="2398"/>
      <c r="J98" s="2436" t="s">
        <v>395</v>
      </c>
    </row>
    <row r="99" spans="1:10">
      <c r="A99" s="2400" t="s">
        <v>347</v>
      </c>
      <c r="B99" s="2369">
        <f>ROUND(SUM(B97:B98),2)</f>
        <v>0</v>
      </c>
      <c r="C99" s="2369">
        <f>ROUND(SUM(C97:C98),2)</f>
        <v>0</v>
      </c>
      <c r="D99" s="2398"/>
      <c r="E99" s="2398"/>
      <c r="F99" s="2398"/>
      <c r="G99" s="2398"/>
      <c r="H99" s="2398"/>
      <c r="I99" s="2398"/>
      <c r="J99" s="2436" t="s">
        <v>396</v>
      </c>
    </row>
    <row r="100" spans="1:9">
      <c r="A100" s="2421"/>
      <c r="B100" s="2398"/>
      <c r="C100" s="2398"/>
      <c r="D100" s="2398"/>
      <c r="E100" s="2398"/>
      <c r="F100" s="2398"/>
      <c r="G100" s="2398"/>
      <c r="H100" s="2398"/>
      <c r="I100" s="2398"/>
    </row>
    <row r="101" spans="1:9">
      <c r="A101" s="2399" t="s">
        <v>397</v>
      </c>
      <c r="B101" s="2398"/>
      <c r="C101" s="2398"/>
      <c r="D101" s="2398"/>
      <c r="E101" s="2398"/>
      <c r="F101" s="2398"/>
      <c r="G101" s="2398"/>
      <c r="H101" s="2398"/>
      <c r="I101" s="2398"/>
    </row>
    <row r="102" spans="1:9">
      <c r="A102" s="2401" t="s">
        <v>398</v>
      </c>
      <c r="B102" s="2426" t="s">
        <v>399</v>
      </c>
      <c r="C102" s="2442" t="s">
        <v>400</v>
      </c>
      <c r="D102" s="2426" t="s">
        <v>366</v>
      </c>
      <c r="E102" s="2442" t="s">
        <v>401</v>
      </c>
      <c r="F102" s="2398"/>
      <c r="G102" s="2398"/>
      <c r="H102" s="2398"/>
      <c r="I102" s="2398"/>
    </row>
    <row r="103" spans="1:10">
      <c r="A103" s="2410">
        <f>IF(未审附注之流动资产!A103="",0,未审附注之流动资产!A103)</f>
        <v>0</v>
      </c>
      <c r="B103" s="2431">
        <f>IF(未审附注之流动资产!B103="",0,未审附注之流动资产!B103)</f>
        <v>0</v>
      </c>
      <c r="C103" s="2431">
        <f>IF(未审附注之流动资产!C103="",0,未审附注之流动资产!C103)</f>
        <v>0</v>
      </c>
      <c r="D103" s="2403">
        <f>IF(未审附注之流动资产!D103="",0,未审附注之流动资产!D103)</f>
        <v>0</v>
      </c>
      <c r="E103" s="2410">
        <f>IF(未审附注之流动资产!E103="",0,未审附注之流动资产!E103)</f>
        <v>0</v>
      </c>
      <c r="F103" s="2398"/>
      <c r="G103" s="2398"/>
      <c r="H103" s="2398"/>
      <c r="I103" s="2398"/>
      <c r="J103" s="2436" t="s">
        <v>402</v>
      </c>
    </row>
    <row r="104" spans="1:10">
      <c r="A104" s="2410">
        <f>IF(未审附注之流动资产!A104="",0,未审附注之流动资产!A104)</f>
        <v>0</v>
      </c>
      <c r="B104" s="2431">
        <f>IF(未审附注之流动资产!B104="",0,未审附注之流动资产!B104)</f>
        <v>0</v>
      </c>
      <c r="C104" s="2431">
        <f>IF(未审附注之流动资产!C104="",0,未审附注之流动资产!C104)</f>
        <v>0</v>
      </c>
      <c r="D104" s="2403">
        <f>IF(未审附注之流动资产!D104="",0,未审附注之流动资产!D104)</f>
        <v>0</v>
      </c>
      <c r="E104" s="2410">
        <f>IF(未审附注之流动资产!E104="",0,未审附注之流动资产!E104)</f>
        <v>0</v>
      </c>
      <c r="F104" s="2398"/>
      <c r="G104" s="2398"/>
      <c r="H104" s="2398"/>
      <c r="I104" s="2398"/>
      <c r="J104" s="2436" t="s">
        <v>402</v>
      </c>
    </row>
    <row r="105" spans="1:10">
      <c r="A105" s="2410">
        <f>IF(未审附注之流动资产!A105="",0,未审附注之流动资产!A105)</f>
        <v>0</v>
      </c>
      <c r="B105" s="2431">
        <f>IF(未审附注之流动资产!B105="",0,未审附注之流动资产!B105)</f>
        <v>0</v>
      </c>
      <c r="C105" s="2431">
        <f>IF(未审附注之流动资产!C105="",0,未审附注之流动资产!C105)</f>
        <v>0</v>
      </c>
      <c r="D105" s="2403">
        <f>IF(未审附注之流动资产!D105="",0,未审附注之流动资产!D105)</f>
        <v>0</v>
      </c>
      <c r="E105" s="2410">
        <f>IF(未审附注之流动资产!E105="",0,未审附注之流动资产!E105)</f>
        <v>0</v>
      </c>
      <c r="F105" s="2398"/>
      <c r="G105" s="2398"/>
      <c r="H105" s="2398"/>
      <c r="I105" s="2398"/>
      <c r="J105" s="2436" t="s">
        <v>402</v>
      </c>
    </row>
    <row r="106" spans="1:10">
      <c r="A106" s="2410">
        <f>IF(未审附注之流动资产!A106="",0,未审附注之流动资产!A106)</f>
        <v>0</v>
      </c>
      <c r="B106" s="2431">
        <f>IF(未审附注之流动资产!B106="",0,未审附注之流动资产!B106)</f>
        <v>0</v>
      </c>
      <c r="C106" s="2431">
        <f>IF(未审附注之流动资产!C106="",0,未审附注之流动资产!C106)</f>
        <v>0</v>
      </c>
      <c r="D106" s="2403">
        <f>IF(未审附注之流动资产!D106="",0,未审附注之流动资产!D106)</f>
        <v>0</v>
      </c>
      <c r="E106" s="2410">
        <f>IF(未审附注之流动资产!E106="",0,未审附注之流动资产!E106)</f>
        <v>0</v>
      </c>
      <c r="F106" s="2398"/>
      <c r="G106" s="2398"/>
      <c r="H106" s="2398"/>
      <c r="I106" s="2398"/>
      <c r="J106" s="2436" t="s">
        <v>402</v>
      </c>
    </row>
    <row r="107" spans="1:10">
      <c r="A107" s="2410">
        <f>IF(未审附注之流动资产!A107="",0,未审附注之流动资产!A107)</f>
        <v>0</v>
      </c>
      <c r="B107" s="2431">
        <f>IF(未审附注之流动资产!B107="",0,未审附注之流动资产!B107)</f>
        <v>0</v>
      </c>
      <c r="C107" s="2431">
        <f>IF(未审附注之流动资产!C107="",0,未审附注之流动资产!C107)</f>
        <v>0</v>
      </c>
      <c r="D107" s="2403">
        <f>IF(未审附注之流动资产!D107="",0,未审附注之流动资产!D107)</f>
        <v>0</v>
      </c>
      <c r="E107" s="2410">
        <f>IF(未审附注之流动资产!E107="",0,未审附注之流动资产!E107)</f>
        <v>0</v>
      </c>
      <c r="F107" s="2398"/>
      <c r="G107" s="2398"/>
      <c r="H107" s="2398"/>
      <c r="I107" s="2398"/>
      <c r="J107" s="2436" t="s">
        <v>402</v>
      </c>
    </row>
    <row r="108" spans="1:10">
      <c r="A108" s="2410">
        <f>IF(未审附注之流动资产!A108="",0,未审附注之流动资产!A108)</f>
        <v>0</v>
      </c>
      <c r="B108" s="2431">
        <f>IF(未审附注之流动资产!B108="",0,未审附注之流动资产!B108)</f>
        <v>0</v>
      </c>
      <c r="C108" s="2431">
        <f>IF(未审附注之流动资产!C108="",0,未审附注之流动资产!C108)</f>
        <v>0</v>
      </c>
      <c r="D108" s="2403">
        <f>IF(未审附注之流动资产!D108="",0,未审附注之流动资产!D108)</f>
        <v>0</v>
      </c>
      <c r="E108" s="2410">
        <f>IF(未审附注之流动资产!E108="",0,未审附注之流动资产!E108)</f>
        <v>0</v>
      </c>
      <c r="F108" s="2398"/>
      <c r="G108" s="2398"/>
      <c r="H108" s="2398"/>
      <c r="I108" s="2398"/>
      <c r="J108" s="2436" t="s">
        <v>402</v>
      </c>
    </row>
    <row r="109" spans="1:10">
      <c r="A109" s="2410">
        <f>IF(未审附注之流动资产!A109="",0,未审附注之流动资产!A109)</f>
        <v>0</v>
      </c>
      <c r="B109" s="2431">
        <f>IF(未审附注之流动资产!B109="",0,未审附注之流动资产!B109)</f>
        <v>0</v>
      </c>
      <c r="C109" s="2431">
        <f>IF(未审附注之流动资产!C109="",0,未审附注之流动资产!C109)</f>
        <v>0</v>
      </c>
      <c r="D109" s="2403">
        <f>IF(未审附注之流动资产!D109="",0,未审附注之流动资产!D109)</f>
        <v>0</v>
      </c>
      <c r="E109" s="2410">
        <f>IF(未审附注之流动资产!E109="",0,未审附注之流动资产!E109)</f>
        <v>0</v>
      </c>
      <c r="F109" s="2398"/>
      <c r="G109" s="2398"/>
      <c r="H109" s="2398"/>
      <c r="I109" s="2398"/>
      <c r="J109" s="2436" t="s">
        <v>402</v>
      </c>
    </row>
    <row r="110" spans="1:10">
      <c r="A110" s="2410">
        <f>IF(未审附注之流动资产!A110="",0,未审附注之流动资产!A110)</f>
        <v>0</v>
      </c>
      <c r="B110" s="2431">
        <f>IF(未审附注之流动资产!B110="",0,未审附注之流动资产!B110)</f>
        <v>0</v>
      </c>
      <c r="C110" s="2431">
        <f>IF(未审附注之流动资产!C110="",0,未审附注之流动资产!C110)</f>
        <v>0</v>
      </c>
      <c r="D110" s="2403">
        <f>IF(未审附注之流动资产!D110="",0,未审附注之流动资产!D110)</f>
        <v>0</v>
      </c>
      <c r="E110" s="2410">
        <f>IF(未审附注之流动资产!E110="",0,未审附注之流动资产!E110)</f>
        <v>0</v>
      </c>
      <c r="F110" s="2398"/>
      <c r="G110" s="2398"/>
      <c r="H110" s="2398"/>
      <c r="I110" s="2398"/>
      <c r="J110" s="2436" t="s">
        <v>402</v>
      </c>
    </row>
    <row r="111" spans="1:10">
      <c r="A111" s="2410">
        <f>IF(未审附注之流动资产!A111="",0,未审附注之流动资产!A111)</f>
        <v>0</v>
      </c>
      <c r="B111" s="2431">
        <f>IF(未审附注之流动资产!B111="",0,未审附注之流动资产!B111)</f>
        <v>0</v>
      </c>
      <c r="C111" s="2431">
        <f>IF(未审附注之流动资产!C111="",0,未审附注之流动资产!C111)</f>
        <v>0</v>
      </c>
      <c r="D111" s="2403">
        <f>IF(未审附注之流动资产!D111="",0,未审附注之流动资产!D111)</f>
        <v>0</v>
      </c>
      <c r="E111" s="2410">
        <f>IF(未审附注之流动资产!E111="",0,未审附注之流动资产!E111)</f>
        <v>0</v>
      </c>
      <c r="F111" s="2398"/>
      <c r="G111" s="2398"/>
      <c r="H111" s="2398"/>
      <c r="I111" s="2398"/>
      <c r="J111" s="2436" t="s">
        <v>402</v>
      </c>
    </row>
    <row r="112" spans="1:10">
      <c r="A112" s="2410">
        <f>IF(未审附注之流动资产!A112="",0,未审附注之流动资产!A112)</f>
        <v>0</v>
      </c>
      <c r="B112" s="2431">
        <f>IF(未审附注之流动资产!B112="",0,未审附注之流动资产!B112)</f>
        <v>0</v>
      </c>
      <c r="C112" s="2431">
        <f>IF(未审附注之流动资产!C112="",0,未审附注之流动资产!C112)</f>
        <v>0</v>
      </c>
      <c r="D112" s="2403">
        <f>IF(未审附注之流动资产!D112="",0,未审附注之流动资产!D112)</f>
        <v>0</v>
      </c>
      <c r="E112" s="2410">
        <f>IF(未审附注之流动资产!E112="",0,未审附注之流动资产!E112)</f>
        <v>0</v>
      </c>
      <c r="F112" s="2398"/>
      <c r="G112" s="2398"/>
      <c r="H112" s="2398"/>
      <c r="I112" s="2398"/>
      <c r="J112" s="2436" t="s">
        <v>402</v>
      </c>
    </row>
    <row r="113" spans="1:10">
      <c r="A113" s="2400" t="s">
        <v>347</v>
      </c>
      <c r="B113" s="2416"/>
      <c r="C113" s="2416"/>
      <c r="D113" s="2369">
        <f>ROUND(SUM(D103:D112),2)</f>
        <v>0</v>
      </c>
      <c r="E113" s="2416"/>
      <c r="F113" s="2398"/>
      <c r="G113" s="2398"/>
      <c r="H113" s="2398"/>
      <c r="I113" s="2398"/>
      <c r="J113" s="2436" t="s">
        <v>403</v>
      </c>
    </row>
    <row r="114" spans="1:9">
      <c r="A114" s="2421"/>
      <c r="B114" s="2398"/>
      <c r="C114" s="2398"/>
      <c r="D114" s="2398"/>
      <c r="E114" s="2398"/>
      <c r="F114" s="2398"/>
      <c r="G114" s="2398"/>
      <c r="H114" s="2398"/>
      <c r="I114" s="2398"/>
    </row>
    <row r="115" spans="1:9">
      <c r="A115" s="2399" t="s">
        <v>404</v>
      </c>
      <c r="B115" s="2398"/>
      <c r="C115" s="2398"/>
      <c r="D115" s="2398"/>
      <c r="E115" s="2398"/>
      <c r="F115" s="2398"/>
      <c r="G115" s="2398"/>
      <c r="H115" s="2398"/>
      <c r="I115" s="2398"/>
    </row>
    <row r="116" spans="1:9">
      <c r="A116" s="2401" t="s">
        <v>398</v>
      </c>
      <c r="B116" s="2426" t="s">
        <v>399</v>
      </c>
      <c r="C116" s="2442" t="s">
        <v>400</v>
      </c>
      <c r="D116" s="2426" t="s">
        <v>366</v>
      </c>
      <c r="E116" s="2426" t="s">
        <v>405</v>
      </c>
      <c r="F116" s="2426" t="s">
        <v>406</v>
      </c>
      <c r="G116" s="2398"/>
      <c r="H116" s="2398"/>
      <c r="I116" s="2398"/>
    </row>
    <row r="117" spans="1:10">
      <c r="A117" s="2410">
        <f>IF(未审附注之流动资产!A117="",0,未审附注之流动资产!A117)</f>
        <v>0</v>
      </c>
      <c r="B117" s="2431">
        <f>IF(未审附注之流动资产!B117="",0,未审附注之流动资产!B117)</f>
        <v>0</v>
      </c>
      <c r="C117" s="2431">
        <f>IF(未审附注之流动资产!C117="",0,未审附注之流动资产!C117)</f>
        <v>0</v>
      </c>
      <c r="D117" s="2403">
        <f>IF(未审附注之流动资产!D117="",0,未审附注之流动资产!D117)</f>
        <v>0</v>
      </c>
      <c r="E117" s="2431">
        <f>IF(未审附注之流动资产!E117="",0,未审附注之流动资产!E117)</f>
        <v>0</v>
      </c>
      <c r="F117" s="2403">
        <f>IF(未审附注之流动资产!F117="",0,未审附注之流动资产!F117)</f>
        <v>0</v>
      </c>
      <c r="G117" s="2398"/>
      <c r="H117" s="2398"/>
      <c r="I117" s="2398"/>
      <c r="J117" s="2436" t="s">
        <v>407</v>
      </c>
    </row>
    <row r="118" spans="1:10">
      <c r="A118" s="2410">
        <f>IF(未审附注之流动资产!A118="",0,未审附注之流动资产!A118)</f>
        <v>0</v>
      </c>
      <c r="B118" s="2431">
        <f>IF(未审附注之流动资产!B118="",0,未审附注之流动资产!B118)</f>
        <v>0</v>
      </c>
      <c r="C118" s="2431">
        <f>IF(未审附注之流动资产!C118="",0,未审附注之流动资产!C118)</f>
        <v>0</v>
      </c>
      <c r="D118" s="2403">
        <f>IF(未审附注之流动资产!D118="",0,未审附注之流动资产!D118)</f>
        <v>0</v>
      </c>
      <c r="E118" s="2431">
        <f>IF(未审附注之流动资产!E118="",0,未审附注之流动资产!E118)</f>
        <v>0</v>
      </c>
      <c r="F118" s="2403">
        <f>IF(未审附注之流动资产!F118="",0,未审附注之流动资产!F118)</f>
        <v>0</v>
      </c>
      <c r="G118" s="2398"/>
      <c r="H118" s="2398"/>
      <c r="I118" s="2398"/>
      <c r="J118" s="2436" t="s">
        <v>407</v>
      </c>
    </row>
    <row r="119" spans="1:10">
      <c r="A119" s="2410">
        <f>IF(未审附注之流动资产!A119="",0,未审附注之流动资产!A119)</f>
        <v>0</v>
      </c>
      <c r="B119" s="2431">
        <f>IF(未审附注之流动资产!B119="",0,未审附注之流动资产!B119)</f>
        <v>0</v>
      </c>
      <c r="C119" s="2431">
        <f>IF(未审附注之流动资产!C119="",0,未审附注之流动资产!C119)</f>
        <v>0</v>
      </c>
      <c r="D119" s="2403">
        <f>IF(未审附注之流动资产!D119="",0,未审附注之流动资产!D119)</f>
        <v>0</v>
      </c>
      <c r="E119" s="2431">
        <f>IF(未审附注之流动资产!E119="",0,未审附注之流动资产!E119)</f>
        <v>0</v>
      </c>
      <c r="F119" s="2403">
        <f>IF(未审附注之流动资产!F119="",0,未审附注之流动资产!F119)</f>
        <v>0</v>
      </c>
      <c r="G119" s="2398"/>
      <c r="H119" s="2398"/>
      <c r="I119" s="2398"/>
      <c r="J119" s="2436" t="s">
        <v>407</v>
      </c>
    </row>
    <row r="120" spans="1:10">
      <c r="A120" s="2410">
        <f>IF(未审附注之流动资产!A120="",0,未审附注之流动资产!A120)</f>
        <v>0</v>
      </c>
      <c r="B120" s="2431">
        <f>IF(未审附注之流动资产!B120="",0,未审附注之流动资产!B120)</f>
        <v>0</v>
      </c>
      <c r="C120" s="2431">
        <f>IF(未审附注之流动资产!C120="",0,未审附注之流动资产!C120)</f>
        <v>0</v>
      </c>
      <c r="D120" s="2403">
        <f>IF(未审附注之流动资产!D120="",0,未审附注之流动资产!D120)</f>
        <v>0</v>
      </c>
      <c r="E120" s="2431">
        <f>IF(未审附注之流动资产!E120="",0,未审附注之流动资产!E120)</f>
        <v>0</v>
      </c>
      <c r="F120" s="2403">
        <f>IF(未审附注之流动资产!F120="",0,未审附注之流动资产!F120)</f>
        <v>0</v>
      </c>
      <c r="G120" s="2398"/>
      <c r="H120" s="2398"/>
      <c r="I120" s="2398"/>
      <c r="J120" s="2436" t="s">
        <v>407</v>
      </c>
    </row>
    <row r="121" spans="1:10">
      <c r="A121" s="2410">
        <f>IF(未审附注之流动资产!A121="",0,未审附注之流动资产!A121)</f>
        <v>0</v>
      </c>
      <c r="B121" s="2431">
        <f>IF(未审附注之流动资产!B121="",0,未审附注之流动资产!B121)</f>
        <v>0</v>
      </c>
      <c r="C121" s="2431">
        <f>IF(未审附注之流动资产!C121="",0,未审附注之流动资产!C121)</f>
        <v>0</v>
      </c>
      <c r="D121" s="2403">
        <f>IF(未审附注之流动资产!D121="",0,未审附注之流动资产!D121)</f>
        <v>0</v>
      </c>
      <c r="E121" s="2431">
        <f>IF(未审附注之流动资产!E121="",0,未审附注之流动资产!E121)</f>
        <v>0</v>
      </c>
      <c r="F121" s="2403">
        <f>IF(未审附注之流动资产!F121="",0,未审附注之流动资产!F121)</f>
        <v>0</v>
      </c>
      <c r="G121" s="2398"/>
      <c r="H121" s="2398"/>
      <c r="I121" s="2398"/>
      <c r="J121" s="2436" t="s">
        <v>407</v>
      </c>
    </row>
    <row r="122" spans="1:10">
      <c r="A122" s="2410">
        <f>IF(未审附注之流动资产!A122="",0,未审附注之流动资产!A122)</f>
        <v>0</v>
      </c>
      <c r="B122" s="2431">
        <f>IF(未审附注之流动资产!B122="",0,未审附注之流动资产!B122)</f>
        <v>0</v>
      </c>
      <c r="C122" s="2431">
        <f>IF(未审附注之流动资产!C122="",0,未审附注之流动资产!C122)</f>
        <v>0</v>
      </c>
      <c r="D122" s="2403">
        <f>IF(未审附注之流动资产!D122="",0,未审附注之流动资产!D122)</f>
        <v>0</v>
      </c>
      <c r="E122" s="2431">
        <f>IF(未审附注之流动资产!E122="",0,未审附注之流动资产!E122)</f>
        <v>0</v>
      </c>
      <c r="F122" s="2403">
        <f>IF(未审附注之流动资产!F122="",0,未审附注之流动资产!F122)</f>
        <v>0</v>
      </c>
      <c r="G122" s="2398"/>
      <c r="H122" s="2398"/>
      <c r="I122" s="2398"/>
      <c r="J122" s="2436" t="s">
        <v>407</v>
      </c>
    </row>
    <row r="123" spans="1:10">
      <c r="A123" s="2410">
        <f>IF(未审附注之流动资产!A123="",0,未审附注之流动资产!A123)</f>
        <v>0</v>
      </c>
      <c r="B123" s="2431">
        <f>IF(未审附注之流动资产!B123="",0,未审附注之流动资产!B123)</f>
        <v>0</v>
      </c>
      <c r="C123" s="2431">
        <f>IF(未审附注之流动资产!C123="",0,未审附注之流动资产!C123)</f>
        <v>0</v>
      </c>
      <c r="D123" s="2403">
        <f>IF(未审附注之流动资产!D123="",0,未审附注之流动资产!D123)</f>
        <v>0</v>
      </c>
      <c r="E123" s="2431">
        <f>IF(未审附注之流动资产!E123="",0,未审附注之流动资产!E123)</f>
        <v>0</v>
      </c>
      <c r="F123" s="2403">
        <f>IF(未审附注之流动资产!F123="",0,未审附注之流动资产!F123)</f>
        <v>0</v>
      </c>
      <c r="G123" s="2398"/>
      <c r="H123" s="2398"/>
      <c r="I123" s="2398"/>
      <c r="J123" s="2436" t="s">
        <v>407</v>
      </c>
    </row>
    <row r="124" spans="1:10">
      <c r="A124" s="2410">
        <f>IF(未审附注之流动资产!A124="",0,未审附注之流动资产!A124)</f>
        <v>0</v>
      </c>
      <c r="B124" s="2431">
        <f>IF(未审附注之流动资产!B124="",0,未审附注之流动资产!B124)</f>
        <v>0</v>
      </c>
      <c r="C124" s="2431">
        <f>IF(未审附注之流动资产!C124="",0,未审附注之流动资产!C124)</f>
        <v>0</v>
      </c>
      <c r="D124" s="2403">
        <f>IF(未审附注之流动资产!D124="",0,未审附注之流动资产!D124)</f>
        <v>0</v>
      </c>
      <c r="E124" s="2431">
        <f>IF(未审附注之流动资产!E124="",0,未审附注之流动资产!E124)</f>
        <v>0</v>
      </c>
      <c r="F124" s="2403">
        <f>IF(未审附注之流动资产!F124="",0,未审附注之流动资产!F124)</f>
        <v>0</v>
      </c>
      <c r="G124" s="2398"/>
      <c r="H124" s="2398"/>
      <c r="I124" s="2398"/>
      <c r="J124" s="2436" t="s">
        <v>407</v>
      </c>
    </row>
    <row r="125" spans="1:10">
      <c r="A125" s="2410">
        <f>IF(未审附注之流动资产!A125="",0,未审附注之流动资产!A125)</f>
        <v>0</v>
      </c>
      <c r="B125" s="2431">
        <f>IF(未审附注之流动资产!B125="",0,未审附注之流动资产!B125)</f>
        <v>0</v>
      </c>
      <c r="C125" s="2431">
        <f>IF(未审附注之流动资产!C125="",0,未审附注之流动资产!C125)</f>
        <v>0</v>
      </c>
      <c r="D125" s="2403">
        <f>IF(未审附注之流动资产!D125="",0,未审附注之流动资产!D125)</f>
        <v>0</v>
      </c>
      <c r="E125" s="2431">
        <f>IF(未审附注之流动资产!E125="",0,未审附注之流动资产!E125)</f>
        <v>0</v>
      </c>
      <c r="F125" s="2403">
        <f>IF(未审附注之流动资产!F125="",0,未审附注之流动资产!F125)</f>
        <v>0</v>
      </c>
      <c r="G125" s="2398"/>
      <c r="H125" s="2398"/>
      <c r="I125" s="2398"/>
      <c r="J125" s="2436" t="s">
        <v>407</v>
      </c>
    </row>
    <row r="126" spans="1:10">
      <c r="A126" s="2410">
        <f>IF(未审附注之流动资产!A126="",0,未审附注之流动资产!A126)</f>
        <v>0</v>
      </c>
      <c r="B126" s="2431">
        <f>IF(未审附注之流动资产!B126="",0,未审附注之流动资产!B126)</f>
        <v>0</v>
      </c>
      <c r="C126" s="2431">
        <f>IF(未审附注之流动资产!C126="",0,未审附注之流动资产!C126)</f>
        <v>0</v>
      </c>
      <c r="D126" s="2403">
        <f>IF(未审附注之流动资产!D126="",0,未审附注之流动资产!D126)</f>
        <v>0</v>
      </c>
      <c r="E126" s="2431">
        <f>IF(未审附注之流动资产!E126="",0,未审附注之流动资产!E126)</f>
        <v>0</v>
      </c>
      <c r="F126" s="2403">
        <f>IF(未审附注之流动资产!F126="",0,未审附注之流动资产!F126)</f>
        <v>0</v>
      </c>
      <c r="G126" s="2398"/>
      <c r="H126" s="2398"/>
      <c r="I126" s="2398"/>
      <c r="J126" s="2436" t="s">
        <v>407</v>
      </c>
    </row>
    <row r="127" spans="1:10">
      <c r="A127" s="2400" t="s">
        <v>347</v>
      </c>
      <c r="B127" s="2416"/>
      <c r="C127" s="2416"/>
      <c r="D127" s="2369">
        <f>ROUND(SUM(D117:D126),2)</f>
        <v>0</v>
      </c>
      <c r="E127" s="2416"/>
      <c r="F127" s="2369">
        <f>ROUND(SUM(F117:F126),2)</f>
        <v>0</v>
      </c>
      <c r="G127" s="2398"/>
      <c r="H127" s="2398"/>
      <c r="I127" s="2398"/>
      <c r="J127" s="2436" t="s">
        <v>408</v>
      </c>
    </row>
    <row r="128" spans="1:9">
      <c r="A128" s="2421"/>
      <c r="B128" s="2398"/>
      <c r="C128" s="2398"/>
      <c r="D128" s="2398"/>
      <c r="E128" s="2398"/>
      <c r="F128" s="2398"/>
      <c r="G128" s="2398"/>
      <c r="H128" s="2398"/>
      <c r="I128" s="2398"/>
    </row>
    <row r="129" spans="1:9">
      <c r="A129" s="2399" t="s">
        <v>409</v>
      </c>
      <c r="B129" s="2398"/>
      <c r="C129" s="2398"/>
      <c r="D129" s="2398"/>
      <c r="E129" s="2398"/>
      <c r="F129" s="2398"/>
      <c r="G129" s="2398"/>
      <c r="H129" s="2398"/>
      <c r="I129" s="2398"/>
    </row>
    <row r="130" spans="1:9">
      <c r="A130" s="2401" t="s">
        <v>398</v>
      </c>
      <c r="B130" s="2426" t="s">
        <v>399</v>
      </c>
      <c r="C130" s="2442" t="s">
        <v>400</v>
      </c>
      <c r="D130" s="2426" t="s">
        <v>366</v>
      </c>
      <c r="E130" s="2426" t="s">
        <v>410</v>
      </c>
      <c r="F130" s="2398"/>
      <c r="G130" s="2398"/>
      <c r="H130" s="2398"/>
      <c r="I130" s="2398"/>
    </row>
    <row r="131" spans="1:10">
      <c r="A131" s="2410">
        <f>IF(未审附注之流动资产!A131="",0,未审附注之流动资产!A131)</f>
        <v>0</v>
      </c>
      <c r="B131" s="2431">
        <f>IF(未审附注之流动资产!B131="",0,未审附注之流动资产!B131)</f>
        <v>0</v>
      </c>
      <c r="C131" s="2431">
        <f>IF(未审附注之流动资产!C131="",0,未审附注之流动资产!C131)</f>
        <v>0</v>
      </c>
      <c r="D131" s="2403">
        <f>IF(未审附注之流动资产!D131="",0,未审附注之流动资产!D131)</f>
        <v>0</v>
      </c>
      <c r="E131" s="2410">
        <f>IF(未审附注之流动资产!E131="",0,未审附注之流动资产!E131)</f>
        <v>0</v>
      </c>
      <c r="F131" s="2398"/>
      <c r="G131" s="2398"/>
      <c r="H131" s="2398"/>
      <c r="I131" s="2398"/>
      <c r="J131" s="2436" t="s">
        <v>411</v>
      </c>
    </row>
    <row r="132" spans="1:10">
      <c r="A132" s="2410">
        <f>IF(未审附注之流动资产!A132="",0,未审附注之流动资产!A132)</f>
        <v>0</v>
      </c>
      <c r="B132" s="2431">
        <f>IF(未审附注之流动资产!B132="",0,未审附注之流动资产!B132)</f>
        <v>0</v>
      </c>
      <c r="C132" s="2431">
        <f>IF(未审附注之流动资产!C132="",0,未审附注之流动资产!C132)</f>
        <v>0</v>
      </c>
      <c r="D132" s="2403">
        <f>IF(未审附注之流动资产!D132="",0,未审附注之流动资产!D132)</f>
        <v>0</v>
      </c>
      <c r="E132" s="2410">
        <f>IF(未审附注之流动资产!E132="",0,未审附注之流动资产!E132)</f>
        <v>0</v>
      </c>
      <c r="F132" s="2398"/>
      <c r="G132" s="2398"/>
      <c r="H132" s="2398"/>
      <c r="I132" s="2398"/>
      <c r="J132" s="2436" t="s">
        <v>411</v>
      </c>
    </row>
    <row r="133" spans="1:10">
      <c r="A133" s="2410">
        <f>IF(未审附注之流动资产!A133="",0,未审附注之流动资产!A133)</f>
        <v>0</v>
      </c>
      <c r="B133" s="2431">
        <f>IF(未审附注之流动资产!B133="",0,未审附注之流动资产!B133)</f>
        <v>0</v>
      </c>
      <c r="C133" s="2431">
        <f>IF(未审附注之流动资产!C133="",0,未审附注之流动资产!C133)</f>
        <v>0</v>
      </c>
      <c r="D133" s="2403">
        <f>IF(未审附注之流动资产!D133="",0,未审附注之流动资产!D133)</f>
        <v>0</v>
      </c>
      <c r="E133" s="2410">
        <f>IF(未审附注之流动资产!E133="",0,未审附注之流动资产!E133)</f>
        <v>0</v>
      </c>
      <c r="F133" s="2398"/>
      <c r="G133" s="2398"/>
      <c r="H133" s="2398"/>
      <c r="I133" s="2398"/>
      <c r="J133" s="2436" t="s">
        <v>411</v>
      </c>
    </row>
    <row r="134" spans="1:10">
      <c r="A134" s="2410">
        <f>IF(未审附注之流动资产!A134="",0,未审附注之流动资产!A134)</f>
        <v>0</v>
      </c>
      <c r="B134" s="2431">
        <f>IF(未审附注之流动资产!B134="",0,未审附注之流动资产!B134)</f>
        <v>0</v>
      </c>
      <c r="C134" s="2431">
        <f>IF(未审附注之流动资产!C134="",0,未审附注之流动资产!C134)</f>
        <v>0</v>
      </c>
      <c r="D134" s="2403">
        <f>IF(未审附注之流动资产!D134="",0,未审附注之流动资产!D134)</f>
        <v>0</v>
      </c>
      <c r="E134" s="2410">
        <f>IF(未审附注之流动资产!E134="",0,未审附注之流动资产!E134)</f>
        <v>0</v>
      </c>
      <c r="F134" s="2398"/>
      <c r="G134" s="2398"/>
      <c r="H134" s="2398"/>
      <c r="I134" s="2398"/>
      <c r="J134" s="2436" t="s">
        <v>411</v>
      </c>
    </row>
    <row r="135" spans="1:10">
      <c r="A135" s="2410">
        <f>IF(未审附注之流动资产!A135="",0,未审附注之流动资产!A135)</f>
        <v>0</v>
      </c>
      <c r="B135" s="2431">
        <f>IF(未审附注之流动资产!B135="",0,未审附注之流动资产!B135)</f>
        <v>0</v>
      </c>
      <c r="C135" s="2431">
        <f>IF(未审附注之流动资产!C135="",0,未审附注之流动资产!C135)</f>
        <v>0</v>
      </c>
      <c r="D135" s="2403">
        <f>IF(未审附注之流动资产!D135="",0,未审附注之流动资产!D135)</f>
        <v>0</v>
      </c>
      <c r="E135" s="2410">
        <f>IF(未审附注之流动资产!E135="",0,未审附注之流动资产!E135)</f>
        <v>0</v>
      </c>
      <c r="F135" s="2398"/>
      <c r="G135" s="2398"/>
      <c r="H135" s="2398"/>
      <c r="I135" s="2398"/>
      <c r="J135" s="2436" t="s">
        <v>411</v>
      </c>
    </row>
    <row r="136" spans="1:10">
      <c r="A136" s="2410">
        <f>IF(未审附注之流动资产!A136="",0,未审附注之流动资产!A136)</f>
        <v>0</v>
      </c>
      <c r="B136" s="2431">
        <f>IF(未审附注之流动资产!B136="",0,未审附注之流动资产!B136)</f>
        <v>0</v>
      </c>
      <c r="C136" s="2431">
        <f>IF(未审附注之流动资产!C136="",0,未审附注之流动资产!C136)</f>
        <v>0</v>
      </c>
      <c r="D136" s="2403">
        <f>IF(未审附注之流动资产!D136="",0,未审附注之流动资产!D136)</f>
        <v>0</v>
      </c>
      <c r="E136" s="2410">
        <f>IF(未审附注之流动资产!E136="",0,未审附注之流动资产!E136)</f>
        <v>0</v>
      </c>
      <c r="F136" s="2398"/>
      <c r="G136" s="2398"/>
      <c r="H136" s="2398"/>
      <c r="I136" s="2398"/>
      <c r="J136" s="2436" t="s">
        <v>411</v>
      </c>
    </row>
    <row r="137" spans="1:10">
      <c r="A137" s="2410">
        <f>IF(未审附注之流动资产!A137="",0,未审附注之流动资产!A137)</f>
        <v>0</v>
      </c>
      <c r="B137" s="2431">
        <f>IF(未审附注之流动资产!B137="",0,未审附注之流动资产!B137)</f>
        <v>0</v>
      </c>
      <c r="C137" s="2431">
        <f>IF(未审附注之流动资产!C137="",0,未审附注之流动资产!C137)</f>
        <v>0</v>
      </c>
      <c r="D137" s="2403">
        <f>IF(未审附注之流动资产!D137="",0,未审附注之流动资产!D137)</f>
        <v>0</v>
      </c>
      <c r="E137" s="2410">
        <f>IF(未审附注之流动资产!E137="",0,未审附注之流动资产!E137)</f>
        <v>0</v>
      </c>
      <c r="F137" s="2398"/>
      <c r="G137" s="2398"/>
      <c r="H137" s="2398"/>
      <c r="I137" s="2398"/>
      <c r="J137" s="2436" t="s">
        <v>411</v>
      </c>
    </row>
    <row r="138" spans="1:10">
      <c r="A138" s="2410">
        <f>IF(未审附注之流动资产!A138="",0,未审附注之流动资产!A138)</f>
        <v>0</v>
      </c>
      <c r="B138" s="2431">
        <f>IF(未审附注之流动资产!B138="",0,未审附注之流动资产!B138)</f>
        <v>0</v>
      </c>
      <c r="C138" s="2431">
        <f>IF(未审附注之流动资产!C138="",0,未审附注之流动资产!C138)</f>
        <v>0</v>
      </c>
      <c r="D138" s="2403">
        <f>IF(未审附注之流动资产!D138="",0,未审附注之流动资产!D138)</f>
        <v>0</v>
      </c>
      <c r="E138" s="2410">
        <f>IF(未审附注之流动资产!E138="",0,未审附注之流动资产!E138)</f>
        <v>0</v>
      </c>
      <c r="F138" s="2398"/>
      <c r="G138" s="2398"/>
      <c r="H138" s="2398"/>
      <c r="I138" s="2398"/>
      <c r="J138" s="2436" t="s">
        <v>411</v>
      </c>
    </row>
    <row r="139" spans="1:10">
      <c r="A139" s="2410">
        <f>IF(未审附注之流动资产!A139="",0,未审附注之流动资产!A139)</f>
        <v>0</v>
      </c>
      <c r="B139" s="2431">
        <f>IF(未审附注之流动资产!B139="",0,未审附注之流动资产!B139)</f>
        <v>0</v>
      </c>
      <c r="C139" s="2431">
        <f>IF(未审附注之流动资产!C139="",0,未审附注之流动资产!C139)</f>
        <v>0</v>
      </c>
      <c r="D139" s="2403">
        <f>IF(未审附注之流动资产!D139="",0,未审附注之流动资产!D139)</f>
        <v>0</v>
      </c>
      <c r="E139" s="2410">
        <f>IF(未审附注之流动资产!E139="",0,未审附注之流动资产!E139)</f>
        <v>0</v>
      </c>
      <c r="F139" s="2398"/>
      <c r="G139" s="2398"/>
      <c r="H139" s="2398"/>
      <c r="I139" s="2398"/>
      <c r="J139" s="2436" t="s">
        <v>411</v>
      </c>
    </row>
    <row r="140" spans="1:10">
      <c r="A140" s="2410">
        <f>IF(未审附注之流动资产!A140="",0,未审附注之流动资产!A140)</f>
        <v>0</v>
      </c>
      <c r="B140" s="2431">
        <f>IF(未审附注之流动资产!B140="",0,未审附注之流动资产!B140)</f>
        <v>0</v>
      </c>
      <c r="C140" s="2431">
        <f>IF(未审附注之流动资产!C140="",0,未审附注之流动资产!C140)</f>
        <v>0</v>
      </c>
      <c r="D140" s="2403">
        <f>IF(未审附注之流动资产!D140="",0,未审附注之流动资产!D140)</f>
        <v>0</v>
      </c>
      <c r="E140" s="2410">
        <f>IF(未审附注之流动资产!E140="",0,未审附注之流动资产!E140)</f>
        <v>0</v>
      </c>
      <c r="F140" s="2398"/>
      <c r="G140" s="2398"/>
      <c r="H140" s="2398"/>
      <c r="I140" s="2398"/>
      <c r="J140" s="2436" t="s">
        <v>411</v>
      </c>
    </row>
    <row r="141" spans="1:10">
      <c r="A141" s="2400" t="s">
        <v>347</v>
      </c>
      <c r="B141" s="2416"/>
      <c r="C141" s="2416"/>
      <c r="D141" s="2369">
        <f>ROUND(SUM(D131:D140),2)</f>
        <v>0</v>
      </c>
      <c r="E141" s="2416"/>
      <c r="F141" s="2398"/>
      <c r="G141" s="2398"/>
      <c r="H141" s="2398"/>
      <c r="I141" s="2398"/>
      <c r="J141" s="2436" t="s">
        <v>412</v>
      </c>
    </row>
    <row r="142" spans="1:9">
      <c r="A142" s="2421"/>
      <c r="B142" s="2398"/>
      <c r="C142" s="2398"/>
      <c r="D142" s="2398"/>
      <c r="E142" s="2398"/>
      <c r="F142" s="2398"/>
      <c r="G142" s="2398"/>
      <c r="H142" s="2398"/>
      <c r="I142" s="2398"/>
    </row>
    <row r="143" spans="1:9">
      <c r="A143" s="2399" t="s">
        <v>413</v>
      </c>
      <c r="B143" s="2398"/>
      <c r="C143" s="2398"/>
      <c r="D143" s="2398"/>
      <c r="E143" s="2398"/>
      <c r="F143" s="2398"/>
      <c r="G143" s="2398"/>
      <c r="H143" s="2398"/>
      <c r="I143" s="2398"/>
    </row>
    <row r="144" spans="1:9">
      <c r="A144" s="2401" t="s">
        <v>398</v>
      </c>
      <c r="B144" s="2426" t="s">
        <v>399</v>
      </c>
      <c r="C144" s="2442" t="s">
        <v>400</v>
      </c>
      <c r="D144" s="2426" t="s">
        <v>366</v>
      </c>
      <c r="E144" s="2398"/>
      <c r="F144" s="2398"/>
      <c r="G144" s="2398"/>
      <c r="H144" s="2398"/>
      <c r="I144" s="2398"/>
    </row>
    <row r="145" spans="1:10">
      <c r="A145" s="2410">
        <f>IF(未审附注之流动资产!A145="",0,未审附注之流动资产!A145)</f>
        <v>0</v>
      </c>
      <c r="B145" s="2431">
        <f>IF(未审附注之流动资产!B145="",0,未审附注之流动资产!B145)</f>
        <v>0</v>
      </c>
      <c r="C145" s="2431">
        <f>IF(未审附注之流动资产!C145="",0,未审附注之流动资产!C145)</f>
        <v>0</v>
      </c>
      <c r="D145" s="2403">
        <f>IF(未审附注之流动资产!D145="",0,未审附注之流动资产!D145)</f>
        <v>0</v>
      </c>
      <c r="E145" s="2398"/>
      <c r="F145" s="2398"/>
      <c r="G145" s="2398"/>
      <c r="H145" s="2398"/>
      <c r="I145" s="2398"/>
      <c r="J145" s="2436" t="s">
        <v>414</v>
      </c>
    </row>
    <row r="146" spans="1:10">
      <c r="A146" s="2410">
        <f>IF(未审附注之流动资产!A146="",0,未审附注之流动资产!A146)</f>
        <v>0</v>
      </c>
      <c r="B146" s="2431">
        <f>IF(未审附注之流动资产!B146="",0,未审附注之流动资产!B146)</f>
        <v>0</v>
      </c>
      <c r="C146" s="2431">
        <f>IF(未审附注之流动资产!C146="",0,未审附注之流动资产!C146)</f>
        <v>0</v>
      </c>
      <c r="D146" s="2403">
        <f>IF(未审附注之流动资产!D146="",0,未审附注之流动资产!D146)</f>
        <v>0</v>
      </c>
      <c r="E146" s="2398"/>
      <c r="F146" s="2398"/>
      <c r="G146" s="2398"/>
      <c r="H146" s="2398"/>
      <c r="I146" s="2398"/>
      <c r="J146" s="2436" t="s">
        <v>414</v>
      </c>
    </row>
    <row r="147" spans="1:10">
      <c r="A147" s="2410">
        <f>IF(未审附注之流动资产!A147="",0,未审附注之流动资产!A147)</f>
        <v>0</v>
      </c>
      <c r="B147" s="2431">
        <f>IF(未审附注之流动资产!B147="",0,未审附注之流动资产!B147)</f>
        <v>0</v>
      </c>
      <c r="C147" s="2431">
        <f>IF(未审附注之流动资产!C147="",0,未审附注之流动资产!C147)</f>
        <v>0</v>
      </c>
      <c r="D147" s="2403">
        <f>IF(未审附注之流动资产!D147="",0,未审附注之流动资产!D147)</f>
        <v>0</v>
      </c>
      <c r="E147" s="2398"/>
      <c r="F147" s="2398"/>
      <c r="G147" s="2398"/>
      <c r="H147" s="2398"/>
      <c r="I147" s="2398"/>
      <c r="J147" s="2436" t="s">
        <v>414</v>
      </c>
    </row>
    <row r="148" spans="1:10">
      <c r="A148" s="2410">
        <f>IF(未审附注之流动资产!A148="",0,未审附注之流动资产!A148)</f>
        <v>0</v>
      </c>
      <c r="B148" s="2431">
        <f>IF(未审附注之流动资产!B148="",0,未审附注之流动资产!B148)</f>
        <v>0</v>
      </c>
      <c r="C148" s="2431">
        <f>IF(未审附注之流动资产!C148="",0,未审附注之流动资产!C148)</f>
        <v>0</v>
      </c>
      <c r="D148" s="2403">
        <f>IF(未审附注之流动资产!D148="",0,未审附注之流动资产!D148)</f>
        <v>0</v>
      </c>
      <c r="E148" s="2398"/>
      <c r="F148" s="2398"/>
      <c r="G148" s="2398"/>
      <c r="H148" s="2398"/>
      <c r="I148" s="2398"/>
      <c r="J148" s="2436" t="s">
        <v>414</v>
      </c>
    </row>
    <row r="149" spans="1:10">
      <c r="A149" s="2410">
        <f>IF(未审附注之流动资产!A149="",0,未审附注之流动资产!A149)</f>
        <v>0</v>
      </c>
      <c r="B149" s="2431">
        <f>IF(未审附注之流动资产!B149="",0,未审附注之流动资产!B149)</f>
        <v>0</v>
      </c>
      <c r="C149" s="2431">
        <f>IF(未审附注之流动资产!C149="",0,未审附注之流动资产!C149)</f>
        <v>0</v>
      </c>
      <c r="D149" s="2403">
        <f>IF(未审附注之流动资产!D149="",0,未审附注之流动资产!D149)</f>
        <v>0</v>
      </c>
      <c r="E149" s="2398"/>
      <c r="F149" s="2398"/>
      <c r="G149" s="2398"/>
      <c r="H149" s="2398"/>
      <c r="I149" s="2398"/>
      <c r="J149" s="2436" t="s">
        <v>414</v>
      </c>
    </row>
    <row r="150" spans="1:10">
      <c r="A150" s="2410">
        <f>IF(未审附注之流动资产!A150="",0,未审附注之流动资产!A150)</f>
        <v>0</v>
      </c>
      <c r="B150" s="2431">
        <f>IF(未审附注之流动资产!B150="",0,未审附注之流动资产!B150)</f>
        <v>0</v>
      </c>
      <c r="C150" s="2431">
        <f>IF(未审附注之流动资产!C150="",0,未审附注之流动资产!C150)</f>
        <v>0</v>
      </c>
      <c r="D150" s="2403">
        <f>IF(未审附注之流动资产!D150="",0,未审附注之流动资产!D150)</f>
        <v>0</v>
      </c>
      <c r="E150" s="2398"/>
      <c r="F150" s="2398"/>
      <c r="G150" s="2398"/>
      <c r="H150" s="2398"/>
      <c r="I150" s="2398"/>
      <c r="J150" s="2436" t="s">
        <v>414</v>
      </c>
    </row>
    <row r="151" spans="1:10">
      <c r="A151" s="2410">
        <f>IF(未审附注之流动资产!A151="",0,未审附注之流动资产!A151)</f>
        <v>0</v>
      </c>
      <c r="B151" s="2431">
        <f>IF(未审附注之流动资产!B151="",0,未审附注之流动资产!B151)</f>
        <v>0</v>
      </c>
      <c r="C151" s="2431">
        <f>IF(未审附注之流动资产!C151="",0,未审附注之流动资产!C151)</f>
        <v>0</v>
      </c>
      <c r="D151" s="2403">
        <f>IF(未审附注之流动资产!D151="",0,未审附注之流动资产!D151)</f>
        <v>0</v>
      </c>
      <c r="E151" s="2398"/>
      <c r="F151" s="2398"/>
      <c r="G151" s="2398"/>
      <c r="H151" s="2398"/>
      <c r="I151" s="2398"/>
      <c r="J151" s="2436" t="s">
        <v>414</v>
      </c>
    </row>
    <row r="152" spans="1:10">
      <c r="A152" s="2410">
        <f>IF(未审附注之流动资产!A152="",0,未审附注之流动资产!A152)</f>
        <v>0</v>
      </c>
      <c r="B152" s="2431">
        <f>IF(未审附注之流动资产!B152="",0,未审附注之流动资产!B152)</f>
        <v>0</v>
      </c>
      <c r="C152" s="2431">
        <f>IF(未审附注之流动资产!C152="",0,未审附注之流动资产!C152)</f>
        <v>0</v>
      </c>
      <c r="D152" s="2403">
        <f>IF(未审附注之流动资产!D152="",0,未审附注之流动资产!D152)</f>
        <v>0</v>
      </c>
      <c r="E152" s="2398"/>
      <c r="F152" s="2398"/>
      <c r="G152" s="2398"/>
      <c r="H152" s="2398"/>
      <c r="I152" s="2398"/>
      <c r="J152" s="2436" t="s">
        <v>414</v>
      </c>
    </row>
    <row r="153" spans="1:10">
      <c r="A153" s="2410">
        <f>IF(未审附注之流动资产!A153="",0,未审附注之流动资产!A153)</f>
        <v>0</v>
      </c>
      <c r="B153" s="2431">
        <f>IF(未审附注之流动资产!B153="",0,未审附注之流动资产!B153)</f>
        <v>0</v>
      </c>
      <c r="C153" s="2431">
        <f>IF(未审附注之流动资产!C153="",0,未审附注之流动资产!C153)</f>
        <v>0</v>
      </c>
      <c r="D153" s="2403">
        <f>IF(未审附注之流动资产!D153="",0,未审附注之流动资产!D153)</f>
        <v>0</v>
      </c>
      <c r="E153" s="2398"/>
      <c r="F153" s="2398"/>
      <c r="G153" s="2398"/>
      <c r="H153" s="2398"/>
      <c r="I153" s="2398"/>
      <c r="J153" s="2436" t="s">
        <v>414</v>
      </c>
    </row>
    <row r="154" spans="1:10">
      <c r="A154" s="2410">
        <f>IF(未审附注之流动资产!A154="",0,未审附注之流动资产!A154)</f>
        <v>0</v>
      </c>
      <c r="B154" s="2431">
        <f>IF(未审附注之流动资产!B154="",0,未审附注之流动资产!B154)</f>
        <v>0</v>
      </c>
      <c r="C154" s="2431">
        <f>IF(未审附注之流动资产!C154="",0,未审附注之流动资产!C154)</f>
        <v>0</v>
      </c>
      <c r="D154" s="2403">
        <f>IF(未审附注之流动资产!D154="",0,未审附注之流动资产!D154)</f>
        <v>0</v>
      </c>
      <c r="E154" s="2398"/>
      <c r="F154" s="2398"/>
      <c r="G154" s="2398"/>
      <c r="H154" s="2398"/>
      <c r="I154" s="2398"/>
      <c r="J154" s="2436" t="s">
        <v>414</v>
      </c>
    </row>
    <row r="155" spans="1:10">
      <c r="A155" s="2400" t="s">
        <v>347</v>
      </c>
      <c r="B155" s="2416"/>
      <c r="C155" s="2416"/>
      <c r="D155" s="2369">
        <f>ROUND(SUM(D145:D154),2)</f>
        <v>0</v>
      </c>
      <c r="E155" s="2398"/>
      <c r="F155" s="2398"/>
      <c r="G155" s="2398"/>
      <c r="H155" s="2398"/>
      <c r="I155" s="2398"/>
      <c r="J155" s="2436" t="s">
        <v>415</v>
      </c>
    </row>
    <row r="156" spans="1:9">
      <c r="A156" s="2421"/>
      <c r="B156" s="2398"/>
      <c r="C156" s="2398"/>
      <c r="D156" s="2398"/>
      <c r="E156" s="2398"/>
      <c r="F156" s="2398"/>
      <c r="G156" s="2398"/>
      <c r="H156" s="2398"/>
      <c r="I156" s="2398"/>
    </row>
    <row r="157" spans="1:9">
      <c r="A157" s="2414" t="s">
        <v>416</v>
      </c>
      <c r="B157" s="2398"/>
      <c r="C157" s="2398"/>
      <c r="D157" s="2398"/>
      <c r="E157" s="2398"/>
      <c r="F157" s="2398"/>
      <c r="G157" s="2398"/>
      <c r="H157" s="2398"/>
      <c r="I157" s="2398"/>
    </row>
    <row r="158" spans="1:9">
      <c r="A158" s="2401" t="s">
        <v>398</v>
      </c>
      <c r="B158" s="2426" t="s">
        <v>399</v>
      </c>
      <c r="C158" s="2442" t="s">
        <v>400</v>
      </c>
      <c r="D158" s="2426" t="s">
        <v>366</v>
      </c>
      <c r="E158" s="2426" t="s">
        <v>405</v>
      </c>
      <c r="F158" s="2426" t="s">
        <v>406</v>
      </c>
      <c r="G158" s="2398"/>
      <c r="H158" s="2398"/>
      <c r="I158" s="2398"/>
    </row>
    <row r="159" spans="1:10">
      <c r="A159" s="2410">
        <f>IF(未审附注之流动资产!A159="",0,未审附注之流动资产!A159)</f>
        <v>0</v>
      </c>
      <c r="B159" s="2431">
        <f>IF(未审附注之流动资产!B159="",0,未审附注之流动资产!B159)</f>
        <v>0</v>
      </c>
      <c r="C159" s="2431">
        <f>IF(未审附注之流动资产!C159="",0,未审附注之流动资产!C159)</f>
        <v>0</v>
      </c>
      <c r="D159" s="2403">
        <f>IF(未审附注之流动资产!D159="",0,未审附注之流动资产!D159)</f>
        <v>0</v>
      </c>
      <c r="E159" s="2431">
        <f>IF(未审附注之流动资产!E159="",0,未审附注之流动资产!E159)</f>
        <v>0</v>
      </c>
      <c r="F159" s="2403">
        <f>IF(未审附注之流动资产!F159="",0,未审附注之流动资产!F159)</f>
        <v>0</v>
      </c>
      <c r="G159" s="2398"/>
      <c r="H159" s="2398"/>
      <c r="I159" s="2398"/>
      <c r="J159" s="2436" t="s">
        <v>417</v>
      </c>
    </row>
    <row r="160" spans="1:10">
      <c r="A160" s="2410">
        <f>IF(未审附注之流动资产!A160="",0,未审附注之流动资产!A160)</f>
        <v>0</v>
      </c>
      <c r="B160" s="2431">
        <f>IF(未审附注之流动资产!B160="",0,未审附注之流动资产!B160)</f>
        <v>0</v>
      </c>
      <c r="C160" s="2431">
        <f>IF(未审附注之流动资产!C160="",0,未审附注之流动资产!C160)</f>
        <v>0</v>
      </c>
      <c r="D160" s="2403">
        <f>IF(未审附注之流动资产!D160="",0,未审附注之流动资产!D160)</f>
        <v>0</v>
      </c>
      <c r="E160" s="2431">
        <f>IF(未审附注之流动资产!E160="",0,未审附注之流动资产!E160)</f>
        <v>0</v>
      </c>
      <c r="F160" s="2403">
        <f>IF(未审附注之流动资产!F160="",0,未审附注之流动资产!F160)</f>
        <v>0</v>
      </c>
      <c r="G160" s="2398"/>
      <c r="H160" s="2398"/>
      <c r="I160" s="2398"/>
      <c r="J160" s="2436" t="s">
        <v>417</v>
      </c>
    </row>
    <row r="161" spans="1:10">
      <c r="A161" s="2410">
        <f>IF(未审附注之流动资产!A161="",0,未审附注之流动资产!A161)</f>
        <v>0</v>
      </c>
      <c r="B161" s="2431">
        <f>IF(未审附注之流动资产!B161="",0,未审附注之流动资产!B161)</f>
        <v>0</v>
      </c>
      <c r="C161" s="2431">
        <f>IF(未审附注之流动资产!C161="",0,未审附注之流动资产!C161)</f>
        <v>0</v>
      </c>
      <c r="D161" s="2403">
        <f>IF(未审附注之流动资产!D161="",0,未审附注之流动资产!D161)</f>
        <v>0</v>
      </c>
      <c r="E161" s="2431">
        <f>IF(未审附注之流动资产!E161="",0,未审附注之流动资产!E161)</f>
        <v>0</v>
      </c>
      <c r="F161" s="2403">
        <f>IF(未审附注之流动资产!F161="",0,未审附注之流动资产!F161)</f>
        <v>0</v>
      </c>
      <c r="G161" s="2398"/>
      <c r="H161" s="2398"/>
      <c r="I161" s="2398"/>
      <c r="J161" s="2436" t="s">
        <v>417</v>
      </c>
    </row>
    <row r="162" spans="1:10">
      <c r="A162" s="2410">
        <f>IF(未审附注之流动资产!A162="",0,未审附注之流动资产!A162)</f>
        <v>0</v>
      </c>
      <c r="B162" s="2431">
        <f>IF(未审附注之流动资产!B162="",0,未审附注之流动资产!B162)</f>
        <v>0</v>
      </c>
      <c r="C162" s="2431">
        <f>IF(未审附注之流动资产!C162="",0,未审附注之流动资产!C162)</f>
        <v>0</v>
      </c>
      <c r="D162" s="2403">
        <f>IF(未审附注之流动资产!D162="",0,未审附注之流动资产!D162)</f>
        <v>0</v>
      </c>
      <c r="E162" s="2431">
        <f>IF(未审附注之流动资产!E162="",0,未审附注之流动资产!E162)</f>
        <v>0</v>
      </c>
      <c r="F162" s="2403">
        <f>IF(未审附注之流动资产!F162="",0,未审附注之流动资产!F162)</f>
        <v>0</v>
      </c>
      <c r="G162" s="2398"/>
      <c r="H162" s="2398"/>
      <c r="I162" s="2398"/>
      <c r="J162" s="2436" t="s">
        <v>417</v>
      </c>
    </row>
    <row r="163" spans="1:10">
      <c r="A163" s="2410">
        <f>IF(未审附注之流动资产!A163="",0,未审附注之流动资产!A163)</f>
        <v>0</v>
      </c>
      <c r="B163" s="2431">
        <f>IF(未审附注之流动资产!B163="",0,未审附注之流动资产!B163)</f>
        <v>0</v>
      </c>
      <c r="C163" s="2431">
        <f>IF(未审附注之流动资产!C163="",0,未审附注之流动资产!C163)</f>
        <v>0</v>
      </c>
      <c r="D163" s="2403">
        <f>IF(未审附注之流动资产!D163="",0,未审附注之流动资产!D163)</f>
        <v>0</v>
      </c>
      <c r="E163" s="2431">
        <f>IF(未审附注之流动资产!E163="",0,未审附注之流动资产!E163)</f>
        <v>0</v>
      </c>
      <c r="F163" s="2403">
        <f>IF(未审附注之流动资产!F163="",0,未审附注之流动资产!F163)</f>
        <v>0</v>
      </c>
      <c r="G163" s="2398"/>
      <c r="H163" s="2398"/>
      <c r="I163" s="2398"/>
      <c r="J163" s="2436" t="s">
        <v>417</v>
      </c>
    </row>
    <row r="164" spans="1:10">
      <c r="A164" s="2410">
        <f>IF(未审附注之流动资产!A164="",0,未审附注之流动资产!A164)</f>
        <v>0</v>
      </c>
      <c r="B164" s="2431">
        <f>IF(未审附注之流动资产!B164="",0,未审附注之流动资产!B164)</f>
        <v>0</v>
      </c>
      <c r="C164" s="2431">
        <f>IF(未审附注之流动资产!C164="",0,未审附注之流动资产!C164)</f>
        <v>0</v>
      </c>
      <c r="D164" s="2403">
        <f>IF(未审附注之流动资产!D164="",0,未审附注之流动资产!D164)</f>
        <v>0</v>
      </c>
      <c r="E164" s="2431">
        <f>IF(未审附注之流动资产!E164="",0,未审附注之流动资产!E164)</f>
        <v>0</v>
      </c>
      <c r="F164" s="2403">
        <f>IF(未审附注之流动资产!F164="",0,未审附注之流动资产!F164)</f>
        <v>0</v>
      </c>
      <c r="G164" s="2398"/>
      <c r="H164" s="2398"/>
      <c r="I164" s="2398"/>
      <c r="J164" s="2436" t="s">
        <v>417</v>
      </c>
    </row>
    <row r="165" spans="1:10">
      <c r="A165" s="2410">
        <f>IF(未审附注之流动资产!A165="",0,未审附注之流动资产!A165)</f>
        <v>0</v>
      </c>
      <c r="B165" s="2431">
        <f>IF(未审附注之流动资产!B165="",0,未审附注之流动资产!B165)</f>
        <v>0</v>
      </c>
      <c r="C165" s="2431">
        <f>IF(未审附注之流动资产!C165="",0,未审附注之流动资产!C165)</f>
        <v>0</v>
      </c>
      <c r="D165" s="2403">
        <f>IF(未审附注之流动资产!D165="",0,未审附注之流动资产!D165)</f>
        <v>0</v>
      </c>
      <c r="E165" s="2431">
        <f>IF(未审附注之流动资产!E165="",0,未审附注之流动资产!E165)</f>
        <v>0</v>
      </c>
      <c r="F165" s="2403">
        <f>IF(未审附注之流动资产!F165="",0,未审附注之流动资产!F165)</f>
        <v>0</v>
      </c>
      <c r="G165" s="2398"/>
      <c r="H165" s="2398"/>
      <c r="I165" s="2398"/>
      <c r="J165" s="2436" t="s">
        <v>417</v>
      </c>
    </row>
    <row r="166" spans="1:10">
      <c r="A166" s="2410">
        <f>IF(未审附注之流动资产!A166="",0,未审附注之流动资产!A166)</f>
        <v>0</v>
      </c>
      <c r="B166" s="2431">
        <f>IF(未审附注之流动资产!B166="",0,未审附注之流动资产!B166)</f>
        <v>0</v>
      </c>
      <c r="C166" s="2431">
        <f>IF(未审附注之流动资产!C166="",0,未审附注之流动资产!C166)</f>
        <v>0</v>
      </c>
      <c r="D166" s="2403">
        <f>IF(未审附注之流动资产!D166="",0,未审附注之流动资产!D166)</f>
        <v>0</v>
      </c>
      <c r="E166" s="2431">
        <f>IF(未审附注之流动资产!E166="",0,未审附注之流动资产!E166)</f>
        <v>0</v>
      </c>
      <c r="F166" s="2403">
        <f>IF(未审附注之流动资产!F166="",0,未审附注之流动资产!F166)</f>
        <v>0</v>
      </c>
      <c r="G166" s="2398"/>
      <c r="H166" s="2398"/>
      <c r="I166" s="2398"/>
      <c r="J166" s="2436" t="s">
        <v>417</v>
      </c>
    </row>
    <row r="167" spans="1:10">
      <c r="A167" s="2410">
        <f>IF(未审附注之流动资产!A167="",0,未审附注之流动资产!A167)</f>
        <v>0</v>
      </c>
      <c r="B167" s="2431">
        <f>IF(未审附注之流动资产!B167="",0,未审附注之流动资产!B167)</f>
        <v>0</v>
      </c>
      <c r="C167" s="2431">
        <f>IF(未审附注之流动资产!C167="",0,未审附注之流动资产!C167)</f>
        <v>0</v>
      </c>
      <c r="D167" s="2403">
        <f>IF(未审附注之流动资产!D167="",0,未审附注之流动资产!D167)</f>
        <v>0</v>
      </c>
      <c r="E167" s="2431">
        <f>IF(未审附注之流动资产!E167="",0,未审附注之流动资产!E167)</f>
        <v>0</v>
      </c>
      <c r="F167" s="2403">
        <f>IF(未审附注之流动资产!F167="",0,未审附注之流动资产!F167)</f>
        <v>0</v>
      </c>
      <c r="G167" s="2398"/>
      <c r="H167" s="2398"/>
      <c r="I167" s="2398"/>
      <c r="J167" s="2436" t="s">
        <v>417</v>
      </c>
    </row>
    <row r="168" spans="1:10">
      <c r="A168" s="2410">
        <f>IF(未审附注之流动资产!A168="",0,未审附注之流动资产!A168)</f>
        <v>0</v>
      </c>
      <c r="B168" s="2431">
        <f>IF(未审附注之流动资产!B168="",0,未审附注之流动资产!B168)</f>
        <v>0</v>
      </c>
      <c r="C168" s="2431">
        <f>IF(未审附注之流动资产!C168="",0,未审附注之流动资产!C168)</f>
        <v>0</v>
      </c>
      <c r="D168" s="2403">
        <f>IF(未审附注之流动资产!D168="",0,未审附注之流动资产!D168)</f>
        <v>0</v>
      </c>
      <c r="E168" s="2431">
        <f>IF(未审附注之流动资产!E168="",0,未审附注之流动资产!E168)</f>
        <v>0</v>
      </c>
      <c r="F168" s="2403">
        <f>IF(未审附注之流动资产!F168="",0,未审附注之流动资产!F168)</f>
        <v>0</v>
      </c>
      <c r="G168" s="2398"/>
      <c r="H168" s="2398"/>
      <c r="I168" s="2398"/>
      <c r="J168" s="2436" t="s">
        <v>417</v>
      </c>
    </row>
    <row r="169" spans="1:10">
      <c r="A169" s="2400" t="s">
        <v>347</v>
      </c>
      <c r="B169" s="2416"/>
      <c r="C169" s="2416"/>
      <c r="D169" s="2369">
        <f>ROUND(SUM(D159:D168),2)</f>
        <v>0</v>
      </c>
      <c r="E169" s="2416"/>
      <c r="F169" s="2369">
        <f>ROUND(SUM(F159:F168),2)</f>
        <v>0</v>
      </c>
      <c r="G169" s="2398"/>
      <c r="H169" s="2398"/>
      <c r="I169" s="2398"/>
      <c r="J169" s="2436" t="s">
        <v>418</v>
      </c>
    </row>
    <row r="170" spans="1:9">
      <c r="A170" s="2421"/>
      <c r="B170" s="2398"/>
      <c r="C170" s="2398"/>
      <c r="D170" s="2398"/>
      <c r="E170" s="2398"/>
      <c r="F170" s="2398"/>
      <c r="G170" s="2398"/>
      <c r="H170" s="2398"/>
      <c r="I170" s="2398"/>
    </row>
    <row r="171" spans="1:9">
      <c r="A171" s="2421"/>
      <c r="B171" s="2398"/>
      <c r="C171" s="2398"/>
      <c r="D171" s="2398"/>
      <c r="E171" s="2398"/>
      <c r="F171" s="2398"/>
      <c r="G171" s="2398"/>
      <c r="H171" s="2398"/>
      <c r="I171" s="2398"/>
    </row>
    <row r="172" spans="1:9">
      <c r="A172" s="2399" t="s">
        <v>419</v>
      </c>
      <c r="B172" s="2398"/>
      <c r="C172" s="2398"/>
      <c r="D172" s="2398"/>
      <c r="E172" s="2398"/>
      <c r="F172" s="2398"/>
      <c r="G172" s="2398"/>
      <c r="H172" s="2398"/>
      <c r="I172" s="2398"/>
    </row>
    <row r="173" spans="1:9">
      <c r="A173" s="2400" t="s">
        <v>420</v>
      </c>
      <c r="B173" s="2400" t="s">
        <v>316</v>
      </c>
      <c r="C173" s="2400" t="s">
        <v>317</v>
      </c>
      <c r="D173" s="2426" t="s">
        <v>421</v>
      </c>
      <c r="E173" s="2426" t="s">
        <v>422</v>
      </c>
      <c r="F173" s="2426" t="s">
        <v>423</v>
      </c>
      <c r="G173" s="2398"/>
      <c r="H173" s="2398"/>
      <c r="I173" s="2398"/>
    </row>
    <row r="174" spans="1:9">
      <c r="A174" s="2447" t="s">
        <v>424</v>
      </c>
      <c r="B174" s="2400"/>
      <c r="C174" s="2400"/>
      <c r="D174" s="2442"/>
      <c r="E174" s="2426"/>
      <c r="F174" s="2400"/>
      <c r="G174" s="2398"/>
      <c r="H174" s="2398"/>
      <c r="I174" s="2398"/>
    </row>
    <row r="175" spans="1:10">
      <c r="A175" s="2410">
        <f>IF(未审附注之流动资产!A175="",0,未审附注之流动资产!A175)</f>
        <v>0</v>
      </c>
      <c r="B175" s="2403">
        <f>IF(未审附注之流动资产!B175="",0,未审附注之流动资产!B175)</f>
        <v>0</v>
      </c>
      <c r="C175" s="2403">
        <f>IF(未审附注之流动资产!C175="",0,未审附注之流动资产!C175)</f>
        <v>0</v>
      </c>
      <c r="D175" s="2410">
        <f>IF(未审附注之流动资产!D175="",0,未审附注之流动资产!D175)</f>
        <v>0</v>
      </c>
      <c r="E175" s="2410">
        <f>IF(未审附注之流动资产!E175="",0,未审附注之流动资产!E175)</f>
        <v>0</v>
      </c>
      <c r="F175" s="2403">
        <f>IF(未审附注之流动资产!F175="",0,未审附注之流动资产!F175)</f>
        <v>0</v>
      </c>
      <c r="G175" s="2398"/>
      <c r="H175" s="2398"/>
      <c r="I175" s="2398"/>
      <c r="J175" s="2436" t="s">
        <v>425</v>
      </c>
    </row>
    <row r="176" spans="1:10">
      <c r="A176" s="2410">
        <f>IF(未审附注之流动资产!A176="",0,未审附注之流动资产!A176)</f>
        <v>0</v>
      </c>
      <c r="B176" s="2403">
        <f>IF(未审附注之流动资产!B176="",0,未审附注之流动资产!B176)</f>
        <v>0</v>
      </c>
      <c r="C176" s="2403">
        <f>IF(未审附注之流动资产!C176="",0,未审附注之流动资产!C176)</f>
        <v>0</v>
      </c>
      <c r="D176" s="2410">
        <f>IF(未审附注之流动资产!D176="",0,未审附注之流动资产!D176)</f>
        <v>0</v>
      </c>
      <c r="E176" s="2410">
        <f>IF(未审附注之流动资产!E176="",0,未审附注之流动资产!E176)</f>
        <v>0</v>
      </c>
      <c r="F176" s="2403">
        <f>IF(未审附注之流动资产!F176="",0,未审附注之流动资产!F176)</f>
        <v>0</v>
      </c>
      <c r="G176" s="2398"/>
      <c r="H176" s="2398"/>
      <c r="I176" s="2398"/>
      <c r="J176" s="2436" t="s">
        <v>425</v>
      </c>
    </row>
    <row r="177" spans="1:10">
      <c r="A177" s="2410">
        <f>IF(未审附注之流动资产!A177="",0,未审附注之流动资产!A177)</f>
        <v>0</v>
      </c>
      <c r="B177" s="2403">
        <f>IF(未审附注之流动资产!B177="",0,未审附注之流动资产!B177)</f>
        <v>0</v>
      </c>
      <c r="C177" s="2403">
        <f>IF(未审附注之流动资产!C177="",0,未审附注之流动资产!C177)</f>
        <v>0</v>
      </c>
      <c r="D177" s="2410">
        <f>IF(未审附注之流动资产!D177="",0,未审附注之流动资产!D177)</f>
        <v>0</v>
      </c>
      <c r="E177" s="2410">
        <f>IF(未审附注之流动资产!E177="",0,未审附注之流动资产!E177)</f>
        <v>0</v>
      </c>
      <c r="F177" s="2403">
        <f>IF(未审附注之流动资产!F177="",0,未审附注之流动资产!F177)</f>
        <v>0</v>
      </c>
      <c r="G177" s="2398"/>
      <c r="H177" s="2398"/>
      <c r="I177" s="2398"/>
      <c r="J177" s="2436" t="s">
        <v>425</v>
      </c>
    </row>
    <row r="178" spans="1:10">
      <c r="A178" s="2410">
        <f>IF(未审附注之流动资产!A178="",0,未审附注之流动资产!A178)</f>
        <v>0</v>
      </c>
      <c r="B178" s="2403">
        <f>IF(未审附注之流动资产!B178="",0,未审附注之流动资产!B178)</f>
        <v>0</v>
      </c>
      <c r="C178" s="2403">
        <f>IF(未审附注之流动资产!C178="",0,未审附注之流动资产!C178)</f>
        <v>0</v>
      </c>
      <c r="D178" s="2410">
        <f>IF(未审附注之流动资产!D178="",0,未审附注之流动资产!D178)</f>
        <v>0</v>
      </c>
      <c r="E178" s="2410">
        <f>IF(未审附注之流动资产!E178="",0,未审附注之流动资产!E178)</f>
        <v>0</v>
      </c>
      <c r="F178" s="2403">
        <f>IF(未审附注之流动资产!F178="",0,未审附注之流动资产!F178)</f>
        <v>0</v>
      </c>
      <c r="G178" s="2398"/>
      <c r="H178" s="2398"/>
      <c r="I178" s="2398"/>
      <c r="J178" s="2436" t="s">
        <v>425</v>
      </c>
    </row>
    <row r="179" spans="1:10">
      <c r="A179" s="2410">
        <f>IF(未审附注之流动资产!A179="",0,未审附注之流动资产!A179)</f>
        <v>0</v>
      </c>
      <c r="B179" s="2403">
        <f>IF(未审附注之流动资产!B179="",0,未审附注之流动资产!B179)</f>
        <v>0</v>
      </c>
      <c r="C179" s="2403">
        <f>IF(未审附注之流动资产!C179="",0,未审附注之流动资产!C179)</f>
        <v>0</v>
      </c>
      <c r="D179" s="2410">
        <f>IF(未审附注之流动资产!D179="",0,未审附注之流动资产!D179)</f>
        <v>0</v>
      </c>
      <c r="E179" s="2410">
        <f>IF(未审附注之流动资产!E179="",0,未审附注之流动资产!E179)</f>
        <v>0</v>
      </c>
      <c r="F179" s="2403">
        <f>IF(未审附注之流动资产!F179="",0,未审附注之流动资产!F179)</f>
        <v>0</v>
      </c>
      <c r="G179" s="2398"/>
      <c r="H179" s="2398"/>
      <c r="I179" s="2398"/>
      <c r="J179" s="2436" t="s">
        <v>425</v>
      </c>
    </row>
    <row r="180" spans="1:10">
      <c r="A180" s="2410">
        <f>IF(未审附注之流动资产!A180="",0,未审附注之流动资产!A180)</f>
        <v>0</v>
      </c>
      <c r="B180" s="2403">
        <f>IF(未审附注之流动资产!B180="",0,未审附注之流动资产!B180)</f>
        <v>0</v>
      </c>
      <c r="C180" s="2403">
        <f>IF(未审附注之流动资产!C180="",0,未审附注之流动资产!C180)</f>
        <v>0</v>
      </c>
      <c r="D180" s="2410">
        <f>IF(未审附注之流动资产!D180="",0,未审附注之流动资产!D180)</f>
        <v>0</v>
      </c>
      <c r="E180" s="2410">
        <f>IF(未审附注之流动资产!E180="",0,未审附注之流动资产!E180)</f>
        <v>0</v>
      </c>
      <c r="F180" s="2403">
        <f>IF(未审附注之流动资产!F180="",0,未审附注之流动资产!F180)</f>
        <v>0</v>
      </c>
      <c r="G180" s="2398"/>
      <c r="H180" s="2398"/>
      <c r="I180" s="2398"/>
      <c r="J180" s="2436" t="s">
        <v>425</v>
      </c>
    </row>
    <row r="181" spans="1:10">
      <c r="A181" s="2410">
        <f>IF(未审附注之流动资产!A181="",0,未审附注之流动资产!A181)</f>
        <v>0</v>
      </c>
      <c r="B181" s="2403">
        <f>IF(未审附注之流动资产!B181="",0,未审附注之流动资产!B181)</f>
        <v>0</v>
      </c>
      <c r="C181" s="2403">
        <f>IF(未审附注之流动资产!C181="",0,未审附注之流动资产!C181)</f>
        <v>0</v>
      </c>
      <c r="D181" s="2410">
        <f>IF(未审附注之流动资产!D181="",0,未审附注之流动资产!D181)</f>
        <v>0</v>
      </c>
      <c r="E181" s="2410">
        <f>IF(未审附注之流动资产!E181="",0,未审附注之流动资产!E181)</f>
        <v>0</v>
      </c>
      <c r="F181" s="2403">
        <f>IF(未审附注之流动资产!F181="",0,未审附注之流动资产!F181)</f>
        <v>0</v>
      </c>
      <c r="G181" s="2398"/>
      <c r="H181" s="2398"/>
      <c r="I181" s="2398"/>
      <c r="J181" s="2436" t="s">
        <v>425</v>
      </c>
    </row>
    <row r="182" spans="1:10">
      <c r="A182" s="2410">
        <f>IF(未审附注之流动资产!A182="",0,未审附注之流动资产!A182)</f>
        <v>0</v>
      </c>
      <c r="B182" s="2403">
        <f>IF(未审附注之流动资产!B182="",0,未审附注之流动资产!B182)</f>
        <v>0</v>
      </c>
      <c r="C182" s="2403">
        <f>IF(未审附注之流动资产!C182="",0,未审附注之流动资产!C182)</f>
        <v>0</v>
      </c>
      <c r="D182" s="2410">
        <f>IF(未审附注之流动资产!D182="",0,未审附注之流动资产!D182)</f>
        <v>0</v>
      </c>
      <c r="E182" s="2410">
        <f>IF(未审附注之流动资产!E182="",0,未审附注之流动资产!E182)</f>
        <v>0</v>
      </c>
      <c r="F182" s="2403">
        <f>IF(未审附注之流动资产!F182="",0,未审附注之流动资产!F182)</f>
        <v>0</v>
      </c>
      <c r="G182" s="2398"/>
      <c r="H182" s="2398"/>
      <c r="I182" s="2398"/>
      <c r="J182" s="2436" t="s">
        <v>425</v>
      </c>
    </row>
    <row r="183" spans="1:10">
      <c r="A183" s="2410">
        <f>IF(未审附注之流动资产!A183="",0,未审附注之流动资产!A183)</f>
        <v>0</v>
      </c>
      <c r="B183" s="2403">
        <f>IF(未审附注之流动资产!B183="",0,未审附注之流动资产!B183)</f>
        <v>0</v>
      </c>
      <c r="C183" s="2403">
        <f>IF(未审附注之流动资产!C183="",0,未审附注之流动资产!C183)</f>
        <v>0</v>
      </c>
      <c r="D183" s="2410">
        <f>IF(未审附注之流动资产!D183="",0,未审附注之流动资产!D183)</f>
        <v>0</v>
      </c>
      <c r="E183" s="2410">
        <f>IF(未审附注之流动资产!E183="",0,未审附注之流动资产!E183)</f>
        <v>0</v>
      </c>
      <c r="F183" s="2403">
        <f>IF(未审附注之流动资产!F183="",0,未审附注之流动资产!F183)</f>
        <v>0</v>
      </c>
      <c r="G183" s="2398"/>
      <c r="H183" s="2398"/>
      <c r="I183" s="2398"/>
      <c r="J183" s="2436" t="s">
        <v>425</v>
      </c>
    </row>
    <row r="184" spans="1:10">
      <c r="A184" s="2410">
        <f>IF(未审附注之流动资产!A184="",0,未审附注之流动资产!A184)</f>
        <v>0</v>
      </c>
      <c r="B184" s="2403">
        <f>IF(未审附注之流动资产!B184="",0,未审附注之流动资产!B184)</f>
        <v>0</v>
      </c>
      <c r="C184" s="2403">
        <f>IF(未审附注之流动资产!C184="",0,未审附注之流动资产!C184)</f>
        <v>0</v>
      </c>
      <c r="D184" s="2410">
        <f>IF(未审附注之流动资产!D184="",0,未审附注之流动资产!D184)</f>
        <v>0</v>
      </c>
      <c r="E184" s="2410">
        <f>IF(未审附注之流动资产!E184="",0,未审附注之流动资产!E184)</f>
        <v>0</v>
      </c>
      <c r="F184" s="2403">
        <f>IF(未审附注之流动资产!F184="",0,未审附注之流动资产!F184)</f>
        <v>0</v>
      </c>
      <c r="G184" s="2398"/>
      <c r="H184" s="2398"/>
      <c r="I184" s="2398"/>
      <c r="J184" s="2436" t="s">
        <v>425</v>
      </c>
    </row>
    <row r="185" spans="1:10">
      <c r="A185" s="2400" t="s">
        <v>426</v>
      </c>
      <c r="B185" s="2369">
        <f>ROUND(SUM(B175:B184),2)</f>
        <v>0</v>
      </c>
      <c r="C185" s="2369">
        <f>ROUND(SUM(C175:C184),2)</f>
        <v>0</v>
      </c>
      <c r="D185" s="2416"/>
      <c r="E185" s="2369"/>
      <c r="F185" s="2369">
        <f>ROUND(SUM(F175:F184),2)</f>
        <v>0</v>
      </c>
      <c r="G185" s="2398"/>
      <c r="H185" s="2398"/>
      <c r="I185" s="2398"/>
      <c r="J185" s="2436" t="s">
        <v>427</v>
      </c>
    </row>
    <row r="186" spans="1:9">
      <c r="A186" s="2405"/>
      <c r="B186" s="2416"/>
      <c r="C186" s="2416"/>
      <c r="D186" s="2416"/>
      <c r="E186" s="2416"/>
      <c r="F186" s="2416"/>
      <c r="G186" s="2398"/>
      <c r="H186" s="2398"/>
      <c r="I186" s="2398"/>
    </row>
    <row r="187" spans="1:9">
      <c r="A187" s="2447" t="s">
        <v>428</v>
      </c>
      <c r="B187" s="2400"/>
      <c r="C187" s="2400"/>
      <c r="D187" s="2442"/>
      <c r="E187" s="2426"/>
      <c r="F187" s="2442"/>
      <c r="G187" s="2398"/>
      <c r="H187" s="2398"/>
      <c r="I187" s="2398"/>
    </row>
    <row r="188" spans="1:10">
      <c r="A188" s="2410">
        <f>IF(未审附注之流动资产!A188="",0,未审附注之流动资产!A188)</f>
        <v>0</v>
      </c>
      <c r="B188" s="2403">
        <f>IF(未审附注之流动资产!B188="",0,未审附注之流动资产!B188)</f>
        <v>0</v>
      </c>
      <c r="C188" s="2403">
        <f>IF(未审附注之流动资产!C188="",0,未审附注之流动资产!C188)</f>
        <v>0</v>
      </c>
      <c r="D188" s="2410">
        <f>IF(未审附注之流动资产!D188="",0,未审附注之流动资产!D188)</f>
        <v>0</v>
      </c>
      <c r="E188" s="2410">
        <f>IF(未审附注之流动资产!E188="",0,未审附注之流动资产!E188)</f>
        <v>0</v>
      </c>
      <c r="F188" s="2403">
        <f>IF(未审附注之流动资产!F188="",0,未审附注之流动资产!F188)</f>
        <v>0</v>
      </c>
      <c r="G188" s="2398"/>
      <c r="H188" s="2398"/>
      <c r="I188" s="2398"/>
      <c r="J188" s="2436" t="s">
        <v>429</v>
      </c>
    </row>
    <row r="189" spans="1:10">
      <c r="A189" s="2410">
        <f>IF(未审附注之流动资产!A189="",0,未审附注之流动资产!A189)</f>
        <v>0</v>
      </c>
      <c r="B189" s="2403">
        <f>IF(未审附注之流动资产!B189="",0,未审附注之流动资产!B189)</f>
        <v>0</v>
      </c>
      <c r="C189" s="2403">
        <f>IF(未审附注之流动资产!C189="",0,未审附注之流动资产!C189)</f>
        <v>0</v>
      </c>
      <c r="D189" s="2410">
        <f>IF(未审附注之流动资产!D189="",0,未审附注之流动资产!D189)</f>
        <v>0</v>
      </c>
      <c r="E189" s="2410">
        <f>IF(未审附注之流动资产!E189="",0,未审附注之流动资产!E189)</f>
        <v>0</v>
      </c>
      <c r="F189" s="2403">
        <f>IF(未审附注之流动资产!F189="",0,未审附注之流动资产!F189)</f>
        <v>0</v>
      </c>
      <c r="G189" s="2398"/>
      <c r="H189" s="2398"/>
      <c r="I189" s="2398"/>
      <c r="J189" s="2436" t="s">
        <v>429</v>
      </c>
    </row>
    <row r="190" spans="1:10">
      <c r="A190" s="2410">
        <f>IF(未审附注之流动资产!A190="",0,未审附注之流动资产!A190)</f>
        <v>0</v>
      </c>
      <c r="B190" s="2403">
        <f>IF(未审附注之流动资产!B190="",0,未审附注之流动资产!B190)</f>
        <v>0</v>
      </c>
      <c r="C190" s="2403">
        <f>IF(未审附注之流动资产!C190="",0,未审附注之流动资产!C190)</f>
        <v>0</v>
      </c>
      <c r="D190" s="2410">
        <f>IF(未审附注之流动资产!D190="",0,未审附注之流动资产!D190)</f>
        <v>0</v>
      </c>
      <c r="E190" s="2410">
        <f>IF(未审附注之流动资产!E190="",0,未审附注之流动资产!E190)</f>
        <v>0</v>
      </c>
      <c r="F190" s="2403">
        <f>IF(未审附注之流动资产!F190="",0,未审附注之流动资产!F190)</f>
        <v>0</v>
      </c>
      <c r="G190" s="2398"/>
      <c r="H190" s="2398"/>
      <c r="I190" s="2398"/>
      <c r="J190" s="2436" t="s">
        <v>429</v>
      </c>
    </row>
    <row r="191" spans="1:10">
      <c r="A191" s="2410">
        <f>IF(未审附注之流动资产!A191="",0,未审附注之流动资产!A191)</f>
        <v>0</v>
      </c>
      <c r="B191" s="2403">
        <f>IF(未审附注之流动资产!B191="",0,未审附注之流动资产!B191)</f>
        <v>0</v>
      </c>
      <c r="C191" s="2403">
        <f>IF(未审附注之流动资产!C191="",0,未审附注之流动资产!C191)</f>
        <v>0</v>
      </c>
      <c r="D191" s="2410">
        <f>IF(未审附注之流动资产!D191="",0,未审附注之流动资产!D191)</f>
        <v>0</v>
      </c>
      <c r="E191" s="2410">
        <f>IF(未审附注之流动资产!E191="",0,未审附注之流动资产!E191)</f>
        <v>0</v>
      </c>
      <c r="F191" s="2403">
        <f>IF(未审附注之流动资产!F191="",0,未审附注之流动资产!F191)</f>
        <v>0</v>
      </c>
      <c r="G191" s="2398"/>
      <c r="H191" s="2398"/>
      <c r="I191" s="2398"/>
      <c r="J191" s="2436" t="s">
        <v>429</v>
      </c>
    </row>
    <row r="192" spans="1:10">
      <c r="A192" s="2410">
        <f>IF(未审附注之流动资产!A192="",0,未审附注之流动资产!A192)</f>
        <v>0</v>
      </c>
      <c r="B192" s="2403">
        <f>IF(未审附注之流动资产!B192="",0,未审附注之流动资产!B192)</f>
        <v>0</v>
      </c>
      <c r="C192" s="2403">
        <f>IF(未审附注之流动资产!C192="",0,未审附注之流动资产!C192)</f>
        <v>0</v>
      </c>
      <c r="D192" s="2410">
        <f>IF(未审附注之流动资产!D192="",0,未审附注之流动资产!D192)</f>
        <v>0</v>
      </c>
      <c r="E192" s="2410">
        <f>IF(未审附注之流动资产!E192="",0,未审附注之流动资产!E192)</f>
        <v>0</v>
      </c>
      <c r="F192" s="2403">
        <f>IF(未审附注之流动资产!F192="",0,未审附注之流动资产!F192)</f>
        <v>0</v>
      </c>
      <c r="G192" s="2398"/>
      <c r="H192" s="2398"/>
      <c r="I192" s="2398"/>
      <c r="J192" s="2436" t="s">
        <v>429</v>
      </c>
    </row>
    <row r="193" spans="1:10">
      <c r="A193" s="2410">
        <f>IF(未审附注之流动资产!A193="",0,未审附注之流动资产!A193)</f>
        <v>0</v>
      </c>
      <c r="B193" s="2403">
        <f>IF(未审附注之流动资产!B193="",0,未审附注之流动资产!B193)</f>
        <v>0</v>
      </c>
      <c r="C193" s="2403">
        <f>IF(未审附注之流动资产!C193="",0,未审附注之流动资产!C193)</f>
        <v>0</v>
      </c>
      <c r="D193" s="2410">
        <f>IF(未审附注之流动资产!D193="",0,未审附注之流动资产!D193)</f>
        <v>0</v>
      </c>
      <c r="E193" s="2410">
        <f>IF(未审附注之流动资产!E193="",0,未审附注之流动资产!E193)</f>
        <v>0</v>
      </c>
      <c r="F193" s="2403">
        <f>IF(未审附注之流动资产!F193="",0,未审附注之流动资产!F193)</f>
        <v>0</v>
      </c>
      <c r="G193" s="2398"/>
      <c r="H193" s="2398"/>
      <c r="I193" s="2398"/>
      <c r="J193" s="2436" t="s">
        <v>429</v>
      </c>
    </row>
    <row r="194" spans="1:10">
      <c r="A194" s="2410">
        <f>IF(未审附注之流动资产!A194="",0,未审附注之流动资产!A194)</f>
        <v>0</v>
      </c>
      <c r="B194" s="2403">
        <f>IF(未审附注之流动资产!B194="",0,未审附注之流动资产!B194)</f>
        <v>0</v>
      </c>
      <c r="C194" s="2403">
        <f>IF(未审附注之流动资产!C194="",0,未审附注之流动资产!C194)</f>
        <v>0</v>
      </c>
      <c r="D194" s="2410">
        <f>IF(未审附注之流动资产!D194="",0,未审附注之流动资产!D194)</f>
        <v>0</v>
      </c>
      <c r="E194" s="2410">
        <f>IF(未审附注之流动资产!E194="",0,未审附注之流动资产!E194)</f>
        <v>0</v>
      </c>
      <c r="F194" s="2403">
        <f>IF(未审附注之流动资产!F194="",0,未审附注之流动资产!F194)</f>
        <v>0</v>
      </c>
      <c r="G194" s="2398"/>
      <c r="H194" s="2398"/>
      <c r="I194" s="2398"/>
      <c r="J194" s="2436" t="s">
        <v>429</v>
      </c>
    </row>
    <row r="195" spans="1:10">
      <c r="A195" s="2410">
        <f>IF(未审附注之流动资产!A195="",0,未审附注之流动资产!A195)</f>
        <v>0</v>
      </c>
      <c r="B195" s="2403">
        <f>IF(未审附注之流动资产!B195="",0,未审附注之流动资产!B195)</f>
        <v>0</v>
      </c>
      <c r="C195" s="2403">
        <f>IF(未审附注之流动资产!C195="",0,未审附注之流动资产!C195)</f>
        <v>0</v>
      </c>
      <c r="D195" s="2410">
        <f>IF(未审附注之流动资产!D195="",0,未审附注之流动资产!D195)</f>
        <v>0</v>
      </c>
      <c r="E195" s="2410">
        <f>IF(未审附注之流动资产!E195="",0,未审附注之流动资产!E195)</f>
        <v>0</v>
      </c>
      <c r="F195" s="2403">
        <f>IF(未审附注之流动资产!F195="",0,未审附注之流动资产!F195)</f>
        <v>0</v>
      </c>
      <c r="G195" s="2398"/>
      <c r="H195" s="2398"/>
      <c r="I195" s="2398"/>
      <c r="J195" s="2436" t="s">
        <v>429</v>
      </c>
    </row>
    <row r="196" spans="1:10">
      <c r="A196" s="2410">
        <f>IF(未审附注之流动资产!A196="",0,未审附注之流动资产!A196)</f>
        <v>0</v>
      </c>
      <c r="B196" s="2403">
        <f>IF(未审附注之流动资产!B196="",0,未审附注之流动资产!B196)</f>
        <v>0</v>
      </c>
      <c r="C196" s="2403">
        <f>IF(未审附注之流动资产!C196="",0,未审附注之流动资产!C196)</f>
        <v>0</v>
      </c>
      <c r="D196" s="2410">
        <f>IF(未审附注之流动资产!D196="",0,未审附注之流动资产!D196)</f>
        <v>0</v>
      </c>
      <c r="E196" s="2410">
        <f>IF(未审附注之流动资产!E196="",0,未审附注之流动资产!E196)</f>
        <v>0</v>
      </c>
      <c r="F196" s="2403">
        <f>IF(未审附注之流动资产!F196="",0,未审附注之流动资产!F196)</f>
        <v>0</v>
      </c>
      <c r="G196" s="2398"/>
      <c r="H196" s="2398"/>
      <c r="I196" s="2398"/>
      <c r="J196" s="2436" t="s">
        <v>429</v>
      </c>
    </row>
    <row r="197" spans="1:10">
      <c r="A197" s="2410">
        <f>IF(未审附注之流动资产!A197="",0,未审附注之流动资产!A197)</f>
        <v>0</v>
      </c>
      <c r="B197" s="2403">
        <f>IF(未审附注之流动资产!B197="",0,未审附注之流动资产!B197)</f>
        <v>0</v>
      </c>
      <c r="C197" s="2403">
        <f>IF(未审附注之流动资产!C197="",0,未审附注之流动资产!C197)</f>
        <v>0</v>
      </c>
      <c r="D197" s="2410">
        <f>IF(未审附注之流动资产!D197="",0,未审附注之流动资产!D197)</f>
        <v>0</v>
      </c>
      <c r="E197" s="2410">
        <f>IF(未审附注之流动资产!E197="",0,未审附注之流动资产!E197)</f>
        <v>0</v>
      </c>
      <c r="F197" s="2403">
        <f>IF(未审附注之流动资产!F197="",0,未审附注之流动资产!F197)</f>
        <v>0</v>
      </c>
      <c r="G197" s="2398"/>
      <c r="H197" s="2398"/>
      <c r="I197" s="2398"/>
      <c r="J197" s="2436" t="s">
        <v>429</v>
      </c>
    </row>
    <row r="198" spans="1:10">
      <c r="A198" s="2400" t="s">
        <v>426</v>
      </c>
      <c r="B198" s="2369">
        <f>ROUND(SUM(B188:B197),2)</f>
        <v>0</v>
      </c>
      <c r="C198" s="2369">
        <f>ROUND(SUM(C188:C197),2)</f>
        <v>0</v>
      </c>
      <c r="D198" s="2416"/>
      <c r="E198" s="2369"/>
      <c r="F198" s="2369">
        <f>ROUND(SUM(F188:F197),2)</f>
        <v>0</v>
      </c>
      <c r="G198" s="2398"/>
      <c r="H198" s="2398"/>
      <c r="I198" s="2398"/>
      <c r="J198" s="2436" t="s">
        <v>430</v>
      </c>
    </row>
    <row r="199" spans="1:9">
      <c r="A199" s="2405"/>
      <c r="B199" s="2416"/>
      <c r="C199" s="2416"/>
      <c r="D199" s="2416"/>
      <c r="E199" s="2416"/>
      <c r="F199" s="2416"/>
      <c r="G199" s="2398"/>
      <c r="H199" s="2398"/>
      <c r="I199" s="2398"/>
    </row>
    <row r="200" spans="1:10">
      <c r="A200" s="2400" t="s">
        <v>347</v>
      </c>
      <c r="B200" s="2369">
        <f>ROUND(B185+B198,2)</f>
        <v>0</v>
      </c>
      <c r="C200" s="2369">
        <f>ROUND(C185+C198,2)</f>
        <v>0</v>
      </c>
      <c r="D200" s="2416"/>
      <c r="E200" s="2369"/>
      <c r="F200" s="2369">
        <f>ROUND(F185+F198,2)</f>
        <v>0</v>
      </c>
      <c r="G200" s="2398"/>
      <c r="H200" s="2398"/>
      <c r="I200" s="2398"/>
      <c r="J200" s="2436" t="s">
        <v>431</v>
      </c>
    </row>
    <row r="201" spans="1:9">
      <c r="A201" s="2421"/>
      <c r="B201" s="2398"/>
      <c r="C201" s="2398"/>
      <c r="D201" s="2398"/>
      <c r="E201" s="2398"/>
      <c r="F201" s="2398"/>
      <c r="G201" s="2398"/>
      <c r="H201" s="2398"/>
      <c r="I201" s="2398"/>
    </row>
    <row r="202" spans="1:9">
      <c r="A202" s="2421"/>
      <c r="B202" s="2398"/>
      <c r="C202" s="2398"/>
      <c r="D202" s="2398"/>
      <c r="E202" s="2398"/>
      <c r="F202" s="2398"/>
      <c r="G202" s="2398"/>
      <c r="H202" s="2398"/>
      <c r="I202" s="2398"/>
    </row>
    <row r="203" spans="1:9">
      <c r="A203" s="2399" t="s">
        <v>432</v>
      </c>
      <c r="B203" s="2398"/>
      <c r="C203" s="2398"/>
      <c r="D203" s="2398"/>
      <c r="E203" s="2398"/>
      <c r="F203" s="2398"/>
      <c r="G203" s="2398"/>
      <c r="H203" s="2398"/>
      <c r="I203" s="2398"/>
    </row>
    <row r="204" spans="1:9">
      <c r="A204" s="2400" t="s">
        <v>433</v>
      </c>
      <c r="B204" s="2400" t="s">
        <v>316</v>
      </c>
      <c r="C204" s="2400" t="s">
        <v>317</v>
      </c>
      <c r="D204" s="2426" t="s">
        <v>421</v>
      </c>
      <c r="E204" s="2426" t="s">
        <v>422</v>
      </c>
      <c r="F204" s="2426" t="s">
        <v>423</v>
      </c>
      <c r="G204" s="2398"/>
      <c r="H204" s="2398"/>
      <c r="I204" s="2398"/>
    </row>
    <row r="205" spans="1:9">
      <c r="A205" s="2447" t="s">
        <v>434</v>
      </c>
      <c r="B205" s="2400"/>
      <c r="C205" s="2400"/>
      <c r="D205" s="2442"/>
      <c r="E205" s="2426"/>
      <c r="F205" s="2400"/>
      <c r="G205" s="2398"/>
      <c r="H205" s="2398"/>
      <c r="I205" s="2398"/>
    </row>
    <row r="206" spans="1:10">
      <c r="A206" s="2410">
        <f>IF(未审附注之流动资产!A206="",0,未审附注之流动资产!A206)</f>
        <v>0</v>
      </c>
      <c r="B206" s="2403">
        <f>IF(未审附注之流动资产!B206="",0,未审附注之流动资产!B206)</f>
        <v>0</v>
      </c>
      <c r="C206" s="2403">
        <f>IF(未审附注之流动资产!C206="",0,未审附注之流动资产!C206)</f>
        <v>0</v>
      </c>
      <c r="D206" s="2410">
        <f>IF(未审附注之流动资产!D206="",0,未审附注之流动资产!D206)</f>
        <v>0</v>
      </c>
      <c r="E206" s="2410">
        <f>IF(未审附注之流动资产!E206="",0,未审附注之流动资产!E206)</f>
        <v>0</v>
      </c>
      <c r="F206" s="2403">
        <f>IF(未审附注之流动资产!F206="",0,未审附注之流动资产!F206)</f>
        <v>0</v>
      </c>
      <c r="G206" s="2398"/>
      <c r="H206" s="2398"/>
      <c r="I206" s="2398"/>
      <c r="J206" s="2436" t="s">
        <v>435</v>
      </c>
    </row>
    <row r="207" spans="1:10">
      <c r="A207" s="2410">
        <f>IF(未审附注之流动资产!A207="",0,未审附注之流动资产!A207)</f>
        <v>0</v>
      </c>
      <c r="B207" s="2403">
        <f>IF(未审附注之流动资产!B207="",0,未审附注之流动资产!B207)</f>
        <v>0</v>
      </c>
      <c r="C207" s="2403">
        <f>IF(未审附注之流动资产!C207="",0,未审附注之流动资产!C207)</f>
        <v>0</v>
      </c>
      <c r="D207" s="2410">
        <f>IF(未审附注之流动资产!D207="",0,未审附注之流动资产!D207)</f>
        <v>0</v>
      </c>
      <c r="E207" s="2410">
        <f>IF(未审附注之流动资产!E207="",0,未审附注之流动资产!E207)</f>
        <v>0</v>
      </c>
      <c r="F207" s="2403">
        <f>IF(未审附注之流动资产!F207="",0,未审附注之流动资产!F207)</f>
        <v>0</v>
      </c>
      <c r="G207" s="2398"/>
      <c r="H207" s="2398"/>
      <c r="I207" s="2398"/>
      <c r="J207" s="2436" t="s">
        <v>435</v>
      </c>
    </row>
    <row r="208" spans="1:10">
      <c r="A208" s="2410">
        <f>IF(未审附注之流动资产!A208="",0,未审附注之流动资产!A208)</f>
        <v>0</v>
      </c>
      <c r="B208" s="2403">
        <f>IF(未审附注之流动资产!B208="",0,未审附注之流动资产!B208)</f>
        <v>0</v>
      </c>
      <c r="C208" s="2403">
        <f>IF(未审附注之流动资产!C208="",0,未审附注之流动资产!C208)</f>
        <v>0</v>
      </c>
      <c r="D208" s="2410">
        <f>IF(未审附注之流动资产!D208="",0,未审附注之流动资产!D208)</f>
        <v>0</v>
      </c>
      <c r="E208" s="2410">
        <f>IF(未审附注之流动资产!E208="",0,未审附注之流动资产!E208)</f>
        <v>0</v>
      </c>
      <c r="F208" s="2403">
        <f>IF(未审附注之流动资产!F208="",0,未审附注之流动资产!F208)</f>
        <v>0</v>
      </c>
      <c r="G208" s="2398"/>
      <c r="H208" s="2398"/>
      <c r="I208" s="2398"/>
      <c r="J208" s="2436" t="s">
        <v>435</v>
      </c>
    </row>
    <row r="209" spans="1:10">
      <c r="A209" s="2410">
        <f>IF(未审附注之流动资产!A209="",0,未审附注之流动资产!A209)</f>
        <v>0</v>
      </c>
      <c r="B209" s="2403">
        <f>IF(未审附注之流动资产!B209="",0,未审附注之流动资产!B209)</f>
        <v>0</v>
      </c>
      <c r="C209" s="2403">
        <f>IF(未审附注之流动资产!C209="",0,未审附注之流动资产!C209)</f>
        <v>0</v>
      </c>
      <c r="D209" s="2410">
        <f>IF(未审附注之流动资产!D209="",0,未审附注之流动资产!D209)</f>
        <v>0</v>
      </c>
      <c r="E209" s="2410">
        <f>IF(未审附注之流动资产!E209="",0,未审附注之流动资产!E209)</f>
        <v>0</v>
      </c>
      <c r="F209" s="2403">
        <f>IF(未审附注之流动资产!F209="",0,未审附注之流动资产!F209)</f>
        <v>0</v>
      </c>
      <c r="G209" s="2398"/>
      <c r="H209" s="2398"/>
      <c r="I209" s="2398"/>
      <c r="J209" s="2436" t="s">
        <v>435</v>
      </c>
    </row>
    <row r="210" spans="1:10">
      <c r="A210" s="2410">
        <f>IF(未审附注之流动资产!A210="",0,未审附注之流动资产!A210)</f>
        <v>0</v>
      </c>
      <c r="B210" s="2403">
        <f>IF(未审附注之流动资产!B210="",0,未审附注之流动资产!B210)</f>
        <v>0</v>
      </c>
      <c r="C210" s="2403">
        <f>IF(未审附注之流动资产!C210="",0,未审附注之流动资产!C210)</f>
        <v>0</v>
      </c>
      <c r="D210" s="2410">
        <f>IF(未审附注之流动资产!D210="",0,未审附注之流动资产!D210)</f>
        <v>0</v>
      </c>
      <c r="E210" s="2410">
        <f>IF(未审附注之流动资产!E210="",0,未审附注之流动资产!E210)</f>
        <v>0</v>
      </c>
      <c r="F210" s="2403">
        <f>IF(未审附注之流动资产!F210="",0,未审附注之流动资产!F210)</f>
        <v>0</v>
      </c>
      <c r="G210" s="2398"/>
      <c r="H210" s="2398"/>
      <c r="I210" s="2398"/>
      <c r="J210" s="2436" t="s">
        <v>435</v>
      </c>
    </row>
    <row r="211" spans="1:10">
      <c r="A211" s="2410">
        <f>IF(未审附注之流动资产!A211="",0,未审附注之流动资产!A211)</f>
        <v>0</v>
      </c>
      <c r="B211" s="2403">
        <f>IF(未审附注之流动资产!B211="",0,未审附注之流动资产!B211)</f>
        <v>0</v>
      </c>
      <c r="C211" s="2403">
        <f>IF(未审附注之流动资产!C211="",0,未审附注之流动资产!C211)</f>
        <v>0</v>
      </c>
      <c r="D211" s="2410">
        <f>IF(未审附注之流动资产!D211="",0,未审附注之流动资产!D211)</f>
        <v>0</v>
      </c>
      <c r="E211" s="2410">
        <f>IF(未审附注之流动资产!E211="",0,未审附注之流动资产!E211)</f>
        <v>0</v>
      </c>
      <c r="F211" s="2403">
        <f>IF(未审附注之流动资产!F211="",0,未审附注之流动资产!F211)</f>
        <v>0</v>
      </c>
      <c r="G211" s="2398"/>
      <c r="H211" s="2398"/>
      <c r="I211" s="2398"/>
      <c r="J211" s="2436" t="s">
        <v>435</v>
      </c>
    </row>
    <row r="212" spans="1:10">
      <c r="A212" s="2410">
        <f>IF(未审附注之流动资产!A212="",0,未审附注之流动资产!A212)</f>
        <v>0</v>
      </c>
      <c r="B212" s="2403">
        <f>IF(未审附注之流动资产!B212="",0,未审附注之流动资产!B212)</f>
        <v>0</v>
      </c>
      <c r="C212" s="2403">
        <f>IF(未审附注之流动资产!C212="",0,未审附注之流动资产!C212)</f>
        <v>0</v>
      </c>
      <c r="D212" s="2410">
        <f>IF(未审附注之流动资产!D212="",0,未审附注之流动资产!D212)</f>
        <v>0</v>
      </c>
      <c r="E212" s="2410">
        <f>IF(未审附注之流动资产!E212="",0,未审附注之流动资产!E212)</f>
        <v>0</v>
      </c>
      <c r="F212" s="2403">
        <f>IF(未审附注之流动资产!F212="",0,未审附注之流动资产!F212)</f>
        <v>0</v>
      </c>
      <c r="G212" s="2398"/>
      <c r="H212" s="2398"/>
      <c r="I212" s="2398"/>
      <c r="J212" s="2436" t="s">
        <v>435</v>
      </c>
    </row>
    <row r="213" spans="1:10">
      <c r="A213" s="2410">
        <f>IF(未审附注之流动资产!A213="",0,未审附注之流动资产!A213)</f>
        <v>0</v>
      </c>
      <c r="B213" s="2403">
        <f>IF(未审附注之流动资产!B213="",0,未审附注之流动资产!B213)</f>
        <v>0</v>
      </c>
      <c r="C213" s="2403">
        <f>IF(未审附注之流动资产!C213="",0,未审附注之流动资产!C213)</f>
        <v>0</v>
      </c>
      <c r="D213" s="2410">
        <f>IF(未审附注之流动资产!D213="",0,未审附注之流动资产!D213)</f>
        <v>0</v>
      </c>
      <c r="E213" s="2410">
        <f>IF(未审附注之流动资产!E213="",0,未审附注之流动资产!E213)</f>
        <v>0</v>
      </c>
      <c r="F213" s="2403">
        <f>IF(未审附注之流动资产!F213="",0,未审附注之流动资产!F213)</f>
        <v>0</v>
      </c>
      <c r="G213" s="2398"/>
      <c r="H213" s="2398"/>
      <c r="I213" s="2398"/>
      <c r="J213" s="2436" t="s">
        <v>435</v>
      </c>
    </row>
    <row r="214" spans="1:10">
      <c r="A214" s="2410">
        <f>IF(未审附注之流动资产!A214="",0,未审附注之流动资产!A214)</f>
        <v>0</v>
      </c>
      <c r="B214" s="2403">
        <f>IF(未审附注之流动资产!B214="",0,未审附注之流动资产!B214)</f>
        <v>0</v>
      </c>
      <c r="C214" s="2403">
        <f>IF(未审附注之流动资产!C214="",0,未审附注之流动资产!C214)</f>
        <v>0</v>
      </c>
      <c r="D214" s="2410">
        <f>IF(未审附注之流动资产!D214="",0,未审附注之流动资产!D214)</f>
        <v>0</v>
      </c>
      <c r="E214" s="2410">
        <f>IF(未审附注之流动资产!E214="",0,未审附注之流动资产!E214)</f>
        <v>0</v>
      </c>
      <c r="F214" s="2403">
        <f>IF(未审附注之流动资产!F214="",0,未审附注之流动资产!F214)</f>
        <v>0</v>
      </c>
      <c r="G214" s="2398"/>
      <c r="H214" s="2398"/>
      <c r="I214" s="2398"/>
      <c r="J214" s="2436" t="s">
        <v>435</v>
      </c>
    </row>
    <row r="215" spans="1:10">
      <c r="A215" s="2410">
        <f>IF(未审附注之流动资产!A215="",0,未审附注之流动资产!A215)</f>
        <v>0</v>
      </c>
      <c r="B215" s="2403">
        <f>IF(未审附注之流动资产!B215="",0,未审附注之流动资产!B215)</f>
        <v>0</v>
      </c>
      <c r="C215" s="2403">
        <f>IF(未审附注之流动资产!C215="",0,未审附注之流动资产!C215)</f>
        <v>0</v>
      </c>
      <c r="D215" s="2410">
        <f>IF(未审附注之流动资产!D215="",0,未审附注之流动资产!D215)</f>
        <v>0</v>
      </c>
      <c r="E215" s="2410">
        <f>IF(未审附注之流动资产!E215="",0,未审附注之流动资产!E215)</f>
        <v>0</v>
      </c>
      <c r="F215" s="2403">
        <f>IF(未审附注之流动资产!F215="",0,未审附注之流动资产!F215)</f>
        <v>0</v>
      </c>
      <c r="G215" s="2398"/>
      <c r="H215" s="2398"/>
      <c r="I215" s="2398"/>
      <c r="J215" s="2436" t="s">
        <v>435</v>
      </c>
    </row>
    <row r="216" spans="1:10">
      <c r="A216" s="2400" t="s">
        <v>426</v>
      </c>
      <c r="B216" s="2369">
        <f>ROUND(SUM(B206:B215),2)</f>
        <v>0</v>
      </c>
      <c r="C216" s="2369">
        <f>ROUND(SUM(C206:C215),2)</f>
        <v>0</v>
      </c>
      <c r="D216" s="2416"/>
      <c r="E216" s="2369"/>
      <c r="F216" s="2369">
        <f>ROUND(SUM(F206:F215),2)</f>
        <v>0</v>
      </c>
      <c r="G216" s="2398"/>
      <c r="H216" s="2398"/>
      <c r="I216" s="2398"/>
      <c r="J216" s="2436" t="s">
        <v>436</v>
      </c>
    </row>
    <row r="217" spans="1:9">
      <c r="A217" s="2405"/>
      <c r="B217" s="2416"/>
      <c r="C217" s="2416"/>
      <c r="D217" s="2416"/>
      <c r="E217" s="2416"/>
      <c r="F217" s="2416"/>
      <c r="G217" s="2398"/>
      <c r="H217" s="2398"/>
      <c r="I217" s="2398"/>
    </row>
    <row r="218" spans="1:9">
      <c r="A218" s="2447" t="s">
        <v>437</v>
      </c>
      <c r="B218" s="2400"/>
      <c r="C218" s="2400"/>
      <c r="D218" s="2442"/>
      <c r="E218" s="2426"/>
      <c r="F218" s="2442"/>
      <c r="G218" s="2398"/>
      <c r="H218" s="2398"/>
      <c r="I218" s="2398"/>
    </row>
    <row r="219" spans="1:10">
      <c r="A219" s="2410">
        <f>IF(未审附注之流动资产!A219="",0,未审附注之流动资产!A219)</f>
        <v>0</v>
      </c>
      <c r="B219" s="2403">
        <f>IF(未审附注之流动资产!B219="",0,未审附注之流动资产!B219)</f>
        <v>0</v>
      </c>
      <c r="C219" s="2403">
        <f>IF(未审附注之流动资产!C219="",0,未审附注之流动资产!C219)</f>
        <v>0</v>
      </c>
      <c r="D219" s="2410">
        <f>IF(未审附注之流动资产!D219="",0,未审附注之流动资产!D219)</f>
        <v>0</v>
      </c>
      <c r="E219" s="2410">
        <f>IF(未审附注之流动资产!E219="",0,未审附注之流动资产!E219)</f>
        <v>0</v>
      </c>
      <c r="F219" s="2403">
        <f>IF(未审附注之流动资产!F219="",0,未审附注之流动资产!F219)</f>
        <v>0</v>
      </c>
      <c r="G219" s="2398"/>
      <c r="H219" s="2398"/>
      <c r="I219" s="2398"/>
      <c r="J219" s="2436" t="s">
        <v>438</v>
      </c>
    </row>
    <row r="220" spans="1:10">
      <c r="A220" s="2410">
        <f>IF(未审附注之流动资产!A220="",0,未审附注之流动资产!A220)</f>
        <v>0</v>
      </c>
      <c r="B220" s="2403">
        <f>IF(未审附注之流动资产!B220="",0,未审附注之流动资产!B220)</f>
        <v>0</v>
      </c>
      <c r="C220" s="2403">
        <f>IF(未审附注之流动资产!C220="",0,未审附注之流动资产!C220)</f>
        <v>0</v>
      </c>
      <c r="D220" s="2410">
        <f>IF(未审附注之流动资产!D220="",0,未审附注之流动资产!D220)</f>
        <v>0</v>
      </c>
      <c r="E220" s="2410">
        <f>IF(未审附注之流动资产!E220="",0,未审附注之流动资产!E220)</f>
        <v>0</v>
      </c>
      <c r="F220" s="2403">
        <f>IF(未审附注之流动资产!F220="",0,未审附注之流动资产!F220)</f>
        <v>0</v>
      </c>
      <c r="G220" s="2398"/>
      <c r="H220" s="2398"/>
      <c r="I220" s="2398"/>
      <c r="J220" s="2436" t="s">
        <v>438</v>
      </c>
    </row>
    <row r="221" spans="1:10">
      <c r="A221" s="2410">
        <f>IF(未审附注之流动资产!A221="",0,未审附注之流动资产!A221)</f>
        <v>0</v>
      </c>
      <c r="B221" s="2403">
        <f>IF(未审附注之流动资产!B221="",0,未审附注之流动资产!B221)</f>
        <v>0</v>
      </c>
      <c r="C221" s="2403">
        <f>IF(未审附注之流动资产!C221="",0,未审附注之流动资产!C221)</f>
        <v>0</v>
      </c>
      <c r="D221" s="2410">
        <f>IF(未审附注之流动资产!D221="",0,未审附注之流动资产!D221)</f>
        <v>0</v>
      </c>
      <c r="E221" s="2410">
        <f>IF(未审附注之流动资产!E221="",0,未审附注之流动资产!E221)</f>
        <v>0</v>
      </c>
      <c r="F221" s="2403">
        <f>IF(未审附注之流动资产!F221="",0,未审附注之流动资产!F221)</f>
        <v>0</v>
      </c>
      <c r="G221" s="2398"/>
      <c r="H221" s="2398"/>
      <c r="I221" s="2398"/>
      <c r="J221" s="2436" t="s">
        <v>438</v>
      </c>
    </row>
    <row r="222" spans="1:10">
      <c r="A222" s="2410">
        <f>IF(未审附注之流动资产!A222="",0,未审附注之流动资产!A222)</f>
        <v>0</v>
      </c>
      <c r="B222" s="2403">
        <f>IF(未审附注之流动资产!B222="",0,未审附注之流动资产!B222)</f>
        <v>0</v>
      </c>
      <c r="C222" s="2403">
        <f>IF(未审附注之流动资产!C222="",0,未审附注之流动资产!C222)</f>
        <v>0</v>
      </c>
      <c r="D222" s="2410">
        <f>IF(未审附注之流动资产!D222="",0,未审附注之流动资产!D222)</f>
        <v>0</v>
      </c>
      <c r="E222" s="2410">
        <f>IF(未审附注之流动资产!E222="",0,未审附注之流动资产!E222)</f>
        <v>0</v>
      </c>
      <c r="F222" s="2403">
        <f>IF(未审附注之流动资产!F222="",0,未审附注之流动资产!F222)</f>
        <v>0</v>
      </c>
      <c r="G222" s="2398"/>
      <c r="H222" s="2398"/>
      <c r="I222" s="2398"/>
      <c r="J222" s="2436" t="s">
        <v>438</v>
      </c>
    </row>
    <row r="223" spans="1:10">
      <c r="A223" s="2410">
        <f>IF(未审附注之流动资产!A223="",0,未审附注之流动资产!A223)</f>
        <v>0</v>
      </c>
      <c r="B223" s="2403">
        <f>IF(未审附注之流动资产!B223="",0,未审附注之流动资产!B223)</f>
        <v>0</v>
      </c>
      <c r="C223" s="2403">
        <f>IF(未审附注之流动资产!C223="",0,未审附注之流动资产!C223)</f>
        <v>0</v>
      </c>
      <c r="D223" s="2410">
        <f>IF(未审附注之流动资产!D223="",0,未审附注之流动资产!D223)</f>
        <v>0</v>
      </c>
      <c r="E223" s="2410">
        <f>IF(未审附注之流动资产!E223="",0,未审附注之流动资产!E223)</f>
        <v>0</v>
      </c>
      <c r="F223" s="2403">
        <f>IF(未审附注之流动资产!F223="",0,未审附注之流动资产!F223)</f>
        <v>0</v>
      </c>
      <c r="G223" s="2398"/>
      <c r="H223" s="2398"/>
      <c r="I223" s="2398"/>
      <c r="J223" s="2436" t="s">
        <v>438</v>
      </c>
    </row>
    <row r="224" spans="1:10">
      <c r="A224" s="2410">
        <f>IF(未审附注之流动资产!A224="",0,未审附注之流动资产!A224)</f>
        <v>0</v>
      </c>
      <c r="B224" s="2403">
        <f>IF(未审附注之流动资产!B224="",0,未审附注之流动资产!B224)</f>
        <v>0</v>
      </c>
      <c r="C224" s="2403">
        <f>IF(未审附注之流动资产!C224="",0,未审附注之流动资产!C224)</f>
        <v>0</v>
      </c>
      <c r="D224" s="2410">
        <f>IF(未审附注之流动资产!D224="",0,未审附注之流动资产!D224)</f>
        <v>0</v>
      </c>
      <c r="E224" s="2410">
        <f>IF(未审附注之流动资产!E224="",0,未审附注之流动资产!E224)</f>
        <v>0</v>
      </c>
      <c r="F224" s="2403">
        <f>IF(未审附注之流动资产!F224="",0,未审附注之流动资产!F224)</f>
        <v>0</v>
      </c>
      <c r="G224" s="2398"/>
      <c r="H224" s="2398"/>
      <c r="I224" s="2398"/>
      <c r="J224" s="2436" t="s">
        <v>438</v>
      </c>
    </row>
    <row r="225" spans="1:10">
      <c r="A225" s="2410">
        <f>IF(未审附注之流动资产!A225="",0,未审附注之流动资产!A225)</f>
        <v>0</v>
      </c>
      <c r="B225" s="2403">
        <f>IF(未审附注之流动资产!B225="",0,未审附注之流动资产!B225)</f>
        <v>0</v>
      </c>
      <c r="C225" s="2403">
        <f>IF(未审附注之流动资产!C225="",0,未审附注之流动资产!C225)</f>
        <v>0</v>
      </c>
      <c r="D225" s="2410">
        <f>IF(未审附注之流动资产!D225="",0,未审附注之流动资产!D225)</f>
        <v>0</v>
      </c>
      <c r="E225" s="2410">
        <f>IF(未审附注之流动资产!E225="",0,未审附注之流动资产!E225)</f>
        <v>0</v>
      </c>
      <c r="F225" s="2403">
        <f>IF(未审附注之流动资产!F225="",0,未审附注之流动资产!F225)</f>
        <v>0</v>
      </c>
      <c r="G225" s="2398"/>
      <c r="H225" s="2398"/>
      <c r="I225" s="2398"/>
      <c r="J225" s="2436" t="s">
        <v>438</v>
      </c>
    </row>
    <row r="226" spans="1:10">
      <c r="A226" s="2410">
        <f>IF(未审附注之流动资产!A226="",0,未审附注之流动资产!A226)</f>
        <v>0</v>
      </c>
      <c r="B226" s="2403">
        <f>IF(未审附注之流动资产!B226="",0,未审附注之流动资产!B226)</f>
        <v>0</v>
      </c>
      <c r="C226" s="2403">
        <f>IF(未审附注之流动资产!C226="",0,未审附注之流动资产!C226)</f>
        <v>0</v>
      </c>
      <c r="D226" s="2410">
        <f>IF(未审附注之流动资产!D226="",0,未审附注之流动资产!D226)</f>
        <v>0</v>
      </c>
      <c r="E226" s="2410">
        <f>IF(未审附注之流动资产!E226="",0,未审附注之流动资产!E226)</f>
        <v>0</v>
      </c>
      <c r="F226" s="2403">
        <f>IF(未审附注之流动资产!F226="",0,未审附注之流动资产!F226)</f>
        <v>0</v>
      </c>
      <c r="G226" s="2398"/>
      <c r="H226" s="2398"/>
      <c r="I226" s="2398"/>
      <c r="J226" s="2436" t="s">
        <v>438</v>
      </c>
    </row>
    <row r="227" spans="1:10">
      <c r="A227" s="2410">
        <f>IF(未审附注之流动资产!A227="",0,未审附注之流动资产!A227)</f>
        <v>0</v>
      </c>
      <c r="B227" s="2403">
        <f>IF(未审附注之流动资产!B227="",0,未审附注之流动资产!B227)</f>
        <v>0</v>
      </c>
      <c r="C227" s="2403">
        <f>IF(未审附注之流动资产!C227="",0,未审附注之流动资产!C227)</f>
        <v>0</v>
      </c>
      <c r="D227" s="2410">
        <f>IF(未审附注之流动资产!D227="",0,未审附注之流动资产!D227)</f>
        <v>0</v>
      </c>
      <c r="E227" s="2410">
        <f>IF(未审附注之流动资产!E227="",0,未审附注之流动资产!E227)</f>
        <v>0</v>
      </c>
      <c r="F227" s="2403">
        <f>IF(未审附注之流动资产!F227="",0,未审附注之流动资产!F227)</f>
        <v>0</v>
      </c>
      <c r="G227" s="2398"/>
      <c r="H227" s="2398"/>
      <c r="I227" s="2398"/>
      <c r="J227" s="2436" t="s">
        <v>438</v>
      </c>
    </row>
    <row r="228" spans="1:10">
      <c r="A228" s="2410">
        <f>IF(未审附注之流动资产!A228="",0,未审附注之流动资产!A228)</f>
        <v>0</v>
      </c>
      <c r="B228" s="2403">
        <f>IF(未审附注之流动资产!B228="",0,未审附注之流动资产!B228)</f>
        <v>0</v>
      </c>
      <c r="C228" s="2403">
        <f>IF(未审附注之流动资产!C228="",0,未审附注之流动资产!C228)</f>
        <v>0</v>
      </c>
      <c r="D228" s="2410">
        <f>IF(未审附注之流动资产!D228="",0,未审附注之流动资产!D228)</f>
        <v>0</v>
      </c>
      <c r="E228" s="2410">
        <f>IF(未审附注之流动资产!E228="",0,未审附注之流动资产!E228)</f>
        <v>0</v>
      </c>
      <c r="F228" s="2403">
        <f>IF(未审附注之流动资产!F228="",0,未审附注之流动资产!F228)</f>
        <v>0</v>
      </c>
      <c r="G228" s="2398"/>
      <c r="H228" s="2398"/>
      <c r="I228" s="2398"/>
      <c r="J228" s="2436" t="s">
        <v>438</v>
      </c>
    </row>
    <row r="229" spans="1:10">
      <c r="A229" s="2400" t="s">
        <v>426</v>
      </c>
      <c r="B229" s="2369">
        <f>ROUND(SUM(B219:B228),2)</f>
        <v>0</v>
      </c>
      <c r="C229" s="2369">
        <f>ROUND(SUM(C219:C228),2)</f>
        <v>0</v>
      </c>
      <c r="D229" s="2416"/>
      <c r="E229" s="2369"/>
      <c r="F229" s="2369">
        <f>ROUND(SUM(F219:F228),2)</f>
        <v>0</v>
      </c>
      <c r="G229" s="2398"/>
      <c r="H229" s="2398"/>
      <c r="I229" s="2398"/>
      <c r="J229" s="2436" t="s">
        <v>439</v>
      </c>
    </row>
    <row r="230" spans="1:9">
      <c r="A230" s="2405"/>
      <c r="B230" s="2416"/>
      <c r="C230" s="2416"/>
      <c r="D230" s="2416"/>
      <c r="E230" s="2416"/>
      <c r="F230" s="2416"/>
      <c r="G230" s="2398"/>
      <c r="H230" s="2398"/>
      <c r="I230" s="2398"/>
    </row>
    <row r="231" spans="1:10">
      <c r="A231" s="2400" t="s">
        <v>347</v>
      </c>
      <c r="B231" s="2369">
        <f>ROUND(B216+B229,2)</f>
        <v>0</v>
      </c>
      <c r="C231" s="2369">
        <f>ROUND(C216+C229,2)</f>
        <v>0</v>
      </c>
      <c r="D231" s="2416"/>
      <c r="E231" s="2369"/>
      <c r="F231" s="2369">
        <f>ROUND(F216+F229,2)</f>
        <v>0</v>
      </c>
      <c r="G231" s="2398"/>
      <c r="H231" s="2398"/>
      <c r="I231" s="2398"/>
      <c r="J231" s="2436" t="s">
        <v>440</v>
      </c>
    </row>
    <row r="232" spans="1:9">
      <c r="A232" s="2421"/>
      <c r="B232" s="2398"/>
      <c r="C232" s="2398"/>
      <c r="D232" s="2398"/>
      <c r="E232" s="2398"/>
      <c r="F232" s="2398"/>
      <c r="G232" s="2398"/>
      <c r="H232" s="2398"/>
      <c r="I232" s="2398"/>
    </row>
    <row r="233" spans="1:9">
      <c r="A233" s="2421"/>
      <c r="B233" s="2398"/>
      <c r="C233" s="2398"/>
      <c r="D233" s="2398"/>
      <c r="E233" s="2398"/>
      <c r="F233" s="2398"/>
      <c r="G233" s="2398"/>
      <c r="H233" s="2398"/>
      <c r="I233" s="2398"/>
    </row>
    <row r="234" spans="1:9">
      <c r="A234" s="2397" t="s">
        <v>441</v>
      </c>
      <c r="B234" s="2398"/>
      <c r="C234" s="2398"/>
      <c r="D234" s="2398"/>
      <c r="E234" s="2398"/>
      <c r="F234" s="2398"/>
      <c r="G234" s="2398"/>
      <c r="H234" s="2398"/>
      <c r="I234" s="2398"/>
    </row>
    <row r="235" spans="1:9">
      <c r="A235" s="2399" t="s">
        <v>442</v>
      </c>
      <c r="B235" s="2398"/>
      <c r="C235" s="2398"/>
      <c r="D235" s="2398"/>
      <c r="E235" s="2398"/>
      <c r="F235" s="2398"/>
      <c r="G235" s="2398"/>
      <c r="H235" s="2398"/>
      <c r="I235" s="2398"/>
    </row>
    <row r="236" spans="1:9">
      <c r="A236" s="2400" t="s">
        <v>443</v>
      </c>
      <c r="B236" s="2432" t="s">
        <v>316</v>
      </c>
      <c r="C236" s="2473"/>
      <c r="D236" s="2473"/>
      <c r="E236" s="2474"/>
      <c r="F236" s="2432" t="s">
        <v>317</v>
      </c>
      <c r="G236" s="2473"/>
      <c r="H236" s="2473"/>
      <c r="I236" s="2474"/>
    </row>
    <row r="237" spans="1:9">
      <c r="A237" s="2400"/>
      <c r="B237" s="2400" t="s">
        <v>444</v>
      </c>
      <c r="C237" s="2400" t="s">
        <v>445</v>
      </c>
      <c r="D237" s="2426" t="s">
        <v>446</v>
      </c>
      <c r="E237" s="2400" t="s">
        <v>447</v>
      </c>
      <c r="F237" s="2400" t="s">
        <v>444</v>
      </c>
      <c r="G237" s="2400" t="s">
        <v>445</v>
      </c>
      <c r="H237" s="2426" t="s">
        <v>446</v>
      </c>
      <c r="I237" s="2400" t="s">
        <v>447</v>
      </c>
    </row>
    <row r="238" spans="1:10">
      <c r="A238" s="2405" t="s">
        <v>448</v>
      </c>
      <c r="B238" s="2403">
        <f>IF(未审附注之流动资产!B238="",0,未审附注之流动资产!B238)</f>
        <v>0</v>
      </c>
      <c r="C238" s="2435">
        <f>IF(B238=0,0,1-C239-C240-C241-C242-C243)</f>
        <v>0</v>
      </c>
      <c r="D238" s="2403">
        <f>IF(未审附注之流动资产!D238="",0,未审附注之流动资产!D238)</f>
        <v>0</v>
      </c>
      <c r="E238" s="2435">
        <f t="shared" ref="E238:E244" si="0">IF(B238=0,0,ROUND(D238/B238,4))</f>
        <v>0</v>
      </c>
      <c r="F238" s="2403">
        <f>IF(未审附注之流动资产!F238="",0,未审附注之流动资产!F238)</f>
        <v>0</v>
      </c>
      <c r="G238" s="2435">
        <f>IF(F238=0,0,1-G239-G240-G241-G242-G243)</f>
        <v>0</v>
      </c>
      <c r="H238" s="2403">
        <f>IF(未审附注之流动资产!H238="",0,未审附注之流动资产!H238)</f>
        <v>0</v>
      </c>
      <c r="I238" s="2435">
        <f t="shared" ref="I238:I244" si="1">IF(F238=0,0,ROUND(H238/F238,4))</f>
        <v>0</v>
      </c>
      <c r="J238" s="2436" t="s">
        <v>449</v>
      </c>
    </row>
    <row r="239" spans="1:10">
      <c r="A239" s="2405" t="s">
        <v>450</v>
      </c>
      <c r="B239" s="2403">
        <f>IF(未审附注之流动资产!B239="",0,未审附注之流动资产!B239)</f>
        <v>0</v>
      </c>
      <c r="C239" s="2435">
        <f>IF(B239=0,0,IF(B238=0,ROUND(1-C240-C241-C242-C243,4),ROUND(B239/B244,4)))</f>
        <v>0</v>
      </c>
      <c r="D239" s="2403">
        <f>IF(未审附注之流动资产!D239="",0,未审附注之流动资产!D239)</f>
        <v>0</v>
      </c>
      <c r="E239" s="2435">
        <f t="shared" si="0"/>
        <v>0</v>
      </c>
      <c r="F239" s="2403">
        <f>IF(未审附注之流动资产!F239="",0,未审附注之流动资产!F239)</f>
        <v>0</v>
      </c>
      <c r="G239" s="2435">
        <f>IF(F239=0,0,IF(F238=0,ROUND(1-G240-G241-G242-G243,4),ROUND(F239/F244,4)))</f>
        <v>0</v>
      </c>
      <c r="H239" s="2403">
        <f>IF(未审附注之流动资产!H239="",0,未审附注之流动资产!H239)</f>
        <v>0</v>
      </c>
      <c r="I239" s="2435">
        <f t="shared" si="1"/>
        <v>0</v>
      </c>
      <c r="J239" s="2436" t="s">
        <v>451</v>
      </c>
    </row>
    <row r="240" spans="1:10">
      <c r="A240" s="2405" t="s">
        <v>452</v>
      </c>
      <c r="B240" s="2403">
        <f>IF(未审附注之流动资产!B240="",0,未审附注之流动资产!B240)</f>
        <v>0</v>
      </c>
      <c r="C240" s="2435">
        <f>IF(B240=0,0,IF(AND(B238=0,B239=0),ROUND(1-C241-C242-C243,4),ROUND(B240/B244,4)))</f>
        <v>0</v>
      </c>
      <c r="D240" s="2403">
        <f>IF(未审附注之流动资产!D240="",0,未审附注之流动资产!D240)</f>
        <v>0</v>
      </c>
      <c r="E240" s="2435">
        <f t="shared" si="0"/>
        <v>0</v>
      </c>
      <c r="F240" s="2403">
        <f>IF(未审附注之流动资产!F240="",0,未审附注之流动资产!F240)</f>
        <v>0</v>
      </c>
      <c r="G240" s="2435">
        <f>IF(F240=0,0,IF(AND(F238=0,F239=0),ROUND(1-G241-G242-G243,4),ROUND(F240/F244,4)))</f>
        <v>0</v>
      </c>
      <c r="H240" s="2403">
        <f>IF(未审附注之流动资产!H240="",0,未审附注之流动资产!H240)</f>
        <v>0</v>
      </c>
      <c r="I240" s="2435">
        <f t="shared" si="1"/>
        <v>0</v>
      </c>
      <c r="J240" s="2436" t="s">
        <v>453</v>
      </c>
    </row>
    <row r="241" spans="1:10">
      <c r="A241" s="2405" t="s">
        <v>454</v>
      </c>
      <c r="B241" s="2403">
        <f>IF(未审附注之流动资产!B241="",0,未审附注之流动资产!B241)</f>
        <v>0</v>
      </c>
      <c r="C241" s="2435">
        <f>IF(B241=0,0,IF(AND(B238=0,B239=0,B240=0),ROUND(1-C242-C243,4),ROUND(B241/B244,4)))</f>
        <v>0</v>
      </c>
      <c r="D241" s="2403">
        <f>IF(未审附注之流动资产!D241="",0,未审附注之流动资产!D241)</f>
        <v>0</v>
      </c>
      <c r="E241" s="2435">
        <f t="shared" si="0"/>
        <v>0</v>
      </c>
      <c r="F241" s="2403">
        <f>IF(未审附注之流动资产!F241="",0,未审附注之流动资产!F241)</f>
        <v>0</v>
      </c>
      <c r="G241" s="2435">
        <f>IF(F241=0,0,IF(AND(F238=0,F239=0,F240=0),ROUND(1-G242-G243,4),ROUND(F241/F244,4)))</f>
        <v>0</v>
      </c>
      <c r="H241" s="2403">
        <f>IF(未审附注之流动资产!H241="",0,未审附注之流动资产!H241)</f>
        <v>0</v>
      </c>
      <c r="I241" s="2435">
        <f t="shared" si="1"/>
        <v>0</v>
      </c>
      <c r="J241" s="2436" t="s">
        <v>455</v>
      </c>
    </row>
    <row r="242" spans="1:10">
      <c r="A242" s="2405" t="s">
        <v>456</v>
      </c>
      <c r="B242" s="2403">
        <f>IF(未审附注之流动资产!B242="",0,未审附注之流动资产!B242)</f>
        <v>0</v>
      </c>
      <c r="C242" s="2435">
        <f>IF(B242=0,0,IF(AND(B238=0,B239=0,B240=0,B241=0),ROUND(1-C243,4),ROUND(B242/B244,4)))</f>
        <v>0</v>
      </c>
      <c r="D242" s="2403">
        <f>IF(未审附注之流动资产!D242="",0,未审附注之流动资产!D242)</f>
        <v>0</v>
      </c>
      <c r="E242" s="2435">
        <f t="shared" si="0"/>
        <v>0</v>
      </c>
      <c r="F242" s="2403">
        <f>IF(未审附注之流动资产!F242="",0,未审附注之流动资产!F242)</f>
        <v>0</v>
      </c>
      <c r="G242" s="2435">
        <f>IF(F242=0,0,IF(AND(F238=0,F239=0,F240=0,F241=0),ROUND(1-G243,4),ROUND(F242/F244,4)))</f>
        <v>0</v>
      </c>
      <c r="H242" s="2403">
        <f>IF(未审附注之流动资产!H242="",0,未审附注之流动资产!H242)</f>
        <v>0</v>
      </c>
      <c r="I242" s="2435">
        <f t="shared" si="1"/>
        <v>0</v>
      </c>
      <c r="J242" s="2436" t="s">
        <v>457</v>
      </c>
    </row>
    <row r="243" spans="1:10">
      <c r="A243" s="2405" t="s">
        <v>458</v>
      </c>
      <c r="B243" s="2403">
        <f>IF(未审附注之流动资产!B243="",0,未审附注之流动资产!B243)</f>
        <v>0</v>
      </c>
      <c r="C243" s="2435">
        <f>IF(B243=0,0,ROUND(B243/B244,4))</f>
        <v>0</v>
      </c>
      <c r="D243" s="2403">
        <f>IF(未审附注之流动资产!D243="",0,未审附注之流动资产!D243)</f>
        <v>0</v>
      </c>
      <c r="E243" s="2435">
        <f t="shared" si="0"/>
        <v>0</v>
      </c>
      <c r="F243" s="2403">
        <f>IF(未审附注之流动资产!F243="",0,未审附注之流动资产!F243)</f>
        <v>0</v>
      </c>
      <c r="G243" s="2435">
        <f>IF(F243=0,0,ROUND(F243/F244,4))</f>
        <v>0</v>
      </c>
      <c r="H243" s="2403">
        <f>IF(未审附注之流动资产!H243="",0,未审附注之流动资产!H243)</f>
        <v>0</v>
      </c>
      <c r="I243" s="2435">
        <f t="shared" si="1"/>
        <v>0</v>
      </c>
      <c r="J243" s="2436" t="s">
        <v>459</v>
      </c>
    </row>
    <row r="244" spans="1:10">
      <c r="A244" s="2400" t="s">
        <v>385</v>
      </c>
      <c r="B244" s="2369">
        <f>ROUND(SUM(B238:B243),2)</f>
        <v>0</v>
      </c>
      <c r="C244" s="2411">
        <f>IF(B244=0,0,1)</f>
        <v>0</v>
      </c>
      <c r="D244" s="2369">
        <f>ROUND(SUM(D238:D243),2)</f>
        <v>0</v>
      </c>
      <c r="E244" s="2411">
        <f t="shared" si="0"/>
        <v>0</v>
      </c>
      <c r="F244" s="2369">
        <f>ROUND(SUM(F238:F243),2)</f>
        <v>0</v>
      </c>
      <c r="G244" s="2411">
        <f>IF(F244=0,0,1)</f>
        <v>0</v>
      </c>
      <c r="H244" s="2369">
        <f>ROUND(SUM(H238:H243),2)</f>
        <v>0</v>
      </c>
      <c r="I244" s="2411">
        <f t="shared" si="1"/>
        <v>0</v>
      </c>
      <c r="J244" s="2436" t="s">
        <v>460</v>
      </c>
    </row>
    <row r="245" spans="1:9">
      <c r="A245" s="2421"/>
      <c r="B245" s="2398"/>
      <c r="C245" s="2398"/>
      <c r="D245" s="2398"/>
      <c r="E245" s="2398"/>
      <c r="F245" s="2398"/>
      <c r="G245" s="2398"/>
      <c r="H245" s="2398"/>
      <c r="I245" s="2398"/>
    </row>
    <row r="246" spans="1:9">
      <c r="A246" s="2399" t="s">
        <v>461</v>
      </c>
      <c r="B246" s="2398"/>
      <c r="C246" s="2398"/>
      <c r="D246" s="2398"/>
      <c r="E246" s="2398"/>
      <c r="F246" s="2398"/>
      <c r="G246" s="2398"/>
      <c r="H246" s="2398"/>
      <c r="I246" s="2398"/>
    </row>
    <row r="247" spans="1:9">
      <c r="A247" s="2407" t="s">
        <v>373</v>
      </c>
      <c r="B247" s="2432" t="s">
        <v>316</v>
      </c>
      <c r="C247" s="2473"/>
      <c r="D247" s="2473"/>
      <c r="E247" s="2474"/>
      <c r="F247" s="2432" t="s">
        <v>317</v>
      </c>
      <c r="G247" s="2473"/>
      <c r="H247" s="2473"/>
      <c r="I247" s="2474"/>
    </row>
    <row r="248" spans="1:9">
      <c r="A248" s="2408"/>
      <c r="B248" s="2400" t="s">
        <v>444</v>
      </c>
      <c r="C248" s="2400" t="s">
        <v>445</v>
      </c>
      <c r="D248" s="2426" t="s">
        <v>446</v>
      </c>
      <c r="E248" s="2400" t="s">
        <v>447</v>
      </c>
      <c r="F248" s="2400" t="s">
        <v>444</v>
      </c>
      <c r="G248" s="2400" t="s">
        <v>445</v>
      </c>
      <c r="H248" s="2426" t="s">
        <v>446</v>
      </c>
      <c r="I248" s="2400" t="s">
        <v>447</v>
      </c>
    </row>
    <row r="249" spans="1:10">
      <c r="A249" s="2402" t="s">
        <v>462</v>
      </c>
      <c r="B249" s="2403">
        <f>IF(未审附注之流动资产!B249="",0,未审附注之流动资产!B249)</f>
        <v>0</v>
      </c>
      <c r="C249" s="2435">
        <f>IF(B249=0,0,1-C250-C251)</f>
        <v>0</v>
      </c>
      <c r="D249" s="2403">
        <f>IF(未审附注之流动资产!D249="",0,未审附注之流动资产!D249)</f>
        <v>0</v>
      </c>
      <c r="E249" s="2435">
        <f>IF(B249=0,0,ROUND(D249/B249,4))</f>
        <v>0</v>
      </c>
      <c r="F249" s="2403">
        <f>IF(未审附注之流动资产!F249="",0,未审附注之流动资产!F249)</f>
        <v>0</v>
      </c>
      <c r="G249" s="2435">
        <f>IF(F249=0,0,1-G250-G251)</f>
        <v>0</v>
      </c>
      <c r="H249" s="2403">
        <f>IF(未审附注之流动资产!H249="",0,未审附注之流动资产!H249)</f>
        <v>0</v>
      </c>
      <c r="I249" s="2435">
        <f>IF(F249=0,0,ROUND(H249/F249,4))</f>
        <v>0</v>
      </c>
      <c r="J249" s="2436" t="s">
        <v>463</v>
      </c>
    </row>
    <row r="250" spans="1:10">
      <c r="A250" s="2402" t="s">
        <v>464</v>
      </c>
      <c r="B250" s="2403">
        <f>IF(未审附注之流动资产!B250="",0,未审附注之流动资产!B250)</f>
        <v>0</v>
      </c>
      <c r="C250" s="2435">
        <f>IF(B250=0,0,IF(B249=0,ROUND(1-C251,4),ROUND(B250/B$252,4)))</f>
        <v>0</v>
      </c>
      <c r="D250" s="2403">
        <f>IF(未审附注之流动资产!D250="",0,未审附注之流动资产!D250)</f>
        <v>0</v>
      </c>
      <c r="E250" s="2435">
        <f>IF(B250=0,0,ROUND(D250/B250,4))</f>
        <v>0</v>
      </c>
      <c r="F250" s="2403">
        <f>IF(未审附注之流动资产!F250="",0,未审附注之流动资产!F250)</f>
        <v>0</v>
      </c>
      <c r="G250" s="2435">
        <f>IF(F250=0,0,IF(F249=0,ROUND(1-G251,4),ROUND(F250/F$252,4)))</f>
        <v>0</v>
      </c>
      <c r="H250" s="2403">
        <f>IF(未审附注之流动资产!H250="",0,未审附注之流动资产!H250)</f>
        <v>0</v>
      </c>
      <c r="I250" s="2435">
        <f>IF(F250=0,0,ROUND(H250/F250,4))</f>
        <v>0</v>
      </c>
      <c r="J250" s="2436" t="s">
        <v>465</v>
      </c>
    </row>
    <row r="251" spans="1:10">
      <c r="A251" s="2402" t="s">
        <v>466</v>
      </c>
      <c r="B251" s="2438">
        <f>ROUND(B252-B249-B250,2)</f>
        <v>0</v>
      </c>
      <c r="C251" s="2435">
        <f>IF(B251=0,0,ROUND(B251/B$252,4))</f>
        <v>0</v>
      </c>
      <c r="D251" s="2438">
        <f>ROUND(D252-D249-D250,2)</f>
        <v>0</v>
      </c>
      <c r="E251" s="2435">
        <f>IF(B251=0,0,ROUND(D251/B251,4))</f>
        <v>0</v>
      </c>
      <c r="F251" s="2438">
        <f>ROUND(F252-F249-F250,2)</f>
        <v>0</v>
      </c>
      <c r="G251" s="2435">
        <f>IF(F251=0,0,ROUND(F251/F$252,4))</f>
        <v>0</v>
      </c>
      <c r="H251" s="2438">
        <f>ROUND(H252-H249-H250,2)</f>
        <v>0</v>
      </c>
      <c r="I251" s="2435">
        <f>IF(F251=0,0,ROUND(H251/F251,4))</f>
        <v>0</v>
      </c>
      <c r="J251" s="2436" t="s">
        <v>467</v>
      </c>
    </row>
    <row r="252" spans="1:10">
      <c r="A252" s="2400" t="s">
        <v>385</v>
      </c>
      <c r="B252" s="2369">
        <f>B244</f>
        <v>0</v>
      </c>
      <c r="C252" s="2411">
        <f>IF(B252=0,0,1)</f>
        <v>0</v>
      </c>
      <c r="D252" s="2369">
        <f>D244</f>
        <v>0</v>
      </c>
      <c r="E252" s="2411">
        <f>IF(B252=0,0,ROUND(D252/B252,4))</f>
        <v>0</v>
      </c>
      <c r="F252" s="2369">
        <f>F244</f>
        <v>0</v>
      </c>
      <c r="G252" s="2411">
        <f>IF(F252=0,0,1)</f>
        <v>0</v>
      </c>
      <c r="H252" s="2369">
        <f>H244</f>
        <v>0</v>
      </c>
      <c r="I252" s="2411">
        <f>IF(F252=0,0,ROUND(H252/F252,4))</f>
        <v>0</v>
      </c>
      <c r="J252" s="2436" t="s">
        <v>468</v>
      </c>
    </row>
    <row r="253" spans="1:9">
      <c r="A253" s="2421"/>
      <c r="B253" s="2398"/>
      <c r="C253" s="2398"/>
      <c r="D253" s="2398"/>
      <c r="E253" s="2398"/>
      <c r="F253" s="2398"/>
      <c r="G253" s="2398"/>
      <c r="H253" s="2398"/>
      <c r="I253" s="2398"/>
    </row>
    <row r="254" spans="1:9">
      <c r="A254" s="2399" t="s">
        <v>469</v>
      </c>
      <c r="B254" s="2398"/>
      <c r="C254" s="2398"/>
      <c r="D254" s="2398"/>
      <c r="E254" s="2398"/>
      <c r="F254" s="2398"/>
      <c r="G254" s="2398"/>
      <c r="H254" s="2398"/>
      <c r="I254" s="2398"/>
    </row>
    <row r="255" spans="1:9">
      <c r="A255" s="2400" t="s">
        <v>470</v>
      </c>
      <c r="B255" s="2400" t="s">
        <v>316</v>
      </c>
      <c r="C255" s="2400" t="s">
        <v>471</v>
      </c>
      <c r="D255" s="2400" t="s">
        <v>447</v>
      </c>
      <c r="E255" s="2400" t="s">
        <v>472</v>
      </c>
      <c r="F255" s="2398"/>
      <c r="G255" s="2398"/>
      <c r="H255" s="2398"/>
      <c r="I255" s="2398"/>
    </row>
    <row r="256" spans="1:10">
      <c r="A256" s="2410">
        <f>IF(未审附注之流动资产!A256="",0,未审附注之流动资产!A256)</f>
        <v>0</v>
      </c>
      <c r="B256" s="2403">
        <f>IF(未审附注之流动资产!B256="",0,未审附注之流动资产!B256)</f>
        <v>0</v>
      </c>
      <c r="C256" s="2403">
        <f>IF(未审附注之流动资产!C256="",0,未审附注之流动资产!C256)</f>
        <v>0</v>
      </c>
      <c r="D256" s="2435">
        <f>IF(B256=0,0,ROUND(C256/B256,4))</f>
        <v>0</v>
      </c>
      <c r="E256" s="2410">
        <f>IF(未审附注之流动资产!E256="",0,未审附注之流动资产!E256)</f>
        <v>0</v>
      </c>
      <c r="F256" s="2398"/>
      <c r="G256" s="2398"/>
      <c r="H256" s="2398"/>
      <c r="I256" s="2398"/>
      <c r="J256" s="2436" t="s">
        <v>473</v>
      </c>
    </row>
    <row r="257" spans="1:10">
      <c r="A257" s="2410">
        <f>IF(未审附注之流动资产!A257="",0,未审附注之流动资产!A257)</f>
        <v>0</v>
      </c>
      <c r="B257" s="2403">
        <f>IF(未审附注之流动资产!B257="",0,未审附注之流动资产!B257)</f>
        <v>0</v>
      </c>
      <c r="C257" s="2403">
        <f>IF(未审附注之流动资产!C257="",0,未审附注之流动资产!C257)</f>
        <v>0</v>
      </c>
      <c r="D257" s="2435">
        <f t="shared" ref="D257:D266" si="2">IF(B257=0,0,ROUND(C257/B257,4))</f>
        <v>0</v>
      </c>
      <c r="E257" s="2410">
        <f>IF(未审附注之流动资产!E257="",0,未审附注之流动资产!E257)</f>
        <v>0</v>
      </c>
      <c r="F257" s="2398"/>
      <c r="G257" s="2398"/>
      <c r="H257" s="2398"/>
      <c r="I257" s="2398"/>
      <c r="J257" s="2436" t="s">
        <v>473</v>
      </c>
    </row>
    <row r="258" spans="1:10">
      <c r="A258" s="2410">
        <f>IF(未审附注之流动资产!A258="",0,未审附注之流动资产!A258)</f>
        <v>0</v>
      </c>
      <c r="B258" s="2403">
        <f>IF(未审附注之流动资产!B258="",0,未审附注之流动资产!B258)</f>
        <v>0</v>
      </c>
      <c r="C258" s="2403">
        <f>IF(未审附注之流动资产!C258="",0,未审附注之流动资产!C258)</f>
        <v>0</v>
      </c>
      <c r="D258" s="2435">
        <f t="shared" si="2"/>
        <v>0</v>
      </c>
      <c r="E258" s="2410">
        <f>IF(未审附注之流动资产!E258="",0,未审附注之流动资产!E258)</f>
        <v>0</v>
      </c>
      <c r="F258" s="2398"/>
      <c r="G258" s="2398"/>
      <c r="H258" s="2398"/>
      <c r="I258" s="2398"/>
      <c r="J258" s="2436" t="s">
        <v>473</v>
      </c>
    </row>
    <row r="259" spans="1:10">
      <c r="A259" s="2410">
        <f>IF(未审附注之流动资产!A259="",0,未审附注之流动资产!A259)</f>
        <v>0</v>
      </c>
      <c r="B259" s="2403">
        <f>IF(未审附注之流动资产!B259="",0,未审附注之流动资产!B259)</f>
        <v>0</v>
      </c>
      <c r="C259" s="2403">
        <f>IF(未审附注之流动资产!C259="",0,未审附注之流动资产!C259)</f>
        <v>0</v>
      </c>
      <c r="D259" s="2435">
        <f t="shared" si="2"/>
        <v>0</v>
      </c>
      <c r="E259" s="2410">
        <f>IF(未审附注之流动资产!E259="",0,未审附注之流动资产!E259)</f>
        <v>0</v>
      </c>
      <c r="F259" s="2398"/>
      <c r="G259" s="2398"/>
      <c r="H259" s="2398"/>
      <c r="I259" s="2398"/>
      <c r="J259" s="2436" t="s">
        <v>473</v>
      </c>
    </row>
    <row r="260" spans="1:10">
      <c r="A260" s="2410">
        <f>IF(未审附注之流动资产!A260="",0,未审附注之流动资产!A260)</f>
        <v>0</v>
      </c>
      <c r="B260" s="2403">
        <f>IF(未审附注之流动资产!B260="",0,未审附注之流动资产!B260)</f>
        <v>0</v>
      </c>
      <c r="C260" s="2403">
        <f>IF(未审附注之流动资产!C260="",0,未审附注之流动资产!C260)</f>
        <v>0</v>
      </c>
      <c r="D260" s="2435">
        <f t="shared" si="2"/>
        <v>0</v>
      </c>
      <c r="E260" s="2410">
        <f>IF(未审附注之流动资产!E260="",0,未审附注之流动资产!E260)</f>
        <v>0</v>
      </c>
      <c r="F260" s="2398"/>
      <c r="G260" s="2398"/>
      <c r="H260" s="2398"/>
      <c r="I260" s="2398"/>
      <c r="J260" s="2436" t="s">
        <v>473</v>
      </c>
    </row>
    <row r="261" spans="1:10">
      <c r="A261" s="2410">
        <f>IF(未审附注之流动资产!A261="",0,未审附注之流动资产!A261)</f>
        <v>0</v>
      </c>
      <c r="B261" s="2403">
        <f>IF(未审附注之流动资产!B261="",0,未审附注之流动资产!B261)</f>
        <v>0</v>
      </c>
      <c r="C261" s="2403">
        <f>IF(未审附注之流动资产!C261="",0,未审附注之流动资产!C261)</f>
        <v>0</v>
      </c>
      <c r="D261" s="2435">
        <f t="shared" si="2"/>
        <v>0</v>
      </c>
      <c r="E261" s="2410">
        <f>IF(未审附注之流动资产!E261="",0,未审附注之流动资产!E261)</f>
        <v>0</v>
      </c>
      <c r="F261" s="2398"/>
      <c r="G261" s="2398"/>
      <c r="H261" s="2398"/>
      <c r="I261" s="2398"/>
      <c r="J261" s="2436" t="s">
        <v>473</v>
      </c>
    </row>
    <row r="262" spans="1:10">
      <c r="A262" s="2410">
        <f>IF(未审附注之流动资产!A262="",0,未审附注之流动资产!A262)</f>
        <v>0</v>
      </c>
      <c r="B262" s="2403">
        <f>IF(未审附注之流动资产!B262="",0,未审附注之流动资产!B262)</f>
        <v>0</v>
      </c>
      <c r="C262" s="2403">
        <f>IF(未审附注之流动资产!C262="",0,未审附注之流动资产!C262)</f>
        <v>0</v>
      </c>
      <c r="D262" s="2435">
        <f t="shared" si="2"/>
        <v>0</v>
      </c>
      <c r="E262" s="2410">
        <f>IF(未审附注之流动资产!E262="",0,未审附注之流动资产!E262)</f>
        <v>0</v>
      </c>
      <c r="F262" s="2398"/>
      <c r="G262" s="2398"/>
      <c r="H262" s="2398"/>
      <c r="I262" s="2398"/>
      <c r="J262" s="2436" t="s">
        <v>473</v>
      </c>
    </row>
    <row r="263" spans="1:10">
      <c r="A263" s="2410">
        <f>IF(未审附注之流动资产!A263="",0,未审附注之流动资产!A263)</f>
        <v>0</v>
      </c>
      <c r="B263" s="2403">
        <f>IF(未审附注之流动资产!B263="",0,未审附注之流动资产!B263)</f>
        <v>0</v>
      </c>
      <c r="C263" s="2403">
        <f>IF(未审附注之流动资产!C263="",0,未审附注之流动资产!C263)</f>
        <v>0</v>
      </c>
      <c r="D263" s="2435">
        <f t="shared" si="2"/>
        <v>0</v>
      </c>
      <c r="E263" s="2410">
        <f>IF(未审附注之流动资产!E263="",0,未审附注之流动资产!E263)</f>
        <v>0</v>
      </c>
      <c r="F263" s="2398"/>
      <c r="G263" s="2398"/>
      <c r="H263" s="2398"/>
      <c r="I263" s="2398"/>
      <c r="J263" s="2436" t="s">
        <v>473</v>
      </c>
    </row>
    <row r="264" spans="1:10">
      <c r="A264" s="2410">
        <f>IF(未审附注之流动资产!A264="",0,未审附注之流动资产!A264)</f>
        <v>0</v>
      </c>
      <c r="B264" s="2403">
        <f>IF(未审附注之流动资产!B264="",0,未审附注之流动资产!B264)</f>
        <v>0</v>
      </c>
      <c r="C264" s="2403">
        <f>IF(未审附注之流动资产!C264="",0,未审附注之流动资产!C264)</f>
        <v>0</v>
      </c>
      <c r="D264" s="2435">
        <f t="shared" si="2"/>
        <v>0</v>
      </c>
      <c r="E264" s="2410">
        <f>IF(未审附注之流动资产!E264="",0,未审附注之流动资产!E264)</f>
        <v>0</v>
      </c>
      <c r="F264" s="2398"/>
      <c r="G264" s="2398"/>
      <c r="H264" s="2398"/>
      <c r="I264" s="2398"/>
      <c r="J264" s="2436" t="s">
        <v>473</v>
      </c>
    </row>
    <row r="265" spans="1:10">
      <c r="A265" s="2410">
        <f>IF(未审附注之流动资产!A265="",0,未审附注之流动资产!A265)</f>
        <v>0</v>
      </c>
      <c r="B265" s="2403">
        <f>IF(未审附注之流动资产!B265="",0,未审附注之流动资产!B265)</f>
        <v>0</v>
      </c>
      <c r="C265" s="2403">
        <f>IF(未审附注之流动资产!C265="",0,未审附注之流动资产!C265)</f>
        <v>0</v>
      </c>
      <c r="D265" s="2435">
        <f t="shared" si="2"/>
        <v>0</v>
      </c>
      <c r="E265" s="2410">
        <f>IF(未审附注之流动资产!E265="",0,未审附注之流动资产!E265)</f>
        <v>0</v>
      </c>
      <c r="F265" s="2398"/>
      <c r="G265" s="2398"/>
      <c r="H265" s="2398"/>
      <c r="I265" s="2398"/>
      <c r="J265" s="2436" t="s">
        <v>473</v>
      </c>
    </row>
    <row r="266" spans="1:10">
      <c r="A266" s="2400" t="s">
        <v>385</v>
      </c>
      <c r="B266" s="2369">
        <f>ROUND(SUM(B256:B265),2)</f>
        <v>0</v>
      </c>
      <c r="C266" s="2369">
        <f>ROUND(SUM(C256:C265),2)</f>
        <v>0</v>
      </c>
      <c r="D266" s="2411">
        <f t="shared" si="2"/>
        <v>0</v>
      </c>
      <c r="E266" s="2369"/>
      <c r="F266" s="2398"/>
      <c r="G266" s="2398"/>
      <c r="H266" s="2398"/>
      <c r="I266" s="2398"/>
      <c r="J266" s="2436" t="s">
        <v>474</v>
      </c>
    </row>
    <row r="267" spans="1:9">
      <c r="A267" s="2421"/>
      <c r="B267" s="2398"/>
      <c r="C267" s="2398"/>
      <c r="D267" s="2398"/>
      <c r="E267" s="2398"/>
      <c r="F267" s="2398"/>
      <c r="G267" s="2398"/>
      <c r="H267" s="2398"/>
      <c r="I267" s="2398"/>
    </row>
    <row r="268" spans="1:9">
      <c r="A268" s="2414" t="s">
        <v>475</v>
      </c>
      <c r="B268" s="2398"/>
      <c r="C268" s="2398"/>
      <c r="D268" s="2398"/>
      <c r="E268" s="2398"/>
      <c r="F268" s="2398"/>
      <c r="G268" s="2398"/>
      <c r="H268" s="2398"/>
      <c r="I268" s="2398"/>
    </row>
    <row r="269" spans="1:9">
      <c r="A269" s="2400" t="s">
        <v>315</v>
      </c>
      <c r="B269" s="2400" t="s">
        <v>316</v>
      </c>
      <c r="C269" s="2400" t="s">
        <v>476</v>
      </c>
      <c r="D269" s="2398"/>
      <c r="E269" s="2398"/>
      <c r="F269" s="2398"/>
      <c r="G269" s="2398"/>
      <c r="H269" s="2398"/>
      <c r="I269" s="2398"/>
    </row>
    <row r="270" spans="1:10">
      <c r="A270" s="2410">
        <f>IF(未审附注之流动资产!A270="",0,未审附注之流动资产!A270)</f>
        <v>0</v>
      </c>
      <c r="B270" s="2403">
        <f>IF(未审附注之流动资产!B270="",0,未审附注之流动资产!B270)</f>
        <v>0</v>
      </c>
      <c r="C270" s="2410">
        <f>IF(未审附注之流动资产!C270="",0,未审附注之流动资产!C270)</f>
        <v>0</v>
      </c>
      <c r="D270" s="2398"/>
      <c r="E270" s="2398"/>
      <c r="F270" s="2398"/>
      <c r="G270" s="2398"/>
      <c r="H270" s="2398"/>
      <c r="I270" s="2398"/>
      <c r="J270" s="2436" t="s">
        <v>477</v>
      </c>
    </row>
    <row r="271" spans="1:10">
      <c r="A271" s="2410">
        <f>IF(未审附注之流动资产!A271="",0,未审附注之流动资产!A271)</f>
        <v>0</v>
      </c>
      <c r="B271" s="2403">
        <f>IF(未审附注之流动资产!B271="",0,未审附注之流动资产!B271)</f>
        <v>0</v>
      </c>
      <c r="C271" s="2410">
        <f>IF(未审附注之流动资产!C271="",0,未审附注之流动资产!C271)</f>
        <v>0</v>
      </c>
      <c r="D271" s="2398"/>
      <c r="E271" s="2398"/>
      <c r="F271" s="2398"/>
      <c r="G271" s="2398"/>
      <c r="H271" s="2398"/>
      <c r="I271" s="2398"/>
      <c r="J271" s="2436" t="s">
        <v>477</v>
      </c>
    </row>
    <row r="272" spans="1:10">
      <c r="A272" s="2410">
        <f>IF(未审附注之流动资产!A272="",0,未审附注之流动资产!A272)</f>
        <v>0</v>
      </c>
      <c r="B272" s="2403">
        <f>IF(未审附注之流动资产!B272="",0,未审附注之流动资产!B272)</f>
        <v>0</v>
      </c>
      <c r="C272" s="2410">
        <f>IF(未审附注之流动资产!C272="",0,未审附注之流动资产!C272)</f>
        <v>0</v>
      </c>
      <c r="D272" s="2398"/>
      <c r="E272" s="2398"/>
      <c r="F272" s="2398"/>
      <c r="G272" s="2398"/>
      <c r="H272" s="2398"/>
      <c r="I272" s="2398"/>
      <c r="J272" s="2436" t="s">
        <v>477</v>
      </c>
    </row>
    <row r="273" spans="1:10">
      <c r="A273" s="2410">
        <f>IF(未审附注之流动资产!A273="",0,未审附注之流动资产!A273)</f>
        <v>0</v>
      </c>
      <c r="B273" s="2403">
        <f>IF(未审附注之流动资产!B273="",0,未审附注之流动资产!B273)</f>
        <v>0</v>
      </c>
      <c r="C273" s="2410">
        <f>IF(未审附注之流动资产!C273="",0,未审附注之流动资产!C273)</f>
        <v>0</v>
      </c>
      <c r="D273" s="2398"/>
      <c r="E273" s="2398"/>
      <c r="F273" s="2398"/>
      <c r="G273" s="2398"/>
      <c r="H273" s="2398"/>
      <c r="I273" s="2398"/>
      <c r="J273" s="2436" t="s">
        <v>477</v>
      </c>
    </row>
    <row r="274" spans="1:10">
      <c r="A274" s="2410">
        <f>IF(未审附注之流动资产!A274="",0,未审附注之流动资产!A274)</f>
        <v>0</v>
      </c>
      <c r="B274" s="2403">
        <f>IF(未审附注之流动资产!B274="",0,未审附注之流动资产!B274)</f>
        <v>0</v>
      </c>
      <c r="C274" s="2410">
        <f>IF(未审附注之流动资产!C274="",0,未审附注之流动资产!C274)</f>
        <v>0</v>
      </c>
      <c r="D274" s="2398"/>
      <c r="E274" s="2398"/>
      <c r="F274" s="2398"/>
      <c r="G274" s="2398"/>
      <c r="H274" s="2398"/>
      <c r="I274" s="2398"/>
      <c r="J274" s="2436" t="s">
        <v>477</v>
      </c>
    </row>
    <row r="275" spans="1:10">
      <c r="A275" s="2410">
        <f>IF(未审附注之流动资产!A275="",0,未审附注之流动资产!A275)</f>
        <v>0</v>
      </c>
      <c r="B275" s="2403">
        <f>IF(未审附注之流动资产!B275="",0,未审附注之流动资产!B275)</f>
        <v>0</v>
      </c>
      <c r="C275" s="2410">
        <f>IF(未审附注之流动资产!C275="",0,未审附注之流动资产!C275)</f>
        <v>0</v>
      </c>
      <c r="D275" s="2398"/>
      <c r="E275" s="2398"/>
      <c r="F275" s="2398"/>
      <c r="G275" s="2398"/>
      <c r="H275" s="2398"/>
      <c r="I275" s="2398"/>
      <c r="J275" s="2436" t="s">
        <v>477</v>
      </c>
    </row>
    <row r="276" spans="1:10">
      <c r="A276" s="2410">
        <f>IF(未审附注之流动资产!A276="",0,未审附注之流动资产!A276)</f>
        <v>0</v>
      </c>
      <c r="B276" s="2403">
        <f>IF(未审附注之流动资产!B276="",0,未审附注之流动资产!B276)</f>
        <v>0</v>
      </c>
      <c r="C276" s="2410">
        <f>IF(未审附注之流动资产!C276="",0,未审附注之流动资产!C276)</f>
        <v>0</v>
      </c>
      <c r="D276" s="2398"/>
      <c r="E276" s="2398"/>
      <c r="F276" s="2398"/>
      <c r="G276" s="2398"/>
      <c r="H276" s="2398"/>
      <c r="I276" s="2398"/>
      <c r="J276" s="2436" t="s">
        <v>477</v>
      </c>
    </row>
    <row r="277" spans="1:10">
      <c r="A277" s="2410">
        <f>IF(未审附注之流动资产!A277="",0,未审附注之流动资产!A277)</f>
        <v>0</v>
      </c>
      <c r="B277" s="2403">
        <f>IF(未审附注之流动资产!B277="",0,未审附注之流动资产!B277)</f>
        <v>0</v>
      </c>
      <c r="C277" s="2410">
        <f>IF(未审附注之流动资产!C277="",0,未审附注之流动资产!C277)</f>
        <v>0</v>
      </c>
      <c r="D277" s="2398"/>
      <c r="E277" s="2398"/>
      <c r="F277" s="2398"/>
      <c r="G277" s="2398"/>
      <c r="H277" s="2398"/>
      <c r="I277" s="2398"/>
      <c r="J277" s="2436" t="s">
        <v>477</v>
      </c>
    </row>
    <row r="278" spans="1:10">
      <c r="A278" s="2410">
        <f>IF(未审附注之流动资产!A278="",0,未审附注之流动资产!A278)</f>
        <v>0</v>
      </c>
      <c r="B278" s="2403">
        <f>IF(未审附注之流动资产!B278="",0,未审附注之流动资产!B278)</f>
        <v>0</v>
      </c>
      <c r="C278" s="2410">
        <f>IF(未审附注之流动资产!C278="",0,未审附注之流动资产!C278)</f>
        <v>0</v>
      </c>
      <c r="D278" s="2398"/>
      <c r="E278" s="2398"/>
      <c r="F278" s="2398"/>
      <c r="G278" s="2398"/>
      <c r="H278" s="2398"/>
      <c r="I278" s="2398"/>
      <c r="J278" s="2436" t="s">
        <v>477</v>
      </c>
    </row>
    <row r="279" spans="1:10">
      <c r="A279" s="2410">
        <f>IF(未审附注之流动资产!A279="",0,未审附注之流动资产!A279)</f>
        <v>0</v>
      </c>
      <c r="B279" s="2403">
        <f>IF(未审附注之流动资产!B279="",0,未审附注之流动资产!B279)</f>
        <v>0</v>
      </c>
      <c r="C279" s="2410">
        <f>IF(未审附注之流动资产!C279="",0,未审附注之流动资产!C279)</f>
        <v>0</v>
      </c>
      <c r="D279" s="2398"/>
      <c r="E279" s="2398"/>
      <c r="F279" s="2398"/>
      <c r="G279" s="2398"/>
      <c r="H279" s="2398"/>
      <c r="I279" s="2398"/>
      <c r="J279" s="2436" t="s">
        <v>477</v>
      </c>
    </row>
    <row r="280" spans="1:10">
      <c r="A280" s="2400" t="s">
        <v>385</v>
      </c>
      <c r="B280" s="2369">
        <f>ROUND(SUM(B270:B279),2)</f>
        <v>0</v>
      </c>
      <c r="C280" s="2369"/>
      <c r="D280" s="2398"/>
      <c r="E280" s="2398"/>
      <c r="F280" s="2398"/>
      <c r="G280" s="2398"/>
      <c r="H280" s="2398"/>
      <c r="I280" s="2398"/>
      <c r="J280" s="2436" t="s">
        <v>478</v>
      </c>
    </row>
    <row r="281" spans="1:9">
      <c r="A281" s="2421"/>
      <c r="B281" s="2398"/>
      <c r="C281" s="2398"/>
      <c r="D281" s="2398"/>
      <c r="E281" s="2398"/>
      <c r="F281" s="2398"/>
      <c r="G281" s="2398"/>
      <c r="H281" s="2398"/>
      <c r="I281" s="2398"/>
    </row>
    <row r="282" spans="1:9">
      <c r="A282" s="2414" t="s">
        <v>479</v>
      </c>
      <c r="B282" s="2398"/>
      <c r="C282" s="2398"/>
      <c r="D282" s="2398"/>
      <c r="E282" s="2398"/>
      <c r="F282" s="2398"/>
      <c r="G282" s="2398"/>
      <c r="H282" s="2398"/>
      <c r="I282" s="2398"/>
    </row>
    <row r="283" spans="1:9">
      <c r="A283" s="2400" t="s">
        <v>315</v>
      </c>
      <c r="B283" s="2400" t="s">
        <v>480</v>
      </c>
      <c r="C283" s="2400" t="s">
        <v>481</v>
      </c>
      <c r="D283" s="2400" t="s">
        <v>482</v>
      </c>
      <c r="E283" s="2400" t="s">
        <v>483</v>
      </c>
      <c r="F283" s="2400" t="s">
        <v>484</v>
      </c>
      <c r="G283" s="2398"/>
      <c r="H283" s="2398"/>
      <c r="I283" s="2398"/>
    </row>
    <row r="284" spans="1:10">
      <c r="A284" s="2410">
        <f>IF(未审附注之流动资产!A284="",0,未审附注之流动资产!A284)</f>
        <v>0</v>
      </c>
      <c r="B284" s="2403">
        <f>IF(未审附注之流动资产!B284="",0,未审附注之流动资产!B284)</f>
        <v>0</v>
      </c>
      <c r="C284" s="2403">
        <f>IF(未审附注之流动资产!C284="",0,未审附注之流动资产!C284)</f>
        <v>0</v>
      </c>
      <c r="D284" s="2410">
        <f>IF(未审附注之流动资产!D284="",0,未审附注之流动资产!D284)</f>
        <v>0</v>
      </c>
      <c r="E284" s="2410">
        <f>IF(未审附注之流动资产!E284="",0,未审附注之流动资产!E284)</f>
        <v>0</v>
      </c>
      <c r="F284" s="2410">
        <f>IF(未审附注之流动资产!F284="",0,未审附注之流动资产!F284)</f>
        <v>0</v>
      </c>
      <c r="G284" s="2398"/>
      <c r="H284" s="2398"/>
      <c r="I284" s="2398"/>
      <c r="J284" s="2436" t="s">
        <v>485</v>
      </c>
    </row>
    <row r="285" spans="1:10">
      <c r="A285" s="2410">
        <f>IF(未审附注之流动资产!A285="",0,未审附注之流动资产!A285)</f>
        <v>0</v>
      </c>
      <c r="B285" s="2403">
        <f>IF(未审附注之流动资产!B285="",0,未审附注之流动资产!B285)</f>
        <v>0</v>
      </c>
      <c r="C285" s="2403">
        <f>IF(未审附注之流动资产!C285="",0,未审附注之流动资产!C285)</f>
        <v>0</v>
      </c>
      <c r="D285" s="2410">
        <f>IF(未审附注之流动资产!D285="",0,未审附注之流动资产!D285)</f>
        <v>0</v>
      </c>
      <c r="E285" s="2410">
        <f>IF(未审附注之流动资产!E285="",0,未审附注之流动资产!E285)</f>
        <v>0</v>
      </c>
      <c r="F285" s="2410">
        <f>IF(未审附注之流动资产!F285="",0,未审附注之流动资产!F285)</f>
        <v>0</v>
      </c>
      <c r="G285" s="2398"/>
      <c r="H285" s="2398"/>
      <c r="I285" s="2398"/>
      <c r="J285" s="2436" t="s">
        <v>485</v>
      </c>
    </row>
    <row r="286" spans="1:10">
      <c r="A286" s="2410">
        <f>IF(未审附注之流动资产!A286="",0,未审附注之流动资产!A286)</f>
        <v>0</v>
      </c>
      <c r="B286" s="2403">
        <f>IF(未审附注之流动资产!B286="",0,未审附注之流动资产!B286)</f>
        <v>0</v>
      </c>
      <c r="C286" s="2403">
        <f>IF(未审附注之流动资产!C286="",0,未审附注之流动资产!C286)</f>
        <v>0</v>
      </c>
      <c r="D286" s="2410">
        <f>IF(未审附注之流动资产!D286="",0,未审附注之流动资产!D286)</f>
        <v>0</v>
      </c>
      <c r="E286" s="2410">
        <f>IF(未审附注之流动资产!E286="",0,未审附注之流动资产!E286)</f>
        <v>0</v>
      </c>
      <c r="F286" s="2410">
        <f>IF(未审附注之流动资产!F286="",0,未审附注之流动资产!F286)</f>
        <v>0</v>
      </c>
      <c r="G286" s="2398"/>
      <c r="H286" s="2398"/>
      <c r="I286" s="2398"/>
      <c r="J286" s="2436" t="s">
        <v>485</v>
      </c>
    </row>
    <row r="287" spans="1:10">
      <c r="A287" s="2410">
        <f>IF(未审附注之流动资产!A287="",0,未审附注之流动资产!A287)</f>
        <v>0</v>
      </c>
      <c r="B287" s="2403">
        <f>IF(未审附注之流动资产!B287="",0,未审附注之流动资产!B287)</f>
        <v>0</v>
      </c>
      <c r="C287" s="2403">
        <f>IF(未审附注之流动资产!C287="",0,未审附注之流动资产!C287)</f>
        <v>0</v>
      </c>
      <c r="D287" s="2410">
        <f>IF(未审附注之流动资产!D287="",0,未审附注之流动资产!D287)</f>
        <v>0</v>
      </c>
      <c r="E287" s="2410">
        <f>IF(未审附注之流动资产!E287="",0,未审附注之流动资产!E287)</f>
        <v>0</v>
      </c>
      <c r="F287" s="2410">
        <f>IF(未审附注之流动资产!F287="",0,未审附注之流动资产!F287)</f>
        <v>0</v>
      </c>
      <c r="G287" s="2398"/>
      <c r="H287" s="2398"/>
      <c r="I287" s="2398"/>
      <c r="J287" s="2436" t="s">
        <v>485</v>
      </c>
    </row>
    <row r="288" spans="1:10">
      <c r="A288" s="2410">
        <f>IF(未审附注之流动资产!A288="",0,未审附注之流动资产!A288)</f>
        <v>0</v>
      </c>
      <c r="B288" s="2403">
        <f>IF(未审附注之流动资产!B288="",0,未审附注之流动资产!B288)</f>
        <v>0</v>
      </c>
      <c r="C288" s="2403">
        <f>IF(未审附注之流动资产!C288="",0,未审附注之流动资产!C288)</f>
        <v>0</v>
      </c>
      <c r="D288" s="2410">
        <f>IF(未审附注之流动资产!D288="",0,未审附注之流动资产!D288)</f>
        <v>0</v>
      </c>
      <c r="E288" s="2410">
        <f>IF(未审附注之流动资产!E288="",0,未审附注之流动资产!E288)</f>
        <v>0</v>
      </c>
      <c r="F288" s="2410">
        <f>IF(未审附注之流动资产!F288="",0,未审附注之流动资产!F288)</f>
        <v>0</v>
      </c>
      <c r="G288" s="2398"/>
      <c r="H288" s="2398"/>
      <c r="I288" s="2398"/>
      <c r="J288" s="2436" t="s">
        <v>485</v>
      </c>
    </row>
    <row r="289" spans="1:10">
      <c r="A289" s="2410">
        <f>IF(未审附注之流动资产!A289="",0,未审附注之流动资产!A289)</f>
        <v>0</v>
      </c>
      <c r="B289" s="2403">
        <f>IF(未审附注之流动资产!B289="",0,未审附注之流动资产!B289)</f>
        <v>0</v>
      </c>
      <c r="C289" s="2403">
        <f>IF(未审附注之流动资产!C289="",0,未审附注之流动资产!C289)</f>
        <v>0</v>
      </c>
      <c r="D289" s="2410">
        <f>IF(未审附注之流动资产!D289="",0,未审附注之流动资产!D289)</f>
        <v>0</v>
      </c>
      <c r="E289" s="2410">
        <f>IF(未审附注之流动资产!E289="",0,未审附注之流动资产!E289)</f>
        <v>0</v>
      </c>
      <c r="F289" s="2410">
        <f>IF(未审附注之流动资产!F289="",0,未审附注之流动资产!F289)</f>
        <v>0</v>
      </c>
      <c r="G289" s="2398"/>
      <c r="H289" s="2398"/>
      <c r="I289" s="2398"/>
      <c r="J289" s="2436" t="s">
        <v>485</v>
      </c>
    </row>
    <row r="290" spans="1:10">
      <c r="A290" s="2410">
        <f>IF(未审附注之流动资产!A290="",0,未审附注之流动资产!A290)</f>
        <v>0</v>
      </c>
      <c r="B290" s="2403">
        <f>IF(未审附注之流动资产!B290="",0,未审附注之流动资产!B290)</f>
        <v>0</v>
      </c>
      <c r="C290" s="2403">
        <f>IF(未审附注之流动资产!C290="",0,未审附注之流动资产!C290)</f>
        <v>0</v>
      </c>
      <c r="D290" s="2410">
        <f>IF(未审附注之流动资产!D290="",0,未审附注之流动资产!D290)</f>
        <v>0</v>
      </c>
      <c r="E290" s="2410">
        <f>IF(未审附注之流动资产!E290="",0,未审附注之流动资产!E290)</f>
        <v>0</v>
      </c>
      <c r="F290" s="2410">
        <f>IF(未审附注之流动资产!F290="",0,未审附注之流动资产!F290)</f>
        <v>0</v>
      </c>
      <c r="G290" s="2398"/>
      <c r="H290" s="2398"/>
      <c r="I290" s="2398"/>
      <c r="J290" s="2436" t="s">
        <v>485</v>
      </c>
    </row>
    <row r="291" spans="1:10">
      <c r="A291" s="2410">
        <f>IF(未审附注之流动资产!A291="",0,未审附注之流动资产!A291)</f>
        <v>0</v>
      </c>
      <c r="B291" s="2403">
        <f>IF(未审附注之流动资产!B291="",0,未审附注之流动资产!B291)</f>
        <v>0</v>
      </c>
      <c r="C291" s="2403">
        <f>IF(未审附注之流动资产!C291="",0,未审附注之流动资产!C291)</f>
        <v>0</v>
      </c>
      <c r="D291" s="2410">
        <f>IF(未审附注之流动资产!D291="",0,未审附注之流动资产!D291)</f>
        <v>0</v>
      </c>
      <c r="E291" s="2410">
        <f>IF(未审附注之流动资产!E291="",0,未审附注之流动资产!E291)</f>
        <v>0</v>
      </c>
      <c r="F291" s="2410">
        <f>IF(未审附注之流动资产!F291="",0,未审附注之流动资产!F291)</f>
        <v>0</v>
      </c>
      <c r="G291" s="2398"/>
      <c r="H291" s="2398"/>
      <c r="I291" s="2398"/>
      <c r="J291" s="2436" t="s">
        <v>485</v>
      </c>
    </row>
    <row r="292" spans="1:10">
      <c r="A292" s="2410">
        <f>IF(未审附注之流动资产!A292="",0,未审附注之流动资产!A292)</f>
        <v>0</v>
      </c>
      <c r="B292" s="2403">
        <f>IF(未审附注之流动资产!B292="",0,未审附注之流动资产!B292)</f>
        <v>0</v>
      </c>
      <c r="C292" s="2403">
        <f>IF(未审附注之流动资产!C292="",0,未审附注之流动资产!C292)</f>
        <v>0</v>
      </c>
      <c r="D292" s="2410">
        <f>IF(未审附注之流动资产!D292="",0,未审附注之流动资产!D292)</f>
        <v>0</v>
      </c>
      <c r="E292" s="2410">
        <f>IF(未审附注之流动资产!E292="",0,未审附注之流动资产!E292)</f>
        <v>0</v>
      </c>
      <c r="F292" s="2410">
        <f>IF(未审附注之流动资产!F292="",0,未审附注之流动资产!F292)</f>
        <v>0</v>
      </c>
      <c r="G292" s="2398"/>
      <c r="H292" s="2398"/>
      <c r="I292" s="2398"/>
      <c r="J292" s="2436" t="s">
        <v>485</v>
      </c>
    </row>
    <row r="293" spans="1:10">
      <c r="A293" s="2410">
        <f>IF(未审附注之流动资产!A293="",0,未审附注之流动资产!A293)</f>
        <v>0</v>
      </c>
      <c r="B293" s="2403">
        <f>IF(未审附注之流动资产!B293="",0,未审附注之流动资产!B293)</f>
        <v>0</v>
      </c>
      <c r="C293" s="2403">
        <f>IF(未审附注之流动资产!C293="",0,未审附注之流动资产!C293)</f>
        <v>0</v>
      </c>
      <c r="D293" s="2410">
        <f>IF(未审附注之流动资产!D293="",0,未审附注之流动资产!D293)</f>
        <v>0</v>
      </c>
      <c r="E293" s="2410">
        <f>IF(未审附注之流动资产!E293="",0,未审附注之流动资产!E293)</f>
        <v>0</v>
      </c>
      <c r="F293" s="2410">
        <f>IF(未审附注之流动资产!F293="",0,未审附注之流动资产!F293)</f>
        <v>0</v>
      </c>
      <c r="G293" s="2398"/>
      <c r="H293" s="2398"/>
      <c r="I293" s="2398"/>
      <c r="J293" s="2436" t="s">
        <v>485</v>
      </c>
    </row>
    <row r="294" spans="1:10">
      <c r="A294" s="2400" t="s">
        <v>385</v>
      </c>
      <c r="B294" s="2369">
        <f>ROUND(SUM(B284:B293),2)</f>
        <v>0</v>
      </c>
      <c r="C294" s="2369">
        <f>ROUND(SUM(C284:C293),2)</f>
        <v>0</v>
      </c>
      <c r="D294" s="2411"/>
      <c r="E294" s="2369"/>
      <c r="F294" s="2369"/>
      <c r="G294" s="2398"/>
      <c r="H294" s="2398"/>
      <c r="I294" s="2398"/>
      <c r="J294" s="2436" t="s">
        <v>486</v>
      </c>
    </row>
    <row r="295" spans="1:9">
      <c r="A295" s="2421"/>
      <c r="B295" s="2398"/>
      <c r="C295" s="2398"/>
      <c r="D295" s="2398"/>
      <c r="E295" s="2398"/>
      <c r="F295" s="2398"/>
      <c r="G295" s="2398"/>
      <c r="H295" s="2398"/>
      <c r="I295" s="2398"/>
    </row>
    <row r="296" spans="1:9">
      <c r="A296" s="2414" t="s">
        <v>487</v>
      </c>
      <c r="B296" s="2398"/>
      <c r="C296" s="2398"/>
      <c r="D296" s="2398"/>
      <c r="E296" s="2398"/>
      <c r="F296" s="2398"/>
      <c r="G296" s="2398"/>
      <c r="H296" s="2398"/>
      <c r="I296" s="2398"/>
    </row>
    <row r="297" spans="1:9">
      <c r="A297" s="2400" t="s">
        <v>315</v>
      </c>
      <c r="B297" s="2400" t="s">
        <v>488</v>
      </c>
      <c r="C297" s="2400" t="s">
        <v>489</v>
      </c>
      <c r="D297" s="2400" t="s">
        <v>490</v>
      </c>
      <c r="E297" s="2400" t="s">
        <v>483</v>
      </c>
      <c r="F297" s="2400" t="s">
        <v>491</v>
      </c>
      <c r="G297" s="2398"/>
      <c r="H297" s="2398"/>
      <c r="I297" s="2398"/>
    </row>
    <row r="298" spans="1:10">
      <c r="A298" s="2410">
        <f>IF(未审附注之流动资产!A298="",0,未审附注之流动资产!A298)</f>
        <v>0</v>
      </c>
      <c r="B298" s="2403">
        <f>IF(未审附注之流动资产!B298="",0,未审附注之流动资产!B298)</f>
        <v>0</v>
      </c>
      <c r="C298" s="2410">
        <f>IF(未审附注之流动资产!C298="",0,未审附注之流动资产!C298)</f>
        <v>0</v>
      </c>
      <c r="D298" s="2410">
        <f>IF(未审附注之流动资产!D298="",0,未审附注之流动资产!D298)</f>
        <v>0</v>
      </c>
      <c r="E298" s="2410">
        <f>IF(未审附注之流动资产!E298="",0,未审附注之流动资产!E298)</f>
        <v>0</v>
      </c>
      <c r="F298" s="2410">
        <f>IF(未审附注之流动资产!F298="",0,未审附注之流动资产!F298)</f>
        <v>0</v>
      </c>
      <c r="G298" s="2398"/>
      <c r="H298" s="2398"/>
      <c r="I298" s="2398"/>
      <c r="J298" s="2436" t="s">
        <v>492</v>
      </c>
    </row>
    <row r="299" spans="1:10">
      <c r="A299" s="2410">
        <f>IF(未审附注之流动资产!A299="",0,未审附注之流动资产!A299)</f>
        <v>0</v>
      </c>
      <c r="B299" s="2403">
        <f>IF(未审附注之流动资产!B299="",0,未审附注之流动资产!B299)</f>
        <v>0</v>
      </c>
      <c r="C299" s="2410">
        <f>IF(未审附注之流动资产!C299="",0,未审附注之流动资产!C299)</f>
        <v>0</v>
      </c>
      <c r="D299" s="2410">
        <f>IF(未审附注之流动资产!D299="",0,未审附注之流动资产!D299)</f>
        <v>0</v>
      </c>
      <c r="E299" s="2410">
        <f>IF(未审附注之流动资产!E299="",0,未审附注之流动资产!E299)</f>
        <v>0</v>
      </c>
      <c r="F299" s="2410">
        <f>IF(未审附注之流动资产!F299="",0,未审附注之流动资产!F299)</f>
        <v>0</v>
      </c>
      <c r="G299" s="2398"/>
      <c r="H299" s="2398"/>
      <c r="I299" s="2398"/>
      <c r="J299" s="2436" t="s">
        <v>492</v>
      </c>
    </row>
    <row r="300" spans="1:10">
      <c r="A300" s="2410">
        <f>IF(未审附注之流动资产!A300="",0,未审附注之流动资产!A300)</f>
        <v>0</v>
      </c>
      <c r="B300" s="2403">
        <f>IF(未审附注之流动资产!B300="",0,未审附注之流动资产!B300)</f>
        <v>0</v>
      </c>
      <c r="C300" s="2410">
        <f>IF(未审附注之流动资产!C300="",0,未审附注之流动资产!C300)</f>
        <v>0</v>
      </c>
      <c r="D300" s="2410">
        <f>IF(未审附注之流动资产!D300="",0,未审附注之流动资产!D300)</f>
        <v>0</v>
      </c>
      <c r="E300" s="2410">
        <f>IF(未审附注之流动资产!E300="",0,未审附注之流动资产!E300)</f>
        <v>0</v>
      </c>
      <c r="F300" s="2410">
        <f>IF(未审附注之流动资产!F300="",0,未审附注之流动资产!F300)</f>
        <v>0</v>
      </c>
      <c r="G300" s="2398"/>
      <c r="H300" s="2398"/>
      <c r="I300" s="2398"/>
      <c r="J300" s="2436" t="s">
        <v>492</v>
      </c>
    </row>
    <row r="301" spans="1:10">
      <c r="A301" s="2410">
        <f>IF(未审附注之流动资产!A301="",0,未审附注之流动资产!A301)</f>
        <v>0</v>
      </c>
      <c r="B301" s="2403">
        <f>IF(未审附注之流动资产!B301="",0,未审附注之流动资产!B301)</f>
        <v>0</v>
      </c>
      <c r="C301" s="2410">
        <f>IF(未审附注之流动资产!C301="",0,未审附注之流动资产!C301)</f>
        <v>0</v>
      </c>
      <c r="D301" s="2410">
        <f>IF(未审附注之流动资产!D301="",0,未审附注之流动资产!D301)</f>
        <v>0</v>
      </c>
      <c r="E301" s="2410">
        <f>IF(未审附注之流动资产!E301="",0,未审附注之流动资产!E301)</f>
        <v>0</v>
      </c>
      <c r="F301" s="2410">
        <f>IF(未审附注之流动资产!F301="",0,未审附注之流动资产!F301)</f>
        <v>0</v>
      </c>
      <c r="G301" s="2398"/>
      <c r="H301" s="2398"/>
      <c r="I301" s="2398"/>
      <c r="J301" s="2436" t="s">
        <v>492</v>
      </c>
    </row>
    <row r="302" spans="1:10">
      <c r="A302" s="2410">
        <f>IF(未审附注之流动资产!A302="",0,未审附注之流动资产!A302)</f>
        <v>0</v>
      </c>
      <c r="B302" s="2403">
        <f>IF(未审附注之流动资产!B302="",0,未审附注之流动资产!B302)</f>
        <v>0</v>
      </c>
      <c r="C302" s="2410">
        <f>IF(未审附注之流动资产!C302="",0,未审附注之流动资产!C302)</f>
        <v>0</v>
      </c>
      <c r="D302" s="2410">
        <f>IF(未审附注之流动资产!D302="",0,未审附注之流动资产!D302)</f>
        <v>0</v>
      </c>
      <c r="E302" s="2410">
        <f>IF(未审附注之流动资产!E302="",0,未审附注之流动资产!E302)</f>
        <v>0</v>
      </c>
      <c r="F302" s="2410">
        <f>IF(未审附注之流动资产!F302="",0,未审附注之流动资产!F302)</f>
        <v>0</v>
      </c>
      <c r="G302" s="2398"/>
      <c r="H302" s="2398"/>
      <c r="I302" s="2398"/>
      <c r="J302" s="2436" t="s">
        <v>492</v>
      </c>
    </row>
    <row r="303" spans="1:10">
      <c r="A303" s="2410">
        <f>IF(未审附注之流动资产!A303="",0,未审附注之流动资产!A303)</f>
        <v>0</v>
      </c>
      <c r="B303" s="2403">
        <f>IF(未审附注之流动资产!B303="",0,未审附注之流动资产!B303)</f>
        <v>0</v>
      </c>
      <c r="C303" s="2410">
        <f>IF(未审附注之流动资产!C303="",0,未审附注之流动资产!C303)</f>
        <v>0</v>
      </c>
      <c r="D303" s="2410">
        <f>IF(未审附注之流动资产!D303="",0,未审附注之流动资产!D303)</f>
        <v>0</v>
      </c>
      <c r="E303" s="2410">
        <f>IF(未审附注之流动资产!E303="",0,未审附注之流动资产!E303)</f>
        <v>0</v>
      </c>
      <c r="F303" s="2410">
        <f>IF(未审附注之流动资产!F303="",0,未审附注之流动资产!F303)</f>
        <v>0</v>
      </c>
      <c r="G303" s="2398"/>
      <c r="H303" s="2398"/>
      <c r="I303" s="2398"/>
      <c r="J303" s="2436" t="s">
        <v>492</v>
      </c>
    </row>
    <row r="304" spans="1:10">
      <c r="A304" s="2410">
        <f>IF(未审附注之流动资产!A304="",0,未审附注之流动资产!A304)</f>
        <v>0</v>
      </c>
      <c r="B304" s="2403">
        <f>IF(未审附注之流动资产!B304="",0,未审附注之流动资产!B304)</f>
        <v>0</v>
      </c>
      <c r="C304" s="2410">
        <f>IF(未审附注之流动资产!C304="",0,未审附注之流动资产!C304)</f>
        <v>0</v>
      </c>
      <c r="D304" s="2410">
        <f>IF(未审附注之流动资产!D304="",0,未审附注之流动资产!D304)</f>
        <v>0</v>
      </c>
      <c r="E304" s="2410">
        <f>IF(未审附注之流动资产!E304="",0,未审附注之流动资产!E304)</f>
        <v>0</v>
      </c>
      <c r="F304" s="2410">
        <f>IF(未审附注之流动资产!F304="",0,未审附注之流动资产!F304)</f>
        <v>0</v>
      </c>
      <c r="G304" s="2398"/>
      <c r="H304" s="2398"/>
      <c r="I304" s="2398"/>
      <c r="J304" s="2436" t="s">
        <v>492</v>
      </c>
    </row>
    <row r="305" spans="1:10">
      <c r="A305" s="2410">
        <f>IF(未审附注之流动资产!A305="",0,未审附注之流动资产!A305)</f>
        <v>0</v>
      </c>
      <c r="B305" s="2403">
        <f>IF(未审附注之流动资产!B305="",0,未审附注之流动资产!B305)</f>
        <v>0</v>
      </c>
      <c r="C305" s="2410">
        <f>IF(未审附注之流动资产!C305="",0,未审附注之流动资产!C305)</f>
        <v>0</v>
      </c>
      <c r="D305" s="2410">
        <f>IF(未审附注之流动资产!D305="",0,未审附注之流动资产!D305)</f>
        <v>0</v>
      </c>
      <c r="E305" s="2410">
        <f>IF(未审附注之流动资产!E305="",0,未审附注之流动资产!E305)</f>
        <v>0</v>
      </c>
      <c r="F305" s="2410">
        <f>IF(未审附注之流动资产!F305="",0,未审附注之流动资产!F305)</f>
        <v>0</v>
      </c>
      <c r="G305" s="2398"/>
      <c r="H305" s="2398"/>
      <c r="I305" s="2398"/>
      <c r="J305" s="2436" t="s">
        <v>492</v>
      </c>
    </row>
    <row r="306" spans="1:10">
      <c r="A306" s="2410">
        <f>IF(未审附注之流动资产!A306="",0,未审附注之流动资产!A306)</f>
        <v>0</v>
      </c>
      <c r="B306" s="2403">
        <f>IF(未审附注之流动资产!B306="",0,未审附注之流动资产!B306)</f>
        <v>0</v>
      </c>
      <c r="C306" s="2410">
        <f>IF(未审附注之流动资产!C306="",0,未审附注之流动资产!C306)</f>
        <v>0</v>
      </c>
      <c r="D306" s="2410">
        <f>IF(未审附注之流动资产!D306="",0,未审附注之流动资产!D306)</f>
        <v>0</v>
      </c>
      <c r="E306" s="2410">
        <f>IF(未审附注之流动资产!E306="",0,未审附注之流动资产!E306)</f>
        <v>0</v>
      </c>
      <c r="F306" s="2410">
        <f>IF(未审附注之流动资产!F306="",0,未审附注之流动资产!F306)</f>
        <v>0</v>
      </c>
      <c r="G306" s="2398"/>
      <c r="H306" s="2398"/>
      <c r="I306" s="2398"/>
      <c r="J306" s="2436" t="s">
        <v>492</v>
      </c>
    </row>
    <row r="307" spans="1:10">
      <c r="A307" s="2410">
        <f>IF(未审附注之流动资产!A307="",0,未审附注之流动资产!A307)</f>
        <v>0</v>
      </c>
      <c r="B307" s="2403">
        <f>IF(未审附注之流动资产!B307="",0,未审附注之流动资产!B307)</f>
        <v>0</v>
      </c>
      <c r="C307" s="2410">
        <f>IF(未审附注之流动资产!C307="",0,未审附注之流动资产!C307)</f>
        <v>0</v>
      </c>
      <c r="D307" s="2410">
        <f>IF(未审附注之流动资产!D307="",0,未审附注之流动资产!D307)</f>
        <v>0</v>
      </c>
      <c r="E307" s="2410">
        <f>IF(未审附注之流动资产!E307="",0,未审附注之流动资产!E307)</f>
        <v>0</v>
      </c>
      <c r="F307" s="2410">
        <f>IF(未审附注之流动资产!F307="",0,未审附注之流动资产!F307)</f>
        <v>0</v>
      </c>
      <c r="G307" s="2398"/>
      <c r="H307" s="2398"/>
      <c r="I307" s="2398"/>
      <c r="J307" s="2436" t="s">
        <v>492</v>
      </c>
    </row>
    <row r="308" spans="1:10">
      <c r="A308" s="2400" t="s">
        <v>385</v>
      </c>
      <c r="B308" s="2369">
        <f>ROUND(SUM(B298:B307),2)</f>
        <v>0</v>
      </c>
      <c r="C308" s="2369"/>
      <c r="D308" s="2411">
        <f>IF(B308=0,0,ROUND(C308/B308,4))</f>
        <v>0</v>
      </c>
      <c r="E308" s="2369"/>
      <c r="F308" s="2369"/>
      <c r="G308" s="2398"/>
      <c r="H308" s="2398"/>
      <c r="I308" s="2398"/>
      <c r="J308" s="2436" t="s">
        <v>493</v>
      </c>
    </row>
    <row r="309" spans="1:9">
      <c r="A309" s="2421"/>
      <c r="B309" s="2398"/>
      <c r="C309" s="2398"/>
      <c r="D309" s="2398"/>
      <c r="E309" s="2398"/>
      <c r="F309" s="2398"/>
      <c r="G309" s="2398"/>
      <c r="H309" s="2398"/>
      <c r="I309" s="2398"/>
    </row>
    <row r="310" spans="1:9">
      <c r="A310" s="2414" t="s">
        <v>494</v>
      </c>
      <c r="B310" s="2398"/>
      <c r="C310" s="2398"/>
      <c r="D310" s="2398"/>
      <c r="E310" s="2398"/>
      <c r="F310" s="2398"/>
      <c r="G310" s="2398"/>
      <c r="H310" s="2398"/>
      <c r="I310" s="2398"/>
    </row>
    <row r="311" spans="1:10">
      <c r="A311" s="2400" t="s">
        <v>495</v>
      </c>
      <c r="B311" s="2400" t="s">
        <v>316</v>
      </c>
      <c r="C311" s="2400" t="s">
        <v>317</v>
      </c>
      <c r="D311" s="2400" t="s">
        <v>496</v>
      </c>
      <c r="E311" s="2398"/>
      <c r="F311" s="2398"/>
      <c r="G311" s="2398"/>
      <c r="H311" s="2398"/>
      <c r="I311" s="2398"/>
      <c r="J311" s="2475"/>
    </row>
    <row r="312" spans="1:10">
      <c r="A312" s="2410">
        <f>IF(未审附注之流动资产!A312="",0,未审附注之流动资产!A312)</f>
        <v>0</v>
      </c>
      <c r="B312" s="2403">
        <f>IF(未审附注之流动资产!B312="",0,未审附注之流动资产!B312)</f>
        <v>0</v>
      </c>
      <c r="C312" s="2403">
        <f>IF(未审附注之流动资产!C312="",0,未审附注之流动资产!C312)</f>
        <v>0</v>
      </c>
      <c r="D312" s="2410">
        <f>IF(未审附注之流动资产!D312="",0,未审附注之流动资产!D312)</f>
        <v>0</v>
      </c>
      <c r="E312" s="2398"/>
      <c r="F312" s="2398"/>
      <c r="G312" s="2398"/>
      <c r="H312" s="2398"/>
      <c r="I312" s="2398"/>
      <c r="J312" s="2436" t="s">
        <v>497</v>
      </c>
    </row>
    <row r="313" spans="1:10">
      <c r="A313" s="2410">
        <f>IF(未审附注之流动资产!A313="",0,未审附注之流动资产!A313)</f>
        <v>0</v>
      </c>
      <c r="B313" s="2403">
        <f>IF(未审附注之流动资产!B313="",0,未审附注之流动资产!B313)</f>
        <v>0</v>
      </c>
      <c r="C313" s="2403">
        <f>IF(未审附注之流动资产!C313="",0,未审附注之流动资产!C313)</f>
        <v>0</v>
      </c>
      <c r="D313" s="2410">
        <f>IF(未审附注之流动资产!D313="",0,未审附注之流动资产!D313)</f>
        <v>0</v>
      </c>
      <c r="E313" s="2398"/>
      <c r="F313" s="2398"/>
      <c r="G313" s="2398"/>
      <c r="H313" s="2398"/>
      <c r="I313" s="2398"/>
      <c r="J313" s="2436" t="s">
        <v>497</v>
      </c>
    </row>
    <row r="314" spans="1:10">
      <c r="A314" s="2410">
        <f>IF(未审附注之流动资产!A314="",0,未审附注之流动资产!A314)</f>
        <v>0</v>
      </c>
      <c r="B314" s="2403">
        <f>IF(未审附注之流动资产!B314="",0,未审附注之流动资产!B314)</f>
        <v>0</v>
      </c>
      <c r="C314" s="2403">
        <f>IF(未审附注之流动资产!C314="",0,未审附注之流动资产!C314)</f>
        <v>0</v>
      </c>
      <c r="D314" s="2410">
        <f>IF(未审附注之流动资产!D314="",0,未审附注之流动资产!D314)</f>
        <v>0</v>
      </c>
      <c r="E314" s="2398"/>
      <c r="F314" s="2398"/>
      <c r="G314" s="2398"/>
      <c r="H314" s="2398"/>
      <c r="I314" s="2398"/>
      <c r="J314" s="2436" t="s">
        <v>497</v>
      </c>
    </row>
    <row r="315" spans="1:10">
      <c r="A315" s="2410">
        <f>IF(未审附注之流动资产!A315="",0,未审附注之流动资产!A315)</f>
        <v>0</v>
      </c>
      <c r="B315" s="2403">
        <f>IF(未审附注之流动资产!B315="",0,未审附注之流动资产!B315)</f>
        <v>0</v>
      </c>
      <c r="C315" s="2403">
        <f>IF(未审附注之流动资产!C315="",0,未审附注之流动资产!C315)</f>
        <v>0</v>
      </c>
      <c r="D315" s="2410">
        <f>IF(未审附注之流动资产!D315="",0,未审附注之流动资产!D315)</f>
        <v>0</v>
      </c>
      <c r="E315" s="2398"/>
      <c r="F315" s="2398"/>
      <c r="G315" s="2398"/>
      <c r="H315" s="2398"/>
      <c r="I315" s="2398"/>
      <c r="J315" s="2436" t="s">
        <v>497</v>
      </c>
    </row>
    <row r="316" spans="1:10">
      <c r="A316" s="2410">
        <f>IF(未审附注之流动资产!A316="",0,未审附注之流动资产!A316)</f>
        <v>0</v>
      </c>
      <c r="B316" s="2403">
        <f>IF(未审附注之流动资产!B316="",0,未审附注之流动资产!B316)</f>
        <v>0</v>
      </c>
      <c r="C316" s="2403">
        <f>IF(未审附注之流动资产!C316="",0,未审附注之流动资产!C316)</f>
        <v>0</v>
      </c>
      <c r="D316" s="2410">
        <f>IF(未审附注之流动资产!D316="",0,未审附注之流动资产!D316)</f>
        <v>0</v>
      </c>
      <c r="E316" s="2398"/>
      <c r="F316" s="2398"/>
      <c r="G316" s="2398"/>
      <c r="H316" s="2398"/>
      <c r="I316" s="2398"/>
      <c r="J316" s="2436" t="s">
        <v>497</v>
      </c>
    </row>
    <row r="317" spans="1:10">
      <c r="A317" s="2410">
        <f>IF(未审附注之流动资产!A317="",0,未审附注之流动资产!A317)</f>
        <v>0</v>
      </c>
      <c r="B317" s="2403">
        <f>IF(未审附注之流动资产!B317="",0,未审附注之流动资产!B317)</f>
        <v>0</v>
      </c>
      <c r="C317" s="2403">
        <f>IF(未审附注之流动资产!C317="",0,未审附注之流动资产!C317)</f>
        <v>0</v>
      </c>
      <c r="D317" s="2410">
        <f>IF(未审附注之流动资产!D317="",0,未审附注之流动资产!D317)</f>
        <v>0</v>
      </c>
      <c r="E317" s="2398"/>
      <c r="F317" s="2398"/>
      <c r="G317" s="2398"/>
      <c r="H317" s="2398"/>
      <c r="I317" s="2398"/>
      <c r="J317" s="2436" t="s">
        <v>497</v>
      </c>
    </row>
    <row r="318" spans="1:10">
      <c r="A318" s="2410">
        <f>IF(未审附注之流动资产!A318="",0,未审附注之流动资产!A318)</f>
        <v>0</v>
      </c>
      <c r="B318" s="2403">
        <f>IF(未审附注之流动资产!B318="",0,未审附注之流动资产!B318)</f>
        <v>0</v>
      </c>
      <c r="C318" s="2403">
        <f>IF(未审附注之流动资产!C318="",0,未审附注之流动资产!C318)</f>
        <v>0</v>
      </c>
      <c r="D318" s="2410">
        <f>IF(未审附注之流动资产!D318="",0,未审附注之流动资产!D318)</f>
        <v>0</v>
      </c>
      <c r="E318" s="2398"/>
      <c r="F318" s="2398"/>
      <c r="G318" s="2398"/>
      <c r="H318" s="2398"/>
      <c r="I318" s="2398"/>
      <c r="J318" s="2436" t="s">
        <v>497</v>
      </c>
    </row>
    <row r="319" spans="1:10">
      <c r="A319" s="2410">
        <f>IF(未审附注之流动资产!A319="",0,未审附注之流动资产!A319)</f>
        <v>0</v>
      </c>
      <c r="B319" s="2403">
        <f>IF(未审附注之流动资产!B319="",0,未审附注之流动资产!B319)</f>
        <v>0</v>
      </c>
      <c r="C319" s="2403">
        <f>IF(未审附注之流动资产!C319="",0,未审附注之流动资产!C319)</f>
        <v>0</v>
      </c>
      <c r="D319" s="2410">
        <f>IF(未审附注之流动资产!D319="",0,未审附注之流动资产!D319)</f>
        <v>0</v>
      </c>
      <c r="E319" s="2398"/>
      <c r="F319" s="2398"/>
      <c r="G319" s="2398"/>
      <c r="H319" s="2398"/>
      <c r="I319" s="2398"/>
      <c r="J319" s="2436" t="s">
        <v>497</v>
      </c>
    </row>
    <row r="320" spans="1:10">
      <c r="A320" s="2410">
        <f>IF(未审附注之流动资产!A320="",0,未审附注之流动资产!A320)</f>
        <v>0</v>
      </c>
      <c r="B320" s="2403">
        <f>IF(未审附注之流动资产!B320="",0,未审附注之流动资产!B320)</f>
        <v>0</v>
      </c>
      <c r="C320" s="2403">
        <f>IF(未审附注之流动资产!C320="",0,未审附注之流动资产!C320)</f>
        <v>0</v>
      </c>
      <c r="D320" s="2410">
        <f>IF(未审附注之流动资产!D320="",0,未审附注之流动资产!D320)</f>
        <v>0</v>
      </c>
      <c r="E320" s="2398"/>
      <c r="F320" s="2398"/>
      <c r="G320" s="2398"/>
      <c r="H320" s="2398"/>
      <c r="I320" s="2398"/>
      <c r="J320" s="2436" t="s">
        <v>497</v>
      </c>
    </row>
    <row r="321" spans="1:10">
      <c r="A321" s="2410">
        <f>IF(未审附注之流动资产!A321="",0,未审附注之流动资产!A321)</f>
        <v>0</v>
      </c>
      <c r="B321" s="2403">
        <f>IF(未审附注之流动资产!B321="",0,未审附注之流动资产!B321)</f>
        <v>0</v>
      </c>
      <c r="C321" s="2403">
        <f>IF(未审附注之流动资产!C321="",0,未审附注之流动资产!C321)</f>
        <v>0</v>
      </c>
      <c r="D321" s="2410">
        <f>IF(未审附注之流动资产!D321="",0,未审附注之流动资产!D321)</f>
        <v>0</v>
      </c>
      <c r="E321" s="2398"/>
      <c r="F321" s="2398"/>
      <c r="G321" s="2398"/>
      <c r="H321" s="2398"/>
      <c r="I321" s="2398"/>
      <c r="J321" s="2436" t="s">
        <v>497</v>
      </c>
    </row>
    <row r="322" spans="1:10">
      <c r="A322" s="2400" t="s">
        <v>385</v>
      </c>
      <c r="B322" s="2369">
        <f>ROUND(SUM(B312:B321),2)</f>
        <v>0</v>
      </c>
      <c r="C322" s="2369">
        <f>ROUND(SUM(C312:C321),2)</f>
        <v>0</v>
      </c>
      <c r="D322" s="2369"/>
      <c r="E322" s="2398"/>
      <c r="F322" s="2398"/>
      <c r="G322" s="2398"/>
      <c r="H322" s="2398"/>
      <c r="I322" s="2398"/>
      <c r="J322" s="2436" t="s">
        <v>498</v>
      </c>
    </row>
    <row r="323" spans="1:9">
      <c r="A323" s="2421"/>
      <c r="B323" s="2398"/>
      <c r="C323" s="2398"/>
      <c r="D323" s="2398"/>
      <c r="E323" s="2398"/>
      <c r="F323" s="2398"/>
      <c r="G323" s="2398"/>
      <c r="H323" s="2398"/>
      <c r="I323" s="2398"/>
    </row>
    <row r="324" spans="1:9">
      <c r="A324" s="2414" t="s">
        <v>499</v>
      </c>
      <c r="B324" s="2398"/>
      <c r="C324" s="2398"/>
      <c r="D324" s="2398"/>
      <c r="E324" s="2398"/>
      <c r="F324" s="2398"/>
      <c r="G324" s="2398"/>
      <c r="H324" s="2398"/>
      <c r="I324" s="2398"/>
    </row>
    <row r="325" spans="1:9">
      <c r="A325" s="2400" t="s">
        <v>470</v>
      </c>
      <c r="B325" s="2400" t="s">
        <v>316</v>
      </c>
      <c r="C325" s="2400" t="s">
        <v>500</v>
      </c>
      <c r="D325" s="2400" t="s">
        <v>501</v>
      </c>
      <c r="E325" s="2400" t="s">
        <v>502</v>
      </c>
      <c r="F325" s="2398"/>
      <c r="G325" s="2398"/>
      <c r="H325" s="2398"/>
      <c r="I325" s="2398"/>
    </row>
    <row r="326" spans="1:10">
      <c r="A326" s="2410">
        <f>IF(未审附注之流动资产!A326="",0,未审附注之流动资产!A326)</f>
        <v>0</v>
      </c>
      <c r="B326" s="2403">
        <f>IF(未审附注之流动资产!B326="",0,未审附注之流动资产!B326)</f>
        <v>0</v>
      </c>
      <c r="C326" s="2410">
        <f>IF(未审附注之流动资产!C326="",0,未审附注之流动资产!C326)</f>
        <v>0</v>
      </c>
      <c r="D326" s="2476">
        <f>IF(未审附注之流动资产!D326="",0,未审附注之流动资产!D326)</f>
        <v>0</v>
      </c>
      <c r="E326" s="2435">
        <f t="shared" ref="E326:E331" si="3">IF(B326=0,0,ROUND(B326/B$244,4))</f>
        <v>0</v>
      </c>
      <c r="F326" s="2398"/>
      <c r="G326" s="2398"/>
      <c r="H326" s="2398"/>
      <c r="I326" s="2398"/>
      <c r="J326" s="2436" t="s">
        <v>503</v>
      </c>
    </row>
    <row r="327" spans="1:10">
      <c r="A327" s="2410">
        <f>IF(未审附注之流动资产!A327="",0,未审附注之流动资产!A327)</f>
        <v>0</v>
      </c>
      <c r="B327" s="2403">
        <f>IF(未审附注之流动资产!B327="",0,未审附注之流动资产!B327)</f>
        <v>0</v>
      </c>
      <c r="C327" s="2410">
        <f>IF(未审附注之流动资产!C327="",0,未审附注之流动资产!C327)</f>
        <v>0</v>
      </c>
      <c r="D327" s="2476">
        <f>IF(未审附注之流动资产!D327="",0,未审附注之流动资产!D327)</f>
        <v>0</v>
      </c>
      <c r="E327" s="2435">
        <f t="shared" si="3"/>
        <v>0</v>
      </c>
      <c r="F327" s="2398"/>
      <c r="G327" s="2398"/>
      <c r="H327" s="2398"/>
      <c r="I327" s="2398"/>
      <c r="J327" s="2436" t="s">
        <v>503</v>
      </c>
    </row>
    <row r="328" spans="1:10">
      <c r="A328" s="2410">
        <f>IF(未审附注之流动资产!A328="",0,未审附注之流动资产!A328)</f>
        <v>0</v>
      </c>
      <c r="B328" s="2403">
        <f>IF(未审附注之流动资产!B328="",0,未审附注之流动资产!B328)</f>
        <v>0</v>
      </c>
      <c r="C328" s="2410">
        <f>IF(未审附注之流动资产!C328="",0,未审附注之流动资产!C328)</f>
        <v>0</v>
      </c>
      <c r="D328" s="2476">
        <f>IF(未审附注之流动资产!D328="",0,未审附注之流动资产!D328)</f>
        <v>0</v>
      </c>
      <c r="E328" s="2435">
        <f t="shared" si="3"/>
        <v>0</v>
      </c>
      <c r="F328" s="2398"/>
      <c r="G328" s="2398"/>
      <c r="H328" s="2398"/>
      <c r="I328" s="2398"/>
      <c r="J328" s="2436" t="s">
        <v>503</v>
      </c>
    </row>
    <row r="329" spans="1:10">
      <c r="A329" s="2410">
        <f>IF(未审附注之流动资产!A329="",0,未审附注之流动资产!A329)</f>
        <v>0</v>
      </c>
      <c r="B329" s="2403">
        <f>IF(未审附注之流动资产!B329="",0,未审附注之流动资产!B329)</f>
        <v>0</v>
      </c>
      <c r="C329" s="2410">
        <f>IF(未审附注之流动资产!C329="",0,未审附注之流动资产!C329)</f>
        <v>0</v>
      </c>
      <c r="D329" s="2476">
        <f>IF(未审附注之流动资产!D329="",0,未审附注之流动资产!D329)</f>
        <v>0</v>
      </c>
      <c r="E329" s="2435">
        <f t="shared" si="3"/>
        <v>0</v>
      </c>
      <c r="F329" s="2398"/>
      <c r="G329" s="2398"/>
      <c r="H329" s="2398"/>
      <c r="I329" s="2398"/>
      <c r="J329" s="2436" t="s">
        <v>503</v>
      </c>
    </row>
    <row r="330" spans="1:10">
      <c r="A330" s="2410">
        <f>IF(未审附注之流动资产!A330="",0,未审附注之流动资产!A330)</f>
        <v>0</v>
      </c>
      <c r="B330" s="2403">
        <f>IF(未审附注之流动资产!B330="",0,未审附注之流动资产!B330)</f>
        <v>0</v>
      </c>
      <c r="C330" s="2410">
        <f>IF(未审附注之流动资产!C330="",0,未审附注之流动资产!C330)</f>
        <v>0</v>
      </c>
      <c r="D330" s="2476">
        <f>IF(未审附注之流动资产!D330="",0,未审附注之流动资产!D330)</f>
        <v>0</v>
      </c>
      <c r="E330" s="2435">
        <f t="shared" si="3"/>
        <v>0</v>
      </c>
      <c r="F330" s="2398"/>
      <c r="G330" s="2398"/>
      <c r="H330" s="2398"/>
      <c r="I330" s="2398"/>
      <c r="J330" s="2436" t="s">
        <v>503</v>
      </c>
    </row>
    <row r="331" spans="1:10">
      <c r="A331" s="2400" t="s">
        <v>385</v>
      </c>
      <c r="B331" s="2369">
        <f>ROUND(SUM(B326:B330),2)</f>
        <v>0</v>
      </c>
      <c r="C331" s="2369"/>
      <c r="D331" s="2369"/>
      <c r="E331" s="2411">
        <f t="shared" si="3"/>
        <v>0</v>
      </c>
      <c r="F331" s="2398"/>
      <c r="G331" s="2398"/>
      <c r="H331" s="2398"/>
      <c r="I331" s="2398"/>
      <c r="J331" s="2436" t="s">
        <v>504</v>
      </c>
    </row>
    <row r="332" spans="1:9">
      <c r="A332" s="2421"/>
      <c r="B332" s="2398"/>
      <c r="C332" s="2398"/>
      <c r="D332" s="2398"/>
      <c r="E332" s="2398"/>
      <c r="F332" s="2398"/>
      <c r="G332" s="2398"/>
      <c r="H332" s="2398"/>
      <c r="I332" s="2398"/>
    </row>
    <row r="333" spans="1:9">
      <c r="A333" s="2414" t="s">
        <v>505</v>
      </c>
      <c r="B333" s="2398"/>
      <c r="C333" s="2398"/>
      <c r="D333" s="2398"/>
      <c r="E333" s="2398"/>
      <c r="F333" s="2398"/>
      <c r="G333" s="2398"/>
      <c r="H333" s="2398"/>
      <c r="I333" s="2398"/>
    </row>
    <row r="334" spans="1:10">
      <c r="A334" s="2400" t="s">
        <v>506</v>
      </c>
      <c r="B334" s="2400" t="s">
        <v>316</v>
      </c>
      <c r="C334" s="2400" t="s">
        <v>317</v>
      </c>
      <c r="D334" s="2400" t="s">
        <v>500</v>
      </c>
      <c r="E334" s="2400" t="s">
        <v>502</v>
      </c>
      <c r="F334" s="2398"/>
      <c r="G334" s="2398"/>
      <c r="H334" s="2398"/>
      <c r="I334" s="2398"/>
      <c r="J334" s="2477"/>
    </row>
    <row r="335" spans="1:10">
      <c r="A335" s="2410">
        <f>IF(未审附注之流动资产!A335="",0,未审附注之流动资产!A335)</f>
        <v>0</v>
      </c>
      <c r="B335" s="2403">
        <f>IF(未审附注之流动资产!B335="",0,未审附注之流动资产!B335)</f>
        <v>0</v>
      </c>
      <c r="C335" s="2403">
        <f>IF(未审附注之流动资产!C335="",0,未审附注之流动资产!C335)</f>
        <v>0</v>
      </c>
      <c r="D335" s="2410">
        <f>IF(未审附注之流动资产!D335="",0,未审附注之流动资产!D335)</f>
        <v>0</v>
      </c>
      <c r="E335" s="2435">
        <f t="shared" ref="E335:E345" si="4">IF(B335=0,0,ROUND(B335/B$244,4))</f>
        <v>0</v>
      </c>
      <c r="F335" s="2398"/>
      <c r="G335" s="2398"/>
      <c r="H335" s="2398"/>
      <c r="I335" s="2398"/>
      <c r="J335" s="2436" t="s">
        <v>507</v>
      </c>
    </row>
    <row r="336" spans="1:10">
      <c r="A336" s="2410">
        <f>IF(未审附注之流动资产!A336="",0,未审附注之流动资产!A336)</f>
        <v>0</v>
      </c>
      <c r="B336" s="2403">
        <f>IF(未审附注之流动资产!B336="",0,未审附注之流动资产!B336)</f>
        <v>0</v>
      </c>
      <c r="C336" s="2403">
        <f>IF(未审附注之流动资产!C336="",0,未审附注之流动资产!C336)</f>
        <v>0</v>
      </c>
      <c r="D336" s="2410">
        <f>IF(未审附注之流动资产!D336="",0,未审附注之流动资产!D336)</f>
        <v>0</v>
      </c>
      <c r="E336" s="2435">
        <f t="shared" si="4"/>
        <v>0</v>
      </c>
      <c r="F336" s="2398"/>
      <c r="G336" s="2398"/>
      <c r="H336" s="2398"/>
      <c r="I336" s="2398"/>
      <c r="J336" s="2436" t="s">
        <v>507</v>
      </c>
    </row>
    <row r="337" spans="1:10">
      <c r="A337" s="2410">
        <f>IF(未审附注之流动资产!A337="",0,未审附注之流动资产!A337)</f>
        <v>0</v>
      </c>
      <c r="B337" s="2403">
        <f>IF(未审附注之流动资产!B337="",0,未审附注之流动资产!B337)</f>
        <v>0</v>
      </c>
      <c r="C337" s="2403">
        <f>IF(未审附注之流动资产!C337="",0,未审附注之流动资产!C337)</f>
        <v>0</v>
      </c>
      <c r="D337" s="2410">
        <f>IF(未审附注之流动资产!D337="",0,未审附注之流动资产!D337)</f>
        <v>0</v>
      </c>
      <c r="E337" s="2435">
        <f t="shared" si="4"/>
        <v>0</v>
      </c>
      <c r="F337" s="2398"/>
      <c r="G337" s="2398"/>
      <c r="H337" s="2398"/>
      <c r="I337" s="2398"/>
      <c r="J337" s="2436" t="s">
        <v>507</v>
      </c>
    </row>
    <row r="338" spans="1:10">
      <c r="A338" s="2410">
        <f>IF(未审附注之流动资产!A338="",0,未审附注之流动资产!A338)</f>
        <v>0</v>
      </c>
      <c r="B338" s="2403">
        <f>IF(未审附注之流动资产!B338="",0,未审附注之流动资产!B338)</f>
        <v>0</v>
      </c>
      <c r="C338" s="2403">
        <f>IF(未审附注之流动资产!C338="",0,未审附注之流动资产!C338)</f>
        <v>0</v>
      </c>
      <c r="D338" s="2410">
        <f>IF(未审附注之流动资产!D338="",0,未审附注之流动资产!D338)</f>
        <v>0</v>
      </c>
      <c r="E338" s="2435">
        <f t="shared" si="4"/>
        <v>0</v>
      </c>
      <c r="F338" s="2398"/>
      <c r="G338" s="2398"/>
      <c r="H338" s="2398"/>
      <c r="I338" s="2398"/>
      <c r="J338" s="2436" t="s">
        <v>507</v>
      </c>
    </row>
    <row r="339" spans="1:10">
      <c r="A339" s="2410">
        <f>IF(未审附注之流动资产!A339="",0,未审附注之流动资产!A339)</f>
        <v>0</v>
      </c>
      <c r="B339" s="2403">
        <f>IF(未审附注之流动资产!B339="",0,未审附注之流动资产!B339)</f>
        <v>0</v>
      </c>
      <c r="C339" s="2403">
        <f>IF(未审附注之流动资产!C339="",0,未审附注之流动资产!C339)</f>
        <v>0</v>
      </c>
      <c r="D339" s="2410">
        <f>IF(未审附注之流动资产!D339="",0,未审附注之流动资产!D339)</f>
        <v>0</v>
      </c>
      <c r="E339" s="2435">
        <f t="shared" si="4"/>
        <v>0</v>
      </c>
      <c r="F339" s="2398"/>
      <c r="G339" s="2398"/>
      <c r="H339" s="2398"/>
      <c r="I339" s="2398"/>
      <c r="J339" s="2436" t="s">
        <v>507</v>
      </c>
    </row>
    <row r="340" spans="1:10">
      <c r="A340" s="2410">
        <f>IF(未审附注之流动资产!A340="",0,未审附注之流动资产!A340)</f>
        <v>0</v>
      </c>
      <c r="B340" s="2403">
        <f>IF(未审附注之流动资产!B340="",0,未审附注之流动资产!B340)</f>
        <v>0</v>
      </c>
      <c r="C340" s="2403">
        <f>IF(未审附注之流动资产!C340="",0,未审附注之流动资产!C340)</f>
        <v>0</v>
      </c>
      <c r="D340" s="2410">
        <f>IF(未审附注之流动资产!D340="",0,未审附注之流动资产!D340)</f>
        <v>0</v>
      </c>
      <c r="E340" s="2435">
        <f t="shared" si="4"/>
        <v>0</v>
      </c>
      <c r="F340" s="2398"/>
      <c r="G340" s="2398"/>
      <c r="H340" s="2398"/>
      <c r="I340" s="2398"/>
      <c r="J340" s="2436" t="s">
        <v>507</v>
      </c>
    </row>
    <row r="341" spans="1:10">
      <c r="A341" s="2410">
        <f>IF(未审附注之流动资产!A341="",0,未审附注之流动资产!A341)</f>
        <v>0</v>
      </c>
      <c r="B341" s="2403">
        <f>IF(未审附注之流动资产!B341="",0,未审附注之流动资产!B341)</f>
        <v>0</v>
      </c>
      <c r="C341" s="2403">
        <f>IF(未审附注之流动资产!C341="",0,未审附注之流动资产!C341)</f>
        <v>0</v>
      </c>
      <c r="D341" s="2410">
        <f>IF(未审附注之流动资产!D341="",0,未审附注之流动资产!D341)</f>
        <v>0</v>
      </c>
      <c r="E341" s="2435">
        <f t="shared" si="4"/>
        <v>0</v>
      </c>
      <c r="F341" s="2398"/>
      <c r="G341" s="2398"/>
      <c r="H341" s="2398"/>
      <c r="I341" s="2398"/>
      <c r="J341" s="2436" t="s">
        <v>507</v>
      </c>
    </row>
    <row r="342" spans="1:10">
      <c r="A342" s="2410">
        <f>IF(未审附注之流动资产!A342="",0,未审附注之流动资产!A342)</f>
        <v>0</v>
      </c>
      <c r="B342" s="2403">
        <f>IF(未审附注之流动资产!B342="",0,未审附注之流动资产!B342)</f>
        <v>0</v>
      </c>
      <c r="C342" s="2403">
        <f>IF(未审附注之流动资产!C342="",0,未审附注之流动资产!C342)</f>
        <v>0</v>
      </c>
      <c r="D342" s="2410">
        <f>IF(未审附注之流动资产!D342="",0,未审附注之流动资产!D342)</f>
        <v>0</v>
      </c>
      <c r="E342" s="2435">
        <f t="shared" si="4"/>
        <v>0</v>
      </c>
      <c r="F342" s="2398"/>
      <c r="G342" s="2398"/>
      <c r="H342" s="2398"/>
      <c r="I342" s="2398"/>
      <c r="J342" s="2436" t="s">
        <v>507</v>
      </c>
    </row>
    <row r="343" spans="1:10">
      <c r="A343" s="2410">
        <f>IF(未审附注之流动资产!A343="",0,未审附注之流动资产!A343)</f>
        <v>0</v>
      </c>
      <c r="B343" s="2403">
        <f>IF(未审附注之流动资产!B343="",0,未审附注之流动资产!B343)</f>
        <v>0</v>
      </c>
      <c r="C343" s="2403">
        <f>IF(未审附注之流动资产!C343="",0,未审附注之流动资产!C343)</f>
        <v>0</v>
      </c>
      <c r="D343" s="2410">
        <f>IF(未审附注之流动资产!D343="",0,未审附注之流动资产!D343)</f>
        <v>0</v>
      </c>
      <c r="E343" s="2435">
        <f t="shared" si="4"/>
        <v>0</v>
      </c>
      <c r="F343" s="2398"/>
      <c r="G343" s="2398"/>
      <c r="H343" s="2398"/>
      <c r="I343" s="2398"/>
      <c r="J343" s="2436" t="s">
        <v>507</v>
      </c>
    </row>
    <row r="344" spans="1:10">
      <c r="A344" s="2410">
        <f>IF(未审附注之流动资产!A344="",0,未审附注之流动资产!A344)</f>
        <v>0</v>
      </c>
      <c r="B344" s="2403">
        <f>IF(未审附注之流动资产!B344="",0,未审附注之流动资产!B344)</f>
        <v>0</v>
      </c>
      <c r="C344" s="2403">
        <f>IF(未审附注之流动资产!C344="",0,未审附注之流动资产!C344)</f>
        <v>0</v>
      </c>
      <c r="D344" s="2410">
        <f>IF(未审附注之流动资产!D344="",0,未审附注之流动资产!D344)</f>
        <v>0</v>
      </c>
      <c r="E344" s="2435">
        <f t="shared" si="4"/>
        <v>0</v>
      </c>
      <c r="F344" s="2398"/>
      <c r="G344" s="2398"/>
      <c r="H344" s="2398"/>
      <c r="I344" s="2398"/>
      <c r="J344" s="2436" t="s">
        <v>507</v>
      </c>
    </row>
    <row r="345" spans="1:10">
      <c r="A345" s="2400" t="s">
        <v>385</v>
      </c>
      <c r="B345" s="2369">
        <f>ROUND(SUM(B335:B344),2)</f>
        <v>0</v>
      </c>
      <c r="C345" s="2369">
        <f>ROUND(SUM(C335:C344),2)</f>
        <v>0</v>
      </c>
      <c r="D345" s="2369"/>
      <c r="E345" s="2411">
        <f t="shared" si="4"/>
        <v>0</v>
      </c>
      <c r="F345" s="2398"/>
      <c r="G345" s="2398"/>
      <c r="H345" s="2398"/>
      <c r="I345" s="2398"/>
      <c r="J345" s="2436" t="s">
        <v>508</v>
      </c>
    </row>
    <row r="346" spans="1:9">
      <c r="A346" s="2421"/>
      <c r="B346" s="2398"/>
      <c r="C346" s="2398"/>
      <c r="D346" s="2398"/>
      <c r="E346" s="2398"/>
      <c r="F346" s="2398"/>
      <c r="G346" s="2398"/>
      <c r="H346" s="2398"/>
      <c r="I346" s="2398"/>
    </row>
    <row r="347" spans="1:9">
      <c r="A347" s="2414" t="s">
        <v>509</v>
      </c>
      <c r="B347" s="2398"/>
      <c r="C347" s="2398"/>
      <c r="D347" s="2398"/>
      <c r="E347" s="2398"/>
      <c r="F347" s="2398"/>
      <c r="G347" s="2398"/>
      <c r="H347" s="2398"/>
      <c r="I347" s="2398"/>
    </row>
    <row r="348" spans="1:9">
      <c r="A348" s="2400" t="s">
        <v>315</v>
      </c>
      <c r="B348" s="2400" t="s">
        <v>510</v>
      </c>
      <c r="C348" s="2400" t="s">
        <v>511</v>
      </c>
      <c r="D348" s="2400" t="s">
        <v>489</v>
      </c>
      <c r="E348" s="2400" t="s">
        <v>512</v>
      </c>
      <c r="F348" s="2398"/>
      <c r="G348" s="2398"/>
      <c r="H348" s="2398"/>
      <c r="I348" s="2398"/>
    </row>
    <row r="349" spans="1:10">
      <c r="A349" s="2410">
        <f>IF(未审附注之流动资产!A349="",0,未审附注之流动资产!A349)</f>
        <v>0</v>
      </c>
      <c r="B349" s="2403">
        <f>IF(未审附注之流动资产!B349="",0,未审附注之流动资产!B349)</f>
        <v>0</v>
      </c>
      <c r="C349" s="2403">
        <f>IF(未审附注之流动资产!C349="",0,未审附注之流动资产!C349)</f>
        <v>0</v>
      </c>
      <c r="D349" s="2410">
        <f>IF(未审附注之流动资产!D349="",0,未审附注之流动资产!D349)</f>
        <v>0</v>
      </c>
      <c r="E349" s="2410">
        <f>IF(未审附注之流动资产!E349="",0,未审附注之流动资产!E349)</f>
        <v>0</v>
      </c>
      <c r="F349" s="2398"/>
      <c r="G349" s="2398"/>
      <c r="H349" s="2398"/>
      <c r="I349" s="2398"/>
      <c r="J349" s="2436" t="s">
        <v>513</v>
      </c>
    </row>
    <row r="350" spans="1:10">
      <c r="A350" s="2410">
        <f>IF(未审附注之流动资产!A350="",0,未审附注之流动资产!A350)</f>
        <v>0</v>
      </c>
      <c r="B350" s="2403">
        <f>IF(未审附注之流动资产!B350="",0,未审附注之流动资产!B350)</f>
        <v>0</v>
      </c>
      <c r="C350" s="2403">
        <f>IF(未审附注之流动资产!C350="",0,未审附注之流动资产!C350)</f>
        <v>0</v>
      </c>
      <c r="D350" s="2410">
        <f>IF(未审附注之流动资产!D350="",0,未审附注之流动资产!D350)</f>
        <v>0</v>
      </c>
      <c r="E350" s="2410">
        <f>IF(未审附注之流动资产!E350="",0,未审附注之流动资产!E350)</f>
        <v>0</v>
      </c>
      <c r="F350" s="2398"/>
      <c r="G350" s="2398"/>
      <c r="H350" s="2398"/>
      <c r="I350" s="2398"/>
      <c r="J350" s="2436" t="s">
        <v>513</v>
      </c>
    </row>
    <row r="351" spans="1:10">
      <c r="A351" s="2410">
        <f>IF(未审附注之流动资产!A351="",0,未审附注之流动资产!A351)</f>
        <v>0</v>
      </c>
      <c r="B351" s="2403">
        <f>IF(未审附注之流动资产!B351="",0,未审附注之流动资产!B351)</f>
        <v>0</v>
      </c>
      <c r="C351" s="2403">
        <f>IF(未审附注之流动资产!C351="",0,未审附注之流动资产!C351)</f>
        <v>0</v>
      </c>
      <c r="D351" s="2410">
        <f>IF(未审附注之流动资产!D351="",0,未审附注之流动资产!D351)</f>
        <v>0</v>
      </c>
      <c r="E351" s="2410">
        <f>IF(未审附注之流动资产!E351="",0,未审附注之流动资产!E351)</f>
        <v>0</v>
      </c>
      <c r="F351" s="2398"/>
      <c r="G351" s="2398"/>
      <c r="H351" s="2398"/>
      <c r="I351" s="2398"/>
      <c r="J351" s="2436" t="s">
        <v>513</v>
      </c>
    </row>
    <row r="352" spans="1:10">
      <c r="A352" s="2410">
        <f>IF(未审附注之流动资产!A352="",0,未审附注之流动资产!A352)</f>
        <v>0</v>
      </c>
      <c r="B352" s="2403">
        <f>IF(未审附注之流动资产!B352="",0,未审附注之流动资产!B352)</f>
        <v>0</v>
      </c>
      <c r="C352" s="2403">
        <f>IF(未审附注之流动资产!C352="",0,未审附注之流动资产!C352)</f>
        <v>0</v>
      </c>
      <c r="D352" s="2410">
        <f>IF(未审附注之流动资产!D352="",0,未审附注之流动资产!D352)</f>
        <v>0</v>
      </c>
      <c r="E352" s="2410">
        <f>IF(未审附注之流动资产!E352="",0,未审附注之流动资产!E352)</f>
        <v>0</v>
      </c>
      <c r="F352" s="2398"/>
      <c r="G352" s="2398"/>
      <c r="H352" s="2398"/>
      <c r="I352" s="2398"/>
      <c r="J352" s="2436" t="s">
        <v>513</v>
      </c>
    </row>
    <row r="353" spans="1:10">
      <c r="A353" s="2410">
        <f>IF(未审附注之流动资产!A353="",0,未审附注之流动资产!A353)</f>
        <v>0</v>
      </c>
      <c r="B353" s="2403">
        <f>IF(未审附注之流动资产!B353="",0,未审附注之流动资产!B353)</f>
        <v>0</v>
      </c>
      <c r="C353" s="2403">
        <f>IF(未审附注之流动资产!C353="",0,未审附注之流动资产!C353)</f>
        <v>0</v>
      </c>
      <c r="D353" s="2410">
        <f>IF(未审附注之流动资产!D353="",0,未审附注之流动资产!D353)</f>
        <v>0</v>
      </c>
      <c r="E353" s="2410">
        <f>IF(未审附注之流动资产!E353="",0,未审附注之流动资产!E353)</f>
        <v>0</v>
      </c>
      <c r="F353" s="2398"/>
      <c r="G353" s="2398"/>
      <c r="H353" s="2398"/>
      <c r="I353" s="2398"/>
      <c r="J353" s="2436" t="s">
        <v>513</v>
      </c>
    </row>
    <row r="354" spans="1:10">
      <c r="A354" s="2410">
        <f>IF(未审附注之流动资产!A354="",0,未审附注之流动资产!A354)</f>
        <v>0</v>
      </c>
      <c r="B354" s="2403">
        <f>IF(未审附注之流动资产!B354="",0,未审附注之流动资产!B354)</f>
        <v>0</v>
      </c>
      <c r="C354" s="2403">
        <f>IF(未审附注之流动资产!C354="",0,未审附注之流动资产!C354)</f>
        <v>0</v>
      </c>
      <c r="D354" s="2410">
        <f>IF(未审附注之流动资产!D354="",0,未审附注之流动资产!D354)</f>
        <v>0</v>
      </c>
      <c r="E354" s="2410">
        <f>IF(未审附注之流动资产!E354="",0,未审附注之流动资产!E354)</f>
        <v>0</v>
      </c>
      <c r="F354" s="2398"/>
      <c r="G354" s="2398"/>
      <c r="H354" s="2398"/>
      <c r="I354" s="2398"/>
      <c r="J354" s="2436" t="s">
        <v>513</v>
      </c>
    </row>
    <row r="355" spans="1:10">
      <c r="A355" s="2410">
        <f>IF(未审附注之流动资产!A355="",0,未审附注之流动资产!A355)</f>
        <v>0</v>
      </c>
      <c r="B355" s="2403">
        <f>IF(未审附注之流动资产!B355="",0,未审附注之流动资产!B355)</f>
        <v>0</v>
      </c>
      <c r="C355" s="2403">
        <f>IF(未审附注之流动资产!C355="",0,未审附注之流动资产!C355)</f>
        <v>0</v>
      </c>
      <c r="D355" s="2410">
        <f>IF(未审附注之流动资产!D355="",0,未审附注之流动资产!D355)</f>
        <v>0</v>
      </c>
      <c r="E355" s="2410">
        <f>IF(未审附注之流动资产!E355="",0,未审附注之流动资产!E355)</f>
        <v>0</v>
      </c>
      <c r="F355" s="2398"/>
      <c r="G355" s="2398"/>
      <c r="H355" s="2398"/>
      <c r="I355" s="2398"/>
      <c r="J355" s="2436" t="s">
        <v>513</v>
      </c>
    </row>
    <row r="356" spans="1:10">
      <c r="A356" s="2410">
        <f>IF(未审附注之流动资产!A356="",0,未审附注之流动资产!A356)</f>
        <v>0</v>
      </c>
      <c r="B356" s="2403">
        <f>IF(未审附注之流动资产!B356="",0,未审附注之流动资产!B356)</f>
        <v>0</v>
      </c>
      <c r="C356" s="2403">
        <f>IF(未审附注之流动资产!C356="",0,未审附注之流动资产!C356)</f>
        <v>0</v>
      </c>
      <c r="D356" s="2410">
        <f>IF(未审附注之流动资产!D356="",0,未审附注之流动资产!D356)</f>
        <v>0</v>
      </c>
      <c r="E356" s="2410">
        <f>IF(未审附注之流动资产!E356="",0,未审附注之流动资产!E356)</f>
        <v>0</v>
      </c>
      <c r="F356" s="2398"/>
      <c r="G356" s="2398"/>
      <c r="H356" s="2398"/>
      <c r="I356" s="2398"/>
      <c r="J356" s="2436" t="s">
        <v>513</v>
      </c>
    </row>
    <row r="357" spans="1:10">
      <c r="A357" s="2410">
        <f>IF(未审附注之流动资产!A357="",0,未审附注之流动资产!A357)</f>
        <v>0</v>
      </c>
      <c r="B357" s="2403">
        <f>IF(未审附注之流动资产!B357="",0,未审附注之流动资产!B357)</f>
        <v>0</v>
      </c>
      <c r="C357" s="2403">
        <f>IF(未审附注之流动资产!C357="",0,未审附注之流动资产!C357)</f>
        <v>0</v>
      </c>
      <c r="D357" s="2410">
        <f>IF(未审附注之流动资产!D357="",0,未审附注之流动资产!D357)</f>
        <v>0</v>
      </c>
      <c r="E357" s="2410">
        <f>IF(未审附注之流动资产!E357="",0,未审附注之流动资产!E357)</f>
        <v>0</v>
      </c>
      <c r="F357" s="2398"/>
      <c r="G357" s="2398"/>
      <c r="H357" s="2398"/>
      <c r="I357" s="2398"/>
      <c r="J357" s="2436" t="s">
        <v>513</v>
      </c>
    </row>
    <row r="358" spans="1:10">
      <c r="A358" s="2410">
        <f>IF(未审附注之流动资产!A358="",0,未审附注之流动资产!A358)</f>
        <v>0</v>
      </c>
      <c r="B358" s="2403">
        <f>IF(未审附注之流动资产!B358="",0,未审附注之流动资产!B358)</f>
        <v>0</v>
      </c>
      <c r="C358" s="2403">
        <f>IF(未审附注之流动资产!C358="",0,未审附注之流动资产!C358)</f>
        <v>0</v>
      </c>
      <c r="D358" s="2410">
        <f>IF(未审附注之流动资产!D358="",0,未审附注之流动资产!D358)</f>
        <v>0</v>
      </c>
      <c r="E358" s="2410">
        <f>IF(未审附注之流动资产!E358="",0,未审附注之流动资产!E358)</f>
        <v>0</v>
      </c>
      <c r="F358" s="2398"/>
      <c r="G358" s="2398"/>
      <c r="H358" s="2398"/>
      <c r="I358" s="2398"/>
      <c r="J358" s="2436" t="s">
        <v>513</v>
      </c>
    </row>
    <row r="359" spans="1:10">
      <c r="A359" s="2400" t="s">
        <v>385</v>
      </c>
      <c r="B359" s="2369">
        <f>ROUND(SUM(B349:B358),2)</f>
        <v>0</v>
      </c>
      <c r="C359" s="2369">
        <f>ROUND(SUM(C349:C358),2)</f>
        <v>0</v>
      </c>
      <c r="D359" s="2369"/>
      <c r="E359" s="2369"/>
      <c r="F359" s="2398"/>
      <c r="G359" s="2398"/>
      <c r="H359" s="2398"/>
      <c r="I359" s="2398"/>
      <c r="J359" s="2436" t="s">
        <v>514</v>
      </c>
    </row>
    <row r="360" spans="1:9">
      <c r="A360" s="2421"/>
      <c r="B360" s="2398"/>
      <c r="C360" s="2398"/>
      <c r="D360" s="2398"/>
      <c r="E360" s="2398"/>
      <c r="F360" s="2398"/>
      <c r="G360" s="2398"/>
      <c r="H360" s="2398"/>
      <c r="I360" s="2398"/>
    </row>
    <row r="361" spans="1:9">
      <c r="A361" s="2414" t="s">
        <v>515</v>
      </c>
      <c r="B361" s="2398"/>
      <c r="C361" s="2398"/>
      <c r="D361" s="2398"/>
      <c r="E361" s="2398"/>
      <c r="F361" s="2398"/>
      <c r="G361" s="2398"/>
      <c r="H361" s="2398"/>
      <c r="I361" s="2398"/>
    </row>
    <row r="362" spans="1:9">
      <c r="A362" s="2400" t="s">
        <v>315</v>
      </c>
      <c r="B362" s="2400" t="s">
        <v>516</v>
      </c>
      <c r="C362" s="2400" t="s">
        <v>517</v>
      </c>
      <c r="D362" s="2398"/>
      <c r="E362" s="2398"/>
      <c r="F362" s="2398"/>
      <c r="G362" s="2398"/>
      <c r="H362" s="2398"/>
      <c r="I362" s="2398"/>
    </row>
    <row r="363" spans="1:10">
      <c r="A363" s="2410">
        <f>IF(未审附注之流动资产!A363="",0,未审附注之流动资产!A363)</f>
        <v>0</v>
      </c>
      <c r="B363" s="2403">
        <f>IF(未审附注之流动资产!B363="",0,未审附注之流动资产!B363)</f>
        <v>0</v>
      </c>
      <c r="C363" s="2410">
        <f>IF(未审附注之流动资产!C363="",0,未审附注之流动资产!C363)</f>
        <v>0</v>
      </c>
      <c r="D363" s="2398"/>
      <c r="E363" s="2398"/>
      <c r="F363" s="2398"/>
      <c r="G363" s="2398"/>
      <c r="H363" s="2398"/>
      <c r="I363" s="2398"/>
      <c r="J363" s="2436" t="s">
        <v>518</v>
      </c>
    </row>
    <row r="364" spans="1:10">
      <c r="A364" s="2410">
        <f>IF(未审附注之流动资产!A364="",0,未审附注之流动资产!A364)</f>
        <v>0</v>
      </c>
      <c r="B364" s="2403">
        <f>IF(未审附注之流动资产!B364="",0,未审附注之流动资产!B364)</f>
        <v>0</v>
      </c>
      <c r="C364" s="2410">
        <f>IF(未审附注之流动资产!C364="",0,未审附注之流动资产!C364)</f>
        <v>0</v>
      </c>
      <c r="D364" s="2398"/>
      <c r="E364" s="2398"/>
      <c r="F364" s="2398"/>
      <c r="G364" s="2398"/>
      <c r="H364" s="2398"/>
      <c r="I364" s="2398"/>
      <c r="J364" s="2436" t="s">
        <v>518</v>
      </c>
    </row>
    <row r="365" spans="1:10">
      <c r="A365" s="2410">
        <f>IF(未审附注之流动资产!A365="",0,未审附注之流动资产!A365)</f>
        <v>0</v>
      </c>
      <c r="B365" s="2403">
        <f>IF(未审附注之流动资产!B365="",0,未审附注之流动资产!B365)</f>
        <v>0</v>
      </c>
      <c r="C365" s="2410">
        <f>IF(未审附注之流动资产!C365="",0,未审附注之流动资产!C365)</f>
        <v>0</v>
      </c>
      <c r="D365" s="2398"/>
      <c r="E365" s="2398"/>
      <c r="F365" s="2398"/>
      <c r="G365" s="2398"/>
      <c r="H365" s="2398"/>
      <c r="I365" s="2398"/>
      <c r="J365" s="2436" t="s">
        <v>518</v>
      </c>
    </row>
    <row r="366" spans="1:10">
      <c r="A366" s="2410">
        <f>IF(未审附注之流动资产!A366="",0,未审附注之流动资产!A366)</f>
        <v>0</v>
      </c>
      <c r="B366" s="2403">
        <f>IF(未审附注之流动资产!B366="",0,未审附注之流动资产!B366)</f>
        <v>0</v>
      </c>
      <c r="C366" s="2410">
        <f>IF(未审附注之流动资产!C366="",0,未审附注之流动资产!C366)</f>
        <v>0</v>
      </c>
      <c r="D366" s="2398"/>
      <c r="E366" s="2398"/>
      <c r="F366" s="2398"/>
      <c r="G366" s="2398"/>
      <c r="H366" s="2398"/>
      <c r="I366" s="2398"/>
      <c r="J366" s="2436" t="s">
        <v>518</v>
      </c>
    </row>
    <row r="367" spans="1:10">
      <c r="A367" s="2410">
        <f>IF(未审附注之流动资产!A367="",0,未审附注之流动资产!A367)</f>
        <v>0</v>
      </c>
      <c r="B367" s="2403">
        <f>IF(未审附注之流动资产!B367="",0,未审附注之流动资产!B367)</f>
        <v>0</v>
      </c>
      <c r="C367" s="2410">
        <f>IF(未审附注之流动资产!C367="",0,未审附注之流动资产!C367)</f>
        <v>0</v>
      </c>
      <c r="D367" s="2398"/>
      <c r="E367" s="2398"/>
      <c r="F367" s="2398"/>
      <c r="G367" s="2398"/>
      <c r="H367" s="2398"/>
      <c r="I367" s="2398"/>
      <c r="J367" s="2436" t="s">
        <v>518</v>
      </c>
    </row>
    <row r="368" spans="1:10">
      <c r="A368" s="2410">
        <f>IF(未审附注之流动资产!A368="",0,未审附注之流动资产!A368)</f>
        <v>0</v>
      </c>
      <c r="B368" s="2403">
        <f>IF(未审附注之流动资产!B368="",0,未审附注之流动资产!B368)</f>
        <v>0</v>
      </c>
      <c r="C368" s="2410">
        <f>IF(未审附注之流动资产!C368="",0,未审附注之流动资产!C368)</f>
        <v>0</v>
      </c>
      <c r="D368" s="2398"/>
      <c r="E368" s="2398"/>
      <c r="F368" s="2398"/>
      <c r="G368" s="2398"/>
      <c r="H368" s="2398"/>
      <c r="I368" s="2398"/>
      <c r="J368" s="2436" t="s">
        <v>518</v>
      </c>
    </row>
    <row r="369" spans="1:10">
      <c r="A369" s="2410">
        <f>IF(未审附注之流动资产!A369="",0,未审附注之流动资产!A369)</f>
        <v>0</v>
      </c>
      <c r="B369" s="2403">
        <f>IF(未审附注之流动资产!B369="",0,未审附注之流动资产!B369)</f>
        <v>0</v>
      </c>
      <c r="C369" s="2410">
        <f>IF(未审附注之流动资产!C369="",0,未审附注之流动资产!C369)</f>
        <v>0</v>
      </c>
      <c r="D369" s="2398"/>
      <c r="E369" s="2398"/>
      <c r="F369" s="2398"/>
      <c r="G369" s="2398"/>
      <c r="H369" s="2398"/>
      <c r="I369" s="2398"/>
      <c r="J369" s="2436" t="s">
        <v>518</v>
      </c>
    </row>
    <row r="370" spans="1:10">
      <c r="A370" s="2410">
        <f>IF(未审附注之流动资产!A370="",0,未审附注之流动资产!A370)</f>
        <v>0</v>
      </c>
      <c r="B370" s="2403">
        <f>IF(未审附注之流动资产!B370="",0,未审附注之流动资产!B370)</f>
        <v>0</v>
      </c>
      <c r="C370" s="2410">
        <f>IF(未审附注之流动资产!C370="",0,未审附注之流动资产!C370)</f>
        <v>0</v>
      </c>
      <c r="D370" s="2398"/>
      <c r="E370" s="2398"/>
      <c r="F370" s="2398"/>
      <c r="G370" s="2398"/>
      <c r="H370" s="2398"/>
      <c r="I370" s="2398"/>
      <c r="J370" s="2436" t="s">
        <v>518</v>
      </c>
    </row>
    <row r="371" spans="1:10">
      <c r="A371" s="2410">
        <f>IF(未审附注之流动资产!A371="",0,未审附注之流动资产!A371)</f>
        <v>0</v>
      </c>
      <c r="B371" s="2403">
        <f>IF(未审附注之流动资产!B371="",0,未审附注之流动资产!B371)</f>
        <v>0</v>
      </c>
      <c r="C371" s="2410">
        <f>IF(未审附注之流动资产!C371="",0,未审附注之流动资产!C371)</f>
        <v>0</v>
      </c>
      <c r="D371" s="2398"/>
      <c r="E371" s="2398"/>
      <c r="F371" s="2398"/>
      <c r="G371" s="2398"/>
      <c r="H371" s="2398"/>
      <c r="I371" s="2398"/>
      <c r="J371" s="2436" t="s">
        <v>518</v>
      </c>
    </row>
    <row r="372" spans="1:10">
      <c r="A372" s="2410">
        <f>IF(未审附注之流动资产!A372="",0,未审附注之流动资产!A372)</f>
        <v>0</v>
      </c>
      <c r="B372" s="2403">
        <f>IF(未审附注之流动资产!B372="",0,未审附注之流动资产!B372)</f>
        <v>0</v>
      </c>
      <c r="C372" s="2410">
        <f>IF(未审附注之流动资产!C372="",0,未审附注之流动资产!C372)</f>
        <v>0</v>
      </c>
      <c r="D372" s="2398"/>
      <c r="E372" s="2398"/>
      <c r="F372" s="2398"/>
      <c r="G372" s="2398"/>
      <c r="H372" s="2398"/>
      <c r="I372" s="2398"/>
      <c r="J372" s="2436" t="s">
        <v>518</v>
      </c>
    </row>
    <row r="373" spans="1:10">
      <c r="A373" s="2400" t="s">
        <v>385</v>
      </c>
      <c r="B373" s="2369">
        <f>ROUND(SUM(B363:B372),2)</f>
        <v>0</v>
      </c>
      <c r="C373" s="2369"/>
      <c r="D373" s="2398"/>
      <c r="E373" s="2398"/>
      <c r="F373" s="2398"/>
      <c r="G373" s="2398"/>
      <c r="H373" s="2398"/>
      <c r="I373" s="2398"/>
      <c r="J373" s="2436" t="s">
        <v>519</v>
      </c>
    </row>
    <row r="374" spans="1:9">
      <c r="A374" s="2421"/>
      <c r="B374" s="2398"/>
      <c r="C374" s="2398"/>
      <c r="D374" s="2398"/>
      <c r="E374" s="2398"/>
      <c r="F374" s="2398"/>
      <c r="G374" s="2398"/>
      <c r="H374" s="2398"/>
      <c r="I374" s="2398"/>
    </row>
    <row r="375" spans="1:9">
      <c r="A375" s="2421"/>
      <c r="B375" s="2398"/>
      <c r="C375" s="2398"/>
      <c r="D375" s="2398"/>
      <c r="E375" s="2398"/>
      <c r="F375" s="2398"/>
      <c r="G375" s="2398"/>
      <c r="H375" s="2398"/>
      <c r="I375" s="2398"/>
    </row>
    <row r="376" spans="1:9">
      <c r="A376" s="2397" t="s">
        <v>520</v>
      </c>
      <c r="B376" s="2398"/>
      <c r="C376" s="2398"/>
      <c r="D376" s="2398"/>
      <c r="E376" s="2398"/>
      <c r="F376" s="2398"/>
      <c r="G376" s="2398"/>
      <c r="H376" s="2398"/>
      <c r="I376" s="2398"/>
    </row>
    <row r="377" spans="1:9">
      <c r="A377" s="2399" t="s">
        <v>521</v>
      </c>
      <c r="B377" s="2398"/>
      <c r="C377" s="2398"/>
      <c r="D377" s="2398"/>
      <c r="E377" s="2398"/>
      <c r="F377" s="2398"/>
      <c r="G377" s="2398"/>
      <c r="H377" s="2398"/>
      <c r="I377" s="2398"/>
    </row>
    <row r="378" spans="1:9">
      <c r="A378" s="2400" t="s">
        <v>443</v>
      </c>
      <c r="B378" s="2432" t="s">
        <v>316</v>
      </c>
      <c r="C378" s="2473"/>
      <c r="D378" s="2473"/>
      <c r="E378" s="2474"/>
      <c r="F378" s="2432" t="s">
        <v>317</v>
      </c>
      <c r="G378" s="2473"/>
      <c r="H378" s="2473"/>
      <c r="I378" s="2474"/>
    </row>
    <row r="379" spans="1:9">
      <c r="A379" s="2400"/>
      <c r="B379" s="2400" t="s">
        <v>444</v>
      </c>
      <c r="C379" s="2400" t="s">
        <v>445</v>
      </c>
      <c r="D379" s="2426" t="s">
        <v>446</v>
      </c>
      <c r="E379" s="2400" t="s">
        <v>447</v>
      </c>
      <c r="F379" s="2400" t="s">
        <v>444</v>
      </c>
      <c r="G379" s="2400" t="s">
        <v>445</v>
      </c>
      <c r="H379" s="2426" t="s">
        <v>446</v>
      </c>
      <c r="I379" s="2400" t="s">
        <v>447</v>
      </c>
    </row>
    <row r="380" spans="1:10">
      <c r="A380" s="2405" t="s">
        <v>448</v>
      </c>
      <c r="B380" s="2403">
        <f>IF(未审附注之流动资产!B380="",0,未审附注之流动资产!B380)</f>
        <v>0</v>
      </c>
      <c r="C380" s="2435">
        <f>IF(B380=0,0,1-C381-C382-C383-C384-C385)</f>
        <v>0</v>
      </c>
      <c r="D380" s="2403">
        <f>IF(未审附注之流动资产!D380="",0,未审附注之流动资产!D380)</f>
        <v>0</v>
      </c>
      <c r="E380" s="2435">
        <f t="shared" ref="E380:E386" si="5">IF(B380=0,0,ROUND(D380/B380,4))</f>
        <v>0</v>
      </c>
      <c r="F380" s="2403">
        <f>IF(未审附注之流动资产!F380="",0,未审附注之流动资产!F380)</f>
        <v>0</v>
      </c>
      <c r="G380" s="2435">
        <f>IF(F380=0,0,1-G381-G382-G383-G384-G385)</f>
        <v>0</v>
      </c>
      <c r="H380" s="2403">
        <f>IF(未审附注之流动资产!H380="",0,未审附注之流动资产!H380)</f>
        <v>0</v>
      </c>
      <c r="I380" s="2435">
        <f t="shared" ref="I380:I386" si="6">IF(F380=0,0,ROUND(H380/F380,4))</f>
        <v>0</v>
      </c>
      <c r="J380" s="2436" t="s">
        <v>522</v>
      </c>
    </row>
    <row r="381" spans="1:10">
      <c r="A381" s="2405" t="s">
        <v>450</v>
      </c>
      <c r="B381" s="2403">
        <f>IF(未审附注之流动资产!B381="",0,未审附注之流动资产!B381)</f>
        <v>0</v>
      </c>
      <c r="C381" s="2435">
        <f>IF(B381=0,0,IF(B380=0,ROUND(1-C382-C383-C384-C385,4),ROUND(B381/B386,4)))</f>
        <v>0</v>
      </c>
      <c r="D381" s="2403">
        <f>IF(未审附注之流动资产!D381="",0,未审附注之流动资产!D381)</f>
        <v>0</v>
      </c>
      <c r="E381" s="2435">
        <f t="shared" si="5"/>
        <v>0</v>
      </c>
      <c r="F381" s="2403">
        <f>IF(未审附注之流动资产!F381="",0,未审附注之流动资产!F381)</f>
        <v>0</v>
      </c>
      <c r="G381" s="2435">
        <f>IF(F381=0,0,IF(F380=0,ROUND(1-G382-G383-G384-G385,4),ROUND(F381/F386,4)))</f>
        <v>0</v>
      </c>
      <c r="H381" s="2403">
        <f>IF(未审附注之流动资产!H381="",0,未审附注之流动资产!H381)</f>
        <v>0</v>
      </c>
      <c r="I381" s="2435">
        <f t="shared" si="6"/>
        <v>0</v>
      </c>
      <c r="J381" s="2436" t="s">
        <v>523</v>
      </c>
    </row>
    <row r="382" spans="1:10">
      <c r="A382" s="2405" t="s">
        <v>452</v>
      </c>
      <c r="B382" s="2403">
        <f>IF(未审附注之流动资产!B382="",0,未审附注之流动资产!B382)</f>
        <v>0</v>
      </c>
      <c r="C382" s="2435">
        <f>IF(B382=0,0,IF(AND(B380=0,B381=0),ROUND(1-C383-C384-C385,4),ROUND(B382/B386,4)))</f>
        <v>0</v>
      </c>
      <c r="D382" s="2403">
        <f>IF(未审附注之流动资产!D382="",0,未审附注之流动资产!D382)</f>
        <v>0</v>
      </c>
      <c r="E382" s="2435">
        <f t="shared" si="5"/>
        <v>0</v>
      </c>
      <c r="F382" s="2403">
        <f>IF(未审附注之流动资产!F382="",0,未审附注之流动资产!F382)</f>
        <v>0</v>
      </c>
      <c r="G382" s="2435">
        <f>IF(F382=0,0,IF(AND(F380=0,F381=0),ROUND(1-G383-G384-G385,4),ROUND(F382/F386,4)))</f>
        <v>0</v>
      </c>
      <c r="H382" s="2403">
        <f>IF(未审附注之流动资产!H382="",0,未审附注之流动资产!H382)</f>
        <v>0</v>
      </c>
      <c r="I382" s="2435">
        <f t="shared" si="6"/>
        <v>0</v>
      </c>
      <c r="J382" s="2436" t="s">
        <v>524</v>
      </c>
    </row>
    <row r="383" spans="1:10">
      <c r="A383" s="2405" t="s">
        <v>454</v>
      </c>
      <c r="B383" s="2403">
        <f>IF(未审附注之流动资产!B383="",0,未审附注之流动资产!B383)</f>
        <v>0</v>
      </c>
      <c r="C383" s="2435">
        <f>IF(B383=0,0,IF(AND(B380=0,B381=0,B382=0),ROUND(1-C384-C385,4),ROUND(B383/B386,4)))</f>
        <v>0</v>
      </c>
      <c r="D383" s="2403">
        <f>IF(未审附注之流动资产!D383="",0,未审附注之流动资产!D383)</f>
        <v>0</v>
      </c>
      <c r="E383" s="2435">
        <f t="shared" si="5"/>
        <v>0</v>
      </c>
      <c r="F383" s="2403">
        <f>IF(未审附注之流动资产!F383="",0,未审附注之流动资产!F383)</f>
        <v>0</v>
      </c>
      <c r="G383" s="2435">
        <f>IF(F383=0,0,IF(AND(F380=0,F381=0,F382=0),ROUND(1-G384-G385,4),ROUND(F383/F386,4)))</f>
        <v>0</v>
      </c>
      <c r="H383" s="2403">
        <f>IF(未审附注之流动资产!H383="",0,未审附注之流动资产!H383)</f>
        <v>0</v>
      </c>
      <c r="I383" s="2435">
        <f t="shared" si="6"/>
        <v>0</v>
      </c>
      <c r="J383" s="2436" t="s">
        <v>525</v>
      </c>
    </row>
    <row r="384" spans="1:10">
      <c r="A384" s="2405" t="s">
        <v>456</v>
      </c>
      <c r="B384" s="2403">
        <f>IF(未审附注之流动资产!B384="",0,未审附注之流动资产!B384)</f>
        <v>0</v>
      </c>
      <c r="C384" s="2435">
        <f>IF(B384=0,0,IF(AND(B380=0,B381=0,B382=0,B383=0),ROUND(1-C385,4),ROUND(B384/B386,4)))</f>
        <v>0</v>
      </c>
      <c r="D384" s="2403">
        <f>IF(未审附注之流动资产!D384="",0,未审附注之流动资产!D384)</f>
        <v>0</v>
      </c>
      <c r="E384" s="2435">
        <f t="shared" si="5"/>
        <v>0</v>
      </c>
      <c r="F384" s="2403">
        <f>IF(未审附注之流动资产!F384="",0,未审附注之流动资产!F384)</f>
        <v>0</v>
      </c>
      <c r="G384" s="2435">
        <f>IF(F384=0,0,IF(AND(F380=0,F381=0,F382=0,F383=0),ROUND(1-G385,4),ROUND(F384/F386,4)))</f>
        <v>0</v>
      </c>
      <c r="H384" s="2403">
        <f>IF(未审附注之流动资产!H384="",0,未审附注之流动资产!H384)</f>
        <v>0</v>
      </c>
      <c r="I384" s="2435">
        <f t="shared" si="6"/>
        <v>0</v>
      </c>
      <c r="J384" s="2436" t="s">
        <v>526</v>
      </c>
    </row>
    <row r="385" spans="1:10">
      <c r="A385" s="2405" t="s">
        <v>458</v>
      </c>
      <c r="B385" s="2403">
        <f>IF(未审附注之流动资产!B385="",0,未审附注之流动资产!B385)</f>
        <v>0</v>
      </c>
      <c r="C385" s="2435">
        <f>IF(B385=0,0,ROUND(B385/B386,4))</f>
        <v>0</v>
      </c>
      <c r="D385" s="2403">
        <f>IF(未审附注之流动资产!D385="",0,未审附注之流动资产!D385)</f>
        <v>0</v>
      </c>
      <c r="E385" s="2435">
        <f t="shared" si="5"/>
        <v>0</v>
      </c>
      <c r="F385" s="2403">
        <f>IF(未审附注之流动资产!F385="",0,未审附注之流动资产!F385)</f>
        <v>0</v>
      </c>
      <c r="G385" s="2435">
        <f>IF(F385=0,0,ROUND(F385/F386,4))</f>
        <v>0</v>
      </c>
      <c r="H385" s="2403">
        <f>IF(未审附注之流动资产!H385="",0,未审附注之流动资产!H385)</f>
        <v>0</v>
      </c>
      <c r="I385" s="2435">
        <f t="shared" si="6"/>
        <v>0</v>
      </c>
      <c r="J385" s="2436" t="s">
        <v>527</v>
      </c>
    </row>
    <row r="386" spans="1:10">
      <c r="A386" s="2400" t="s">
        <v>385</v>
      </c>
      <c r="B386" s="2369">
        <f>ROUND(SUM(B380:B385),2)</f>
        <v>0</v>
      </c>
      <c r="C386" s="2411">
        <f>IF(B386=0,0,1)</f>
        <v>0</v>
      </c>
      <c r="D386" s="2369">
        <f>ROUND(SUM(D380:D385),2)</f>
        <v>0</v>
      </c>
      <c r="E386" s="2411">
        <f t="shared" si="5"/>
        <v>0</v>
      </c>
      <c r="F386" s="2369">
        <f>ROUND(SUM(F380:F385),2)</f>
        <v>0</v>
      </c>
      <c r="G386" s="2411">
        <f>IF(F386=0,0,1)</f>
        <v>0</v>
      </c>
      <c r="H386" s="2369">
        <f>ROUND(SUM(H380:H385),2)</f>
        <v>0</v>
      </c>
      <c r="I386" s="2411">
        <f t="shared" si="6"/>
        <v>0</v>
      </c>
      <c r="J386" s="2436" t="s">
        <v>528</v>
      </c>
    </row>
    <row r="387" spans="1:9">
      <c r="A387" s="2421"/>
      <c r="B387" s="2398"/>
      <c r="C387" s="2398"/>
      <c r="D387" s="2398"/>
      <c r="E387" s="2398"/>
      <c r="F387" s="2398"/>
      <c r="G387" s="2398"/>
      <c r="H387" s="2398"/>
      <c r="I387" s="2398"/>
    </row>
    <row r="388" spans="1:9">
      <c r="A388" s="2399" t="s">
        <v>461</v>
      </c>
      <c r="B388" s="2398"/>
      <c r="C388" s="2398"/>
      <c r="D388" s="2398"/>
      <c r="E388" s="2398"/>
      <c r="F388" s="2398"/>
      <c r="G388" s="2398"/>
      <c r="H388" s="2398"/>
      <c r="I388" s="2398"/>
    </row>
    <row r="389" spans="1:9">
      <c r="A389" s="2407" t="s">
        <v>373</v>
      </c>
      <c r="B389" s="2432" t="s">
        <v>316</v>
      </c>
      <c r="C389" s="2473"/>
      <c r="D389" s="2473"/>
      <c r="E389" s="2474"/>
      <c r="F389" s="2432" t="s">
        <v>317</v>
      </c>
      <c r="G389" s="2473"/>
      <c r="H389" s="2473"/>
      <c r="I389" s="2474"/>
    </row>
    <row r="390" spans="1:9">
      <c r="A390" s="2408"/>
      <c r="B390" s="2400" t="s">
        <v>444</v>
      </c>
      <c r="C390" s="2400" t="s">
        <v>445</v>
      </c>
      <c r="D390" s="2426" t="s">
        <v>446</v>
      </c>
      <c r="E390" s="2400" t="s">
        <v>447</v>
      </c>
      <c r="F390" s="2400" t="s">
        <v>444</v>
      </c>
      <c r="G390" s="2400" t="s">
        <v>445</v>
      </c>
      <c r="H390" s="2426" t="s">
        <v>446</v>
      </c>
      <c r="I390" s="2400" t="s">
        <v>447</v>
      </c>
    </row>
    <row r="391" spans="1:10">
      <c r="A391" s="2402" t="s">
        <v>462</v>
      </c>
      <c r="B391" s="2403">
        <f>IF(未审附注之流动资产!B391="",0,未审附注之流动资产!B391)</f>
        <v>0</v>
      </c>
      <c r="C391" s="2435">
        <f>IF(B391=0,0,1-C392-C393)</f>
        <v>0</v>
      </c>
      <c r="D391" s="2403">
        <f>IF(未审附注之流动资产!D391="",0,未审附注之流动资产!D391)</f>
        <v>0</v>
      </c>
      <c r="E391" s="2435">
        <f>IF(B391=0,0,ROUND(D391/B391,4))</f>
        <v>0</v>
      </c>
      <c r="F391" s="2403">
        <f>IF(未审附注之流动资产!F391="",0,未审附注之流动资产!F391)</f>
        <v>0</v>
      </c>
      <c r="G391" s="2435">
        <f>IF(F391=0,0,1-G392-G393)</f>
        <v>0</v>
      </c>
      <c r="H391" s="2403">
        <f>IF(未审附注之流动资产!H391="",0,未审附注之流动资产!H391)</f>
        <v>0</v>
      </c>
      <c r="I391" s="2435">
        <f>IF(F391=0,0,ROUND(H391/F391,4))</f>
        <v>0</v>
      </c>
      <c r="J391" s="2436" t="s">
        <v>529</v>
      </c>
    </row>
    <row r="392" spans="1:10">
      <c r="A392" s="2402" t="s">
        <v>464</v>
      </c>
      <c r="B392" s="2403">
        <f>IF(未审附注之流动资产!B392="",0,未审附注之流动资产!B392)</f>
        <v>0</v>
      </c>
      <c r="C392" s="2435">
        <f>IF(B392=0,0,IF(B391=0,ROUND(1-C393,4),ROUND(B392/B$394,4)))</f>
        <v>0</v>
      </c>
      <c r="D392" s="2403">
        <f>IF(未审附注之流动资产!D392="",0,未审附注之流动资产!D392)</f>
        <v>0</v>
      </c>
      <c r="E392" s="2435">
        <f>IF(B392=0,0,ROUND(D392/B392,4))</f>
        <v>0</v>
      </c>
      <c r="F392" s="2403">
        <f>IF(未审附注之流动资产!F392="",0,未审附注之流动资产!F392)</f>
        <v>0</v>
      </c>
      <c r="G392" s="2435">
        <f>IF(F392=0,0,IF(F391=0,ROUND(1-G393,4),ROUND(F392/F$394,4)))</f>
        <v>0</v>
      </c>
      <c r="H392" s="2403">
        <f>IF(未审附注之流动资产!H392="",0,未审附注之流动资产!H392)</f>
        <v>0</v>
      </c>
      <c r="I392" s="2435">
        <f>IF(F392=0,0,ROUND(H392/F392,4))</f>
        <v>0</v>
      </c>
      <c r="J392" s="2436" t="s">
        <v>530</v>
      </c>
    </row>
    <row r="393" spans="1:10">
      <c r="A393" s="2402" t="s">
        <v>466</v>
      </c>
      <c r="B393" s="2438">
        <f>ROUND(B394-B391-B392,2)</f>
        <v>0</v>
      </c>
      <c r="C393" s="2435">
        <f>IF(B393=0,0,ROUND(B393/B$394,4))</f>
        <v>0</v>
      </c>
      <c r="D393" s="2438">
        <f>ROUND(D394-D391-D392,2)</f>
        <v>0</v>
      </c>
      <c r="E393" s="2435">
        <f>IF(B393=0,0,ROUND(D393/B393,4))</f>
        <v>0</v>
      </c>
      <c r="F393" s="2438">
        <f>ROUND(F394-F391-F392,2)</f>
        <v>0</v>
      </c>
      <c r="G393" s="2435">
        <f>IF(F393=0,0,ROUND(F393/F$394,4))</f>
        <v>0</v>
      </c>
      <c r="H393" s="2438">
        <f>ROUND(H394-H391-H392,2)</f>
        <v>0</v>
      </c>
      <c r="I393" s="2435">
        <f>IF(F393=0,0,ROUND(H393/F393,4))</f>
        <v>0</v>
      </c>
      <c r="J393" s="2436" t="s">
        <v>531</v>
      </c>
    </row>
    <row r="394" spans="1:10">
      <c r="A394" s="2400" t="s">
        <v>385</v>
      </c>
      <c r="B394" s="2369">
        <f>B386</f>
        <v>0</v>
      </c>
      <c r="C394" s="2411">
        <f>IF(B394=0,0,1)</f>
        <v>0</v>
      </c>
      <c r="D394" s="2369">
        <f>D386</f>
        <v>0</v>
      </c>
      <c r="E394" s="2411">
        <f>IF(B394=0,0,ROUND(D394/B394,4))</f>
        <v>0</v>
      </c>
      <c r="F394" s="2369">
        <f>F386</f>
        <v>0</v>
      </c>
      <c r="G394" s="2411">
        <f>IF(F394=0,0,1)</f>
        <v>0</v>
      </c>
      <c r="H394" s="2369">
        <f>H386</f>
        <v>0</v>
      </c>
      <c r="I394" s="2411">
        <f>IF(F394=0,0,ROUND(H394/F394,4))</f>
        <v>0</v>
      </c>
      <c r="J394" s="2436" t="s">
        <v>532</v>
      </c>
    </row>
    <row r="395" spans="1:9">
      <c r="A395" s="2421"/>
      <c r="B395" s="2398"/>
      <c r="C395" s="2398"/>
      <c r="D395" s="2398"/>
      <c r="E395" s="2398"/>
      <c r="F395" s="2398"/>
      <c r="G395" s="2398"/>
      <c r="H395" s="2398"/>
      <c r="I395" s="2398"/>
    </row>
    <row r="396" spans="1:9">
      <c r="A396" s="2399" t="s">
        <v>469</v>
      </c>
      <c r="B396" s="2398"/>
      <c r="C396" s="2398"/>
      <c r="D396" s="2398"/>
      <c r="E396" s="2398"/>
      <c r="F396" s="2398"/>
      <c r="G396" s="2398"/>
      <c r="H396" s="2398"/>
      <c r="I396" s="2398"/>
    </row>
    <row r="397" spans="1:9">
      <c r="A397" s="2400" t="s">
        <v>470</v>
      </c>
      <c r="B397" s="2400" t="s">
        <v>316</v>
      </c>
      <c r="C397" s="2400" t="s">
        <v>471</v>
      </c>
      <c r="D397" s="2400" t="s">
        <v>447</v>
      </c>
      <c r="E397" s="2400" t="s">
        <v>472</v>
      </c>
      <c r="F397" s="2398"/>
      <c r="G397" s="2398"/>
      <c r="H397" s="2398"/>
      <c r="I397" s="2398"/>
    </row>
    <row r="398" spans="1:10">
      <c r="A398" s="2410">
        <f>IF(未审附注之流动资产!A398="",0,未审附注之流动资产!A398)</f>
        <v>0</v>
      </c>
      <c r="B398" s="2403">
        <f>IF(未审附注之流动资产!B398="",0,未审附注之流动资产!B398)</f>
        <v>0</v>
      </c>
      <c r="C398" s="2403">
        <f>IF(未审附注之流动资产!C398="",0,未审附注之流动资产!C398)</f>
        <v>0</v>
      </c>
      <c r="D398" s="2435">
        <f>IF(B398=0,0,ROUND(C398/B398,4))</f>
        <v>0</v>
      </c>
      <c r="E398" s="2410">
        <f>IF(未审附注之流动资产!E398="",0,未审附注之流动资产!E398)</f>
        <v>0</v>
      </c>
      <c r="F398" s="2398"/>
      <c r="G398" s="2398"/>
      <c r="H398" s="2398"/>
      <c r="I398" s="2398"/>
      <c r="J398" s="2436" t="s">
        <v>533</v>
      </c>
    </row>
    <row r="399" spans="1:10">
      <c r="A399" s="2410">
        <f>IF(未审附注之流动资产!A399="",0,未审附注之流动资产!A399)</f>
        <v>0</v>
      </c>
      <c r="B399" s="2403">
        <f>IF(未审附注之流动资产!B399="",0,未审附注之流动资产!B399)</f>
        <v>0</v>
      </c>
      <c r="C399" s="2403">
        <f>IF(未审附注之流动资产!C399="",0,未审附注之流动资产!C399)</f>
        <v>0</v>
      </c>
      <c r="D399" s="2435">
        <f t="shared" ref="D399:D408" si="7">IF(B399=0,0,ROUND(C399/B399,4))</f>
        <v>0</v>
      </c>
      <c r="E399" s="2410">
        <f>IF(未审附注之流动资产!E399="",0,未审附注之流动资产!E399)</f>
        <v>0</v>
      </c>
      <c r="F399" s="2398"/>
      <c r="G399" s="2398"/>
      <c r="H399" s="2398"/>
      <c r="I399" s="2398"/>
      <c r="J399" s="2436" t="s">
        <v>533</v>
      </c>
    </row>
    <row r="400" spans="1:10">
      <c r="A400" s="2410">
        <f>IF(未审附注之流动资产!A400="",0,未审附注之流动资产!A400)</f>
        <v>0</v>
      </c>
      <c r="B400" s="2403">
        <f>IF(未审附注之流动资产!B400="",0,未审附注之流动资产!B400)</f>
        <v>0</v>
      </c>
      <c r="C400" s="2403">
        <f>IF(未审附注之流动资产!C400="",0,未审附注之流动资产!C400)</f>
        <v>0</v>
      </c>
      <c r="D400" s="2435">
        <f t="shared" si="7"/>
        <v>0</v>
      </c>
      <c r="E400" s="2410">
        <f>IF(未审附注之流动资产!E400="",0,未审附注之流动资产!E400)</f>
        <v>0</v>
      </c>
      <c r="F400" s="2398"/>
      <c r="G400" s="2398"/>
      <c r="H400" s="2398"/>
      <c r="I400" s="2398"/>
      <c r="J400" s="2436" t="s">
        <v>533</v>
      </c>
    </row>
    <row r="401" spans="1:10">
      <c r="A401" s="2410">
        <f>IF(未审附注之流动资产!A401="",0,未审附注之流动资产!A401)</f>
        <v>0</v>
      </c>
      <c r="B401" s="2403">
        <f>IF(未审附注之流动资产!B401="",0,未审附注之流动资产!B401)</f>
        <v>0</v>
      </c>
      <c r="C401" s="2403">
        <f>IF(未审附注之流动资产!C401="",0,未审附注之流动资产!C401)</f>
        <v>0</v>
      </c>
      <c r="D401" s="2435">
        <f t="shared" si="7"/>
        <v>0</v>
      </c>
      <c r="E401" s="2410">
        <f>IF(未审附注之流动资产!E401="",0,未审附注之流动资产!E401)</f>
        <v>0</v>
      </c>
      <c r="F401" s="2398"/>
      <c r="G401" s="2398"/>
      <c r="H401" s="2398"/>
      <c r="I401" s="2398"/>
      <c r="J401" s="2436" t="s">
        <v>533</v>
      </c>
    </row>
    <row r="402" spans="1:10">
      <c r="A402" s="2410">
        <f>IF(未审附注之流动资产!A402="",0,未审附注之流动资产!A402)</f>
        <v>0</v>
      </c>
      <c r="B402" s="2403">
        <f>IF(未审附注之流动资产!B402="",0,未审附注之流动资产!B402)</f>
        <v>0</v>
      </c>
      <c r="C402" s="2403">
        <f>IF(未审附注之流动资产!C402="",0,未审附注之流动资产!C402)</f>
        <v>0</v>
      </c>
      <c r="D402" s="2435">
        <f t="shared" si="7"/>
        <v>0</v>
      </c>
      <c r="E402" s="2410">
        <f>IF(未审附注之流动资产!E402="",0,未审附注之流动资产!E402)</f>
        <v>0</v>
      </c>
      <c r="F402" s="2398"/>
      <c r="G402" s="2398"/>
      <c r="H402" s="2398"/>
      <c r="I402" s="2398"/>
      <c r="J402" s="2436" t="s">
        <v>533</v>
      </c>
    </row>
    <row r="403" spans="1:10">
      <c r="A403" s="2410">
        <f>IF(未审附注之流动资产!A403="",0,未审附注之流动资产!A403)</f>
        <v>0</v>
      </c>
      <c r="B403" s="2403">
        <f>IF(未审附注之流动资产!B403="",0,未审附注之流动资产!B403)</f>
        <v>0</v>
      </c>
      <c r="C403" s="2403">
        <f>IF(未审附注之流动资产!C403="",0,未审附注之流动资产!C403)</f>
        <v>0</v>
      </c>
      <c r="D403" s="2435">
        <f t="shared" si="7"/>
        <v>0</v>
      </c>
      <c r="E403" s="2410">
        <f>IF(未审附注之流动资产!E403="",0,未审附注之流动资产!E403)</f>
        <v>0</v>
      </c>
      <c r="F403" s="2398"/>
      <c r="G403" s="2398"/>
      <c r="H403" s="2398"/>
      <c r="I403" s="2398"/>
      <c r="J403" s="2436" t="s">
        <v>533</v>
      </c>
    </row>
    <row r="404" spans="1:10">
      <c r="A404" s="2410">
        <f>IF(未审附注之流动资产!A404="",0,未审附注之流动资产!A404)</f>
        <v>0</v>
      </c>
      <c r="B404" s="2403">
        <f>IF(未审附注之流动资产!B404="",0,未审附注之流动资产!B404)</f>
        <v>0</v>
      </c>
      <c r="C404" s="2403">
        <f>IF(未审附注之流动资产!C404="",0,未审附注之流动资产!C404)</f>
        <v>0</v>
      </c>
      <c r="D404" s="2435">
        <f t="shared" si="7"/>
        <v>0</v>
      </c>
      <c r="E404" s="2410">
        <f>IF(未审附注之流动资产!E404="",0,未审附注之流动资产!E404)</f>
        <v>0</v>
      </c>
      <c r="F404" s="2398"/>
      <c r="G404" s="2398"/>
      <c r="H404" s="2398"/>
      <c r="I404" s="2398"/>
      <c r="J404" s="2436" t="s">
        <v>533</v>
      </c>
    </row>
    <row r="405" spans="1:10">
      <c r="A405" s="2410">
        <f>IF(未审附注之流动资产!A405="",0,未审附注之流动资产!A405)</f>
        <v>0</v>
      </c>
      <c r="B405" s="2403">
        <f>IF(未审附注之流动资产!B405="",0,未审附注之流动资产!B405)</f>
        <v>0</v>
      </c>
      <c r="C405" s="2403">
        <f>IF(未审附注之流动资产!C405="",0,未审附注之流动资产!C405)</f>
        <v>0</v>
      </c>
      <c r="D405" s="2435">
        <f t="shared" si="7"/>
        <v>0</v>
      </c>
      <c r="E405" s="2410">
        <f>IF(未审附注之流动资产!E405="",0,未审附注之流动资产!E405)</f>
        <v>0</v>
      </c>
      <c r="F405" s="2398"/>
      <c r="G405" s="2398"/>
      <c r="H405" s="2398"/>
      <c r="I405" s="2398"/>
      <c r="J405" s="2436" t="s">
        <v>533</v>
      </c>
    </row>
    <row r="406" spans="1:10">
      <c r="A406" s="2410">
        <f>IF(未审附注之流动资产!A406="",0,未审附注之流动资产!A406)</f>
        <v>0</v>
      </c>
      <c r="B406" s="2403">
        <f>IF(未审附注之流动资产!B406="",0,未审附注之流动资产!B406)</f>
        <v>0</v>
      </c>
      <c r="C406" s="2403">
        <f>IF(未审附注之流动资产!C406="",0,未审附注之流动资产!C406)</f>
        <v>0</v>
      </c>
      <c r="D406" s="2435">
        <f t="shared" si="7"/>
        <v>0</v>
      </c>
      <c r="E406" s="2410">
        <f>IF(未审附注之流动资产!E406="",0,未审附注之流动资产!E406)</f>
        <v>0</v>
      </c>
      <c r="F406" s="2398"/>
      <c r="G406" s="2398"/>
      <c r="H406" s="2398"/>
      <c r="I406" s="2398"/>
      <c r="J406" s="2436" t="s">
        <v>533</v>
      </c>
    </row>
    <row r="407" spans="1:10">
      <c r="A407" s="2410">
        <f>IF(未审附注之流动资产!A407="",0,未审附注之流动资产!A407)</f>
        <v>0</v>
      </c>
      <c r="B407" s="2403">
        <f>IF(未审附注之流动资产!B407="",0,未审附注之流动资产!B407)</f>
        <v>0</v>
      </c>
      <c r="C407" s="2403">
        <f>IF(未审附注之流动资产!C407="",0,未审附注之流动资产!C407)</f>
        <v>0</v>
      </c>
      <c r="D407" s="2435">
        <f t="shared" si="7"/>
        <v>0</v>
      </c>
      <c r="E407" s="2410">
        <f>IF(未审附注之流动资产!E407="",0,未审附注之流动资产!E407)</f>
        <v>0</v>
      </c>
      <c r="F407" s="2398"/>
      <c r="G407" s="2398"/>
      <c r="H407" s="2398"/>
      <c r="I407" s="2398"/>
      <c r="J407" s="2436" t="s">
        <v>533</v>
      </c>
    </row>
    <row r="408" spans="1:10">
      <c r="A408" s="2400" t="s">
        <v>385</v>
      </c>
      <c r="B408" s="2369">
        <f>ROUND(SUM(B398:B407),2)</f>
        <v>0</v>
      </c>
      <c r="C408" s="2369">
        <f>ROUND(SUM(C398:C407),2)</f>
        <v>0</v>
      </c>
      <c r="D408" s="2411">
        <f t="shared" si="7"/>
        <v>0</v>
      </c>
      <c r="E408" s="2369"/>
      <c r="F408" s="2398"/>
      <c r="G408" s="2398"/>
      <c r="H408" s="2398"/>
      <c r="I408" s="2398"/>
      <c r="J408" s="2436" t="s">
        <v>534</v>
      </c>
    </row>
    <row r="409" spans="1:9">
      <c r="A409" s="2421"/>
      <c r="B409" s="2398"/>
      <c r="C409" s="2398"/>
      <c r="D409" s="2398"/>
      <c r="E409" s="2398"/>
      <c r="F409" s="2398"/>
      <c r="G409" s="2398"/>
      <c r="H409" s="2398"/>
      <c r="I409" s="2398"/>
    </row>
    <row r="410" spans="1:9">
      <c r="A410" s="2414" t="s">
        <v>475</v>
      </c>
      <c r="B410" s="2398"/>
      <c r="C410" s="2398"/>
      <c r="D410" s="2398"/>
      <c r="E410" s="2398"/>
      <c r="F410" s="2398"/>
      <c r="G410" s="2398"/>
      <c r="H410" s="2398"/>
      <c r="I410" s="2398"/>
    </row>
    <row r="411" spans="1:9">
      <c r="A411" s="2400" t="s">
        <v>315</v>
      </c>
      <c r="B411" s="2400" t="s">
        <v>316</v>
      </c>
      <c r="C411" s="2400" t="s">
        <v>476</v>
      </c>
      <c r="D411" s="2398"/>
      <c r="E411" s="2398"/>
      <c r="F411" s="2398"/>
      <c r="G411" s="2398"/>
      <c r="H411" s="2398"/>
      <c r="I411" s="2398"/>
    </row>
    <row r="412" spans="1:10">
      <c r="A412" s="2410">
        <f>IF(未审附注之流动资产!A412="",0,未审附注之流动资产!A412)</f>
        <v>0</v>
      </c>
      <c r="B412" s="2403">
        <f>IF(未审附注之流动资产!B412="",0,未审附注之流动资产!B412)</f>
        <v>0</v>
      </c>
      <c r="C412" s="2410">
        <f>IF(未审附注之流动资产!C412="",0,未审附注之流动资产!C412)</f>
        <v>0</v>
      </c>
      <c r="D412" s="2398"/>
      <c r="E412" s="2398"/>
      <c r="F412" s="2398"/>
      <c r="G412" s="2398"/>
      <c r="H412" s="2398"/>
      <c r="I412" s="2398"/>
      <c r="J412" s="2436" t="s">
        <v>535</v>
      </c>
    </row>
    <row r="413" spans="1:10">
      <c r="A413" s="2410">
        <f>IF(未审附注之流动资产!A413="",0,未审附注之流动资产!A413)</f>
        <v>0</v>
      </c>
      <c r="B413" s="2403">
        <f>IF(未审附注之流动资产!B413="",0,未审附注之流动资产!B413)</f>
        <v>0</v>
      </c>
      <c r="C413" s="2410">
        <f>IF(未审附注之流动资产!C413="",0,未审附注之流动资产!C413)</f>
        <v>0</v>
      </c>
      <c r="D413" s="2398"/>
      <c r="E413" s="2398"/>
      <c r="F413" s="2398"/>
      <c r="G413" s="2398"/>
      <c r="H413" s="2398"/>
      <c r="I413" s="2398"/>
      <c r="J413" s="2436" t="s">
        <v>535</v>
      </c>
    </row>
    <row r="414" spans="1:10">
      <c r="A414" s="2410">
        <f>IF(未审附注之流动资产!A414="",0,未审附注之流动资产!A414)</f>
        <v>0</v>
      </c>
      <c r="B414" s="2403">
        <f>IF(未审附注之流动资产!B414="",0,未审附注之流动资产!B414)</f>
        <v>0</v>
      </c>
      <c r="C414" s="2410">
        <f>IF(未审附注之流动资产!C414="",0,未审附注之流动资产!C414)</f>
        <v>0</v>
      </c>
      <c r="D414" s="2398"/>
      <c r="E414" s="2398"/>
      <c r="F414" s="2398"/>
      <c r="G414" s="2398"/>
      <c r="H414" s="2398"/>
      <c r="I414" s="2398"/>
      <c r="J414" s="2436" t="s">
        <v>535</v>
      </c>
    </row>
    <row r="415" spans="1:10">
      <c r="A415" s="2410">
        <f>IF(未审附注之流动资产!A415="",0,未审附注之流动资产!A415)</f>
        <v>0</v>
      </c>
      <c r="B415" s="2403">
        <f>IF(未审附注之流动资产!B415="",0,未审附注之流动资产!B415)</f>
        <v>0</v>
      </c>
      <c r="C415" s="2410">
        <f>IF(未审附注之流动资产!C415="",0,未审附注之流动资产!C415)</f>
        <v>0</v>
      </c>
      <c r="D415" s="2398"/>
      <c r="E415" s="2398"/>
      <c r="F415" s="2398"/>
      <c r="G415" s="2398"/>
      <c r="H415" s="2398"/>
      <c r="I415" s="2398"/>
      <c r="J415" s="2436" t="s">
        <v>535</v>
      </c>
    </row>
    <row r="416" spans="1:10">
      <c r="A416" s="2410">
        <f>IF(未审附注之流动资产!A416="",0,未审附注之流动资产!A416)</f>
        <v>0</v>
      </c>
      <c r="B416" s="2403">
        <f>IF(未审附注之流动资产!B416="",0,未审附注之流动资产!B416)</f>
        <v>0</v>
      </c>
      <c r="C416" s="2410">
        <f>IF(未审附注之流动资产!C416="",0,未审附注之流动资产!C416)</f>
        <v>0</v>
      </c>
      <c r="D416" s="2398"/>
      <c r="E416" s="2398"/>
      <c r="F416" s="2398"/>
      <c r="G416" s="2398"/>
      <c r="H416" s="2398"/>
      <c r="I416" s="2398"/>
      <c r="J416" s="2436" t="s">
        <v>535</v>
      </c>
    </row>
    <row r="417" spans="1:10">
      <c r="A417" s="2410">
        <f>IF(未审附注之流动资产!A417="",0,未审附注之流动资产!A417)</f>
        <v>0</v>
      </c>
      <c r="B417" s="2403">
        <f>IF(未审附注之流动资产!B417="",0,未审附注之流动资产!B417)</f>
        <v>0</v>
      </c>
      <c r="C417" s="2410">
        <f>IF(未审附注之流动资产!C417="",0,未审附注之流动资产!C417)</f>
        <v>0</v>
      </c>
      <c r="D417" s="2398"/>
      <c r="E417" s="2398"/>
      <c r="F417" s="2398"/>
      <c r="G417" s="2398"/>
      <c r="H417" s="2398"/>
      <c r="I417" s="2398"/>
      <c r="J417" s="2436" t="s">
        <v>535</v>
      </c>
    </row>
    <row r="418" spans="1:10">
      <c r="A418" s="2410">
        <f>IF(未审附注之流动资产!A418="",0,未审附注之流动资产!A418)</f>
        <v>0</v>
      </c>
      <c r="B418" s="2403">
        <f>IF(未审附注之流动资产!B418="",0,未审附注之流动资产!B418)</f>
        <v>0</v>
      </c>
      <c r="C418" s="2410">
        <f>IF(未审附注之流动资产!C418="",0,未审附注之流动资产!C418)</f>
        <v>0</v>
      </c>
      <c r="D418" s="2398"/>
      <c r="E418" s="2398"/>
      <c r="F418" s="2398"/>
      <c r="G418" s="2398"/>
      <c r="H418" s="2398"/>
      <c r="I418" s="2398"/>
      <c r="J418" s="2436" t="s">
        <v>535</v>
      </c>
    </row>
    <row r="419" spans="1:10">
      <c r="A419" s="2410">
        <f>IF(未审附注之流动资产!A419="",0,未审附注之流动资产!A419)</f>
        <v>0</v>
      </c>
      <c r="B419" s="2403">
        <f>IF(未审附注之流动资产!B419="",0,未审附注之流动资产!B419)</f>
        <v>0</v>
      </c>
      <c r="C419" s="2410">
        <f>IF(未审附注之流动资产!C419="",0,未审附注之流动资产!C419)</f>
        <v>0</v>
      </c>
      <c r="D419" s="2398"/>
      <c r="E419" s="2398"/>
      <c r="F419" s="2398"/>
      <c r="G419" s="2398"/>
      <c r="H419" s="2398"/>
      <c r="I419" s="2398"/>
      <c r="J419" s="2436" t="s">
        <v>535</v>
      </c>
    </row>
    <row r="420" spans="1:10">
      <c r="A420" s="2410">
        <f>IF(未审附注之流动资产!A420="",0,未审附注之流动资产!A420)</f>
        <v>0</v>
      </c>
      <c r="B420" s="2403">
        <f>IF(未审附注之流动资产!B420="",0,未审附注之流动资产!B420)</f>
        <v>0</v>
      </c>
      <c r="C420" s="2410">
        <f>IF(未审附注之流动资产!C420="",0,未审附注之流动资产!C420)</f>
        <v>0</v>
      </c>
      <c r="D420" s="2398"/>
      <c r="E420" s="2398"/>
      <c r="F420" s="2398"/>
      <c r="G420" s="2398"/>
      <c r="H420" s="2398"/>
      <c r="I420" s="2398"/>
      <c r="J420" s="2436" t="s">
        <v>535</v>
      </c>
    </row>
    <row r="421" spans="1:10">
      <c r="A421" s="2410">
        <f>IF(未审附注之流动资产!A421="",0,未审附注之流动资产!A421)</f>
        <v>0</v>
      </c>
      <c r="B421" s="2403">
        <f>IF(未审附注之流动资产!B421="",0,未审附注之流动资产!B421)</f>
        <v>0</v>
      </c>
      <c r="C421" s="2410">
        <f>IF(未审附注之流动资产!C421="",0,未审附注之流动资产!C421)</f>
        <v>0</v>
      </c>
      <c r="D421" s="2398"/>
      <c r="E421" s="2398"/>
      <c r="F421" s="2398"/>
      <c r="G421" s="2398"/>
      <c r="H421" s="2398"/>
      <c r="I421" s="2398"/>
      <c r="J421" s="2436" t="s">
        <v>535</v>
      </c>
    </row>
    <row r="422" spans="1:10">
      <c r="A422" s="2400" t="s">
        <v>385</v>
      </c>
      <c r="B422" s="2369">
        <f>ROUND(SUM(B412:B421),2)</f>
        <v>0</v>
      </c>
      <c r="C422" s="2369"/>
      <c r="D422" s="2398"/>
      <c r="E422" s="2398"/>
      <c r="F422" s="2398"/>
      <c r="G422" s="2398"/>
      <c r="H422" s="2398"/>
      <c r="I422" s="2398"/>
      <c r="J422" s="2436" t="s">
        <v>536</v>
      </c>
    </row>
    <row r="423" spans="1:9">
      <c r="A423" s="2421"/>
      <c r="B423" s="2398"/>
      <c r="C423" s="2398"/>
      <c r="D423" s="2398"/>
      <c r="E423" s="2398"/>
      <c r="F423" s="2398"/>
      <c r="G423" s="2398"/>
      <c r="H423" s="2398"/>
      <c r="I423" s="2398"/>
    </row>
    <row r="424" spans="1:9">
      <c r="A424" s="2414" t="s">
        <v>479</v>
      </c>
      <c r="B424" s="2398"/>
      <c r="C424" s="2398"/>
      <c r="D424" s="2398"/>
      <c r="E424" s="2398"/>
      <c r="F424" s="2398"/>
      <c r="G424" s="2398"/>
      <c r="H424" s="2398"/>
      <c r="I424" s="2398"/>
    </row>
    <row r="425" spans="1:9">
      <c r="A425" s="2400" t="s">
        <v>315</v>
      </c>
      <c r="B425" s="2400" t="s">
        <v>480</v>
      </c>
      <c r="C425" s="2400" t="s">
        <v>481</v>
      </c>
      <c r="D425" s="2400" t="s">
        <v>482</v>
      </c>
      <c r="E425" s="2400" t="s">
        <v>483</v>
      </c>
      <c r="F425" s="2400" t="s">
        <v>484</v>
      </c>
      <c r="G425" s="2398"/>
      <c r="H425" s="2398"/>
      <c r="I425" s="2398"/>
    </row>
    <row r="426" spans="1:10">
      <c r="A426" s="2410">
        <f>IF(未审附注之流动资产!A426="",0,未审附注之流动资产!A426)</f>
        <v>0</v>
      </c>
      <c r="B426" s="2403">
        <f>IF(未审附注之流动资产!B426="",0,未审附注之流动资产!B426)</f>
        <v>0</v>
      </c>
      <c r="C426" s="2403">
        <f>IF(未审附注之流动资产!C426="",0,未审附注之流动资产!C426)</f>
        <v>0</v>
      </c>
      <c r="D426" s="2410">
        <f>IF(未审附注之流动资产!D426="",0,未审附注之流动资产!D426)</f>
        <v>0</v>
      </c>
      <c r="E426" s="2410">
        <f>IF(未审附注之流动资产!E426="",0,未审附注之流动资产!E426)</f>
        <v>0</v>
      </c>
      <c r="F426" s="2410">
        <f>IF(未审附注之流动资产!F426="",0,未审附注之流动资产!F426)</f>
        <v>0</v>
      </c>
      <c r="G426" s="2398"/>
      <c r="H426" s="2398"/>
      <c r="I426" s="2398"/>
      <c r="J426" s="2436" t="s">
        <v>537</v>
      </c>
    </row>
    <row r="427" spans="1:10">
      <c r="A427" s="2410">
        <f>IF(未审附注之流动资产!A427="",0,未审附注之流动资产!A427)</f>
        <v>0</v>
      </c>
      <c r="B427" s="2403">
        <f>IF(未审附注之流动资产!B427="",0,未审附注之流动资产!B427)</f>
        <v>0</v>
      </c>
      <c r="C427" s="2403">
        <f>IF(未审附注之流动资产!C427="",0,未审附注之流动资产!C427)</f>
        <v>0</v>
      </c>
      <c r="D427" s="2410">
        <f>IF(未审附注之流动资产!D427="",0,未审附注之流动资产!D427)</f>
        <v>0</v>
      </c>
      <c r="E427" s="2410">
        <f>IF(未审附注之流动资产!E427="",0,未审附注之流动资产!E427)</f>
        <v>0</v>
      </c>
      <c r="F427" s="2410">
        <f>IF(未审附注之流动资产!F427="",0,未审附注之流动资产!F427)</f>
        <v>0</v>
      </c>
      <c r="G427" s="2398"/>
      <c r="H427" s="2398"/>
      <c r="I427" s="2398"/>
      <c r="J427" s="2436" t="s">
        <v>537</v>
      </c>
    </row>
    <row r="428" spans="1:10">
      <c r="A428" s="2410">
        <f>IF(未审附注之流动资产!A428="",0,未审附注之流动资产!A428)</f>
        <v>0</v>
      </c>
      <c r="B428" s="2403">
        <f>IF(未审附注之流动资产!B428="",0,未审附注之流动资产!B428)</f>
        <v>0</v>
      </c>
      <c r="C428" s="2403">
        <f>IF(未审附注之流动资产!C428="",0,未审附注之流动资产!C428)</f>
        <v>0</v>
      </c>
      <c r="D428" s="2410">
        <f>IF(未审附注之流动资产!D428="",0,未审附注之流动资产!D428)</f>
        <v>0</v>
      </c>
      <c r="E428" s="2410">
        <f>IF(未审附注之流动资产!E428="",0,未审附注之流动资产!E428)</f>
        <v>0</v>
      </c>
      <c r="F428" s="2410">
        <f>IF(未审附注之流动资产!F428="",0,未审附注之流动资产!F428)</f>
        <v>0</v>
      </c>
      <c r="G428" s="2398"/>
      <c r="H428" s="2398"/>
      <c r="I428" s="2398"/>
      <c r="J428" s="2436" t="s">
        <v>537</v>
      </c>
    </row>
    <row r="429" spans="1:10">
      <c r="A429" s="2410">
        <f>IF(未审附注之流动资产!A429="",0,未审附注之流动资产!A429)</f>
        <v>0</v>
      </c>
      <c r="B429" s="2403">
        <f>IF(未审附注之流动资产!B429="",0,未审附注之流动资产!B429)</f>
        <v>0</v>
      </c>
      <c r="C429" s="2403">
        <f>IF(未审附注之流动资产!C429="",0,未审附注之流动资产!C429)</f>
        <v>0</v>
      </c>
      <c r="D429" s="2410">
        <f>IF(未审附注之流动资产!D429="",0,未审附注之流动资产!D429)</f>
        <v>0</v>
      </c>
      <c r="E429" s="2410">
        <f>IF(未审附注之流动资产!E429="",0,未审附注之流动资产!E429)</f>
        <v>0</v>
      </c>
      <c r="F429" s="2410">
        <f>IF(未审附注之流动资产!F429="",0,未审附注之流动资产!F429)</f>
        <v>0</v>
      </c>
      <c r="G429" s="2398"/>
      <c r="H429" s="2398"/>
      <c r="I429" s="2398"/>
      <c r="J429" s="2436" t="s">
        <v>537</v>
      </c>
    </row>
    <row r="430" spans="1:10">
      <c r="A430" s="2410">
        <f>IF(未审附注之流动资产!A430="",0,未审附注之流动资产!A430)</f>
        <v>0</v>
      </c>
      <c r="B430" s="2403">
        <f>IF(未审附注之流动资产!B430="",0,未审附注之流动资产!B430)</f>
        <v>0</v>
      </c>
      <c r="C430" s="2403">
        <f>IF(未审附注之流动资产!C430="",0,未审附注之流动资产!C430)</f>
        <v>0</v>
      </c>
      <c r="D430" s="2410">
        <f>IF(未审附注之流动资产!D430="",0,未审附注之流动资产!D430)</f>
        <v>0</v>
      </c>
      <c r="E430" s="2410">
        <f>IF(未审附注之流动资产!E430="",0,未审附注之流动资产!E430)</f>
        <v>0</v>
      </c>
      <c r="F430" s="2410">
        <f>IF(未审附注之流动资产!F430="",0,未审附注之流动资产!F430)</f>
        <v>0</v>
      </c>
      <c r="G430" s="2398"/>
      <c r="H430" s="2398"/>
      <c r="I430" s="2398"/>
      <c r="J430" s="2436" t="s">
        <v>537</v>
      </c>
    </row>
    <row r="431" spans="1:10">
      <c r="A431" s="2410">
        <f>IF(未审附注之流动资产!A431="",0,未审附注之流动资产!A431)</f>
        <v>0</v>
      </c>
      <c r="B431" s="2403">
        <f>IF(未审附注之流动资产!B431="",0,未审附注之流动资产!B431)</f>
        <v>0</v>
      </c>
      <c r="C431" s="2403">
        <f>IF(未审附注之流动资产!C431="",0,未审附注之流动资产!C431)</f>
        <v>0</v>
      </c>
      <c r="D431" s="2410">
        <f>IF(未审附注之流动资产!D431="",0,未审附注之流动资产!D431)</f>
        <v>0</v>
      </c>
      <c r="E431" s="2410">
        <f>IF(未审附注之流动资产!E431="",0,未审附注之流动资产!E431)</f>
        <v>0</v>
      </c>
      <c r="F431" s="2410">
        <f>IF(未审附注之流动资产!F431="",0,未审附注之流动资产!F431)</f>
        <v>0</v>
      </c>
      <c r="G431" s="2398"/>
      <c r="H431" s="2398"/>
      <c r="I431" s="2398"/>
      <c r="J431" s="2436" t="s">
        <v>537</v>
      </c>
    </row>
    <row r="432" spans="1:10">
      <c r="A432" s="2410">
        <f>IF(未审附注之流动资产!A432="",0,未审附注之流动资产!A432)</f>
        <v>0</v>
      </c>
      <c r="B432" s="2403">
        <f>IF(未审附注之流动资产!B432="",0,未审附注之流动资产!B432)</f>
        <v>0</v>
      </c>
      <c r="C432" s="2403">
        <f>IF(未审附注之流动资产!C432="",0,未审附注之流动资产!C432)</f>
        <v>0</v>
      </c>
      <c r="D432" s="2410">
        <f>IF(未审附注之流动资产!D432="",0,未审附注之流动资产!D432)</f>
        <v>0</v>
      </c>
      <c r="E432" s="2410">
        <f>IF(未审附注之流动资产!E432="",0,未审附注之流动资产!E432)</f>
        <v>0</v>
      </c>
      <c r="F432" s="2410">
        <f>IF(未审附注之流动资产!F432="",0,未审附注之流动资产!F432)</f>
        <v>0</v>
      </c>
      <c r="G432" s="2398"/>
      <c r="H432" s="2398"/>
      <c r="I432" s="2398"/>
      <c r="J432" s="2436" t="s">
        <v>537</v>
      </c>
    </row>
    <row r="433" spans="1:10">
      <c r="A433" s="2410">
        <f>IF(未审附注之流动资产!A433="",0,未审附注之流动资产!A433)</f>
        <v>0</v>
      </c>
      <c r="B433" s="2403">
        <f>IF(未审附注之流动资产!B433="",0,未审附注之流动资产!B433)</f>
        <v>0</v>
      </c>
      <c r="C433" s="2403">
        <f>IF(未审附注之流动资产!C433="",0,未审附注之流动资产!C433)</f>
        <v>0</v>
      </c>
      <c r="D433" s="2410">
        <f>IF(未审附注之流动资产!D433="",0,未审附注之流动资产!D433)</f>
        <v>0</v>
      </c>
      <c r="E433" s="2410">
        <f>IF(未审附注之流动资产!E433="",0,未审附注之流动资产!E433)</f>
        <v>0</v>
      </c>
      <c r="F433" s="2410">
        <f>IF(未审附注之流动资产!F433="",0,未审附注之流动资产!F433)</f>
        <v>0</v>
      </c>
      <c r="G433" s="2398"/>
      <c r="H433" s="2398"/>
      <c r="I433" s="2398"/>
      <c r="J433" s="2436" t="s">
        <v>537</v>
      </c>
    </row>
    <row r="434" spans="1:10">
      <c r="A434" s="2410">
        <f>IF(未审附注之流动资产!A434="",0,未审附注之流动资产!A434)</f>
        <v>0</v>
      </c>
      <c r="B434" s="2403">
        <f>IF(未审附注之流动资产!B434="",0,未审附注之流动资产!B434)</f>
        <v>0</v>
      </c>
      <c r="C434" s="2403">
        <f>IF(未审附注之流动资产!C434="",0,未审附注之流动资产!C434)</f>
        <v>0</v>
      </c>
      <c r="D434" s="2410">
        <f>IF(未审附注之流动资产!D434="",0,未审附注之流动资产!D434)</f>
        <v>0</v>
      </c>
      <c r="E434" s="2410">
        <f>IF(未审附注之流动资产!E434="",0,未审附注之流动资产!E434)</f>
        <v>0</v>
      </c>
      <c r="F434" s="2410">
        <f>IF(未审附注之流动资产!F434="",0,未审附注之流动资产!F434)</f>
        <v>0</v>
      </c>
      <c r="G434" s="2398"/>
      <c r="H434" s="2398"/>
      <c r="I434" s="2398"/>
      <c r="J434" s="2436" t="s">
        <v>537</v>
      </c>
    </row>
    <row r="435" spans="1:10">
      <c r="A435" s="2410">
        <f>IF(未审附注之流动资产!A435="",0,未审附注之流动资产!A435)</f>
        <v>0</v>
      </c>
      <c r="B435" s="2403">
        <f>IF(未审附注之流动资产!B435="",0,未审附注之流动资产!B435)</f>
        <v>0</v>
      </c>
      <c r="C435" s="2403">
        <f>IF(未审附注之流动资产!C435="",0,未审附注之流动资产!C435)</f>
        <v>0</v>
      </c>
      <c r="D435" s="2410">
        <f>IF(未审附注之流动资产!D435="",0,未审附注之流动资产!D435)</f>
        <v>0</v>
      </c>
      <c r="E435" s="2410">
        <f>IF(未审附注之流动资产!E435="",0,未审附注之流动资产!E435)</f>
        <v>0</v>
      </c>
      <c r="F435" s="2410">
        <f>IF(未审附注之流动资产!F435="",0,未审附注之流动资产!F435)</f>
        <v>0</v>
      </c>
      <c r="G435" s="2398"/>
      <c r="H435" s="2398"/>
      <c r="I435" s="2398"/>
      <c r="J435" s="2436" t="s">
        <v>537</v>
      </c>
    </row>
    <row r="436" spans="1:10">
      <c r="A436" s="2400" t="s">
        <v>385</v>
      </c>
      <c r="B436" s="2369">
        <f>ROUND(SUM(B426:B435),2)</f>
        <v>0</v>
      </c>
      <c r="C436" s="2369">
        <f>ROUND(SUM(C426:C435),2)</f>
        <v>0</v>
      </c>
      <c r="D436" s="2411"/>
      <c r="E436" s="2369"/>
      <c r="F436" s="2369"/>
      <c r="G436" s="2398"/>
      <c r="H436" s="2398"/>
      <c r="I436" s="2398"/>
      <c r="J436" s="2436" t="s">
        <v>538</v>
      </c>
    </row>
    <row r="437" spans="1:9">
      <c r="A437" s="2421"/>
      <c r="B437" s="2398"/>
      <c r="C437" s="2398"/>
      <c r="D437" s="2398"/>
      <c r="E437" s="2398"/>
      <c r="F437" s="2398"/>
      <c r="G437" s="2398"/>
      <c r="H437" s="2398"/>
      <c r="I437" s="2398"/>
    </row>
    <row r="438" spans="1:9">
      <c r="A438" s="2414" t="s">
        <v>487</v>
      </c>
      <c r="B438" s="2398"/>
      <c r="C438" s="2398"/>
      <c r="D438" s="2398"/>
      <c r="E438" s="2398"/>
      <c r="F438" s="2398"/>
      <c r="G438" s="2398"/>
      <c r="H438" s="2398"/>
      <c r="I438" s="2398"/>
    </row>
    <row r="439" spans="1:9">
      <c r="A439" s="2400" t="s">
        <v>315</v>
      </c>
      <c r="B439" s="2400" t="s">
        <v>488</v>
      </c>
      <c r="C439" s="2400" t="s">
        <v>489</v>
      </c>
      <c r="D439" s="2400" t="s">
        <v>490</v>
      </c>
      <c r="E439" s="2400" t="s">
        <v>483</v>
      </c>
      <c r="F439" s="2400" t="s">
        <v>491</v>
      </c>
      <c r="G439" s="2398"/>
      <c r="H439" s="2398"/>
      <c r="I439" s="2398"/>
    </row>
    <row r="440" spans="1:10">
      <c r="A440" s="2410">
        <f>IF(未审附注之流动资产!A440="",0,未审附注之流动资产!A440)</f>
        <v>0</v>
      </c>
      <c r="B440" s="2403">
        <f>IF(未审附注之流动资产!B440="",0,未审附注之流动资产!B440)</f>
        <v>0</v>
      </c>
      <c r="C440" s="2410">
        <f>IF(未审附注之流动资产!C440="",0,未审附注之流动资产!C440)</f>
        <v>0</v>
      </c>
      <c r="D440" s="2410">
        <f>IF(未审附注之流动资产!D440="",0,未审附注之流动资产!D440)</f>
        <v>0</v>
      </c>
      <c r="E440" s="2410">
        <f>IF(未审附注之流动资产!E440="",0,未审附注之流动资产!E440)</f>
        <v>0</v>
      </c>
      <c r="F440" s="2410">
        <f>IF(未审附注之流动资产!F440="",0,未审附注之流动资产!F440)</f>
        <v>0</v>
      </c>
      <c r="G440" s="2398"/>
      <c r="H440" s="2398"/>
      <c r="I440" s="2398"/>
      <c r="J440" s="2436" t="s">
        <v>539</v>
      </c>
    </row>
    <row r="441" spans="1:10">
      <c r="A441" s="2410">
        <f>IF(未审附注之流动资产!A441="",0,未审附注之流动资产!A441)</f>
        <v>0</v>
      </c>
      <c r="B441" s="2403">
        <f>IF(未审附注之流动资产!B441="",0,未审附注之流动资产!B441)</f>
        <v>0</v>
      </c>
      <c r="C441" s="2410">
        <f>IF(未审附注之流动资产!C441="",0,未审附注之流动资产!C441)</f>
        <v>0</v>
      </c>
      <c r="D441" s="2410">
        <f>IF(未审附注之流动资产!D441="",0,未审附注之流动资产!D441)</f>
        <v>0</v>
      </c>
      <c r="E441" s="2410">
        <f>IF(未审附注之流动资产!E441="",0,未审附注之流动资产!E441)</f>
        <v>0</v>
      </c>
      <c r="F441" s="2410">
        <f>IF(未审附注之流动资产!F441="",0,未审附注之流动资产!F441)</f>
        <v>0</v>
      </c>
      <c r="G441" s="2398"/>
      <c r="H441" s="2398"/>
      <c r="I441" s="2398"/>
      <c r="J441" s="2436" t="s">
        <v>539</v>
      </c>
    </row>
    <row r="442" spans="1:10">
      <c r="A442" s="2410">
        <f>IF(未审附注之流动资产!A442="",0,未审附注之流动资产!A442)</f>
        <v>0</v>
      </c>
      <c r="B442" s="2403">
        <f>IF(未审附注之流动资产!B442="",0,未审附注之流动资产!B442)</f>
        <v>0</v>
      </c>
      <c r="C442" s="2410">
        <f>IF(未审附注之流动资产!C442="",0,未审附注之流动资产!C442)</f>
        <v>0</v>
      </c>
      <c r="D442" s="2410">
        <f>IF(未审附注之流动资产!D442="",0,未审附注之流动资产!D442)</f>
        <v>0</v>
      </c>
      <c r="E442" s="2410">
        <f>IF(未审附注之流动资产!E442="",0,未审附注之流动资产!E442)</f>
        <v>0</v>
      </c>
      <c r="F442" s="2410">
        <f>IF(未审附注之流动资产!F442="",0,未审附注之流动资产!F442)</f>
        <v>0</v>
      </c>
      <c r="G442" s="2398"/>
      <c r="H442" s="2398"/>
      <c r="I442" s="2398"/>
      <c r="J442" s="2436" t="s">
        <v>539</v>
      </c>
    </row>
    <row r="443" spans="1:10">
      <c r="A443" s="2410">
        <f>IF(未审附注之流动资产!A443="",0,未审附注之流动资产!A443)</f>
        <v>0</v>
      </c>
      <c r="B443" s="2403">
        <f>IF(未审附注之流动资产!B443="",0,未审附注之流动资产!B443)</f>
        <v>0</v>
      </c>
      <c r="C443" s="2410">
        <f>IF(未审附注之流动资产!C443="",0,未审附注之流动资产!C443)</f>
        <v>0</v>
      </c>
      <c r="D443" s="2410">
        <f>IF(未审附注之流动资产!D443="",0,未审附注之流动资产!D443)</f>
        <v>0</v>
      </c>
      <c r="E443" s="2410">
        <f>IF(未审附注之流动资产!E443="",0,未审附注之流动资产!E443)</f>
        <v>0</v>
      </c>
      <c r="F443" s="2410">
        <f>IF(未审附注之流动资产!F443="",0,未审附注之流动资产!F443)</f>
        <v>0</v>
      </c>
      <c r="G443" s="2398"/>
      <c r="H443" s="2398"/>
      <c r="I443" s="2398"/>
      <c r="J443" s="2436" t="s">
        <v>539</v>
      </c>
    </row>
    <row r="444" spans="1:10">
      <c r="A444" s="2410">
        <f>IF(未审附注之流动资产!A444="",0,未审附注之流动资产!A444)</f>
        <v>0</v>
      </c>
      <c r="B444" s="2403">
        <f>IF(未审附注之流动资产!B444="",0,未审附注之流动资产!B444)</f>
        <v>0</v>
      </c>
      <c r="C444" s="2410">
        <f>IF(未审附注之流动资产!C444="",0,未审附注之流动资产!C444)</f>
        <v>0</v>
      </c>
      <c r="D444" s="2410">
        <f>IF(未审附注之流动资产!D444="",0,未审附注之流动资产!D444)</f>
        <v>0</v>
      </c>
      <c r="E444" s="2410">
        <f>IF(未审附注之流动资产!E444="",0,未审附注之流动资产!E444)</f>
        <v>0</v>
      </c>
      <c r="F444" s="2410">
        <f>IF(未审附注之流动资产!F444="",0,未审附注之流动资产!F444)</f>
        <v>0</v>
      </c>
      <c r="G444" s="2398"/>
      <c r="H444" s="2398"/>
      <c r="I444" s="2398"/>
      <c r="J444" s="2436" t="s">
        <v>539</v>
      </c>
    </row>
    <row r="445" spans="1:10">
      <c r="A445" s="2410">
        <f>IF(未审附注之流动资产!A445="",0,未审附注之流动资产!A445)</f>
        <v>0</v>
      </c>
      <c r="B445" s="2403">
        <f>IF(未审附注之流动资产!B445="",0,未审附注之流动资产!B445)</f>
        <v>0</v>
      </c>
      <c r="C445" s="2410">
        <f>IF(未审附注之流动资产!C445="",0,未审附注之流动资产!C445)</f>
        <v>0</v>
      </c>
      <c r="D445" s="2410">
        <f>IF(未审附注之流动资产!D445="",0,未审附注之流动资产!D445)</f>
        <v>0</v>
      </c>
      <c r="E445" s="2410">
        <f>IF(未审附注之流动资产!E445="",0,未审附注之流动资产!E445)</f>
        <v>0</v>
      </c>
      <c r="F445" s="2410">
        <f>IF(未审附注之流动资产!F445="",0,未审附注之流动资产!F445)</f>
        <v>0</v>
      </c>
      <c r="G445" s="2398"/>
      <c r="H445" s="2398"/>
      <c r="I445" s="2398"/>
      <c r="J445" s="2436" t="s">
        <v>539</v>
      </c>
    </row>
    <row r="446" spans="1:10">
      <c r="A446" s="2410">
        <f>IF(未审附注之流动资产!A446="",0,未审附注之流动资产!A446)</f>
        <v>0</v>
      </c>
      <c r="B446" s="2403">
        <f>IF(未审附注之流动资产!B446="",0,未审附注之流动资产!B446)</f>
        <v>0</v>
      </c>
      <c r="C446" s="2410">
        <f>IF(未审附注之流动资产!C446="",0,未审附注之流动资产!C446)</f>
        <v>0</v>
      </c>
      <c r="D446" s="2410">
        <f>IF(未审附注之流动资产!D446="",0,未审附注之流动资产!D446)</f>
        <v>0</v>
      </c>
      <c r="E446" s="2410">
        <f>IF(未审附注之流动资产!E446="",0,未审附注之流动资产!E446)</f>
        <v>0</v>
      </c>
      <c r="F446" s="2410">
        <f>IF(未审附注之流动资产!F446="",0,未审附注之流动资产!F446)</f>
        <v>0</v>
      </c>
      <c r="G446" s="2398"/>
      <c r="H446" s="2398"/>
      <c r="I446" s="2398"/>
      <c r="J446" s="2436" t="s">
        <v>539</v>
      </c>
    </row>
    <row r="447" spans="1:10">
      <c r="A447" s="2410">
        <f>IF(未审附注之流动资产!A447="",0,未审附注之流动资产!A447)</f>
        <v>0</v>
      </c>
      <c r="B447" s="2403">
        <f>IF(未审附注之流动资产!B447="",0,未审附注之流动资产!B447)</f>
        <v>0</v>
      </c>
      <c r="C447" s="2410">
        <f>IF(未审附注之流动资产!C447="",0,未审附注之流动资产!C447)</f>
        <v>0</v>
      </c>
      <c r="D447" s="2410">
        <f>IF(未审附注之流动资产!D447="",0,未审附注之流动资产!D447)</f>
        <v>0</v>
      </c>
      <c r="E447" s="2410">
        <f>IF(未审附注之流动资产!E447="",0,未审附注之流动资产!E447)</f>
        <v>0</v>
      </c>
      <c r="F447" s="2410">
        <f>IF(未审附注之流动资产!F447="",0,未审附注之流动资产!F447)</f>
        <v>0</v>
      </c>
      <c r="G447" s="2398"/>
      <c r="H447" s="2398"/>
      <c r="I447" s="2398"/>
      <c r="J447" s="2436" t="s">
        <v>539</v>
      </c>
    </row>
    <row r="448" spans="1:10">
      <c r="A448" s="2410">
        <f>IF(未审附注之流动资产!A448="",0,未审附注之流动资产!A448)</f>
        <v>0</v>
      </c>
      <c r="B448" s="2403">
        <f>IF(未审附注之流动资产!B448="",0,未审附注之流动资产!B448)</f>
        <v>0</v>
      </c>
      <c r="C448" s="2410">
        <f>IF(未审附注之流动资产!C448="",0,未审附注之流动资产!C448)</f>
        <v>0</v>
      </c>
      <c r="D448" s="2410">
        <f>IF(未审附注之流动资产!D448="",0,未审附注之流动资产!D448)</f>
        <v>0</v>
      </c>
      <c r="E448" s="2410">
        <f>IF(未审附注之流动资产!E448="",0,未审附注之流动资产!E448)</f>
        <v>0</v>
      </c>
      <c r="F448" s="2410">
        <f>IF(未审附注之流动资产!F448="",0,未审附注之流动资产!F448)</f>
        <v>0</v>
      </c>
      <c r="G448" s="2398"/>
      <c r="H448" s="2398"/>
      <c r="I448" s="2398"/>
      <c r="J448" s="2436" t="s">
        <v>539</v>
      </c>
    </row>
    <row r="449" spans="1:10">
      <c r="A449" s="2410">
        <f>IF(未审附注之流动资产!A449="",0,未审附注之流动资产!A449)</f>
        <v>0</v>
      </c>
      <c r="B449" s="2403">
        <f>IF(未审附注之流动资产!B449="",0,未审附注之流动资产!B449)</f>
        <v>0</v>
      </c>
      <c r="C449" s="2410">
        <f>IF(未审附注之流动资产!C449="",0,未审附注之流动资产!C449)</f>
        <v>0</v>
      </c>
      <c r="D449" s="2410">
        <f>IF(未审附注之流动资产!D449="",0,未审附注之流动资产!D449)</f>
        <v>0</v>
      </c>
      <c r="E449" s="2410">
        <f>IF(未审附注之流动资产!E449="",0,未审附注之流动资产!E449)</f>
        <v>0</v>
      </c>
      <c r="F449" s="2410">
        <f>IF(未审附注之流动资产!F449="",0,未审附注之流动资产!F449)</f>
        <v>0</v>
      </c>
      <c r="G449" s="2398"/>
      <c r="H449" s="2398"/>
      <c r="I449" s="2398"/>
      <c r="J449" s="2436" t="s">
        <v>539</v>
      </c>
    </row>
    <row r="450" spans="1:10">
      <c r="A450" s="2400" t="s">
        <v>385</v>
      </c>
      <c r="B450" s="2369">
        <f>ROUND(SUM(B440:B449),2)</f>
        <v>0</v>
      </c>
      <c r="C450" s="2369"/>
      <c r="D450" s="2411">
        <f>IF(B450=0,0,ROUND(C450/B450,4))</f>
        <v>0</v>
      </c>
      <c r="E450" s="2369"/>
      <c r="F450" s="2369"/>
      <c r="G450" s="2398"/>
      <c r="H450" s="2398"/>
      <c r="I450" s="2398"/>
      <c r="J450" s="2436" t="s">
        <v>540</v>
      </c>
    </row>
    <row r="451" spans="1:9">
      <c r="A451" s="2421"/>
      <c r="B451" s="2398"/>
      <c r="C451" s="2398"/>
      <c r="D451" s="2398"/>
      <c r="E451" s="2398"/>
      <c r="F451" s="2398"/>
      <c r="G451" s="2398"/>
      <c r="H451" s="2398"/>
      <c r="I451" s="2398"/>
    </row>
    <row r="452" spans="1:9">
      <c r="A452" s="2414" t="s">
        <v>494</v>
      </c>
      <c r="B452" s="2398"/>
      <c r="C452" s="2398"/>
      <c r="D452" s="2398"/>
      <c r="E452" s="2398"/>
      <c r="F452" s="2398"/>
      <c r="G452" s="2398"/>
      <c r="H452" s="2398"/>
      <c r="I452" s="2398"/>
    </row>
    <row r="453" spans="1:10">
      <c r="A453" s="2400" t="s">
        <v>495</v>
      </c>
      <c r="B453" s="2400" t="s">
        <v>316</v>
      </c>
      <c r="C453" s="2400" t="s">
        <v>317</v>
      </c>
      <c r="D453" s="2400" t="s">
        <v>496</v>
      </c>
      <c r="E453" s="2398"/>
      <c r="F453" s="2398"/>
      <c r="G453" s="2398"/>
      <c r="H453" s="2398"/>
      <c r="I453" s="2398"/>
      <c r="J453" s="2475"/>
    </row>
    <row r="454" spans="1:10">
      <c r="A454" s="2410">
        <f>IF(未审附注之流动资产!A454="",0,未审附注之流动资产!A454)</f>
        <v>0</v>
      </c>
      <c r="B454" s="2403">
        <f>IF(未审附注之流动资产!B454="",0,未审附注之流动资产!B454)</f>
        <v>0</v>
      </c>
      <c r="C454" s="2403">
        <f>IF(未审附注之流动资产!C454="",0,未审附注之流动资产!C454)</f>
        <v>0</v>
      </c>
      <c r="D454" s="2410">
        <f>IF(未审附注之流动资产!D454="",0,未审附注之流动资产!D454)</f>
        <v>0</v>
      </c>
      <c r="E454" s="2398"/>
      <c r="F454" s="2398"/>
      <c r="G454" s="2398"/>
      <c r="H454" s="2398"/>
      <c r="I454" s="2398"/>
      <c r="J454" s="2436" t="s">
        <v>541</v>
      </c>
    </row>
    <row r="455" spans="1:10">
      <c r="A455" s="2410">
        <f>IF(未审附注之流动资产!A455="",0,未审附注之流动资产!A455)</f>
        <v>0</v>
      </c>
      <c r="B455" s="2403">
        <f>IF(未审附注之流动资产!B455="",0,未审附注之流动资产!B455)</f>
        <v>0</v>
      </c>
      <c r="C455" s="2403">
        <f>IF(未审附注之流动资产!C455="",0,未审附注之流动资产!C455)</f>
        <v>0</v>
      </c>
      <c r="D455" s="2410">
        <f>IF(未审附注之流动资产!D455="",0,未审附注之流动资产!D455)</f>
        <v>0</v>
      </c>
      <c r="E455" s="2398"/>
      <c r="F455" s="2398"/>
      <c r="G455" s="2398"/>
      <c r="H455" s="2398"/>
      <c r="I455" s="2398"/>
      <c r="J455" s="2436" t="s">
        <v>541</v>
      </c>
    </row>
    <row r="456" spans="1:10">
      <c r="A456" s="2410">
        <f>IF(未审附注之流动资产!A456="",0,未审附注之流动资产!A456)</f>
        <v>0</v>
      </c>
      <c r="B456" s="2403">
        <f>IF(未审附注之流动资产!B456="",0,未审附注之流动资产!B456)</f>
        <v>0</v>
      </c>
      <c r="C456" s="2403">
        <f>IF(未审附注之流动资产!C456="",0,未审附注之流动资产!C456)</f>
        <v>0</v>
      </c>
      <c r="D456" s="2410">
        <f>IF(未审附注之流动资产!D456="",0,未审附注之流动资产!D456)</f>
        <v>0</v>
      </c>
      <c r="E456" s="2398"/>
      <c r="F456" s="2398"/>
      <c r="G456" s="2398"/>
      <c r="H456" s="2398"/>
      <c r="I456" s="2398"/>
      <c r="J456" s="2436" t="s">
        <v>541</v>
      </c>
    </row>
    <row r="457" spans="1:10">
      <c r="A457" s="2410">
        <f>IF(未审附注之流动资产!A457="",0,未审附注之流动资产!A457)</f>
        <v>0</v>
      </c>
      <c r="B457" s="2403">
        <f>IF(未审附注之流动资产!B457="",0,未审附注之流动资产!B457)</f>
        <v>0</v>
      </c>
      <c r="C457" s="2403">
        <f>IF(未审附注之流动资产!C457="",0,未审附注之流动资产!C457)</f>
        <v>0</v>
      </c>
      <c r="D457" s="2410">
        <f>IF(未审附注之流动资产!D457="",0,未审附注之流动资产!D457)</f>
        <v>0</v>
      </c>
      <c r="E457" s="2398"/>
      <c r="F457" s="2398"/>
      <c r="G457" s="2398"/>
      <c r="H457" s="2398"/>
      <c r="I457" s="2398"/>
      <c r="J457" s="2436" t="s">
        <v>541</v>
      </c>
    </row>
    <row r="458" spans="1:10">
      <c r="A458" s="2410">
        <f>IF(未审附注之流动资产!A458="",0,未审附注之流动资产!A458)</f>
        <v>0</v>
      </c>
      <c r="B458" s="2403">
        <f>IF(未审附注之流动资产!B458="",0,未审附注之流动资产!B458)</f>
        <v>0</v>
      </c>
      <c r="C458" s="2403">
        <f>IF(未审附注之流动资产!C458="",0,未审附注之流动资产!C458)</f>
        <v>0</v>
      </c>
      <c r="D458" s="2410">
        <f>IF(未审附注之流动资产!D458="",0,未审附注之流动资产!D458)</f>
        <v>0</v>
      </c>
      <c r="E458" s="2398"/>
      <c r="F458" s="2398"/>
      <c r="G458" s="2398"/>
      <c r="H458" s="2398"/>
      <c r="I458" s="2398"/>
      <c r="J458" s="2436" t="s">
        <v>541</v>
      </c>
    </row>
    <row r="459" spans="1:10">
      <c r="A459" s="2410">
        <f>IF(未审附注之流动资产!A459="",0,未审附注之流动资产!A459)</f>
        <v>0</v>
      </c>
      <c r="B459" s="2403">
        <f>IF(未审附注之流动资产!B459="",0,未审附注之流动资产!B459)</f>
        <v>0</v>
      </c>
      <c r="C459" s="2403">
        <f>IF(未审附注之流动资产!C459="",0,未审附注之流动资产!C459)</f>
        <v>0</v>
      </c>
      <c r="D459" s="2410">
        <f>IF(未审附注之流动资产!D459="",0,未审附注之流动资产!D459)</f>
        <v>0</v>
      </c>
      <c r="E459" s="2398"/>
      <c r="F459" s="2398"/>
      <c r="G459" s="2398"/>
      <c r="H459" s="2398"/>
      <c r="I459" s="2398"/>
      <c r="J459" s="2436" t="s">
        <v>541</v>
      </c>
    </row>
    <row r="460" spans="1:10">
      <c r="A460" s="2410">
        <f>IF(未审附注之流动资产!A460="",0,未审附注之流动资产!A460)</f>
        <v>0</v>
      </c>
      <c r="B460" s="2403">
        <f>IF(未审附注之流动资产!B460="",0,未审附注之流动资产!B460)</f>
        <v>0</v>
      </c>
      <c r="C460" s="2403">
        <f>IF(未审附注之流动资产!C460="",0,未审附注之流动资产!C460)</f>
        <v>0</v>
      </c>
      <c r="D460" s="2410">
        <f>IF(未审附注之流动资产!D460="",0,未审附注之流动资产!D460)</f>
        <v>0</v>
      </c>
      <c r="E460" s="2398"/>
      <c r="F460" s="2398"/>
      <c r="G460" s="2398"/>
      <c r="H460" s="2398"/>
      <c r="I460" s="2398"/>
      <c r="J460" s="2436" t="s">
        <v>541</v>
      </c>
    </row>
    <row r="461" spans="1:10">
      <c r="A461" s="2410">
        <f>IF(未审附注之流动资产!A461="",0,未审附注之流动资产!A461)</f>
        <v>0</v>
      </c>
      <c r="B461" s="2403">
        <f>IF(未审附注之流动资产!B461="",0,未审附注之流动资产!B461)</f>
        <v>0</v>
      </c>
      <c r="C461" s="2403">
        <f>IF(未审附注之流动资产!C461="",0,未审附注之流动资产!C461)</f>
        <v>0</v>
      </c>
      <c r="D461" s="2410">
        <f>IF(未审附注之流动资产!D461="",0,未审附注之流动资产!D461)</f>
        <v>0</v>
      </c>
      <c r="E461" s="2398"/>
      <c r="F461" s="2398"/>
      <c r="G461" s="2398"/>
      <c r="H461" s="2398"/>
      <c r="I461" s="2398"/>
      <c r="J461" s="2436" t="s">
        <v>541</v>
      </c>
    </row>
    <row r="462" spans="1:10">
      <c r="A462" s="2410">
        <f>IF(未审附注之流动资产!A462="",0,未审附注之流动资产!A462)</f>
        <v>0</v>
      </c>
      <c r="B462" s="2403">
        <f>IF(未审附注之流动资产!B462="",0,未审附注之流动资产!B462)</f>
        <v>0</v>
      </c>
      <c r="C462" s="2403">
        <f>IF(未审附注之流动资产!C462="",0,未审附注之流动资产!C462)</f>
        <v>0</v>
      </c>
      <c r="D462" s="2410">
        <f>IF(未审附注之流动资产!D462="",0,未审附注之流动资产!D462)</f>
        <v>0</v>
      </c>
      <c r="E462" s="2398"/>
      <c r="F462" s="2398"/>
      <c r="G462" s="2398"/>
      <c r="H462" s="2398"/>
      <c r="I462" s="2398"/>
      <c r="J462" s="2436" t="s">
        <v>541</v>
      </c>
    </row>
    <row r="463" spans="1:10">
      <c r="A463" s="2410">
        <f>IF(未审附注之流动资产!A463="",0,未审附注之流动资产!A463)</f>
        <v>0</v>
      </c>
      <c r="B463" s="2403">
        <f>IF(未审附注之流动资产!B463="",0,未审附注之流动资产!B463)</f>
        <v>0</v>
      </c>
      <c r="C463" s="2403">
        <f>IF(未审附注之流动资产!C463="",0,未审附注之流动资产!C463)</f>
        <v>0</v>
      </c>
      <c r="D463" s="2410">
        <f>IF(未审附注之流动资产!D463="",0,未审附注之流动资产!D463)</f>
        <v>0</v>
      </c>
      <c r="E463" s="2398"/>
      <c r="F463" s="2398"/>
      <c r="G463" s="2398"/>
      <c r="H463" s="2398"/>
      <c r="I463" s="2398"/>
      <c r="J463" s="2436" t="s">
        <v>541</v>
      </c>
    </row>
    <row r="464" spans="1:10">
      <c r="A464" s="2400" t="s">
        <v>385</v>
      </c>
      <c r="B464" s="2369">
        <f>ROUND(SUM(B454:B463),2)</f>
        <v>0</v>
      </c>
      <c r="C464" s="2369">
        <f>ROUND(SUM(C454:C463),2)</f>
        <v>0</v>
      </c>
      <c r="D464" s="2369"/>
      <c r="E464" s="2398"/>
      <c r="F464" s="2398"/>
      <c r="G464" s="2398"/>
      <c r="H464" s="2398"/>
      <c r="I464" s="2398"/>
      <c r="J464" s="2436" t="s">
        <v>542</v>
      </c>
    </row>
    <row r="465" spans="1:9">
      <c r="A465" s="2421"/>
      <c r="B465" s="2398"/>
      <c r="C465" s="2398"/>
      <c r="D465" s="2398"/>
      <c r="E465" s="2398"/>
      <c r="F465" s="2398"/>
      <c r="G465" s="2398"/>
      <c r="H465" s="2398"/>
      <c r="I465" s="2398"/>
    </row>
    <row r="466" spans="1:9">
      <c r="A466" s="2414" t="s">
        <v>543</v>
      </c>
      <c r="B466" s="2398"/>
      <c r="C466" s="2398"/>
      <c r="D466" s="2398"/>
      <c r="E466" s="2398"/>
      <c r="F466" s="2398"/>
      <c r="G466" s="2398"/>
      <c r="H466" s="2398"/>
      <c r="I466" s="2398"/>
    </row>
    <row r="467" spans="1:9">
      <c r="A467" s="2400" t="s">
        <v>470</v>
      </c>
      <c r="B467" s="2400" t="s">
        <v>316</v>
      </c>
      <c r="C467" s="2400" t="s">
        <v>500</v>
      </c>
      <c r="D467" s="2400" t="s">
        <v>501</v>
      </c>
      <c r="E467" s="2400" t="s">
        <v>502</v>
      </c>
      <c r="F467" s="2398"/>
      <c r="G467" s="2398"/>
      <c r="H467" s="2398"/>
      <c r="I467" s="2398"/>
    </row>
    <row r="468" spans="1:10">
      <c r="A468" s="2410">
        <f>IF(未审附注之流动资产!A468="",0,未审附注之流动资产!A468)</f>
        <v>0</v>
      </c>
      <c r="B468" s="2403">
        <f>IF(未审附注之流动资产!B468="",0,未审附注之流动资产!B468)</f>
        <v>0</v>
      </c>
      <c r="C468" s="2410">
        <f>IF(未审附注之流动资产!C468="",0,未审附注之流动资产!C468)</f>
        <v>0</v>
      </c>
      <c r="D468" s="2476">
        <f>IF(未审附注之流动资产!D468="",0,未审附注之流动资产!D468)</f>
        <v>0</v>
      </c>
      <c r="E468" s="2435">
        <f t="shared" ref="E468:E473" si="8">IF(B468=0,0,ROUND(B468/B$386,4))</f>
        <v>0</v>
      </c>
      <c r="F468" s="2398"/>
      <c r="G468" s="2398"/>
      <c r="H468" s="2398"/>
      <c r="I468" s="2398"/>
      <c r="J468" s="2436" t="s">
        <v>544</v>
      </c>
    </row>
    <row r="469" spans="1:10">
      <c r="A469" s="2410">
        <f>IF(未审附注之流动资产!A469="",0,未审附注之流动资产!A469)</f>
        <v>0</v>
      </c>
      <c r="B469" s="2403">
        <f>IF(未审附注之流动资产!B469="",0,未审附注之流动资产!B469)</f>
        <v>0</v>
      </c>
      <c r="C469" s="2410">
        <f>IF(未审附注之流动资产!C469="",0,未审附注之流动资产!C469)</f>
        <v>0</v>
      </c>
      <c r="D469" s="2476">
        <f>IF(未审附注之流动资产!D469="",0,未审附注之流动资产!D469)</f>
        <v>0</v>
      </c>
      <c r="E469" s="2435">
        <f t="shared" si="8"/>
        <v>0</v>
      </c>
      <c r="F469" s="2398"/>
      <c r="G469" s="2398"/>
      <c r="H469" s="2398"/>
      <c r="I469" s="2398"/>
      <c r="J469" s="2436" t="s">
        <v>544</v>
      </c>
    </row>
    <row r="470" spans="1:10">
      <c r="A470" s="2410">
        <f>IF(未审附注之流动资产!A470="",0,未审附注之流动资产!A470)</f>
        <v>0</v>
      </c>
      <c r="B470" s="2403">
        <f>IF(未审附注之流动资产!B470="",0,未审附注之流动资产!B470)</f>
        <v>0</v>
      </c>
      <c r="C470" s="2410">
        <f>IF(未审附注之流动资产!C470="",0,未审附注之流动资产!C470)</f>
        <v>0</v>
      </c>
      <c r="D470" s="2476">
        <f>IF(未审附注之流动资产!D470="",0,未审附注之流动资产!D470)</f>
        <v>0</v>
      </c>
      <c r="E470" s="2435">
        <f t="shared" si="8"/>
        <v>0</v>
      </c>
      <c r="F470" s="2398"/>
      <c r="G470" s="2398"/>
      <c r="H470" s="2398"/>
      <c r="I470" s="2398"/>
      <c r="J470" s="2436" t="s">
        <v>544</v>
      </c>
    </row>
    <row r="471" spans="1:10">
      <c r="A471" s="2410">
        <f>IF(未审附注之流动资产!A471="",0,未审附注之流动资产!A471)</f>
        <v>0</v>
      </c>
      <c r="B471" s="2403">
        <f>IF(未审附注之流动资产!B471="",0,未审附注之流动资产!B471)</f>
        <v>0</v>
      </c>
      <c r="C471" s="2410">
        <f>IF(未审附注之流动资产!C471="",0,未审附注之流动资产!C471)</f>
        <v>0</v>
      </c>
      <c r="D471" s="2476">
        <f>IF(未审附注之流动资产!D471="",0,未审附注之流动资产!D471)</f>
        <v>0</v>
      </c>
      <c r="E471" s="2435">
        <f t="shared" si="8"/>
        <v>0</v>
      </c>
      <c r="F471" s="2398"/>
      <c r="G471" s="2398"/>
      <c r="H471" s="2398"/>
      <c r="I471" s="2398"/>
      <c r="J471" s="2436" t="s">
        <v>544</v>
      </c>
    </row>
    <row r="472" spans="1:10">
      <c r="A472" s="2410">
        <f>IF(未审附注之流动资产!A472="",0,未审附注之流动资产!A472)</f>
        <v>0</v>
      </c>
      <c r="B472" s="2403">
        <f>IF(未审附注之流动资产!B472="",0,未审附注之流动资产!B472)</f>
        <v>0</v>
      </c>
      <c r="C472" s="2410">
        <f>IF(未审附注之流动资产!C472="",0,未审附注之流动资产!C472)</f>
        <v>0</v>
      </c>
      <c r="D472" s="2476">
        <f>IF(未审附注之流动资产!D472="",0,未审附注之流动资产!D472)</f>
        <v>0</v>
      </c>
      <c r="E472" s="2435">
        <f t="shared" si="8"/>
        <v>0</v>
      </c>
      <c r="F472" s="2398"/>
      <c r="G472" s="2398"/>
      <c r="H472" s="2398"/>
      <c r="I472" s="2398"/>
      <c r="J472" s="2436" t="s">
        <v>544</v>
      </c>
    </row>
    <row r="473" spans="1:10">
      <c r="A473" s="2400" t="s">
        <v>385</v>
      </c>
      <c r="B473" s="2369">
        <f>ROUND(SUM(B468:B472),2)</f>
        <v>0</v>
      </c>
      <c r="C473" s="2369"/>
      <c r="D473" s="2369"/>
      <c r="E473" s="2411">
        <f t="shared" si="8"/>
        <v>0</v>
      </c>
      <c r="F473" s="2398"/>
      <c r="G473" s="2398"/>
      <c r="H473" s="2398"/>
      <c r="I473" s="2398"/>
      <c r="J473" s="2436" t="s">
        <v>545</v>
      </c>
    </row>
    <row r="474" spans="1:9">
      <c r="A474" s="2421"/>
      <c r="B474" s="2398"/>
      <c r="C474" s="2398"/>
      <c r="D474" s="2398"/>
      <c r="E474" s="2398"/>
      <c r="F474" s="2398"/>
      <c r="G474" s="2398"/>
      <c r="H474" s="2398"/>
      <c r="I474" s="2398"/>
    </row>
    <row r="475" spans="1:9">
      <c r="A475" s="2414" t="s">
        <v>505</v>
      </c>
      <c r="B475" s="2398"/>
      <c r="C475" s="2398"/>
      <c r="D475" s="2398"/>
      <c r="E475" s="2398"/>
      <c r="F475" s="2398"/>
      <c r="G475" s="2398"/>
      <c r="H475" s="2398"/>
      <c r="I475" s="2398"/>
    </row>
    <row r="476" spans="1:10">
      <c r="A476" s="2400" t="s">
        <v>506</v>
      </c>
      <c r="B476" s="2400" t="s">
        <v>316</v>
      </c>
      <c r="C476" s="2400" t="s">
        <v>317</v>
      </c>
      <c r="D476" s="2400" t="s">
        <v>500</v>
      </c>
      <c r="E476" s="2400" t="s">
        <v>502</v>
      </c>
      <c r="F476" s="2398"/>
      <c r="G476" s="2398"/>
      <c r="H476" s="2398"/>
      <c r="I476" s="2398"/>
      <c r="J476" s="2477"/>
    </row>
    <row r="477" spans="1:10">
      <c r="A477" s="2410">
        <f>IF(未审附注之流动资产!A477="",0,未审附注之流动资产!A477)</f>
        <v>0</v>
      </c>
      <c r="B477" s="2403">
        <f>IF(未审附注之流动资产!B477="",0,未审附注之流动资产!B477)</f>
        <v>0</v>
      </c>
      <c r="C477" s="2403">
        <f>IF(未审附注之流动资产!C477="",0,未审附注之流动资产!C477)</f>
        <v>0</v>
      </c>
      <c r="D477" s="2410">
        <f>IF(未审附注之流动资产!D477="",0,未审附注之流动资产!D477)</f>
        <v>0</v>
      </c>
      <c r="E477" s="2435">
        <f t="shared" ref="E477:E487" si="9">IF(B477=0,0,ROUND(B477/B$386,4))</f>
        <v>0</v>
      </c>
      <c r="F477" s="2398"/>
      <c r="G477" s="2398"/>
      <c r="H477" s="2398"/>
      <c r="I477" s="2398"/>
      <c r="J477" s="2436" t="s">
        <v>546</v>
      </c>
    </row>
    <row r="478" spans="1:10">
      <c r="A478" s="2410">
        <f>IF(未审附注之流动资产!A478="",0,未审附注之流动资产!A478)</f>
        <v>0</v>
      </c>
      <c r="B478" s="2403">
        <f>IF(未审附注之流动资产!B478="",0,未审附注之流动资产!B478)</f>
        <v>0</v>
      </c>
      <c r="C478" s="2403">
        <f>IF(未审附注之流动资产!C478="",0,未审附注之流动资产!C478)</f>
        <v>0</v>
      </c>
      <c r="D478" s="2410">
        <f>IF(未审附注之流动资产!D478="",0,未审附注之流动资产!D478)</f>
        <v>0</v>
      </c>
      <c r="E478" s="2435">
        <f t="shared" si="9"/>
        <v>0</v>
      </c>
      <c r="F478" s="2398"/>
      <c r="G478" s="2398"/>
      <c r="H478" s="2398"/>
      <c r="I478" s="2398"/>
      <c r="J478" s="2436" t="s">
        <v>546</v>
      </c>
    </row>
    <row r="479" spans="1:10">
      <c r="A479" s="2410">
        <f>IF(未审附注之流动资产!A479="",0,未审附注之流动资产!A479)</f>
        <v>0</v>
      </c>
      <c r="B479" s="2403">
        <f>IF(未审附注之流动资产!B479="",0,未审附注之流动资产!B479)</f>
        <v>0</v>
      </c>
      <c r="C479" s="2403">
        <f>IF(未审附注之流动资产!C479="",0,未审附注之流动资产!C479)</f>
        <v>0</v>
      </c>
      <c r="D479" s="2410">
        <f>IF(未审附注之流动资产!D479="",0,未审附注之流动资产!D479)</f>
        <v>0</v>
      </c>
      <c r="E479" s="2435">
        <f t="shared" si="9"/>
        <v>0</v>
      </c>
      <c r="F479" s="2398"/>
      <c r="G479" s="2398"/>
      <c r="H479" s="2398"/>
      <c r="I479" s="2398"/>
      <c r="J479" s="2436" t="s">
        <v>546</v>
      </c>
    </row>
    <row r="480" spans="1:10">
      <c r="A480" s="2410">
        <f>IF(未审附注之流动资产!A480="",0,未审附注之流动资产!A480)</f>
        <v>0</v>
      </c>
      <c r="B480" s="2403">
        <f>IF(未审附注之流动资产!B480="",0,未审附注之流动资产!B480)</f>
        <v>0</v>
      </c>
      <c r="C480" s="2403">
        <f>IF(未审附注之流动资产!C480="",0,未审附注之流动资产!C480)</f>
        <v>0</v>
      </c>
      <c r="D480" s="2410">
        <f>IF(未审附注之流动资产!D480="",0,未审附注之流动资产!D480)</f>
        <v>0</v>
      </c>
      <c r="E480" s="2435">
        <f t="shared" si="9"/>
        <v>0</v>
      </c>
      <c r="F480" s="2398"/>
      <c r="G480" s="2398"/>
      <c r="H480" s="2398"/>
      <c r="I480" s="2398"/>
      <c r="J480" s="2436" t="s">
        <v>546</v>
      </c>
    </row>
    <row r="481" spans="1:10">
      <c r="A481" s="2410">
        <f>IF(未审附注之流动资产!A481="",0,未审附注之流动资产!A481)</f>
        <v>0</v>
      </c>
      <c r="B481" s="2403">
        <f>IF(未审附注之流动资产!B481="",0,未审附注之流动资产!B481)</f>
        <v>0</v>
      </c>
      <c r="C481" s="2403">
        <f>IF(未审附注之流动资产!C481="",0,未审附注之流动资产!C481)</f>
        <v>0</v>
      </c>
      <c r="D481" s="2410">
        <f>IF(未审附注之流动资产!D481="",0,未审附注之流动资产!D481)</f>
        <v>0</v>
      </c>
      <c r="E481" s="2435">
        <f t="shared" si="9"/>
        <v>0</v>
      </c>
      <c r="F481" s="2398"/>
      <c r="G481" s="2398"/>
      <c r="H481" s="2398"/>
      <c r="I481" s="2398"/>
      <c r="J481" s="2436" t="s">
        <v>546</v>
      </c>
    </row>
    <row r="482" spans="1:10">
      <c r="A482" s="2410">
        <f>IF(未审附注之流动资产!A482="",0,未审附注之流动资产!A482)</f>
        <v>0</v>
      </c>
      <c r="B482" s="2403">
        <f>IF(未审附注之流动资产!B482="",0,未审附注之流动资产!B482)</f>
        <v>0</v>
      </c>
      <c r="C482" s="2403">
        <f>IF(未审附注之流动资产!C482="",0,未审附注之流动资产!C482)</f>
        <v>0</v>
      </c>
      <c r="D482" s="2410">
        <f>IF(未审附注之流动资产!D482="",0,未审附注之流动资产!D482)</f>
        <v>0</v>
      </c>
      <c r="E482" s="2435">
        <f t="shared" si="9"/>
        <v>0</v>
      </c>
      <c r="F482" s="2398"/>
      <c r="G482" s="2398"/>
      <c r="H482" s="2398"/>
      <c r="I482" s="2398"/>
      <c r="J482" s="2436" t="s">
        <v>546</v>
      </c>
    </row>
    <row r="483" spans="1:10">
      <c r="A483" s="2410">
        <f>IF(未审附注之流动资产!A483="",0,未审附注之流动资产!A483)</f>
        <v>0</v>
      </c>
      <c r="B483" s="2403">
        <f>IF(未审附注之流动资产!B483="",0,未审附注之流动资产!B483)</f>
        <v>0</v>
      </c>
      <c r="C483" s="2403">
        <f>IF(未审附注之流动资产!C483="",0,未审附注之流动资产!C483)</f>
        <v>0</v>
      </c>
      <c r="D483" s="2410">
        <f>IF(未审附注之流动资产!D483="",0,未审附注之流动资产!D483)</f>
        <v>0</v>
      </c>
      <c r="E483" s="2435">
        <f t="shared" si="9"/>
        <v>0</v>
      </c>
      <c r="F483" s="2398"/>
      <c r="G483" s="2398"/>
      <c r="H483" s="2398"/>
      <c r="I483" s="2398"/>
      <c r="J483" s="2436" t="s">
        <v>546</v>
      </c>
    </row>
    <row r="484" spans="1:10">
      <c r="A484" s="2410">
        <f>IF(未审附注之流动资产!A484="",0,未审附注之流动资产!A484)</f>
        <v>0</v>
      </c>
      <c r="B484" s="2403">
        <f>IF(未审附注之流动资产!B484="",0,未审附注之流动资产!B484)</f>
        <v>0</v>
      </c>
      <c r="C484" s="2403">
        <f>IF(未审附注之流动资产!C484="",0,未审附注之流动资产!C484)</f>
        <v>0</v>
      </c>
      <c r="D484" s="2410">
        <f>IF(未审附注之流动资产!D484="",0,未审附注之流动资产!D484)</f>
        <v>0</v>
      </c>
      <c r="E484" s="2435">
        <f t="shared" si="9"/>
        <v>0</v>
      </c>
      <c r="F484" s="2398"/>
      <c r="G484" s="2398"/>
      <c r="H484" s="2398"/>
      <c r="I484" s="2398"/>
      <c r="J484" s="2436" t="s">
        <v>546</v>
      </c>
    </row>
    <row r="485" spans="1:10">
      <c r="A485" s="2410">
        <f>IF(未审附注之流动资产!A485="",0,未审附注之流动资产!A485)</f>
        <v>0</v>
      </c>
      <c r="B485" s="2403">
        <f>IF(未审附注之流动资产!B485="",0,未审附注之流动资产!B485)</f>
        <v>0</v>
      </c>
      <c r="C485" s="2403">
        <f>IF(未审附注之流动资产!C485="",0,未审附注之流动资产!C485)</f>
        <v>0</v>
      </c>
      <c r="D485" s="2410">
        <f>IF(未审附注之流动资产!D485="",0,未审附注之流动资产!D485)</f>
        <v>0</v>
      </c>
      <c r="E485" s="2435">
        <f t="shared" si="9"/>
        <v>0</v>
      </c>
      <c r="F485" s="2398"/>
      <c r="G485" s="2398"/>
      <c r="H485" s="2398"/>
      <c r="I485" s="2398"/>
      <c r="J485" s="2436" t="s">
        <v>546</v>
      </c>
    </row>
    <row r="486" spans="1:10">
      <c r="A486" s="2410">
        <f>IF(未审附注之流动资产!A486="",0,未审附注之流动资产!A486)</f>
        <v>0</v>
      </c>
      <c r="B486" s="2403">
        <f>IF(未审附注之流动资产!B486="",0,未审附注之流动资产!B486)</f>
        <v>0</v>
      </c>
      <c r="C486" s="2403">
        <f>IF(未审附注之流动资产!C486="",0,未审附注之流动资产!C486)</f>
        <v>0</v>
      </c>
      <c r="D486" s="2410">
        <f>IF(未审附注之流动资产!D486="",0,未审附注之流动资产!D486)</f>
        <v>0</v>
      </c>
      <c r="E486" s="2435">
        <f t="shared" si="9"/>
        <v>0</v>
      </c>
      <c r="F486" s="2398"/>
      <c r="G486" s="2398"/>
      <c r="H486" s="2398"/>
      <c r="I486" s="2398"/>
      <c r="J486" s="2436" t="s">
        <v>546</v>
      </c>
    </row>
    <row r="487" spans="1:10">
      <c r="A487" s="2400" t="s">
        <v>385</v>
      </c>
      <c r="B487" s="2369">
        <f>ROUND(SUM(B477:B486),2)</f>
        <v>0</v>
      </c>
      <c r="C487" s="2369">
        <f>ROUND(SUM(C477:C486),2)</f>
        <v>0</v>
      </c>
      <c r="D487" s="2369"/>
      <c r="E487" s="2411">
        <f t="shared" si="9"/>
        <v>0</v>
      </c>
      <c r="F487" s="2398"/>
      <c r="G487" s="2398"/>
      <c r="H487" s="2398"/>
      <c r="I487" s="2398"/>
      <c r="J487" s="2436" t="s">
        <v>547</v>
      </c>
    </row>
    <row r="488" spans="1:9">
      <c r="A488" s="2421"/>
      <c r="B488" s="2398"/>
      <c r="C488" s="2398"/>
      <c r="D488" s="2398"/>
      <c r="E488" s="2398"/>
      <c r="F488" s="2398"/>
      <c r="G488" s="2398"/>
      <c r="H488" s="2398"/>
      <c r="I488" s="2398"/>
    </row>
    <row r="489" spans="1:9">
      <c r="A489" s="2414" t="s">
        <v>509</v>
      </c>
      <c r="B489" s="2398"/>
      <c r="C489" s="2398"/>
      <c r="D489" s="2398"/>
      <c r="E489" s="2398"/>
      <c r="F489" s="2398"/>
      <c r="G489" s="2398"/>
      <c r="H489" s="2398"/>
      <c r="I489" s="2398"/>
    </row>
    <row r="490" spans="1:9">
      <c r="A490" s="2400" t="s">
        <v>315</v>
      </c>
      <c r="B490" s="2400" t="s">
        <v>510</v>
      </c>
      <c r="C490" s="2400" t="s">
        <v>511</v>
      </c>
      <c r="D490" s="2400" t="s">
        <v>489</v>
      </c>
      <c r="E490" s="2400" t="s">
        <v>512</v>
      </c>
      <c r="F490" s="2398"/>
      <c r="G490" s="2398"/>
      <c r="H490" s="2398"/>
      <c r="I490" s="2398"/>
    </row>
    <row r="491" spans="1:10">
      <c r="A491" s="2410">
        <f>IF(未审附注之流动资产!A491="",0,未审附注之流动资产!A491)</f>
        <v>0</v>
      </c>
      <c r="B491" s="2403">
        <f>IF(未审附注之流动资产!B491="",0,未审附注之流动资产!B491)</f>
        <v>0</v>
      </c>
      <c r="C491" s="2403">
        <f>IF(未审附注之流动资产!C491="",0,未审附注之流动资产!C491)</f>
        <v>0</v>
      </c>
      <c r="D491" s="2410">
        <f>IF(未审附注之流动资产!D491="",0,未审附注之流动资产!D491)</f>
        <v>0</v>
      </c>
      <c r="E491" s="2410">
        <f>IF(未审附注之流动资产!E491="",0,未审附注之流动资产!E491)</f>
        <v>0</v>
      </c>
      <c r="F491" s="2398"/>
      <c r="G491" s="2398"/>
      <c r="H491" s="2398"/>
      <c r="I491" s="2398"/>
      <c r="J491" s="2436" t="s">
        <v>548</v>
      </c>
    </row>
    <row r="492" spans="1:10">
      <c r="A492" s="2410">
        <f>IF(未审附注之流动资产!A492="",0,未审附注之流动资产!A492)</f>
        <v>0</v>
      </c>
      <c r="B492" s="2403">
        <f>IF(未审附注之流动资产!B492="",0,未审附注之流动资产!B492)</f>
        <v>0</v>
      </c>
      <c r="C492" s="2403">
        <f>IF(未审附注之流动资产!C492="",0,未审附注之流动资产!C492)</f>
        <v>0</v>
      </c>
      <c r="D492" s="2410">
        <f>IF(未审附注之流动资产!D492="",0,未审附注之流动资产!D492)</f>
        <v>0</v>
      </c>
      <c r="E492" s="2410">
        <f>IF(未审附注之流动资产!E492="",0,未审附注之流动资产!E492)</f>
        <v>0</v>
      </c>
      <c r="F492" s="2398"/>
      <c r="G492" s="2398"/>
      <c r="H492" s="2398"/>
      <c r="I492" s="2398"/>
      <c r="J492" s="2436" t="s">
        <v>548</v>
      </c>
    </row>
    <row r="493" spans="1:10">
      <c r="A493" s="2410">
        <f>IF(未审附注之流动资产!A493="",0,未审附注之流动资产!A493)</f>
        <v>0</v>
      </c>
      <c r="B493" s="2403">
        <f>IF(未审附注之流动资产!B493="",0,未审附注之流动资产!B493)</f>
        <v>0</v>
      </c>
      <c r="C493" s="2403">
        <f>IF(未审附注之流动资产!C493="",0,未审附注之流动资产!C493)</f>
        <v>0</v>
      </c>
      <c r="D493" s="2410">
        <f>IF(未审附注之流动资产!D493="",0,未审附注之流动资产!D493)</f>
        <v>0</v>
      </c>
      <c r="E493" s="2410">
        <f>IF(未审附注之流动资产!E493="",0,未审附注之流动资产!E493)</f>
        <v>0</v>
      </c>
      <c r="F493" s="2398"/>
      <c r="G493" s="2398"/>
      <c r="H493" s="2398"/>
      <c r="I493" s="2398"/>
      <c r="J493" s="2436" t="s">
        <v>548</v>
      </c>
    </row>
    <row r="494" spans="1:10">
      <c r="A494" s="2410">
        <f>IF(未审附注之流动资产!A494="",0,未审附注之流动资产!A494)</f>
        <v>0</v>
      </c>
      <c r="B494" s="2403">
        <f>IF(未审附注之流动资产!B494="",0,未审附注之流动资产!B494)</f>
        <v>0</v>
      </c>
      <c r="C494" s="2403">
        <f>IF(未审附注之流动资产!C494="",0,未审附注之流动资产!C494)</f>
        <v>0</v>
      </c>
      <c r="D494" s="2410">
        <f>IF(未审附注之流动资产!D494="",0,未审附注之流动资产!D494)</f>
        <v>0</v>
      </c>
      <c r="E494" s="2410">
        <f>IF(未审附注之流动资产!E494="",0,未审附注之流动资产!E494)</f>
        <v>0</v>
      </c>
      <c r="F494" s="2398"/>
      <c r="G494" s="2398"/>
      <c r="H494" s="2398"/>
      <c r="I494" s="2398"/>
      <c r="J494" s="2436" t="s">
        <v>548</v>
      </c>
    </row>
    <row r="495" spans="1:10">
      <c r="A495" s="2410">
        <f>IF(未审附注之流动资产!A495="",0,未审附注之流动资产!A495)</f>
        <v>0</v>
      </c>
      <c r="B495" s="2403">
        <f>IF(未审附注之流动资产!B495="",0,未审附注之流动资产!B495)</f>
        <v>0</v>
      </c>
      <c r="C495" s="2403">
        <f>IF(未审附注之流动资产!C495="",0,未审附注之流动资产!C495)</f>
        <v>0</v>
      </c>
      <c r="D495" s="2410">
        <f>IF(未审附注之流动资产!D495="",0,未审附注之流动资产!D495)</f>
        <v>0</v>
      </c>
      <c r="E495" s="2410">
        <f>IF(未审附注之流动资产!E495="",0,未审附注之流动资产!E495)</f>
        <v>0</v>
      </c>
      <c r="F495" s="2398"/>
      <c r="G495" s="2398"/>
      <c r="H495" s="2398"/>
      <c r="I495" s="2398"/>
      <c r="J495" s="2436" t="s">
        <v>548</v>
      </c>
    </row>
    <row r="496" spans="1:10">
      <c r="A496" s="2410">
        <f>IF(未审附注之流动资产!A496="",0,未审附注之流动资产!A496)</f>
        <v>0</v>
      </c>
      <c r="B496" s="2403">
        <f>IF(未审附注之流动资产!B496="",0,未审附注之流动资产!B496)</f>
        <v>0</v>
      </c>
      <c r="C496" s="2403">
        <f>IF(未审附注之流动资产!C496="",0,未审附注之流动资产!C496)</f>
        <v>0</v>
      </c>
      <c r="D496" s="2410">
        <f>IF(未审附注之流动资产!D496="",0,未审附注之流动资产!D496)</f>
        <v>0</v>
      </c>
      <c r="E496" s="2410">
        <f>IF(未审附注之流动资产!E496="",0,未审附注之流动资产!E496)</f>
        <v>0</v>
      </c>
      <c r="F496" s="2398"/>
      <c r="G496" s="2398"/>
      <c r="H496" s="2398"/>
      <c r="I496" s="2398"/>
      <c r="J496" s="2436" t="s">
        <v>548</v>
      </c>
    </row>
    <row r="497" spans="1:10">
      <c r="A497" s="2410">
        <f>IF(未审附注之流动资产!A497="",0,未审附注之流动资产!A497)</f>
        <v>0</v>
      </c>
      <c r="B497" s="2403">
        <f>IF(未审附注之流动资产!B497="",0,未审附注之流动资产!B497)</f>
        <v>0</v>
      </c>
      <c r="C497" s="2403">
        <f>IF(未审附注之流动资产!C497="",0,未审附注之流动资产!C497)</f>
        <v>0</v>
      </c>
      <c r="D497" s="2410">
        <f>IF(未审附注之流动资产!D497="",0,未审附注之流动资产!D497)</f>
        <v>0</v>
      </c>
      <c r="E497" s="2410">
        <f>IF(未审附注之流动资产!E497="",0,未审附注之流动资产!E497)</f>
        <v>0</v>
      </c>
      <c r="F497" s="2398"/>
      <c r="G497" s="2398"/>
      <c r="H497" s="2398"/>
      <c r="I497" s="2398"/>
      <c r="J497" s="2436" t="s">
        <v>548</v>
      </c>
    </row>
    <row r="498" spans="1:10">
      <c r="A498" s="2410">
        <f>IF(未审附注之流动资产!A498="",0,未审附注之流动资产!A498)</f>
        <v>0</v>
      </c>
      <c r="B498" s="2403">
        <f>IF(未审附注之流动资产!B498="",0,未审附注之流动资产!B498)</f>
        <v>0</v>
      </c>
      <c r="C498" s="2403">
        <f>IF(未审附注之流动资产!C498="",0,未审附注之流动资产!C498)</f>
        <v>0</v>
      </c>
      <c r="D498" s="2410">
        <f>IF(未审附注之流动资产!D498="",0,未审附注之流动资产!D498)</f>
        <v>0</v>
      </c>
      <c r="E498" s="2410">
        <f>IF(未审附注之流动资产!E498="",0,未审附注之流动资产!E498)</f>
        <v>0</v>
      </c>
      <c r="F498" s="2398"/>
      <c r="G498" s="2398"/>
      <c r="H498" s="2398"/>
      <c r="I498" s="2398"/>
      <c r="J498" s="2436" t="s">
        <v>548</v>
      </c>
    </row>
    <row r="499" spans="1:10">
      <c r="A499" s="2410">
        <f>IF(未审附注之流动资产!A499="",0,未审附注之流动资产!A499)</f>
        <v>0</v>
      </c>
      <c r="B499" s="2403">
        <f>IF(未审附注之流动资产!B499="",0,未审附注之流动资产!B499)</f>
        <v>0</v>
      </c>
      <c r="C499" s="2403">
        <f>IF(未审附注之流动资产!C499="",0,未审附注之流动资产!C499)</f>
        <v>0</v>
      </c>
      <c r="D499" s="2410">
        <f>IF(未审附注之流动资产!D499="",0,未审附注之流动资产!D499)</f>
        <v>0</v>
      </c>
      <c r="E499" s="2410">
        <f>IF(未审附注之流动资产!E499="",0,未审附注之流动资产!E499)</f>
        <v>0</v>
      </c>
      <c r="F499" s="2398"/>
      <c r="G499" s="2398"/>
      <c r="H499" s="2398"/>
      <c r="I499" s="2398"/>
      <c r="J499" s="2436" t="s">
        <v>548</v>
      </c>
    </row>
    <row r="500" spans="1:10">
      <c r="A500" s="2410">
        <f>IF(未审附注之流动资产!A500="",0,未审附注之流动资产!A500)</f>
        <v>0</v>
      </c>
      <c r="B500" s="2403">
        <f>IF(未审附注之流动资产!B500="",0,未审附注之流动资产!B500)</f>
        <v>0</v>
      </c>
      <c r="C500" s="2403">
        <f>IF(未审附注之流动资产!C500="",0,未审附注之流动资产!C500)</f>
        <v>0</v>
      </c>
      <c r="D500" s="2410">
        <f>IF(未审附注之流动资产!D500="",0,未审附注之流动资产!D500)</f>
        <v>0</v>
      </c>
      <c r="E500" s="2410">
        <f>IF(未审附注之流动资产!E500="",0,未审附注之流动资产!E500)</f>
        <v>0</v>
      </c>
      <c r="F500" s="2398"/>
      <c r="G500" s="2398"/>
      <c r="H500" s="2398"/>
      <c r="I500" s="2398"/>
      <c r="J500" s="2436" t="s">
        <v>548</v>
      </c>
    </row>
    <row r="501" spans="1:10">
      <c r="A501" s="2400" t="s">
        <v>385</v>
      </c>
      <c r="B501" s="2369">
        <f>ROUND(SUM(B491:B500),2)</f>
        <v>0</v>
      </c>
      <c r="C501" s="2369">
        <f>ROUND(SUM(C491:C500),2)</f>
        <v>0</v>
      </c>
      <c r="D501" s="2369"/>
      <c r="E501" s="2369"/>
      <c r="F501" s="2398"/>
      <c r="G501" s="2398"/>
      <c r="H501" s="2398"/>
      <c r="I501" s="2398"/>
      <c r="J501" s="2436" t="s">
        <v>549</v>
      </c>
    </row>
    <row r="502" spans="1:9">
      <c r="A502" s="2421"/>
      <c r="B502" s="2398"/>
      <c r="C502" s="2398"/>
      <c r="D502" s="2398"/>
      <c r="E502" s="2398"/>
      <c r="F502" s="2398"/>
      <c r="G502" s="2398"/>
      <c r="H502" s="2398"/>
      <c r="I502" s="2398"/>
    </row>
    <row r="503" spans="1:9">
      <c r="A503" s="2414" t="s">
        <v>515</v>
      </c>
      <c r="B503" s="2398"/>
      <c r="C503" s="2398"/>
      <c r="D503" s="2398"/>
      <c r="E503" s="2398"/>
      <c r="F503" s="2398"/>
      <c r="G503" s="2398"/>
      <c r="H503" s="2398"/>
      <c r="I503" s="2398"/>
    </row>
    <row r="504" spans="1:9">
      <c r="A504" s="2400" t="s">
        <v>315</v>
      </c>
      <c r="B504" s="2400" t="s">
        <v>316</v>
      </c>
      <c r="C504" s="2400" t="s">
        <v>517</v>
      </c>
      <c r="D504" s="2398"/>
      <c r="E504" s="2398"/>
      <c r="F504" s="2398"/>
      <c r="G504" s="2398"/>
      <c r="H504" s="2398"/>
      <c r="I504" s="2398"/>
    </row>
    <row r="505" spans="1:10">
      <c r="A505" s="2410">
        <f>IF(未审附注之流动资产!A505="",0,未审附注之流动资产!A505)</f>
        <v>0</v>
      </c>
      <c r="B505" s="2403">
        <f>IF(未审附注之流动资产!B505="",0,未审附注之流动资产!B505)</f>
        <v>0</v>
      </c>
      <c r="C505" s="2410">
        <f>IF(未审附注之流动资产!C505="",0,未审附注之流动资产!C505)</f>
        <v>0</v>
      </c>
      <c r="D505" s="2398"/>
      <c r="E505" s="2398"/>
      <c r="F505" s="2398"/>
      <c r="G505" s="2398"/>
      <c r="H505" s="2398"/>
      <c r="I505" s="2398"/>
      <c r="J505" s="2436" t="s">
        <v>550</v>
      </c>
    </row>
    <row r="506" spans="1:10">
      <c r="A506" s="2410">
        <f>IF(未审附注之流动资产!A506="",0,未审附注之流动资产!A506)</f>
        <v>0</v>
      </c>
      <c r="B506" s="2403">
        <f>IF(未审附注之流动资产!B506="",0,未审附注之流动资产!B506)</f>
        <v>0</v>
      </c>
      <c r="C506" s="2410">
        <f>IF(未审附注之流动资产!C506="",0,未审附注之流动资产!C506)</f>
        <v>0</v>
      </c>
      <c r="D506" s="2398"/>
      <c r="E506" s="2398"/>
      <c r="F506" s="2398"/>
      <c r="G506" s="2398"/>
      <c r="H506" s="2398"/>
      <c r="I506" s="2398"/>
      <c r="J506" s="2436" t="s">
        <v>550</v>
      </c>
    </row>
    <row r="507" spans="1:10">
      <c r="A507" s="2410">
        <f>IF(未审附注之流动资产!A507="",0,未审附注之流动资产!A507)</f>
        <v>0</v>
      </c>
      <c r="B507" s="2403">
        <f>IF(未审附注之流动资产!B507="",0,未审附注之流动资产!B507)</f>
        <v>0</v>
      </c>
      <c r="C507" s="2410">
        <f>IF(未审附注之流动资产!C507="",0,未审附注之流动资产!C507)</f>
        <v>0</v>
      </c>
      <c r="D507" s="2398"/>
      <c r="E507" s="2398"/>
      <c r="F507" s="2398"/>
      <c r="G507" s="2398"/>
      <c r="H507" s="2398"/>
      <c r="I507" s="2398"/>
      <c r="J507" s="2436" t="s">
        <v>550</v>
      </c>
    </row>
    <row r="508" spans="1:10">
      <c r="A508" s="2410">
        <f>IF(未审附注之流动资产!A508="",0,未审附注之流动资产!A508)</f>
        <v>0</v>
      </c>
      <c r="B508" s="2403">
        <f>IF(未审附注之流动资产!B508="",0,未审附注之流动资产!B508)</f>
        <v>0</v>
      </c>
      <c r="C508" s="2410">
        <f>IF(未审附注之流动资产!C508="",0,未审附注之流动资产!C508)</f>
        <v>0</v>
      </c>
      <c r="D508" s="2398"/>
      <c r="E508" s="2398"/>
      <c r="F508" s="2398"/>
      <c r="G508" s="2398"/>
      <c r="H508" s="2398"/>
      <c r="I508" s="2398"/>
      <c r="J508" s="2436" t="s">
        <v>550</v>
      </c>
    </row>
    <row r="509" spans="1:10">
      <c r="A509" s="2410">
        <f>IF(未审附注之流动资产!A509="",0,未审附注之流动资产!A509)</f>
        <v>0</v>
      </c>
      <c r="B509" s="2403">
        <f>IF(未审附注之流动资产!B509="",0,未审附注之流动资产!B509)</f>
        <v>0</v>
      </c>
      <c r="C509" s="2410">
        <f>IF(未审附注之流动资产!C509="",0,未审附注之流动资产!C509)</f>
        <v>0</v>
      </c>
      <c r="D509" s="2398"/>
      <c r="E509" s="2398"/>
      <c r="F509" s="2398"/>
      <c r="G509" s="2398"/>
      <c r="H509" s="2398"/>
      <c r="I509" s="2398"/>
      <c r="J509" s="2436" t="s">
        <v>550</v>
      </c>
    </row>
    <row r="510" spans="1:10">
      <c r="A510" s="2410">
        <f>IF(未审附注之流动资产!A510="",0,未审附注之流动资产!A510)</f>
        <v>0</v>
      </c>
      <c r="B510" s="2403">
        <f>IF(未审附注之流动资产!B510="",0,未审附注之流动资产!B510)</f>
        <v>0</v>
      </c>
      <c r="C510" s="2410">
        <f>IF(未审附注之流动资产!C510="",0,未审附注之流动资产!C510)</f>
        <v>0</v>
      </c>
      <c r="D510" s="2398"/>
      <c r="E510" s="2398"/>
      <c r="F510" s="2398"/>
      <c r="G510" s="2398"/>
      <c r="H510" s="2398"/>
      <c r="I510" s="2398"/>
      <c r="J510" s="2436" t="s">
        <v>550</v>
      </c>
    </row>
    <row r="511" spans="1:10">
      <c r="A511" s="2410">
        <f>IF(未审附注之流动资产!A511="",0,未审附注之流动资产!A511)</f>
        <v>0</v>
      </c>
      <c r="B511" s="2403">
        <f>IF(未审附注之流动资产!B511="",0,未审附注之流动资产!B511)</f>
        <v>0</v>
      </c>
      <c r="C511" s="2410">
        <f>IF(未审附注之流动资产!C511="",0,未审附注之流动资产!C511)</f>
        <v>0</v>
      </c>
      <c r="D511" s="2398"/>
      <c r="E511" s="2398"/>
      <c r="F511" s="2398"/>
      <c r="G511" s="2398"/>
      <c r="H511" s="2398"/>
      <c r="I511" s="2398"/>
      <c r="J511" s="2436" t="s">
        <v>550</v>
      </c>
    </row>
    <row r="512" spans="1:10">
      <c r="A512" s="2410">
        <f>IF(未审附注之流动资产!A512="",0,未审附注之流动资产!A512)</f>
        <v>0</v>
      </c>
      <c r="B512" s="2403">
        <f>IF(未审附注之流动资产!B512="",0,未审附注之流动资产!B512)</f>
        <v>0</v>
      </c>
      <c r="C512" s="2410">
        <f>IF(未审附注之流动资产!C512="",0,未审附注之流动资产!C512)</f>
        <v>0</v>
      </c>
      <c r="D512" s="2398"/>
      <c r="E512" s="2398"/>
      <c r="F512" s="2398"/>
      <c r="G512" s="2398"/>
      <c r="H512" s="2398"/>
      <c r="I512" s="2398"/>
      <c r="J512" s="2436" t="s">
        <v>550</v>
      </c>
    </row>
    <row r="513" spans="1:10">
      <c r="A513" s="2410">
        <f>IF(未审附注之流动资产!A513="",0,未审附注之流动资产!A513)</f>
        <v>0</v>
      </c>
      <c r="B513" s="2403">
        <f>IF(未审附注之流动资产!B513="",0,未审附注之流动资产!B513)</f>
        <v>0</v>
      </c>
      <c r="C513" s="2410">
        <f>IF(未审附注之流动资产!C513="",0,未审附注之流动资产!C513)</f>
        <v>0</v>
      </c>
      <c r="D513" s="2398"/>
      <c r="E513" s="2398"/>
      <c r="F513" s="2398"/>
      <c r="G513" s="2398"/>
      <c r="H513" s="2398"/>
      <c r="I513" s="2398"/>
      <c r="J513" s="2436" t="s">
        <v>550</v>
      </c>
    </row>
    <row r="514" spans="1:10">
      <c r="A514" s="2410">
        <f>IF(未审附注之流动资产!A514="",0,未审附注之流动资产!A514)</f>
        <v>0</v>
      </c>
      <c r="B514" s="2403">
        <f>IF(未审附注之流动资产!B514="",0,未审附注之流动资产!B514)</f>
        <v>0</v>
      </c>
      <c r="C514" s="2410">
        <f>IF(未审附注之流动资产!C514="",0,未审附注之流动资产!C514)</f>
        <v>0</v>
      </c>
      <c r="D514" s="2398"/>
      <c r="E514" s="2398"/>
      <c r="F514" s="2398"/>
      <c r="G514" s="2398"/>
      <c r="H514" s="2398"/>
      <c r="I514" s="2398"/>
      <c r="J514" s="2436" t="s">
        <v>550</v>
      </c>
    </row>
    <row r="515" spans="1:10">
      <c r="A515" s="2400" t="s">
        <v>385</v>
      </c>
      <c r="B515" s="2369">
        <f>ROUND(SUM(B505:B514),2)</f>
        <v>0</v>
      </c>
      <c r="C515" s="2369"/>
      <c r="D515" s="2398"/>
      <c r="E515" s="2398"/>
      <c r="F515" s="2398"/>
      <c r="G515" s="2398"/>
      <c r="H515" s="2398"/>
      <c r="I515" s="2398"/>
      <c r="J515" s="2436" t="s">
        <v>551</v>
      </c>
    </row>
    <row r="516" spans="1:9">
      <c r="A516" s="2421"/>
      <c r="B516" s="2398"/>
      <c r="C516" s="2398"/>
      <c r="D516" s="2398"/>
      <c r="E516" s="2398"/>
      <c r="F516" s="2398"/>
      <c r="G516" s="2398"/>
      <c r="H516" s="2398"/>
      <c r="I516" s="2398"/>
    </row>
    <row r="517" spans="1:9">
      <c r="A517" s="2421"/>
      <c r="B517" s="2398"/>
      <c r="C517" s="2398"/>
      <c r="D517" s="2398"/>
      <c r="E517" s="2398"/>
      <c r="F517" s="2398"/>
      <c r="G517" s="2398"/>
      <c r="H517" s="2398"/>
      <c r="I517" s="2398"/>
    </row>
    <row r="518" spans="1:9">
      <c r="A518" s="2397" t="s">
        <v>552</v>
      </c>
      <c r="B518" s="2398"/>
      <c r="C518" s="2398"/>
      <c r="D518" s="2398"/>
      <c r="E518" s="2398"/>
      <c r="F518" s="2398"/>
      <c r="G518" s="2398"/>
      <c r="H518" s="2398"/>
      <c r="I518" s="2398"/>
    </row>
    <row r="519" spans="1:10">
      <c r="A519" s="2399" t="s">
        <v>553</v>
      </c>
      <c r="B519" s="2398"/>
      <c r="C519" s="2398"/>
      <c r="D519" s="2398"/>
      <c r="E519" s="2398"/>
      <c r="F519" s="2398"/>
      <c r="G519" s="2398"/>
      <c r="H519" s="2398"/>
      <c r="I519" s="2398"/>
      <c r="J519" s="2475"/>
    </row>
    <row r="520" spans="1:10">
      <c r="A520" s="2407" t="s">
        <v>443</v>
      </c>
      <c r="B520" s="2432" t="s">
        <v>316</v>
      </c>
      <c r="C520" s="2474"/>
      <c r="D520" s="2400" t="s">
        <v>317</v>
      </c>
      <c r="E520" s="2400"/>
      <c r="F520" s="2398"/>
      <c r="G520" s="2398"/>
      <c r="H520" s="2398"/>
      <c r="I520" s="2398"/>
      <c r="J520" s="2475"/>
    </row>
    <row r="521" spans="1:10">
      <c r="A521" s="2408"/>
      <c r="B521" s="2400" t="s">
        <v>444</v>
      </c>
      <c r="C521" s="2400" t="s">
        <v>445</v>
      </c>
      <c r="D521" s="2400" t="s">
        <v>444</v>
      </c>
      <c r="E521" s="2400" t="s">
        <v>445</v>
      </c>
      <c r="F521" s="2398"/>
      <c r="G521" s="2398"/>
      <c r="H521" s="2398"/>
      <c r="I521" s="2398"/>
      <c r="J521" s="2475"/>
    </row>
    <row r="522" spans="1:10">
      <c r="A522" s="2405" t="s">
        <v>448</v>
      </c>
      <c r="B522" s="2403">
        <f>IF(未审附注之流动资产!B522="",0,未审附注之流动资产!B522)</f>
        <v>0</v>
      </c>
      <c r="C522" s="2435">
        <f>IF(B522=0,0,1-C523-C524-C525)</f>
        <v>0</v>
      </c>
      <c r="D522" s="2403">
        <f>IF(未审附注之流动资产!D522="",0,未审附注之流动资产!D522)</f>
        <v>0</v>
      </c>
      <c r="E522" s="2435">
        <f>IF(D522=0,0,1-E523-E524-E525)</f>
        <v>0</v>
      </c>
      <c r="F522" s="2398"/>
      <c r="G522" s="2398"/>
      <c r="H522" s="2398"/>
      <c r="I522" s="2398"/>
      <c r="J522" s="2436" t="s">
        <v>554</v>
      </c>
    </row>
    <row r="523" spans="1:10">
      <c r="A523" s="2405" t="s">
        <v>450</v>
      </c>
      <c r="B523" s="2403">
        <f>IF(未审附注之流动资产!B523="",0,未审附注之流动资产!B523)</f>
        <v>0</v>
      </c>
      <c r="C523" s="2435">
        <f>IF(B523=0,0,IF(B522=0,ROUND(1-C524-C525,4),ROUND(B523/B$526,4)))</f>
        <v>0</v>
      </c>
      <c r="D523" s="2403">
        <f>IF(未审附注之流动资产!D523="",0,未审附注之流动资产!D523)</f>
        <v>0</v>
      </c>
      <c r="E523" s="2435">
        <f>IF(D523=0,0,IF(D522=0,ROUND(1-E524-E525,4),ROUND(D523/D$526,4)))</f>
        <v>0</v>
      </c>
      <c r="F523" s="2398"/>
      <c r="G523" s="2398"/>
      <c r="H523" s="2398"/>
      <c r="I523" s="2398"/>
      <c r="J523" s="2436" t="s">
        <v>555</v>
      </c>
    </row>
    <row r="524" spans="1:10">
      <c r="A524" s="2405" t="s">
        <v>452</v>
      </c>
      <c r="B524" s="2403">
        <f>IF(未审附注之流动资产!B524="",0,未审附注之流动资产!B524)</f>
        <v>0</v>
      </c>
      <c r="C524" s="2435">
        <f>IF(B524=0,0,IF(AND(B522=0,B523=0),ROUND(1-C525,4),ROUND(B524/B$526,4)))</f>
        <v>0</v>
      </c>
      <c r="D524" s="2403">
        <f>IF(未审附注之流动资产!D524="",0,未审附注之流动资产!D524)</f>
        <v>0</v>
      </c>
      <c r="E524" s="2435">
        <f>IF(D524=0,0,IF(AND(D522=0,D523=0),ROUND(1-E525,4),ROUND(D524/D$526,4)))</f>
        <v>0</v>
      </c>
      <c r="F524" s="2398"/>
      <c r="G524" s="2398"/>
      <c r="H524" s="2398"/>
      <c r="I524" s="2398"/>
      <c r="J524" s="2436" t="s">
        <v>556</v>
      </c>
    </row>
    <row r="525" spans="1:10">
      <c r="A525" s="2405" t="s">
        <v>557</v>
      </c>
      <c r="B525" s="2403">
        <f>IF(未审附注之流动资产!B525="",0,未审附注之流动资产!B525)</f>
        <v>0</v>
      </c>
      <c r="C525" s="2435">
        <f>IF(B525=0,0,ROUND(B525/B$526,4))</f>
        <v>0</v>
      </c>
      <c r="D525" s="2403">
        <f>IF(未审附注之流动资产!D525="",0,未审附注之流动资产!D525)</f>
        <v>0</v>
      </c>
      <c r="E525" s="2435">
        <f>IF(D525=0,0,ROUND(D525/D$526,4))</f>
        <v>0</v>
      </c>
      <c r="F525" s="2398"/>
      <c r="G525" s="2398"/>
      <c r="H525" s="2398"/>
      <c r="I525" s="2398"/>
      <c r="J525" s="2436" t="s">
        <v>558</v>
      </c>
    </row>
    <row r="526" spans="1:10">
      <c r="A526" s="2400" t="s">
        <v>385</v>
      </c>
      <c r="B526" s="2369">
        <f>ROUND(SUM(B522:B525),2)</f>
        <v>0</v>
      </c>
      <c r="C526" s="2411">
        <f>IF(B526=0,0,1)</f>
        <v>0</v>
      </c>
      <c r="D526" s="2369">
        <f>ROUND(SUM(D522:D525),2)</f>
        <v>0</v>
      </c>
      <c r="E526" s="2411">
        <f>IF(D526=0,0,1)</f>
        <v>0</v>
      </c>
      <c r="F526" s="2398"/>
      <c r="G526" s="2398"/>
      <c r="H526" s="2398"/>
      <c r="I526" s="2398"/>
      <c r="J526" s="2436" t="s">
        <v>559</v>
      </c>
    </row>
    <row r="527" spans="1:9">
      <c r="A527" s="2421"/>
      <c r="B527" s="2398"/>
      <c r="C527" s="2398"/>
      <c r="D527" s="2398"/>
      <c r="E527" s="2398"/>
      <c r="F527" s="2398"/>
      <c r="G527" s="2398"/>
      <c r="H527" s="2398"/>
      <c r="I527" s="2398"/>
    </row>
    <row r="528" spans="1:9">
      <c r="A528" s="2399" t="s">
        <v>560</v>
      </c>
      <c r="B528" s="2398"/>
      <c r="C528" s="2398"/>
      <c r="D528" s="2398"/>
      <c r="E528" s="2398"/>
      <c r="F528" s="2398"/>
      <c r="G528" s="2398"/>
      <c r="H528" s="2398"/>
      <c r="I528" s="2398"/>
    </row>
    <row r="529" spans="1:9">
      <c r="A529" s="2400" t="s">
        <v>315</v>
      </c>
      <c r="B529" s="2400" t="s">
        <v>316</v>
      </c>
      <c r="C529" s="2400" t="s">
        <v>561</v>
      </c>
      <c r="D529" s="2400" t="s">
        <v>562</v>
      </c>
      <c r="E529" s="2398"/>
      <c r="F529" s="2398"/>
      <c r="G529" s="2398"/>
      <c r="H529" s="2398"/>
      <c r="I529" s="2398"/>
    </row>
    <row r="530" spans="1:10">
      <c r="A530" s="2410">
        <f>IF(未审附注之流动资产!A530="",0,未审附注之流动资产!A530)</f>
        <v>0</v>
      </c>
      <c r="B530" s="2403">
        <f>IF(未审附注之流动资产!B530="",0,未审附注之流动资产!B530)</f>
        <v>0</v>
      </c>
      <c r="C530" s="2410">
        <f>IF(未审附注之流动资产!C530="",0,未审附注之流动资产!C530)</f>
        <v>0</v>
      </c>
      <c r="D530" s="2410">
        <f>IF(未审附注之流动资产!D530="",0,未审附注之流动资产!D530)</f>
        <v>0</v>
      </c>
      <c r="E530" s="2398"/>
      <c r="F530" s="2398"/>
      <c r="G530" s="2398"/>
      <c r="H530" s="2398"/>
      <c r="I530" s="2398"/>
      <c r="J530" s="2436" t="s">
        <v>563</v>
      </c>
    </row>
    <row r="531" spans="1:10">
      <c r="A531" s="2410">
        <f>IF(未审附注之流动资产!A531="",0,未审附注之流动资产!A531)</f>
        <v>0</v>
      </c>
      <c r="B531" s="2403">
        <f>IF(未审附注之流动资产!B531="",0,未审附注之流动资产!B531)</f>
        <v>0</v>
      </c>
      <c r="C531" s="2410">
        <f>IF(未审附注之流动资产!C531="",0,未审附注之流动资产!C531)</f>
        <v>0</v>
      </c>
      <c r="D531" s="2410">
        <f>IF(未审附注之流动资产!D531="",0,未审附注之流动资产!D531)</f>
        <v>0</v>
      </c>
      <c r="E531" s="2398"/>
      <c r="F531" s="2398"/>
      <c r="G531" s="2398"/>
      <c r="H531" s="2398"/>
      <c r="I531" s="2398"/>
      <c r="J531" s="2436" t="s">
        <v>563</v>
      </c>
    </row>
    <row r="532" spans="1:10">
      <c r="A532" s="2410">
        <f>IF(未审附注之流动资产!A532="",0,未审附注之流动资产!A532)</f>
        <v>0</v>
      </c>
      <c r="B532" s="2403">
        <f>IF(未审附注之流动资产!B532="",0,未审附注之流动资产!B532)</f>
        <v>0</v>
      </c>
      <c r="C532" s="2410">
        <f>IF(未审附注之流动资产!C532="",0,未审附注之流动资产!C532)</f>
        <v>0</v>
      </c>
      <c r="D532" s="2410">
        <f>IF(未审附注之流动资产!D532="",0,未审附注之流动资产!D532)</f>
        <v>0</v>
      </c>
      <c r="E532" s="2398"/>
      <c r="F532" s="2398"/>
      <c r="G532" s="2398"/>
      <c r="H532" s="2398"/>
      <c r="I532" s="2398"/>
      <c r="J532" s="2436" t="s">
        <v>563</v>
      </c>
    </row>
    <row r="533" spans="1:10">
      <c r="A533" s="2410">
        <f>IF(未审附注之流动资产!A533="",0,未审附注之流动资产!A533)</f>
        <v>0</v>
      </c>
      <c r="B533" s="2403">
        <f>IF(未审附注之流动资产!B533="",0,未审附注之流动资产!B533)</f>
        <v>0</v>
      </c>
      <c r="C533" s="2410">
        <f>IF(未审附注之流动资产!C533="",0,未审附注之流动资产!C533)</f>
        <v>0</v>
      </c>
      <c r="D533" s="2410">
        <f>IF(未审附注之流动资产!D533="",0,未审附注之流动资产!D533)</f>
        <v>0</v>
      </c>
      <c r="E533" s="2398"/>
      <c r="F533" s="2398"/>
      <c r="G533" s="2398"/>
      <c r="H533" s="2398"/>
      <c r="I533" s="2398"/>
      <c r="J533" s="2436" t="s">
        <v>563</v>
      </c>
    </row>
    <row r="534" spans="1:10">
      <c r="A534" s="2410">
        <f>IF(未审附注之流动资产!A534="",0,未审附注之流动资产!A534)</f>
        <v>0</v>
      </c>
      <c r="B534" s="2403">
        <f>IF(未审附注之流动资产!B534="",0,未审附注之流动资产!B534)</f>
        <v>0</v>
      </c>
      <c r="C534" s="2410">
        <f>IF(未审附注之流动资产!C534="",0,未审附注之流动资产!C534)</f>
        <v>0</v>
      </c>
      <c r="D534" s="2410">
        <f>IF(未审附注之流动资产!D534="",0,未审附注之流动资产!D534)</f>
        <v>0</v>
      </c>
      <c r="E534" s="2398"/>
      <c r="F534" s="2398"/>
      <c r="G534" s="2398"/>
      <c r="H534" s="2398"/>
      <c r="I534" s="2398"/>
      <c r="J534" s="2436" t="s">
        <v>563</v>
      </c>
    </row>
    <row r="535" spans="1:10">
      <c r="A535" s="2410">
        <f>IF(未审附注之流动资产!A535="",0,未审附注之流动资产!A535)</f>
        <v>0</v>
      </c>
      <c r="B535" s="2403">
        <f>IF(未审附注之流动资产!B535="",0,未审附注之流动资产!B535)</f>
        <v>0</v>
      </c>
      <c r="C535" s="2410">
        <f>IF(未审附注之流动资产!C535="",0,未审附注之流动资产!C535)</f>
        <v>0</v>
      </c>
      <c r="D535" s="2410">
        <f>IF(未审附注之流动资产!D535="",0,未审附注之流动资产!D535)</f>
        <v>0</v>
      </c>
      <c r="E535" s="2398"/>
      <c r="F535" s="2398"/>
      <c r="G535" s="2398"/>
      <c r="H535" s="2398"/>
      <c r="I535" s="2398"/>
      <c r="J535" s="2436" t="s">
        <v>563</v>
      </c>
    </row>
    <row r="536" spans="1:10">
      <c r="A536" s="2410">
        <f>IF(未审附注之流动资产!A536="",0,未审附注之流动资产!A536)</f>
        <v>0</v>
      </c>
      <c r="B536" s="2403">
        <f>IF(未审附注之流动资产!B536="",0,未审附注之流动资产!B536)</f>
        <v>0</v>
      </c>
      <c r="C536" s="2410">
        <f>IF(未审附注之流动资产!C536="",0,未审附注之流动资产!C536)</f>
        <v>0</v>
      </c>
      <c r="D536" s="2410">
        <f>IF(未审附注之流动资产!D536="",0,未审附注之流动资产!D536)</f>
        <v>0</v>
      </c>
      <c r="E536" s="2398"/>
      <c r="F536" s="2398"/>
      <c r="G536" s="2398"/>
      <c r="H536" s="2398"/>
      <c r="I536" s="2398"/>
      <c r="J536" s="2436" t="s">
        <v>563</v>
      </c>
    </row>
    <row r="537" spans="1:10">
      <c r="A537" s="2410">
        <f>IF(未审附注之流动资产!A537="",0,未审附注之流动资产!A537)</f>
        <v>0</v>
      </c>
      <c r="B537" s="2403">
        <f>IF(未审附注之流动资产!B537="",0,未审附注之流动资产!B537)</f>
        <v>0</v>
      </c>
      <c r="C537" s="2410">
        <f>IF(未审附注之流动资产!C537="",0,未审附注之流动资产!C537)</f>
        <v>0</v>
      </c>
      <c r="D537" s="2410">
        <f>IF(未审附注之流动资产!D537="",0,未审附注之流动资产!D537)</f>
        <v>0</v>
      </c>
      <c r="E537" s="2398"/>
      <c r="F537" s="2398"/>
      <c r="G537" s="2398"/>
      <c r="H537" s="2398"/>
      <c r="I537" s="2398"/>
      <c r="J537" s="2436" t="s">
        <v>563</v>
      </c>
    </row>
    <row r="538" spans="1:10">
      <c r="A538" s="2410">
        <f>IF(未审附注之流动资产!A538="",0,未审附注之流动资产!A538)</f>
        <v>0</v>
      </c>
      <c r="B538" s="2403">
        <f>IF(未审附注之流动资产!B538="",0,未审附注之流动资产!B538)</f>
        <v>0</v>
      </c>
      <c r="C538" s="2410">
        <f>IF(未审附注之流动资产!C538="",0,未审附注之流动资产!C538)</f>
        <v>0</v>
      </c>
      <c r="D538" s="2410">
        <f>IF(未审附注之流动资产!D538="",0,未审附注之流动资产!D538)</f>
        <v>0</v>
      </c>
      <c r="E538" s="2398"/>
      <c r="F538" s="2398"/>
      <c r="G538" s="2398"/>
      <c r="H538" s="2398"/>
      <c r="I538" s="2398"/>
      <c r="J538" s="2436" t="s">
        <v>563</v>
      </c>
    </row>
    <row r="539" spans="1:10">
      <c r="A539" s="2410">
        <f>IF(未审附注之流动资产!A539="",0,未审附注之流动资产!A539)</f>
        <v>0</v>
      </c>
      <c r="B539" s="2403">
        <f>IF(未审附注之流动资产!B539="",0,未审附注之流动资产!B539)</f>
        <v>0</v>
      </c>
      <c r="C539" s="2410">
        <f>IF(未审附注之流动资产!C539="",0,未审附注之流动资产!C539)</f>
        <v>0</v>
      </c>
      <c r="D539" s="2410">
        <f>IF(未审附注之流动资产!D539="",0,未审附注之流动资产!D539)</f>
        <v>0</v>
      </c>
      <c r="E539" s="2398"/>
      <c r="F539" s="2398"/>
      <c r="G539" s="2398"/>
      <c r="H539" s="2398"/>
      <c r="I539" s="2398"/>
      <c r="J539" s="2436" t="s">
        <v>563</v>
      </c>
    </row>
    <row r="540" spans="1:10">
      <c r="A540" s="2400" t="s">
        <v>385</v>
      </c>
      <c r="B540" s="2369">
        <f>ROUND(SUM(B530:B539),2)</f>
        <v>0</v>
      </c>
      <c r="C540" s="2369"/>
      <c r="D540" s="2369"/>
      <c r="E540" s="2398"/>
      <c r="F540" s="2398"/>
      <c r="G540" s="2398"/>
      <c r="H540" s="2398"/>
      <c r="I540" s="2398"/>
      <c r="J540" s="2436" t="s">
        <v>564</v>
      </c>
    </row>
    <row r="541" spans="1:9">
      <c r="A541" s="2421"/>
      <c r="B541" s="2398"/>
      <c r="C541" s="2398"/>
      <c r="D541" s="2398"/>
      <c r="E541" s="2398"/>
      <c r="F541" s="2398"/>
      <c r="G541" s="2398"/>
      <c r="H541" s="2398"/>
      <c r="I541" s="2398"/>
    </row>
    <row r="542" spans="1:9">
      <c r="A542" s="2414" t="s">
        <v>565</v>
      </c>
      <c r="B542" s="2398"/>
      <c r="C542" s="2398"/>
      <c r="D542" s="2398"/>
      <c r="E542" s="2398"/>
      <c r="F542" s="2398"/>
      <c r="G542" s="2398"/>
      <c r="H542" s="2398"/>
      <c r="I542" s="2398"/>
    </row>
    <row r="543" spans="1:9">
      <c r="A543" s="2400" t="s">
        <v>495</v>
      </c>
      <c r="B543" s="2400" t="s">
        <v>316</v>
      </c>
      <c r="C543" s="2400" t="s">
        <v>317</v>
      </c>
      <c r="D543" s="2400" t="s">
        <v>496</v>
      </c>
      <c r="E543" s="2398"/>
      <c r="F543" s="2398"/>
      <c r="G543" s="2398"/>
      <c r="H543" s="2398"/>
      <c r="I543" s="2398"/>
    </row>
    <row r="544" spans="1:10">
      <c r="A544" s="2410">
        <f>IF(未审附注之流动资产!A544="",0,未审附注之流动资产!A544)</f>
        <v>0</v>
      </c>
      <c r="B544" s="2403">
        <f>IF(未审附注之流动资产!B544="",0,未审附注之流动资产!B544)</f>
        <v>0</v>
      </c>
      <c r="C544" s="2403">
        <f>IF(未审附注之流动资产!C544="",0,未审附注之流动资产!C544)</f>
        <v>0</v>
      </c>
      <c r="D544" s="2410">
        <f>IF(未审附注之流动资产!D544="",0,未审附注之流动资产!D544)</f>
        <v>0</v>
      </c>
      <c r="E544" s="2398"/>
      <c r="F544" s="2398"/>
      <c r="G544" s="2398"/>
      <c r="H544" s="2398"/>
      <c r="I544" s="2398"/>
      <c r="J544" s="2436" t="s">
        <v>566</v>
      </c>
    </row>
    <row r="545" spans="1:10">
      <c r="A545" s="2410">
        <f>IF(未审附注之流动资产!A545="",0,未审附注之流动资产!A545)</f>
        <v>0</v>
      </c>
      <c r="B545" s="2403">
        <f>IF(未审附注之流动资产!B545="",0,未审附注之流动资产!B545)</f>
        <v>0</v>
      </c>
      <c r="C545" s="2403">
        <f>IF(未审附注之流动资产!C545="",0,未审附注之流动资产!C545)</f>
        <v>0</v>
      </c>
      <c r="D545" s="2410">
        <f>IF(未审附注之流动资产!D545="",0,未审附注之流动资产!D545)</f>
        <v>0</v>
      </c>
      <c r="E545" s="2398"/>
      <c r="F545" s="2398"/>
      <c r="G545" s="2398"/>
      <c r="H545" s="2398"/>
      <c r="I545" s="2398"/>
      <c r="J545" s="2436" t="s">
        <v>566</v>
      </c>
    </row>
    <row r="546" spans="1:10">
      <c r="A546" s="2410">
        <f>IF(未审附注之流动资产!A546="",0,未审附注之流动资产!A546)</f>
        <v>0</v>
      </c>
      <c r="B546" s="2403">
        <f>IF(未审附注之流动资产!B546="",0,未审附注之流动资产!B546)</f>
        <v>0</v>
      </c>
      <c r="C546" s="2403">
        <f>IF(未审附注之流动资产!C546="",0,未审附注之流动资产!C546)</f>
        <v>0</v>
      </c>
      <c r="D546" s="2410">
        <f>IF(未审附注之流动资产!D546="",0,未审附注之流动资产!D546)</f>
        <v>0</v>
      </c>
      <c r="E546" s="2398"/>
      <c r="F546" s="2398"/>
      <c r="G546" s="2398"/>
      <c r="H546" s="2398"/>
      <c r="I546" s="2398"/>
      <c r="J546" s="2436" t="s">
        <v>566</v>
      </c>
    </row>
    <row r="547" spans="1:10">
      <c r="A547" s="2410">
        <f>IF(未审附注之流动资产!A547="",0,未审附注之流动资产!A547)</f>
        <v>0</v>
      </c>
      <c r="B547" s="2403">
        <f>IF(未审附注之流动资产!B547="",0,未审附注之流动资产!B547)</f>
        <v>0</v>
      </c>
      <c r="C547" s="2403">
        <f>IF(未审附注之流动资产!C547="",0,未审附注之流动资产!C547)</f>
        <v>0</v>
      </c>
      <c r="D547" s="2410">
        <f>IF(未审附注之流动资产!D547="",0,未审附注之流动资产!D547)</f>
        <v>0</v>
      </c>
      <c r="E547" s="2398"/>
      <c r="F547" s="2398"/>
      <c r="G547" s="2398"/>
      <c r="H547" s="2398"/>
      <c r="I547" s="2398"/>
      <c r="J547" s="2436" t="s">
        <v>566</v>
      </c>
    </row>
    <row r="548" spans="1:10">
      <c r="A548" s="2410">
        <f>IF(未审附注之流动资产!A548="",0,未审附注之流动资产!A548)</f>
        <v>0</v>
      </c>
      <c r="B548" s="2403">
        <f>IF(未审附注之流动资产!B548="",0,未审附注之流动资产!B548)</f>
        <v>0</v>
      </c>
      <c r="C548" s="2403">
        <f>IF(未审附注之流动资产!C548="",0,未审附注之流动资产!C548)</f>
        <v>0</v>
      </c>
      <c r="D548" s="2410">
        <f>IF(未审附注之流动资产!D548="",0,未审附注之流动资产!D548)</f>
        <v>0</v>
      </c>
      <c r="E548" s="2398"/>
      <c r="F548" s="2398"/>
      <c r="G548" s="2398"/>
      <c r="H548" s="2398"/>
      <c r="I548" s="2398"/>
      <c r="J548" s="2436" t="s">
        <v>566</v>
      </c>
    </row>
    <row r="549" spans="1:10">
      <c r="A549" s="2410">
        <f>IF(未审附注之流动资产!A549="",0,未审附注之流动资产!A549)</f>
        <v>0</v>
      </c>
      <c r="B549" s="2403">
        <f>IF(未审附注之流动资产!B549="",0,未审附注之流动资产!B549)</f>
        <v>0</v>
      </c>
      <c r="C549" s="2403">
        <f>IF(未审附注之流动资产!C549="",0,未审附注之流动资产!C549)</f>
        <v>0</v>
      </c>
      <c r="D549" s="2410">
        <f>IF(未审附注之流动资产!D549="",0,未审附注之流动资产!D549)</f>
        <v>0</v>
      </c>
      <c r="E549" s="2398"/>
      <c r="F549" s="2398"/>
      <c r="G549" s="2398"/>
      <c r="H549" s="2398"/>
      <c r="I549" s="2398"/>
      <c r="J549" s="2436" t="s">
        <v>566</v>
      </c>
    </row>
    <row r="550" spans="1:10">
      <c r="A550" s="2410">
        <f>IF(未审附注之流动资产!A550="",0,未审附注之流动资产!A550)</f>
        <v>0</v>
      </c>
      <c r="B550" s="2403">
        <f>IF(未审附注之流动资产!B550="",0,未审附注之流动资产!B550)</f>
        <v>0</v>
      </c>
      <c r="C550" s="2403">
        <f>IF(未审附注之流动资产!C550="",0,未审附注之流动资产!C550)</f>
        <v>0</v>
      </c>
      <c r="D550" s="2410">
        <f>IF(未审附注之流动资产!D550="",0,未审附注之流动资产!D550)</f>
        <v>0</v>
      </c>
      <c r="E550" s="2398"/>
      <c r="F550" s="2398"/>
      <c r="G550" s="2398"/>
      <c r="H550" s="2398"/>
      <c r="I550" s="2398"/>
      <c r="J550" s="2436" t="s">
        <v>566</v>
      </c>
    </row>
    <row r="551" spans="1:10">
      <c r="A551" s="2410">
        <f>IF(未审附注之流动资产!A551="",0,未审附注之流动资产!A551)</f>
        <v>0</v>
      </c>
      <c r="B551" s="2403">
        <f>IF(未审附注之流动资产!B551="",0,未审附注之流动资产!B551)</f>
        <v>0</v>
      </c>
      <c r="C551" s="2403">
        <f>IF(未审附注之流动资产!C551="",0,未审附注之流动资产!C551)</f>
        <v>0</v>
      </c>
      <c r="D551" s="2410">
        <f>IF(未审附注之流动资产!D551="",0,未审附注之流动资产!D551)</f>
        <v>0</v>
      </c>
      <c r="E551" s="2398"/>
      <c r="F551" s="2398"/>
      <c r="G551" s="2398"/>
      <c r="H551" s="2398"/>
      <c r="I551" s="2398"/>
      <c r="J551" s="2436" t="s">
        <v>566</v>
      </c>
    </row>
    <row r="552" spans="1:10">
      <c r="A552" s="2410">
        <f>IF(未审附注之流动资产!A552="",0,未审附注之流动资产!A552)</f>
        <v>0</v>
      </c>
      <c r="B552" s="2403">
        <f>IF(未审附注之流动资产!B552="",0,未审附注之流动资产!B552)</f>
        <v>0</v>
      </c>
      <c r="C552" s="2403">
        <f>IF(未审附注之流动资产!C552="",0,未审附注之流动资产!C552)</f>
        <v>0</v>
      </c>
      <c r="D552" s="2410">
        <f>IF(未审附注之流动资产!D552="",0,未审附注之流动资产!D552)</f>
        <v>0</v>
      </c>
      <c r="E552" s="2398"/>
      <c r="F552" s="2398"/>
      <c r="G552" s="2398"/>
      <c r="H552" s="2398"/>
      <c r="I552" s="2398"/>
      <c r="J552" s="2436" t="s">
        <v>566</v>
      </c>
    </row>
    <row r="553" spans="1:10">
      <c r="A553" s="2410">
        <f>IF(未审附注之流动资产!A553="",0,未审附注之流动资产!A553)</f>
        <v>0</v>
      </c>
      <c r="B553" s="2403">
        <f>IF(未审附注之流动资产!B553="",0,未审附注之流动资产!B553)</f>
        <v>0</v>
      </c>
      <c r="C553" s="2403">
        <f>IF(未审附注之流动资产!C553="",0,未审附注之流动资产!C553)</f>
        <v>0</v>
      </c>
      <c r="D553" s="2410">
        <f>IF(未审附注之流动资产!D553="",0,未审附注之流动资产!D553)</f>
        <v>0</v>
      </c>
      <c r="E553" s="2398"/>
      <c r="F553" s="2398"/>
      <c r="G553" s="2398"/>
      <c r="H553" s="2398"/>
      <c r="I553" s="2398"/>
      <c r="J553" s="2436" t="s">
        <v>566</v>
      </c>
    </row>
    <row r="554" spans="1:10">
      <c r="A554" s="2400" t="s">
        <v>385</v>
      </c>
      <c r="B554" s="2369">
        <f>ROUND(SUM(B544:B553),2)</f>
        <v>0</v>
      </c>
      <c r="C554" s="2369">
        <f>ROUND(SUM(C544:C553),2)</f>
        <v>0</v>
      </c>
      <c r="D554" s="2369"/>
      <c r="E554" s="2398"/>
      <c r="F554" s="2398"/>
      <c r="G554" s="2398"/>
      <c r="H554" s="2398"/>
      <c r="I554" s="2398"/>
      <c r="J554" s="2436" t="s">
        <v>567</v>
      </c>
    </row>
    <row r="555" spans="1:9">
      <c r="A555" s="2421"/>
      <c r="B555" s="2398"/>
      <c r="C555" s="2398"/>
      <c r="D555" s="2398"/>
      <c r="E555" s="2398"/>
      <c r="F555" s="2398"/>
      <c r="G555" s="2398"/>
      <c r="H555" s="2398"/>
      <c r="I555" s="2398"/>
    </row>
    <row r="556" spans="1:9">
      <c r="A556" s="2414" t="s">
        <v>568</v>
      </c>
      <c r="B556" s="2398"/>
      <c r="C556" s="2398"/>
      <c r="D556" s="2398"/>
      <c r="E556" s="2398"/>
      <c r="F556" s="2398"/>
      <c r="G556" s="2398"/>
      <c r="H556" s="2398"/>
      <c r="I556" s="2398"/>
    </row>
    <row r="557" spans="1:9">
      <c r="A557" s="2400" t="s">
        <v>569</v>
      </c>
      <c r="B557" s="2400" t="s">
        <v>316</v>
      </c>
      <c r="C557" s="2400" t="s">
        <v>317</v>
      </c>
      <c r="D557" s="2400" t="s">
        <v>496</v>
      </c>
      <c r="E557" s="2398"/>
      <c r="F557" s="2398"/>
      <c r="G557" s="2398"/>
      <c r="H557" s="2398"/>
      <c r="I557" s="2398"/>
    </row>
    <row r="558" spans="1:10">
      <c r="A558" s="2410">
        <f>IF(未审附注之流动资产!A558="",0,未审附注之流动资产!A558)</f>
        <v>0</v>
      </c>
      <c r="B558" s="2403">
        <f>IF(未审附注之流动资产!B558="",0,未审附注之流动资产!B558)</f>
        <v>0</v>
      </c>
      <c r="C558" s="2403">
        <f>IF(未审附注之流动资产!C558="",0,未审附注之流动资产!C558)</f>
        <v>0</v>
      </c>
      <c r="D558" s="2410">
        <f>IF(未审附注之流动资产!D558="",0,未审附注之流动资产!D558)</f>
        <v>0</v>
      </c>
      <c r="E558" s="2398"/>
      <c r="F558" s="2398"/>
      <c r="G558" s="2398"/>
      <c r="H558" s="2398"/>
      <c r="I558" s="2398"/>
      <c r="J558" s="2436" t="s">
        <v>570</v>
      </c>
    </row>
    <row r="559" spans="1:10">
      <c r="A559" s="2410">
        <f>IF(未审附注之流动资产!A559="",0,未审附注之流动资产!A559)</f>
        <v>0</v>
      </c>
      <c r="B559" s="2403">
        <f>IF(未审附注之流动资产!B559="",0,未审附注之流动资产!B559)</f>
        <v>0</v>
      </c>
      <c r="C559" s="2403">
        <f>IF(未审附注之流动资产!C559="",0,未审附注之流动资产!C559)</f>
        <v>0</v>
      </c>
      <c r="D559" s="2410">
        <f>IF(未审附注之流动资产!D559="",0,未审附注之流动资产!D559)</f>
        <v>0</v>
      </c>
      <c r="E559" s="2398"/>
      <c r="F559" s="2398"/>
      <c r="G559" s="2398"/>
      <c r="H559" s="2398"/>
      <c r="I559" s="2398"/>
      <c r="J559" s="2436" t="s">
        <v>570</v>
      </c>
    </row>
    <row r="560" spans="1:10">
      <c r="A560" s="2410">
        <f>IF(未审附注之流动资产!A560="",0,未审附注之流动资产!A560)</f>
        <v>0</v>
      </c>
      <c r="B560" s="2403">
        <f>IF(未审附注之流动资产!B560="",0,未审附注之流动资产!B560)</f>
        <v>0</v>
      </c>
      <c r="C560" s="2403">
        <f>IF(未审附注之流动资产!C560="",0,未审附注之流动资产!C560)</f>
        <v>0</v>
      </c>
      <c r="D560" s="2410">
        <f>IF(未审附注之流动资产!D560="",0,未审附注之流动资产!D560)</f>
        <v>0</v>
      </c>
      <c r="E560" s="2398"/>
      <c r="F560" s="2398"/>
      <c r="G560" s="2398"/>
      <c r="H560" s="2398"/>
      <c r="I560" s="2398"/>
      <c r="J560" s="2436" t="s">
        <v>570</v>
      </c>
    </row>
    <row r="561" spans="1:10">
      <c r="A561" s="2410">
        <f>IF(未审附注之流动资产!A561="",0,未审附注之流动资产!A561)</f>
        <v>0</v>
      </c>
      <c r="B561" s="2403">
        <f>IF(未审附注之流动资产!B561="",0,未审附注之流动资产!B561)</f>
        <v>0</v>
      </c>
      <c r="C561" s="2403">
        <f>IF(未审附注之流动资产!C561="",0,未审附注之流动资产!C561)</f>
        <v>0</v>
      </c>
      <c r="D561" s="2410">
        <f>IF(未审附注之流动资产!D561="",0,未审附注之流动资产!D561)</f>
        <v>0</v>
      </c>
      <c r="E561" s="2398"/>
      <c r="F561" s="2398"/>
      <c r="G561" s="2398"/>
      <c r="H561" s="2398"/>
      <c r="I561" s="2398"/>
      <c r="J561" s="2436" t="s">
        <v>570</v>
      </c>
    </row>
    <row r="562" spans="1:10">
      <c r="A562" s="2410">
        <f>IF(未审附注之流动资产!A562="",0,未审附注之流动资产!A562)</f>
        <v>0</v>
      </c>
      <c r="B562" s="2403">
        <f>IF(未审附注之流动资产!B562="",0,未审附注之流动资产!B562)</f>
        <v>0</v>
      </c>
      <c r="C562" s="2403">
        <f>IF(未审附注之流动资产!C562="",0,未审附注之流动资产!C562)</f>
        <v>0</v>
      </c>
      <c r="D562" s="2410">
        <f>IF(未审附注之流动资产!D562="",0,未审附注之流动资产!D562)</f>
        <v>0</v>
      </c>
      <c r="E562" s="2398"/>
      <c r="F562" s="2398"/>
      <c r="G562" s="2398"/>
      <c r="H562" s="2398"/>
      <c r="I562" s="2398"/>
      <c r="J562" s="2436" t="s">
        <v>570</v>
      </c>
    </row>
    <row r="563" spans="1:10">
      <c r="A563" s="2410">
        <f>IF(未审附注之流动资产!A563="",0,未审附注之流动资产!A563)</f>
        <v>0</v>
      </c>
      <c r="B563" s="2403">
        <f>IF(未审附注之流动资产!B563="",0,未审附注之流动资产!B563)</f>
        <v>0</v>
      </c>
      <c r="C563" s="2403">
        <f>IF(未审附注之流动资产!C563="",0,未审附注之流动资产!C563)</f>
        <v>0</v>
      </c>
      <c r="D563" s="2410">
        <f>IF(未审附注之流动资产!D563="",0,未审附注之流动资产!D563)</f>
        <v>0</v>
      </c>
      <c r="E563" s="2398"/>
      <c r="F563" s="2398"/>
      <c r="G563" s="2398"/>
      <c r="H563" s="2398"/>
      <c r="I563" s="2398"/>
      <c r="J563" s="2436" t="s">
        <v>570</v>
      </c>
    </row>
    <row r="564" spans="1:10">
      <c r="A564" s="2410">
        <f>IF(未审附注之流动资产!A564="",0,未审附注之流动资产!A564)</f>
        <v>0</v>
      </c>
      <c r="B564" s="2403">
        <f>IF(未审附注之流动资产!B564="",0,未审附注之流动资产!B564)</f>
        <v>0</v>
      </c>
      <c r="C564" s="2403">
        <f>IF(未审附注之流动资产!C564="",0,未审附注之流动资产!C564)</f>
        <v>0</v>
      </c>
      <c r="D564" s="2410">
        <f>IF(未审附注之流动资产!D564="",0,未审附注之流动资产!D564)</f>
        <v>0</v>
      </c>
      <c r="E564" s="2398"/>
      <c r="F564" s="2398"/>
      <c r="G564" s="2398"/>
      <c r="H564" s="2398"/>
      <c r="I564" s="2398"/>
      <c r="J564" s="2436" t="s">
        <v>570</v>
      </c>
    </row>
    <row r="565" spans="1:10">
      <c r="A565" s="2410">
        <f>IF(未审附注之流动资产!A565="",0,未审附注之流动资产!A565)</f>
        <v>0</v>
      </c>
      <c r="B565" s="2403">
        <f>IF(未审附注之流动资产!B565="",0,未审附注之流动资产!B565)</f>
        <v>0</v>
      </c>
      <c r="C565" s="2403">
        <f>IF(未审附注之流动资产!C565="",0,未审附注之流动资产!C565)</f>
        <v>0</v>
      </c>
      <c r="D565" s="2410">
        <f>IF(未审附注之流动资产!D565="",0,未审附注之流动资产!D565)</f>
        <v>0</v>
      </c>
      <c r="E565" s="2398"/>
      <c r="F565" s="2398"/>
      <c r="G565" s="2398"/>
      <c r="H565" s="2398"/>
      <c r="I565" s="2398"/>
      <c r="J565" s="2436" t="s">
        <v>570</v>
      </c>
    </row>
    <row r="566" spans="1:10">
      <c r="A566" s="2410">
        <f>IF(未审附注之流动资产!A566="",0,未审附注之流动资产!A566)</f>
        <v>0</v>
      </c>
      <c r="B566" s="2403">
        <f>IF(未审附注之流动资产!B566="",0,未审附注之流动资产!B566)</f>
        <v>0</v>
      </c>
      <c r="C566" s="2403">
        <f>IF(未审附注之流动资产!C566="",0,未审附注之流动资产!C566)</f>
        <v>0</v>
      </c>
      <c r="D566" s="2410">
        <f>IF(未审附注之流动资产!D566="",0,未审附注之流动资产!D566)</f>
        <v>0</v>
      </c>
      <c r="E566" s="2398"/>
      <c r="F566" s="2398"/>
      <c r="G566" s="2398"/>
      <c r="H566" s="2398"/>
      <c r="I566" s="2398"/>
      <c r="J566" s="2436" t="s">
        <v>570</v>
      </c>
    </row>
    <row r="567" spans="1:10">
      <c r="A567" s="2410">
        <f>IF(未审附注之流动资产!A567="",0,未审附注之流动资产!A567)</f>
        <v>0</v>
      </c>
      <c r="B567" s="2403">
        <f>IF(未审附注之流动资产!B567="",0,未审附注之流动资产!B567)</f>
        <v>0</v>
      </c>
      <c r="C567" s="2403">
        <f>IF(未审附注之流动资产!C567="",0,未审附注之流动资产!C567)</f>
        <v>0</v>
      </c>
      <c r="D567" s="2410">
        <f>IF(未审附注之流动资产!D567="",0,未审附注之流动资产!D567)</f>
        <v>0</v>
      </c>
      <c r="E567" s="2398"/>
      <c r="F567" s="2398"/>
      <c r="G567" s="2398"/>
      <c r="H567" s="2398"/>
      <c r="I567" s="2398"/>
      <c r="J567" s="2436" t="s">
        <v>570</v>
      </c>
    </row>
    <row r="568" spans="1:10">
      <c r="A568" s="2400" t="s">
        <v>385</v>
      </c>
      <c r="B568" s="2369">
        <f>ROUND(SUM(B558:B567),2)</f>
        <v>0</v>
      </c>
      <c r="C568" s="2369">
        <f>ROUND(SUM(C558:C567),2)</f>
        <v>0</v>
      </c>
      <c r="D568" s="2369"/>
      <c r="E568" s="2398"/>
      <c r="F568" s="2398"/>
      <c r="G568" s="2398"/>
      <c r="H568" s="2398"/>
      <c r="I568" s="2398"/>
      <c r="J568" s="2436" t="s">
        <v>571</v>
      </c>
    </row>
    <row r="569" spans="1:9">
      <c r="A569" s="2421"/>
      <c r="B569" s="2398"/>
      <c r="C569" s="2398"/>
      <c r="D569" s="2398"/>
      <c r="E569" s="2398"/>
      <c r="F569" s="2398"/>
      <c r="G569" s="2398"/>
      <c r="H569" s="2398"/>
      <c r="I569" s="2398"/>
    </row>
    <row r="570" spans="1:9">
      <c r="A570" s="2414" t="s">
        <v>572</v>
      </c>
      <c r="B570" s="2398"/>
      <c r="C570" s="2398"/>
      <c r="D570" s="2398"/>
      <c r="E570" s="2398"/>
      <c r="F570" s="2398"/>
      <c r="G570" s="2398"/>
      <c r="H570" s="2398"/>
      <c r="I570" s="2398"/>
    </row>
    <row r="571" spans="1:9">
      <c r="A571" s="2400" t="s">
        <v>315</v>
      </c>
      <c r="B571" s="2400" t="s">
        <v>316</v>
      </c>
      <c r="C571" s="2400" t="s">
        <v>489</v>
      </c>
      <c r="D571" s="2400" t="s">
        <v>573</v>
      </c>
      <c r="E571" s="2398"/>
      <c r="F571" s="2398"/>
      <c r="G571" s="2398"/>
      <c r="H571" s="2398"/>
      <c r="I571" s="2398"/>
    </row>
    <row r="572" spans="1:10">
      <c r="A572" s="2410">
        <f>IF(未审附注之流动资产!A572="",0,未审附注之流动资产!A572)</f>
        <v>0</v>
      </c>
      <c r="B572" s="2403">
        <f>IF(未审附注之流动资产!B572="",0,未审附注之流动资产!B572)</f>
        <v>0</v>
      </c>
      <c r="C572" s="2410">
        <f>IF(未审附注之流动资产!C572="",0,未审附注之流动资产!C572)</f>
        <v>0</v>
      </c>
      <c r="D572" s="2410">
        <f>IF(未审附注之流动资产!D572="",0,未审附注之流动资产!D572)</f>
        <v>0</v>
      </c>
      <c r="E572" s="2398"/>
      <c r="F572" s="2398"/>
      <c r="G572" s="2398"/>
      <c r="H572" s="2398"/>
      <c r="I572" s="2398"/>
      <c r="J572" s="2436" t="s">
        <v>574</v>
      </c>
    </row>
    <row r="573" spans="1:10">
      <c r="A573" s="2410">
        <f>IF(未审附注之流动资产!A573="",0,未审附注之流动资产!A573)</f>
        <v>0</v>
      </c>
      <c r="B573" s="2403">
        <f>IF(未审附注之流动资产!B573="",0,未审附注之流动资产!B573)</f>
        <v>0</v>
      </c>
      <c r="C573" s="2410">
        <f>IF(未审附注之流动资产!C573="",0,未审附注之流动资产!C573)</f>
        <v>0</v>
      </c>
      <c r="D573" s="2410">
        <f>IF(未审附注之流动资产!D573="",0,未审附注之流动资产!D573)</f>
        <v>0</v>
      </c>
      <c r="E573" s="2398"/>
      <c r="F573" s="2398"/>
      <c r="G573" s="2398"/>
      <c r="H573" s="2398"/>
      <c r="I573" s="2398"/>
      <c r="J573" s="2436" t="s">
        <v>574</v>
      </c>
    </row>
    <row r="574" spans="1:10">
      <c r="A574" s="2410">
        <f>IF(未审附注之流动资产!A574="",0,未审附注之流动资产!A574)</f>
        <v>0</v>
      </c>
      <c r="B574" s="2403">
        <f>IF(未审附注之流动资产!B574="",0,未审附注之流动资产!B574)</f>
        <v>0</v>
      </c>
      <c r="C574" s="2410">
        <f>IF(未审附注之流动资产!C574="",0,未审附注之流动资产!C574)</f>
        <v>0</v>
      </c>
      <c r="D574" s="2410">
        <f>IF(未审附注之流动资产!D574="",0,未审附注之流动资产!D574)</f>
        <v>0</v>
      </c>
      <c r="E574" s="2398"/>
      <c r="F574" s="2398"/>
      <c r="G574" s="2398"/>
      <c r="H574" s="2398"/>
      <c r="I574" s="2398"/>
      <c r="J574" s="2436" t="s">
        <v>574</v>
      </c>
    </row>
    <row r="575" spans="1:10">
      <c r="A575" s="2410">
        <f>IF(未审附注之流动资产!A575="",0,未审附注之流动资产!A575)</f>
        <v>0</v>
      </c>
      <c r="B575" s="2403">
        <f>IF(未审附注之流动资产!B575="",0,未审附注之流动资产!B575)</f>
        <v>0</v>
      </c>
      <c r="C575" s="2410">
        <f>IF(未审附注之流动资产!C575="",0,未审附注之流动资产!C575)</f>
        <v>0</v>
      </c>
      <c r="D575" s="2410">
        <f>IF(未审附注之流动资产!D575="",0,未审附注之流动资产!D575)</f>
        <v>0</v>
      </c>
      <c r="E575" s="2398"/>
      <c r="F575" s="2398"/>
      <c r="G575" s="2398"/>
      <c r="H575" s="2398"/>
      <c r="I575" s="2398"/>
      <c r="J575" s="2436" t="s">
        <v>574</v>
      </c>
    </row>
    <row r="576" spans="1:10">
      <c r="A576" s="2410">
        <f>IF(未审附注之流动资产!A576="",0,未审附注之流动资产!A576)</f>
        <v>0</v>
      </c>
      <c r="B576" s="2403">
        <f>IF(未审附注之流动资产!B576="",0,未审附注之流动资产!B576)</f>
        <v>0</v>
      </c>
      <c r="C576" s="2410">
        <f>IF(未审附注之流动资产!C576="",0,未审附注之流动资产!C576)</f>
        <v>0</v>
      </c>
      <c r="D576" s="2410">
        <f>IF(未审附注之流动资产!D576="",0,未审附注之流动资产!D576)</f>
        <v>0</v>
      </c>
      <c r="E576" s="2398"/>
      <c r="F576" s="2398"/>
      <c r="G576" s="2398"/>
      <c r="H576" s="2398"/>
      <c r="I576" s="2398"/>
      <c r="J576" s="2436" t="s">
        <v>574</v>
      </c>
    </row>
    <row r="577" spans="1:10">
      <c r="A577" s="2410">
        <f>IF(未审附注之流动资产!A577="",0,未审附注之流动资产!A577)</f>
        <v>0</v>
      </c>
      <c r="B577" s="2403">
        <f>IF(未审附注之流动资产!B577="",0,未审附注之流动资产!B577)</f>
        <v>0</v>
      </c>
      <c r="C577" s="2410">
        <f>IF(未审附注之流动资产!C577="",0,未审附注之流动资产!C577)</f>
        <v>0</v>
      </c>
      <c r="D577" s="2410">
        <f>IF(未审附注之流动资产!D577="",0,未审附注之流动资产!D577)</f>
        <v>0</v>
      </c>
      <c r="E577" s="2398"/>
      <c r="F577" s="2398"/>
      <c r="G577" s="2398"/>
      <c r="H577" s="2398"/>
      <c r="I577" s="2398"/>
      <c r="J577" s="2436" t="s">
        <v>574</v>
      </c>
    </row>
    <row r="578" spans="1:10">
      <c r="A578" s="2410">
        <f>IF(未审附注之流动资产!A578="",0,未审附注之流动资产!A578)</f>
        <v>0</v>
      </c>
      <c r="B578" s="2403">
        <f>IF(未审附注之流动资产!B578="",0,未审附注之流动资产!B578)</f>
        <v>0</v>
      </c>
      <c r="C578" s="2410">
        <f>IF(未审附注之流动资产!C578="",0,未审附注之流动资产!C578)</f>
        <v>0</v>
      </c>
      <c r="D578" s="2410">
        <f>IF(未审附注之流动资产!D578="",0,未审附注之流动资产!D578)</f>
        <v>0</v>
      </c>
      <c r="E578" s="2398"/>
      <c r="F578" s="2398"/>
      <c r="G578" s="2398"/>
      <c r="H578" s="2398"/>
      <c r="I578" s="2398"/>
      <c r="J578" s="2436" t="s">
        <v>574</v>
      </c>
    </row>
    <row r="579" spans="1:10">
      <c r="A579" s="2410">
        <f>IF(未审附注之流动资产!A579="",0,未审附注之流动资产!A579)</f>
        <v>0</v>
      </c>
      <c r="B579" s="2403">
        <f>IF(未审附注之流动资产!B579="",0,未审附注之流动资产!B579)</f>
        <v>0</v>
      </c>
      <c r="C579" s="2410">
        <f>IF(未审附注之流动资产!C579="",0,未审附注之流动资产!C579)</f>
        <v>0</v>
      </c>
      <c r="D579" s="2410">
        <f>IF(未审附注之流动资产!D579="",0,未审附注之流动资产!D579)</f>
        <v>0</v>
      </c>
      <c r="E579" s="2398"/>
      <c r="F579" s="2398"/>
      <c r="G579" s="2398"/>
      <c r="H579" s="2398"/>
      <c r="I579" s="2398"/>
      <c r="J579" s="2436" t="s">
        <v>574</v>
      </c>
    </row>
    <row r="580" spans="1:10">
      <c r="A580" s="2410">
        <f>IF(未审附注之流动资产!A580="",0,未审附注之流动资产!A580)</f>
        <v>0</v>
      </c>
      <c r="B580" s="2403">
        <f>IF(未审附注之流动资产!B580="",0,未审附注之流动资产!B580)</f>
        <v>0</v>
      </c>
      <c r="C580" s="2410">
        <f>IF(未审附注之流动资产!C580="",0,未审附注之流动资产!C580)</f>
        <v>0</v>
      </c>
      <c r="D580" s="2410">
        <f>IF(未审附注之流动资产!D580="",0,未审附注之流动资产!D580)</f>
        <v>0</v>
      </c>
      <c r="E580" s="2398"/>
      <c r="F580" s="2398"/>
      <c r="G580" s="2398"/>
      <c r="H580" s="2398"/>
      <c r="I580" s="2398"/>
      <c r="J580" s="2436" t="s">
        <v>574</v>
      </c>
    </row>
    <row r="581" spans="1:10">
      <c r="A581" s="2410">
        <f>IF(未审附注之流动资产!A581="",0,未审附注之流动资产!A581)</f>
        <v>0</v>
      </c>
      <c r="B581" s="2403">
        <f>IF(未审附注之流动资产!B581="",0,未审附注之流动资产!B581)</f>
        <v>0</v>
      </c>
      <c r="C581" s="2410">
        <f>IF(未审附注之流动资产!C581="",0,未审附注之流动资产!C581)</f>
        <v>0</v>
      </c>
      <c r="D581" s="2410">
        <f>IF(未审附注之流动资产!D581="",0,未审附注之流动资产!D581)</f>
        <v>0</v>
      </c>
      <c r="E581" s="2398"/>
      <c r="F581" s="2398"/>
      <c r="G581" s="2398"/>
      <c r="H581" s="2398"/>
      <c r="I581" s="2398"/>
      <c r="J581" s="2436" t="s">
        <v>574</v>
      </c>
    </row>
    <row r="582" spans="1:10">
      <c r="A582" s="2400" t="s">
        <v>385</v>
      </c>
      <c r="B582" s="2369">
        <f>ROUND(SUM(B572:B581),2)</f>
        <v>0</v>
      </c>
      <c r="C582" s="2369"/>
      <c r="D582" s="2369"/>
      <c r="E582" s="2398"/>
      <c r="F582" s="2398"/>
      <c r="G582" s="2398"/>
      <c r="H582" s="2398"/>
      <c r="I582" s="2398"/>
      <c r="J582" s="2436" t="s">
        <v>575</v>
      </c>
    </row>
    <row r="583" spans="1:9">
      <c r="A583" s="2421"/>
      <c r="B583" s="2398"/>
      <c r="C583" s="2398"/>
      <c r="D583" s="2398"/>
      <c r="E583" s="2398"/>
      <c r="F583" s="2398"/>
      <c r="G583" s="2398"/>
      <c r="H583" s="2398"/>
      <c r="I583" s="2398"/>
    </row>
    <row r="584" spans="1:9">
      <c r="A584" s="2414" t="s">
        <v>576</v>
      </c>
      <c r="B584" s="2398"/>
      <c r="C584" s="2398"/>
      <c r="D584" s="2398"/>
      <c r="E584" s="2398"/>
      <c r="F584" s="2398"/>
      <c r="G584" s="2398"/>
      <c r="H584" s="2398"/>
      <c r="I584" s="2398"/>
    </row>
    <row r="585" spans="1:9">
      <c r="A585" s="2400" t="s">
        <v>577</v>
      </c>
      <c r="B585" s="2398"/>
      <c r="C585" s="2398"/>
      <c r="D585" s="2398"/>
      <c r="E585" s="2398"/>
      <c r="F585" s="2398"/>
      <c r="G585" s="2398"/>
      <c r="H585" s="2398"/>
      <c r="I585" s="2398"/>
    </row>
    <row r="586" spans="1:10">
      <c r="A586" s="2410">
        <f>IF(未审附注之流动资产!A586="",0,未审附注之流动资产!A586)</f>
        <v>0</v>
      </c>
      <c r="B586" s="2398"/>
      <c r="C586" s="2398"/>
      <c r="D586" s="2398"/>
      <c r="E586" s="2398"/>
      <c r="F586" s="2398"/>
      <c r="G586" s="2398"/>
      <c r="H586" s="2398"/>
      <c r="I586" s="2398"/>
      <c r="J586" s="2436" t="s">
        <v>578</v>
      </c>
    </row>
    <row r="587" spans="1:9">
      <c r="A587" s="2421"/>
      <c r="B587" s="2398"/>
      <c r="C587" s="2398"/>
      <c r="D587" s="2398"/>
      <c r="E587" s="2398"/>
      <c r="F587" s="2398"/>
      <c r="G587" s="2398"/>
      <c r="H587" s="2398"/>
      <c r="I587" s="2398"/>
    </row>
    <row r="588" spans="1:9">
      <c r="A588" s="2421"/>
      <c r="B588" s="2398"/>
      <c r="C588" s="2398"/>
      <c r="D588" s="2398"/>
      <c r="E588" s="2398"/>
      <c r="F588" s="2398"/>
      <c r="G588" s="2398"/>
      <c r="H588" s="2398"/>
      <c r="I588" s="2398"/>
    </row>
    <row r="589" spans="1:9">
      <c r="A589" s="2397" t="s">
        <v>579</v>
      </c>
      <c r="B589" s="2398"/>
      <c r="C589" s="2398"/>
      <c r="D589" s="2398"/>
      <c r="E589" s="2398"/>
      <c r="F589" s="2398"/>
      <c r="G589" s="2398"/>
      <c r="H589" s="2398"/>
      <c r="I589" s="2398"/>
    </row>
    <row r="590" spans="1:9">
      <c r="A590" s="2399" t="s">
        <v>580</v>
      </c>
      <c r="B590" s="2398"/>
      <c r="C590" s="2398"/>
      <c r="D590" s="2398"/>
      <c r="E590" s="2398"/>
      <c r="F590" s="2398"/>
      <c r="G590" s="2398"/>
      <c r="H590" s="2398"/>
      <c r="I590" s="2398"/>
    </row>
    <row r="591" spans="1:11">
      <c r="A591" s="2400" t="s">
        <v>581</v>
      </c>
      <c r="B591" s="2432" t="s">
        <v>317</v>
      </c>
      <c r="C591" s="2474"/>
      <c r="D591" s="2407" t="s">
        <v>582</v>
      </c>
      <c r="E591" s="2407" t="s">
        <v>583</v>
      </c>
      <c r="F591" s="2432" t="s">
        <v>316</v>
      </c>
      <c r="G591" s="2474"/>
      <c r="H591" s="2398"/>
      <c r="I591" s="2398"/>
      <c r="K591" s="2460"/>
    </row>
    <row r="592" spans="1:11">
      <c r="A592" s="2400"/>
      <c r="B592" s="2400" t="s">
        <v>444</v>
      </c>
      <c r="C592" s="2400" t="s">
        <v>584</v>
      </c>
      <c r="D592" s="2408"/>
      <c r="E592" s="2408"/>
      <c r="F592" s="2400" t="s">
        <v>444</v>
      </c>
      <c r="G592" s="2400" t="s">
        <v>584</v>
      </c>
      <c r="H592" s="2398"/>
      <c r="I592" s="2398"/>
      <c r="K592" s="2460"/>
    </row>
    <row r="593" spans="1:11">
      <c r="A593" s="2447" t="s">
        <v>585</v>
      </c>
      <c r="B593" s="2403">
        <f>IF(未审附注之流动资产!B593="",0,未审附注之流动资产!B593)</f>
        <v>0</v>
      </c>
      <c r="C593" s="2403">
        <f>IF(未审附注之流动资产!C593="",0,未审附注之流动资产!C593)</f>
        <v>0</v>
      </c>
      <c r="D593" s="2403">
        <f>IF(未审附注之流动资产!D593="",0,未审附注之流动资产!D593)</f>
        <v>0</v>
      </c>
      <c r="E593" s="2403">
        <f>IF(未审附注之流动资产!E593="",0,未审附注之流动资产!E593)</f>
        <v>0</v>
      </c>
      <c r="F593" s="2369">
        <f t="shared" ref="F593:F603" si="10">ROUND(B593+D593-E593,2)</f>
        <v>0</v>
      </c>
      <c r="G593" s="2403">
        <f>IF(未审附注之流动资产!G593="",0,未审附注之流动资产!G593)</f>
        <v>0</v>
      </c>
      <c r="H593" s="2398"/>
      <c r="I593" s="2398"/>
      <c r="J593" s="2436" t="s">
        <v>586</v>
      </c>
      <c r="K593" s="2460"/>
    </row>
    <row r="594" spans="1:11">
      <c r="A594" s="2447" t="s">
        <v>587</v>
      </c>
      <c r="B594" s="2403">
        <f>IF(未审附注之流动资产!B594="",0,未审附注之流动资产!B594)</f>
        <v>0</v>
      </c>
      <c r="C594" s="2403">
        <f>IF(未审附注之流动资产!C594="",0,未审附注之流动资产!C594)</f>
        <v>0</v>
      </c>
      <c r="D594" s="2403">
        <f>IF(未审附注之流动资产!D594="",0,未审附注之流动资产!D594)</f>
        <v>0</v>
      </c>
      <c r="E594" s="2403">
        <f>IF(未审附注之流动资产!E594="",0,未审附注之流动资产!E594)</f>
        <v>0</v>
      </c>
      <c r="F594" s="2369">
        <f t="shared" si="10"/>
        <v>0</v>
      </c>
      <c r="G594" s="2403">
        <f>IF(未审附注之流动资产!G594="",0,未审附注之流动资产!G594)</f>
        <v>0</v>
      </c>
      <c r="H594" s="2398"/>
      <c r="I594" s="2398"/>
      <c r="J594" s="2436" t="s">
        <v>588</v>
      </c>
      <c r="K594" s="2460"/>
    </row>
    <row r="595" spans="1:11">
      <c r="A595" s="2402" t="s">
        <v>589</v>
      </c>
      <c r="B595" s="2403">
        <f>IF(未审附注之流动资产!B595="",0,未审附注之流动资产!B595)</f>
        <v>0</v>
      </c>
      <c r="C595" s="2403">
        <f>IF(未审附注之流动资产!C595="",0,未审附注之流动资产!C595)</f>
        <v>0</v>
      </c>
      <c r="D595" s="2403">
        <f>IF(未审附注之流动资产!D595="",0,未审附注之流动资产!D595)</f>
        <v>0</v>
      </c>
      <c r="E595" s="2403">
        <f>IF(未审附注之流动资产!E595="",0,未审附注之流动资产!E595)</f>
        <v>0</v>
      </c>
      <c r="F595" s="2369">
        <f t="shared" si="10"/>
        <v>0</v>
      </c>
      <c r="G595" s="2403">
        <f>IF(未审附注之流动资产!G595="",0,未审附注之流动资产!G595)</f>
        <v>0</v>
      </c>
      <c r="H595" s="2398"/>
      <c r="I595" s="2398"/>
      <c r="J595" s="2436" t="s">
        <v>590</v>
      </c>
      <c r="K595" s="2460"/>
    </row>
    <row r="596" spans="1:11">
      <c r="A596" s="2402" t="s">
        <v>591</v>
      </c>
      <c r="B596" s="2403">
        <f>IF(未审附注之流动资产!B596="",0,未审附注之流动资产!B596)</f>
        <v>0</v>
      </c>
      <c r="C596" s="2403">
        <f>IF(未审附注之流动资产!C596="",0,未审附注之流动资产!C596)</f>
        <v>0</v>
      </c>
      <c r="D596" s="2403">
        <f>IF(未审附注之流动资产!D596="",0,未审附注之流动资产!D596)</f>
        <v>0</v>
      </c>
      <c r="E596" s="2403">
        <f>IF(未审附注之流动资产!E596="",0,未审附注之流动资产!E596)</f>
        <v>0</v>
      </c>
      <c r="F596" s="2369">
        <f t="shared" si="10"/>
        <v>0</v>
      </c>
      <c r="G596" s="2403">
        <f>IF(未审附注之流动资产!G596="",0,未审附注之流动资产!G596)</f>
        <v>0</v>
      </c>
      <c r="H596" s="2398"/>
      <c r="I596" s="2398"/>
      <c r="J596" s="2436" t="s">
        <v>592</v>
      </c>
      <c r="K596" s="2460"/>
    </row>
    <row r="597" spans="1:11">
      <c r="A597" s="2402" t="s">
        <v>593</v>
      </c>
      <c r="B597" s="2403">
        <f>IF(未审附注之流动资产!B597="",0,未审附注之流动资产!B597)</f>
        <v>0</v>
      </c>
      <c r="C597" s="2403">
        <f>IF(未审附注之流动资产!C597="",0,未审附注之流动资产!C597)</f>
        <v>0</v>
      </c>
      <c r="D597" s="2403">
        <f>IF(未审附注之流动资产!D597="",0,未审附注之流动资产!D597)</f>
        <v>0</v>
      </c>
      <c r="E597" s="2403">
        <f>IF(未审附注之流动资产!E597="",0,未审附注之流动资产!E597)</f>
        <v>0</v>
      </c>
      <c r="F597" s="2369">
        <f t="shared" si="10"/>
        <v>0</v>
      </c>
      <c r="G597" s="2403">
        <f>IF(未审附注之流动资产!G597="",0,未审附注之流动资产!G597)</f>
        <v>0</v>
      </c>
      <c r="H597" s="2398"/>
      <c r="I597" s="2398"/>
      <c r="J597" s="2436" t="s">
        <v>594</v>
      </c>
      <c r="K597" s="2460"/>
    </row>
    <row r="598" spans="1:11">
      <c r="A598" s="2402" t="s">
        <v>595</v>
      </c>
      <c r="B598" s="2403">
        <f>IF(未审附注之流动资产!B598="",0,未审附注之流动资产!B598)</f>
        <v>0</v>
      </c>
      <c r="C598" s="2403">
        <f>IF(未审附注之流动资产!C598="",0,未审附注之流动资产!C598)</f>
        <v>0</v>
      </c>
      <c r="D598" s="2403">
        <f>IF(未审附注之流动资产!D598="",0,未审附注之流动资产!D598)</f>
        <v>0</v>
      </c>
      <c r="E598" s="2403">
        <f>IF(未审附注之流动资产!E598="",0,未审附注之流动资产!E598)</f>
        <v>0</v>
      </c>
      <c r="F598" s="2369">
        <f t="shared" si="10"/>
        <v>0</v>
      </c>
      <c r="G598" s="2403">
        <f>IF(未审附注之流动资产!G598="",0,未审附注之流动资产!G598)</f>
        <v>0</v>
      </c>
      <c r="H598" s="2398"/>
      <c r="I598" s="2398"/>
      <c r="J598" s="2436" t="s">
        <v>596</v>
      </c>
      <c r="K598" s="2460"/>
    </row>
    <row r="599" spans="1:11">
      <c r="A599" s="2402" t="s">
        <v>597</v>
      </c>
      <c r="B599" s="2403">
        <f>IF(未审附注之流动资产!B599="",0,未审附注之流动资产!B599)</f>
        <v>0</v>
      </c>
      <c r="C599" s="2403">
        <f>IF(未审附注之流动资产!C599="",0,未审附注之流动资产!C599)</f>
        <v>0</v>
      </c>
      <c r="D599" s="2403">
        <f>IF(未审附注之流动资产!D599="",0,未审附注之流动资产!D599)</f>
        <v>0</v>
      </c>
      <c r="E599" s="2403">
        <f>IF(未审附注之流动资产!E599="",0,未审附注之流动资产!E599)</f>
        <v>0</v>
      </c>
      <c r="F599" s="2369">
        <f t="shared" si="10"/>
        <v>0</v>
      </c>
      <c r="G599" s="2403">
        <f>IF(未审附注之流动资产!G599="",0,未审附注之流动资产!G599)</f>
        <v>0</v>
      </c>
      <c r="H599" s="2398"/>
      <c r="I599" s="2398"/>
      <c r="J599" s="2436" t="s">
        <v>598</v>
      </c>
      <c r="K599" s="2460"/>
    </row>
    <row r="600" spans="1:11">
      <c r="A600" s="2402" t="s">
        <v>599</v>
      </c>
      <c r="B600" s="2403">
        <f>IF(未审附注之流动资产!B600="",0,未审附注之流动资产!B600)</f>
        <v>0</v>
      </c>
      <c r="C600" s="2403">
        <f>IF(未审附注之流动资产!C600="",0,未审附注之流动资产!C600)</f>
        <v>0</v>
      </c>
      <c r="D600" s="2403">
        <f>IF(未审附注之流动资产!D600="",0,未审附注之流动资产!D600)</f>
        <v>0</v>
      </c>
      <c r="E600" s="2403">
        <f>IF(未审附注之流动资产!E600="",0,未审附注之流动资产!E600)</f>
        <v>0</v>
      </c>
      <c r="F600" s="2369">
        <f t="shared" si="10"/>
        <v>0</v>
      </c>
      <c r="G600" s="2403">
        <f>IF(未审附注之流动资产!G600="",0,未审附注之流动资产!G600)</f>
        <v>0</v>
      </c>
      <c r="H600" s="2398"/>
      <c r="I600" s="2398"/>
      <c r="J600" s="2436" t="s">
        <v>600</v>
      </c>
      <c r="K600" s="2460"/>
    </row>
    <row r="601" spans="1:11">
      <c r="A601" s="2402" t="s">
        <v>601</v>
      </c>
      <c r="B601" s="2403">
        <f>IF(未审附注之流动资产!B601="",0,未审附注之流动资产!B601)</f>
        <v>0</v>
      </c>
      <c r="C601" s="2403">
        <f>IF(未审附注之流动资产!C601="",0,未审附注之流动资产!C601)</f>
        <v>0</v>
      </c>
      <c r="D601" s="2403">
        <f>IF(未审附注之流动资产!D601="",0,未审附注之流动资产!D601)</f>
        <v>0</v>
      </c>
      <c r="E601" s="2403">
        <f>IF(未审附注之流动资产!E601="",0,未审附注之流动资产!E601)</f>
        <v>0</v>
      </c>
      <c r="F601" s="2369">
        <f t="shared" si="10"/>
        <v>0</v>
      </c>
      <c r="G601" s="2403">
        <f>IF(未审附注之流动资产!G601="",0,未审附注之流动资产!G601)</f>
        <v>0</v>
      </c>
      <c r="H601" s="2398"/>
      <c r="I601" s="2398"/>
      <c r="J601" s="2436" t="s">
        <v>602</v>
      </c>
      <c r="K601" s="2460"/>
    </row>
    <row r="602" spans="1:11">
      <c r="A602" s="2402" t="s">
        <v>603</v>
      </c>
      <c r="B602" s="2403">
        <f>IF(未审附注之流动资产!B602="",0,未审附注之流动资产!B602)</f>
        <v>0</v>
      </c>
      <c r="C602" s="2403">
        <f>IF(未审附注之流动资产!C602="",0,未审附注之流动资产!C602)</f>
        <v>0</v>
      </c>
      <c r="D602" s="2403">
        <f>IF(未审附注之流动资产!D602="",0,未审附注之流动资产!D602)</f>
        <v>0</v>
      </c>
      <c r="E602" s="2403">
        <f>IF(未审附注之流动资产!E602="",0,未审附注之流动资产!E602)</f>
        <v>0</v>
      </c>
      <c r="F602" s="2369">
        <f t="shared" si="10"/>
        <v>0</v>
      </c>
      <c r="G602" s="2403">
        <f>IF(未审附注之流动资产!G602="",0,未审附注之流动资产!G602)</f>
        <v>0</v>
      </c>
      <c r="H602" s="2398"/>
      <c r="I602" s="2398"/>
      <c r="J602" s="2436" t="s">
        <v>604</v>
      </c>
      <c r="K602" s="2460"/>
    </row>
    <row r="603" spans="1:11">
      <c r="A603" s="2402" t="s">
        <v>280</v>
      </c>
      <c r="B603" s="2403">
        <f>IF(未审附注之流动资产!B603="",0,未审附注之流动资产!B603)</f>
        <v>0</v>
      </c>
      <c r="C603" s="2403">
        <f>IF(未审附注之流动资产!C603="",0,未审附注之流动资产!C603)</f>
        <v>0</v>
      </c>
      <c r="D603" s="2403">
        <f>IF(未审附注之流动资产!D603="",0,未审附注之流动资产!D603)</f>
        <v>0</v>
      </c>
      <c r="E603" s="2403">
        <f>IF(未审附注之流动资产!E603="",0,未审附注之流动资产!E603)</f>
        <v>0</v>
      </c>
      <c r="F603" s="2369">
        <f t="shared" si="10"/>
        <v>0</v>
      </c>
      <c r="G603" s="2403">
        <f>IF(未审附注之流动资产!G603="",0,未审附注之流动资产!G603)</f>
        <v>0</v>
      </c>
      <c r="H603" s="2398"/>
      <c r="I603" s="2398"/>
      <c r="J603" s="2436" t="s">
        <v>605</v>
      </c>
      <c r="K603" s="2460"/>
    </row>
    <row r="604" spans="1:11">
      <c r="A604" s="2400" t="s">
        <v>385</v>
      </c>
      <c r="B604" s="2369">
        <f t="shared" ref="B604:G604" si="11">ROUND(SUM(B593:B603),2)</f>
        <v>0</v>
      </c>
      <c r="C604" s="2369">
        <f t="shared" si="11"/>
        <v>0</v>
      </c>
      <c r="D604" s="2369">
        <f t="shared" si="11"/>
        <v>0</v>
      </c>
      <c r="E604" s="2369">
        <f t="shared" si="11"/>
        <v>0</v>
      </c>
      <c r="F604" s="2369">
        <f t="shared" si="11"/>
        <v>0</v>
      </c>
      <c r="G604" s="2369">
        <f t="shared" si="11"/>
        <v>0</v>
      </c>
      <c r="H604" s="2398"/>
      <c r="I604" s="2398"/>
      <c r="J604" s="2436" t="s">
        <v>606</v>
      </c>
      <c r="K604" s="2460"/>
    </row>
    <row r="605" spans="1:9">
      <c r="A605" s="2421"/>
      <c r="B605" s="2398"/>
      <c r="C605" s="2398"/>
      <c r="D605" s="2398"/>
      <c r="E605" s="2398"/>
      <c r="F605" s="2398"/>
      <c r="G605" s="2398"/>
      <c r="H605" s="2398"/>
      <c r="I605" s="2398"/>
    </row>
    <row r="606" spans="1:9">
      <c r="A606" s="2399" t="s">
        <v>607</v>
      </c>
      <c r="B606" s="2398"/>
      <c r="C606" s="2398"/>
      <c r="D606" s="2398"/>
      <c r="E606" s="2398"/>
      <c r="F606" s="2398"/>
      <c r="G606" s="2398"/>
      <c r="H606" s="2398"/>
      <c r="I606" s="2398"/>
    </row>
    <row r="607" spans="1:9">
      <c r="A607" s="2407" t="s">
        <v>581</v>
      </c>
      <c r="B607" s="2400" t="s">
        <v>317</v>
      </c>
      <c r="C607" s="2400" t="s">
        <v>608</v>
      </c>
      <c r="D607" s="2432" t="s">
        <v>583</v>
      </c>
      <c r="E607" s="2433"/>
      <c r="F607" s="2400" t="s">
        <v>316</v>
      </c>
      <c r="G607" s="2400" t="s">
        <v>609</v>
      </c>
      <c r="H607" s="2400" t="s">
        <v>610</v>
      </c>
      <c r="I607" s="2400" t="s">
        <v>611</v>
      </c>
    </row>
    <row r="608" spans="1:9">
      <c r="A608" s="2434"/>
      <c r="B608" s="2401"/>
      <c r="C608" s="2401"/>
      <c r="D608" s="2400" t="s">
        <v>612</v>
      </c>
      <c r="E608" s="2400" t="s">
        <v>613</v>
      </c>
      <c r="F608" s="2401"/>
      <c r="G608" s="2401"/>
      <c r="H608" s="2401"/>
      <c r="I608" s="2401"/>
    </row>
    <row r="609" spans="1:10">
      <c r="A609" s="2447" t="s">
        <v>585</v>
      </c>
      <c r="B609" s="2403">
        <f>IF(未审附注之流动资产!B609="",0,未审附注之流动资产!B609)</f>
        <v>0</v>
      </c>
      <c r="C609" s="2403">
        <f>IF(未审附注之流动资产!C609="",0,未审附注之流动资产!C609)</f>
        <v>0</v>
      </c>
      <c r="D609" s="2403">
        <f>IF(未审附注之流动资产!D609="",0,未审附注之流动资产!D609)</f>
        <v>0</v>
      </c>
      <c r="E609" s="2403">
        <f>IF(未审附注之流动资产!E609="",0,未审附注之流动资产!E609)</f>
        <v>0</v>
      </c>
      <c r="F609" s="2369">
        <f>ROUND(B609+C609-D609-E609,2)</f>
        <v>0</v>
      </c>
      <c r="G609" s="2410">
        <f>IF(未审附注之流动资产!G609="",0,未审附注之流动资产!G609)</f>
        <v>0</v>
      </c>
      <c r="H609" s="2410">
        <f>IF(未审附注之流动资产!H609="",0,未审附注之流动资产!H609)</f>
        <v>0</v>
      </c>
      <c r="I609" s="2435">
        <f>IF(F593=0,0,ROUND(D609/F593,4))</f>
        <v>0</v>
      </c>
      <c r="J609" s="2436" t="s">
        <v>614</v>
      </c>
    </row>
    <row r="610" spans="1:10">
      <c r="A610" s="2447" t="s">
        <v>587</v>
      </c>
      <c r="B610" s="2403">
        <f>IF(未审附注之流动资产!B610="",0,未审附注之流动资产!B610)</f>
        <v>0</v>
      </c>
      <c r="C610" s="2403">
        <f>IF(未审附注之流动资产!C610="",0,未审附注之流动资产!C610)</f>
        <v>0</v>
      </c>
      <c r="D610" s="2403">
        <f>IF(未审附注之流动资产!D610="",0,未审附注之流动资产!D610)</f>
        <v>0</v>
      </c>
      <c r="E610" s="2403">
        <f>IF(未审附注之流动资产!E610="",0,未审附注之流动资产!E610)</f>
        <v>0</v>
      </c>
      <c r="F610" s="2369">
        <f t="shared" ref="F610:F619" si="12">ROUND(B610+C610-D610-E610,2)</f>
        <v>0</v>
      </c>
      <c r="G610" s="2410">
        <f>IF(未审附注之流动资产!G610="",0,未审附注之流动资产!G610)</f>
        <v>0</v>
      </c>
      <c r="H610" s="2410">
        <f>IF(未审附注之流动资产!H610="",0,未审附注之流动资产!H610)</f>
        <v>0</v>
      </c>
      <c r="I610" s="2435">
        <f t="shared" ref="I610:I620" si="13">IF(F594=0,0,ROUND(D610/F594,4))</f>
        <v>0</v>
      </c>
      <c r="J610" s="2436" t="s">
        <v>615</v>
      </c>
    </row>
    <row r="611" spans="1:10">
      <c r="A611" s="2402" t="s">
        <v>589</v>
      </c>
      <c r="B611" s="2403">
        <f>IF(未审附注之流动资产!B611="",0,未审附注之流动资产!B611)</f>
        <v>0</v>
      </c>
      <c r="C611" s="2403">
        <f>IF(未审附注之流动资产!C611="",0,未审附注之流动资产!C611)</f>
        <v>0</v>
      </c>
      <c r="D611" s="2403">
        <f>IF(未审附注之流动资产!D611="",0,未审附注之流动资产!D611)</f>
        <v>0</v>
      </c>
      <c r="E611" s="2403">
        <f>IF(未审附注之流动资产!E611="",0,未审附注之流动资产!E611)</f>
        <v>0</v>
      </c>
      <c r="F611" s="2369">
        <f t="shared" si="12"/>
        <v>0</v>
      </c>
      <c r="G611" s="2410">
        <f>IF(未审附注之流动资产!G611="",0,未审附注之流动资产!G611)</f>
        <v>0</v>
      </c>
      <c r="H611" s="2410">
        <f>IF(未审附注之流动资产!H611="",0,未审附注之流动资产!H611)</f>
        <v>0</v>
      </c>
      <c r="I611" s="2435">
        <f t="shared" si="13"/>
        <v>0</v>
      </c>
      <c r="J611" s="2436" t="s">
        <v>616</v>
      </c>
    </row>
    <row r="612" spans="1:10">
      <c r="A612" s="2402" t="s">
        <v>591</v>
      </c>
      <c r="B612" s="2403">
        <f>IF(未审附注之流动资产!B612="",0,未审附注之流动资产!B612)</f>
        <v>0</v>
      </c>
      <c r="C612" s="2403">
        <f>IF(未审附注之流动资产!C612="",0,未审附注之流动资产!C612)</f>
        <v>0</v>
      </c>
      <c r="D612" s="2403">
        <f>IF(未审附注之流动资产!D612="",0,未审附注之流动资产!D612)</f>
        <v>0</v>
      </c>
      <c r="E612" s="2403">
        <f>IF(未审附注之流动资产!E612="",0,未审附注之流动资产!E612)</f>
        <v>0</v>
      </c>
      <c r="F612" s="2369">
        <f t="shared" si="12"/>
        <v>0</v>
      </c>
      <c r="G612" s="2410">
        <f>IF(未审附注之流动资产!G612="",0,未审附注之流动资产!G612)</f>
        <v>0</v>
      </c>
      <c r="H612" s="2410">
        <f>IF(未审附注之流动资产!H612="",0,未审附注之流动资产!H612)</f>
        <v>0</v>
      </c>
      <c r="I612" s="2435">
        <f t="shared" si="13"/>
        <v>0</v>
      </c>
      <c r="J612" s="2436" t="s">
        <v>617</v>
      </c>
    </row>
    <row r="613" spans="1:10">
      <c r="A613" s="2402" t="s">
        <v>593</v>
      </c>
      <c r="B613" s="2403">
        <f>IF(未审附注之流动资产!B613="",0,未审附注之流动资产!B613)</f>
        <v>0</v>
      </c>
      <c r="C613" s="2403">
        <f>IF(未审附注之流动资产!C613="",0,未审附注之流动资产!C613)</f>
        <v>0</v>
      </c>
      <c r="D613" s="2403">
        <f>IF(未审附注之流动资产!D613="",0,未审附注之流动资产!D613)</f>
        <v>0</v>
      </c>
      <c r="E613" s="2403">
        <f>IF(未审附注之流动资产!E613="",0,未审附注之流动资产!E613)</f>
        <v>0</v>
      </c>
      <c r="F613" s="2369">
        <f t="shared" si="12"/>
        <v>0</v>
      </c>
      <c r="G613" s="2410">
        <f>IF(未审附注之流动资产!G613="",0,未审附注之流动资产!G613)</f>
        <v>0</v>
      </c>
      <c r="H613" s="2410">
        <f>IF(未审附注之流动资产!H613="",0,未审附注之流动资产!H613)</f>
        <v>0</v>
      </c>
      <c r="I613" s="2435">
        <f t="shared" si="13"/>
        <v>0</v>
      </c>
      <c r="J613" s="2436" t="s">
        <v>618</v>
      </c>
    </row>
    <row r="614" spans="1:10">
      <c r="A614" s="2402" t="s">
        <v>595</v>
      </c>
      <c r="B614" s="2403">
        <f>IF(未审附注之流动资产!B614="",0,未审附注之流动资产!B614)</f>
        <v>0</v>
      </c>
      <c r="C614" s="2403">
        <f>IF(未审附注之流动资产!C614="",0,未审附注之流动资产!C614)</f>
        <v>0</v>
      </c>
      <c r="D614" s="2403">
        <f>IF(未审附注之流动资产!D614="",0,未审附注之流动资产!D614)</f>
        <v>0</v>
      </c>
      <c r="E614" s="2403">
        <f>IF(未审附注之流动资产!E614="",0,未审附注之流动资产!E614)</f>
        <v>0</v>
      </c>
      <c r="F614" s="2369">
        <f t="shared" si="12"/>
        <v>0</v>
      </c>
      <c r="G614" s="2410">
        <f>IF(未审附注之流动资产!G614="",0,未审附注之流动资产!G614)</f>
        <v>0</v>
      </c>
      <c r="H614" s="2410">
        <f>IF(未审附注之流动资产!H614="",0,未审附注之流动资产!H614)</f>
        <v>0</v>
      </c>
      <c r="I614" s="2435">
        <f t="shared" si="13"/>
        <v>0</v>
      </c>
      <c r="J614" s="2436" t="s">
        <v>619</v>
      </c>
    </row>
    <row r="615" spans="1:10">
      <c r="A615" s="2402" t="s">
        <v>597</v>
      </c>
      <c r="B615" s="2403">
        <f>IF(未审附注之流动资产!B615="",0,未审附注之流动资产!B615)</f>
        <v>0</v>
      </c>
      <c r="C615" s="2403">
        <f>IF(未审附注之流动资产!C615="",0,未审附注之流动资产!C615)</f>
        <v>0</v>
      </c>
      <c r="D615" s="2403">
        <f>IF(未审附注之流动资产!D615="",0,未审附注之流动资产!D615)</f>
        <v>0</v>
      </c>
      <c r="E615" s="2403">
        <f>IF(未审附注之流动资产!E615="",0,未审附注之流动资产!E615)</f>
        <v>0</v>
      </c>
      <c r="F615" s="2369">
        <f t="shared" si="12"/>
        <v>0</v>
      </c>
      <c r="G615" s="2410">
        <f>IF(未审附注之流动资产!G615="",0,未审附注之流动资产!G615)</f>
        <v>0</v>
      </c>
      <c r="H615" s="2410">
        <f>IF(未审附注之流动资产!H615="",0,未审附注之流动资产!H615)</f>
        <v>0</v>
      </c>
      <c r="I615" s="2435">
        <f t="shared" si="13"/>
        <v>0</v>
      </c>
      <c r="J615" s="2436" t="s">
        <v>620</v>
      </c>
    </row>
    <row r="616" spans="1:10">
      <c r="A616" s="2402" t="s">
        <v>599</v>
      </c>
      <c r="B616" s="2403">
        <f>IF(未审附注之流动资产!B616="",0,未审附注之流动资产!B616)</f>
        <v>0</v>
      </c>
      <c r="C616" s="2403">
        <f>IF(未审附注之流动资产!C616="",0,未审附注之流动资产!C616)</f>
        <v>0</v>
      </c>
      <c r="D616" s="2403">
        <f>IF(未审附注之流动资产!D616="",0,未审附注之流动资产!D616)</f>
        <v>0</v>
      </c>
      <c r="E616" s="2403">
        <f>IF(未审附注之流动资产!E616="",0,未审附注之流动资产!E616)</f>
        <v>0</v>
      </c>
      <c r="F616" s="2369">
        <f t="shared" si="12"/>
        <v>0</v>
      </c>
      <c r="G616" s="2410">
        <f>IF(未审附注之流动资产!G616="",0,未审附注之流动资产!G616)</f>
        <v>0</v>
      </c>
      <c r="H616" s="2410">
        <f>IF(未审附注之流动资产!H616="",0,未审附注之流动资产!H616)</f>
        <v>0</v>
      </c>
      <c r="I616" s="2435">
        <f t="shared" si="13"/>
        <v>0</v>
      </c>
      <c r="J616" s="2436" t="s">
        <v>621</v>
      </c>
    </row>
    <row r="617" spans="1:10">
      <c r="A617" s="2402" t="s">
        <v>601</v>
      </c>
      <c r="B617" s="2403">
        <f>IF(未审附注之流动资产!B617="",0,未审附注之流动资产!B617)</f>
        <v>0</v>
      </c>
      <c r="C617" s="2403">
        <f>IF(未审附注之流动资产!C617="",0,未审附注之流动资产!C617)</f>
        <v>0</v>
      </c>
      <c r="D617" s="2403">
        <f>IF(未审附注之流动资产!D617="",0,未审附注之流动资产!D617)</f>
        <v>0</v>
      </c>
      <c r="E617" s="2403">
        <f>IF(未审附注之流动资产!E617="",0,未审附注之流动资产!E617)</f>
        <v>0</v>
      </c>
      <c r="F617" s="2369">
        <f t="shared" si="12"/>
        <v>0</v>
      </c>
      <c r="G617" s="2410">
        <f>IF(未审附注之流动资产!G617="",0,未审附注之流动资产!G617)</f>
        <v>0</v>
      </c>
      <c r="H617" s="2410">
        <f>IF(未审附注之流动资产!H617="",0,未审附注之流动资产!H617)</f>
        <v>0</v>
      </c>
      <c r="I617" s="2435">
        <f t="shared" si="13"/>
        <v>0</v>
      </c>
      <c r="J617" s="2436" t="s">
        <v>622</v>
      </c>
    </row>
    <row r="618" spans="1:10">
      <c r="A618" s="2402" t="s">
        <v>603</v>
      </c>
      <c r="B618" s="2403">
        <f>IF(未审附注之流动资产!B618="",0,未审附注之流动资产!B618)</f>
        <v>0</v>
      </c>
      <c r="C618" s="2403">
        <f>IF(未审附注之流动资产!C618="",0,未审附注之流动资产!C618)</f>
        <v>0</v>
      </c>
      <c r="D618" s="2403">
        <f>IF(未审附注之流动资产!D618="",0,未审附注之流动资产!D618)</f>
        <v>0</v>
      </c>
      <c r="E618" s="2403">
        <f>IF(未审附注之流动资产!E618="",0,未审附注之流动资产!E618)</f>
        <v>0</v>
      </c>
      <c r="F618" s="2369">
        <f t="shared" si="12"/>
        <v>0</v>
      </c>
      <c r="G618" s="2410">
        <f>IF(未审附注之流动资产!G618="",0,未审附注之流动资产!G618)</f>
        <v>0</v>
      </c>
      <c r="H618" s="2410">
        <f>IF(未审附注之流动资产!H618="",0,未审附注之流动资产!H618)</f>
        <v>0</v>
      </c>
      <c r="I618" s="2435">
        <f t="shared" si="13"/>
        <v>0</v>
      </c>
      <c r="J618" s="2436" t="s">
        <v>623</v>
      </c>
    </row>
    <row r="619" spans="1:10">
      <c r="A619" s="2402" t="s">
        <v>280</v>
      </c>
      <c r="B619" s="2403">
        <f>IF(未审附注之流动资产!B619="",0,未审附注之流动资产!B619)</f>
        <v>0</v>
      </c>
      <c r="C619" s="2403">
        <f>IF(未审附注之流动资产!C619="",0,未审附注之流动资产!C619)</f>
        <v>0</v>
      </c>
      <c r="D619" s="2403">
        <f>IF(未审附注之流动资产!D619="",0,未审附注之流动资产!D619)</f>
        <v>0</v>
      </c>
      <c r="E619" s="2403">
        <f>IF(未审附注之流动资产!E619="",0,未审附注之流动资产!E619)</f>
        <v>0</v>
      </c>
      <c r="F619" s="2369">
        <f t="shared" si="12"/>
        <v>0</v>
      </c>
      <c r="G619" s="2410">
        <f>IF(未审附注之流动资产!G619="",0,未审附注之流动资产!G619)</f>
        <v>0</v>
      </c>
      <c r="H619" s="2410">
        <f>IF(未审附注之流动资产!H619="",0,未审附注之流动资产!H619)</f>
        <v>0</v>
      </c>
      <c r="I619" s="2435">
        <f t="shared" si="13"/>
        <v>0</v>
      </c>
      <c r="J619" s="2436" t="s">
        <v>624</v>
      </c>
    </row>
    <row r="620" spans="1:10">
      <c r="A620" s="2400" t="s">
        <v>385</v>
      </c>
      <c r="B620" s="2369">
        <f>ROUND(SUM(B609:B619),2)</f>
        <v>0</v>
      </c>
      <c r="C620" s="2369">
        <f>ROUND(SUM(C609:C619),2)</f>
        <v>0</v>
      </c>
      <c r="D620" s="2369">
        <f>ROUND(SUM(D609:D619),2)</f>
        <v>0</v>
      </c>
      <c r="E620" s="2369">
        <f>ROUND(SUM(E609:E619),2)</f>
        <v>0</v>
      </c>
      <c r="F620" s="2369">
        <f>ROUND(SUM(F609:F619),2)</f>
        <v>0</v>
      </c>
      <c r="G620" s="2369"/>
      <c r="H620" s="2369"/>
      <c r="I620" s="2411">
        <f t="shared" si="13"/>
        <v>0</v>
      </c>
      <c r="J620" s="2436" t="s">
        <v>625</v>
      </c>
    </row>
    <row r="621" spans="1:9">
      <c r="A621" s="2437"/>
      <c r="B621" s="2437"/>
      <c r="C621" s="2437"/>
      <c r="D621" s="2437"/>
      <c r="E621" s="2437"/>
      <c r="F621" s="2437"/>
      <c r="G621" s="2437"/>
      <c r="H621" s="2437"/>
      <c r="I621" s="2437"/>
    </row>
    <row r="622" spans="1:9">
      <c r="A622" s="2421"/>
      <c r="B622" s="2398"/>
      <c r="C622" s="2398"/>
      <c r="D622" s="2398"/>
      <c r="E622" s="2398"/>
      <c r="F622" s="2398"/>
      <c r="G622" s="2398"/>
      <c r="H622" s="2398"/>
      <c r="I622" s="2398"/>
    </row>
    <row r="623" spans="1:9">
      <c r="A623" s="2397" t="s">
        <v>626</v>
      </c>
      <c r="B623" s="2398"/>
      <c r="C623" s="2398"/>
      <c r="D623" s="2398"/>
      <c r="E623" s="2398"/>
      <c r="F623" s="2398"/>
      <c r="G623" s="2398"/>
      <c r="H623" s="2398"/>
      <c r="I623" s="2398"/>
    </row>
    <row r="624" spans="1:9">
      <c r="A624" s="2400" t="s">
        <v>373</v>
      </c>
      <c r="B624" s="2400" t="s">
        <v>627</v>
      </c>
      <c r="C624" s="2400" t="s">
        <v>628</v>
      </c>
      <c r="D624" s="2400" t="s">
        <v>573</v>
      </c>
      <c r="E624" s="2400" t="s">
        <v>489</v>
      </c>
      <c r="F624" s="2398"/>
      <c r="G624" s="2398"/>
      <c r="H624" s="2398"/>
      <c r="I624" s="2398"/>
    </row>
    <row r="625" spans="1:10">
      <c r="A625" s="2410">
        <f>IF(未审附注之流动资产!A625="",0,未审附注之流动资产!A625)</f>
        <v>0</v>
      </c>
      <c r="B625" s="2403">
        <f>IF(未审附注之流动资产!B625="",0,未审附注之流动资产!B625)</f>
        <v>0</v>
      </c>
      <c r="C625" s="2403">
        <f>IF(未审附注之流动资产!C625="",0,未审附注之流动资产!C625)</f>
        <v>0</v>
      </c>
      <c r="D625" s="2410">
        <f>IF(未审附注之流动资产!D625="",0,未审附注之流动资产!D625)</f>
        <v>0</v>
      </c>
      <c r="E625" s="2410">
        <f>IF(未审附注之流动资产!E625="",0,未审附注之流动资产!E625)</f>
        <v>0</v>
      </c>
      <c r="F625" s="2398"/>
      <c r="G625" s="2398"/>
      <c r="H625" s="2398"/>
      <c r="I625" s="2398"/>
      <c r="J625" s="2436" t="s">
        <v>216</v>
      </c>
    </row>
    <row r="626" spans="1:10">
      <c r="A626" s="2410">
        <f>IF(未审附注之流动资产!A626="",0,未审附注之流动资产!A626)</f>
        <v>0</v>
      </c>
      <c r="B626" s="2403">
        <f>IF(未审附注之流动资产!B626="",0,未审附注之流动资产!B626)</f>
        <v>0</v>
      </c>
      <c r="C626" s="2403">
        <f>IF(未审附注之流动资产!C626="",0,未审附注之流动资产!C626)</f>
        <v>0</v>
      </c>
      <c r="D626" s="2410">
        <f>IF(未审附注之流动资产!D626="",0,未审附注之流动资产!D626)</f>
        <v>0</v>
      </c>
      <c r="E626" s="2410">
        <f>IF(未审附注之流动资产!E626="",0,未审附注之流动资产!E626)</f>
        <v>0</v>
      </c>
      <c r="F626" s="2398"/>
      <c r="G626" s="2398"/>
      <c r="H626" s="2398"/>
      <c r="I626" s="2398"/>
      <c r="J626" s="2436" t="s">
        <v>216</v>
      </c>
    </row>
    <row r="627" spans="1:10">
      <c r="A627" s="2410">
        <f>IF(未审附注之流动资产!A627="",0,未审附注之流动资产!A627)</f>
        <v>0</v>
      </c>
      <c r="B627" s="2403">
        <f>IF(未审附注之流动资产!B627="",0,未审附注之流动资产!B627)</f>
        <v>0</v>
      </c>
      <c r="C627" s="2403">
        <f>IF(未审附注之流动资产!C627="",0,未审附注之流动资产!C627)</f>
        <v>0</v>
      </c>
      <c r="D627" s="2410">
        <f>IF(未审附注之流动资产!D627="",0,未审附注之流动资产!D627)</f>
        <v>0</v>
      </c>
      <c r="E627" s="2410">
        <f>IF(未审附注之流动资产!E627="",0,未审附注之流动资产!E627)</f>
        <v>0</v>
      </c>
      <c r="F627" s="2398"/>
      <c r="G627" s="2398"/>
      <c r="H627" s="2398"/>
      <c r="I627" s="2398"/>
      <c r="J627" s="2436" t="s">
        <v>216</v>
      </c>
    </row>
    <row r="628" spans="1:10">
      <c r="A628" s="2410">
        <f>IF(未审附注之流动资产!A628="",0,未审附注之流动资产!A628)</f>
        <v>0</v>
      </c>
      <c r="B628" s="2403">
        <f>IF(未审附注之流动资产!B628="",0,未审附注之流动资产!B628)</f>
        <v>0</v>
      </c>
      <c r="C628" s="2403">
        <f>IF(未审附注之流动资产!C628="",0,未审附注之流动资产!C628)</f>
        <v>0</v>
      </c>
      <c r="D628" s="2410">
        <f>IF(未审附注之流动资产!D628="",0,未审附注之流动资产!D628)</f>
        <v>0</v>
      </c>
      <c r="E628" s="2410">
        <f>IF(未审附注之流动资产!E628="",0,未审附注之流动资产!E628)</f>
        <v>0</v>
      </c>
      <c r="F628" s="2398"/>
      <c r="G628" s="2398"/>
      <c r="H628" s="2398"/>
      <c r="I628" s="2398"/>
      <c r="J628" s="2436" t="s">
        <v>216</v>
      </c>
    </row>
    <row r="629" spans="1:10">
      <c r="A629" s="2410">
        <f>IF(未审附注之流动资产!A629="",0,未审附注之流动资产!A629)</f>
        <v>0</v>
      </c>
      <c r="B629" s="2403">
        <f>IF(未审附注之流动资产!B629="",0,未审附注之流动资产!B629)</f>
        <v>0</v>
      </c>
      <c r="C629" s="2403">
        <f>IF(未审附注之流动资产!C629="",0,未审附注之流动资产!C629)</f>
        <v>0</v>
      </c>
      <c r="D629" s="2410">
        <f>IF(未审附注之流动资产!D629="",0,未审附注之流动资产!D629)</f>
        <v>0</v>
      </c>
      <c r="E629" s="2410">
        <f>IF(未审附注之流动资产!E629="",0,未审附注之流动资产!E629)</f>
        <v>0</v>
      </c>
      <c r="F629" s="2398"/>
      <c r="G629" s="2398"/>
      <c r="H629" s="2398"/>
      <c r="I629" s="2398"/>
      <c r="J629" s="2436" t="s">
        <v>216</v>
      </c>
    </row>
    <row r="630" spans="1:10">
      <c r="A630" s="2410">
        <f>IF(未审附注之流动资产!A630="",0,未审附注之流动资产!A630)</f>
        <v>0</v>
      </c>
      <c r="B630" s="2403">
        <f>IF(未审附注之流动资产!B630="",0,未审附注之流动资产!B630)</f>
        <v>0</v>
      </c>
      <c r="C630" s="2403">
        <f>IF(未审附注之流动资产!C630="",0,未审附注之流动资产!C630)</f>
        <v>0</v>
      </c>
      <c r="D630" s="2410">
        <f>IF(未审附注之流动资产!D630="",0,未审附注之流动资产!D630)</f>
        <v>0</v>
      </c>
      <c r="E630" s="2410">
        <f>IF(未审附注之流动资产!E630="",0,未审附注之流动资产!E630)</f>
        <v>0</v>
      </c>
      <c r="F630" s="2398"/>
      <c r="G630" s="2398"/>
      <c r="H630" s="2398"/>
      <c r="I630" s="2398"/>
      <c r="J630" s="2436" t="s">
        <v>216</v>
      </c>
    </row>
    <row r="631" spans="1:10">
      <c r="A631" s="2410">
        <f>IF(未审附注之流动资产!A631="",0,未审附注之流动资产!A631)</f>
        <v>0</v>
      </c>
      <c r="B631" s="2403">
        <f>IF(未审附注之流动资产!B631="",0,未审附注之流动资产!B631)</f>
        <v>0</v>
      </c>
      <c r="C631" s="2403">
        <f>IF(未审附注之流动资产!C631="",0,未审附注之流动资产!C631)</f>
        <v>0</v>
      </c>
      <c r="D631" s="2410">
        <f>IF(未审附注之流动资产!D631="",0,未审附注之流动资产!D631)</f>
        <v>0</v>
      </c>
      <c r="E631" s="2410">
        <f>IF(未审附注之流动资产!E631="",0,未审附注之流动资产!E631)</f>
        <v>0</v>
      </c>
      <c r="F631" s="2398"/>
      <c r="G631" s="2398"/>
      <c r="H631" s="2398"/>
      <c r="I631" s="2398"/>
      <c r="J631" s="2436" t="s">
        <v>216</v>
      </c>
    </row>
    <row r="632" spans="1:10">
      <c r="A632" s="2410">
        <f>IF(未审附注之流动资产!A632="",0,未审附注之流动资产!A632)</f>
        <v>0</v>
      </c>
      <c r="B632" s="2403">
        <f>IF(未审附注之流动资产!B632="",0,未审附注之流动资产!B632)</f>
        <v>0</v>
      </c>
      <c r="C632" s="2403">
        <f>IF(未审附注之流动资产!C632="",0,未审附注之流动资产!C632)</f>
        <v>0</v>
      </c>
      <c r="D632" s="2410">
        <f>IF(未审附注之流动资产!D632="",0,未审附注之流动资产!D632)</f>
        <v>0</v>
      </c>
      <c r="E632" s="2410">
        <f>IF(未审附注之流动资产!E632="",0,未审附注之流动资产!E632)</f>
        <v>0</v>
      </c>
      <c r="F632" s="2398"/>
      <c r="G632" s="2398"/>
      <c r="H632" s="2398"/>
      <c r="I632" s="2398"/>
      <c r="J632" s="2436" t="s">
        <v>216</v>
      </c>
    </row>
    <row r="633" spans="1:10">
      <c r="A633" s="2410">
        <f>IF(未审附注之流动资产!A633="",0,未审附注之流动资产!A633)</f>
        <v>0</v>
      </c>
      <c r="B633" s="2403">
        <f>IF(未审附注之流动资产!B633="",0,未审附注之流动资产!B633)</f>
        <v>0</v>
      </c>
      <c r="C633" s="2403">
        <f>IF(未审附注之流动资产!C633="",0,未审附注之流动资产!C633)</f>
        <v>0</v>
      </c>
      <c r="D633" s="2410">
        <f>IF(未审附注之流动资产!D633="",0,未审附注之流动资产!D633)</f>
        <v>0</v>
      </c>
      <c r="E633" s="2410">
        <f>IF(未审附注之流动资产!E633="",0,未审附注之流动资产!E633)</f>
        <v>0</v>
      </c>
      <c r="F633" s="2398"/>
      <c r="G633" s="2398"/>
      <c r="H633" s="2398"/>
      <c r="I633" s="2398"/>
      <c r="J633" s="2436" t="s">
        <v>216</v>
      </c>
    </row>
    <row r="634" spans="1:10">
      <c r="A634" s="2410">
        <f>IF(未审附注之流动资产!A634="",0,未审附注之流动资产!A634)</f>
        <v>0</v>
      </c>
      <c r="B634" s="2403">
        <f>IF(未审附注之流动资产!B634="",0,未审附注之流动资产!B634)</f>
        <v>0</v>
      </c>
      <c r="C634" s="2403">
        <f>IF(未审附注之流动资产!C634="",0,未审附注之流动资产!C634)</f>
        <v>0</v>
      </c>
      <c r="D634" s="2410">
        <f>IF(未审附注之流动资产!D634="",0,未审附注之流动资产!D634)</f>
        <v>0</v>
      </c>
      <c r="E634" s="2410">
        <f>IF(未审附注之流动资产!E634="",0,未审附注之流动资产!E634)</f>
        <v>0</v>
      </c>
      <c r="F634" s="2398"/>
      <c r="G634" s="2398"/>
      <c r="H634" s="2398"/>
      <c r="I634" s="2398"/>
      <c r="J634" s="2436" t="s">
        <v>216</v>
      </c>
    </row>
    <row r="635" spans="1:10">
      <c r="A635" s="2400" t="s">
        <v>385</v>
      </c>
      <c r="B635" s="2369">
        <f>ROUND(SUM(B625:B634),2)</f>
        <v>0</v>
      </c>
      <c r="C635" s="2369">
        <f>ROUND(SUM(C625:C634),2)</f>
        <v>0</v>
      </c>
      <c r="D635" s="2369"/>
      <c r="E635" s="2369"/>
      <c r="F635" s="2398"/>
      <c r="G635" s="2398"/>
      <c r="H635" s="2398"/>
      <c r="I635" s="2398"/>
      <c r="J635" s="2436" t="s">
        <v>629</v>
      </c>
    </row>
    <row r="636" spans="1:10">
      <c r="A636" s="2456"/>
      <c r="B636" s="2398"/>
      <c r="C636" s="2398"/>
      <c r="D636" s="2398"/>
      <c r="E636" s="2398"/>
      <c r="F636" s="2398"/>
      <c r="G636" s="2398"/>
      <c r="H636" s="2398"/>
      <c r="I636" s="2398"/>
      <c r="J636" s="2436" t="s">
        <v>630</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4.25"/>
  <cols>
    <col min="1" max="1" width="37.75" customWidth="1"/>
    <col min="2" max="9" width="12.25" customWidth="1"/>
    <col min="10" max="10" width="31.25" hidden="1" customWidth="1"/>
  </cols>
  <sheetData>
    <row r="1" ht="25.5" spans="1:9">
      <c r="A1" s="2395" t="s">
        <v>1973</v>
      </c>
      <c r="B1" s="2395"/>
      <c r="C1" s="2395"/>
      <c r="D1" s="2395"/>
      <c r="E1" s="2395"/>
      <c r="F1" s="2395"/>
      <c r="G1" s="2395"/>
      <c r="H1" s="2395"/>
      <c r="I1" s="2395"/>
    </row>
    <row r="2" spans="1:9">
      <c r="A2" s="2443" t="s">
        <v>631</v>
      </c>
      <c r="B2" s="2444"/>
      <c r="C2" s="2444"/>
      <c r="D2" s="2444"/>
      <c r="E2" s="2444"/>
      <c r="F2" s="2444"/>
      <c r="G2" s="2444"/>
      <c r="H2" s="2444"/>
      <c r="I2" s="2444"/>
    </row>
    <row r="3" spans="1:9">
      <c r="A3" s="2445" t="s">
        <v>314</v>
      </c>
      <c r="B3" s="2444"/>
      <c r="C3" s="2444"/>
      <c r="D3" s="2444"/>
      <c r="E3" s="2444"/>
      <c r="F3" s="2444"/>
      <c r="G3" s="2444"/>
      <c r="H3" s="2444"/>
      <c r="I3" s="2444"/>
    </row>
    <row r="4" spans="1:9">
      <c r="A4" s="2407" t="s">
        <v>373</v>
      </c>
      <c r="B4" s="2400" t="s">
        <v>316</v>
      </c>
      <c r="C4" s="2400"/>
      <c r="D4" s="2400"/>
      <c r="E4" s="2400" t="s">
        <v>317</v>
      </c>
      <c r="F4" s="2400"/>
      <c r="G4" s="2400"/>
      <c r="H4" s="2417"/>
      <c r="I4" s="2417"/>
    </row>
    <row r="5" spans="1:9">
      <c r="A5" s="2408"/>
      <c r="B5" s="2400" t="s">
        <v>444</v>
      </c>
      <c r="C5" s="2400" t="s">
        <v>632</v>
      </c>
      <c r="D5" s="2426" t="s">
        <v>633</v>
      </c>
      <c r="E5" s="2400" t="s">
        <v>444</v>
      </c>
      <c r="F5" s="2400" t="s">
        <v>632</v>
      </c>
      <c r="G5" s="2426" t="s">
        <v>633</v>
      </c>
      <c r="H5" s="2446"/>
      <c r="I5" s="2446"/>
    </row>
    <row r="6" spans="1:10">
      <c r="A6" s="2447" t="s">
        <v>634</v>
      </c>
      <c r="B6" s="2403">
        <f>IF(未审附注之非流动资产!B6="",0,未审附注之非流动资产!B6)</f>
        <v>0</v>
      </c>
      <c r="C6" s="2403">
        <f>IF(未审附注之非流动资产!C6="",0,未审附注之非流动资产!C6)</f>
        <v>0</v>
      </c>
      <c r="D6" s="2435">
        <f>IF(B6=0,0,ROUND(C6/B6,4))</f>
        <v>0</v>
      </c>
      <c r="E6" s="2403">
        <f>IF(未审附注之非流动资产!E6="",0,未审附注之非流动资产!E6)</f>
        <v>0</v>
      </c>
      <c r="F6" s="2403">
        <f>IF(未审附注之非流动资产!F6="",0,未审附注之非流动资产!F6)</f>
        <v>0</v>
      </c>
      <c r="G6" s="2435">
        <f>IF(E6=0,0,ROUND(F6/E6,4))</f>
        <v>0</v>
      </c>
      <c r="H6" s="2448"/>
      <c r="I6" s="2448"/>
      <c r="J6" s="2453" t="s">
        <v>635</v>
      </c>
    </row>
    <row r="7" spans="1:10">
      <c r="A7" s="2447" t="s">
        <v>636</v>
      </c>
      <c r="B7" s="2403">
        <f>IF(未审附注之非流动资产!B7="",0,未审附注之非流动资产!B7)</f>
        <v>0</v>
      </c>
      <c r="C7" s="2403">
        <f>IF(未审附注之非流动资产!C7="",0,未审附注之非流动资产!C7)</f>
        <v>0</v>
      </c>
      <c r="D7" s="2435">
        <f>IF(B7=0,0,ROUND(C7/B7,4))</f>
        <v>0</v>
      </c>
      <c r="E7" s="2403">
        <f>IF(未审附注之非流动资产!E7="",0,未审附注之非流动资产!E7)</f>
        <v>0</v>
      </c>
      <c r="F7" s="2403">
        <f>IF(未审附注之非流动资产!F7="",0,未审附注之非流动资产!F7)</f>
        <v>0</v>
      </c>
      <c r="G7" s="2435">
        <f>IF(E7=0,0,ROUND(F7/E7,4))</f>
        <v>0</v>
      </c>
      <c r="H7" s="2448"/>
      <c r="I7" s="2448"/>
      <c r="J7" s="2453" t="s">
        <v>637</v>
      </c>
    </row>
    <row r="8" spans="1:10">
      <c r="A8" s="2447" t="s">
        <v>280</v>
      </c>
      <c r="B8" s="2403">
        <f>IF(未审附注之非流动资产!B8="",0,未审附注之非流动资产!B8)</f>
        <v>0</v>
      </c>
      <c r="C8" s="2403">
        <f>IF(未审附注之非流动资产!C8="",0,未审附注之非流动资产!C8)</f>
        <v>0</v>
      </c>
      <c r="D8" s="2435">
        <f>IF(B8=0,0,ROUND(C8/B8,4))</f>
        <v>0</v>
      </c>
      <c r="E8" s="2403">
        <f>IF(未审附注之非流动资产!E8="",0,未审附注之非流动资产!E8)</f>
        <v>0</v>
      </c>
      <c r="F8" s="2403">
        <f>IF(未审附注之非流动资产!F8="",0,未审附注之非流动资产!F8)</f>
        <v>0</v>
      </c>
      <c r="G8" s="2435">
        <f>IF(E8=0,0,ROUND(F8/E8,4))</f>
        <v>0</v>
      </c>
      <c r="H8" s="2448"/>
      <c r="I8" s="2448"/>
      <c r="J8" s="2453" t="s">
        <v>638</v>
      </c>
    </row>
    <row r="9" spans="1:10">
      <c r="A9" s="2400" t="s">
        <v>385</v>
      </c>
      <c r="B9" s="2449">
        <f>ROUND(SUM(B6:B8),2)</f>
        <v>0</v>
      </c>
      <c r="C9" s="2449">
        <f>ROUND(SUM(C6:C8),2)</f>
        <v>0</v>
      </c>
      <c r="D9" s="2411">
        <f>IF(B9=0,0,ROUND(C9/B9,4))</f>
        <v>0</v>
      </c>
      <c r="E9" s="2449">
        <f>ROUND(SUM(E6:E8),2)</f>
        <v>0</v>
      </c>
      <c r="F9" s="2449">
        <f>ROUND(SUM(F6:F8),2)</f>
        <v>0</v>
      </c>
      <c r="G9" s="2411">
        <f>IF(E9=0,0,ROUND(F9/E9,4))</f>
        <v>0</v>
      </c>
      <c r="H9" s="2440"/>
      <c r="I9" s="2440"/>
      <c r="J9" s="2453" t="s">
        <v>639</v>
      </c>
    </row>
    <row r="10" spans="1:9">
      <c r="A10" s="2450"/>
      <c r="B10" s="2412"/>
      <c r="C10" s="2412"/>
      <c r="D10" s="2444"/>
      <c r="E10" s="2444"/>
      <c r="F10" s="2444"/>
      <c r="G10" s="2444"/>
      <c r="H10" s="2444"/>
      <c r="I10" s="2444"/>
    </row>
    <row r="11" spans="1:9">
      <c r="A11" s="2451" t="s">
        <v>640</v>
      </c>
      <c r="B11" s="2444"/>
      <c r="C11" s="2444"/>
      <c r="D11" s="2444"/>
      <c r="E11" s="2444"/>
      <c r="F11" s="2444"/>
      <c r="G11" s="2444"/>
      <c r="H11" s="2444"/>
      <c r="I11" s="2444"/>
    </row>
    <row r="12" spans="1:9">
      <c r="A12" s="2400" t="s">
        <v>373</v>
      </c>
      <c r="B12" s="2400" t="s">
        <v>641</v>
      </c>
      <c r="C12" s="2400" t="s">
        <v>642</v>
      </c>
      <c r="D12" s="2400" t="s">
        <v>643</v>
      </c>
      <c r="E12" s="2400" t="s">
        <v>644</v>
      </c>
      <c r="F12" s="2400" t="s">
        <v>645</v>
      </c>
      <c r="G12" s="2400" t="s">
        <v>646</v>
      </c>
      <c r="H12" s="2400" t="s">
        <v>516</v>
      </c>
      <c r="I12" s="2417"/>
    </row>
    <row r="13" spans="1:10">
      <c r="A13" s="2410">
        <f>IF(未审附注之非流动资产!A13="",0,未审附注之非流动资产!A13)</f>
        <v>0</v>
      </c>
      <c r="B13" s="2403">
        <f>IF(未审附注之非流动资产!B13="",0,未审附注之非流动资产!B13)</f>
        <v>0</v>
      </c>
      <c r="C13" s="2429">
        <f>IF(未审附注之非流动资产!C13="",0,未审附注之非流动资产!C13)</f>
        <v>0</v>
      </c>
      <c r="D13" s="2403">
        <f>IF(未审附注之非流动资产!D13="",0,未审附注之非流动资产!D13)</f>
        <v>0</v>
      </c>
      <c r="E13" s="2431">
        <f>IF(未审附注之非流动资产!E13="",0,未审附注之非流动资产!E13)</f>
        <v>0</v>
      </c>
      <c r="F13" s="2403">
        <f>IF(未审附注之非流动资产!F13="",0,未审附注之非流动资产!F13)</f>
        <v>0</v>
      </c>
      <c r="G13" s="2403">
        <f>IF(未审附注之非流动资产!G13="",0,未审附注之非流动资产!G13)</f>
        <v>0</v>
      </c>
      <c r="H13" s="2403">
        <f>IF(未审附注之非流动资产!H13="",0,未审附注之非流动资产!H13)</f>
        <v>0</v>
      </c>
      <c r="I13" s="2417"/>
      <c r="J13" s="2453" t="s">
        <v>647</v>
      </c>
    </row>
    <row r="14" spans="1:10">
      <c r="A14" s="2410">
        <f>IF(未审附注之非流动资产!A14="",0,未审附注之非流动资产!A14)</f>
        <v>0</v>
      </c>
      <c r="B14" s="2403">
        <f>IF(未审附注之非流动资产!B14="",0,未审附注之非流动资产!B14)</f>
        <v>0</v>
      </c>
      <c r="C14" s="2429">
        <f>IF(未审附注之非流动资产!C14="",0,未审附注之非流动资产!C14)</f>
        <v>0</v>
      </c>
      <c r="D14" s="2403">
        <f>IF(未审附注之非流动资产!D14="",0,未审附注之非流动资产!D14)</f>
        <v>0</v>
      </c>
      <c r="E14" s="2431">
        <f>IF(未审附注之非流动资产!E14="",0,未审附注之非流动资产!E14)</f>
        <v>0</v>
      </c>
      <c r="F14" s="2403">
        <f>IF(未审附注之非流动资产!F14="",0,未审附注之非流动资产!F14)</f>
        <v>0</v>
      </c>
      <c r="G14" s="2403">
        <f>IF(未审附注之非流动资产!G14="",0,未审附注之非流动资产!G14)</f>
        <v>0</v>
      </c>
      <c r="H14" s="2403">
        <f>IF(未审附注之非流动资产!H14="",0,未审附注之非流动资产!H14)</f>
        <v>0</v>
      </c>
      <c r="I14" s="2417"/>
      <c r="J14" s="2453" t="s">
        <v>647</v>
      </c>
    </row>
    <row r="15" spans="1:10">
      <c r="A15" s="2410">
        <f>IF(未审附注之非流动资产!A15="",0,未审附注之非流动资产!A15)</f>
        <v>0</v>
      </c>
      <c r="B15" s="2403">
        <f>IF(未审附注之非流动资产!B15="",0,未审附注之非流动资产!B15)</f>
        <v>0</v>
      </c>
      <c r="C15" s="2429">
        <f>IF(未审附注之非流动资产!C15="",0,未审附注之非流动资产!C15)</f>
        <v>0</v>
      </c>
      <c r="D15" s="2403">
        <f>IF(未审附注之非流动资产!D15="",0,未审附注之非流动资产!D15)</f>
        <v>0</v>
      </c>
      <c r="E15" s="2431">
        <f>IF(未审附注之非流动资产!E15="",0,未审附注之非流动资产!E15)</f>
        <v>0</v>
      </c>
      <c r="F15" s="2403">
        <f>IF(未审附注之非流动资产!F15="",0,未审附注之非流动资产!F15)</f>
        <v>0</v>
      </c>
      <c r="G15" s="2403">
        <f>IF(未审附注之非流动资产!G15="",0,未审附注之非流动资产!G15)</f>
        <v>0</v>
      </c>
      <c r="H15" s="2403">
        <f>IF(未审附注之非流动资产!H15="",0,未审附注之非流动资产!H15)</f>
        <v>0</v>
      </c>
      <c r="I15" s="2417"/>
      <c r="J15" s="2453" t="s">
        <v>647</v>
      </c>
    </row>
    <row r="16" spans="1:10">
      <c r="A16" s="2410">
        <f>IF(未审附注之非流动资产!A16="",0,未审附注之非流动资产!A16)</f>
        <v>0</v>
      </c>
      <c r="B16" s="2403">
        <f>IF(未审附注之非流动资产!B16="",0,未审附注之非流动资产!B16)</f>
        <v>0</v>
      </c>
      <c r="C16" s="2429">
        <f>IF(未审附注之非流动资产!C16="",0,未审附注之非流动资产!C16)</f>
        <v>0</v>
      </c>
      <c r="D16" s="2403">
        <f>IF(未审附注之非流动资产!D16="",0,未审附注之非流动资产!D16)</f>
        <v>0</v>
      </c>
      <c r="E16" s="2431">
        <f>IF(未审附注之非流动资产!E16="",0,未审附注之非流动资产!E16)</f>
        <v>0</v>
      </c>
      <c r="F16" s="2403">
        <f>IF(未审附注之非流动资产!F16="",0,未审附注之非流动资产!F16)</f>
        <v>0</v>
      </c>
      <c r="G16" s="2403">
        <f>IF(未审附注之非流动资产!G16="",0,未审附注之非流动资产!G16)</f>
        <v>0</v>
      </c>
      <c r="H16" s="2403">
        <f>IF(未审附注之非流动资产!H16="",0,未审附注之非流动资产!H16)</f>
        <v>0</v>
      </c>
      <c r="I16" s="2417"/>
      <c r="J16" s="2453" t="s">
        <v>647</v>
      </c>
    </row>
    <row r="17" spans="1:10">
      <c r="A17" s="2410">
        <f>IF(未审附注之非流动资产!A17="",0,未审附注之非流动资产!A17)</f>
        <v>0</v>
      </c>
      <c r="B17" s="2403">
        <f>IF(未审附注之非流动资产!B17="",0,未审附注之非流动资产!B17)</f>
        <v>0</v>
      </c>
      <c r="C17" s="2429">
        <f>IF(未审附注之非流动资产!C17="",0,未审附注之非流动资产!C17)</f>
        <v>0</v>
      </c>
      <c r="D17" s="2403">
        <f>IF(未审附注之非流动资产!D17="",0,未审附注之非流动资产!D17)</f>
        <v>0</v>
      </c>
      <c r="E17" s="2431">
        <f>IF(未审附注之非流动资产!E17="",0,未审附注之非流动资产!E17)</f>
        <v>0</v>
      </c>
      <c r="F17" s="2403">
        <f>IF(未审附注之非流动资产!F17="",0,未审附注之非流动资产!F17)</f>
        <v>0</v>
      </c>
      <c r="G17" s="2403">
        <f>IF(未审附注之非流动资产!G17="",0,未审附注之非流动资产!G17)</f>
        <v>0</v>
      </c>
      <c r="H17" s="2403">
        <f>IF(未审附注之非流动资产!H17="",0,未审附注之非流动资产!H17)</f>
        <v>0</v>
      </c>
      <c r="I17" s="2417"/>
      <c r="J17" s="2453" t="s">
        <v>647</v>
      </c>
    </row>
    <row r="18" spans="1:10">
      <c r="A18" s="2410">
        <f>IF(未审附注之非流动资产!A18="",0,未审附注之非流动资产!A18)</f>
        <v>0</v>
      </c>
      <c r="B18" s="2403">
        <f>IF(未审附注之非流动资产!B18="",0,未审附注之非流动资产!B18)</f>
        <v>0</v>
      </c>
      <c r="C18" s="2429">
        <f>IF(未审附注之非流动资产!C18="",0,未审附注之非流动资产!C18)</f>
        <v>0</v>
      </c>
      <c r="D18" s="2403">
        <f>IF(未审附注之非流动资产!D18="",0,未审附注之非流动资产!D18)</f>
        <v>0</v>
      </c>
      <c r="E18" s="2431">
        <f>IF(未审附注之非流动资产!E18="",0,未审附注之非流动资产!E18)</f>
        <v>0</v>
      </c>
      <c r="F18" s="2403">
        <f>IF(未审附注之非流动资产!F18="",0,未审附注之非流动资产!F18)</f>
        <v>0</v>
      </c>
      <c r="G18" s="2403">
        <f>IF(未审附注之非流动资产!G18="",0,未审附注之非流动资产!G18)</f>
        <v>0</v>
      </c>
      <c r="H18" s="2403">
        <f>IF(未审附注之非流动资产!H18="",0,未审附注之非流动资产!H18)</f>
        <v>0</v>
      </c>
      <c r="I18" s="2417"/>
      <c r="J18" s="2453" t="s">
        <v>647</v>
      </c>
    </row>
    <row r="19" spans="1:10">
      <c r="A19" s="2410">
        <f>IF(未审附注之非流动资产!A19="",0,未审附注之非流动资产!A19)</f>
        <v>0</v>
      </c>
      <c r="B19" s="2403">
        <f>IF(未审附注之非流动资产!B19="",0,未审附注之非流动资产!B19)</f>
        <v>0</v>
      </c>
      <c r="C19" s="2429">
        <f>IF(未审附注之非流动资产!C19="",0,未审附注之非流动资产!C19)</f>
        <v>0</v>
      </c>
      <c r="D19" s="2403">
        <f>IF(未审附注之非流动资产!D19="",0,未审附注之非流动资产!D19)</f>
        <v>0</v>
      </c>
      <c r="E19" s="2431">
        <f>IF(未审附注之非流动资产!E19="",0,未审附注之非流动资产!E19)</f>
        <v>0</v>
      </c>
      <c r="F19" s="2403">
        <f>IF(未审附注之非流动资产!F19="",0,未审附注之非流动资产!F19)</f>
        <v>0</v>
      </c>
      <c r="G19" s="2403">
        <f>IF(未审附注之非流动资产!G19="",0,未审附注之非流动资产!G19)</f>
        <v>0</v>
      </c>
      <c r="H19" s="2403">
        <f>IF(未审附注之非流动资产!H19="",0,未审附注之非流动资产!H19)</f>
        <v>0</v>
      </c>
      <c r="I19" s="2417"/>
      <c r="J19" s="2453" t="s">
        <v>647</v>
      </c>
    </row>
    <row r="20" spans="1:10">
      <c r="A20" s="2410">
        <f>IF(未审附注之非流动资产!A20="",0,未审附注之非流动资产!A20)</f>
        <v>0</v>
      </c>
      <c r="B20" s="2403">
        <f>IF(未审附注之非流动资产!B20="",0,未审附注之非流动资产!B20)</f>
        <v>0</v>
      </c>
      <c r="C20" s="2429">
        <f>IF(未审附注之非流动资产!C20="",0,未审附注之非流动资产!C20)</f>
        <v>0</v>
      </c>
      <c r="D20" s="2403">
        <f>IF(未审附注之非流动资产!D20="",0,未审附注之非流动资产!D20)</f>
        <v>0</v>
      </c>
      <c r="E20" s="2431">
        <f>IF(未审附注之非流动资产!E20="",0,未审附注之非流动资产!E20)</f>
        <v>0</v>
      </c>
      <c r="F20" s="2403">
        <f>IF(未审附注之非流动资产!F20="",0,未审附注之非流动资产!F20)</f>
        <v>0</v>
      </c>
      <c r="G20" s="2403">
        <f>IF(未审附注之非流动资产!G20="",0,未审附注之非流动资产!G20)</f>
        <v>0</v>
      </c>
      <c r="H20" s="2403">
        <f>IF(未审附注之非流动资产!H20="",0,未审附注之非流动资产!H20)</f>
        <v>0</v>
      </c>
      <c r="I20" s="2417"/>
      <c r="J20" s="2453" t="s">
        <v>647</v>
      </c>
    </row>
    <row r="21" spans="1:10">
      <c r="A21" s="2410">
        <f>IF(未审附注之非流动资产!A21="",0,未审附注之非流动资产!A21)</f>
        <v>0</v>
      </c>
      <c r="B21" s="2403">
        <f>IF(未审附注之非流动资产!B21="",0,未审附注之非流动资产!B21)</f>
        <v>0</v>
      </c>
      <c r="C21" s="2429">
        <f>IF(未审附注之非流动资产!C21="",0,未审附注之非流动资产!C21)</f>
        <v>0</v>
      </c>
      <c r="D21" s="2403">
        <f>IF(未审附注之非流动资产!D21="",0,未审附注之非流动资产!D21)</f>
        <v>0</v>
      </c>
      <c r="E21" s="2431">
        <f>IF(未审附注之非流动资产!E21="",0,未审附注之非流动资产!E21)</f>
        <v>0</v>
      </c>
      <c r="F21" s="2403">
        <f>IF(未审附注之非流动资产!F21="",0,未审附注之非流动资产!F21)</f>
        <v>0</v>
      </c>
      <c r="G21" s="2403">
        <f>IF(未审附注之非流动资产!G21="",0,未审附注之非流动资产!G21)</f>
        <v>0</v>
      </c>
      <c r="H21" s="2403">
        <f>IF(未审附注之非流动资产!H21="",0,未审附注之非流动资产!H21)</f>
        <v>0</v>
      </c>
      <c r="I21" s="2417"/>
      <c r="J21" s="2453" t="s">
        <v>647</v>
      </c>
    </row>
    <row r="22" spans="1:10">
      <c r="A22" s="2410">
        <f>IF(未审附注之非流动资产!A22="",0,未审附注之非流动资产!A22)</f>
        <v>0</v>
      </c>
      <c r="B22" s="2403">
        <f>IF(未审附注之非流动资产!B22="",0,未审附注之非流动资产!B22)</f>
        <v>0</v>
      </c>
      <c r="C22" s="2429">
        <f>IF(未审附注之非流动资产!C22="",0,未审附注之非流动资产!C22)</f>
        <v>0</v>
      </c>
      <c r="D22" s="2403">
        <f>IF(未审附注之非流动资产!D22="",0,未审附注之非流动资产!D22)</f>
        <v>0</v>
      </c>
      <c r="E22" s="2431">
        <f>IF(未审附注之非流动资产!E22="",0,未审附注之非流动资产!E22)</f>
        <v>0</v>
      </c>
      <c r="F22" s="2403">
        <f>IF(未审附注之非流动资产!F22="",0,未审附注之非流动资产!F22)</f>
        <v>0</v>
      </c>
      <c r="G22" s="2403">
        <f>IF(未审附注之非流动资产!G22="",0,未审附注之非流动资产!G22)</f>
        <v>0</v>
      </c>
      <c r="H22" s="2403">
        <f>IF(未审附注之非流动资产!H22="",0,未审附注之非流动资产!H22)</f>
        <v>0</v>
      </c>
      <c r="I22" s="2417"/>
      <c r="J22" s="2453" t="s">
        <v>647</v>
      </c>
    </row>
    <row r="23" spans="1:10">
      <c r="A23" s="2400" t="s">
        <v>385</v>
      </c>
      <c r="B23" s="2369">
        <f>ROUND(SUM(B13:B22),2)</f>
        <v>0</v>
      </c>
      <c r="C23" s="2369"/>
      <c r="D23" s="2369">
        <f>ROUND(SUM(D13:D22),2)</f>
        <v>0</v>
      </c>
      <c r="E23" s="2369"/>
      <c r="F23" s="2369">
        <f>ROUND(SUM(F13:F22),2)</f>
        <v>0</v>
      </c>
      <c r="G23" s="2369">
        <f>ROUND(SUM(G13:G22),2)</f>
        <v>0</v>
      </c>
      <c r="H23" s="2369">
        <f>ROUND(SUM(H13:H22),2)</f>
        <v>0</v>
      </c>
      <c r="I23" s="2417"/>
      <c r="J23" s="2453" t="s">
        <v>648</v>
      </c>
    </row>
    <row r="24" spans="1:9">
      <c r="A24" s="2450"/>
      <c r="B24" s="2412"/>
      <c r="C24" s="2412"/>
      <c r="D24" s="2444"/>
      <c r="E24" s="2444"/>
      <c r="F24" s="2444"/>
      <c r="G24" s="2444"/>
      <c r="H24" s="2444"/>
      <c r="I24" s="2417"/>
    </row>
    <row r="25" spans="1:9">
      <c r="A25" s="2450"/>
      <c r="B25" s="2412"/>
      <c r="C25" s="2412"/>
      <c r="D25" s="2444"/>
      <c r="E25" s="2444"/>
      <c r="F25" s="2444"/>
      <c r="G25" s="2444"/>
      <c r="H25" s="2444"/>
      <c r="I25" s="2444"/>
    </row>
    <row r="26" spans="1:9">
      <c r="A26" s="2452" t="s">
        <v>649</v>
      </c>
      <c r="B26" s="2444"/>
      <c r="C26" s="2444"/>
      <c r="D26" s="2444"/>
      <c r="E26" s="2444"/>
      <c r="F26" s="2444"/>
      <c r="G26" s="2444"/>
      <c r="H26" s="2444"/>
      <c r="I26" s="2444"/>
    </row>
    <row r="27" spans="1:9">
      <c r="A27" s="2451" t="s">
        <v>650</v>
      </c>
      <c r="B27" s="2444"/>
      <c r="C27" s="2444"/>
      <c r="D27" s="2444"/>
      <c r="E27" s="2444"/>
      <c r="F27" s="2444"/>
      <c r="G27" s="2444"/>
      <c r="H27" s="2444"/>
      <c r="I27" s="2444"/>
    </row>
    <row r="28" spans="1:9">
      <c r="A28" s="2400" t="s">
        <v>373</v>
      </c>
      <c r="B28" s="2400" t="s">
        <v>316</v>
      </c>
      <c r="C28" s="2400" t="s">
        <v>317</v>
      </c>
      <c r="D28" s="2444"/>
      <c r="E28" s="2444"/>
      <c r="F28" s="2444"/>
      <c r="G28" s="2444"/>
      <c r="H28" s="2444"/>
      <c r="I28" s="2444"/>
    </row>
    <row r="29" spans="1:10">
      <c r="A29" s="2410">
        <f>IF(未审附注之非流动资产!A29="",0,未审附注之非流动资产!A29)</f>
        <v>0</v>
      </c>
      <c r="B29" s="2403">
        <f>IF(未审附注之非流动资产!B29="",0,未审附注之非流动资产!B29)</f>
        <v>0</v>
      </c>
      <c r="C29" s="2403">
        <f>IF(未审附注之非流动资产!C29="",0,未审附注之非流动资产!C29)</f>
        <v>0</v>
      </c>
      <c r="D29" s="2444"/>
      <c r="E29" s="2444"/>
      <c r="F29" s="2444"/>
      <c r="G29" s="2444"/>
      <c r="H29" s="2444"/>
      <c r="I29" s="2444"/>
      <c r="J29" s="2453" t="s">
        <v>651</v>
      </c>
    </row>
    <row r="30" spans="1:10">
      <c r="A30" s="2410">
        <f>IF(未审附注之非流动资产!A30="",0,未审附注之非流动资产!A30)</f>
        <v>0</v>
      </c>
      <c r="B30" s="2403">
        <f>IF(未审附注之非流动资产!B30="",0,未审附注之非流动资产!B30)</f>
        <v>0</v>
      </c>
      <c r="C30" s="2403">
        <f>IF(未审附注之非流动资产!C30="",0,未审附注之非流动资产!C30)</f>
        <v>0</v>
      </c>
      <c r="D30" s="2444"/>
      <c r="E30" s="2444"/>
      <c r="F30" s="2444"/>
      <c r="G30" s="2444"/>
      <c r="H30" s="2444"/>
      <c r="I30" s="2444"/>
      <c r="J30" s="2453" t="s">
        <v>651</v>
      </c>
    </row>
    <row r="31" spans="1:10">
      <c r="A31" s="2410">
        <f>IF(未审附注之非流动资产!A31="",0,未审附注之非流动资产!A31)</f>
        <v>0</v>
      </c>
      <c r="B31" s="2403">
        <f>IF(未审附注之非流动资产!B31="",0,未审附注之非流动资产!B31)</f>
        <v>0</v>
      </c>
      <c r="C31" s="2403">
        <f>IF(未审附注之非流动资产!C31="",0,未审附注之非流动资产!C31)</f>
        <v>0</v>
      </c>
      <c r="D31" s="2444"/>
      <c r="E31" s="2444"/>
      <c r="F31" s="2444"/>
      <c r="G31" s="2444"/>
      <c r="H31" s="2444"/>
      <c r="I31" s="2444"/>
      <c r="J31" s="2453" t="s">
        <v>651</v>
      </c>
    </row>
    <row r="32" spans="1:10">
      <c r="A32" s="2410">
        <f>IF(未审附注之非流动资产!A32="",0,未审附注之非流动资产!A32)</f>
        <v>0</v>
      </c>
      <c r="B32" s="2403">
        <f>IF(未审附注之非流动资产!B32="",0,未审附注之非流动资产!B32)</f>
        <v>0</v>
      </c>
      <c r="C32" s="2403">
        <f>IF(未审附注之非流动资产!C32="",0,未审附注之非流动资产!C32)</f>
        <v>0</v>
      </c>
      <c r="D32" s="2444"/>
      <c r="E32" s="2444"/>
      <c r="F32" s="2444"/>
      <c r="G32" s="2444"/>
      <c r="H32" s="2444"/>
      <c r="I32" s="2444"/>
      <c r="J32" s="2453" t="s">
        <v>651</v>
      </c>
    </row>
    <row r="33" spans="1:10">
      <c r="A33" s="2410">
        <f>IF(未审附注之非流动资产!A33="",0,未审附注之非流动资产!A33)</f>
        <v>0</v>
      </c>
      <c r="B33" s="2403">
        <f>IF(未审附注之非流动资产!B33="",0,未审附注之非流动资产!B33)</f>
        <v>0</v>
      </c>
      <c r="C33" s="2403">
        <f>IF(未审附注之非流动资产!C33="",0,未审附注之非流动资产!C33)</f>
        <v>0</v>
      </c>
      <c r="D33" s="2444"/>
      <c r="E33" s="2444"/>
      <c r="F33" s="2444"/>
      <c r="G33" s="2444"/>
      <c r="H33" s="2444"/>
      <c r="I33" s="2444"/>
      <c r="J33" s="2453" t="s">
        <v>651</v>
      </c>
    </row>
    <row r="34" spans="1:10">
      <c r="A34" s="2410">
        <f>IF(未审附注之非流动资产!A34="",0,未审附注之非流动资产!A34)</f>
        <v>0</v>
      </c>
      <c r="B34" s="2403">
        <f>IF(未审附注之非流动资产!B34="",0,未审附注之非流动资产!B34)</f>
        <v>0</v>
      </c>
      <c r="C34" s="2403">
        <f>IF(未审附注之非流动资产!C34="",0,未审附注之非流动资产!C34)</f>
        <v>0</v>
      </c>
      <c r="D34" s="2444"/>
      <c r="E34" s="2444"/>
      <c r="F34" s="2444"/>
      <c r="G34" s="2444"/>
      <c r="H34" s="2444"/>
      <c r="I34" s="2444"/>
      <c r="J34" s="2453" t="s">
        <v>651</v>
      </c>
    </row>
    <row r="35" spans="1:10">
      <c r="A35" s="2410">
        <f>IF(未审附注之非流动资产!A35="",0,未审附注之非流动资产!A35)</f>
        <v>0</v>
      </c>
      <c r="B35" s="2403">
        <f>IF(未审附注之非流动资产!B35="",0,未审附注之非流动资产!B35)</f>
        <v>0</v>
      </c>
      <c r="C35" s="2403">
        <f>IF(未审附注之非流动资产!C35="",0,未审附注之非流动资产!C35)</f>
        <v>0</v>
      </c>
      <c r="D35" s="2444"/>
      <c r="E35" s="2444"/>
      <c r="F35" s="2444"/>
      <c r="G35" s="2444"/>
      <c r="H35" s="2444"/>
      <c r="I35" s="2444"/>
      <c r="J35" s="2453" t="s">
        <v>651</v>
      </c>
    </row>
    <row r="36" spans="1:10">
      <c r="A36" s="2410">
        <f>IF(未审附注之非流动资产!A36="",0,未审附注之非流动资产!A36)</f>
        <v>0</v>
      </c>
      <c r="B36" s="2403">
        <f>IF(未审附注之非流动资产!B36="",0,未审附注之非流动资产!B36)</f>
        <v>0</v>
      </c>
      <c r="C36" s="2403">
        <f>IF(未审附注之非流动资产!C36="",0,未审附注之非流动资产!C36)</f>
        <v>0</v>
      </c>
      <c r="D36" s="2444"/>
      <c r="E36" s="2444"/>
      <c r="F36" s="2444"/>
      <c r="G36" s="2444"/>
      <c r="H36" s="2444"/>
      <c r="I36" s="2444"/>
      <c r="J36" s="2453" t="s">
        <v>651</v>
      </c>
    </row>
    <row r="37" spans="1:10">
      <c r="A37" s="2410">
        <f>IF(未审附注之非流动资产!A37="",0,未审附注之非流动资产!A37)</f>
        <v>0</v>
      </c>
      <c r="B37" s="2403">
        <f>IF(未审附注之非流动资产!B37="",0,未审附注之非流动资产!B37)</f>
        <v>0</v>
      </c>
      <c r="C37" s="2403">
        <f>IF(未审附注之非流动资产!C37="",0,未审附注之非流动资产!C37)</f>
        <v>0</v>
      </c>
      <c r="D37" s="2444"/>
      <c r="E37" s="2444"/>
      <c r="F37" s="2444"/>
      <c r="G37" s="2444"/>
      <c r="H37" s="2444"/>
      <c r="I37" s="2444"/>
      <c r="J37" s="2453" t="s">
        <v>651</v>
      </c>
    </row>
    <row r="38" spans="1:10">
      <c r="A38" s="2410">
        <f>IF(未审附注之非流动资产!A38="",0,未审附注之非流动资产!A38)</f>
        <v>0</v>
      </c>
      <c r="B38" s="2403">
        <f>IF(未审附注之非流动资产!B38="",0,未审附注之非流动资产!B38)</f>
        <v>0</v>
      </c>
      <c r="C38" s="2403">
        <f>IF(未审附注之非流动资产!C38="",0,未审附注之非流动资产!C38)</f>
        <v>0</v>
      </c>
      <c r="D38" s="2444"/>
      <c r="E38" s="2444"/>
      <c r="F38" s="2444"/>
      <c r="G38" s="2444"/>
      <c r="H38" s="2444"/>
      <c r="I38" s="2444"/>
      <c r="J38" s="2453" t="s">
        <v>651</v>
      </c>
    </row>
    <row r="39" spans="1:10">
      <c r="A39" s="2400" t="s">
        <v>385</v>
      </c>
      <c r="B39" s="2369">
        <f>ROUND(SUM(B29:B38),2)</f>
        <v>0</v>
      </c>
      <c r="C39" s="2369">
        <f>ROUND(SUM(C29:C38),2)</f>
        <v>0</v>
      </c>
      <c r="D39" s="2444"/>
      <c r="E39" s="2444"/>
      <c r="F39" s="2444"/>
      <c r="G39" s="2444"/>
      <c r="H39" s="2444"/>
      <c r="I39" s="2444"/>
      <c r="J39" s="2453" t="s">
        <v>652</v>
      </c>
    </row>
    <row r="40" spans="1:9">
      <c r="A40" s="2412"/>
      <c r="B40" s="2412"/>
      <c r="C40" s="2412"/>
      <c r="D40" s="2444"/>
      <c r="E40" s="2444"/>
      <c r="F40" s="2444"/>
      <c r="G40" s="2444"/>
      <c r="H40" s="2444"/>
      <c r="I40" s="2444"/>
    </row>
    <row r="41" spans="1:9">
      <c r="A41" s="2445" t="s">
        <v>653</v>
      </c>
      <c r="B41" s="2444"/>
      <c r="C41" s="2444"/>
      <c r="D41" s="2444"/>
      <c r="E41" s="2444"/>
      <c r="F41" s="2444"/>
      <c r="G41" s="2444"/>
      <c r="H41" s="2444"/>
      <c r="I41" s="2444"/>
    </row>
    <row r="42" spans="1:9">
      <c r="A42" s="2400" t="s">
        <v>373</v>
      </c>
      <c r="B42" s="2400" t="s">
        <v>654</v>
      </c>
      <c r="C42" s="2400" t="s">
        <v>655</v>
      </c>
      <c r="D42" s="2400" t="s">
        <v>445</v>
      </c>
      <c r="E42" s="2444"/>
      <c r="F42" s="2444"/>
      <c r="G42" s="2444"/>
      <c r="H42" s="2444"/>
      <c r="I42" s="2444"/>
    </row>
    <row r="43" spans="1:10">
      <c r="A43" s="2410">
        <f>IF(未审附注之非流动资产!A43="",0,未审附注之非流动资产!A43)</f>
        <v>0</v>
      </c>
      <c r="B43" s="2403">
        <f>IF(未审附注之非流动资产!B43="",0,未审附注之非流动资产!B43)</f>
        <v>0</v>
      </c>
      <c r="C43" s="2403">
        <f>IF(未审附注之非流动资产!C43="",0,未审附注之非流动资产!C43)</f>
        <v>0</v>
      </c>
      <c r="D43" s="2435">
        <f>IF(C43=0,0,ROUND(B43/C43,4))</f>
        <v>0</v>
      </c>
      <c r="E43" s="2444"/>
      <c r="F43" s="2444"/>
      <c r="G43" s="2444"/>
      <c r="H43" s="2444"/>
      <c r="I43" s="2444"/>
      <c r="J43" s="2453" t="s">
        <v>656</v>
      </c>
    </row>
    <row r="44" spans="1:10">
      <c r="A44" s="2410">
        <f>IF(未审附注之非流动资产!A44="",0,未审附注之非流动资产!A44)</f>
        <v>0</v>
      </c>
      <c r="B44" s="2403">
        <f>IF(未审附注之非流动资产!B44="",0,未审附注之非流动资产!B44)</f>
        <v>0</v>
      </c>
      <c r="C44" s="2403">
        <f>IF(未审附注之非流动资产!C44="",0,未审附注之非流动资产!C44)</f>
        <v>0</v>
      </c>
      <c r="D44" s="2435">
        <f t="shared" ref="D44:D53" si="0">IF(C44=0,0,ROUND(B44/C44,4))</f>
        <v>0</v>
      </c>
      <c r="E44" s="2444"/>
      <c r="F44" s="2444"/>
      <c r="G44" s="2444"/>
      <c r="H44" s="2444"/>
      <c r="I44" s="2444"/>
      <c r="J44" s="2453" t="s">
        <v>656</v>
      </c>
    </row>
    <row r="45" spans="1:10">
      <c r="A45" s="2410">
        <f>IF(未审附注之非流动资产!A45="",0,未审附注之非流动资产!A45)</f>
        <v>0</v>
      </c>
      <c r="B45" s="2403">
        <f>IF(未审附注之非流动资产!B45="",0,未审附注之非流动资产!B45)</f>
        <v>0</v>
      </c>
      <c r="C45" s="2403">
        <f>IF(未审附注之非流动资产!C45="",0,未审附注之非流动资产!C45)</f>
        <v>0</v>
      </c>
      <c r="D45" s="2435">
        <f t="shared" si="0"/>
        <v>0</v>
      </c>
      <c r="E45" s="2444"/>
      <c r="F45" s="2444"/>
      <c r="G45" s="2444"/>
      <c r="H45" s="2444"/>
      <c r="I45" s="2444"/>
      <c r="J45" s="2453" t="s">
        <v>656</v>
      </c>
    </row>
    <row r="46" spans="1:10">
      <c r="A46" s="2410">
        <f>IF(未审附注之非流动资产!A46="",0,未审附注之非流动资产!A46)</f>
        <v>0</v>
      </c>
      <c r="B46" s="2403">
        <f>IF(未审附注之非流动资产!B46="",0,未审附注之非流动资产!B46)</f>
        <v>0</v>
      </c>
      <c r="C46" s="2403">
        <f>IF(未审附注之非流动资产!C46="",0,未审附注之非流动资产!C46)</f>
        <v>0</v>
      </c>
      <c r="D46" s="2435">
        <f t="shared" si="0"/>
        <v>0</v>
      </c>
      <c r="E46" s="2444"/>
      <c r="F46" s="2444"/>
      <c r="G46" s="2444"/>
      <c r="H46" s="2444"/>
      <c r="I46" s="2444"/>
      <c r="J46" s="2453" t="s">
        <v>656</v>
      </c>
    </row>
    <row r="47" spans="1:10">
      <c r="A47" s="2410">
        <f>IF(未审附注之非流动资产!A47="",0,未审附注之非流动资产!A47)</f>
        <v>0</v>
      </c>
      <c r="B47" s="2403">
        <f>IF(未审附注之非流动资产!B47="",0,未审附注之非流动资产!B47)</f>
        <v>0</v>
      </c>
      <c r="C47" s="2403">
        <f>IF(未审附注之非流动资产!C47="",0,未审附注之非流动资产!C47)</f>
        <v>0</v>
      </c>
      <c r="D47" s="2435">
        <f t="shared" si="0"/>
        <v>0</v>
      </c>
      <c r="E47" s="2444"/>
      <c r="F47" s="2444"/>
      <c r="G47" s="2444"/>
      <c r="H47" s="2444"/>
      <c r="I47" s="2444"/>
      <c r="J47" s="2453" t="s">
        <v>656</v>
      </c>
    </row>
    <row r="48" spans="1:10">
      <c r="A48" s="2410">
        <f>IF(未审附注之非流动资产!A48="",0,未审附注之非流动资产!A48)</f>
        <v>0</v>
      </c>
      <c r="B48" s="2403">
        <f>IF(未审附注之非流动资产!B48="",0,未审附注之非流动资产!B48)</f>
        <v>0</v>
      </c>
      <c r="C48" s="2403">
        <f>IF(未审附注之非流动资产!C48="",0,未审附注之非流动资产!C48)</f>
        <v>0</v>
      </c>
      <c r="D48" s="2435">
        <f t="shared" si="0"/>
        <v>0</v>
      </c>
      <c r="E48" s="2444"/>
      <c r="F48" s="2444"/>
      <c r="G48" s="2444"/>
      <c r="H48" s="2444"/>
      <c r="I48" s="2444"/>
      <c r="J48" s="2453" t="s">
        <v>656</v>
      </c>
    </row>
    <row r="49" spans="1:10">
      <c r="A49" s="2410">
        <f>IF(未审附注之非流动资产!A49="",0,未审附注之非流动资产!A49)</f>
        <v>0</v>
      </c>
      <c r="B49" s="2403">
        <f>IF(未审附注之非流动资产!B49="",0,未审附注之非流动资产!B49)</f>
        <v>0</v>
      </c>
      <c r="C49" s="2403">
        <f>IF(未审附注之非流动资产!C49="",0,未审附注之非流动资产!C49)</f>
        <v>0</v>
      </c>
      <c r="D49" s="2435">
        <f t="shared" si="0"/>
        <v>0</v>
      </c>
      <c r="E49" s="2444"/>
      <c r="F49" s="2444"/>
      <c r="G49" s="2444"/>
      <c r="H49" s="2444"/>
      <c r="I49" s="2444"/>
      <c r="J49" s="2453" t="s">
        <v>656</v>
      </c>
    </row>
    <row r="50" spans="1:10">
      <c r="A50" s="2410">
        <f>IF(未审附注之非流动资产!A50="",0,未审附注之非流动资产!A50)</f>
        <v>0</v>
      </c>
      <c r="B50" s="2403">
        <f>IF(未审附注之非流动资产!B50="",0,未审附注之非流动资产!B50)</f>
        <v>0</v>
      </c>
      <c r="C50" s="2403">
        <f>IF(未审附注之非流动资产!C50="",0,未审附注之非流动资产!C50)</f>
        <v>0</v>
      </c>
      <c r="D50" s="2435">
        <f t="shared" si="0"/>
        <v>0</v>
      </c>
      <c r="E50" s="2444"/>
      <c r="F50" s="2444"/>
      <c r="G50" s="2444"/>
      <c r="H50" s="2444"/>
      <c r="I50" s="2444"/>
      <c r="J50" s="2453" t="s">
        <v>656</v>
      </c>
    </row>
    <row r="51" spans="1:10">
      <c r="A51" s="2410">
        <f>IF(未审附注之非流动资产!A51="",0,未审附注之非流动资产!A51)</f>
        <v>0</v>
      </c>
      <c r="B51" s="2403">
        <f>IF(未审附注之非流动资产!B51="",0,未审附注之非流动资产!B51)</f>
        <v>0</v>
      </c>
      <c r="C51" s="2403">
        <f>IF(未审附注之非流动资产!C51="",0,未审附注之非流动资产!C51)</f>
        <v>0</v>
      </c>
      <c r="D51" s="2435">
        <f t="shared" si="0"/>
        <v>0</v>
      </c>
      <c r="E51" s="2444"/>
      <c r="F51" s="2444"/>
      <c r="G51" s="2444"/>
      <c r="H51" s="2444"/>
      <c r="I51" s="2444"/>
      <c r="J51" s="2453" t="s">
        <v>656</v>
      </c>
    </row>
    <row r="52" spans="1:10">
      <c r="A52" s="2410">
        <f>IF(未审附注之非流动资产!A52="",0,未审附注之非流动资产!A52)</f>
        <v>0</v>
      </c>
      <c r="B52" s="2403">
        <f>IF(未审附注之非流动资产!B52="",0,未审附注之非流动资产!B52)</f>
        <v>0</v>
      </c>
      <c r="C52" s="2403">
        <f>IF(未审附注之非流动资产!C52="",0,未审附注之非流动资产!C52)</f>
        <v>0</v>
      </c>
      <c r="D52" s="2435">
        <f t="shared" si="0"/>
        <v>0</v>
      </c>
      <c r="E52" s="2444"/>
      <c r="F52" s="2444"/>
      <c r="G52" s="2444"/>
      <c r="H52" s="2444"/>
      <c r="I52" s="2444"/>
      <c r="J52" s="2453" t="s">
        <v>656</v>
      </c>
    </row>
    <row r="53" spans="1:10">
      <c r="A53" s="2400" t="s">
        <v>385</v>
      </c>
      <c r="B53" s="2369">
        <f>ROUND(SUM(B43:B52),2)</f>
        <v>0</v>
      </c>
      <c r="C53" s="2369">
        <f>ROUND(SUM(C43:C52),2)</f>
        <v>0</v>
      </c>
      <c r="D53" s="2411">
        <f t="shared" si="0"/>
        <v>0</v>
      </c>
      <c r="E53" s="2444"/>
      <c r="F53" s="2444"/>
      <c r="G53" s="2444"/>
      <c r="H53" s="2444"/>
      <c r="I53" s="2444"/>
      <c r="J53" s="2453" t="s">
        <v>657</v>
      </c>
    </row>
    <row r="54" spans="1:9">
      <c r="A54" s="2450"/>
      <c r="B54" s="2412"/>
      <c r="C54" s="2412"/>
      <c r="D54" s="2444"/>
      <c r="E54" s="2444"/>
      <c r="F54" s="2444"/>
      <c r="G54" s="2444"/>
      <c r="H54" s="2444"/>
      <c r="I54" s="2444"/>
    </row>
    <row r="55" spans="1:9">
      <c r="A55" s="2450"/>
      <c r="B55" s="2412"/>
      <c r="C55" s="2412"/>
      <c r="D55" s="2444"/>
      <c r="E55" s="2444"/>
      <c r="F55" s="2444"/>
      <c r="G55" s="2444"/>
      <c r="H55" s="2444"/>
      <c r="I55" s="2444"/>
    </row>
    <row r="56" spans="1:9">
      <c r="A56" s="2452" t="s">
        <v>658</v>
      </c>
      <c r="B56" s="2444"/>
      <c r="C56" s="2444"/>
      <c r="D56" s="2444"/>
      <c r="E56" s="2444"/>
      <c r="F56" s="2444"/>
      <c r="G56" s="2444"/>
      <c r="H56" s="2444"/>
      <c r="I56" s="2444"/>
    </row>
    <row r="57" spans="1:9">
      <c r="A57" s="2400" t="s">
        <v>373</v>
      </c>
      <c r="B57" s="2400" t="s">
        <v>316</v>
      </c>
      <c r="C57" s="2400" t="s">
        <v>317</v>
      </c>
      <c r="D57" s="2444"/>
      <c r="E57" s="2444"/>
      <c r="F57" s="2444"/>
      <c r="G57" s="2444"/>
      <c r="H57" s="2444"/>
      <c r="I57" s="2444"/>
    </row>
    <row r="58" spans="1:10">
      <c r="A58" s="2402" t="s">
        <v>659</v>
      </c>
      <c r="B58" s="2403">
        <f>IF(未审附注之非流动资产!B58="",0,未审附注之非流动资产!B58)</f>
        <v>0</v>
      </c>
      <c r="C58" s="2403">
        <f>IF(未审附注之非流动资产!C58="",0,未审附注之非流动资产!C58)</f>
        <v>0</v>
      </c>
      <c r="D58" s="2444"/>
      <c r="E58" s="2444"/>
      <c r="F58" s="2444"/>
      <c r="G58" s="2444"/>
      <c r="H58" s="2444"/>
      <c r="I58" s="2444"/>
      <c r="J58" s="2453" t="s">
        <v>660</v>
      </c>
    </row>
    <row r="59" spans="1:10">
      <c r="A59" s="2402" t="s">
        <v>661</v>
      </c>
      <c r="B59" s="2403">
        <f>IF(未审附注之非流动资产!B59="",0,未审附注之非流动资产!B59)</f>
        <v>0</v>
      </c>
      <c r="C59" s="2403">
        <f>IF(未审附注之非流动资产!C59="",0,未审附注之非流动资产!C59)</f>
        <v>0</v>
      </c>
      <c r="D59" s="2444"/>
      <c r="E59" s="2444"/>
      <c r="F59" s="2444"/>
      <c r="G59" s="2444"/>
      <c r="H59" s="2444"/>
      <c r="I59" s="2444"/>
      <c r="J59" s="2453" t="s">
        <v>662</v>
      </c>
    </row>
    <row r="60" spans="1:10">
      <c r="A60" s="2402" t="s">
        <v>663</v>
      </c>
      <c r="B60" s="2403">
        <f>IF(未审附注之非流动资产!B60="",0,未审附注之非流动资产!B60)</f>
        <v>0</v>
      </c>
      <c r="C60" s="2403">
        <f>IF(未审附注之非流动资产!C60="",0,未审附注之非流动资产!C60)</f>
        <v>0</v>
      </c>
      <c r="D60" s="2444"/>
      <c r="E60" s="2444"/>
      <c r="F60" s="2444"/>
      <c r="G60" s="2444"/>
      <c r="H60" s="2444"/>
      <c r="I60" s="2444"/>
      <c r="J60" s="2453" t="s">
        <v>664</v>
      </c>
    </row>
    <row r="61" spans="1:10">
      <c r="A61" s="2402" t="s">
        <v>280</v>
      </c>
      <c r="B61" s="2403">
        <f>IF(未审附注之非流动资产!B61="",0,未审附注之非流动资产!B61)</f>
        <v>0</v>
      </c>
      <c r="C61" s="2403">
        <f>IF(未审附注之非流动资产!C61="",0,未审附注之非流动资产!C61)</f>
        <v>0</v>
      </c>
      <c r="D61" s="2444"/>
      <c r="E61" s="2444"/>
      <c r="F61" s="2444"/>
      <c r="G61" s="2444"/>
      <c r="H61" s="2444"/>
      <c r="I61" s="2444"/>
      <c r="J61" s="2453" t="s">
        <v>665</v>
      </c>
    </row>
    <row r="62" spans="1:10">
      <c r="A62" s="2400" t="s">
        <v>385</v>
      </c>
      <c r="B62" s="2369">
        <f>ROUND(SUM(B58:B61),2)</f>
        <v>0</v>
      </c>
      <c r="C62" s="2369">
        <f>ROUND(SUM(C58:C61),2)</f>
        <v>0</v>
      </c>
      <c r="D62" s="2444"/>
      <c r="E62" s="2444"/>
      <c r="F62" s="2444"/>
      <c r="G62" s="2444"/>
      <c r="H62" s="2444"/>
      <c r="I62" s="2444"/>
      <c r="J62" s="2453" t="s">
        <v>666</v>
      </c>
    </row>
    <row r="63" spans="1:10">
      <c r="A63" s="2417"/>
      <c r="B63" s="2418"/>
      <c r="C63" s="2418"/>
      <c r="D63" s="2444"/>
      <c r="E63" s="2444"/>
      <c r="F63" s="2444"/>
      <c r="G63" s="2444"/>
      <c r="H63" s="2444"/>
      <c r="I63" s="2444"/>
      <c r="J63" s="2453"/>
    </row>
    <row r="64" spans="1:9">
      <c r="A64" s="2412"/>
      <c r="B64" s="2412"/>
      <c r="C64" s="2412"/>
      <c r="D64" s="2444"/>
      <c r="E64" s="2444"/>
      <c r="F64" s="2444"/>
      <c r="G64" s="2444"/>
      <c r="H64" s="2444"/>
      <c r="I64" s="2444"/>
    </row>
    <row r="65" spans="1:9">
      <c r="A65" s="2452" t="s">
        <v>667</v>
      </c>
      <c r="B65" s="2444"/>
      <c r="C65" s="2444"/>
      <c r="D65" s="2444"/>
      <c r="E65" s="2444"/>
      <c r="F65" s="2444"/>
      <c r="G65" s="2444"/>
      <c r="H65" s="2444"/>
      <c r="I65" s="2444"/>
    </row>
    <row r="66" spans="1:9">
      <c r="A66" s="2451" t="s">
        <v>668</v>
      </c>
      <c r="B66" s="2444"/>
      <c r="C66" s="2444"/>
      <c r="D66" s="2444"/>
      <c r="E66" s="2444"/>
      <c r="F66" s="2444"/>
      <c r="G66" s="2444"/>
      <c r="H66" s="2444"/>
      <c r="I66" s="2444"/>
    </row>
    <row r="67" spans="1:9">
      <c r="A67" s="2400" t="s">
        <v>669</v>
      </c>
      <c r="B67" s="2400" t="s">
        <v>670</v>
      </c>
      <c r="C67" s="2400" t="s">
        <v>671</v>
      </c>
      <c r="D67" s="2400" t="s">
        <v>672</v>
      </c>
      <c r="E67" s="2400" t="s">
        <v>673</v>
      </c>
      <c r="F67" s="2400" t="s">
        <v>516</v>
      </c>
      <c r="G67" s="2400" t="s">
        <v>674</v>
      </c>
      <c r="H67" s="2444"/>
      <c r="I67" s="2444"/>
    </row>
    <row r="68" spans="1:10">
      <c r="A68" s="2402" t="s">
        <v>675</v>
      </c>
      <c r="B68" s="2442"/>
      <c r="C68" s="2442"/>
      <c r="D68" s="2442"/>
      <c r="E68" s="2442"/>
      <c r="F68" s="2442"/>
      <c r="G68" s="2442"/>
      <c r="H68" s="2444"/>
      <c r="I68" s="2444"/>
      <c r="J68" s="2453"/>
    </row>
    <row r="69" spans="1:10">
      <c r="A69" s="2410">
        <f>IF(未审附注之非流动资产!A69="",0,未审附注之非流动资产!A69)</f>
        <v>0</v>
      </c>
      <c r="B69" s="2403">
        <f>IF(未审附注之非流动资产!B69="",0,未审附注之非流动资产!B69)</f>
        <v>0</v>
      </c>
      <c r="C69" s="2403">
        <f>IF(未审附注之非流动资产!C69="",0,未审附注之非流动资产!C69)</f>
        <v>0</v>
      </c>
      <c r="D69" s="2403">
        <f>IF(未审附注之非流动资产!D69="",0,未审附注之非流动资产!D69)</f>
        <v>0</v>
      </c>
      <c r="E69" s="2403">
        <f>IF(未审附注之非流动资产!E69="",0,未审附注之非流动资产!E69)</f>
        <v>0</v>
      </c>
      <c r="F69" s="2369">
        <f>ROUND(C69+D69-E69,2)</f>
        <v>0</v>
      </c>
      <c r="G69" s="2403">
        <f>IF(未审附注之非流动资产!G69="",0,未审附注之非流动资产!G69)</f>
        <v>0</v>
      </c>
      <c r="H69" s="2444"/>
      <c r="I69" s="2444"/>
      <c r="J69" s="2453" t="s">
        <v>676</v>
      </c>
    </row>
    <row r="70" spans="1:10">
      <c r="A70" s="2410">
        <f>IF(未审附注之非流动资产!A70="",0,未审附注之非流动资产!A70)</f>
        <v>0</v>
      </c>
      <c r="B70" s="2403">
        <f>IF(未审附注之非流动资产!B70="",0,未审附注之非流动资产!B70)</f>
        <v>0</v>
      </c>
      <c r="C70" s="2403">
        <f>IF(未审附注之非流动资产!C70="",0,未审附注之非流动资产!C70)</f>
        <v>0</v>
      </c>
      <c r="D70" s="2403">
        <f>IF(未审附注之非流动资产!D70="",0,未审附注之非流动资产!D70)</f>
        <v>0</v>
      </c>
      <c r="E70" s="2403">
        <f>IF(未审附注之非流动资产!E70="",0,未审附注之非流动资产!E70)</f>
        <v>0</v>
      </c>
      <c r="F70" s="2369">
        <f t="shared" ref="F70:F78" si="1">ROUND(C70+D70-E70,2)</f>
        <v>0</v>
      </c>
      <c r="G70" s="2403">
        <f>IF(未审附注之非流动资产!G70="",0,未审附注之非流动资产!G70)</f>
        <v>0</v>
      </c>
      <c r="H70" s="2444"/>
      <c r="I70" s="2444"/>
      <c r="J70" s="2453" t="s">
        <v>676</v>
      </c>
    </row>
    <row r="71" spans="1:10">
      <c r="A71" s="2410">
        <f>IF(未审附注之非流动资产!A71="",0,未审附注之非流动资产!A71)</f>
        <v>0</v>
      </c>
      <c r="B71" s="2403">
        <f>IF(未审附注之非流动资产!B71="",0,未审附注之非流动资产!B71)</f>
        <v>0</v>
      </c>
      <c r="C71" s="2403">
        <f>IF(未审附注之非流动资产!C71="",0,未审附注之非流动资产!C71)</f>
        <v>0</v>
      </c>
      <c r="D71" s="2403">
        <f>IF(未审附注之非流动资产!D71="",0,未审附注之非流动资产!D71)</f>
        <v>0</v>
      </c>
      <c r="E71" s="2403">
        <f>IF(未审附注之非流动资产!E71="",0,未审附注之非流动资产!E71)</f>
        <v>0</v>
      </c>
      <c r="F71" s="2369">
        <f t="shared" si="1"/>
        <v>0</v>
      </c>
      <c r="G71" s="2403">
        <f>IF(未审附注之非流动资产!G71="",0,未审附注之非流动资产!G71)</f>
        <v>0</v>
      </c>
      <c r="H71" s="2444"/>
      <c r="I71" s="2444"/>
      <c r="J71" s="2453" t="s">
        <v>676</v>
      </c>
    </row>
    <row r="72" spans="1:10">
      <c r="A72" s="2410">
        <f>IF(未审附注之非流动资产!A72="",0,未审附注之非流动资产!A72)</f>
        <v>0</v>
      </c>
      <c r="B72" s="2403">
        <f>IF(未审附注之非流动资产!B72="",0,未审附注之非流动资产!B72)</f>
        <v>0</v>
      </c>
      <c r="C72" s="2403">
        <f>IF(未审附注之非流动资产!C72="",0,未审附注之非流动资产!C72)</f>
        <v>0</v>
      </c>
      <c r="D72" s="2403">
        <f>IF(未审附注之非流动资产!D72="",0,未审附注之非流动资产!D72)</f>
        <v>0</v>
      </c>
      <c r="E72" s="2403">
        <f>IF(未审附注之非流动资产!E72="",0,未审附注之非流动资产!E72)</f>
        <v>0</v>
      </c>
      <c r="F72" s="2369">
        <f t="shared" si="1"/>
        <v>0</v>
      </c>
      <c r="G72" s="2403">
        <f>IF(未审附注之非流动资产!G72="",0,未审附注之非流动资产!G72)</f>
        <v>0</v>
      </c>
      <c r="H72" s="2444"/>
      <c r="I72" s="2444"/>
      <c r="J72" s="2453" t="s">
        <v>676</v>
      </c>
    </row>
    <row r="73" spans="1:10">
      <c r="A73" s="2410">
        <f>IF(未审附注之非流动资产!A73="",0,未审附注之非流动资产!A73)</f>
        <v>0</v>
      </c>
      <c r="B73" s="2403">
        <f>IF(未审附注之非流动资产!B73="",0,未审附注之非流动资产!B73)</f>
        <v>0</v>
      </c>
      <c r="C73" s="2403">
        <f>IF(未审附注之非流动资产!C73="",0,未审附注之非流动资产!C73)</f>
        <v>0</v>
      </c>
      <c r="D73" s="2403">
        <f>IF(未审附注之非流动资产!D73="",0,未审附注之非流动资产!D73)</f>
        <v>0</v>
      </c>
      <c r="E73" s="2403">
        <f>IF(未审附注之非流动资产!E73="",0,未审附注之非流动资产!E73)</f>
        <v>0</v>
      </c>
      <c r="F73" s="2369">
        <f t="shared" si="1"/>
        <v>0</v>
      </c>
      <c r="G73" s="2403">
        <f>IF(未审附注之非流动资产!G73="",0,未审附注之非流动资产!G73)</f>
        <v>0</v>
      </c>
      <c r="H73" s="2444"/>
      <c r="I73" s="2444"/>
      <c r="J73" s="2453" t="s">
        <v>676</v>
      </c>
    </row>
    <row r="74" spans="1:10">
      <c r="A74" s="2410">
        <f>IF(未审附注之非流动资产!A74="",0,未审附注之非流动资产!A74)</f>
        <v>0</v>
      </c>
      <c r="B74" s="2403">
        <f>IF(未审附注之非流动资产!B74="",0,未审附注之非流动资产!B74)</f>
        <v>0</v>
      </c>
      <c r="C74" s="2403">
        <f>IF(未审附注之非流动资产!C74="",0,未审附注之非流动资产!C74)</f>
        <v>0</v>
      </c>
      <c r="D74" s="2403">
        <f>IF(未审附注之非流动资产!D74="",0,未审附注之非流动资产!D74)</f>
        <v>0</v>
      </c>
      <c r="E74" s="2403">
        <f>IF(未审附注之非流动资产!E74="",0,未审附注之非流动资产!E74)</f>
        <v>0</v>
      </c>
      <c r="F74" s="2369">
        <f t="shared" si="1"/>
        <v>0</v>
      </c>
      <c r="G74" s="2403">
        <f>IF(未审附注之非流动资产!G74="",0,未审附注之非流动资产!G74)</f>
        <v>0</v>
      </c>
      <c r="H74" s="2444"/>
      <c r="I74" s="2444"/>
      <c r="J74" s="2453" t="s">
        <v>676</v>
      </c>
    </row>
    <row r="75" spans="1:10">
      <c r="A75" s="2410">
        <f>IF(未审附注之非流动资产!A75="",0,未审附注之非流动资产!A75)</f>
        <v>0</v>
      </c>
      <c r="B75" s="2403">
        <f>IF(未审附注之非流动资产!B75="",0,未审附注之非流动资产!B75)</f>
        <v>0</v>
      </c>
      <c r="C75" s="2403">
        <f>IF(未审附注之非流动资产!C75="",0,未审附注之非流动资产!C75)</f>
        <v>0</v>
      </c>
      <c r="D75" s="2403">
        <f>IF(未审附注之非流动资产!D75="",0,未审附注之非流动资产!D75)</f>
        <v>0</v>
      </c>
      <c r="E75" s="2403">
        <f>IF(未审附注之非流动资产!E75="",0,未审附注之非流动资产!E75)</f>
        <v>0</v>
      </c>
      <c r="F75" s="2369">
        <f t="shared" si="1"/>
        <v>0</v>
      </c>
      <c r="G75" s="2403">
        <f>IF(未审附注之非流动资产!G75="",0,未审附注之非流动资产!G75)</f>
        <v>0</v>
      </c>
      <c r="H75" s="2444"/>
      <c r="I75" s="2444"/>
      <c r="J75" s="2453" t="s">
        <v>676</v>
      </c>
    </row>
    <row r="76" spans="1:10">
      <c r="A76" s="2410">
        <f>IF(未审附注之非流动资产!A76="",0,未审附注之非流动资产!A76)</f>
        <v>0</v>
      </c>
      <c r="B76" s="2403">
        <f>IF(未审附注之非流动资产!B76="",0,未审附注之非流动资产!B76)</f>
        <v>0</v>
      </c>
      <c r="C76" s="2403">
        <f>IF(未审附注之非流动资产!C76="",0,未审附注之非流动资产!C76)</f>
        <v>0</v>
      </c>
      <c r="D76" s="2403">
        <f>IF(未审附注之非流动资产!D76="",0,未审附注之非流动资产!D76)</f>
        <v>0</v>
      </c>
      <c r="E76" s="2403">
        <f>IF(未审附注之非流动资产!E76="",0,未审附注之非流动资产!E76)</f>
        <v>0</v>
      </c>
      <c r="F76" s="2369">
        <f t="shared" si="1"/>
        <v>0</v>
      </c>
      <c r="G76" s="2403">
        <f>IF(未审附注之非流动资产!G76="",0,未审附注之非流动资产!G76)</f>
        <v>0</v>
      </c>
      <c r="H76" s="2444"/>
      <c r="I76" s="2444"/>
      <c r="J76" s="2453" t="s">
        <v>676</v>
      </c>
    </row>
    <row r="77" spans="1:10">
      <c r="A77" s="2410">
        <f>IF(未审附注之非流动资产!A77="",0,未审附注之非流动资产!A77)</f>
        <v>0</v>
      </c>
      <c r="B77" s="2403">
        <f>IF(未审附注之非流动资产!B77="",0,未审附注之非流动资产!B77)</f>
        <v>0</v>
      </c>
      <c r="C77" s="2403">
        <f>IF(未审附注之非流动资产!C77="",0,未审附注之非流动资产!C77)</f>
        <v>0</v>
      </c>
      <c r="D77" s="2403">
        <f>IF(未审附注之非流动资产!D77="",0,未审附注之非流动资产!D77)</f>
        <v>0</v>
      </c>
      <c r="E77" s="2403">
        <f>IF(未审附注之非流动资产!E77="",0,未审附注之非流动资产!E77)</f>
        <v>0</v>
      </c>
      <c r="F77" s="2369">
        <f t="shared" si="1"/>
        <v>0</v>
      </c>
      <c r="G77" s="2403">
        <f>IF(未审附注之非流动资产!G77="",0,未审附注之非流动资产!G77)</f>
        <v>0</v>
      </c>
      <c r="H77" s="2444"/>
      <c r="I77" s="2444"/>
      <c r="J77" s="2453" t="s">
        <v>676</v>
      </c>
    </row>
    <row r="78" spans="1:10">
      <c r="A78" s="2410">
        <f>IF(未审附注之非流动资产!A78="",0,未审附注之非流动资产!A78)</f>
        <v>0</v>
      </c>
      <c r="B78" s="2403">
        <f>IF(未审附注之非流动资产!B78="",0,未审附注之非流动资产!B78)</f>
        <v>0</v>
      </c>
      <c r="C78" s="2403">
        <f>IF(未审附注之非流动资产!C78="",0,未审附注之非流动资产!C78)</f>
        <v>0</v>
      </c>
      <c r="D78" s="2403">
        <f>IF(未审附注之非流动资产!D78="",0,未审附注之非流动资产!D78)</f>
        <v>0</v>
      </c>
      <c r="E78" s="2403">
        <f>IF(未审附注之非流动资产!E78="",0,未审附注之非流动资产!E78)</f>
        <v>0</v>
      </c>
      <c r="F78" s="2369">
        <f t="shared" si="1"/>
        <v>0</v>
      </c>
      <c r="G78" s="2403">
        <f>IF(未审附注之非流动资产!G78="",0,未审附注之非流动资产!G78)</f>
        <v>0</v>
      </c>
      <c r="H78" s="2444"/>
      <c r="I78" s="2444"/>
      <c r="J78" s="2453" t="s">
        <v>676</v>
      </c>
    </row>
    <row r="79" spans="1:10">
      <c r="A79" s="2400" t="s">
        <v>677</v>
      </c>
      <c r="B79" s="2369">
        <f t="shared" ref="B79:G79" si="2">ROUND(SUM(B69:B78),2)</f>
        <v>0</v>
      </c>
      <c r="C79" s="2369">
        <f t="shared" si="2"/>
        <v>0</v>
      </c>
      <c r="D79" s="2369">
        <f t="shared" si="2"/>
        <v>0</v>
      </c>
      <c r="E79" s="2369">
        <f t="shared" si="2"/>
        <v>0</v>
      </c>
      <c r="F79" s="2369">
        <f t="shared" si="2"/>
        <v>0</v>
      </c>
      <c r="G79" s="2369">
        <f t="shared" si="2"/>
        <v>0</v>
      </c>
      <c r="H79" s="2444"/>
      <c r="I79" s="2444"/>
      <c r="J79" s="2453" t="s">
        <v>678</v>
      </c>
    </row>
    <row r="80" spans="1:10">
      <c r="A80" s="2405"/>
      <c r="B80" s="2405"/>
      <c r="C80" s="2405"/>
      <c r="D80" s="2442"/>
      <c r="E80" s="2442"/>
      <c r="F80" s="2442"/>
      <c r="G80" s="2442"/>
      <c r="H80" s="2444"/>
      <c r="I80" s="2444"/>
      <c r="J80" s="2453"/>
    </row>
    <row r="81" spans="1:10">
      <c r="A81" s="2402" t="s">
        <v>679</v>
      </c>
      <c r="B81" s="2442"/>
      <c r="C81" s="2442"/>
      <c r="D81" s="2442"/>
      <c r="E81" s="2442"/>
      <c r="F81" s="2442"/>
      <c r="G81" s="2442"/>
      <c r="H81" s="2444"/>
      <c r="I81" s="2444"/>
      <c r="J81" s="2453"/>
    </row>
    <row r="82" spans="1:10">
      <c r="A82" s="2410">
        <f>IF(未审附注之非流动资产!A82="",0,未审附注之非流动资产!A82)</f>
        <v>0</v>
      </c>
      <c r="B82" s="2403">
        <f>IF(未审附注之非流动资产!B82="",0,未审附注之非流动资产!B82)</f>
        <v>0</v>
      </c>
      <c r="C82" s="2403">
        <f>IF(未审附注之非流动资产!C82="",0,未审附注之非流动资产!C82)</f>
        <v>0</v>
      </c>
      <c r="D82" s="2403">
        <f>IF(未审附注之非流动资产!D82="",0,未审附注之非流动资产!D82)</f>
        <v>0</v>
      </c>
      <c r="E82" s="2403">
        <f>IF(未审附注之非流动资产!E82="",0,未审附注之非流动资产!E82)</f>
        <v>0</v>
      </c>
      <c r="F82" s="2369">
        <f>ROUND(C82+D82-E82,2)</f>
        <v>0</v>
      </c>
      <c r="G82" s="2403">
        <f>IF(未审附注之非流动资产!G82="",0,未审附注之非流动资产!G82)</f>
        <v>0</v>
      </c>
      <c r="H82" s="2444"/>
      <c r="I82" s="2444"/>
      <c r="J82" s="2453" t="s">
        <v>680</v>
      </c>
    </row>
    <row r="83" spans="1:10">
      <c r="A83" s="2410">
        <f>IF(未审附注之非流动资产!A83="",0,未审附注之非流动资产!A83)</f>
        <v>0</v>
      </c>
      <c r="B83" s="2403">
        <f>IF(未审附注之非流动资产!B83="",0,未审附注之非流动资产!B83)</f>
        <v>0</v>
      </c>
      <c r="C83" s="2403">
        <f>IF(未审附注之非流动资产!C83="",0,未审附注之非流动资产!C83)</f>
        <v>0</v>
      </c>
      <c r="D83" s="2403">
        <f>IF(未审附注之非流动资产!D83="",0,未审附注之非流动资产!D83)</f>
        <v>0</v>
      </c>
      <c r="E83" s="2403">
        <f>IF(未审附注之非流动资产!E83="",0,未审附注之非流动资产!E83)</f>
        <v>0</v>
      </c>
      <c r="F83" s="2369">
        <f t="shared" ref="F83:F91" si="3">ROUND(C83+D83-E83,2)</f>
        <v>0</v>
      </c>
      <c r="G83" s="2403">
        <f>IF(未审附注之非流动资产!G83="",0,未审附注之非流动资产!G83)</f>
        <v>0</v>
      </c>
      <c r="H83" s="2444"/>
      <c r="I83" s="2444"/>
      <c r="J83" s="2453" t="s">
        <v>680</v>
      </c>
    </row>
    <row r="84" spans="1:10">
      <c r="A84" s="2410">
        <f>IF(未审附注之非流动资产!A84="",0,未审附注之非流动资产!A84)</f>
        <v>0</v>
      </c>
      <c r="B84" s="2403">
        <f>IF(未审附注之非流动资产!B84="",0,未审附注之非流动资产!B84)</f>
        <v>0</v>
      </c>
      <c r="C84" s="2403">
        <f>IF(未审附注之非流动资产!C84="",0,未审附注之非流动资产!C84)</f>
        <v>0</v>
      </c>
      <c r="D84" s="2403">
        <f>IF(未审附注之非流动资产!D84="",0,未审附注之非流动资产!D84)</f>
        <v>0</v>
      </c>
      <c r="E84" s="2403">
        <f>IF(未审附注之非流动资产!E84="",0,未审附注之非流动资产!E84)</f>
        <v>0</v>
      </c>
      <c r="F84" s="2369">
        <f t="shared" si="3"/>
        <v>0</v>
      </c>
      <c r="G84" s="2403">
        <f>IF(未审附注之非流动资产!G84="",0,未审附注之非流动资产!G84)</f>
        <v>0</v>
      </c>
      <c r="H84" s="2444"/>
      <c r="I84" s="2444"/>
      <c r="J84" s="2453" t="s">
        <v>680</v>
      </c>
    </row>
    <row r="85" spans="1:10">
      <c r="A85" s="2410">
        <f>IF(未审附注之非流动资产!A85="",0,未审附注之非流动资产!A85)</f>
        <v>0</v>
      </c>
      <c r="B85" s="2403">
        <f>IF(未审附注之非流动资产!B85="",0,未审附注之非流动资产!B85)</f>
        <v>0</v>
      </c>
      <c r="C85" s="2403">
        <f>IF(未审附注之非流动资产!C85="",0,未审附注之非流动资产!C85)</f>
        <v>0</v>
      </c>
      <c r="D85" s="2403">
        <f>IF(未审附注之非流动资产!D85="",0,未审附注之非流动资产!D85)</f>
        <v>0</v>
      </c>
      <c r="E85" s="2403">
        <f>IF(未审附注之非流动资产!E85="",0,未审附注之非流动资产!E85)</f>
        <v>0</v>
      </c>
      <c r="F85" s="2369">
        <f t="shared" si="3"/>
        <v>0</v>
      </c>
      <c r="G85" s="2403">
        <f>IF(未审附注之非流动资产!G85="",0,未审附注之非流动资产!G85)</f>
        <v>0</v>
      </c>
      <c r="H85" s="2444"/>
      <c r="I85" s="2444"/>
      <c r="J85" s="2453" t="s">
        <v>680</v>
      </c>
    </row>
    <row r="86" spans="1:10">
      <c r="A86" s="2410">
        <f>IF(未审附注之非流动资产!A86="",0,未审附注之非流动资产!A86)</f>
        <v>0</v>
      </c>
      <c r="B86" s="2403">
        <f>IF(未审附注之非流动资产!B86="",0,未审附注之非流动资产!B86)</f>
        <v>0</v>
      </c>
      <c r="C86" s="2403">
        <f>IF(未审附注之非流动资产!C86="",0,未审附注之非流动资产!C86)</f>
        <v>0</v>
      </c>
      <c r="D86" s="2403">
        <f>IF(未审附注之非流动资产!D86="",0,未审附注之非流动资产!D86)</f>
        <v>0</v>
      </c>
      <c r="E86" s="2403">
        <f>IF(未审附注之非流动资产!E86="",0,未审附注之非流动资产!E86)</f>
        <v>0</v>
      </c>
      <c r="F86" s="2369">
        <f t="shared" si="3"/>
        <v>0</v>
      </c>
      <c r="G86" s="2403">
        <f>IF(未审附注之非流动资产!G86="",0,未审附注之非流动资产!G86)</f>
        <v>0</v>
      </c>
      <c r="H86" s="2444"/>
      <c r="I86" s="2444"/>
      <c r="J86" s="2453" t="s">
        <v>680</v>
      </c>
    </row>
    <row r="87" spans="1:10">
      <c r="A87" s="2410">
        <f>IF(未审附注之非流动资产!A87="",0,未审附注之非流动资产!A87)</f>
        <v>0</v>
      </c>
      <c r="B87" s="2403">
        <f>IF(未审附注之非流动资产!B87="",0,未审附注之非流动资产!B87)</f>
        <v>0</v>
      </c>
      <c r="C87" s="2403">
        <f>IF(未审附注之非流动资产!C87="",0,未审附注之非流动资产!C87)</f>
        <v>0</v>
      </c>
      <c r="D87" s="2403">
        <f>IF(未审附注之非流动资产!D87="",0,未审附注之非流动资产!D87)</f>
        <v>0</v>
      </c>
      <c r="E87" s="2403">
        <f>IF(未审附注之非流动资产!E87="",0,未审附注之非流动资产!E87)</f>
        <v>0</v>
      </c>
      <c r="F87" s="2369">
        <f t="shared" si="3"/>
        <v>0</v>
      </c>
      <c r="G87" s="2403">
        <f>IF(未审附注之非流动资产!G87="",0,未审附注之非流动资产!G87)</f>
        <v>0</v>
      </c>
      <c r="H87" s="2444"/>
      <c r="I87" s="2444"/>
      <c r="J87" s="2453" t="s">
        <v>680</v>
      </c>
    </row>
    <row r="88" spans="1:10">
      <c r="A88" s="2410">
        <f>IF(未审附注之非流动资产!A88="",0,未审附注之非流动资产!A88)</f>
        <v>0</v>
      </c>
      <c r="B88" s="2403">
        <f>IF(未审附注之非流动资产!B88="",0,未审附注之非流动资产!B88)</f>
        <v>0</v>
      </c>
      <c r="C88" s="2403">
        <f>IF(未审附注之非流动资产!C88="",0,未审附注之非流动资产!C88)</f>
        <v>0</v>
      </c>
      <c r="D88" s="2403">
        <f>IF(未审附注之非流动资产!D88="",0,未审附注之非流动资产!D88)</f>
        <v>0</v>
      </c>
      <c r="E88" s="2403">
        <f>IF(未审附注之非流动资产!E88="",0,未审附注之非流动资产!E88)</f>
        <v>0</v>
      </c>
      <c r="F88" s="2369">
        <f t="shared" si="3"/>
        <v>0</v>
      </c>
      <c r="G88" s="2403">
        <f>IF(未审附注之非流动资产!G88="",0,未审附注之非流动资产!G88)</f>
        <v>0</v>
      </c>
      <c r="H88" s="2444"/>
      <c r="I88" s="2444"/>
      <c r="J88" s="2453" t="s">
        <v>680</v>
      </c>
    </row>
    <row r="89" spans="1:10">
      <c r="A89" s="2410">
        <f>IF(未审附注之非流动资产!A89="",0,未审附注之非流动资产!A89)</f>
        <v>0</v>
      </c>
      <c r="B89" s="2403">
        <f>IF(未审附注之非流动资产!B89="",0,未审附注之非流动资产!B89)</f>
        <v>0</v>
      </c>
      <c r="C89" s="2403">
        <f>IF(未审附注之非流动资产!C89="",0,未审附注之非流动资产!C89)</f>
        <v>0</v>
      </c>
      <c r="D89" s="2403">
        <f>IF(未审附注之非流动资产!D89="",0,未审附注之非流动资产!D89)</f>
        <v>0</v>
      </c>
      <c r="E89" s="2403">
        <f>IF(未审附注之非流动资产!E89="",0,未审附注之非流动资产!E89)</f>
        <v>0</v>
      </c>
      <c r="F89" s="2369">
        <f t="shared" si="3"/>
        <v>0</v>
      </c>
      <c r="G89" s="2403">
        <f>IF(未审附注之非流动资产!G89="",0,未审附注之非流动资产!G89)</f>
        <v>0</v>
      </c>
      <c r="H89" s="2444"/>
      <c r="I89" s="2444"/>
      <c r="J89" s="2453" t="s">
        <v>680</v>
      </c>
    </row>
    <row r="90" spans="1:10">
      <c r="A90" s="2410">
        <f>IF(未审附注之非流动资产!A90="",0,未审附注之非流动资产!A90)</f>
        <v>0</v>
      </c>
      <c r="B90" s="2403">
        <f>IF(未审附注之非流动资产!B90="",0,未审附注之非流动资产!B90)</f>
        <v>0</v>
      </c>
      <c r="C90" s="2403">
        <f>IF(未审附注之非流动资产!C90="",0,未审附注之非流动资产!C90)</f>
        <v>0</v>
      </c>
      <c r="D90" s="2403">
        <f>IF(未审附注之非流动资产!D90="",0,未审附注之非流动资产!D90)</f>
        <v>0</v>
      </c>
      <c r="E90" s="2403">
        <f>IF(未审附注之非流动资产!E90="",0,未审附注之非流动资产!E90)</f>
        <v>0</v>
      </c>
      <c r="F90" s="2369">
        <f t="shared" si="3"/>
        <v>0</v>
      </c>
      <c r="G90" s="2403">
        <f>IF(未审附注之非流动资产!G90="",0,未审附注之非流动资产!G90)</f>
        <v>0</v>
      </c>
      <c r="H90" s="2444"/>
      <c r="I90" s="2444"/>
      <c r="J90" s="2453" t="s">
        <v>680</v>
      </c>
    </row>
    <row r="91" spans="1:10">
      <c r="A91" s="2410">
        <f>IF(未审附注之非流动资产!A91="",0,未审附注之非流动资产!A91)</f>
        <v>0</v>
      </c>
      <c r="B91" s="2403">
        <f>IF(未审附注之非流动资产!B91="",0,未审附注之非流动资产!B91)</f>
        <v>0</v>
      </c>
      <c r="C91" s="2403">
        <f>IF(未审附注之非流动资产!C91="",0,未审附注之非流动资产!C91)</f>
        <v>0</v>
      </c>
      <c r="D91" s="2403">
        <f>IF(未审附注之非流动资产!D91="",0,未审附注之非流动资产!D91)</f>
        <v>0</v>
      </c>
      <c r="E91" s="2403">
        <f>IF(未审附注之非流动资产!E91="",0,未审附注之非流动资产!E91)</f>
        <v>0</v>
      </c>
      <c r="F91" s="2369">
        <f t="shared" si="3"/>
        <v>0</v>
      </c>
      <c r="G91" s="2403">
        <f>IF(未审附注之非流动资产!G91="",0,未审附注之非流动资产!G91)</f>
        <v>0</v>
      </c>
      <c r="H91" s="2444"/>
      <c r="I91" s="2444"/>
      <c r="J91" s="2453" t="s">
        <v>680</v>
      </c>
    </row>
    <row r="92" spans="1:10">
      <c r="A92" s="2400" t="s">
        <v>677</v>
      </c>
      <c r="B92" s="2369">
        <f t="shared" ref="B92:G92" si="4">ROUND(SUM(B82:B91),2)</f>
        <v>0</v>
      </c>
      <c r="C92" s="2369">
        <f t="shared" si="4"/>
        <v>0</v>
      </c>
      <c r="D92" s="2369">
        <f t="shared" si="4"/>
        <v>0</v>
      </c>
      <c r="E92" s="2369">
        <f t="shared" si="4"/>
        <v>0</v>
      </c>
      <c r="F92" s="2369">
        <f t="shared" si="4"/>
        <v>0</v>
      </c>
      <c r="G92" s="2369">
        <f t="shared" si="4"/>
        <v>0</v>
      </c>
      <c r="H92" s="2444"/>
      <c r="I92" s="2444"/>
      <c r="J92" s="2453" t="s">
        <v>681</v>
      </c>
    </row>
    <row r="93" spans="1:10">
      <c r="A93" s="2405"/>
      <c r="B93" s="2405"/>
      <c r="C93" s="2405"/>
      <c r="D93" s="2442"/>
      <c r="E93" s="2442"/>
      <c r="F93" s="2442"/>
      <c r="G93" s="2442"/>
      <c r="H93" s="2444"/>
      <c r="I93" s="2444"/>
      <c r="J93" s="2453"/>
    </row>
    <row r="94" spans="1:10">
      <c r="A94" s="2400" t="s">
        <v>385</v>
      </c>
      <c r="B94" s="2369">
        <f t="shared" ref="B94:G94" si="5">ROUND(B79+B92,2)</f>
        <v>0</v>
      </c>
      <c r="C94" s="2369">
        <f t="shared" si="5"/>
        <v>0</v>
      </c>
      <c r="D94" s="2369">
        <f t="shared" si="5"/>
        <v>0</v>
      </c>
      <c r="E94" s="2369">
        <f t="shared" si="5"/>
        <v>0</v>
      </c>
      <c r="F94" s="2369">
        <f t="shared" si="5"/>
        <v>0</v>
      </c>
      <c r="G94" s="2369">
        <f t="shared" si="5"/>
        <v>0</v>
      </c>
      <c r="H94" s="2444"/>
      <c r="I94" s="2444"/>
      <c r="J94" s="2453" t="s">
        <v>682</v>
      </c>
    </row>
    <row r="95" spans="1:9">
      <c r="A95" s="2450"/>
      <c r="B95" s="2418"/>
      <c r="C95" s="2418"/>
      <c r="D95" s="2444"/>
      <c r="E95" s="2444"/>
      <c r="F95" s="2444"/>
      <c r="G95" s="2444"/>
      <c r="H95" s="2444"/>
      <c r="I95" s="2444"/>
    </row>
    <row r="96" spans="1:9">
      <c r="A96" s="2451" t="s">
        <v>683</v>
      </c>
      <c r="B96" s="2444"/>
      <c r="C96" s="2444"/>
      <c r="D96" s="2444"/>
      <c r="E96" s="2444"/>
      <c r="F96" s="2444"/>
      <c r="G96" s="2444"/>
      <c r="H96" s="2444"/>
      <c r="I96" s="2444"/>
    </row>
    <row r="97" spans="1:9">
      <c r="A97" s="2400" t="s">
        <v>669</v>
      </c>
      <c r="B97" s="2400" t="s">
        <v>684</v>
      </c>
      <c r="C97" s="2400" t="s">
        <v>671</v>
      </c>
      <c r="D97" s="2400" t="s">
        <v>672</v>
      </c>
      <c r="E97" s="2400" t="s">
        <v>673</v>
      </c>
      <c r="F97" s="2400" t="s">
        <v>516</v>
      </c>
      <c r="G97" s="2444"/>
      <c r="H97" s="2444"/>
      <c r="I97" s="2444"/>
    </row>
    <row r="98" spans="1:10">
      <c r="A98" s="2402" t="s">
        <v>675</v>
      </c>
      <c r="B98" s="2442"/>
      <c r="C98" s="2442"/>
      <c r="D98" s="2442"/>
      <c r="E98" s="2442"/>
      <c r="F98" s="2442"/>
      <c r="G98" s="2444"/>
      <c r="H98" s="2444"/>
      <c r="I98" s="2444"/>
      <c r="J98" s="2453"/>
    </row>
    <row r="99" spans="1:10">
      <c r="A99" s="2410">
        <f>IF(未审附注之非流动资产!A99="",0,未审附注之非流动资产!A99)</f>
        <v>0</v>
      </c>
      <c r="B99" s="2410">
        <f>IF(未审附注之非流动资产!B99="",0,未审附注之非流动资产!B99)</f>
        <v>0</v>
      </c>
      <c r="C99" s="2403">
        <f>IF(未审附注之非流动资产!C99="",0,未审附注之非流动资产!C99)</f>
        <v>0</v>
      </c>
      <c r="D99" s="2403">
        <f>IF(未审附注之非流动资产!D99="",0,未审附注之非流动资产!D99)</f>
        <v>0</v>
      </c>
      <c r="E99" s="2403">
        <f>IF(未审附注之非流动资产!E99="",0,未审附注之非流动资产!E99)</f>
        <v>0</v>
      </c>
      <c r="F99" s="2369">
        <f>ROUND(C99+D99-E99,2)</f>
        <v>0</v>
      </c>
      <c r="G99" s="2444"/>
      <c r="H99" s="2444"/>
      <c r="I99" s="2444"/>
      <c r="J99" s="2453" t="s">
        <v>685</v>
      </c>
    </row>
    <row r="100" spans="1:10">
      <c r="A100" s="2410">
        <f>IF(未审附注之非流动资产!A100="",0,未审附注之非流动资产!A100)</f>
        <v>0</v>
      </c>
      <c r="B100" s="2410">
        <f>IF(未审附注之非流动资产!B100="",0,未审附注之非流动资产!B100)</f>
        <v>0</v>
      </c>
      <c r="C100" s="2403">
        <f>IF(未审附注之非流动资产!C100="",0,未审附注之非流动资产!C100)</f>
        <v>0</v>
      </c>
      <c r="D100" s="2403">
        <f>IF(未审附注之非流动资产!D100="",0,未审附注之非流动资产!D100)</f>
        <v>0</v>
      </c>
      <c r="E100" s="2403">
        <f>IF(未审附注之非流动资产!E100="",0,未审附注之非流动资产!E100)</f>
        <v>0</v>
      </c>
      <c r="F100" s="2369">
        <f t="shared" ref="F100:F108" si="6">ROUND(C100+D100-E100,2)</f>
        <v>0</v>
      </c>
      <c r="G100" s="2444"/>
      <c r="H100" s="2444"/>
      <c r="I100" s="2444"/>
      <c r="J100" s="2453" t="s">
        <v>685</v>
      </c>
    </row>
    <row r="101" spans="1:10">
      <c r="A101" s="2410">
        <f>IF(未审附注之非流动资产!A101="",0,未审附注之非流动资产!A101)</f>
        <v>0</v>
      </c>
      <c r="B101" s="2410">
        <f>IF(未审附注之非流动资产!B101="",0,未审附注之非流动资产!B101)</f>
        <v>0</v>
      </c>
      <c r="C101" s="2403">
        <f>IF(未审附注之非流动资产!C101="",0,未审附注之非流动资产!C101)</f>
        <v>0</v>
      </c>
      <c r="D101" s="2403">
        <f>IF(未审附注之非流动资产!D101="",0,未审附注之非流动资产!D101)</f>
        <v>0</v>
      </c>
      <c r="E101" s="2403">
        <f>IF(未审附注之非流动资产!E101="",0,未审附注之非流动资产!E101)</f>
        <v>0</v>
      </c>
      <c r="F101" s="2369">
        <f t="shared" si="6"/>
        <v>0</v>
      </c>
      <c r="G101" s="2444"/>
      <c r="H101" s="2444"/>
      <c r="I101" s="2444"/>
      <c r="J101" s="2453" t="s">
        <v>685</v>
      </c>
    </row>
    <row r="102" spans="1:10">
      <c r="A102" s="2410">
        <f>IF(未审附注之非流动资产!A102="",0,未审附注之非流动资产!A102)</f>
        <v>0</v>
      </c>
      <c r="B102" s="2410">
        <f>IF(未审附注之非流动资产!B102="",0,未审附注之非流动资产!B102)</f>
        <v>0</v>
      </c>
      <c r="C102" s="2403">
        <f>IF(未审附注之非流动资产!C102="",0,未审附注之非流动资产!C102)</f>
        <v>0</v>
      </c>
      <c r="D102" s="2403">
        <f>IF(未审附注之非流动资产!D102="",0,未审附注之非流动资产!D102)</f>
        <v>0</v>
      </c>
      <c r="E102" s="2403">
        <f>IF(未审附注之非流动资产!E102="",0,未审附注之非流动资产!E102)</f>
        <v>0</v>
      </c>
      <c r="F102" s="2369">
        <f t="shared" si="6"/>
        <v>0</v>
      </c>
      <c r="G102" s="2444"/>
      <c r="H102" s="2444"/>
      <c r="I102" s="2444"/>
      <c r="J102" s="2453" t="s">
        <v>685</v>
      </c>
    </row>
    <row r="103" spans="1:10">
      <c r="A103" s="2410">
        <f>IF(未审附注之非流动资产!A103="",0,未审附注之非流动资产!A103)</f>
        <v>0</v>
      </c>
      <c r="B103" s="2410">
        <f>IF(未审附注之非流动资产!B103="",0,未审附注之非流动资产!B103)</f>
        <v>0</v>
      </c>
      <c r="C103" s="2403">
        <f>IF(未审附注之非流动资产!C103="",0,未审附注之非流动资产!C103)</f>
        <v>0</v>
      </c>
      <c r="D103" s="2403">
        <f>IF(未审附注之非流动资产!D103="",0,未审附注之非流动资产!D103)</f>
        <v>0</v>
      </c>
      <c r="E103" s="2403">
        <f>IF(未审附注之非流动资产!E103="",0,未审附注之非流动资产!E103)</f>
        <v>0</v>
      </c>
      <c r="F103" s="2369">
        <f t="shared" si="6"/>
        <v>0</v>
      </c>
      <c r="G103" s="2444"/>
      <c r="H103" s="2444"/>
      <c r="I103" s="2444"/>
      <c r="J103" s="2453" t="s">
        <v>685</v>
      </c>
    </row>
    <row r="104" spans="1:10">
      <c r="A104" s="2410">
        <f>IF(未审附注之非流动资产!A104="",0,未审附注之非流动资产!A104)</f>
        <v>0</v>
      </c>
      <c r="B104" s="2410">
        <f>IF(未审附注之非流动资产!B104="",0,未审附注之非流动资产!B104)</f>
        <v>0</v>
      </c>
      <c r="C104" s="2403">
        <f>IF(未审附注之非流动资产!C104="",0,未审附注之非流动资产!C104)</f>
        <v>0</v>
      </c>
      <c r="D104" s="2403">
        <f>IF(未审附注之非流动资产!D104="",0,未审附注之非流动资产!D104)</f>
        <v>0</v>
      </c>
      <c r="E104" s="2403">
        <f>IF(未审附注之非流动资产!E104="",0,未审附注之非流动资产!E104)</f>
        <v>0</v>
      </c>
      <c r="F104" s="2369">
        <f t="shared" si="6"/>
        <v>0</v>
      </c>
      <c r="G104" s="2444"/>
      <c r="H104" s="2444"/>
      <c r="I104" s="2444"/>
      <c r="J104" s="2453" t="s">
        <v>685</v>
      </c>
    </row>
    <row r="105" spans="1:10">
      <c r="A105" s="2410">
        <f>IF(未审附注之非流动资产!A105="",0,未审附注之非流动资产!A105)</f>
        <v>0</v>
      </c>
      <c r="B105" s="2410">
        <f>IF(未审附注之非流动资产!B105="",0,未审附注之非流动资产!B105)</f>
        <v>0</v>
      </c>
      <c r="C105" s="2403">
        <f>IF(未审附注之非流动资产!C105="",0,未审附注之非流动资产!C105)</f>
        <v>0</v>
      </c>
      <c r="D105" s="2403">
        <f>IF(未审附注之非流动资产!D105="",0,未审附注之非流动资产!D105)</f>
        <v>0</v>
      </c>
      <c r="E105" s="2403">
        <f>IF(未审附注之非流动资产!E105="",0,未审附注之非流动资产!E105)</f>
        <v>0</v>
      </c>
      <c r="F105" s="2369">
        <f t="shared" si="6"/>
        <v>0</v>
      </c>
      <c r="G105" s="2444"/>
      <c r="H105" s="2444"/>
      <c r="I105" s="2444"/>
      <c r="J105" s="2453" t="s">
        <v>685</v>
      </c>
    </row>
    <row r="106" spans="1:10">
      <c r="A106" s="2410">
        <f>IF(未审附注之非流动资产!A106="",0,未审附注之非流动资产!A106)</f>
        <v>0</v>
      </c>
      <c r="B106" s="2410">
        <f>IF(未审附注之非流动资产!B106="",0,未审附注之非流动资产!B106)</f>
        <v>0</v>
      </c>
      <c r="C106" s="2403">
        <f>IF(未审附注之非流动资产!C106="",0,未审附注之非流动资产!C106)</f>
        <v>0</v>
      </c>
      <c r="D106" s="2403">
        <f>IF(未审附注之非流动资产!D106="",0,未审附注之非流动资产!D106)</f>
        <v>0</v>
      </c>
      <c r="E106" s="2403">
        <f>IF(未审附注之非流动资产!E106="",0,未审附注之非流动资产!E106)</f>
        <v>0</v>
      </c>
      <c r="F106" s="2369">
        <f t="shared" si="6"/>
        <v>0</v>
      </c>
      <c r="G106" s="2444"/>
      <c r="H106" s="2444"/>
      <c r="I106" s="2444"/>
      <c r="J106" s="2453" t="s">
        <v>685</v>
      </c>
    </row>
    <row r="107" spans="1:10">
      <c r="A107" s="2410">
        <f>IF(未审附注之非流动资产!A107="",0,未审附注之非流动资产!A107)</f>
        <v>0</v>
      </c>
      <c r="B107" s="2410">
        <f>IF(未审附注之非流动资产!B107="",0,未审附注之非流动资产!B107)</f>
        <v>0</v>
      </c>
      <c r="C107" s="2403">
        <f>IF(未审附注之非流动资产!C107="",0,未审附注之非流动资产!C107)</f>
        <v>0</v>
      </c>
      <c r="D107" s="2403">
        <f>IF(未审附注之非流动资产!D107="",0,未审附注之非流动资产!D107)</f>
        <v>0</v>
      </c>
      <c r="E107" s="2403">
        <f>IF(未审附注之非流动资产!E107="",0,未审附注之非流动资产!E107)</f>
        <v>0</v>
      </c>
      <c r="F107" s="2369">
        <f t="shared" si="6"/>
        <v>0</v>
      </c>
      <c r="G107" s="2444"/>
      <c r="H107" s="2444"/>
      <c r="I107" s="2444"/>
      <c r="J107" s="2453" t="s">
        <v>685</v>
      </c>
    </row>
    <row r="108" spans="1:10">
      <c r="A108" s="2410">
        <f>IF(未审附注之非流动资产!A108="",0,未审附注之非流动资产!A108)</f>
        <v>0</v>
      </c>
      <c r="B108" s="2410">
        <f>IF(未审附注之非流动资产!B108="",0,未审附注之非流动资产!B108)</f>
        <v>0</v>
      </c>
      <c r="C108" s="2403">
        <f>IF(未审附注之非流动资产!C108="",0,未审附注之非流动资产!C108)</f>
        <v>0</v>
      </c>
      <c r="D108" s="2403">
        <f>IF(未审附注之非流动资产!D108="",0,未审附注之非流动资产!D108)</f>
        <v>0</v>
      </c>
      <c r="E108" s="2403">
        <f>IF(未审附注之非流动资产!E108="",0,未审附注之非流动资产!E108)</f>
        <v>0</v>
      </c>
      <c r="F108" s="2369">
        <f t="shared" si="6"/>
        <v>0</v>
      </c>
      <c r="G108" s="2444"/>
      <c r="H108" s="2444"/>
      <c r="I108" s="2444"/>
      <c r="J108" s="2453" t="s">
        <v>685</v>
      </c>
    </row>
    <row r="109" spans="1:10">
      <c r="A109" s="2400" t="s">
        <v>677</v>
      </c>
      <c r="B109" s="2369"/>
      <c r="C109" s="2369">
        <f>ROUND(SUM(C99:C108),2)</f>
        <v>0</v>
      </c>
      <c r="D109" s="2369">
        <f>ROUND(SUM(D99:D108),2)</f>
        <v>0</v>
      </c>
      <c r="E109" s="2369">
        <f>ROUND(SUM(E99:E108),2)</f>
        <v>0</v>
      </c>
      <c r="F109" s="2369">
        <f>ROUND(SUM(F99:F108),2)</f>
        <v>0</v>
      </c>
      <c r="G109" s="2444"/>
      <c r="H109" s="2444"/>
      <c r="I109" s="2444"/>
      <c r="J109" s="2453" t="s">
        <v>686</v>
      </c>
    </row>
    <row r="110" spans="1:10">
      <c r="A110" s="2405"/>
      <c r="B110" s="2405"/>
      <c r="C110" s="2405"/>
      <c r="D110" s="2442"/>
      <c r="E110" s="2442"/>
      <c r="F110" s="2442"/>
      <c r="G110" s="2444"/>
      <c r="H110" s="2444"/>
      <c r="I110" s="2444"/>
      <c r="J110" s="2453"/>
    </row>
    <row r="111" spans="1:10">
      <c r="A111" s="2402" t="s">
        <v>679</v>
      </c>
      <c r="B111" s="2442"/>
      <c r="C111" s="2442"/>
      <c r="D111" s="2442"/>
      <c r="E111" s="2442"/>
      <c r="F111" s="2442"/>
      <c r="G111" s="2444"/>
      <c r="H111" s="2444"/>
      <c r="I111" s="2444"/>
      <c r="J111" s="2453"/>
    </row>
    <row r="112" spans="1:10">
      <c r="A112" s="2410">
        <f>IF(未审附注之非流动资产!A112="",0,未审附注之非流动资产!A112)</f>
        <v>0</v>
      </c>
      <c r="B112" s="2410">
        <f>IF(未审附注之非流动资产!B112="",0,未审附注之非流动资产!B112)</f>
        <v>0</v>
      </c>
      <c r="C112" s="2403">
        <f>IF(未审附注之非流动资产!C112="",0,未审附注之非流动资产!C112)</f>
        <v>0</v>
      </c>
      <c r="D112" s="2403">
        <f>IF(未审附注之非流动资产!D112="",0,未审附注之非流动资产!D112)</f>
        <v>0</v>
      </c>
      <c r="E112" s="2403">
        <f>IF(未审附注之非流动资产!E112="",0,未审附注之非流动资产!E112)</f>
        <v>0</v>
      </c>
      <c r="F112" s="2369">
        <f>ROUND(C112+D112-E112,2)</f>
        <v>0</v>
      </c>
      <c r="G112" s="2444"/>
      <c r="H112" s="2444"/>
      <c r="I112" s="2444"/>
      <c r="J112" s="2453" t="s">
        <v>687</v>
      </c>
    </row>
    <row r="113" spans="1:10">
      <c r="A113" s="2410">
        <f>IF(未审附注之非流动资产!A113="",0,未审附注之非流动资产!A113)</f>
        <v>0</v>
      </c>
      <c r="B113" s="2410">
        <f>IF(未审附注之非流动资产!B113="",0,未审附注之非流动资产!B113)</f>
        <v>0</v>
      </c>
      <c r="C113" s="2403">
        <f>IF(未审附注之非流动资产!C113="",0,未审附注之非流动资产!C113)</f>
        <v>0</v>
      </c>
      <c r="D113" s="2403">
        <f>IF(未审附注之非流动资产!D113="",0,未审附注之非流动资产!D113)</f>
        <v>0</v>
      </c>
      <c r="E113" s="2403">
        <f>IF(未审附注之非流动资产!E113="",0,未审附注之非流动资产!E113)</f>
        <v>0</v>
      </c>
      <c r="F113" s="2369">
        <f t="shared" ref="F113:F121" si="7">ROUND(C113+D113-E113,2)</f>
        <v>0</v>
      </c>
      <c r="G113" s="2444"/>
      <c r="H113" s="2444"/>
      <c r="I113" s="2444"/>
      <c r="J113" s="2453" t="s">
        <v>687</v>
      </c>
    </row>
    <row r="114" spans="1:10">
      <c r="A114" s="2410">
        <f>IF(未审附注之非流动资产!A114="",0,未审附注之非流动资产!A114)</f>
        <v>0</v>
      </c>
      <c r="B114" s="2410">
        <f>IF(未审附注之非流动资产!B114="",0,未审附注之非流动资产!B114)</f>
        <v>0</v>
      </c>
      <c r="C114" s="2403">
        <f>IF(未审附注之非流动资产!C114="",0,未审附注之非流动资产!C114)</f>
        <v>0</v>
      </c>
      <c r="D114" s="2403">
        <f>IF(未审附注之非流动资产!D114="",0,未审附注之非流动资产!D114)</f>
        <v>0</v>
      </c>
      <c r="E114" s="2403">
        <f>IF(未审附注之非流动资产!E114="",0,未审附注之非流动资产!E114)</f>
        <v>0</v>
      </c>
      <c r="F114" s="2369">
        <f t="shared" si="7"/>
        <v>0</v>
      </c>
      <c r="G114" s="2444"/>
      <c r="H114" s="2444"/>
      <c r="I114" s="2444"/>
      <c r="J114" s="2453" t="s">
        <v>687</v>
      </c>
    </row>
    <row r="115" spans="1:10">
      <c r="A115" s="2410">
        <f>IF(未审附注之非流动资产!A115="",0,未审附注之非流动资产!A115)</f>
        <v>0</v>
      </c>
      <c r="B115" s="2410">
        <f>IF(未审附注之非流动资产!B115="",0,未审附注之非流动资产!B115)</f>
        <v>0</v>
      </c>
      <c r="C115" s="2403">
        <f>IF(未审附注之非流动资产!C115="",0,未审附注之非流动资产!C115)</f>
        <v>0</v>
      </c>
      <c r="D115" s="2403">
        <f>IF(未审附注之非流动资产!D115="",0,未审附注之非流动资产!D115)</f>
        <v>0</v>
      </c>
      <c r="E115" s="2403">
        <f>IF(未审附注之非流动资产!E115="",0,未审附注之非流动资产!E115)</f>
        <v>0</v>
      </c>
      <c r="F115" s="2369">
        <f t="shared" si="7"/>
        <v>0</v>
      </c>
      <c r="G115" s="2444"/>
      <c r="H115" s="2444"/>
      <c r="I115" s="2444"/>
      <c r="J115" s="2453" t="s">
        <v>687</v>
      </c>
    </row>
    <row r="116" spans="1:10">
      <c r="A116" s="2410">
        <f>IF(未审附注之非流动资产!A116="",0,未审附注之非流动资产!A116)</f>
        <v>0</v>
      </c>
      <c r="B116" s="2410">
        <f>IF(未审附注之非流动资产!B116="",0,未审附注之非流动资产!B116)</f>
        <v>0</v>
      </c>
      <c r="C116" s="2403">
        <f>IF(未审附注之非流动资产!C116="",0,未审附注之非流动资产!C116)</f>
        <v>0</v>
      </c>
      <c r="D116" s="2403">
        <f>IF(未审附注之非流动资产!D116="",0,未审附注之非流动资产!D116)</f>
        <v>0</v>
      </c>
      <c r="E116" s="2403">
        <f>IF(未审附注之非流动资产!E116="",0,未审附注之非流动资产!E116)</f>
        <v>0</v>
      </c>
      <c r="F116" s="2369">
        <f t="shared" si="7"/>
        <v>0</v>
      </c>
      <c r="G116" s="2444"/>
      <c r="H116" s="2444"/>
      <c r="I116" s="2444"/>
      <c r="J116" s="2453" t="s">
        <v>687</v>
      </c>
    </row>
    <row r="117" spans="1:10">
      <c r="A117" s="2410">
        <f>IF(未审附注之非流动资产!A117="",0,未审附注之非流动资产!A117)</f>
        <v>0</v>
      </c>
      <c r="B117" s="2410">
        <f>IF(未审附注之非流动资产!B117="",0,未审附注之非流动资产!B117)</f>
        <v>0</v>
      </c>
      <c r="C117" s="2403">
        <f>IF(未审附注之非流动资产!C117="",0,未审附注之非流动资产!C117)</f>
        <v>0</v>
      </c>
      <c r="D117" s="2403">
        <f>IF(未审附注之非流动资产!D117="",0,未审附注之非流动资产!D117)</f>
        <v>0</v>
      </c>
      <c r="E117" s="2403">
        <f>IF(未审附注之非流动资产!E117="",0,未审附注之非流动资产!E117)</f>
        <v>0</v>
      </c>
      <c r="F117" s="2369">
        <f t="shared" si="7"/>
        <v>0</v>
      </c>
      <c r="G117" s="2444"/>
      <c r="H117" s="2444"/>
      <c r="I117" s="2444"/>
      <c r="J117" s="2453" t="s">
        <v>687</v>
      </c>
    </row>
    <row r="118" spans="1:10">
      <c r="A118" s="2410">
        <f>IF(未审附注之非流动资产!A118="",0,未审附注之非流动资产!A118)</f>
        <v>0</v>
      </c>
      <c r="B118" s="2410">
        <f>IF(未审附注之非流动资产!B118="",0,未审附注之非流动资产!B118)</f>
        <v>0</v>
      </c>
      <c r="C118" s="2403">
        <f>IF(未审附注之非流动资产!C118="",0,未审附注之非流动资产!C118)</f>
        <v>0</v>
      </c>
      <c r="D118" s="2403">
        <f>IF(未审附注之非流动资产!D118="",0,未审附注之非流动资产!D118)</f>
        <v>0</v>
      </c>
      <c r="E118" s="2403">
        <f>IF(未审附注之非流动资产!E118="",0,未审附注之非流动资产!E118)</f>
        <v>0</v>
      </c>
      <c r="F118" s="2369">
        <f t="shared" si="7"/>
        <v>0</v>
      </c>
      <c r="G118" s="2444"/>
      <c r="H118" s="2444"/>
      <c r="I118" s="2444"/>
      <c r="J118" s="2453" t="s">
        <v>687</v>
      </c>
    </row>
    <row r="119" spans="1:10">
      <c r="A119" s="2410">
        <f>IF(未审附注之非流动资产!A119="",0,未审附注之非流动资产!A119)</f>
        <v>0</v>
      </c>
      <c r="B119" s="2410">
        <f>IF(未审附注之非流动资产!B119="",0,未审附注之非流动资产!B119)</f>
        <v>0</v>
      </c>
      <c r="C119" s="2403">
        <f>IF(未审附注之非流动资产!C119="",0,未审附注之非流动资产!C119)</f>
        <v>0</v>
      </c>
      <c r="D119" s="2403">
        <f>IF(未审附注之非流动资产!D119="",0,未审附注之非流动资产!D119)</f>
        <v>0</v>
      </c>
      <c r="E119" s="2403">
        <f>IF(未审附注之非流动资产!E119="",0,未审附注之非流动资产!E119)</f>
        <v>0</v>
      </c>
      <c r="F119" s="2369">
        <f t="shared" si="7"/>
        <v>0</v>
      </c>
      <c r="G119" s="2444"/>
      <c r="H119" s="2444"/>
      <c r="I119" s="2444"/>
      <c r="J119" s="2453" t="s">
        <v>687</v>
      </c>
    </row>
    <row r="120" spans="1:10">
      <c r="A120" s="2410">
        <f>IF(未审附注之非流动资产!A120="",0,未审附注之非流动资产!A120)</f>
        <v>0</v>
      </c>
      <c r="B120" s="2410">
        <f>IF(未审附注之非流动资产!B120="",0,未审附注之非流动资产!B120)</f>
        <v>0</v>
      </c>
      <c r="C120" s="2403">
        <f>IF(未审附注之非流动资产!C120="",0,未审附注之非流动资产!C120)</f>
        <v>0</v>
      </c>
      <c r="D120" s="2403">
        <f>IF(未审附注之非流动资产!D120="",0,未审附注之非流动资产!D120)</f>
        <v>0</v>
      </c>
      <c r="E120" s="2403">
        <f>IF(未审附注之非流动资产!E120="",0,未审附注之非流动资产!E120)</f>
        <v>0</v>
      </c>
      <c r="F120" s="2369">
        <f t="shared" si="7"/>
        <v>0</v>
      </c>
      <c r="G120" s="2444"/>
      <c r="H120" s="2444"/>
      <c r="I120" s="2444"/>
      <c r="J120" s="2453" t="s">
        <v>687</v>
      </c>
    </row>
    <row r="121" spans="1:10">
      <c r="A121" s="2410">
        <f>IF(未审附注之非流动资产!A121="",0,未审附注之非流动资产!A121)</f>
        <v>0</v>
      </c>
      <c r="B121" s="2410">
        <f>IF(未审附注之非流动资产!B121="",0,未审附注之非流动资产!B121)</f>
        <v>0</v>
      </c>
      <c r="C121" s="2403">
        <f>IF(未审附注之非流动资产!C121="",0,未审附注之非流动资产!C121)</f>
        <v>0</v>
      </c>
      <c r="D121" s="2403">
        <f>IF(未审附注之非流动资产!D121="",0,未审附注之非流动资产!D121)</f>
        <v>0</v>
      </c>
      <c r="E121" s="2403">
        <f>IF(未审附注之非流动资产!E121="",0,未审附注之非流动资产!E121)</f>
        <v>0</v>
      </c>
      <c r="F121" s="2369">
        <f t="shared" si="7"/>
        <v>0</v>
      </c>
      <c r="G121" s="2444"/>
      <c r="H121" s="2444"/>
      <c r="I121" s="2444"/>
      <c r="J121" s="2453" t="s">
        <v>687</v>
      </c>
    </row>
    <row r="122" spans="1:10">
      <c r="A122" s="2400" t="s">
        <v>677</v>
      </c>
      <c r="B122" s="2369"/>
      <c r="C122" s="2369">
        <f>ROUND(SUM(C112:C121),2)</f>
        <v>0</v>
      </c>
      <c r="D122" s="2369">
        <f>ROUND(SUM(D112:D121),2)</f>
        <v>0</v>
      </c>
      <c r="E122" s="2369">
        <f>ROUND(SUM(E112:E121),2)</f>
        <v>0</v>
      </c>
      <c r="F122" s="2369">
        <f>ROUND(SUM(F112:F121),2)</f>
        <v>0</v>
      </c>
      <c r="G122" s="2444"/>
      <c r="H122" s="2444"/>
      <c r="I122" s="2444"/>
      <c r="J122" s="2453" t="s">
        <v>688</v>
      </c>
    </row>
    <row r="123" spans="1:10">
      <c r="A123" s="2405"/>
      <c r="B123" s="2405"/>
      <c r="C123" s="2405"/>
      <c r="D123" s="2442"/>
      <c r="E123" s="2442"/>
      <c r="F123" s="2442"/>
      <c r="G123" s="2444"/>
      <c r="H123" s="2444"/>
      <c r="I123" s="2444"/>
      <c r="J123" s="2453"/>
    </row>
    <row r="124" spans="1:10">
      <c r="A124" s="2400" t="s">
        <v>385</v>
      </c>
      <c r="B124" s="2369"/>
      <c r="C124" s="2369">
        <f>ROUND(C109+C122,2)</f>
        <v>0</v>
      </c>
      <c r="D124" s="2369">
        <f>ROUND(D109+D122,2)</f>
        <v>0</v>
      </c>
      <c r="E124" s="2369">
        <f>ROUND(E109+E122,2)</f>
        <v>0</v>
      </c>
      <c r="F124" s="2369">
        <f>ROUND(F109+F122,2)</f>
        <v>0</v>
      </c>
      <c r="G124" s="2444"/>
      <c r="H124" s="2444"/>
      <c r="I124" s="2444"/>
      <c r="J124" s="2453" t="s">
        <v>689</v>
      </c>
    </row>
    <row r="125" spans="1:10">
      <c r="A125" s="2417"/>
      <c r="B125" s="2418"/>
      <c r="C125" s="2418"/>
      <c r="D125" s="2418"/>
      <c r="E125" s="2418"/>
      <c r="F125" s="2418"/>
      <c r="G125" s="2418"/>
      <c r="H125" s="2444"/>
      <c r="I125" s="2444"/>
      <c r="J125" s="2453"/>
    </row>
    <row r="126" spans="1:9">
      <c r="A126" s="2414" t="s">
        <v>690</v>
      </c>
      <c r="B126" s="2444"/>
      <c r="C126" s="2444"/>
      <c r="D126" s="2444"/>
      <c r="E126" s="2444"/>
      <c r="F126" s="2444"/>
      <c r="G126" s="2444"/>
      <c r="H126" s="2444"/>
      <c r="I126" s="2444"/>
    </row>
    <row r="127" spans="1:9">
      <c r="A127" s="2400" t="s">
        <v>420</v>
      </c>
      <c r="B127" s="2400" t="s">
        <v>691</v>
      </c>
      <c r="C127" s="2400" t="s">
        <v>350</v>
      </c>
      <c r="D127" s="2444"/>
      <c r="E127" s="2444"/>
      <c r="F127" s="2444"/>
      <c r="G127" s="2444"/>
      <c r="H127" s="2444"/>
      <c r="I127" s="2444"/>
    </row>
    <row r="128" spans="1:10">
      <c r="A128" s="2410">
        <f>IF(未审附注之非流动资产!A128="",0,未审附注之非流动资产!A128)</f>
        <v>0</v>
      </c>
      <c r="B128" s="2410">
        <f>IF(未审附注之非流动资产!B128="",0,未审附注之非流动资产!B128)</f>
        <v>0</v>
      </c>
      <c r="C128" s="2410">
        <f>IF(未审附注之非流动资产!C128="",0,未审附注之非流动资产!C128)</f>
        <v>0</v>
      </c>
      <c r="D128" s="2444"/>
      <c r="E128" s="2444"/>
      <c r="F128" s="2444"/>
      <c r="G128" s="2444"/>
      <c r="H128" s="2444"/>
      <c r="I128" s="2444"/>
      <c r="J128" s="2453" t="s">
        <v>692</v>
      </c>
    </row>
    <row r="129" spans="1:10">
      <c r="A129" s="2410">
        <f>IF(未审附注之非流动资产!A129="",0,未审附注之非流动资产!A129)</f>
        <v>0</v>
      </c>
      <c r="B129" s="2410">
        <f>IF(未审附注之非流动资产!B129="",0,未审附注之非流动资产!B129)</f>
        <v>0</v>
      </c>
      <c r="C129" s="2410">
        <f>IF(未审附注之非流动资产!C129="",0,未审附注之非流动资产!C129)</f>
        <v>0</v>
      </c>
      <c r="D129" s="2444"/>
      <c r="E129" s="2444"/>
      <c r="F129" s="2444"/>
      <c r="G129" s="2444"/>
      <c r="H129" s="2444"/>
      <c r="I129" s="2444"/>
      <c r="J129" s="2453" t="s">
        <v>692</v>
      </c>
    </row>
    <row r="130" spans="1:10">
      <c r="A130" s="2410">
        <f>IF(未审附注之非流动资产!A130="",0,未审附注之非流动资产!A130)</f>
        <v>0</v>
      </c>
      <c r="B130" s="2410">
        <f>IF(未审附注之非流动资产!B130="",0,未审附注之非流动资产!B130)</f>
        <v>0</v>
      </c>
      <c r="C130" s="2410">
        <f>IF(未审附注之非流动资产!C130="",0,未审附注之非流动资产!C130)</f>
        <v>0</v>
      </c>
      <c r="D130" s="2444"/>
      <c r="E130" s="2444"/>
      <c r="F130" s="2444"/>
      <c r="G130" s="2444"/>
      <c r="H130" s="2444"/>
      <c r="I130" s="2444"/>
      <c r="J130" s="2453" t="s">
        <v>692</v>
      </c>
    </row>
    <row r="131" spans="1:10">
      <c r="A131" s="2410">
        <f>IF(未审附注之非流动资产!A131="",0,未审附注之非流动资产!A131)</f>
        <v>0</v>
      </c>
      <c r="B131" s="2410">
        <f>IF(未审附注之非流动资产!B131="",0,未审附注之非流动资产!B131)</f>
        <v>0</v>
      </c>
      <c r="C131" s="2410">
        <f>IF(未审附注之非流动资产!C131="",0,未审附注之非流动资产!C131)</f>
        <v>0</v>
      </c>
      <c r="D131" s="2444"/>
      <c r="E131" s="2444"/>
      <c r="F131" s="2444"/>
      <c r="G131" s="2444"/>
      <c r="H131" s="2444"/>
      <c r="I131" s="2444"/>
      <c r="J131" s="2453" t="s">
        <v>692</v>
      </c>
    </row>
    <row r="132" spans="1:10">
      <c r="A132" s="2410">
        <f>IF(未审附注之非流动资产!A132="",0,未审附注之非流动资产!A132)</f>
        <v>0</v>
      </c>
      <c r="B132" s="2410">
        <f>IF(未审附注之非流动资产!B132="",0,未审附注之非流动资产!B132)</f>
        <v>0</v>
      </c>
      <c r="C132" s="2410">
        <f>IF(未审附注之非流动资产!C132="",0,未审附注之非流动资产!C132)</f>
        <v>0</v>
      </c>
      <c r="D132" s="2444"/>
      <c r="E132" s="2444"/>
      <c r="F132" s="2444"/>
      <c r="G132" s="2444"/>
      <c r="H132" s="2444"/>
      <c r="I132" s="2444"/>
      <c r="J132" s="2453" t="s">
        <v>692</v>
      </c>
    </row>
    <row r="133" spans="1:10">
      <c r="A133" s="2410">
        <f>IF(未审附注之非流动资产!A133="",0,未审附注之非流动资产!A133)</f>
        <v>0</v>
      </c>
      <c r="B133" s="2410">
        <f>IF(未审附注之非流动资产!B133="",0,未审附注之非流动资产!B133)</f>
        <v>0</v>
      </c>
      <c r="C133" s="2410">
        <f>IF(未审附注之非流动资产!C133="",0,未审附注之非流动资产!C133)</f>
        <v>0</v>
      </c>
      <c r="D133" s="2444"/>
      <c r="E133" s="2444"/>
      <c r="F133" s="2444"/>
      <c r="G133" s="2444"/>
      <c r="H133" s="2444"/>
      <c r="I133" s="2444"/>
      <c r="J133" s="2453" t="s">
        <v>692</v>
      </c>
    </row>
    <row r="134" spans="1:10">
      <c r="A134" s="2410">
        <f>IF(未审附注之非流动资产!A134="",0,未审附注之非流动资产!A134)</f>
        <v>0</v>
      </c>
      <c r="B134" s="2410">
        <f>IF(未审附注之非流动资产!B134="",0,未审附注之非流动资产!B134)</f>
        <v>0</v>
      </c>
      <c r="C134" s="2410">
        <f>IF(未审附注之非流动资产!C134="",0,未审附注之非流动资产!C134)</f>
        <v>0</v>
      </c>
      <c r="D134" s="2444"/>
      <c r="E134" s="2444"/>
      <c r="F134" s="2444"/>
      <c r="G134" s="2444"/>
      <c r="H134" s="2444"/>
      <c r="I134" s="2444"/>
      <c r="J134" s="2453" t="s">
        <v>692</v>
      </c>
    </row>
    <row r="135" spans="1:10">
      <c r="A135" s="2410">
        <f>IF(未审附注之非流动资产!A135="",0,未审附注之非流动资产!A135)</f>
        <v>0</v>
      </c>
      <c r="B135" s="2410">
        <f>IF(未审附注之非流动资产!B135="",0,未审附注之非流动资产!B135)</f>
        <v>0</v>
      </c>
      <c r="C135" s="2410">
        <f>IF(未审附注之非流动资产!C135="",0,未审附注之非流动资产!C135)</f>
        <v>0</v>
      </c>
      <c r="D135" s="2444"/>
      <c r="E135" s="2444"/>
      <c r="F135" s="2444"/>
      <c r="G135" s="2444"/>
      <c r="H135" s="2444"/>
      <c r="I135" s="2444"/>
      <c r="J135" s="2453" t="s">
        <v>692</v>
      </c>
    </row>
    <row r="136" spans="1:10">
      <c r="A136" s="2410">
        <f>IF(未审附注之非流动资产!A136="",0,未审附注之非流动资产!A136)</f>
        <v>0</v>
      </c>
      <c r="B136" s="2410">
        <f>IF(未审附注之非流动资产!B136="",0,未审附注之非流动资产!B136)</f>
        <v>0</v>
      </c>
      <c r="C136" s="2410">
        <f>IF(未审附注之非流动资产!C136="",0,未审附注之非流动资产!C136)</f>
        <v>0</v>
      </c>
      <c r="D136" s="2444"/>
      <c r="E136" s="2444"/>
      <c r="F136" s="2444"/>
      <c r="G136" s="2444"/>
      <c r="H136" s="2444"/>
      <c r="I136" s="2444"/>
      <c r="J136" s="2453" t="s">
        <v>692</v>
      </c>
    </row>
    <row r="137" spans="1:10">
      <c r="A137" s="2410">
        <f>IF(未审附注之非流动资产!A137="",0,未审附注之非流动资产!A137)</f>
        <v>0</v>
      </c>
      <c r="B137" s="2410">
        <f>IF(未审附注之非流动资产!B137="",0,未审附注之非流动资产!B137)</f>
        <v>0</v>
      </c>
      <c r="C137" s="2410">
        <f>IF(未审附注之非流动资产!C137="",0,未审附注之非流动资产!C137)</f>
        <v>0</v>
      </c>
      <c r="D137" s="2444"/>
      <c r="E137" s="2444"/>
      <c r="F137" s="2444"/>
      <c r="G137" s="2444"/>
      <c r="H137" s="2444"/>
      <c r="I137" s="2444"/>
      <c r="J137" s="2453" t="s">
        <v>692</v>
      </c>
    </row>
    <row r="138" spans="1:9">
      <c r="A138" s="2450"/>
      <c r="B138" s="2418"/>
      <c r="C138" s="2418"/>
      <c r="D138" s="2444"/>
      <c r="E138" s="2444"/>
      <c r="F138" s="2444"/>
      <c r="G138" s="2444"/>
      <c r="H138" s="2444"/>
      <c r="I138" s="2444"/>
    </row>
    <row r="139" spans="1:9">
      <c r="A139" s="2399" t="s">
        <v>693</v>
      </c>
      <c r="B139" s="2444"/>
      <c r="C139" s="2444"/>
      <c r="D139" s="2444"/>
      <c r="E139" s="2444"/>
      <c r="F139" s="2444"/>
      <c r="G139" s="2444"/>
      <c r="H139" s="2444"/>
      <c r="I139" s="2444"/>
    </row>
    <row r="140" spans="1:9">
      <c r="A140" s="2400" t="s">
        <v>420</v>
      </c>
      <c r="B140" s="2400" t="s">
        <v>694</v>
      </c>
      <c r="C140" s="2400" t="s">
        <v>695</v>
      </c>
      <c r="D140" s="2444"/>
      <c r="E140" s="2444"/>
      <c r="F140" s="2444"/>
      <c r="G140" s="2444"/>
      <c r="H140" s="2444"/>
      <c r="I140" s="2444"/>
    </row>
    <row r="141" spans="1:10">
      <c r="A141" s="2410">
        <f>IF(未审附注之非流动资产!A141="",0,未审附注之非流动资产!A141)</f>
        <v>0</v>
      </c>
      <c r="B141" s="2403">
        <f>IF(未审附注之非流动资产!B141="",0,未审附注之非流动资产!B141)</f>
        <v>0</v>
      </c>
      <c r="C141" s="2403">
        <f>IF(未审附注之非流动资产!C141="",0,未审附注之非流动资产!C141)</f>
        <v>0</v>
      </c>
      <c r="D141" s="2444"/>
      <c r="E141" s="2444"/>
      <c r="F141" s="2444"/>
      <c r="G141" s="2444"/>
      <c r="H141" s="2444"/>
      <c r="I141" s="2444"/>
      <c r="J141" s="2453" t="s">
        <v>696</v>
      </c>
    </row>
    <row r="142" spans="1:10">
      <c r="A142" s="2410">
        <f>IF(未审附注之非流动资产!A142="",0,未审附注之非流动资产!A142)</f>
        <v>0</v>
      </c>
      <c r="B142" s="2403">
        <f>IF(未审附注之非流动资产!B142="",0,未审附注之非流动资产!B142)</f>
        <v>0</v>
      </c>
      <c r="C142" s="2403">
        <f>IF(未审附注之非流动资产!C142="",0,未审附注之非流动资产!C142)</f>
        <v>0</v>
      </c>
      <c r="D142" s="2444"/>
      <c r="E142" s="2444"/>
      <c r="F142" s="2444"/>
      <c r="G142" s="2444"/>
      <c r="H142" s="2444"/>
      <c r="I142" s="2444"/>
      <c r="J142" s="2453" t="s">
        <v>696</v>
      </c>
    </row>
    <row r="143" spans="1:10">
      <c r="A143" s="2410">
        <f>IF(未审附注之非流动资产!A143="",0,未审附注之非流动资产!A143)</f>
        <v>0</v>
      </c>
      <c r="B143" s="2403">
        <f>IF(未审附注之非流动资产!B143="",0,未审附注之非流动资产!B143)</f>
        <v>0</v>
      </c>
      <c r="C143" s="2403">
        <f>IF(未审附注之非流动资产!C143="",0,未审附注之非流动资产!C143)</f>
        <v>0</v>
      </c>
      <c r="D143" s="2444"/>
      <c r="E143" s="2444"/>
      <c r="F143" s="2444"/>
      <c r="G143" s="2444"/>
      <c r="H143" s="2444"/>
      <c r="I143" s="2444"/>
      <c r="J143" s="2453" t="s">
        <v>696</v>
      </c>
    </row>
    <row r="144" spans="1:10">
      <c r="A144" s="2410">
        <f>IF(未审附注之非流动资产!A144="",0,未审附注之非流动资产!A144)</f>
        <v>0</v>
      </c>
      <c r="B144" s="2403">
        <f>IF(未审附注之非流动资产!B144="",0,未审附注之非流动资产!B144)</f>
        <v>0</v>
      </c>
      <c r="C144" s="2403">
        <f>IF(未审附注之非流动资产!C144="",0,未审附注之非流动资产!C144)</f>
        <v>0</v>
      </c>
      <c r="D144" s="2444"/>
      <c r="E144" s="2444"/>
      <c r="F144" s="2444"/>
      <c r="G144" s="2444"/>
      <c r="H144" s="2444"/>
      <c r="I144" s="2444"/>
      <c r="J144" s="2453" t="s">
        <v>696</v>
      </c>
    </row>
    <row r="145" spans="1:10">
      <c r="A145" s="2410">
        <f>IF(未审附注之非流动资产!A145="",0,未审附注之非流动资产!A145)</f>
        <v>0</v>
      </c>
      <c r="B145" s="2403">
        <f>IF(未审附注之非流动资产!B145="",0,未审附注之非流动资产!B145)</f>
        <v>0</v>
      </c>
      <c r="C145" s="2403">
        <f>IF(未审附注之非流动资产!C145="",0,未审附注之非流动资产!C145)</f>
        <v>0</v>
      </c>
      <c r="D145" s="2444"/>
      <c r="E145" s="2444"/>
      <c r="F145" s="2444"/>
      <c r="G145" s="2444"/>
      <c r="H145" s="2444"/>
      <c r="I145" s="2444"/>
      <c r="J145" s="2453" t="s">
        <v>696</v>
      </c>
    </row>
    <row r="146" spans="1:10">
      <c r="A146" s="2410">
        <f>IF(未审附注之非流动资产!A146="",0,未审附注之非流动资产!A146)</f>
        <v>0</v>
      </c>
      <c r="B146" s="2403">
        <f>IF(未审附注之非流动资产!B146="",0,未审附注之非流动资产!B146)</f>
        <v>0</v>
      </c>
      <c r="C146" s="2403">
        <f>IF(未审附注之非流动资产!C146="",0,未审附注之非流动资产!C146)</f>
        <v>0</v>
      </c>
      <c r="D146" s="2444"/>
      <c r="E146" s="2444"/>
      <c r="F146" s="2444"/>
      <c r="G146" s="2444"/>
      <c r="H146" s="2444"/>
      <c r="I146" s="2444"/>
      <c r="J146" s="2453" t="s">
        <v>696</v>
      </c>
    </row>
    <row r="147" spans="1:10">
      <c r="A147" s="2410">
        <f>IF(未审附注之非流动资产!A147="",0,未审附注之非流动资产!A147)</f>
        <v>0</v>
      </c>
      <c r="B147" s="2403">
        <f>IF(未审附注之非流动资产!B147="",0,未审附注之非流动资产!B147)</f>
        <v>0</v>
      </c>
      <c r="C147" s="2403">
        <f>IF(未审附注之非流动资产!C147="",0,未审附注之非流动资产!C147)</f>
        <v>0</v>
      </c>
      <c r="D147" s="2444"/>
      <c r="E147" s="2444"/>
      <c r="F147" s="2444"/>
      <c r="G147" s="2444"/>
      <c r="H147" s="2444"/>
      <c r="I147" s="2444"/>
      <c r="J147" s="2453" t="s">
        <v>696</v>
      </c>
    </row>
    <row r="148" spans="1:10">
      <c r="A148" s="2410">
        <f>IF(未审附注之非流动资产!A148="",0,未审附注之非流动资产!A148)</f>
        <v>0</v>
      </c>
      <c r="B148" s="2403">
        <f>IF(未审附注之非流动资产!B148="",0,未审附注之非流动资产!B148)</f>
        <v>0</v>
      </c>
      <c r="C148" s="2403">
        <f>IF(未审附注之非流动资产!C148="",0,未审附注之非流动资产!C148)</f>
        <v>0</v>
      </c>
      <c r="D148" s="2444"/>
      <c r="E148" s="2444"/>
      <c r="F148" s="2444"/>
      <c r="G148" s="2444"/>
      <c r="H148" s="2444"/>
      <c r="I148" s="2444"/>
      <c r="J148" s="2453" t="s">
        <v>696</v>
      </c>
    </row>
    <row r="149" spans="1:10">
      <c r="A149" s="2410">
        <f>IF(未审附注之非流动资产!A149="",0,未审附注之非流动资产!A149)</f>
        <v>0</v>
      </c>
      <c r="B149" s="2403">
        <f>IF(未审附注之非流动资产!B149="",0,未审附注之非流动资产!B149)</f>
        <v>0</v>
      </c>
      <c r="C149" s="2403">
        <f>IF(未审附注之非流动资产!C149="",0,未审附注之非流动资产!C149)</f>
        <v>0</v>
      </c>
      <c r="D149" s="2444"/>
      <c r="E149" s="2444"/>
      <c r="F149" s="2444"/>
      <c r="G149" s="2444"/>
      <c r="H149" s="2444"/>
      <c r="I149" s="2444"/>
      <c r="J149" s="2453" t="s">
        <v>696</v>
      </c>
    </row>
    <row r="150" spans="1:10">
      <c r="A150" s="2410">
        <f>IF(未审附注之非流动资产!A150="",0,未审附注之非流动资产!A150)</f>
        <v>0</v>
      </c>
      <c r="B150" s="2403">
        <f>IF(未审附注之非流动资产!B150="",0,未审附注之非流动资产!B150)</f>
        <v>0</v>
      </c>
      <c r="C150" s="2403">
        <f>IF(未审附注之非流动资产!C150="",0,未审附注之非流动资产!C150)</f>
        <v>0</v>
      </c>
      <c r="D150" s="2444"/>
      <c r="E150" s="2444"/>
      <c r="F150" s="2444"/>
      <c r="G150" s="2444"/>
      <c r="H150" s="2444"/>
      <c r="I150" s="2444"/>
      <c r="J150" s="2453" t="s">
        <v>696</v>
      </c>
    </row>
    <row r="151" spans="1:10">
      <c r="A151" s="2400" t="s">
        <v>385</v>
      </c>
      <c r="B151" s="2369">
        <f>ROUND(SUM(B141:B150),2)</f>
        <v>0</v>
      </c>
      <c r="C151" s="2369">
        <f>ROUND(SUM(C141:C150),2)</f>
        <v>0</v>
      </c>
      <c r="D151" s="2444"/>
      <c r="E151" s="2444"/>
      <c r="F151" s="2444"/>
      <c r="G151" s="2444"/>
      <c r="H151" s="2444"/>
      <c r="I151" s="2444"/>
      <c r="J151" s="2453" t="s">
        <v>697</v>
      </c>
    </row>
    <row r="152" spans="1:9">
      <c r="A152" s="2450"/>
      <c r="B152" s="2418"/>
      <c r="C152" s="2418"/>
      <c r="D152" s="2444"/>
      <c r="E152" s="2444"/>
      <c r="F152" s="2444"/>
      <c r="G152" s="2444"/>
      <c r="H152" s="2444"/>
      <c r="I152" s="2444"/>
    </row>
    <row r="153" spans="1:9">
      <c r="A153" s="2399" t="s">
        <v>698</v>
      </c>
      <c r="B153" s="2444"/>
      <c r="C153" s="2444"/>
      <c r="D153" s="2444"/>
      <c r="E153" s="2444"/>
      <c r="F153" s="2444"/>
      <c r="G153" s="2444"/>
      <c r="H153" s="2444"/>
      <c r="I153" s="2444"/>
    </row>
    <row r="154" spans="1:9">
      <c r="A154" s="2400" t="s">
        <v>669</v>
      </c>
      <c r="B154" s="2400" t="s">
        <v>699</v>
      </c>
      <c r="C154" s="2400" t="s">
        <v>700</v>
      </c>
      <c r="D154" s="2400" t="s">
        <v>701</v>
      </c>
      <c r="E154" s="2400" t="s">
        <v>702</v>
      </c>
      <c r="F154" s="2400" t="s">
        <v>703</v>
      </c>
      <c r="G154" s="2400" t="s">
        <v>704</v>
      </c>
      <c r="H154" s="2400" t="s">
        <v>705</v>
      </c>
      <c r="I154" s="2417"/>
    </row>
    <row r="155" spans="1:10">
      <c r="A155" s="2402" t="s">
        <v>706</v>
      </c>
      <c r="B155" s="2442"/>
      <c r="C155" s="2442"/>
      <c r="D155" s="2442"/>
      <c r="E155" s="2442"/>
      <c r="F155" s="2442"/>
      <c r="G155" s="2442"/>
      <c r="H155" s="2442"/>
      <c r="I155" s="2420"/>
      <c r="J155" s="2453"/>
    </row>
    <row r="156" spans="1:10">
      <c r="A156" s="2410">
        <f>IF(未审附注之非流动资产!A156="",0,未审附注之非流动资产!A156)</f>
        <v>0</v>
      </c>
      <c r="B156" s="2410">
        <f>IF(未审附注之非流动资产!B156="",0,未审附注之非流动资产!B156)</f>
        <v>0</v>
      </c>
      <c r="C156" s="2410">
        <f>IF(未审附注之非流动资产!C156="",0,未审附注之非流动资产!C156)</f>
        <v>0</v>
      </c>
      <c r="D156" s="2429">
        <f>IF(未审附注之非流动资产!D156="",0,未审附注之非流动资产!D156)</f>
        <v>0</v>
      </c>
      <c r="E156" s="2429">
        <f>IF(未审附注之非流动资产!E156="",0,未审附注之非流动资产!E156)</f>
        <v>0</v>
      </c>
      <c r="F156" s="2403">
        <f>IF(未审附注之非流动资产!F156="",0,未审附注之非流动资产!F156)</f>
        <v>0</v>
      </c>
      <c r="G156" s="2403">
        <f>IF(未审附注之非流动资产!G156="",0,未审附注之非流动资产!G156)</f>
        <v>0</v>
      </c>
      <c r="H156" s="2403">
        <f>IF(未审附注之非流动资产!H156="",0,未审附注之非流动资产!H156)</f>
        <v>0</v>
      </c>
      <c r="I156" s="2420"/>
      <c r="J156" s="2453" t="s">
        <v>707</v>
      </c>
    </row>
    <row r="157" spans="1:10">
      <c r="A157" s="2410">
        <f>IF(未审附注之非流动资产!A157="",0,未审附注之非流动资产!A157)</f>
        <v>0</v>
      </c>
      <c r="B157" s="2410">
        <f>IF(未审附注之非流动资产!B157="",0,未审附注之非流动资产!B157)</f>
        <v>0</v>
      </c>
      <c r="C157" s="2410">
        <f>IF(未审附注之非流动资产!C157="",0,未审附注之非流动资产!C157)</f>
        <v>0</v>
      </c>
      <c r="D157" s="2429">
        <f>IF(未审附注之非流动资产!D157="",0,未审附注之非流动资产!D157)</f>
        <v>0</v>
      </c>
      <c r="E157" s="2429">
        <f>IF(未审附注之非流动资产!E157="",0,未审附注之非流动资产!E157)</f>
        <v>0</v>
      </c>
      <c r="F157" s="2403">
        <f>IF(未审附注之非流动资产!F157="",0,未审附注之非流动资产!F157)</f>
        <v>0</v>
      </c>
      <c r="G157" s="2403">
        <f>IF(未审附注之非流动资产!G157="",0,未审附注之非流动资产!G157)</f>
        <v>0</v>
      </c>
      <c r="H157" s="2403">
        <f>IF(未审附注之非流动资产!H157="",0,未审附注之非流动资产!H157)</f>
        <v>0</v>
      </c>
      <c r="I157" s="2420"/>
      <c r="J157" s="2453" t="s">
        <v>707</v>
      </c>
    </row>
    <row r="158" spans="1:10">
      <c r="A158" s="2410">
        <f>IF(未审附注之非流动资产!A158="",0,未审附注之非流动资产!A158)</f>
        <v>0</v>
      </c>
      <c r="B158" s="2410">
        <f>IF(未审附注之非流动资产!B158="",0,未审附注之非流动资产!B158)</f>
        <v>0</v>
      </c>
      <c r="C158" s="2410">
        <f>IF(未审附注之非流动资产!C158="",0,未审附注之非流动资产!C158)</f>
        <v>0</v>
      </c>
      <c r="D158" s="2429">
        <f>IF(未审附注之非流动资产!D158="",0,未审附注之非流动资产!D158)</f>
        <v>0</v>
      </c>
      <c r="E158" s="2429">
        <f>IF(未审附注之非流动资产!E158="",0,未审附注之非流动资产!E158)</f>
        <v>0</v>
      </c>
      <c r="F158" s="2403">
        <f>IF(未审附注之非流动资产!F158="",0,未审附注之非流动资产!F158)</f>
        <v>0</v>
      </c>
      <c r="G158" s="2403">
        <f>IF(未审附注之非流动资产!G158="",0,未审附注之非流动资产!G158)</f>
        <v>0</v>
      </c>
      <c r="H158" s="2403">
        <f>IF(未审附注之非流动资产!H158="",0,未审附注之非流动资产!H158)</f>
        <v>0</v>
      </c>
      <c r="I158" s="2420"/>
      <c r="J158" s="2453" t="s">
        <v>707</v>
      </c>
    </row>
    <row r="159" spans="1:10">
      <c r="A159" s="2410">
        <f>IF(未审附注之非流动资产!A159="",0,未审附注之非流动资产!A159)</f>
        <v>0</v>
      </c>
      <c r="B159" s="2410">
        <f>IF(未审附注之非流动资产!B159="",0,未审附注之非流动资产!B159)</f>
        <v>0</v>
      </c>
      <c r="C159" s="2410">
        <f>IF(未审附注之非流动资产!C159="",0,未审附注之非流动资产!C159)</f>
        <v>0</v>
      </c>
      <c r="D159" s="2429">
        <f>IF(未审附注之非流动资产!D159="",0,未审附注之非流动资产!D159)</f>
        <v>0</v>
      </c>
      <c r="E159" s="2429">
        <f>IF(未审附注之非流动资产!E159="",0,未审附注之非流动资产!E159)</f>
        <v>0</v>
      </c>
      <c r="F159" s="2403">
        <f>IF(未审附注之非流动资产!F159="",0,未审附注之非流动资产!F159)</f>
        <v>0</v>
      </c>
      <c r="G159" s="2403">
        <f>IF(未审附注之非流动资产!G159="",0,未审附注之非流动资产!G159)</f>
        <v>0</v>
      </c>
      <c r="H159" s="2403">
        <f>IF(未审附注之非流动资产!H159="",0,未审附注之非流动资产!H159)</f>
        <v>0</v>
      </c>
      <c r="I159" s="2420"/>
      <c r="J159" s="2453" t="s">
        <v>707</v>
      </c>
    </row>
    <row r="160" spans="1:10">
      <c r="A160" s="2410">
        <f>IF(未审附注之非流动资产!A160="",0,未审附注之非流动资产!A160)</f>
        <v>0</v>
      </c>
      <c r="B160" s="2410">
        <f>IF(未审附注之非流动资产!B160="",0,未审附注之非流动资产!B160)</f>
        <v>0</v>
      </c>
      <c r="C160" s="2410">
        <f>IF(未审附注之非流动资产!C160="",0,未审附注之非流动资产!C160)</f>
        <v>0</v>
      </c>
      <c r="D160" s="2429">
        <f>IF(未审附注之非流动资产!D160="",0,未审附注之非流动资产!D160)</f>
        <v>0</v>
      </c>
      <c r="E160" s="2429">
        <f>IF(未审附注之非流动资产!E160="",0,未审附注之非流动资产!E160)</f>
        <v>0</v>
      </c>
      <c r="F160" s="2403">
        <f>IF(未审附注之非流动资产!F160="",0,未审附注之非流动资产!F160)</f>
        <v>0</v>
      </c>
      <c r="G160" s="2403">
        <f>IF(未审附注之非流动资产!G160="",0,未审附注之非流动资产!G160)</f>
        <v>0</v>
      </c>
      <c r="H160" s="2403">
        <f>IF(未审附注之非流动资产!H160="",0,未审附注之非流动资产!H160)</f>
        <v>0</v>
      </c>
      <c r="I160" s="2420"/>
      <c r="J160" s="2453" t="s">
        <v>707</v>
      </c>
    </row>
    <row r="161" spans="1:10">
      <c r="A161" s="2410">
        <f>IF(未审附注之非流动资产!A161="",0,未审附注之非流动资产!A161)</f>
        <v>0</v>
      </c>
      <c r="B161" s="2410">
        <f>IF(未审附注之非流动资产!B161="",0,未审附注之非流动资产!B161)</f>
        <v>0</v>
      </c>
      <c r="C161" s="2410">
        <f>IF(未审附注之非流动资产!C161="",0,未审附注之非流动资产!C161)</f>
        <v>0</v>
      </c>
      <c r="D161" s="2429">
        <f>IF(未审附注之非流动资产!D161="",0,未审附注之非流动资产!D161)</f>
        <v>0</v>
      </c>
      <c r="E161" s="2429">
        <f>IF(未审附注之非流动资产!E161="",0,未审附注之非流动资产!E161)</f>
        <v>0</v>
      </c>
      <c r="F161" s="2403">
        <f>IF(未审附注之非流动资产!F161="",0,未审附注之非流动资产!F161)</f>
        <v>0</v>
      </c>
      <c r="G161" s="2403">
        <f>IF(未审附注之非流动资产!G161="",0,未审附注之非流动资产!G161)</f>
        <v>0</v>
      </c>
      <c r="H161" s="2403">
        <f>IF(未审附注之非流动资产!H161="",0,未审附注之非流动资产!H161)</f>
        <v>0</v>
      </c>
      <c r="I161" s="2420"/>
      <c r="J161" s="2453" t="s">
        <v>707</v>
      </c>
    </row>
    <row r="162" spans="1:10">
      <c r="A162" s="2410">
        <f>IF(未审附注之非流动资产!A162="",0,未审附注之非流动资产!A162)</f>
        <v>0</v>
      </c>
      <c r="B162" s="2410">
        <f>IF(未审附注之非流动资产!B162="",0,未审附注之非流动资产!B162)</f>
        <v>0</v>
      </c>
      <c r="C162" s="2410">
        <f>IF(未审附注之非流动资产!C162="",0,未审附注之非流动资产!C162)</f>
        <v>0</v>
      </c>
      <c r="D162" s="2429">
        <f>IF(未审附注之非流动资产!D162="",0,未审附注之非流动资产!D162)</f>
        <v>0</v>
      </c>
      <c r="E162" s="2429">
        <f>IF(未审附注之非流动资产!E162="",0,未审附注之非流动资产!E162)</f>
        <v>0</v>
      </c>
      <c r="F162" s="2403">
        <f>IF(未审附注之非流动资产!F162="",0,未审附注之非流动资产!F162)</f>
        <v>0</v>
      </c>
      <c r="G162" s="2403">
        <f>IF(未审附注之非流动资产!G162="",0,未审附注之非流动资产!G162)</f>
        <v>0</v>
      </c>
      <c r="H162" s="2403">
        <f>IF(未审附注之非流动资产!H162="",0,未审附注之非流动资产!H162)</f>
        <v>0</v>
      </c>
      <c r="I162" s="2420"/>
      <c r="J162" s="2453" t="s">
        <v>707</v>
      </c>
    </row>
    <row r="163" spans="1:10">
      <c r="A163" s="2410">
        <f>IF(未审附注之非流动资产!A163="",0,未审附注之非流动资产!A163)</f>
        <v>0</v>
      </c>
      <c r="B163" s="2410">
        <f>IF(未审附注之非流动资产!B163="",0,未审附注之非流动资产!B163)</f>
        <v>0</v>
      </c>
      <c r="C163" s="2410">
        <f>IF(未审附注之非流动资产!C163="",0,未审附注之非流动资产!C163)</f>
        <v>0</v>
      </c>
      <c r="D163" s="2429">
        <f>IF(未审附注之非流动资产!D163="",0,未审附注之非流动资产!D163)</f>
        <v>0</v>
      </c>
      <c r="E163" s="2429">
        <f>IF(未审附注之非流动资产!E163="",0,未审附注之非流动资产!E163)</f>
        <v>0</v>
      </c>
      <c r="F163" s="2403">
        <f>IF(未审附注之非流动资产!F163="",0,未审附注之非流动资产!F163)</f>
        <v>0</v>
      </c>
      <c r="G163" s="2403">
        <f>IF(未审附注之非流动资产!G163="",0,未审附注之非流动资产!G163)</f>
        <v>0</v>
      </c>
      <c r="H163" s="2403">
        <f>IF(未审附注之非流动资产!H163="",0,未审附注之非流动资产!H163)</f>
        <v>0</v>
      </c>
      <c r="I163" s="2420"/>
      <c r="J163" s="2453" t="s">
        <v>707</v>
      </c>
    </row>
    <row r="164" spans="1:10">
      <c r="A164" s="2410">
        <f>IF(未审附注之非流动资产!A164="",0,未审附注之非流动资产!A164)</f>
        <v>0</v>
      </c>
      <c r="B164" s="2410">
        <f>IF(未审附注之非流动资产!B164="",0,未审附注之非流动资产!B164)</f>
        <v>0</v>
      </c>
      <c r="C164" s="2410">
        <f>IF(未审附注之非流动资产!C164="",0,未审附注之非流动资产!C164)</f>
        <v>0</v>
      </c>
      <c r="D164" s="2429">
        <f>IF(未审附注之非流动资产!D164="",0,未审附注之非流动资产!D164)</f>
        <v>0</v>
      </c>
      <c r="E164" s="2429">
        <f>IF(未审附注之非流动资产!E164="",0,未审附注之非流动资产!E164)</f>
        <v>0</v>
      </c>
      <c r="F164" s="2403">
        <f>IF(未审附注之非流动资产!F164="",0,未审附注之非流动资产!F164)</f>
        <v>0</v>
      </c>
      <c r="G164" s="2403">
        <f>IF(未审附注之非流动资产!G164="",0,未审附注之非流动资产!G164)</f>
        <v>0</v>
      </c>
      <c r="H164" s="2403">
        <f>IF(未审附注之非流动资产!H164="",0,未审附注之非流动资产!H164)</f>
        <v>0</v>
      </c>
      <c r="I164" s="2420"/>
      <c r="J164" s="2453" t="s">
        <v>707</v>
      </c>
    </row>
    <row r="165" spans="1:10">
      <c r="A165" s="2410">
        <f>IF(未审附注之非流动资产!A165="",0,未审附注之非流动资产!A165)</f>
        <v>0</v>
      </c>
      <c r="B165" s="2410">
        <f>IF(未审附注之非流动资产!B165="",0,未审附注之非流动资产!B165)</f>
        <v>0</v>
      </c>
      <c r="C165" s="2410">
        <f>IF(未审附注之非流动资产!C165="",0,未审附注之非流动资产!C165)</f>
        <v>0</v>
      </c>
      <c r="D165" s="2429">
        <f>IF(未审附注之非流动资产!D165="",0,未审附注之非流动资产!D165)</f>
        <v>0</v>
      </c>
      <c r="E165" s="2429">
        <f>IF(未审附注之非流动资产!E165="",0,未审附注之非流动资产!E165)</f>
        <v>0</v>
      </c>
      <c r="F165" s="2403">
        <f>IF(未审附注之非流动资产!F165="",0,未审附注之非流动资产!F165)</f>
        <v>0</v>
      </c>
      <c r="G165" s="2403">
        <f>IF(未审附注之非流动资产!G165="",0,未审附注之非流动资产!G165)</f>
        <v>0</v>
      </c>
      <c r="H165" s="2403">
        <f>IF(未审附注之非流动资产!H165="",0,未审附注之非流动资产!H165)</f>
        <v>0</v>
      </c>
      <c r="I165" s="2420"/>
      <c r="J165" s="2453" t="s">
        <v>707</v>
      </c>
    </row>
    <row r="166" spans="1:10">
      <c r="A166" s="2400" t="s">
        <v>677</v>
      </c>
      <c r="B166" s="2405"/>
      <c r="C166" s="2405"/>
      <c r="D166" s="2442"/>
      <c r="E166" s="2442"/>
      <c r="F166" s="2369">
        <f>ROUND(SUM(F156:F165),2)</f>
        <v>0</v>
      </c>
      <c r="G166" s="2369">
        <f>ROUND(SUM(G156:G165),2)</f>
        <v>0</v>
      </c>
      <c r="H166" s="2369">
        <f>ROUND(SUM(H156:H165),2)</f>
        <v>0</v>
      </c>
      <c r="I166" s="2420"/>
      <c r="J166" s="2453" t="s">
        <v>708</v>
      </c>
    </row>
    <row r="167" spans="1:10">
      <c r="A167" s="2405"/>
      <c r="B167" s="2405"/>
      <c r="C167" s="2405"/>
      <c r="D167" s="2442"/>
      <c r="E167" s="2442"/>
      <c r="F167" s="2442"/>
      <c r="G167" s="2442"/>
      <c r="H167" s="2442"/>
      <c r="I167" s="2420"/>
      <c r="J167" s="2453"/>
    </row>
    <row r="168" spans="1:10">
      <c r="A168" s="2402" t="s">
        <v>709</v>
      </c>
      <c r="B168" s="2442"/>
      <c r="C168" s="2442"/>
      <c r="D168" s="2442"/>
      <c r="E168" s="2442"/>
      <c r="F168" s="2442"/>
      <c r="G168" s="2442"/>
      <c r="H168" s="2442"/>
      <c r="I168" s="2420"/>
      <c r="J168" s="2453"/>
    </row>
    <row r="169" spans="1:10">
      <c r="A169" s="2410">
        <f>IF(未审附注之非流动资产!A169="",0,未审附注之非流动资产!A169)</f>
        <v>0</v>
      </c>
      <c r="B169" s="2410">
        <f>IF(未审附注之非流动资产!B169="",0,未审附注之非流动资产!B169)</f>
        <v>0</v>
      </c>
      <c r="C169" s="2410">
        <f>IF(未审附注之非流动资产!C169="",0,未审附注之非流动资产!C169)</f>
        <v>0</v>
      </c>
      <c r="D169" s="2429">
        <f>IF(未审附注之非流动资产!D169="",0,未审附注之非流动资产!D169)</f>
        <v>0</v>
      </c>
      <c r="E169" s="2429">
        <f>IF(未审附注之非流动资产!E169="",0,未审附注之非流动资产!E169)</f>
        <v>0</v>
      </c>
      <c r="F169" s="2403">
        <f>IF(未审附注之非流动资产!F169="",0,未审附注之非流动资产!F169)</f>
        <v>0</v>
      </c>
      <c r="G169" s="2403">
        <f>IF(未审附注之非流动资产!G169="",0,未审附注之非流动资产!G169)</f>
        <v>0</v>
      </c>
      <c r="H169" s="2403">
        <f>IF(未审附注之非流动资产!H169="",0,未审附注之非流动资产!H169)</f>
        <v>0</v>
      </c>
      <c r="I169" s="2420"/>
      <c r="J169" s="2453" t="s">
        <v>710</v>
      </c>
    </row>
    <row r="170" spans="1:10">
      <c r="A170" s="2410">
        <f>IF(未审附注之非流动资产!A170="",0,未审附注之非流动资产!A170)</f>
        <v>0</v>
      </c>
      <c r="B170" s="2410">
        <f>IF(未审附注之非流动资产!B170="",0,未审附注之非流动资产!B170)</f>
        <v>0</v>
      </c>
      <c r="C170" s="2410">
        <f>IF(未审附注之非流动资产!C170="",0,未审附注之非流动资产!C170)</f>
        <v>0</v>
      </c>
      <c r="D170" s="2429">
        <f>IF(未审附注之非流动资产!D170="",0,未审附注之非流动资产!D170)</f>
        <v>0</v>
      </c>
      <c r="E170" s="2429">
        <f>IF(未审附注之非流动资产!E170="",0,未审附注之非流动资产!E170)</f>
        <v>0</v>
      </c>
      <c r="F170" s="2403">
        <f>IF(未审附注之非流动资产!F170="",0,未审附注之非流动资产!F170)</f>
        <v>0</v>
      </c>
      <c r="G170" s="2403">
        <f>IF(未审附注之非流动资产!G170="",0,未审附注之非流动资产!G170)</f>
        <v>0</v>
      </c>
      <c r="H170" s="2403">
        <f>IF(未审附注之非流动资产!H170="",0,未审附注之非流动资产!H170)</f>
        <v>0</v>
      </c>
      <c r="I170" s="2420"/>
      <c r="J170" s="2453" t="s">
        <v>710</v>
      </c>
    </row>
    <row r="171" spans="1:10">
      <c r="A171" s="2410">
        <f>IF(未审附注之非流动资产!A171="",0,未审附注之非流动资产!A171)</f>
        <v>0</v>
      </c>
      <c r="B171" s="2410">
        <f>IF(未审附注之非流动资产!B171="",0,未审附注之非流动资产!B171)</f>
        <v>0</v>
      </c>
      <c r="C171" s="2410">
        <f>IF(未审附注之非流动资产!C171="",0,未审附注之非流动资产!C171)</f>
        <v>0</v>
      </c>
      <c r="D171" s="2429">
        <f>IF(未审附注之非流动资产!D171="",0,未审附注之非流动资产!D171)</f>
        <v>0</v>
      </c>
      <c r="E171" s="2429">
        <f>IF(未审附注之非流动资产!E171="",0,未审附注之非流动资产!E171)</f>
        <v>0</v>
      </c>
      <c r="F171" s="2403">
        <f>IF(未审附注之非流动资产!F171="",0,未审附注之非流动资产!F171)</f>
        <v>0</v>
      </c>
      <c r="G171" s="2403">
        <f>IF(未审附注之非流动资产!G171="",0,未审附注之非流动资产!G171)</f>
        <v>0</v>
      </c>
      <c r="H171" s="2403">
        <f>IF(未审附注之非流动资产!H171="",0,未审附注之非流动资产!H171)</f>
        <v>0</v>
      </c>
      <c r="I171" s="2420"/>
      <c r="J171" s="2453" t="s">
        <v>710</v>
      </c>
    </row>
    <row r="172" spans="1:10">
      <c r="A172" s="2410">
        <f>IF(未审附注之非流动资产!A172="",0,未审附注之非流动资产!A172)</f>
        <v>0</v>
      </c>
      <c r="B172" s="2410">
        <f>IF(未审附注之非流动资产!B172="",0,未审附注之非流动资产!B172)</f>
        <v>0</v>
      </c>
      <c r="C172" s="2410">
        <f>IF(未审附注之非流动资产!C172="",0,未审附注之非流动资产!C172)</f>
        <v>0</v>
      </c>
      <c r="D172" s="2429">
        <f>IF(未审附注之非流动资产!D172="",0,未审附注之非流动资产!D172)</f>
        <v>0</v>
      </c>
      <c r="E172" s="2429">
        <f>IF(未审附注之非流动资产!E172="",0,未审附注之非流动资产!E172)</f>
        <v>0</v>
      </c>
      <c r="F172" s="2403">
        <f>IF(未审附注之非流动资产!F172="",0,未审附注之非流动资产!F172)</f>
        <v>0</v>
      </c>
      <c r="G172" s="2403">
        <f>IF(未审附注之非流动资产!G172="",0,未审附注之非流动资产!G172)</f>
        <v>0</v>
      </c>
      <c r="H172" s="2403">
        <f>IF(未审附注之非流动资产!H172="",0,未审附注之非流动资产!H172)</f>
        <v>0</v>
      </c>
      <c r="I172" s="2420"/>
      <c r="J172" s="2453" t="s">
        <v>710</v>
      </c>
    </row>
    <row r="173" spans="1:10">
      <c r="A173" s="2410">
        <f>IF(未审附注之非流动资产!A173="",0,未审附注之非流动资产!A173)</f>
        <v>0</v>
      </c>
      <c r="B173" s="2410">
        <f>IF(未审附注之非流动资产!B173="",0,未审附注之非流动资产!B173)</f>
        <v>0</v>
      </c>
      <c r="C173" s="2410">
        <f>IF(未审附注之非流动资产!C173="",0,未审附注之非流动资产!C173)</f>
        <v>0</v>
      </c>
      <c r="D173" s="2429">
        <f>IF(未审附注之非流动资产!D173="",0,未审附注之非流动资产!D173)</f>
        <v>0</v>
      </c>
      <c r="E173" s="2429">
        <f>IF(未审附注之非流动资产!E173="",0,未审附注之非流动资产!E173)</f>
        <v>0</v>
      </c>
      <c r="F173" s="2403">
        <f>IF(未审附注之非流动资产!F173="",0,未审附注之非流动资产!F173)</f>
        <v>0</v>
      </c>
      <c r="G173" s="2403">
        <f>IF(未审附注之非流动资产!G173="",0,未审附注之非流动资产!G173)</f>
        <v>0</v>
      </c>
      <c r="H173" s="2403">
        <f>IF(未审附注之非流动资产!H173="",0,未审附注之非流动资产!H173)</f>
        <v>0</v>
      </c>
      <c r="I173" s="2420"/>
      <c r="J173" s="2453" t="s">
        <v>710</v>
      </c>
    </row>
    <row r="174" spans="1:10">
      <c r="A174" s="2410">
        <f>IF(未审附注之非流动资产!A174="",0,未审附注之非流动资产!A174)</f>
        <v>0</v>
      </c>
      <c r="B174" s="2410">
        <f>IF(未审附注之非流动资产!B174="",0,未审附注之非流动资产!B174)</f>
        <v>0</v>
      </c>
      <c r="C174" s="2410">
        <f>IF(未审附注之非流动资产!C174="",0,未审附注之非流动资产!C174)</f>
        <v>0</v>
      </c>
      <c r="D174" s="2429">
        <f>IF(未审附注之非流动资产!D174="",0,未审附注之非流动资产!D174)</f>
        <v>0</v>
      </c>
      <c r="E174" s="2429">
        <f>IF(未审附注之非流动资产!E174="",0,未审附注之非流动资产!E174)</f>
        <v>0</v>
      </c>
      <c r="F174" s="2403">
        <f>IF(未审附注之非流动资产!F174="",0,未审附注之非流动资产!F174)</f>
        <v>0</v>
      </c>
      <c r="G174" s="2403">
        <f>IF(未审附注之非流动资产!G174="",0,未审附注之非流动资产!G174)</f>
        <v>0</v>
      </c>
      <c r="H174" s="2403">
        <f>IF(未审附注之非流动资产!H174="",0,未审附注之非流动资产!H174)</f>
        <v>0</v>
      </c>
      <c r="I174" s="2420"/>
      <c r="J174" s="2453" t="s">
        <v>710</v>
      </c>
    </row>
    <row r="175" spans="1:10">
      <c r="A175" s="2410">
        <f>IF(未审附注之非流动资产!A175="",0,未审附注之非流动资产!A175)</f>
        <v>0</v>
      </c>
      <c r="B175" s="2410">
        <f>IF(未审附注之非流动资产!B175="",0,未审附注之非流动资产!B175)</f>
        <v>0</v>
      </c>
      <c r="C175" s="2410">
        <f>IF(未审附注之非流动资产!C175="",0,未审附注之非流动资产!C175)</f>
        <v>0</v>
      </c>
      <c r="D175" s="2429">
        <f>IF(未审附注之非流动资产!D175="",0,未审附注之非流动资产!D175)</f>
        <v>0</v>
      </c>
      <c r="E175" s="2429">
        <f>IF(未审附注之非流动资产!E175="",0,未审附注之非流动资产!E175)</f>
        <v>0</v>
      </c>
      <c r="F175" s="2403">
        <f>IF(未审附注之非流动资产!F175="",0,未审附注之非流动资产!F175)</f>
        <v>0</v>
      </c>
      <c r="G175" s="2403">
        <f>IF(未审附注之非流动资产!G175="",0,未审附注之非流动资产!G175)</f>
        <v>0</v>
      </c>
      <c r="H175" s="2403">
        <f>IF(未审附注之非流动资产!H175="",0,未审附注之非流动资产!H175)</f>
        <v>0</v>
      </c>
      <c r="I175" s="2420"/>
      <c r="J175" s="2453" t="s">
        <v>710</v>
      </c>
    </row>
    <row r="176" spans="1:10">
      <c r="A176" s="2410">
        <f>IF(未审附注之非流动资产!A176="",0,未审附注之非流动资产!A176)</f>
        <v>0</v>
      </c>
      <c r="B176" s="2410">
        <f>IF(未审附注之非流动资产!B176="",0,未审附注之非流动资产!B176)</f>
        <v>0</v>
      </c>
      <c r="C176" s="2410">
        <f>IF(未审附注之非流动资产!C176="",0,未审附注之非流动资产!C176)</f>
        <v>0</v>
      </c>
      <c r="D176" s="2429">
        <f>IF(未审附注之非流动资产!D176="",0,未审附注之非流动资产!D176)</f>
        <v>0</v>
      </c>
      <c r="E176" s="2429">
        <f>IF(未审附注之非流动资产!E176="",0,未审附注之非流动资产!E176)</f>
        <v>0</v>
      </c>
      <c r="F176" s="2403">
        <f>IF(未审附注之非流动资产!F176="",0,未审附注之非流动资产!F176)</f>
        <v>0</v>
      </c>
      <c r="G176" s="2403">
        <f>IF(未审附注之非流动资产!G176="",0,未审附注之非流动资产!G176)</f>
        <v>0</v>
      </c>
      <c r="H176" s="2403">
        <f>IF(未审附注之非流动资产!H176="",0,未审附注之非流动资产!H176)</f>
        <v>0</v>
      </c>
      <c r="I176" s="2420"/>
      <c r="J176" s="2453" t="s">
        <v>710</v>
      </c>
    </row>
    <row r="177" spans="1:10">
      <c r="A177" s="2410">
        <f>IF(未审附注之非流动资产!A177="",0,未审附注之非流动资产!A177)</f>
        <v>0</v>
      </c>
      <c r="B177" s="2410">
        <f>IF(未审附注之非流动资产!B177="",0,未审附注之非流动资产!B177)</f>
        <v>0</v>
      </c>
      <c r="C177" s="2410">
        <f>IF(未审附注之非流动资产!C177="",0,未审附注之非流动资产!C177)</f>
        <v>0</v>
      </c>
      <c r="D177" s="2429">
        <f>IF(未审附注之非流动资产!D177="",0,未审附注之非流动资产!D177)</f>
        <v>0</v>
      </c>
      <c r="E177" s="2429">
        <f>IF(未审附注之非流动资产!E177="",0,未审附注之非流动资产!E177)</f>
        <v>0</v>
      </c>
      <c r="F177" s="2403">
        <f>IF(未审附注之非流动资产!F177="",0,未审附注之非流动资产!F177)</f>
        <v>0</v>
      </c>
      <c r="G177" s="2403">
        <f>IF(未审附注之非流动资产!G177="",0,未审附注之非流动资产!G177)</f>
        <v>0</v>
      </c>
      <c r="H177" s="2403">
        <f>IF(未审附注之非流动资产!H177="",0,未审附注之非流动资产!H177)</f>
        <v>0</v>
      </c>
      <c r="I177" s="2420"/>
      <c r="J177" s="2453" t="s">
        <v>710</v>
      </c>
    </row>
    <row r="178" spans="1:10">
      <c r="A178" s="2410">
        <f>IF(未审附注之非流动资产!A178="",0,未审附注之非流动资产!A178)</f>
        <v>0</v>
      </c>
      <c r="B178" s="2410">
        <f>IF(未审附注之非流动资产!B178="",0,未审附注之非流动资产!B178)</f>
        <v>0</v>
      </c>
      <c r="C178" s="2410">
        <f>IF(未审附注之非流动资产!C178="",0,未审附注之非流动资产!C178)</f>
        <v>0</v>
      </c>
      <c r="D178" s="2429">
        <f>IF(未审附注之非流动资产!D178="",0,未审附注之非流动资产!D178)</f>
        <v>0</v>
      </c>
      <c r="E178" s="2429">
        <f>IF(未审附注之非流动资产!E178="",0,未审附注之非流动资产!E178)</f>
        <v>0</v>
      </c>
      <c r="F178" s="2403">
        <f>IF(未审附注之非流动资产!F178="",0,未审附注之非流动资产!F178)</f>
        <v>0</v>
      </c>
      <c r="G178" s="2403">
        <f>IF(未审附注之非流动资产!G178="",0,未审附注之非流动资产!G178)</f>
        <v>0</v>
      </c>
      <c r="H178" s="2403">
        <f>IF(未审附注之非流动资产!H178="",0,未审附注之非流动资产!H178)</f>
        <v>0</v>
      </c>
      <c r="I178" s="2420"/>
      <c r="J178" s="2453" t="s">
        <v>710</v>
      </c>
    </row>
    <row r="179" spans="1:10">
      <c r="A179" s="2400" t="s">
        <v>677</v>
      </c>
      <c r="B179" s="2405"/>
      <c r="C179" s="2405"/>
      <c r="D179" s="2442"/>
      <c r="E179" s="2442"/>
      <c r="F179" s="2369">
        <f>ROUND(SUM(F169:F178),2)</f>
        <v>0</v>
      </c>
      <c r="G179" s="2369">
        <f>ROUND(SUM(G169:G178),2)</f>
        <v>0</v>
      </c>
      <c r="H179" s="2369">
        <f>ROUND(SUM(H169:H178),2)</f>
        <v>0</v>
      </c>
      <c r="I179" s="2420"/>
      <c r="J179" s="2453" t="s">
        <v>711</v>
      </c>
    </row>
    <row r="180" spans="1:10">
      <c r="A180" s="2405"/>
      <c r="B180" s="2405"/>
      <c r="C180" s="2405"/>
      <c r="D180" s="2442"/>
      <c r="E180" s="2442"/>
      <c r="F180" s="2442"/>
      <c r="G180" s="2442"/>
      <c r="H180" s="2442"/>
      <c r="I180" s="2420"/>
      <c r="J180" s="2453"/>
    </row>
    <row r="181" spans="1:10">
      <c r="A181" s="2400" t="s">
        <v>385</v>
      </c>
      <c r="B181" s="2369"/>
      <c r="C181" s="2369"/>
      <c r="D181" s="2369"/>
      <c r="E181" s="2369"/>
      <c r="F181" s="2369">
        <f>ROUND(F166+F179,2)</f>
        <v>0</v>
      </c>
      <c r="G181" s="2369">
        <f>ROUND(G166+G179,2)</f>
        <v>0</v>
      </c>
      <c r="H181" s="2369">
        <f>ROUND(H166+H179,2)</f>
        <v>0</v>
      </c>
      <c r="I181" s="2418"/>
      <c r="J181" s="2453" t="s">
        <v>712</v>
      </c>
    </row>
    <row r="182" spans="1:9">
      <c r="A182" s="2454"/>
      <c r="B182" s="2444"/>
      <c r="C182" s="2444"/>
      <c r="D182" s="2444"/>
      <c r="E182" s="2444"/>
      <c r="F182" s="2444"/>
      <c r="G182" s="2444"/>
      <c r="H182" s="2444"/>
      <c r="I182" s="2444"/>
    </row>
    <row r="183" spans="1:9">
      <c r="A183" s="2454"/>
      <c r="B183" s="2444"/>
      <c r="C183" s="2444"/>
      <c r="D183" s="2444"/>
      <c r="E183" s="2444"/>
      <c r="F183" s="2444"/>
      <c r="G183" s="2444"/>
      <c r="H183" s="2444"/>
      <c r="I183" s="2444"/>
    </row>
    <row r="184" spans="1:9">
      <c r="A184" s="2452" t="s">
        <v>713</v>
      </c>
      <c r="B184" s="2444"/>
      <c r="C184" s="2444"/>
      <c r="D184" s="2444"/>
      <c r="E184" s="2444"/>
      <c r="F184" s="2444"/>
      <c r="G184" s="2444"/>
      <c r="H184" s="2444"/>
      <c r="I184" s="2444"/>
    </row>
    <row r="185" spans="1:9">
      <c r="A185" s="2445" t="s">
        <v>714</v>
      </c>
      <c r="B185" s="2444"/>
      <c r="C185" s="2444"/>
      <c r="D185" s="2444"/>
      <c r="E185" s="2444"/>
      <c r="F185" s="2444"/>
      <c r="G185" s="2444"/>
      <c r="H185" s="2444"/>
      <c r="I185" s="2444"/>
    </row>
    <row r="186" spans="1:9">
      <c r="A186" s="2400" t="s">
        <v>373</v>
      </c>
      <c r="B186" s="2400" t="s">
        <v>317</v>
      </c>
      <c r="C186" s="2400" t="s">
        <v>582</v>
      </c>
      <c r="D186" s="2400" t="s">
        <v>583</v>
      </c>
      <c r="E186" s="2400" t="s">
        <v>316</v>
      </c>
      <c r="F186" s="2444"/>
      <c r="G186" s="2444"/>
      <c r="H186" s="2444"/>
      <c r="I186" s="2444"/>
    </row>
    <row r="187" spans="1:10">
      <c r="A187" s="2447" t="s">
        <v>715</v>
      </c>
      <c r="B187" s="2369">
        <f>ROUND(B188+B189,2)</f>
        <v>0</v>
      </c>
      <c r="C187" s="2369">
        <f>ROUND(C188+C189,2)</f>
        <v>0</v>
      </c>
      <c r="D187" s="2369">
        <f>ROUND(D188+D189,2)</f>
        <v>0</v>
      </c>
      <c r="E187" s="2369">
        <f>ROUND(E188+E189,2)</f>
        <v>0</v>
      </c>
      <c r="F187" s="2444"/>
      <c r="G187" s="2444"/>
      <c r="H187" s="2444"/>
      <c r="I187" s="2444"/>
      <c r="J187" s="2453" t="s">
        <v>716</v>
      </c>
    </row>
    <row r="188" spans="1:10">
      <c r="A188" s="2455" t="s">
        <v>717</v>
      </c>
      <c r="B188" s="2403">
        <f>IF(未审附注之非流动资产!B188="",0,未审附注之非流动资产!B188)</f>
        <v>0</v>
      </c>
      <c r="C188" s="2403">
        <f>IF(未审附注之非流动资产!C188="",0,未审附注之非流动资产!C188)</f>
        <v>0</v>
      </c>
      <c r="D188" s="2403">
        <f>IF(未审附注之非流动资产!D188="",0,未审附注之非流动资产!D188)</f>
        <v>0</v>
      </c>
      <c r="E188" s="2369">
        <f>ROUND(B188+C188-D188,2)</f>
        <v>0</v>
      </c>
      <c r="F188" s="2444"/>
      <c r="G188" s="2444"/>
      <c r="H188" s="2444"/>
      <c r="I188" s="2444"/>
      <c r="J188" s="2453" t="s">
        <v>718</v>
      </c>
    </row>
    <row r="189" spans="1:10">
      <c r="A189" s="2455" t="s">
        <v>719</v>
      </c>
      <c r="B189" s="2403">
        <f>IF(未审附注之非流动资产!B189="",0,未审附注之非流动资产!B189)</f>
        <v>0</v>
      </c>
      <c r="C189" s="2403">
        <f>IF(未审附注之非流动资产!C189="",0,未审附注之非流动资产!C189)</f>
        <v>0</v>
      </c>
      <c r="D189" s="2403">
        <f>IF(未审附注之非流动资产!D189="",0,未审附注之非流动资产!D189)</f>
        <v>0</v>
      </c>
      <c r="E189" s="2369">
        <f>ROUND(B189+C189-D189,2)</f>
        <v>0</v>
      </c>
      <c r="F189" s="2444"/>
      <c r="G189" s="2444"/>
      <c r="H189" s="2444"/>
      <c r="I189" s="2444"/>
      <c r="J189" s="2453" t="s">
        <v>720</v>
      </c>
    </row>
    <row r="190" spans="1:9">
      <c r="A190" s="2455"/>
      <c r="B190" s="2455"/>
      <c r="C190" s="2455"/>
      <c r="D190" s="2455"/>
      <c r="E190" s="2455"/>
      <c r="F190" s="2444"/>
      <c r="G190" s="2444"/>
      <c r="H190" s="2444"/>
      <c r="I190" s="2444"/>
    </row>
    <row r="191" spans="1:10">
      <c r="A191" s="2447" t="s">
        <v>721</v>
      </c>
      <c r="B191" s="2369">
        <f>ROUND(B192+B193,2)</f>
        <v>0</v>
      </c>
      <c r="C191" s="2369">
        <f>ROUND(C192+C193,2)</f>
        <v>0</v>
      </c>
      <c r="D191" s="2369">
        <f>ROUND(D192+D193,2)</f>
        <v>0</v>
      </c>
      <c r="E191" s="2369">
        <f>ROUND(E192+E193,2)</f>
        <v>0</v>
      </c>
      <c r="F191" s="2444"/>
      <c r="G191" s="2444"/>
      <c r="H191" s="2444"/>
      <c r="I191" s="2444"/>
      <c r="J191" s="2453" t="s">
        <v>722</v>
      </c>
    </row>
    <row r="192" spans="1:10">
      <c r="A192" s="2455" t="s">
        <v>717</v>
      </c>
      <c r="B192" s="2403">
        <f>IF(未审附注之非流动资产!B192="",0,未审附注之非流动资产!B192)</f>
        <v>0</v>
      </c>
      <c r="C192" s="2403">
        <f>IF(未审附注之非流动资产!C192="",0,未审附注之非流动资产!C192)</f>
        <v>0</v>
      </c>
      <c r="D192" s="2403">
        <f>IF(未审附注之非流动资产!D192="",0,未审附注之非流动资产!D192)</f>
        <v>0</v>
      </c>
      <c r="E192" s="2369">
        <f>ROUND(B192+C192-D192,2)</f>
        <v>0</v>
      </c>
      <c r="F192" s="2444"/>
      <c r="G192" s="2444"/>
      <c r="H192" s="2444"/>
      <c r="I192" s="2444"/>
      <c r="J192" s="2453" t="s">
        <v>723</v>
      </c>
    </row>
    <row r="193" spans="1:10">
      <c r="A193" s="2455" t="s">
        <v>719</v>
      </c>
      <c r="B193" s="2403">
        <f>IF(未审附注之非流动资产!B193="",0,未审附注之非流动资产!B193)</f>
        <v>0</v>
      </c>
      <c r="C193" s="2403">
        <f>IF(未审附注之非流动资产!C193="",0,未审附注之非流动资产!C193)</f>
        <v>0</v>
      </c>
      <c r="D193" s="2403">
        <f>IF(未审附注之非流动资产!D193="",0,未审附注之非流动资产!D193)</f>
        <v>0</v>
      </c>
      <c r="E193" s="2369">
        <f>ROUND(B193+C193-D193,2)</f>
        <v>0</v>
      </c>
      <c r="F193" s="2444"/>
      <c r="G193" s="2444"/>
      <c r="H193" s="2444"/>
      <c r="I193" s="2444"/>
      <c r="J193" s="2453" t="s">
        <v>724</v>
      </c>
    </row>
    <row r="194" spans="1:9">
      <c r="A194" s="2455"/>
      <c r="B194" s="2455"/>
      <c r="C194" s="2455"/>
      <c r="D194" s="2455"/>
      <c r="E194" s="2455"/>
      <c r="F194" s="2444"/>
      <c r="G194" s="2444"/>
      <c r="H194" s="2444"/>
      <c r="I194" s="2444"/>
    </row>
    <row r="195" spans="1:10">
      <c r="A195" s="2447" t="s">
        <v>725</v>
      </c>
      <c r="B195" s="2369">
        <f>ROUND(B196+B197,2)</f>
        <v>0</v>
      </c>
      <c r="C195" s="2369">
        <f>ROUND(C196+C197,2)</f>
        <v>0</v>
      </c>
      <c r="D195" s="2369">
        <f>ROUND(D196+D197,2)</f>
        <v>0</v>
      </c>
      <c r="E195" s="2369">
        <f>ROUND(E196+E197,2)</f>
        <v>0</v>
      </c>
      <c r="F195" s="2444"/>
      <c r="G195" s="2444"/>
      <c r="H195" s="2444"/>
      <c r="I195" s="2444"/>
      <c r="J195" s="2453" t="s">
        <v>726</v>
      </c>
    </row>
    <row r="196" spans="1:10">
      <c r="A196" s="2455" t="s">
        <v>717</v>
      </c>
      <c r="B196" s="2403">
        <f>IF(未审附注之非流动资产!B196="",0,未审附注之非流动资产!B196)</f>
        <v>0</v>
      </c>
      <c r="C196" s="2403">
        <f>IF(未审附注之非流动资产!C196="",0,未审附注之非流动资产!C196)</f>
        <v>0</v>
      </c>
      <c r="D196" s="2403">
        <f>IF(未审附注之非流动资产!D196="",0,未审附注之非流动资产!D196)</f>
        <v>0</v>
      </c>
      <c r="E196" s="2369">
        <f>ROUND(B196+C196-D196,2)</f>
        <v>0</v>
      </c>
      <c r="F196" s="2444"/>
      <c r="G196" s="2444"/>
      <c r="H196" s="2444"/>
      <c r="I196" s="2444"/>
      <c r="J196" s="2453" t="s">
        <v>727</v>
      </c>
    </row>
    <row r="197" spans="1:10">
      <c r="A197" s="2455" t="s">
        <v>719</v>
      </c>
      <c r="B197" s="2403">
        <f>IF(未审附注之非流动资产!B197="",0,未审附注之非流动资产!B197)</f>
        <v>0</v>
      </c>
      <c r="C197" s="2403">
        <f>IF(未审附注之非流动资产!C197="",0,未审附注之非流动资产!C197)</f>
        <v>0</v>
      </c>
      <c r="D197" s="2403">
        <f>IF(未审附注之非流动资产!D197="",0,未审附注之非流动资产!D197)</f>
        <v>0</v>
      </c>
      <c r="E197" s="2369">
        <f>ROUND(B197+C197-D197,2)</f>
        <v>0</v>
      </c>
      <c r="F197" s="2444"/>
      <c r="G197" s="2444"/>
      <c r="H197" s="2444"/>
      <c r="I197" s="2444"/>
      <c r="J197" s="2453" t="s">
        <v>728</v>
      </c>
    </row>
    <row r="198" spans="1:9">
      <c r="A198" s="2455"/>
      <c r="B198" s="2455"/>
      <c r="C198" s="2455"/>
      <c r="D198" s="2455"/>
      <c r="E198" s="2455"/>
      <c r="F198" s="2444"/>
      <c r="G198" s="2444"/>
      <c r="H198" s="2444"/>
      <c r="I198" s="2444"/>
    </row>
    <row r="199" spans="1:9">
      <c r="A199" s="2447" t="s">
        <v>729</v>
      </c>
      <c r="B199" s="2369">
        <f>ROUND(B187-B191-B195,2)</f>
        <v>0</v>
      </c>
      <c r="C199" s="2369">
        <f>ROUND(C187-C191-C195,2)</f>
        <v>0</v>
      </c>
      <c r="D199" s="2369">
        <f>ROUND(D187-D191-D195,2)</f>
        <v>0</v>
      </c>
      <c r="E199" s="2369">
        <f>ROUND(E187-E191-E195,2)</f>
        <v>0</v>
      </c>
      <c r="F199" s="2444"/>
      <c r="G199" s="2444"/>
      <c r="H199" s="2444"/>
      <c r="I199" s="2444"/>
    </row>
    <row r="200" spans="1:9">
      <c r="A200" s="2455" t="s">
        <v>717</v>
      </c>
      <c r="B200" s="2156">
        <f t="shared" ref="B200:D201" si="8">ROUND(B188-B192-B196,2)</f>
        <v>0</v>
      </c>
      <c r="C200" s="2156">
        <f t="shared" si="8"/>
        <v>0</v>
      </c>
      <c r="D200" s="2156">
        <f t="shared" si="8"/>
        <v>0</v>
      </c>
      <c r="E200" s="2369">
        <f>ROUND(B200+C200-D200,2)</f>
        <v>0</v>
      </c>
      <c r="F200" s="2444"/>
      <c r="G200" s="2444"/>
      <c r="H200" s="2444"/>
      <c r="I200" s="2444"/>
    </row>
    <row r="201" spans="1:9">
      <c r="A201" s="2455" t="s">
        <v>719</v>
      </c>
      <c r="B201" s="2156">
        <f t="shared" si="8"/>
        <v>0</v>
      </c>
      <c r="C201" s="2156">
        <f t="shared" si="8"/>
        <v>0</v>
      </c>
      <c r="D201" s="2156">
        <f t="shared" si="8"/>
        <v>0</v>
      </c>
      <c r="E201" s="2369">
        <f>ROUND(B201+C201-D201,2)</f>
        <v>0</v>
      </c>
      <c r="F201" s="2444"/>
      <c r="G201" s="2444"/>
      <c r="H201" s="2444"/>
      <c r="I201" s="2444"/>
    </row>
    <row r="202" spans="1:9">
      <c r="A202" s="2450"/>
      <c r="B202" s="2412"/>
      <c r="C202" s="2412"/>
      <c r="D202" s="2412"/>
      <c r="E202" s="2412"/>
      <c r="F202" s="2444"/>
      <c r="G202" s="2444"/>
      <c r="H202" s="2444"/>
      <c r="I202" s="2444"/>
    </row>
    <row r="203" spans="1:9">
      <c r="A203" s="2414" t="s">
        <v>730</v>
      </c>
      <c r="B203" s="2444"/>
      <c r="C203" s="2444"/>
      <c r="D203" s="2444"/>
      <c r="E203" s="2444"/>
      <c r="F203" s="2444"/>
      <c r="G203" s="2444"/>
      <c r="H203" s="2444"/>
      <c r="I203" s="2444"/>
    </row>
    <row r="204" spans="1:9">
      <c r="A204" s="2400" t="s">
        <v>373</v>
      </c>
      <c r="B204" s="2400" t="s">
        <v>375</v>
      </c>
      <c r="C204" s="2400" t="s">
        <v>582</v>
      </c>
      <c r="D204" s="2400" t="s">
        <v>583</v>
      </c>
      <c r="E204" s="2400" t="s">
        <v>374</v>
      </c>
      <c r="F204" s="2426" t="s">
        <v>731</v>
      </c>
      <c r="G204" s="2446"/>
      <c r="H204" s="2446"/>
      <c r="I204" s="2446"/>
    </row>
    <row r="205" spans="1:10">
      <c r="A205" s="2447" t="s">
        <v>715</v>
      </c>
      <c r="B205" s="2369">
        <f>ROUND(B206+B207,2)</f>
        <v>0</v>
      </c>
      <c r="C205" s="2369">
        <f>ROUND(C206+C207,2)</f>
        <v>0</v>
      </c>
      <c r="D205" s="2369">
        <f>ROUND(D206+D207,2)</f>
        <v>0</v>
      </c>
      <c r="E205" s="2369">
        <f>ROUND(E206+E207,2)</f>
        <v>0</v>
      </c>
      <c r="F205" s="2442"/>
      <c r="G205" s="2420"/>
      <c r="H205" s="2420"/>
      <c r="I205" s="2420"/>
      <c r="J205" s="2453" t="s">
        <v>732</v>
      </c>
    </row>
    <row r="206" spans="1:10">
      <c r="A206" s="2455" t="s">
        <v>717</v>
      </c>
      <c r="B206" s="2403">
        <f>IF(未审附注之非流动资产!B206="",0,未审附注之非流动资产!B206)</f>
        <v>0</v>
      </c>
      <c r="C206" s="2403">
        <f>IF(未审附注之非流动资产!C206="",0,未审附注之非流动资产!C206)</f>
        <v>0</v>
      </c>
      <c r="D206" s="2403">
        <f>IF(未审附注之非流动资产!D206="",0,未审附注之非流动资产!D206)</f>
        <v>0</v>
      </c>
      <c r="E206" s="2369">
        <f>ROUND(B206+C206-D206,2)</f>
        <v>0</v>
      </c>
      <c r="F206" s="2410">
        <f>IF(未审附注之非流动资产!F206="",0,未审附注之非流动资产!F206)</f>
        <v>0</v>
      </c>
      <c r="G206" s="2420"/>
      <c r="H206" s="2420"/>
      <c r="I206" s="2420"/>
      <c r="J206" s="2453" t="s">
        <v>733</v>
      </c>
    </row>
    <row r="207" spans="1:10">
      <c r="A207" s="2455" t="s">
        <v>719</v>
      </c>
      <c r="B207" s="2403">
        <f>IF(未审附注之非流动资产!B207="",0,未审附注之非流动资产!B207)</f>
        <v>0</v>
      </c>
      <c r="C207" s="2403">
        <f>IF(未审附注之非流动资产!C207="",0,未审附注之非流动资产!C207)</f>
        <v>0</v>
      </c>
      <c r="D207" s="2403">
        <f>IF(未审附注之非流动资产!D207="",0,未审附注之非流动资产!D207)</f>
        <v>0</v>
      </c>
      <c r="E207" s="2369">
        <f>ROUND(B207+C207-D207,2)</f>
        <v>0</v>
      </c>
      <c r="F207" s="2410">
        <f>IF(未审附注之非流动资产!F207="",0,未审附注之非流动资产!F207)</f>
        <v>0</v>
      </c>
      <c r="G207" s="2420"/>
      <c r="H207" s="2420"/>
      <c r="I207" s="2420"/>
      <c r="J207" s="2453" t="s">
        <v>734</v>
      </c>
    </row>
    <row r="208" spans="1:9">
      <c r="A208" s="2455"/>
      <c r="B208" s="2455"/>
      <c r="C208" s="2455"/>
      <c r="D208" s="2455"/>
      <c r="E208" s="2455"/>
      <c r="F208" s="2455"/>
      <c r="G208" s="2420"/>
      <c r="H208" s="2420"/>
      <c r="I208" s="2420"/>
    </row>
    <row r="209" spans="1:10">
      <c r="A209" s="2447" t="s">
        <v>721</v>
      </c>
      <c r="B209" s="2369">
        <f>ROUND(B210+B211,2)</f>
        <v>0</v>
      </c>
      <c r="C209" s="2369">
        <f>ROUND(C210+C211,2)</f>
        <v>0</v>
      </c>
      <c r="D209" s="2369">
        <f>ROUND(D210+D211,2)</f>
        <v>0</v>
      </c>
      <c r="E209" s="2369">
        <f>ROUND(E210+E211,2)</f>
        <v>0</v>
      </c>
      <c r="F209" s="2442"/>
      <c r="G209" s="2420"/>
      <c r="H209" s="2420"/>
      <c r="I209" s="2420"/>
      <c r="J209" s="2453" t="s">
        <v>735</v>
      </c>
    </row>
    <row r="210" spans="1:10">
      <c r="A210" s="2455" t="s">
        <v>717</v>
      </c>
      <c r="B210" s="2403">
        <f>IF(未审附注之非流动资产!B210="",0,未审附注之非流动资产!B210)</f>
        <v>0</v>
      </c>
      <c r="C210" s="2403">
        <f>IF(未审附注之非流动资产!C210="",0,未审附注之非流动资产!C210)</f>
        <v>0</v>
      </c>
      <c r="D210" s="2403">
        <f>IF(未审附注之非流动资产!D210="",0,未审附注之非流动资产!D210)</f>
        <v>0</v>
      </c>
      <c r="E210" s="2369">
        <f>ROUND(B210+C210-D210,2)</f>
        <v>0</v>
      </c>
      <c r="F210" s="2442"/>
      <c r="G210" s="2420"/>
      <c r="H210" s="2420"/>
      <c r="I210" s="2420"/>
      <c r="J210" s="2453" t="s">
        <v>736</v>
      </c>
    </row>
    <row r="211" spans="1:10">
      <c r="A211" s="2455" t="s">
        <v>719</v>
      </c>
      <c r="B211" s="2403">
        <f>IF(未审附注之非流动资产!B211="",0,未审附注之非流动资产!B211)</f>
        <v>0</v>
      </c>
      <c r="C211" s="2403">
        <f>IF(未审附注之非流动资产!C211="",0,未审附注之非流动资产!C211)</f>
        <v>0</v>
      </c>
      <c r="D211" s="2403">
        <f>IF(未审附注之非流动资产!D211="",0,未审附注之非流动资产!D211)</f>
        <v>0</v>
      </c>
      <c r="E211" s="2369">
        <f>ROUND(B211+C211-D211,2)</f>
        <v>0</v>
      </c>
      <c r="F211" s="2442"/>
      <c r="G211" s="2420"/>
      <c r="H211" s="2420"/>
      <c r="I211" s="2420"/>
      <c r="J211" s="2453" t="s">
        <v>737</v>
      </c>
    </row>
    <row r="212" spans="1:9">
      <c r="A212" s="2455"/>
      <c r="B212" s="2455"/>
      <c r="C212" s="2455"/>
      <c r="D212" s="2455"/>
      <c r="E212" s="2455"/>
      <c r="F212" s="2455"/>
      <c r="G212" s="2420"/>
      <c r="H212" s="2420"/>
      <c r="I212" s="2420"/>
    </row>
    <row r="213" spans="1:10">
      <c r="A213" s="2447" t="s">
        <v>725</v>
      </c>
      <c r="B213" s="2369">
        <f>ROUND(B214+B215,2)</f>
        <v>0</v>
      </c>
      <c r="C213" s="2369">
        <f>ROUND(C214+C215,2)</f>
        <v>0</v>
      </c>
      <c r="D213" s="2369">
        <f>ROUND(D214+D215,2)</f>
        <v>0</v>
      </c>
      <c r="E213" s="2369">
        <f>ROUND(E214+E215,2)</f>
        <v>0</v>
      </c>
      <c r="F213" s="2442"/>
      <c r="G213" s="2420"/>
      <c r="H213" s="2420"/>
      <c r="I213" s="2420"/>
      <c r="J213" s="2453" t="s">
        <v>738</v>
      </c>
    </row>
    <row r="214" spans="1:10">
      <c r="A214" s="2455" t="s">
        <v>717</v>
      </c>
      <c r="B214" s="2403">
        <f>IF(未审附注之非流动资产!B214="",0,未审附注之非流动资产!B214)</f>
        <v>0</v>
      </c>
      <c r="C214" s="2403">
        <f>IF(未审附注之非流动资产!C214="",0,未审附注之非流动资产!C214)</f>
        <v>0</v>
      </c>
      <c r="D214" s="2403">
        <f>IF(未审附注之非流动资产!D214="",0,未审附注之非流动资产!D214)</f>
        <v>0</v>
      </c>
      <c r="E214" s="2369">
        <f>ROUND(B214+C214-D214,2)</f>
        <v>0</v>
      </c>
      <c r="F214" s="2442"/>
      <c r="G214" s="2420"/>
      <c r="H214" s="2420"/>
      <c r="I214" s="2420"/>
      <c r="J214" s="2453" t="s">
        <v>739</v>
      </c>
    </row>
    <row r="215" spans="1:10">
      <c r="A215" s="2455" t="s">
        <v>719</v>
      </c>
      <c r="B215" s="2403">
        <f>IF(未审附注之非流动资产!B215="",0,未审附注之非流动资产!B215)</f>
        <v>0</v>
      </c>
      <c r="C215" s="2403">
        <f>IF(未审附注之非流动资产!C215="",0,未审附注之非流动资产!C215)</f>
        <v>0</v>
      </c>
      <c r="D215" s="2403">
        <f>IF(未审附注之非流动资产!D215="",0,未审附注之非流动资产!D215)</f>
        <v>0</v>
      </c>
      <c r="E215" s="2369">
        <f>ROUND(B215+C215-D215,2)</f>
        <v>0</v>
      </c>
      <c r="F215" s="2442"/>
      <c r="G215" s="2420"/>
      <c r="H215" s="2420"/>
      <c r="I215" s="2420"/>
      <c r="J215" s="2453" t="s">
        <v>740</v>
      </c>
    </row>
    <row r="216" spans="1:9">
      <c r="A216" s="2455"/>
      <c r="B216" s="2455"/>
      <c r="C216" s="2455"/>
      <c r="D216" s="2455"/>
      <c r="E216" s="2455"/>
      <c r="F216" s="2455"/>
      <c r="G216" s="2450"/>
      <c r="H216" s="2450"/>
      <c r="I216" s="2450"/>
    </row>
    <row r="217" spans="1:9">
      <c r="A217" s="2447" t="s">
        <v>729</v>
      </c>
      <c r="B217" s="2369">
        <f>ROUND(B205-B209-B213,2)</f>
        <v>0</v>
      </c>
      <c r="C217" s="2369">
        <f>ROUND(C205-C209-C213,2)</f>
        <v>0</v>
      </c>
      <c r="D217" s="2369">
        <f>ROUND(D205-D209-D213,2)</f>
        <v>0</v>
      </c>
      <c r="E217" s="2369">
        <f>ROUND(E205-E209-E213,2)</f>
        <v>0</v>
      </c>
      <c r="F217" s="2442"/>
      <c r="G217" s="2420"/>
      <c r="H217" s="2420"/>
      <c r="I217" s="2420"/>
    </row>
    <row r="218" spans="1:9">
      <c r="A218" s="2455" t="s">
        <v>717</v>
      </c>
      <c r="B218" s="2156">
        <f t="shared" ref="B218:D219" si="9">ROUND(B206-B210-B214,2)</f>
        <v>0</v>
      </c>
      <c r="C218" s="2156">
        <f t="shared" si="9"/>
        <v>0</v>
      </c>
      <c r="D218" s="2156">
        <f t="shared" si="9"/>
        <v>0</v>
      </c>
      <c r="E218" s="2369">
        <f>ROUND(B218+C218-D218,2)</f>
        <v>0</v>
      </c>
      <c r="F218" s="2442"/>
      <c r="G218" s="2420"/>
      <c r="H218" s="2420"/>
      <c r="I218" s="2420"/>
    </row>
    <row r="219" spans="1:9">
      <c r="A219" s="2455" t="s">
        <v>719</v>
      </c>
      <c r="B219" s="2156">
        <f t="shared" si="9"/>
        <v>0</v>
      </c>
      <c r="C219" s="2156">
        <f t="shared" si="9"/>
        <v>0</v>
      </c>
      <c r="D219" s="2156">
        <f t="shared" si="9"/>
        <v>0</v>
      </c>
      <c r="E219" s="2369">
        <f>ROUND(B219+C219-D219,2)</f>
        <v>0</v>
      </c>
      <c r="F219" s="2442"/>
      <c r="G219" s="2420"/>
      <c r="H219" s="2420"/>
      <c r="I219" s="2420"/>
    </row>
    <row r="220" spans="1:9">
      <c r="A220" s="2456"/>
      <c r="B220" s="2444"/>
      <c r="C220" s="2444"/>
      <c r="D220" s="2444"/>
      <c r="E220" s="2444"/>
      <c r="F220" s="2444"/>
      <c r="G220" s="2444"/>
      <c r="H220" s="2444"/>
      <c r="I220" s="2444"/>
    </row>
    <row r="221" spans="1:9">
      <c r="A221" s="2414" t="s">
        <v>741</v>
      </c>
      <c r="B221" s="2444"/>
      <c r="C221" s="2444"/>
      <c r="D221" s="2444"/>
      <c r="E221" s="2444"/>
      <c r="F221" s="2444"/>
      <c r="G221" s="2444"/>
      <c r="H221" s="2444"/>
      <c r="I221" s="2444"/>
    </row>
    <row r="222" spans="1:9">
      <c r="A222" s="2400" t="s">
        <v>742</v>
      </c>
      <c r="B222" s="2400" t="s">
        <v>743</v>
      </c>
      <c r="C222" s="2400" t="s">
        <v>744</v>
      </c>
      <c r="D222" s="2400" t="s">
        <v>745</v>
      </c>
      <c r="E222" s="2400" t="s">
        <v>746</v>
      </c>
      <c r="F222" s="2400" t="s">
        <v>747</v>
      </c>
      <c r="G222" s="2417"/>
      <c r="H222" s="2417"/>
      <c r="I222" s="2417"/>
    </row>
    <row r="223" spans="1:10">
      <c r="A223" s="2410">
        <f>IF(未审附注之非流动资产!A223="",0,未审附注之非流动资产!A223)</f>
        <v>0</v>
      </c>
      <c r="B223" s="2410">
        <f>IF(未审附注之非流动资产!B223="",0,未审附注之非流动资产!B223)</f>
        <v>0</v>
      </c>
      <c r="C223" s="2403">
        <f>IF(未审附注之非流动资产!C223="",0,未审附注之非流动资产!C223)</f>
        <v>0</v>
      </c>
      <c r="D223" s="2403">
        <f>IF(未审附注之非流动资产!D223="",0,未审附注之非流动资产!D223)</f>
        <v>0</v>
      </c>
      <c r="E223" s="2403">
        <f>IF(未审附注之非流动资产!E223="",0,未审附注之非流动资产!E223)</f>
        <v>0</v>
      </c>
      <c r="F223" s="2410">
        <f>IF(未审附注之非流动资产!F223="",0,未审附注之非流动资产!F223)</f>
        <v>0</v>
      </c>
      <c r="G223" s="2417"/>
      <c r="H223" s="2417"/>
      <c r="I223" s="2417"/>
      <c r="J223" s="2453" t="s">
        <v>748</v>
      </c>
    </row>
    <row r="224" spans="1:10">
      <c r="A224" s="2410">
        <f>IF(未审附注之非流动资产!A224="",0,未审附注之非流动资产!A224)</f>
        <v>0</v>
      </c>
      <c r="B224" s="2410">
        <f>IF(未审附注之非流动资产!B224="",0,未审附注之非流动资产!B224)</f>
        <v>0</v>
      </c>
      <c r="C224" s="2403">
        <f>IF(未审附注之非流动资产!C224="",0,未审附注之非流动资产!C224)</f>
        <v>0</v>
      </c>
      <c r="D224" s="2403">
        <f>IF(未审附注之非流动资产!D224="",0,未审附注之非流动资产!D224)</f>
        <v>0</v>
      </c>
      <c r="E224" s="2403">
        <f>IF(未审附注之非流动资产!E224="",0,未审附注之非流动资产!E224)</f>
        <v>0</v>
      </c>
      <c r="F224" s="2410">
        <f>IF(未审附注之非流动资产!F224="",0,未审附注之非流动资产!F224)</f>
        <v>0</v>
      </c>
      <c r="G224" s="2417"/>
      <c r="H224" s="2417"/>
      <c r="I224" s="2417"/>
      <c r="J224" s="2453" t="s">
        <v>748</v>
      </c>
    </row>
    <row r="225" spans="1:10">
      <c r="A225" s="2410">
        <f>IF(未审附注之非流动资产!A225="",0,未审附注之非流动资产!A225)</f>
        <v>0</v>
      </c>
      <c r="B225" s="2410">
        <f>IF(未审附注之非流动资产!B225="",0,未审附注之非流动资产!B225)</f>
        <v>0</v>
      </c>
      <c r="C225" s="2403">
        <f>IF(未审附注之非流动资产!C225="",0,未审附注之非流动资产!C225)</f>
        <v>0</v>
      </c>
      <c r="D225" s="2403">
        <f>IF(未审附注之非流动资产!D225="",0,未审附注之非流动资产!D225)</f>
        <v>0</v>
      </c>
      <c r="E225" s="2403">
        <f>IF(未审附注之非流动资产!E225="",0,未审附注之非流动资产!E225)</f>
        <v>0</v>
      </c>
      <c r="F225" s="2410">
        <f>IF(未审附注之非流动资产!F225="",0,未审附注之非流动资产!F225)</f>
        <v>0</v>
      </c>
      <c r="G225" s="2417"/>
      <c r="H225" s="2417"/>
      <c r="I225" s="2417"/>
      <c r="J225" s="2453" t="s">
        <v>748</v>
      </c>
    </row>
    <row r="226" spans="1:10">
      <c r="A226" s="2410">
        <f>IF(未审附注之非流动资产!A226="",0,未审附注之非流动资产!A226)</f>
        <v>0</v>
      </c>
      <c r="B226" s="2410">
        <f>IF(未审附注之非流动资产!B226="",0,未审附注之非流动资产!B226)</f>
        <v>0</v>
      </c>
      <c r="C226" s="2403">
        <f>IF(未审附注之非流动资产!C226="",0,未审附注之非流动资产!C226)</f>
        <v>0</v>
      </c>
      <c r="D226" s="2403">
        <f>IF(未审附注之非流动资产!D226="",0,未审附注之非流动资产!D226)</f>
        <v>0</v>
      </c>
      <c r="E226" s="2403">
        <f>IF(未审附注之非流动资产!E226="",0,未审附注之非流动资产!E226)</f>
        <v>0</v>
      </c>
      <c r="F226" s="2410">
        <f>IF(未审附注之非流动资产!F226="",0,未审附注之非流动资产!F226)</f>
        <v>0</v>
      </c>
      <c r="G226" s="2417"/>
      <c r="H226" s="2417"/>
      <c r="I226" s="2417"/>
      <c r="J226" s="2453" t="s">
        <v>748</v>
      </c>
    </row>
    <row r="227" spans="1:10">
      <c r="A227" s="2410">
        <f>IF(未审附注之非流动资产!A227="",0,未审附注之非流动资产!A227)</f>
        <v>0</v>
      </c>
      <c r="B227" s="2410">
        <f>IF(未审附注之非流动资产!B227="",0,未审附注之非流动资产!B227)</f>
        <v>0</v>
      </c>
      <c r="C227" s="2403">
        <f>IF(未审附注之非流动资产!C227="",0,未审附注之非流动资产!C227)</f>
        <v>0</v>
      </c>
      <c r="D227" s="2403">
        <f>IF(未审附注之非流动资产!D227="",0,未审附注之非流动资产!D227)</f>
        <v>0</v>
      </c>
      <c r="E227" s="2403">
        <f>IF(未审附注之非流动资产!E227="",0,未审附注之非流动资产!E227)</f>
        <v>0</v>
      </c>
      <c r="F227" s="2410">
        <f>IF(未审附注之非流动资产!F227="",0,未审附注之非流动资产!F227)</f>
        <v>0</v>
      </c>
      <c r="G227" s="2417"/>
      <c r="H227" s="2417"/>
      <c r="I227" s="2417"/>
      <c r="J227" s="2453" t="s">
        <v>748</v>
      </c>
    </row>
    <row r="228" spans="1:10">
      <c r="A228" s="2410">
        <f>IF(未审附注之非流动资产!A228="",0,未审附注之非流动资产!A228)</f>
        <v>0</v>
      </c>
      <c r="B228" s="2410">
        <f>IF(未审附注之非流动资产!B228="",0,未审附注之非流动资产!B228)</f>
        <v>0</v>
      </c>
      <c r="C228" s="2403">
        <f>IF(未审附注之非流动资产!C228="",0,未审附注之非流动资产!C228)</f>
        <v>0</v>
      </c>
      <c r="D228" s="2403">
        <f>IF(未审附注之非流动资产!D228="",0,未审附注之非流动资产!D228)</f>
        <v>0</v>
      </c>
      <c r="E228" s="2403">
        <f>IF(未审附注之非流动资产!E228="",0,未审附注之非流动资产!E228)</f>
        <v>0</v>
      </c>
      <c r="F228" s="2410">
        <f>IF(未审附注之非流动资产!F228="",0,未审附注之非流动资产!F228)</f>
        <v>0</v>
      </c>
      <c r="G228" s="2417"/>
      <c r="H228" s="2417"/>
      <c r="I228" s="2417"/>
      <c r="J228" s="2453" t="s">
        <v>748</v>
      </c>
    </row>
    <row r="229" spans="1:10">
      <c r="A229" s="2410">
        <f>IF(未审附注之非流动资产!A229="",0,未审附注之非流动资产!A229)</f>
        <v>0</v>
      </c>
      <c r="B229" s="2410">
        <f>IF(未审附注之非流动资产!B229="",0,未审附注之非流动资产!B229)</f>
        <v>0</v>
      </c>
      <c r="C229" s="2403">
        <f>IF(未审附注之非流动资产!C229="",0,未审附注之非流动资产!C229)</f>
        <v>0</v>
      </c>
      <c r="D229" s="2403">
        <f>IF(未审附注之非流动资产!D229="",0,未审附注之非流动资产!D229)</f>
        <v>0</v>
      </c>
      <c r="E229" s="2403">
        <f>IF(未审附注之非流动资产!E229="",0,未审附注之非流动资产!E229)</f>
        <v>0</v>
      </c>
      <c r="F229" s="2410">
        <f>IF(未审附注之非流动资产!F229="",0,未审附注之非流动资产!F229)</f>
        <v>0</v>
      </c>
      <c r="G229" s="2417"/>
      <c r="H229" s="2417"/>
      <c r="I229" s="2417"/>
      <c r="J229" s="2453" t="s">
        <v>748</v>
      </c>
    </row>
    <row r="230" spans="1:10">
      <c r="A230" s="2410">
        <f>IF(未审附注之非流动资产!A230="",0,未审附注之非流动资产!A230)</f>
        <v>0</v>
      </c>
      <c r="B230" s="2410">
        <f>IF(未审附注之非流动资产!B230="",0,未审附注之非流动资产!B230)</f>
        <v>0</v>
      </c>
      <c r="C230" s="2403">
        <f>IF(未审附注之非流动资产!C230="",0,未审附注之非流动资产!C230)</f>
        <v>0</v>
      </c>
      <c r="D230" s="2403">
        <f>IF(未审附注之非流动资产!D230="",0,未审附注之非流动资产!D230)</f>
        <v>0</v>
      </c>
      <c r="E230" s="2403">
        <f>IF(未审附注之非流动资产!E230="",0,未审附注之非流动资产!E230)</f>
        <v>0</v>
      </c>
      <c r="F230" s="2410">
        <f>IF(未审附注之非流动资产!F230="",0,未审附注之非流动资产!F230)</f>
        <v>0</v>
      </c>
      <c r="G230" s="2417"/>
      <c r="H230" s="2417"/>
      <c r="I230" s="2417"/>
      <c r="J230" s="2453" t="s">
        <v>748</v>
      </c>
    </row>
    <row r="231" spans="1:10">
      <c r="A231" s="2410">
        <f>IF(未审附注之非流动资产!A231="",0,未审附注之非流动资产!A231)</f>
        <v>0</v>
      </c>
      <c r="B231" s="2410">
        <f>IF(未审附注之非流动资产!B231="",0,未审附注之非流动资产!B231)</f>
        <v>0</v>
      </c>
      <c r="C231" s="2403">
        <f>IF(未审附注之非流动资产!C231="",0,未审附注之非流动资产!C231)</f>
        <v>0</v>
      </c>
      <c r="D231" s="2403">
        <f>IF(未审附注之非流动资产!D231="",0,未审附注之非流动资产!D231)</f>
        <v>0</v>
      </c>
      <c r="E231" s="2403">
        <f>IF(未审附注之非流动资产!E231="",0,未审附注之非流动资产!E231)</f>
        <v>0</v>
      </c>
      <c r="F231" s="2410">
        <f>IF(未审附注之非流动资产!F231="",0,未审附注之非流动资产!F231)</f>
        <v>0</v>
      </c>
      <c r="G231" s="2417"/>
      <c r="H231" s="2417"/>
      <c r="I231" s="2417"/>
      <c r="J231" s="2453" t="s">
        <v>748</v>
      </c>
    </row>
    <row r="232" spans="1:10">
      <c r="A232" s="2410">
        <f>IF(未审附注之非流动资产!A232="",0,未审附注之非流动资产!A232)</f>
        <v>0</v>
      </c>
      <c r="B232" s="2410">
        <f>IF(未审附注之非流动资产!B232="",0,未审附注之非流动资产!B232)</f>
        <v>0</v>
      </c>
      <c r="C232" s="2403">
        <f>IF(未审附注之非流动资产!C232="",0,未审附注之非流动资产!C232)</f>
        <v>0</v>
      </c>
      <c r="D232" s="2403">
        <f>IF(未审附注之非流动资产!D232="",0,未审附注之非流动资产!D232)</f>
        <v>0</v>
      </c>
      <c r="E232" s="2403">
        <f>IF(未审附注之非流动资产!E232="",0,未审附注之非流动资产!E232)</f>
        <v>0</v>
      </c>
      <c r="F232" s="2410">
        <f>IF(未审附注之非流动资产!F232="",0,未审附注之非流动资产!F232)</f>
        <v>0</v>
      </c>
      <c r="G232" s="2417"/>
      <c r="H232" s="2417"/>
      <c r="I232" s="2417"/>
      <c r="J232" s="2453" t="s">
        <v>748</v>
      </c>
    </row>
    <row r="233" spans="1:10">
      <c r="A233" s="2400" t="s">
        <v>385</v>
      </c>
      <c r="B233" s="2455"/>
      <c r="C233" s="2369">
        <f>ROUND(SUM(C223:C232),2)</f>
        <v>0</v>
      </c>
      <c r="D233" s="2369">
        <f>ROUND(SUM(D223:D232),2)</f>
        <v>0</v>
      </c>
      <c r="E233" s="2369">
        <f>ROUND(SUM(E223:E232),2)</f>
        <v>0</v>
      </c>
      <c r="F233" s="2369"/>
      <c r="G233" s="2418"/>
      <c r="H233" s="2418"/>
      <c r="I233" s="2418"/>
      <c r="J233" s="2453" t="s">
        <v>749</v>
      </c>
    </row>
    <row r="234" spans="1:9">
      <c r="A234" s="2456"/>
      <c r="B234" s="2444"/>
      <c r="C234" s="2444"/>
      <c r="D234" s="2444"/>
      <c r="E234" s="2444"/>
      <c r="F234" s="2444"/>
      <c r="G234" s="2444"/>
      <c r="H234" s="2444"/>
      <c r="I234" s="2444"/>
    </row>
    <row r="235" spans="1:9">
      <c r="A235" s="2456"/>
      <c r="B235" s="2444"/>
      <c r="C235" s="2444"/>
      <c r="D235" s="2444"/>
      <c r="E235" s="2444"/>
      <c r="F235" s="2444"/>
      <c r="G235" s="2444"/>
      <c r="H235" s="2444"/>
      <c r="I235" s="2444"/>
    </row>
    <row r="236" spans="1:9">
      <c r="A236" s="2452" t="s">
        <v>750</v>
      </c>
      <c r="B236" s="2444"/>
      <c r="C236" s="2444"/>
      <c r="D236" s="2444"/>
      <c r="E236" s="2444"/>
      <c r="F236" s="2444"/>
      <c r="G236" s="2444"/>
      <c r="H236" s="2444"/>
      <c r="I236" s="2444"/>
    </row>
    <row r="237" spans="1:9">
      <c r="A237" s="2451" t="s">
        <v>751</v>
      </c>
      <c r="B237" s="2444"/>
      <c r="C237" s="2444"/>
      <c r="D237" s="2444"/>
      <c r="E237" s="2444"/>
      <c r="F237" s="2444"/>
      <c r="G237" s="2444"/>
      <c r="H237" s="2444"/>
      <c r="I237" s="2444"/>
    </row>
    <row r="238" spans="1:9">
      <c r="A238" s="2400" t="s">
        <v>373</v>
      </c>
      <c r="B238" s="2400" t="s">
        <v>317</v>
      </c>
      <c r="C238" s="2400" t="s">
        <v>582</v>
      </c>
      <c r="D238" s="2400" t="s">
        <v>583</v>
      </c>
      <c r="E238" s="2400" t="s">
        <v>316</v>
      </c>
      <c r="F238" s="2444"/>
      <c r="G238" s="2444"/>
      <c r="H238" s="2444"/>
      <c r="I238" s="2444"/>
    </row>
    <row r="239" spans="1:10">
      <c r="A239" s="2447" t="s">
        <v>715</v>
      </c>
      <c r="B239" s="2369">
        <f>ROUND(SUM(B240:B243),2)</f>
        <v>0</v>
      </c>
      <c r="C239" s="2369">
        <f>ROUND(SUM(C240:C243),2)</f>
        <v>0</v>
      </c>
      <c r="D239" s="2369">
        <f>ROUND(SUM(D240:D243),2)</f>
        <v>0</v>
      </c>
      <c r="E239" s="2369">
        <f>ROUND(SUM(E240:E243),2)</f>
        <v>0</v>
      </c>
      <c r="F239" s="2444"/>
      <c r="G239" s="2444"/>
      <c r="H239" s="2444"/>
      <c r="I239" s="2444"/>
      <c r="J239" s="2453" t="s">
        <v>752</v>
      </c>
    </row>
    <row r="240" spans="1:10">
      <c r="A240" s="2455" t="s">
        <v>717</v>
      </c>
      <c r="B240" s="2403">
        <f>IF(未审附注之非流动资产!B240="",0,未审附注之非流动资产!B240)</f>
        <v>0</v>
      </c>
      <c r="C240" s="2403">
        <f>IF(未审附注之非流动资产!C240="",0,未审附注之非流动资产!C240)</f>
        <v>0</v>
      </c>
      <c r="D240" s="2403">
        <f>IF(未审附注之非流动资产!D240="",0,未审附注之非流动资产!D240)</f>
        <v>0</v>
      </c>
      <c r="E240" s="2369">
        <f>ROUND(B240+C240-D240,2)</f>
        <v>0</v>
      </c>
      <c r="F240" s="2444"/>
      <c r="G240" s="2444"/>
      <c r="H240" s="2444"/>
      <c r="I240" s="2444"/>
      <c r="J240" s="2453" t="s">
        <v>753</v>
      </c>
    </row>
    <row r="241" spans="1:10">
      <c r="A241" s="2455" t="s">
        <v>754</v>
      </c>
      <c r="B241" s="2403">
        <f>IF(未审附注之非流动资产!B241="",0,未审附注之非流动资产!B241)</f>
        <v>0</v>
      </c>
      <c r="C241" s="2403">
        <f>IF(未审附注之非流动资产!C241="",0,未审附注之非流动资产!C241)</f>
        <v>0</v>
      </c>
      <c r="D241" s="2403">
        <f>IF(未审附注之非流动资产!D241="",0,未审附注之非流动资产!D241)</f>
        <v>0</v>
      </c>
      <c r="E241" s="2369">
        <f>ROUND(B241+C241-D241,2)</f>
        <v>0</v>
      </c>
      <c r="F241" s="2444"/>
      <c r="G241" s="2444"/>
      <c r="H241" s="2444"/>
      <c r="I241" s="2444"/>
      <c r="J241" s="2453" t="s">
        <v>755</v>
      </c>
    </row>
    <row r="242" spans="1:10">
      <c r="A242" s="2455" t="s">
        <v>756</v>
      </c>
      <c r="B242" s="2403">
        <f>IF(未审附注之非流动资产!B242="",0,未审附注之非流动资产!B242)</f>
        <v>0</v>
      </c>
      <c r="C242" s="2403">
        <f>IF(未审附注之非流动资产!C242="",0,未审附注之非流动资产!C242)</f>
        <v>0</v>
      </c>
      <c r="D242" s="2403">
        <f>IF(未审附注之非流动资产!D242="",0,未审附注之非流动资产!D242)</f>
        <v>0</v>
      </c>
      <c r="E242" s="2369">
        <f>ROUND(B242+C242-D242,2)</f>
        <v>0</v>
      </c>
      <c r="F242" s="2444"/>
      <c r="G242" s="2444"/>
      <c r="H242" s="2444"/>
      <c r="I242" s="2444"/>
      <c r="J242" s="2453" t="s">
        <v>757</v>
      </c>
    </row>
    <row r="243" spans="1:10">
      <c r="A243" s="2455" t="s">
        <v>758</v>
      </c>
      <c r="B243" s="2403">
        <f>IF(未审附注之非流动资产!B243="",0,未审附注之非流动资产!B243)</f>
        <v>0</v>
      </c>
      <c r="C243" s="2403">
        <f>IF(未审附注之非流动资产!C243="",0,未审附注之非流动资产!C243)</f>
        <v>0</v>
      </c>
      <c r="D243" s="2403">
        <f>IF(未审附注之非流动资产!D243="",0,未审附注之非流动资产!D243)</f>
        <v>0</v>
      </c>
      <c r="E243" s="2369">
        <f>ROUND(B243+C243-D243,2)</f>
        <v>0</v>
      </c>
      <c r="F243" s="2444"/>
      <c r="G243" s="2444"/>
      <c r="H243" s="2444"/>
      <c r="I243" s="2444"/>
      <c r="J243" s="2453" t="s">
        <v>759</v>
      </c>
    </row>
    <row r="244" spans="1:9">
      <c r="A244" s="2455"/>
      <c r="B244" s="2455"/>
      <c r="C244" s="2455"/>
      <c r="D244" s="2455"/>
      <c r="E244" s="2455"/>
      <c r="F244" s="2444"/>
      <c r="G244" s="2444"/>
      <c r="H244" s="2444"/>
      <c r="I244" s="2444"/>
    </row>
    <row r="245" spans="1:10">
      <c r="A245" s="2447" t="s">
        <v>760</v>
      </c>
      <c r="B245" s="2369">
        <f>ROUND(SUM(B246:B249),2)</f>
        <v>0</v>
      </c>
      <c r="C245" s="2369">
        <f>ROUND(SUM(C246:C249),2)</f>
        <v>0</v>
      </c>
      <c r="D245" s="2369">
        <f>ROUND(SUM(D246:D249),2)</f>
        <v>0</v>
      </c>
      <c r="E245" s="2369">
        <f>ROUND(SUM(E246:E249),2)</f>
        <v>0</v>
      </c>
      <c r="F245" s="2444"/>
      <c r="G245" s="2444"/>
      <c r="H245" s="2444"/>
      <c r="I245" s="2444"/>
      <c r="J245" s="2453" t="s">
        <v>761</v>
      </c>
    </row>
    <row r="246" spans="1:10">
      <c r="A246" s="2455" t="s">
        <v>717</v>
      </c>
      <c r="B246" s="2403">
        <f>IF(未审附注之非流动资产!B246="",0,未审附注之非流动资产!B246)</f>
        <v>0</v>
      </c>
      <c r="C246" s="2403">
        <f>IF(未审附注之非流动资产!C246="",0,未审附注之非流动资产!C246)</f>
        <v>0</v>
      </c>
      <c r="D246" s="2403">
        <f>IF(未审附注之非流动资产!D246="",0,未审附注之非流动资产!D246)</f>
        <v>0</v>
      </c>
      <c r="E246" s="2369">
        <f>ROUND(B246+C246-D246,2)</f>
        <v>0</v>
      </c>
      <c r="F246" s="2444"/>
      <c r="G246" s="2444"/>
      <c r="H246" s="2444"/>
      <c r="I246" s="2444"/>
      <c r="J246" s="2453" t="s">
        <v>762</v>
      </c>
    </row>
    <row r="247" spans="1:10">
      <c r="A247" s="2455" t="s">
        <v>754</v>
      </c>
      <c r="B247" s="2403">
        <f>IF(未审附注之非流动资产!B247="",0,未审附注之非流动资产!B247)</f>
        <v>0</v>
      </c>
      <c r="C247" s="2403">
        <f>IF(未审附注之非流动资产!C247="",0,未审附注之非流动资产!C247)</f>
        <v>0</v>
      </c>
      <c r="D247" s="2403">
        <f>IF(未审附注之非流动资产!D247="",0,未审附注之非流动资产!D247)</f>
        <v>0</v>
      </c>
      <c r="E247" s="2369">
        <f>ROUND(B247+C247-D247,2)</f>
        <v>0</v>
      </c>
      <c r="F247" s="2444"/>
      <c r="G247" s="2444"/>
      <c r="H247" s="2444"/>
      <c r="I247" s="2444"/>
      <c r="J247" s="2453" t="s">
        <v>763</v>
      </c>
    </row>
    <row r="248" spans="1:10">
      <c r="A248" s="2455" t="s">
        <v>756</v>
      </c>
      <c r="B248" s="2403">
        <f>IF(未审附注之非流动资产!B248="",0,未审附注之非流动资产!B248)</f>
        <v>0</v>
      </c>
      <c r="C248" s="2403">
        <f>IF(未审附注之非流动资产!C248="",0,未审附注之非流动资产!C248)</f>
        <v>0</v>
      </c>
      <c r="D248" s="2403">
        <f>IF(未审附注之非流动资产!D248="",0,未审附注之非流动资产!D248)</f>
        <v>0</v>
      </c>
      <c r="E248" s="2369">
        <f>ROUND(B248+C248-D248,2)</f>
        <v>0</v>
      </c>
      <c r="F248" s="2444"/>
      <c r="G248" s="2444"/>
      <c r="H248" s="2444"/>
      <c r="I248" s="2444"/>
      <c r="J248" s="2453" t="s">
        <v>764</v>
      </c>
    </row>
    <row r="249" spans="1:10">
      <c r="A249" s="2455" t="s">
        <v>758</v>
      </c>
      <c r="B249" s="2403">
        <f>IF(未审附注之非流动资产!B249="",0,未审附注之非流动资产!B249)</f>
        <v>0</v>
      </c>
      <c r="C249" s="2403">
        <f>IF(未审附注之非流动资产!C249="",0,未审附注之非流动资产!C249)</f>
        <v>0</v>
      </c>
      <c r="D249" s="2403">
        <f>IF(未审附注之非流动资产!D249="",0,未审附注之非流动资产!D249)</f>
        <v>0</v>
      </c>
      <c r="E249" s="2369">
        <f>ROUND(B249+C249-D249,2)</f>
        <v>0</v>
      </c>
      <c r="F249" s="2444"/>
      <c r="G249" s="2444"/>
      <c r="H249" s="2444"/>
      <c r="I249" s="2444"/>
      <c r="J249" s="2453" t="s">
        <v>765</v>
      </c>
    </row>
    <row r="250" spans="1:9">
      <c r="A250" s="2455"/>
      <c r="B250" s="2401"/>
      <c r="C250" s="2401"/>
      <c r="D250" s="2401"/>
      <c r="E250" s="2401"/>
      <c r="F250" s="2444"/>
      <c r="G250" s="2444"/>
      <c r="H250" s="2444"/>
      <c r="I250" s="2444"/>
    </row>
    <row r="251" spans="1:10">
      <c r="A251" s="2447" t="s">
        <v>766</v>
      </c>
      <c r="B251" s="2369">
        <f>ROUND(SUM(B252:B255),2)</f>
        <v>0</v>
      </c>
      <c r="C251" s="2369">
        <f>ROUND(SUM(C252:C255),2)</f>
        <v>0</v>
      </c>
      <c r="D251" s="2369">
        <f>ROUND(SUM(D252:D255),2)</f>
        <v>0</v>
      </c>
      <c r="E251" s="2369">
        <f>ROUND(SUM(E252:E255),2)</f>
        <v>0</v>
      </c>
      <c r="F251" s="2444"/>
      <c r="G251" s="2444"/>
      <c r="H251" s="2444"/>
      <c r="I251" s="2444"/>
      <c r="J251" s="2453" t="s">
        <v>767</v>
      </c>
    </row>
    <row r="252" spans="1:10">
      <c r="A252" s="2455" t="s">
        <v>717</v>
      </c>
      <c r="B252" s="2403">
        <f>IF(未审附注之非流动资产!B252="",0,未审附注之非流动资产!B252)</f>
        <v>0</v>
      </c>
      <c r="C252" s="2403">
        <f>IF(未审附注之非流动资产!C252="",0,未审附注之非流动资产!C252)</f>
        <v>0</v>
      </c>
      <c r="D252" s="2403">
        <f>IF(未审附注之非流动资产!D252="",0,未审附注之非流动资产!D252)</f>
        <v>0</v>
      </c>
      <c r="E252" s="2369">
        <f>ROUND(B252+C252-D252,2)</f>
        <v>0</v>
      </c>
      <c r="F252" s="2444"/>
      <c r="G252" s="2444"/>
      <c r="H252" s="2444"/>
      <c r="I252" s="2444"/>
      <c r="J252" s="2453" t="s">
        <v>768</v>
      </c>
    </row>
    <row r="253" spans="1:10">
      <c r="A253" s="2455" t="s">
        <v>754</v>
      </c>
      <c r="B253" s="2403">
        <f>IF(未审附注之非流动资产!B253="",0,未审附注之非流动资产!B253)</f>
        <v>0</v>
      </c>
      <c r="C253" s="2403">
        <f>IF(未审附注之非流动资产!C253="",0,未审附注之非流动资产!C253)</f>
        <v>0</v>
      </c>
      <c r="D253" s="2403">
        <f>IF(未审附注之非流动资产!D253="",0,未审附注之非流动资产!D253)</f>
        <v>0</v>
      </c>
      <c r="E253" s="2369">
        <f>ROUND(B253+C253-D253,2)</f>
        <v>0</v>
      </c>
      <c r="F253" s="2444"/>
      <c r="G253" s="2444"/>
      <c r="H253" s="2444"/>
      <c r="I253" s="2444"/>
      <c r="J253" s="2453" t="s">
        <v>769</v>
      </c>
    </row>
    <row r="254" spans="1:10">
      <c r="A254" s="2455" t="s">
        <v>756</v>
      </c>
      <c r="B254" s="2403">
        <f>IF(未审附注之非流动资产!B254="",0,未审附注之非流动资产!B254)</f>
        <v>0</v>
      </c>
      <c r="C254" s="2403">
        <f>IF(未审附注之非流动资产!C254="",0,未审附注之非流动资产!C254)</f>
        <v>0</v>
      </c>
      <c r="D254" s="2403">
        <f>IF(未审附注之非流动资产!D254="",0,未审附注之非流动资产!D254)</f>
        <v>0</v>
      </c>
      <c r="E254" s="2369">
        <f>ROUND(B254+C254-D254,2)</f>
        <v>0</v>
      </c>
      <c r="F254" s="2444"/>
      <c r="G254" s="2444"/>
      <c r="H254" s="2444"/>
      <c r="I254" s="2444"/>
      <c r="J254" s="2453" t="s">
        <v>770</v>
      </c>
    </row>
    <row r="255" spans="1:10">
      <c r="A255" s="2455" t="s">
        <v>758</v>
      </c>
      <c r="B255" s="2403">
        <f>IF(未审附注之非流动资产!B255="",0,未审附注之非流动资产!B255)</f>
        <v>0</v>
      </c>
      <c r="C255" s="2403">
        <f>IF(未审附注之非流动资产!C255="",0,未审附注之非流动资产!C255)</f>
        <v>0</v>
      </c>
      <c r="D255" s="2403">
        <f>IF(未审附注之非流动资产!D255="",0,未审附注之非流动资产!D255)</f>
        <v>0</v>
      </c>
      <c r="E255" s="2369">
        <f>ROUND(B255+C255-D255,2)</f>
        <v>0</v>
      </c>
      <c r="F255" s="2444"/>
      <c r="G255" s="2444"/>
      <c r="H255" s="2444"/>
      <c r="I255" s="2444"/>
      <c r="J255" s="2453" t="s">
        <v>771</v>
      </c>
    </row>
    <row r="256" spans="1:9">
      <c r="A256" s="2455"/>
      <c r="B256" s="2401"/>
      <c r="C256" s="2401"/>
      <c r="D256" s="2401"/>
      <c r="E256" s="2401"/>
      <c r="F256" s="2444"/>
      <c r="G256" s="2444"/>
      <c r="H256" s="2444"/>
      <c r="I256" s="2444"/>
    </row>
    <row r="257" spans="1:9">
      <c r="A257" s="2447" t="s">
        <v>772</v>
      </c>
      <c r="B257" s="2369">
        <f>ROUND(SUM(B258:B261),2)</f>
        <v>0</v>
      </c>
      <c r="C257" s="2369">
        <f>ROUND(SUM(C258:C261),2)</f>
        <v>0</v>
      </c>
      <c r="D257" s="2369">
        <f>ROUND(SUM(D258:D261),2)</f>
        <v>0</v>
      </c>
      <c r="E257" s="2369">
        <f>ROUND(SUM(E258:E261),2)</f>
        <v>0</v>
      </c>
      <c r="F257" s="2444"/>
      <c r="G257" s="2444"/>
      <c r="H257" s="2444"/>
      <c r="I257" s="2444"/>
    </row>
    <row r="258" spans="1:9">
      <c r="A258" s="2455" t="s">
        <v>717</v>
      </c>
      <c r="B258" s="2457">
        <f>ROUND(B240-B246-B252,2)</f>
        <v>0</v>
      </c>
      <c r="C258" s="2457">
        <f>ROUND(C240-C246-C252,2)</f>
        <v>0</v>
      </c>
      <c r="D258" s="2457">
        <f>ROUND(D240-D246-D252,2)</f>
        <v>0</v>
      </c>
      <c r="E258" s="2369">
        <f>ROUND(B258+C258-D258,2)</f>
        <v>0</v>
      </c>
      <c r="F258" s="2444"/>
      <c r="G258" s="2444"/>
      <c r="H258" s="2444"/>
      <c r="I258" s="2444"/>
    </row>
    <row r="259" spans="1:9">
      <c r="A259" s="2455" t="s">
        <v>754</v>
      </c>
      <c r="B259" s="2457">
        <f t="shared" ref="B259:D261" si="10">ROUND(B241-B247-B253,2)</f>
        <v>0</v>
      </c>
      <c r="C259" s="2457">
        <f t="shared" si="10"/>
        <v>0</v>
      </c>
      <c r="D259" s="2457">
        <f t="shared" si="10"/>
        <v>0</v>
      </c>
      <c r="E259" s="2369">
        <f>ROUND(B259+C259-D259,2)</f>
        <v>0</v>
      </c>
      <c r="F259" s="2444"/>
      <c r="G259" s="2444"/>
      <c r="H259" s="2444"/>
      <c r="I259" s="2444"/>
    </row>
    <row r="260" spans="1:9">
      <c r="A260" s="2455" t="s">
        <v>756</v>
      </c>
      <c r="B260" s="2457">
        <f t="shared" si="10"/>
        <v>0</v>
      </c>
      <c r="C260" s="2457">
        <f t="shared" si="10"/>
        <v>0</v>
      </c>
      <c r="D260" s="2457">
        <f t="shared" si="10"/>
        <v>0</v>
      </c>
      <c r="E260" s="2369">
        <f>ROUND(B260+C260-D260,2)</f>
        <v>0</v>
      </c>
      <c r="F260" s="2444"/>
      <c r="G260" s="2444"/>
      <c r="H260" s="2444"/>
      <c r="I260" s="2444"/>
    </row>
    <row r="261" spans="1:9">
      <c r="A261" s="2455" t="s">
        <v>758</v>
      </c>
      <c r="B261" s="2457">
        <f t="shared" si="10"/>
        <v>0</v>
      </c>
      <c r="C261" s="2457">
        <f t="shared" si="10"/>
        <v>0</v>
      </c>
      <c r="D261" s="2457">
        <f t="shared" si="10"/>
        <v>0</v>
      </c>
      <c r="E261" s="2369">
        <f>ROUND(B261+C261-D261,2)</f>
        <v>0</v>
      </c>
      <c r="F261" s="2444"/>
      <c r="G261" s="2444"/>
      <c r="H261" s="2444"/>
      <c r="I261" s="2444"/>
    </row>
    <row r="262" spans="1:9">
      <c r="A262" s="2450"/>
      <c r="B262" s="2412"/>
      <c r="C262" s="2412"/>
      <c r="D262" s="2412"/>
      <c r="E262" s="2412"/>
      <c r="F262" s="2444"/>
      <c r="G262" s="2444"/>
      <c r="H262" s="2444"/>
      <c r="I262" s="2444"/>
    </row>
    <row r="263" spans="1:9">
      <c r="A263" s="2451" t="s">
        <v>773</v>
      </c>
      <c r="B263" s="2444"/>
      <c r="C263" s="2444"/>
      <c r="D263" s="2444"/>
      <c r="E263" s="2444"/>
      <c r="F263" s="2444"/>
      <c r="G263" s="2444"/>
      <c r="H263" s="2444"/>
      <c r="I263" s="2444"/>
    </row>
    <row r="264" spans="1:9">
      <c r="A264" s="2400" t="s">
        <v>373</v>
      </c>
      <c r="B264" s="2400" t="s">
        <v>774</v>
      </c>
      <c r="C264" s="2400" t="s">
        <v>775</v>
      </c>
      <c r="D264" s="2400" t="s">
        <v>776</v>
      </c>
      <c r="E264" s="2400" t="s">
        <v>777</v>
      </c>
      <c r="F264" s="2444"/>
      <c r="G264" s="2444"/>
      <c r="H264" s="2444"/>
      <c r="I264" s="2444"/>
    </row>
    <row r="265" spans="1:10">
      <c r="A265" s="2447" t="s">
        <v>778</v>
      </c>
      <c r="B265" s="2369">
        <f>ROUND(SUM(B266:B269),2)</f>
        <v>0</v>
      </c>
      <c r="C265" s="2369">
        <f>ROUND(SUM(C266:C269),2)</f>
        <v>0</v>
      </c>
      <c r="D265" s="2369">
        <f>ROUND(SUM(D266:D269),2)</f>
        <v>0</v>
      </c>
      <c r="E265" s="2369">
        <f>ROUND(SUM(E266:E269),2)</f>
        <v>0</v>
      </c>
      <c r="F265" s="2444"/>
      <c r="G265" s="2444"/>
      <c r="H265" s="2444"/>
      <c r="I265" s="2444"/>
      <c r="J265" s="2453" t="s">
        <v>779</v>
      </c>
    </row>
    <row r="266" spans="1:10">
      <c r="A266" s="2455" t="s">
        <v>717</v>
      </c>
      <c r="B266" s="2403">
        <f>IF(未审附注之非流动资产!B266="",0,未审附注之非流动资产!B266)</f>
        <v>0</v>
      </c>
      <c r="C266" s="2403">
        <f>IF(未审附注之非流动资产!C266="",0,未审附注之非流动资产!C266)</f>
        <v>0</v>
      </c>
      <c r="D266" s="2403">
        <f>IF(未审附注之非流动资产!D266="",0,未审附注之非流动资产!D266)</f>
        <v>0</v>
      </c>
      <c r="E266" s="2369">
        <f>ROUND(B266-C266-D266,2)</f>
        <v>0</v>
      </c>
      <c r="F266" s="2444"/>
      <c r="G266" s="2444"/>
      <c r="H266" s="2444"/>
      <c r="I266" s="2444"/>
      <c r="J266" s="2453" t="s">
        <v>780</v>
      </c>
    </row>
    <row r="267" spans="1:10">
      <c r="A267" s="2455" t="s">
        <v>754</v>
      </c>
      <c r="B267" s="2403">
        <f>IF(未审附注之非流动资产!B267="",0,未审附注之非流动资产!B267)</f>
        <v>0</v>
      </c>
      <c r="C267" s="2403">
        <f>IF(未审附注之非流动资产!C267="",0,未审附注之非流动资产!C267)</f>
        <v>0</v>
      </c>
      <c r="D267" s="2403">
        <f>IF(未审附注之非流动资产!D267="",0,未审附注之非流动资产!D267)</f>
        <v>0</v>
      </c>
      <c r="E267" s="2369">
        <f>ROUND(B267-C267-D267,2)</f>
        <v>0</v>
      </c>
      <c r="F267" s="2444"/>
      <c r="G267" s="2444"/>
      <c r="H267" s="2444"/>
      <c r="I267" s="2444"/>
      <c r="J267" s="2453" t="s">
        <v>781</v>
      </c>
    </row>
    <row r="268" spans="1:10">
      <c r="A268" s="2455" t="s">
        <v>756</v>
      </c>
      <c r="B268" s="2403">
        <f>IF(未审附注之非流动资产!B268="",0,未审附注之非流动资产!B268)</f>
        <v>0</v>
      </c>
      <c r="C268" s="2403">
        <f>IF(未审附注之非流动资产!C268="",0,未审附注之非流动资产!C268)</f>
        <v>0</v>
      </c>
      <c r="D268" s="2403">
        <f>IF(未审附注之非流动资产!D268="",0,未审附注之非流动资产!D268)</f>
        <v>0</v>
      </c>
      <c r="E268" s="2369">
        <f>ROUND(B268-C268-D268,2)</f>
        <v>0</v>
      </c>
      <c r="F268" s="2444"/>
      <c r="G268" s="2444"/>
      <c r="H268" s="2444"/>
      <c r="I268" s="2444"/>
      <c r="J268" s="2453" t="s">
        <v>782</v>
      </c>
    </row>
    <row r="269" spans="1:10">
      <c r="A269" s="2455" t="s">
        <v>758</v>
      </c>
      <c r="B269" s="2403">
        <f>IF(未审附注之非流动资产!B269="",0,未审附注之非流动资产!B269)</f>
        <v>0</v>
      </c>
      <c r="C269" s="2403">
        <f>IF(未审附注之非流动资产!C269="",0,未审附注之非流动资产!C269)</f>
        <v>0</v>
      </c>
      <c r="D269" s="2403">
        <f>IF(未审附注之非流动资产!D269="",0,未审附注之非流动资产!D269)</f>
        <v>0</v>
      </c>
      <c r="E269" s="2369">
        <f>ROUND(B269-C269-D269,2)</f>
        <v>0</v>
      </c>
      <c r="F269" s="2444"/>
      <c r="G269" s="2444"/>
      <c r="H269" s="2444"/>
      <c r="I269" s="2444"/>
      <c r="J269" s="2453" t="s">
        <v>783</v>
      </c>
    </row>
    <row r="270" spans="1:9">
      <c r="A270" s="2455"/>
      <c r="B270" s="2455"/>
      <c r="C270" s="2455"/>
      <c r="D270" s="2455"/>
      <c r="E270" s="2455"/>
      <c r="F270" s="2444"/>
      <c r="G270" s="2444"/>
      <c r="H270" s="2444"/>
      <c r="I270" s="2444"/>
    </row>
    <row r="271" spans="1:10">
      <c r="A271" s="2447" t="s">
        <v>784</v>
      </c>
      <c r="B271" s="2369">
        <f>ROUND(SUM(B272:B275),2)</f>
        <v>0</v>
      </c>
      <c r="C271" s="2369">
        <f>ROUND(SUM(C272:C275),2)</f>
        <v>0</v>
      </c>
      <c r="D271" s="2369">
        <f>ROUND(SUM(D272:D275),2)</f>
        <v>0</v>
      </c>
      <c r="E271" s="2369">
        <f>ROUND(SUM(E272:E275),2)</f>
        <v>0</v>
      </c>
      <c r="F271" s="2444"/>
      <c r="G271" s="2444"/>
      <c r="H271" s="2444"/>
      <c r="I271" s="2444"/>
      <c r="J271" s="2453" t="s">
        <v>785</v>
      </c>
    </row>
    <row r="272" spans="1:10">
      <c r="A272" s="2455" t="s">
        <v>717</v>
      </c>
      <c r="B272" s="2403">
        <f>IF(未审附注之非流动资产!B272="",0,未审附注之非流动资产!B272)</f>
        <v>0</v>
      </c>
      <c r="C272" s="2403">
        <f>IF(未审附注之非流动资产!C272="",0,未审附注之非流动资产!C272)</f>
        <v>0</v>
      </c>
      <c r="D272" s="2403">
        <f>IF(未审附注之非流动资产!D272="",0,未审附注之非流动资产!D272)</f>
        <v>0</v>
      </c>
      <c r="E272" s="2369">
        <f>ROUND(B272-C272-D272,2)</f>
        <v>0</v>
      </c>
      <c r="F272" s="2444"/>
      <c r="G272" s="2444"/>
      <c r="H272" s="2444"/>
      <c r="I272" s="2444"/>
      <c r="J272" s="2453" t="s">
        <v>786</v>
      </c>
    </row>
    <row r="273" spans="1:10">
      <c r="A273" s="2455" t="s">
        <v>754</v>
      </c>
      <c r="B273" s="2403">
        <f>IF(未审附注之非流动资产!B273="",0,未审附注之非流动资产!B273)</f>
        <v>0</v>
      </c>
      <c r="C273" s="2403">
        <f>IF(未审附注之非流动资产!C273="",0,未审附注之非流动资产!C273)</f>
        <v>0</v>
      </c>
      <c r="D273" s="2403">
        <f>IF(未审附注之非流动资产!D273="",0,未审附注之非流动资产!D273)</f>
        <v>0</v>
      </c>
      <c r="E273" s="2369">
        <f>ROUND(B273-C273-D273,2)</f>
        <v>0</v>
      </c>
      <c r="F273" s="2444"/>
      <c r="G273" s="2444"/>
      <c r="H273" s="2444"/>
      <c r="I273" s="2444"/>
      <c r="J273" s="2453" t="s">
        <v>787</v>
      </c>
    </row>
    <row r="274" spans="1:10">
      <c r="A274" s="2455" t="s">
        <v>756</v>
      </c>
      <c r="B274" s="2403">
        <f>IF(未审附注之非流动资产!B274="",0,未审附注之非流动资产!B274)</f>
        <v>0</v>
      </c>
      <c r="C274" s="2403">
        <f>IF(未审附注之非流动资产!C274="",0,未审附注之非流动资产!C274)</f>
        <v>0</v>
      </c>
      <c r="D274" s="2403">
        <f>IF(未审附注之非流动资产!D274="",0,未审附注之非流动资产!D274)</f>
        <v>0</v>
      </c>
      <c r="E274" s="2369">
        <f>ROUND(B274-C274-D274,2)</f>
        <v>0</v>
      </c>
      <c r="F274" s="2444"/>
      <c r="G274" s="2444"/>
      <c r="H274" s="2444"/>
      <c r="I274" s="2444"/>
      <c r="J274" s="2453" t="s">
        <v>788</v>
      </c>
    </row>
    <row r="275" spans="1:10">
      <c r="A275" s="2455" t="s">
        <v>758</v>
      </c>
      <c r="B275" s="2403">
        <f>IF(未审附注之非流动资产!B275="",0,未审附注之非流动资产!B275)</f>
        <v>0</v>
      </c>
      <c r="C275" s="2403">
        <f>IF(未审附注之非流动资产!C275="",0,未审附注之非流动资产!C275)</f>
        <v>0</v>
      </c>
      <c r="D275" s="2403">
        <f>IF(未审附注之非流动资产!D275="",0,未审附注之非流动资产!D275)</f>
        <v>0</v>
      </c>
      <c r="E275" s="2369">
        <f>ROUND(B275-C275-D275,2)</f>
        <v>0</v>
      </c>
      <c r="F275" s="2444"/>
      <c r="G275" s="2444"/>
      <c r="H275" s="2444"/>
      <c r="I275" s="2444"/>
      <c r="J275" s="2453" t="s">
        <v>789</v>
      </c>
    </row>
    <row r="276" spans="1:9">
      <c r="A276" s="2455"/>
      <c r="B276" s="2401"/>
      <c r="C276" s="2401"/>
      <c r="D276" s="2401"/>
      <c r="E276" s="2401"/>
      <c r="F276" s="2444"/>
      <c r="G276" s="2444"/>
      <c r="H276" s="2444"/>
      <c r="I276" s="2444"/>
    </row>
    <row r="277" spans="1:10">
      <c r="A277" s="2447" t="s">
        <v>790</v>
      </c>
      <c r="B277" s="2369">
        <f>ROUND(SUM(B278:B281),2)</f>
        <v>0</v>
      </c>
      <c r="C277" s="2369">
        <f>ROUND(SUM(C278:C281),2)</f>
        <v>0</v>
      </c>
      <c r="D277" s="2369">
        <f>ROUND(SUM(D278:D281),2)</f>
        <v>0</v>
      </c>
      <c r="E277" s="2369">
        <f>ROUND(SUM(E278:E281),2)</f>
        <v>0</v>
      </c>
      <c r="F277" s="2444"/>
      <c r="G277" s="2444"/>
      <c r="H277" s="2444"/>
      <c r="I277" s="2444"/>
      <c r="J277" s="2453" t="s">
        <v>791</v>
      </c>
    </row>
    <row r="278" spans="1:10">
      <c r="A278" s="2455" t="s">
        <v>717</v>
      </c>
      <c r="B278" s="2403">
        <f>IF(未审附注之非流动资产!B278="",0,未审附注之非流动资产!B278)</f>
        <v>0</v>
      </c>
      <c r="C278" s="2403">
        <f>IF(未审附注之非流动资产!C278="",0,未审附注之非流动资产!C278)</f>
        <v>0</v>
      </c>
      <c r="D278" s="2403">
        <f>IF(未审附注之非流动资产!D278="",0,未审附注之非流动资产!D278)</f>
        <v>0</v>
      </c>
      <c r="E278" s="2369">
        <f>ROUND(B278-C278-D278,2)</f>
        <v>0</v>
      </c>
      <c r="F278" s="2444"/>
      <c r="G278" s="2444"/>
      <c r="H278" s="2444"/>
      <c r="I278" s="2444"/>
      <c r="J278" s="2453" t="s">
        <v>792</v>
      </c>
    </row>
    <row r="279" spans="1:10">
      <c r="A279" s="2455" t="s">
        <v>754</v>
      </c>
      <c r="B279" s="2403">
        <f>IF(未审附注之非流动资产!B279="",0,未审附注之非流动资产!B279)</f>
        <v>0</v>
      </c>
      <c r="C279" s="2403">
        <f>IF(未审附注之非流动资产!C279="",0,未审附注之非流动资产!C279)</f>
        <v>0</v>
      </c>
      <c r="D279" s="2403">
        <f>IF(未审附注之非流动资产!D279="",0,未审附注之非流动资产!D279)</f>
        <v>0</v>
      </c>
      <c r="E279" s="2369">
        <f>ROUND(B279-C279-D279,2)</f>
        <v>0</v>
      </c>
      <c r="F279" s="2444"/>
      <c r="G279" s="2444"/>
      <c r="H279" s="2444"/>
      <c r="I279" s="2444"/>
      <c r="J279" s="2453" t="s">
        <v>793</v>
      </c>
    </row>
    <row r="280" spans="1:10">
      <c r="A280" s="2455" t="s">
        <v>756</v>
      </c>
      <c r="B280" s="2403">
        <f>IF(未审附注之非流动资产!B280="",0,未审附注之非流动资产!B280)</f>
        <v>0</v>
      </c>
      <c r="C280" s="2403">
        <f>IF(未审附注之非流动资产!C280="",0,未审附注之非流动资产!C280)</f>
        <v>0</v>
      </c>
      <c r="D280" s="2403">
        <f>IF(未审附注之非流动资产!D280="",0,未审附注之非流动资产!D280)</f>
        <v>0</v>
      </c>
      <c r="E280" s="2369">
        <f>ROUND(B280-C280-D280,2)</f>
        <v>0</v>
      </c>
      <c r="F280" s="2444"/>
      <c r="G280" s="2444"/>
      <c r="H280" s="2444"/>
      <c r="I280" s="2444"/>
      <c r="J280" s="2453" t="s">
        <v>794</v>
      </c>
    </row>
    <row r="281" spans="1:10">
      <c r="A281" s="2455" t="s">
        <v>758</v>
      </c>
      <c r="B281" s="2403">
        <f>IF(未审附注之非流动资产!B281="",0,未审附注之非流动资产!B281)</f>
        <v>0</v>
      </c>
      <c r="C281" s="2403">
        <f>IF(未审附注之非流动资产!C281="",0,未审附注之非流动资产!C281)</f>
        <v>0</v>
      </c>
      <c r="D281" s="2403">
        <f>IF(未审附注之非流动资产!D281="",0,未审附注之非流动资产!D281)</f>
        <v>0</v>
      </c>
      <c r="E281" s="2369">
        <f>ROUND(B281-C281-D281,2)</f>
        <v>0</v>
      </c>
      <c r="F281" s="2444"/>
      <c r="G281" s="2444"/>
      <c r="H281" s="2444"/>
      <c r="I281" s="2444"/>
      <c r="J281" s="2453" t="s">
        <v>795</v>
      </c>
    </row>
    <row r="282" spans="1:9">
      <c r="A282" s="2455"/>
      <c r="B282" s="2401"/>
      <c r="C282" s="2401"/>
      <c r="D282" s="2401"/>
      <c r="E282" s="2401"/>
      <c r="F282" s="2444"/>
      <c r="G282" s="2444"/>
      <c r="H282" s="2444"/>
      <c r="I282" s="2444"/>
    </row>
    <row r="283" spans="1:10">
      <c r="A283" s="2447" t="s">
        <v>796</v>
      </c>
      <c r="B283" s="2369">
        <f>ROUND(SUM(B284:B287),2)</f>
        <v>0</v>
      </c>
      <c r="C283" s="2369">
        <f>ROUND(SUM(C284:C287),2)</f>
        <v>0</v>
      </c>
      <c r="D283" s="2369">
        <f>ROUND(SUM(D284:D287),2)</f>
        <v>0</v>
      </c>
      <c r="E283" s="2369">
        <f>ROUND(SUM(E284:E287),2)</f>
        <v>0</v>
      </c>
      <c r="F283" s="2444"/>
      <c r="G283" s="2444"/>
      <c r="H283" s="2444"/>
      <c r="I283" s="2444"/>
      <c r="J283" s="2453" t="s">
        <v>797</v>
      </c>
    </row>
    <row r="284" spans="1:10">
      <c r="A284" s="2455" t="s">
        <v>717</v>
      </c>
      <c r="B284" s="2403">
        <f>IF(未审附注之非流动资产!B284="",0,未审附注之非流动资产!B284)</f>
        <v>0</v>
      </c>
      <c r="C284" s="2403">
        <f>IF(未审附注之非流动资产!C284="",0,未审附注之非流动资产!C284)</f>
        <v>0</v>
      </c>
      <c r="D284" s="2403">
        <f>IF(未审附注之非流动资产!D284="",0,未审附注之非流动资产!D284)</f>
        <v>0</v>
      </c>
      <c r="E284" s="2369">
        <f>ROUND(B284-C284-D284,2)</f>
        <v>0</v>
      </c>
      <c r="F284" s="2444"/>
      <c r="G284" s="2444"/>
      <c r="H284" s="2444"/>
      <c r="I284" s="2444"/>
      <c r="J284" s="2453" t="s">
        <v>798</v>
      </c>
    </row>
    <row r="285" spans="1:10">
      <c r="A285" s="2455" t="s">
        <v>754</v>
      </c>
      <c r="B285" s="2403">
        <f>IF(未审附注之非流动资产!B285="",0,未审附注之非流动资产!B285)</f>
        <v>0</v>
      </c>
      <c r="C285" s="2403">
        <f>IF(未审附注之非流动资产!C285="",0,未审附注之非流动资产!C285)</f>
        <v>0</v>
      </c>
      <c r="D285" s="2403">
        <f>IF(未审附注之非流动资产!D285="",0,未审附注之非流动资产!D285)</f>
        <v>0</v>
      </c>
      <c r="E285" s="2369">
        <f>ROUND(B285-C285-D285,2)</f>
        <v>0</v>
      </c>
      <c r="F285" s="2444"/>
      <c r="G285" s="2444"/>
      <c r="H285" s="2444"/>
      <c r="I285" s="2444"/>
      <c r="J285" s="2453" t="s">
        <v>799</v>
      </c>
    </row>
    <row r="286" spans="1:10">
      <c r="A286" s="2455" t="s">
        <v>756</v>
      </c>
      <c r="B286" s="2403">
        <f>IF(未审附注之非流动资产!B286="",0,未审附注之非流动资产!B286)</f>
        <v>0</v>
      </c>
      <c r="C286" s="2403">
        <f>IF(未审附注之非流动资产!C286="",0,未审附注之非流动资产!C286)</f>
        <v>0</v>
      </c>
      <c r="D286" s="2403">
        <f>IF(未审附注之非流动资产!D286="",0,未审附注之非流动资产!D286)</f>
        <v>0</v>
      </c>
      <c r="E286" s="2369">
        <f>ROUND(B286-C286-D286,2)</f>
        <v>0</v>
      </c>
      <c r="F286" s="2444"/>
      <c r="G286" s="2444"/>
      <c r="H286" s="2444"/>
      <c r="I286" s="2444"/>
      <c r="J286" s="2453" t="s">
        <v>800</v>
      </c>
    </row>
    <row r="287" spans="1:10">
      <c r="A287" s="2455" t="s">
        <v>758</v>
      </c>
      <c r="B287" s="2403">
        <f>IF(未审附注之非流动资产!B287="",0,未审附注之非流动资产!B287)</f>
        <v>0</v>
      </c>
      <c r="C287" s="2403">
        <f>IF(未审附注之非流动资产!C287="",0,未审附注之非流动资产!C287)</f>
        <v>0</v>
      </c>
      <c r="D287" s="2403">
        <f>IF(未审附注之非流动资产!D287="",0,未审附注之非流动资产!D287)</f>
        <v>0</v>
      </c>
      <c r="E287" s="2369">
        <f>ROUND(B287-C287-D287,2)</f>
        <v>0</v>
      </c>
      <c r="F287" s="2444"/>
      <c r="G287" s="2444"/>
      <c r="H287" s="2444"/>
      <c r="I287" s="2444"/>
      <c r="J287" s="2453" t="s">
        <v>801</v>
      </c>
    </row>
    <row r="288" spans="1:9">
      <c r="A288" s="2450"/>
      <c r="B288" s="2412"/>
      <c r="C288" s="2412"/>
      <c r="D288" s="2412"/>
      <c r="E288" s="2412"/>
      <c r="F288" s="2444"/>
      <c r="G288" s="2444"/>
      <c r="H288" s="2444"/>
      <c r="I288" s="2444"/>
    </row>
    <row r="289" spans="1:9">
      <c r="A289" s="2445" t="s">
        <v>802</v>
      </c>
      <c r="B289" s="2444"/>
      <c r="C289" s="2444"/>
      <c r="D289" s="2444"/>
      <c r="E289" s="2444"/>
      <c r="F289" s="2444"/>
      <c r="G289" s="2444"/>
      <c r="H289" s="2444"/>
      <c r="I289" s="2444"/>
    </row>
    <row r="290" spans="1:9">
      <c r="A290" s="2400" t="s">
        <v>803</v>
      </c>
      <c r="B290" s="2400" t="s">
        <v>774</v>
      </c>
      <c r="C290" s="2400" t="s">
        <v>775</v>
      </c>
      <c r="D290" s="2400" t="s">
        <v>777</v>
      </c>
      <c r="E290" s="2400" t="s">
        <v>804</v>
      </c>
      <c r="F290" s="2400" t="s">
        <v>805</v>
      </c>
      <c r="G290" s="2444"/>
      <c r="H290" s="2444"/>
      <c r="I290" s="2444"/>
    </row>
    <row r="291" spans="1:10">
      <c r="A291" s="2410">
        <f>IF(未审附注之非流动资产!A291="",0,未审附注之非流动资产!A291)</f>
        <v>0</v>
      </c>
      <c r="B291" s="2403">
        <f>IF(未审附注之非流动资产!B291="",0,未审附注之非流动资产!B291)</f>
        <v>0</v>
      </c>
      <c r="C291" s="2403">
        <f>IF(未审附注之非流动资产!C291="",0,未审附注之非流动资产!C291)</f>
        <v>0</v>
      </c>
      <c r="D291" s="2369">
        <f>ROUND(B291-C291,2)</f>
        <v>0</v>
      </c>
      <c r="E291" s="2410">
        <f>IF(未审附注之非流动资产!E291="",0,未审附注之非流动资产!E291)</f>
        <v>0</v>
      </c>
      <c r="F291" s="2403">
        <f>IF(未审附注之非流动资产!F291="",0,未审附注之非流动资产!F291)</f>
        <v>0</v>
      </c>
      <c r="G291" s="2444"/>
      <c r="H291" s="2444"/>
      <c r="I291" s="2444"/>
      <c r="J291" s="2453" t="s">
        <v>806</v>
      </c>
    </row>
    <row r="292" spans="1:10">
      <c r="A292" s="2410">
        <f>IF(未审附注之非流动资产!A292="",0,未审附注之非流动资产!A292)</f>
        <v>0</v>
      </c>
      <c r="B292" s="2403">
        <f>IF(未审附注之非流动资产!B292="",0,未审附注之非流动资产!B292)</f>
        <v>0</v>
      </c>
      <c r="C292" s="2403">
        <f>IF(未审附注之非流动资产!C292="",0,未审附注之非流动资产!C292)</f>
        <v>0</v>
      </c>
      <c r="D292" s="2369">
        <f t="shared" ref="D292:D300" si="11">ROUND(B292-C292,2)</f>
        <v>0</v>
      </c>
      <c r="E292" s="2410">
        <f>IF(未审附注之非流动资产!E292="",0,未审附注之非流动资产!E292)</f>
        <v>0</v>
      </c>
      <c r="F292" s="2403">
        <f>IF(未审附注之非流动资产!F292="",0,未审附注之非流动资产!F292)</f>
        <v>0</v>
      </c>
      <c r="G292" s="2444"/>
      <c r="H292" s="2444"/>
      <c r="I292" s="2444"/>
      <c r="J292" s="2453" t="s">
        <v>806</v>
      </c>
    </row>
    <row r="293" spans="1:10">
      <c r="A293" s="2410">
        <f>IF(未审附注之非流动资产!A293="",0,未审附注之非流动资产!A293)</f>
        <v>0</v>
      </c>
      <c r="B293" s="2403">
        <f>IF(未审附注之非流动资产!B293="",0,未审附注之非流动资产!B293)</f>
        <v>0</v>
      </c>
      <c r="C293" s="2403">
        <f>IF(未审附注之非流动资产!C293="",0,未审附注之非流动资产!C293)</f>
        <v>0</v>
      </c>
      <c r="D293" s="2369">
        <f t="shared" si="11"/>
        <v>0</v>
      </c>
      <c r="E293" s="2410">
        <f>IF(未审附注之非流动资产!E293="",0,未审附注之非流动资产!E293)</f>
        <v>0</v>
      </c>
      <c r="F293" s="2403">
        <f>IF(未审附注之非流动资产!F293="",0,未审附注之非流动资产!F293)</f>
        <v>0</v>
      </c>
      <c r="G293" s="2444"/>
      <c r="H293" s="2444"/>
      <c r="I293" s="2444"/>
      <c r="J293" s="2453" t="s">
        <v>806</v>
      </c>
    </row>
    <row r="294" spans="1:10">
      <c r="A294" s="2410">
        <f>IF(未审附注之非流动资产!A294="",0,未审附注之非流动资产!A294)</f>
        <v>0</v>
      </c>
      <c r="B294" s="2403">
        <f>IF(未审附注之非流动资产!B294="",0,未审附注之非流动资产!B294)</f>
        <v>0</v>
      </c>
      <c r="C294" s="2403">
        <f>IF(未审附注之非流动资产!C294="",0,未审附注之非流动资产!C294)</f>
        <v>0</v>
      </c>
      <c r="D294" s="2369">
        <f t="shared" si="11"/>
        <v>0</v>
      </c>
      <c r="E294" s="2410">
        <f>IF(未审附注之非流动资产!E294="",0,未审附注之非流动资产!E294)</f>
        <v>0</v>
      </c>
      <c r="F294" s="2403">
        <f>IF(未审附注之非流动资产!F294="",0,未审附注之非流动资产!F294)</f>
        <v>0</v>
      </c>
      <c r="G294" s="2444"/>
      <c r="H294" s="2444"/>
      <c r="I294" s="2444"/>
      <c r="J294" s="2453" t="s">
        <v>806</v>
      </c>
    </row>
    <row r="295" spans="1:10">
      <c r="A295" s="2410">
        <f>IF(未审附注之非流动资产!A295="",0,未审附注之非流动资产!A295)</f>
        <v>0</v>
      </c>
      <c r="B295" s="2403">
        <f>IF(未审附注之非流动资产!B295="",0,未审附注之非流动资产!B295)</f>
        <v>0</v>
      </c>
      <c r="C295" s="2403">
        <f>IF(未审附注之非流动资产!C295="",0,未审附注之非流动资产!C295)</f>
        <v>0</v>
      </c>
      <c r="D295" s="2369">
        <f t="shared" si="11"/>
        <v>0</v>
      </c>
      <c r="E295" s="2410">
        <f>IF(未审附注之非流动资产!E295="",0,未审附注之非流动资产!E295)</f>
        <v>0</v>
      </c>
      <c r="F295" s="2403">
        <f>IF(未审附注之非流动资产!F295="",0,未审附注之非流动资产!F295)</f>
        <v>0</v>
      </c>
      <c r="G295" s="2444"/>
      <c r="H295" s="2444"/>
      <c r="I295" s="2444"/>
      <c r="J295" s="2453" t="s">
        <v>806</v>
      </c>
    </row>
    <row r="296" spans="1:10">
      <c r="A296" s="2410">
        <f>IF(未审附注之非流动资产!A296="",0,未审附注之非流动资产!A296)</f>
        <v>0</v>
      </c>
      <c r="B296" s="2403">
        <f>IF(未审附注之非流动资产!B296="",0,未审附注之非流动资产!B296)</f>
        <v>0</v>
      </c>
      <c r="C296" s="2403">
        <f>IF(未审附注之非流动资产!C296="",0,未审附注之非流动资产!C296)</f>
        <v>0</v>
      </c>
      <c r="D296" s="2369">
        <f t="shared" si="11"/>
        <v>0</v>
      </c>
      <c r="E296" s="2410">
        <f>IF(未审附注之非流动资产!E296="",0,未审附注之非流动资产!E296)</f>
        <v>0</v>
      </c>
      <c r="F296" s="2403">
        <f>IF(未审附注之非流动资产!F296="",0,未审附注之非流动资产!F296)</f>
        <v>0</v>
      </c>
      <c r="G296" s="2444"/>
      <c r="H296" s="2444"/>
      <c r="I296" s="2444"/>
      <c r="J296" s="2453" t="s">
        <v>806</v>
      </c>
    </row>
    <row r="297" spans="1:10">
      <c r="A297" s="2410">
        <f>IF(未审附注之非流动资产!A297="",0,未审附注之非流动资产!A297)</f>
        <v>0</v>
      </c>
      <c r="B297" s="2403">
        <f>IF(未审附注之非流动资产!B297="",0,未审附注之非流动资产!B297)</f>
        <v>0</v>
      </c>
      <c r="C297" s="2403">
        <f>IF(未审附注之非流动资产!C297="",0,未审附注之非流动资产!C297)</f>
        <v>0</v>
      </c>
      <c r="D297" s="2369">
        <f t="shared" si="11"/>
        <v>0</v>
      </c>
      <c r="E297" s="2410">
        <f>IF(未审附注之非流动资产!E297="",0,未审附注之非流动资产!E297)</f>
        <v>0</v>
      </c>
      <c r="F297" s="2403">
        <f>IF(未审附注之非流动资产!F297="",0,未审附注之非流动资产!F297)</f>
        <v>0</v>
      </c>
      <c r="G297" s="2444"/>
      <c r="H297" s="2444"/>
      <c r="I297" s="2444"/>
      <c r="J297" s="2453" t="s">
        <v>806</v>
      </c>
    </row>
    <row r="298" spans="1:10">
      <c r="A298" s="2410">
        <f>IF(未审附注之非流动资产!A298="",0,未审附注之非流动资产!A298)</f>
        <v>0</v>
      </c>
      <c r="B298" s="2403">
        <f>IF(未审附注之非流动资产!B298="",0,未审附注之非流动资产!B298)</f>
        <v>0</v>
      </c>
      <c r="C298" s="2403">
        <f>IF(未审附注之非流动资产!C298="",0,未审附注之非流动资产!C298)</f>
        <v>0</v>
      </c>
      <c r="D298" s="2369">
        <f t="shared" si="11"/>
        <v>0</v>
      </c>
      <c r="E298" s="2410">
        <f>IF(未审附注之非流动资产!E298="",0,未审附注之非流动资产!E298)</f>
        <v>0</v>
      </c>
      <c r="F298" s="2403">
        <f>IF(未审附注之非流动资产!F298="",0,未审附注之非流动资产!F298)</f>
        <v>0</v>
      </c>
      <c r="G298" s="2444"/>
      <c r="H298" s="2444"/>
      <c r="I298" s="2444"/>
      <c r="J298" s="2453" t="s">
        <v>806</v>
      </c>
    </row>
    <row r="299" spans="1:10">
      <c r="A299" s="2410">
        <f>IF(未审附注之非流动资产!A299="",0,未审附注之非流动资产!A299)</f>
        <v>0</v>
      </c>
      <c r="B299" s="2403">
        <f>IF(未审附注之非流动资产!B299="",0,未审附注之非流动资产!B299)</f>
        <v>0</v>
      </c>
      <c r="C299" s="2403">
        <f>IF(未审附注之非流动资产!C299="",0,未审附注之非流动资产!C299)</f>
        <v>0</v>
      </c>
      <c r="D299" s="2369">
        <f t="shared" si="11"/>
        <v>0</v>
      </c>
      <c r="E299" s="2410">
        <f>IF(未审附注之非流动资产!E299="",0,未审附注之非流动资产!E299)</f>
        <v>0</v>
      </c>
      <c r="F299" s="2403">
        <f>IF(未审附注之非流动资产!F299="",0,未审附注之非流动资产!F299)</f>
        <v>0</v>
      </c>
      <c r="G299" s="2444"/>
      <c r="H299" s="2444"/>
      <c r="I299" s="2444"/>
      <c r="J299" s="2453" t="s">
        <v>806</v>
      </c>
    </row>
    <row r="300" spans="1:10">
      <c r="A300" s="2410">
        <f>IF(未审附注之非流动资产!A300="",0,未审附注之非流动资产!A300)</f>
        <v>0</v>
      </c>
      <c r="B300" s="2403">
        <f>IF(未审附注之非流动资产!B300="",0,未审附注之非流动资产!B300)</f>
        <v>0</v>
      </c>
      <c r="C300" s="2403">
        <f>IF(未审附注之非流动资产!C300="",0,未审附注之非流动资产!C300)</f>
        <v>0</v>
      </c>
      <c r="D300" s="2369">
        <f t="shared" si="11"/>
        <v>0</v>
      </c>
      <c r="E300" s="2410">
        <f>IF(未审附注之非流动资产!E300="",0,未审附注之非流动资产!E300)</f>
        <v>0</v>
      </c>
      <c r="F300" s="2403">
        <f>IF(未审附注之非流动资产!F300="",0,未审附注之非流动资产!F300)</f>
        <v>0</v>
      </c>
      <c r="G300" s="2444"/>
      <c r="H300" s="2444"/>
      <c r="I300" s="2444"/>
      <c r="J300" s="2453" t="s">
        <v>806</v>
      </c>
    </row>
    <row r="301" spans="1:10">
      <c r="A301" s="2400" t="s">
        <v>385</v>
      </c>
      <c r="B301" s="2369">
        <f>ROUND(SUM(B291:B300),2)</f>
        <v>0</v>
      </c>
      <c r="C301" s="2369">
        <f>ROUND(SUM(C291:C300),2)</f>
        <v>0</v>
      </c>
      <c r="D301" s="2369">
        <f>ROUND(SUM(D291:D300),2)</f>
        <v>0</v>
      </c>
      <c r="E301" s="2369"/>
      <c r="F301" s="2369"/>
      <c r="G301" s="2444"/>
      <c r="H301" s="2444"/>
      <c r="I301" s="2444"/>
      <c r="J301" s="2453" t="s">
        <v>807</v>
      </c>
    </row>
    <row r="302" spans="1:9">
      <c r="A302" s="2450"/>
      <c r="B302" s="2412"/>
      <c r="C302" s="2412"/>
      <c r="D302" s="2412"/>
      <c r="E302" s="2412"/>
      <c r="F302" s="2444"/>
      <c r="G302" s="2444"/>
      <c r="H302" s="2444"/>
      <c r="I302" s="2444"/>
    </row>
    <row r="303" spans="1:10">
      <c r="A303" s="2445" t="s">
        <v>808</v>
      </c>
      <c r="B303" s="2444"/>
      <c r="C303" s="2444"/>
      <c r="D303" s="2444"/>
      <c r="E303" s="2444"/>
      <c r="F303" s="2444"/>
      <c r="G303" s="2444"/>
      <c r="H303" s="2444"/>
      <c r="I303" s="2444"/>
      <c r="J303" s="2459"/>
    </row>
    <row r="304" spans="1:11">
      <c r="A304" s="2400" t="s">
        <v>803</v>
      </c>
      <c r="B304" s="2400" t="s">
        <v>774</v>
      </c>
      <c r="C304" s="2400" t="s">
        <v>775</v>
      </c>
      <c r="D304" s="2400" t="s">
        <v>776</v>
      </c>
      <c r="E304" s="2400" t="s">
        <v>777</v>
      </c>
      <c r="F304" s="2400" t="s">
        <v>809</v>
      </c>
      <c r="G304" s="2400" t="s">
        <v>810</v>
      </c>
      <c r="H304" s="2444"/>
      <c r="I304" s="2444"/>
      <c r="K304" s="2396"/>
    </row>
    <row r="305" spans="1:11">
      <c r="A305" s="2410">
        <f>IF(未审附注之非流动资产!A305="",0,未审附注之非流动资产!A305)</f>
        <v>0</v>
      </c>
      <c r="B305" s="2403">
        <f>IF(未审附注之非流动资产!B305="",0,未审附注之非流动资产!B305)</f>
        <v>0</v>
      </c>
      <c r="C305" s="2403">
        <f>IF(未审附注之非流动资产!C305="",0,未审附注之非流动资产!C305)</f>
        <v>0</v>
      </c>
      <c r="D305" s="2403">
        <f>IF(未审附注之非流动资产!D305="",0,未审附注之非流动资产!D305)</f>
        <v>0</v>
      </c>
      <c r="E305" s="2369">
        <f t="shared" ref="E305:E314" si="12">ROUND(B305-C305-D305,2)</f>
        <v>0</v>
      </c>
      <c r="F305" s="2410">
        <f>IF(未审附注之非流动资产!F305="",0,未审附注之非流动资产!F305)</f>
        <v>0</v>
      </c>
      <c r="G305" s="2403">
        <f>IF(未审附注之非流动资产!G305="",0,未审附注之非流动资产!G305)</f>
        <v>0</v>
      </c>
      <c r="H305" s="2444"/>
      <c r="I305" s="2444"/>
      <c r="J305" s="2453" t="s">
        <v>811</v>
      </c>
      <c r="K305" s="2453"/>
    </row>
    <row r="306" spans="1:11">
      <c r="A306" s="2410">
        <f>IF(未审附注之非流动资产!A306="",0,未审附注之非流动资产!A306)</f>
        <v>0</v>
      </c>
      <c r="B306" s="2403">
        <f>IF(未审附注之非流动资产!B306="",0,未审附注之非流动资产!B306)</f>
        <v>0</v>
      </c>
      <c r="C306" s="2403">
        <f>IF(未审附注之非流动资产!C306="",0,未审附注之非流动资产!C306)</f>
        <v>0</v>
      </c>
      <c r="D306" s="2403">
        <f>IF(未审附注之非流动资产!D306="",0,未审附注之非流动资产!D306)</f>
        <v>0</v>
      </c>
      <c r="E306" s="2369">
        <f t="shared" si="12"/>
        <v>0</v>
      </c>
      <c r="F306" s="2410">
        <f>IF(未审附注之非流动资产!F306="",0,未审附注之非流动资产!F306)</f>
        <v>0</v>
      </c>
      <c r="G306" s="2403">
        <f>IF(未审附注之非流动资产!G306="",0,未审附注之非流动资产!G306)</f>
        <v>0</v>
      </c>
      <c r="H306" s="2444"/>
      <c r="I306" s="2444"/>
      <c r="J306" s="2453" t="s">
        <v>811</v>
      </c>
      <c r="K306" s="2453"/>
    </row>
    <row r="307" spans="1:11">
      <c r="A307" s="2410">
        <f>IF(未审附注之非流动资产!A307="",0,未审附注之非流动资产!A307)</f>
        <v>0</v>
      </c>
      <c r="B307" s="2403">
        <f>IF(未审附注之非流动资产!B307="",0,未审附注之非流动资产!B307)</f>
        <v>0</v>
      </c>
      <c r="C307" s="2403">
        <f>IF(未审附注之非流动资产!C307="",0,未审附注之非流动资产!C307)</f>
        <v>0</v>
      </c>
      <c r="D307" s="2403">
        <f>IF(未审附注之非流动资产!D307="",0,未审附注之非流动资产!D307)</f>
        <v>0</v>
      </c>
      <c r="E307" s="2369">
        <f t="shared" si="12"/>
        <v>0</v>
      </c>
      <c r="F307" s="2410">
        <f>IF(未审附注之非流动资产!F307="",0,未审附注之非流动资产!F307)</f>
        <v>0</v>
      </c>
      <c r="G307" s="2403">
        <f>IF(未审附注之非流动资产!G307="",0,未审附注之非流动资产!G307)</f>
        <v>0</v>
      </c>
      <c r="H307" s="2444"/>
      <c r="I307" s="2444"/>
      <c r="J307" s="2453" t="s">
        <v>811</v>
      </c>
      <c r="K307" s="2453"/>
    </row>
    <row r="308" spans="1:11">
      <c r="A308" s="2410">
        <f>IF(未审附注之非流动资产!A308="",0,未审附注之非流动资产!A308)</f>
        <v>0</v>
      </c>
      <c r="B308" s="2403">
        <f>IF(未审附注之非流动资产!B308="",0,未审附注之非流动资产!B308)</f>
        <v>0</v>
      </c>
      <c r="C308" s="2403">
        <f>IF(未审附注之非流动资产!C308="",0,未审附注之非流动资产!C308)</f>
        <v>0</v>
      </c>
      <c r="D308" s="2403">
        <f>IF(未审附注之非流动资产!D308="",0,未审附注之非流动资产!D308)</f>
        <v>0</v>
      </c>
      <c r="E308" s="2369">
        <f t="shared" si="12"/>
        <v>0</v>
      </c>
      <c r="F308" s="2410">
        <f>IF(未审附注之非流动资产!F308="",0,未审附注之非流动资产!F308)</f>
        <v>0</v>
      </c>
      <c r="G308" s="2403">
        <f>IF(未审附注之非流动资产!G308="",0,未审附注之非流动资产!G308)</f>
        <v>0</v>
      </c>
      <c r="H308" s="2444"/>
      <c r="I308" s="2444"/>
      <c r="J308" s="2453" t="s">
        <v>811</v>
      </c>
      <c r="K308" s="2453"/>
    </row>
    <row r="309" spans="1:11">
      <c r="A309" s="2410">
        <f>IF(未审附注之非流动资产!A309="",0,未审附注之非流动资产!A309)</f>
        <v>0</v>
      </c>
      <c r="B309" s="2403">
        <f>IF(未审附注之非流动资产!B309="",0,未审附注之非流动资产!B309)</f>
        <v>0</v>
      </c>
      <c r="C309" s="2403">
        <f>IF(未审附注之非流动资产!C309="",0,未审附注之非流动资产!C309)</f>
        <v>0</v>
      </c>
      <c r="D309" s="2403">
        <f>IF(未审附注之非流动资产!D309="",0,未审附注之非流动资产!D309)</f>
        <v>0</v>
      </c>
      <c r="E309" s="2369">
        <f t="shared" si="12"/>
        <v>0</v>
      </c>
      <c r="F309" s="2410">
        <f>IF(未审附注之非流动资产!F309="",0,未审附注之非流动资产!F309)</f>
        <v>0</v>
      </c>
      <c r="G309" s="2403">
        <f>IF(未审附注之非流动资产!G309="",0,未审附注之非流动资产!G309)</f>
        <v>0</v>
      </c>
      <c r="H309" s="2444"/>
      <c r="I309" s="2444"/>
      <c r="J309" s="2453" t="s">
        <v>811</v>
      </c>
      <c r="K309" s="2453"/>
    </row>
    <row r="310" spans="1:11">
      <c r="A310" s="2410">
        <f>IF(未审附注之非流动资产!A310="",0,未审附注之非流动资产!A310)</f>
        <v>0</v>
      </c>
      <c r="B310" s="2403">
        <f>IF(未审附注之非流动资产!B310="",0,未审附注之非流动资产!B310)</f>
        <v>0</v>
      </c>
      <c r="C310" s="2403">
        <f>IF(未审附注之非流动资产!C310="",0,未审附注之非流动资产!C310)</f>
        <v>0</v>
      </c>
      <c r="D310" s="2403">
        <f>IF(未审附注之非流动资产!D310="",0,未审附注之非流动资产!D310)</f>
        <v>0</v>
      </c>
      <c r="E310" s="2369">
        <f t="shared" si="12"/>
        <v>0</v>
      </c>
      <c r="F310" s="2410">
        <f>IF(未审附注之非流动资产!F310="",0,未审附注之非流动资产!F310)</f>
        <v>0</v>
      </c>
      <c r="G310" s="2403">
        <f>IF(未审附注之非流动资产!G310="",0,未审附注之非流动资产!G310)</f>
        <v>0</v>
      </c>
      <c r="H310" s="2444"/>
      <c r="I310" s="2444"/>
      <c r="J310" s="2453" t="s">
        <v>811</v>
      </c>
      <c r="K310" s="2453"/>
    </row>
    <row r="311" spans="1:11">
      <c r="A311" s="2410">
        <f>IF(未审附注之非流动资产!A311="",0,未审附注之非流动资产!A311)</f>
        <v>0</v>
      </c>
      <c r="B311" s="2403">
        <f>IF(未审附注之非流动资产!B311="",0,未审附注之非流动资产!B311)</f>
        <v>0</v>
      </c>
      <c r="C311" s="2403">
        <f>IF(未审附注之非流动资产!C311="",0,未审附注之非流动资产!C311)</f>
        <v>0</v>
      </c>
      <c r="D311" s="2403">
        <f>IF(未审附注之非流动资产!D311="",0,未审附注之非流动资产!D311)</f>
        <v>0</v>
      </c>
      <c r="E311" s="2369">
        <f t="shared" si="12"/>
        <v>0</v>
      </c>
      <c r="F311" s="2410">
        <f>IF(未审附注之非流动资产!F311="",0,未审附注之非流动资产!F311)</f>
        <v>0</v>
      </c>
      <c r="G311" s="2403">
        <f>IF(未审附注之非流动资产!G311="",0,未审附注之非流动资产!G311)</f>
        <v>0</v>
      </c>
      <c r="H311" s="2444"/>
      <c r="I311" s="2444"/>
      <c r="J311" s="2453" t="s">
        <v>811</v>
      </c>
      <c r="K311" s="2453"/>
    </row>
    <row r="312" spans="1:11">
      <c r="A312" s="2410">
        <f>IF(未审附注之非流动资产!A312="",0,未审附注之非流动资产!A312)</f>
        <v>0</v>
      </c>
      <c r="B312" s="2403">
        <f>IF(未审附注之非流动资产!B312="",0,未审附注之非流动资产!B312)</f>
        <v>0</v>
      </c>
      <c r="C312" s="2403">
        <f>IF(未审附注之非流动资产!C312="",0,未审附注之非流动资产!C312)</f>
        <v>0</v>
      </c>
      <c r="D312" s="2403">
        <f>IF(未审附注之非流动资产!D312="",0,未审附注之非流动资产!D312)</f>
        <v>0</v>
      </c>
      <c r="E312" s="2369">
        <f t="shared" si="12"/>
        <v>0</v>
      </c>
      <c r="F312" s="2410">
        <f>IF(未审附注之非流动资产!F312="",0,未审附注之非流动资产!F312)</f>
        <v>0</v>
      </c>
      <c r="G312" s="2403">
        <f>IF(未审附注之非流动资产!G312="",0,未审附注之非流动资产!G312)</f>
        <v>0</v>
      </c>
      <c r="H312" s="2444"/>
      <c r="I312" s="2444"/>
      <c r="J312" s="2453" t="s">
        <v>811</v>
      </c>
      <c r="K312" s="2453"/>
    </row>
    <row r="313" spans="1:11">
      <c r="A313" s="2410">
        <f>IF(未审附注之非流动资产!A313="",0,未审附注之非流动资产!A313)</f>
        <v>0</v>
      </c>
      <c r="B313" s="2403">
        <f>IF(未审附注之非流动资产!B313="",0,未审附注之非流动资产!B313)</f>
        <v>0</v>
      </c>
      <c r="C313" s="2403">
        <f>IF(未审附注之非流动资产!C313="",0,未审附注之非流动资产!C313)</f>
        <v>0</v>
      </c>
      <c r="D313" s="2403">
        <f>IF(未审附注之非流动资产!D313="",0,未审附注之非流动资产!D313)</f>
        <v>0</v>
      </c>
      <c r="E313" s="2369">
        <f t="shared" si="12"/>
        <v>0</v>
      </c>
      <c r="F313" s="2410">
        <f>IF(未审附注之非流动资产!F313="",0,未审附注之非流动资产!F313)</f>
        <v>0</v>
      </c>
      <c r="G313" s="2403">
        <f>IF(未审附注之非流动资产!G313="",0,未审附注之非流动资产!G313)</f>
        <v>0</v>
      </c>
      <c r="H313" s="2444"/>
      <c r="I313" s="2444"/>
      <c r="J313" s="2453" t="s">
        <v>811</v>
      </c>
      <c r="K313" s="2453"/>
    </row>
    <row r="314" spans="1:11">
      <c r="A314" s="2410">
        <f>IF(未审附注之非流动资产!A314="",0,未审附注之非流动资产!A314)</f>
        <v>0</v>
      </c>
      <c r="B314" s="2403">
        <f>IF(未审附注之非流动资产!B314="",0,未审附注之非流动资产!B314)</f>
        <v>0</v>
      </c>
      <c r="C314" s="2403">
        <f>IF(未审附注之非流动资产!C314="",0,未审附注之非流动资产!C314)</f>
        <v>0</v>
      </c>
      <c r="D314" s="2403">
        <f>IF(未审附注之非流动资产!D314="",0,未审附注之非流动资产!D314)</f>
        <v>0</v>
      </c>
      <c r="E314" s="2369">
        <f t="shared" si="12"/>
        <v>0</v>
      </c>
      <c r="F314" s="2410">
        <f>IF(未审附注之非流动资产!F314="",0,未审附注之非流动资产!F314)</f>
        <v>0</v>
      </c>
      <c r="G314" s="2403">
        <f>IF(未审附注之非流动资产!G314="",0,未审附注之非流动资产!G314)</f>
        <v>0</v>
      </c>
      <c r="H314" s="2444"/>
      <c r="I314" s="2444"/>
      <c r="J314" s="2453" t="s">
        <v>811</v>
      </c>
      <c r="K314" s="2453"/>
    </row>
    <row r="315" spans="1:11">
      <c r="A315" s="2400" t="s">
        <v>385</v>
      </c>
      <c r="B315" s="2369">
        <f>ROUND(SUM(B305:B314),2)</f>
        <v>0</v>
      </c>
      <c r="C315" s="2369">
        <f>ROUND(SUM(C305:C314),2)</f>
        <v>0</v>
      </c>
      <c r="D315" s="2369">
        <f>ROUND(SUM(D305:D314),2)</f>
        <v>0</v>
      </c>
      <c r="E315" s="2369">
        <f>ROUND(SUM(E305:E314),2)</f>
        <v>0</v>
      </c>
      <c r="F315" s="2369"/>
      <c r="G315" s="2369"/>
      <c r="H315" s="2444"/>
      <c r="I315" s="2444"/>
      <c r="J315" s="2453" t="s">
        <v>812</v>
      </c>
      <c r="K315" s="2453"/>
    </row>
    <row r="316" spans="1:9">
      <c r="A316" s="2458"/>
      <c r="B316" s="2444"/>
      <c r="C316" s="2444"/>
      <c r="D316" s="2444"/>
      <c r="E316" s="2444"/>
      <c r="F316" s="2444"/>
      <c r="G316" s="2444"/>
      <c r="H316" s="2444"/>
      <c r="I316" s="2444"/>
    </row>
    <row r="317" spans="1:9">
      <c r="A317" s="2456"/>
      <c r="B317" s="2444"/>
      <c r="C317" s="2444"/>
      <c r="D317" s="2444"/>
      <c r="E317" s="2444"/>
      <c r="F317" s="2444"/>
      <c r="G317" s="2444"/>
      <c r="H317" s="2444"/>
      <c r="I317" s="2444"/>
    </row>
    <row r="318" spans="1:9">
      <c r="A318" s="2425" t="s">
        <v>813</v>
      </c>
      <c r="B318" s="2444"/>
      <c r="C318" s="2444"/>
      <c r="D318" s="2444"/>
      <c r="E318" s="2444"/>
      <c r="F318" s="2444"/>
      <c r="G318" s="2444"/>
      <c r="H318" s="2444"/>
      <c r="I318" s="2444"/>
    </row>
    <row r="319" spans="1:9">
      <c r="A319" s="2414" t="s">
        <v>814</v>
      </c>
      <c r="B319" s="2444"/>
      <c r="C319" s="2444"/>
      <c r="D319" s="2444"/>
      <c r="E319" s="2444"/>
      <c r="F319" s="2444"/>
      <c r="G319" s="2444"/>
      <c r="H319" s="2444"/>
      <c r="I319" s="2444"/>
    </row>
    <row r="320" spans="1:9">
      <c r="A320" s="2400" t="s">
        <v>815</v>
      </c>
      <c r="B320" s="2400" t="s">
        <v>816</v>
      </c>
      <c r="C320" s="2400" t="s">
        <v>671</v>
      </c>
      <c r="D320" s="2400" t="s">
        <v>582</v>
      </c>
      <c r="E320" s="2400" t="s">
        <v>817</v>
      </c>
      <c r="F320" s="2400" t="s">
        <v>818</v>
      </c>
      <c r="G320" s="2400" t="s">
        <v>516</v>
      </c>
      <c r="H320" s="2400" t="s">
        <v>819</v>
      </c>
      <c r="I320" s="2400" t="s">
        <v>820</v>
      </c>
    </row>
    <row r="321" spans="1:10">
      <c r="A321" s="2410">
        <f>IF(未审附注之非流动资产!A321="",0,未审附注之非流动资产!A321)</f>
        <v>0</v>
      </c>
      <c r="B321" s="2403">
        <f>IF(未审附注之非流动资产!B321="",0,未审附注之非流动资产!B321)</f>
        <v>0</v>
      </c>
      <c r="C321" s="2403">
        <f>IF(未审附注之非流动资产!C321="",0,未审附注之非流动资产!C321)</f>
        <v>0</v>
      </c>
      <c r="D321" s="2403">
        <f>IF(未审附注之非流动资产!D321="",0,未审附注之非流动资产!D321)</f>
        <v>0</v>
      </c>
      <c r="E321" s="2403">
        <f>IF(未审附注之非流动资产!E321="",0,未审附注之非流动资产!E321)</f>
        <v>0</v>
      </c>
      <c r="F321" s="2403">
        <f>IF(未审附注之非流动资产!F321="",0,未审附注之非流动资产!F321)</f>
        <v>0</v>
      </c>
      <c r="G321" s="2369">
        <f>ROUND(C321+D321-E321-F321,2)</f>
        <v>0</v>
      </c>
      <c r="H321" s="2410">
        <f>IF(未审附注之非流动资产!H321="",0,未审附注之非流动资产!H321)</f>
        <v>0</v>
      </c>
      <c r="I321" s="2429">
        <f>IF(未审附注之非流动资产!I321="",0,未审附注之非流动资产!I321)</f>
        <v>0</v>
      </c>
      <c r="J321" s="2453" t="s">
        <v>821</v>
      </c>
    </row>
    <row r="322" spans="1:10">
      <c r="A322" s="2410">
        <f>IF(未审附注之非流动资产!A322="",0,未审附注之非流动资产!A322)</f>
        <v>0</v>
      </c>
      <c r="B322" s="2403">
        <f>IF(未审附注之非流动资产!B322="",0,未审附注之非流动资产!B322)</f>
        <v>0</v>
      </c>
      <c r="C322" s="2403">
        <f>IF(未审附注之非流动资产!C322="",0,未审附注之非流动资产!C322)</f>
        <v>0</v>
      </c>
      <c r="D322" s="2403">
        <f>IF(未审附注之非流动资产!D322="",0,未审附注之非流动资产!D322)</f>
        <v>0</v>
      </c>
      <c r="E322" s="2403">
        <f>IF(未审附注之非流动资产!E322="",0,未审附注之非流动资产!E322)</f>
        <v>0</v>
      </c>
      <c r="F322" s="2403">
        <f>IF(未审附注之非流动资产!F322="",0,未审附注之非流动资产!F322)</f>
        <v>0</v>
      </c>
      <c r="G322" s="2369">
        <f t="shared" ref="G322:G330" si="13">ROUND(C322+D322-E322-F322,2)</f>
        <v>0</v>
      </c>
      <c r="H322" s="2410">
        <f>IF(未审附注之非流动资产!H322="",0,未审附注之非流动资产!H322)</f>
        <v>0</v>
      </c>
      <c r="I322" s="2429">
        <f>IF(未审附注之非流动资产!I322="",0,未审附注之非流动资产!I322)</f>
        <v>0</v>
      </c>
      <c r="J322" s="2453" t="s">
        <v>821</v>
      </c>
    </row>
    <row r="323" spans="1:10">
      <c r="A323" s="2410">
        <f>IF(未审附注之非流动资产!A323="",0,未审附注之非流动资产!A323)</f>
        <v>0</v>
      </c>
      <c r="B323" s="2403">
        <f>IF(未审附注之非流动资产!B323="",0,未审附注之非流动资产!B323)</f>
        <v>0</v>
      </c>
      <c r="C323" s="2403">
        <f>IF(未审附注之非流动资产!C323="",0,未审附注之非流动资产!C323)</f>
        <v>0</v>
      </c>
      <c r="D323" s="2403">
        <f>IF(未审附注之非流动资产!D323="",0,未审附注之非流动资产!D323)</f>
        <v>0</v>
      </c>
      <c r="E323" s="2403">
        <f>IF(未审附注之非流动资产!E323="",0,未审附注之非流动资产!E323)</f>
        <v>0</v>
      </c>
      <c r="F323" s="2403">
        <f>IF(未审附注之非流动资产!F323="",0,未审附注之非流动资产!F323)</f>
        <v>0</v>
      </c>
      <c r="G323" s="2369">
        <f t="shared" si="13"/>
        <v>0</v>
      </c>
      <c r="H323" s="2410">
        <f>IF(未审附注之非流动资产!H323="",0,未审附注之非流动资产!H323)</f>
        <v>0</v>
      </c>
      <c r="I323" s="2429">
        <f>IF(未审附注之非流动资产!I323="",0,未审附注之非流动资产!I323)</f>
        <v>0</v>
      </c>
      <c r="J323" s="2453" t="s">
        <v>821</v>
      </c>
    </row>
    <row r="324" spans="1:10">
      <c r="A324" s="2410">
        <f>IF(未审附注之非流动资产!A324="",0,未审附注之非流动资产!A324)</f>
        <v>0</v>
      </c>
      <c r="B324" s="2403">
        <f>IF(未审附注之非流动资产!B324="",0,未审附注之非流动资产!B324)</f>
        <v>0</v>
      </c>
      <c r="C324" s="2403">
        <f>IF(未审附注之非流动资产!C324="",0,未审附注之非流动资产!C324)</f>
        <v>0</v>
      </c>
      <c r="D324" s="2403">
        <f>IF(未审附注之非流动资产!D324="",0,未审附注之非流动资产!D324)</f>
        <v>0</v>
      </c>
      <c r="E324" s="2403">
        <f>IF(未审附注之非流动资产!E324="",0,未审附注之非流动资产!E324)</f>
        <v>0</v>
      </c>
      <c r="F324" s="2403">
        <f>IF(未审附注之非流动资产!F324="",0,未审附注之非流动资产!F324)</f>
        <v>0</v>
      </c>
      <c r="G324" s="2369">
        <f t="shared" si="13"/>
        <v>0</v>
      </c>
      <c r="H324" s="2410">
        <f>IF(未审附注之非流动资产!H324="",0,未审附注之非流动资产!H324)</f>
        <v>0</v>
      </c>
      <c r="I324" s="2429">
        <f>IF(未审附注之非流动资产!I324="",0,未审附注之非流动资产!I324)</f>
        <v>0</v>
      </c>
      <c r="J324" s="2453" t="s">
        <v>821</v>
      </c>
    </row>
    <row r="325" spans="1:10">
      <c r="A325" s="2410">
        <f>IF(未审附注之非流动资产!A325="",0,未审附注之非流动资产!A325)</f>
        <v>0</v>
      </c>
      <c r="B325" s="2403">
        <f>IF(未审附注之非流动资产!B325="",0,未审附注之非流动资产!B325)</f>
        <v>0</v>
      </c>
      <c r="C325" s="2403">
        <f>IF(未审附注之非流动资产!C325="",0,未审附注之非流动资产!C325)</f>
        <v>0</v>
      </c>
      <c r="D325" s="2403">
        <f>IF(未审附注之非流动资产!D325="",0,未审附注之非流动资产!D325)</f>
        <v>0</v>
      </c>
      <c r="E325" s="2403">
        <f>IF(未审附注之非流动资产!E325="",0,未审附注之非流动资产!E325)</f>
        <v>0</v>
      </c>
      <c r="F325" s="2403">
        <f>IF(未审附注之非流动资产!F325="",0,未审附注之非流动资产!F325)</f>
        <v>0</v>
      </c>
      <c r="G325" s="2369">
        <f t="shared" si="13"/>
        <v>0</v>
      </c>
      <c r="H325" s="2410">
        <f>IF(未审附注之非流动资产!H325="",0,未审附注之非流动资产!H325)</f>
        <v>0</v>
      </c>
      <c r="I325" s="2429">
        <f>IF(未审附注之非流动资产!I325="",0,未审附注之非流动资产!I325)</f>
        <v>0</v>
      </c>
      <c r="J325" s="2453" t="s">
        <v>821</v>
      </c>
    </row>
    <row r="326" spans="1:10">
      <c r="A326" s="2410">
        <f>IF(未审附注之非流动资产!A326="",0,未审附注之非流动资产!A326)</f>
        <v>0</v>
      </c>
      <c r="B326" s="2403">
        <f>IF(未审附注之非流动资产!B326="",0,未审附注之非流动资产!B326)</f>
        <v>0</v>
      </c>
      <c r="C326" s="2403">
        <f>IF(未审附注之非流动资产!C326="",0,未审附注之非流动资产!C326)</f>
        <v>0</v>
      </c>
      <c r="D326" s="2403">
        <f>IF(未审附注之非流动资产!D326="",0,未审附注之非流动资产!D326)</f>
        <v>0</v>
      </c>
      <c r="E326" s="2403">
        <f>IF(未审附注之非流动资产!E326="",0,未审附注之非流动资产!E326)</f>
        <v>0</v>
      </c>
      <c r="F326" s="2403">
        <f>IF(未审附注之非流动资产!F326="",0,未审附注之非流动资产!F326)</f>
        <v>0</v>
      </c>
      <c r="G326" s="2369">
        <f t="shared" si="13"/>
        <v>0</v>
      </c>
      <c r="H326" s="2410">
        <f>IF(未审附注之非流动资产!H326="",0,未审附注之非流动资产!H326)</f>
        <v>0</v>
      </c>
      <c r="I326" s="2429">
        <f>IF(未审附注之非流动资产!I326="",0,未审附注之非流动资产!I326)</f>
        <v>0</v>
      </c>
      <c r="J326" s="2453" t="s">
        <v>821</v>
      </c>
    </row>
    <row r="327" spans="1:10">
      <c r="A327" s="2410">
        <f>IF(未审附注之非流动资产!A327="",0,未审附注之非流动资产!A327)</f>
        <v>0</v>
      </c>
      <c r="B327" s="2403">
        <f>IF(未审附注之非流动资产!B327="",0,未审附注之非流动资产!B327)</f>
        <v>0</v>
      </c>
      <c r="C327" s="2403">
        <f>IF(未审附注之非流动资产!C327="",0,未审附注之非流动资产!C327)</f>
        <v>0</v>
      </c>
      <c r="D327" s="2403">
        <f>IF(未审附注之非流动资产!D327="",0,未审附注之非流动资产!D327)</f>
        <v>0</v>
      </c>
      <c r="E327" s="2403">
        <f>IF(未审附注之非流动资产!E327="",0,未审附注之非流动资产!E327)</f>
        <v>0</v>
      </c>
      <c r="F327" s="2403">
        <f>IF(未审附注之非流动资产!F327="",0,未审附注之非流动资产!F327)</f>
        <v>0</v>
      </c>
      <c r="G327" s="2369">
        <f t="shared" si="13"/>
        <v>0</v>
      </c>
      <c r="H327" s="2410">
        <f>IF(未审附注之非流动资产!H327="",0,未审附注之非流动资产!H327)</f>
        <v>0</v>
      </c>
      <c r="I327" s="2429">
        <f>IF(未审附注之非流动资产!I327="",0,未审附注之非流动资产!I327)</f>
        <v>0</v>
      </c>
      <c r="J327" s="2453" t="s">
        <v>821</v>
      </c>
    </row>
    <row r="328" spans="1:10">
      <c r="A328" s="2410">
        <f>IF(未审附注之非流动资产!A328="",0,未审附注之非流动资产!A328)</f>
        <v>0</v>
      </c>
      <c r="B328" s="2403">
        <f>IF(未审附注之非流动资产!B328="",0,未审附注之非流动资产!B328)</f>
        <v>0</v>
      </c>
      <c r="C328" s="2403">
        <f>IF(未审附注之非流动资产!C328="",0,未审附注之非流动资产!C328)</f>
        <v>0</v>
      </c>
      <c r="D328" s="2403">
        <f>IF(未审附注之非流动资产!D328="",0,未审附注之非流动资产!D328)</f>
        <v>0</v>
      </c>
      <c r="E328" s="2403">
        <f>IF(未审附注之非流动资产!E328="",0,未审附注之非流动资产!E328)</f>
        <v>0</v>
      </c>
      <c r="F328" s="2403">
        <f>IF(未审附注之非流动资产!F328="",0,未审附注之非流动资产!F328)</f>
        <v>0</v>
      </c>
      <c r="G328" s="2369">
        <f t="shared" si="13"/>
        <v>0</v>
      </c>
      <c r="H328" s="2410">
        <f>IF(未审附注之非流动资产!H328="",0,未审附注之非流动资产!H328)</f>
        <v>0</v>
      </c>
      <c r="I328" s="2429">
        <f>IF(未审附注之非流动资产!I328="",0,未审附注之非流动资产!I328)</f>
        <v>0</v>
      </c>
      <c r="J328" s="2453" t="s">
        <v>821</v>
      </c>
    </row>
    <row r="329" spans="1:10">
      <c r="A329" s="2410">
        <f>IF(未审附注之非流动资产!A329="",0,未审附注之非流动资产!A329)</f>
        <v>0</v>
      </c>
      <c r="B329" s="2403">
        <f>IF(未审附注之非流动资产!B329="",0,未审附注之非流动资产!B329)</f>
        <v>0</v>
      </c>
      <c r="C329" s="2403">
        <f>IF(未审附注之非流动资产!C329="",0,未审附注之非流动资产!C329)</f>
        <v>0</v>
      </c>
      <c r="D329" s="2403">
        <f>IF(未审附注之非流动资产!D329="",0,未审附注之非流动资产!D329)</f>
        <v>0</v>
      </c>
      <c r="E329" s="2403">
        <f>IF(未审附注之非流动资产!E329="",0,未审附注之非流动资产!E329)</f>
        <v>0</v>
      </c>
      <c r="F329" s="2403">
        <f>IF(未审附注之非流动资产!F329="",0,未审附注之非流动资产!F329)</f>
        <v>0</v>
      </c>
      <c r="G329" s="2369">
        <f t="shared" si="13"/>
        <v>0</v>
      </c>
      <c r="H329" s="2410">
        <f>IF(未审附注之非流动资产!H329="",0,未审附注之非流动资产!H329)</f>
        <v>0</v>
      </c>
      <c r="I329" s="2429">
        <f>IF(未审附注之非流动资产!I329="",0,未审附注之非流动资产!I329)</f>
        <v>0</v>
      </c>
      <c r="J329" s="2453" t="s">
        <v>821</v>
      </c>
    </row>
    <row r="330" spans="1:10">
      <c r="A330" s="2410">
        <f>IF(未审附注之非流动资产!A330="",0,未审附注之非流动资产!A330)</f>
        <v>0</v>
      </c>
      <c r="B330" s="2403">
        <f>IF(未审附注之非流动资产!B330="",0,未审附注之非流动资产!B330)</f>
        <v>0</v>
      </c>
      <c r="C330" s="2403">
        <f>IF(未审附注之非流动资产!C330="",0,未审附注之非流动资产!C330)</f>
        <v>0</v>
      </c>
      <c r="D330" s="2403">
        <f>IF(未审附注之非流动资产!D330="",0,未审附注之非流动资产!D330)</f>
        <v>0</v>
      </c>
      <c r="E330" s="2403">
        <f>IF(未审附注之非流动资产!E330="",0,未审附注之非流动资产!E330)</f>
        <v>0</v>
      </c>
      <c r="F330" s="2403">
        <f>IF(未审附注之非流动资产!F330="",0,未审附注之非流动资产!F330)</f>
        <v>0</v>
      </c>
      <c r="G330" s="2369">
        <f t="shared" si="13"/>
        <v>0</v>
      </c>
      <c r="H330" s="2410">
        <f>IF(未审附注之非流动资产!H330="",0,未审附注之非流动资产!H330)</f>
        <v>0</v>
      </c>
      <c r="I330" s="2429">
        <f>IF(未审附注之非流动资产!I330="",0,未审附注之非流动资产!I330)</f>
        <v>0</v>
      </c>
      <c r="J330" s="2453" t="s">
        <v>821</v>
      </c>
    </row>
    <row r="331" spans="1:10">
      <c r="A331" s="2400" t="s">
        <v>385</v>
      </c>
      <c r="B331" s="2369">
        <f t="shared" ref="B331:G331" si="14">ROUND(SUM(B321:B330),2)</f>
        <v>0</v>
      </c>
      <c r="C331" s="2369">
        <f t="shared" si="14"/>
        <v>0</v>
      </c>
      <c r="D331" s="2369">
        <f t="shared" si="14"/>
        <v>0</v>
      </c>
      <c r="E331" s="2369">
        <f t="shared" si="14"/>
        <v>0</v>
      </c>
      <c r="F331" s="2369">
        <f t="shared" si="14"/>
        <v>0</v>
      </c>
      <c r="G331" s="2369">
        <f t="shared" si="14"/>
        <v>0</v>
      </c>
      <c r="H331" s="2369"/>
      <c r="I331" s="2369"/>
      <c r="J331" s="2453" t="s">
        <v>822</v>
      </c>
    </row>
    <row r="332" spans="1:10">
      <c r="A332" s="2417"/>
      <c r="B332" s="2450"/>
      <c r="C332" s="2418"/>
      <c r="D332" s="2418"/>
      <c r="E332" s="2418"/>
      <c r="F332" s="2418"/>
      <c r="G332" s="2418"/>
      <c r="H332" s="2418"/>
      <c r="I332" s="2418"/>
      <c r="J332" s="2453"/>
    </row>
    <row r="333" spans="1:9">
      <c r="A333" s="2414" t="s">
        <v>823</v>
      </c>
      <c r="B333" s="2444"/>
      <c r="C333" s="2444"/>
      <c r="D333" s="2444"/>
      <c r="E333" s="2444"/>
      <c r="F333" s="2444"/>
      <c r="G333" s="2444"/>
      <c r="H333" s="2444"/>
      <c r="I333" s="2444"/>
    </row>
    <row r="334" spans="1:10">
      <c r="A334" s="2400" t="s">
        <v>815</v>
      </c>
      <c r="B334" s="2400" t="s">
        <v>671</v>
      </c>
      <c r="C334" s="2400" t="s">
        <v>582</v>
      </c>
      <c r="D334" s="2400" t="s">
        <v>817</v>
      </c>
      <c r="E334" s="2400" t="s">
        <v>818</v>
      </c>
      <c r="F334" s="2400" t="s">
        <v>516</v>
      </c>
      <c r="G334" s="2444"/>
      <c r="H334" s="2444"/>
      <c r="I334" s="2444"/>
      <c r="J334" s="2459"/>
    </row>
    <row r="335" spans="1:10">
      <c r="A335" s="2410">
        <f>IF(未审附注之非流动资产!A335="",0,未审附注之非流动资产!A335)</f>
        <v>0</v>
      </c>
      <c r="B335" s="2403">
        <f>IF(未审附注之非流动资产!B335="",0,未审附注之非流动资产!B335)</f>
        <v>0</v>
      </c>
      <c r="C335" s="2403">
        <f>IF(未审附注之非流动资产!C335="",0,未审附注之非流动资产!C335)</f>
        <v>0</v>
      </c>
      <c r="D335" s="2403">
        <f>IF(未审附注之非流动资产!D335="",0,未审附注之非流动资产!D335)</f>
        <v>0</v>
      </c>
      <c r="E335" s="2403">
        <f>IF(未审附注之非流动资产!E335="",0,未审附注之非流动资产!E335)</f>
        <v>0</v>
      </c>
      <c r="F335" s="2369">
        <f>ROUND(B335+C335-D335-E335,2)</f>
        <v>0</v>
      </c>
      <c r="G335" s="2444"/>
      <c r="H335" s="2444"/>
      <c r="I335" s="2444"/>
      <c r="J335" s="2453" t="s">
        <v>824</v>
      </c>
    </row>
    <row r="336" spans="1:10">
      <c r="A336" s="2410">
        <f>IF(未审附注之非流动资产!A336="",0,未审附注之非流动资产!A336)</f>
        <v>0</v>
      </c>
      <c r="B336" s="2403">
        <f>IF(未审附注之非流动资产!B336="",0,未审附注之非流动资产!B336)</f>
        <v>0</v>
      </c>
      <c r="C336" s="2403">
        <f>IF(未审附注之非流动资产!C336="",0,未审附注之非流动资产!C336)</f>
        <v>0</v>
      </c>
      <c r="D336" s="2403">
        <f>IF(未审附注之非流动资产!D336="",0,未审附注之非流动资产!D336)</f>
        <v>0</v>
      </c>
      <c r="E336" s="2403">
        <f>IF(未审附注之非流动资产!E336="",0,未审附注之非流动资产!E336)</f>
        <v>0</v>
      </c>
      <c r="F336" s="2369">
        <f t="shared" ref="F336:F344" si="15">ROUND(B336+C336-D336-E336,2)</f>
        <v>0</v>
      </c>
      <c r="G336" s="2444"/>
      <c r="H336" s="2444"/>
      <c r="I336" s="2444"/>
      <c r="J336" s="2453" t="s">
        <v>824</v>
      </c>
    </row>
    <row r="337" spans="1:10">
      <c r="A337" s="2410">
        <f>IF(未审附注之非流动资产!A337="",0,未审附注之非流动资产!A337)</f>
        <v>0</v>
      </c>
      <c r="B337" s="2403">
        <f>IF(未审附注之非流动资产!B337="",0,未审附注之非流动资产!B337)</f>
        <v>0</v>
      </c>
      <c r="C337" s="2403">
        <f>IF(未审附注之非流动资产!C337="",0,未审附注之非流动资产!C337)</f>
        <v>0</v>
      </c>
      <c r="D337" s="2403">
        <f>IF(未审附注之非流动资产!D337="",0,未审附注之非流动资产!D337)</f>
        <v>0</v>
      </c>
      <c r="E337" s="2403">
        <f>IF(未审附注之非流动资产!E337="",0,未审附注之非流动资产!E337)</f>
        <v>0</v>
      </c>
      <c r="F337" s="2369">
        <f t="shared" si="15"/>
        <v>0</v>
      </c>
      <c r="G337" s="2444"/>
      <c r="H337" s="2444"/>
      <c r="I337" s="2444"/>
      <c r="J337" s="2453" t="s">
        <v>824</v>
      </c>
    </row>
    <row r="338" spans="1:10">
      <c r="A338" s="2410">
        <f>IF(未审附注之非流动资产!A338="",0,未审附注之非流动资产!A338)</f>
        <v>0</v>
      </c>
      <c r="B338" s="2403">
        <f>IF(未审附注之非流动资产!B338="",0,未审附注之非流动资产!B338)</f>
        <v>0</v>
      </c>
      <c r="C338" s="2403">
        <f>IF(未审附注之非流动资产!C338="",0,未审附注之非流动资产!C338)</f>
        <v>0</v>
      </c>
      <c r="D338" s="2403">
        <f>IF(未审附注之非流动资产!D338="",0,未审附注之非流动资产!D338)</f>
        <v>0</v>
      </c>
      <c r="E338" s="2403">
        <f>IF(未审附注之非流动资产!E338="",0,未审附注之非流动资产!E338)</f>
        <v>0</v>
      </c>
      <c r="F338" s="2369">
        <f t="shared" si="15"/>
        <v>0</v>
      </c>
      <c r="G338" s="2444"/>
      <c r="H338" s="2444"/>
      <c r="I338" s="2444"/>
      <c r="J338" s="2453" t="s">
        <v>824</v>
      </c>
    </row>
    <row r="339" spans="1:10">
      <c r="A339" s="2410">
        <f>IF(未审附注之非流动资产!A339="",0,未审附注之非流动资产!A339)</f>
        <v>0</v>
      </c>
      <c r="B339" s="2403">
        <f>IF(未审附注之非流动资产!B339="",0,未审附注之非流动资产!B339)</f>
        <v>0</v>
      </c>
      <c r="C339" s="2403">
        <f>IF(未审附注之非流动资产!C339="",0,未审附注之非流动资产!C339)</f>
        <v>0</v>
      </c>
      <c r="D339" s="2403">
        <f>IF(未审附注之非流动资产!D339="",0,未审附注之非流动资产!D339)</f>
        <v>0</v>
      </c>
      <c r="E339" s="2403">
        <f>IF(未审附注之非流动资产!E339="",0,未审附注之非流动资产!E339)</f>
        <v>0</v>
      </c>
      <c r="F339" s="2369">
        <f t="shared" si="15"/>
        <v>0</v>
      </c>
      <c r="G339" s="2444"/>
      <c r="H339" s="2444"/>
      <c r="I339" s="2444"/>
      <c r="J339" s="2453" t="s">
        <v>824</v>
      </c>
    </row>
    <row r="340" spans="1:10">
      <c r="A340" s="2410">
        <f>IF(未审附注之非流动资产!A340="",0,未审附注之非流动资产!A340)</f>
        <v>0</v>
      </c>
      <c r="B340" s="2403">
        <f>IF(未审附注之非流动资产!B340="",0,未审附注之非流动资产!B340)</f>
        <v>0</v>
      </c>
      <c r="C340" s="2403">
        <f>IF(未审附注之非流动资产!C340="",0,未审附注之非流动资产!C340)</f>
        <v>0</v>
      </c>
      <c r="D340" s="2403">
        <f>IF(未审附注之非流动资产!D340="",0,未审附注之非流动资产!D340)</f>
        <v>0</v>
      </c>
      <c r="E340" s="2403">
        <f>IF(未审附注之非流动资产!E340="",0,未审附注之非流动资产!E340)</f>
        <v>0</v>
      </c>
      <c r="F340" s="2369">
        <f t="shared" si="15"/>
        <v>0</v>
      </c>
      <c r="G340" s="2444"/>
      <c r="H340" s="2444"/>
      <c r="I340" s="2444"/>
      <c r="J340" s="2453" t="s">
        <v>824</v>
      </c>
    </row>
    <row r="341" spans="1:10">
      <c r="A341" s="2410">
        <f>IF(未审附注之非流动资产!A341="",0,未审附注之非流动资产!A341)</f>
        <v>0</v>
      </c>
      <c r="B341" s="2403">
        <f>IF(未审附注之非流动资产!B341="",0,未审附注之非流动资产!B341)</f>
        <v>0</v>
      </c>
      <c r="C341" s="2403">
        <f>IF(未审附注之非流动资产!C341="",0,未审附注之非流动资产!C341)</f>
        <v>0</v>
      </c>
      <c r="D341" s="2403">
        <f>IF(未审附注之非流动资产!D341="",0,未审附注之非流动资产!D341)</f>
        <v>0</v>
      </c>
      <c r="E341" s="2403">
        <f>IF(未审附注之非流动资产!E341="",0,未审附注之非流动资产!E341)</f>
        <v>0</v>
      </c>
      <c r="F341" s="2369">
        <f t="shared" si="15"/>
        <v>0</v>
      </c>
      <c r="G341" s="2444"/>
      <c r="H341" s="2444"/>
      <c r="I341" s="2444"/>
      <c r="J341" s="2453" t="s">
        <v>824</v>
      </c>
    </row>
    <row r="342" spans="1:10">
      <c r="A342" s="2410">
        <f>IF(未审附注之非流动资产!A342="",0,未审附注之非流动资产!A342)</f>
        <v>0</v>
      </c>
      <c r="B342" s="2403">
        <f>IF(未审附注之非流动资产!B342="",0,未审附注之非流动资产!B342)</f>
        <v>0</v>
      </c>
      <c r="C342" s="2403">
        <f>IF(未审附注之非流动资产!C342="",0,未审附注之非流动资产!C342)</f>
        <v>0</v>
      </c>
      <c r="D342" s="2403">
        <f>IF(未审附注之非流动资产!D342="",0,未审附注之非流动资产!D342)</f>
        <v>0</v>
      </c>
      <c r="E342" s="2403">
        <f>IF(未审附注之非流动资产!E342="",0,未审附注之非流动资产!E342)</f>
        <v>0</v>
      </c>
      <c r="F342" s="2369">
        <f t="shared" si="15"/>
        <v>0</v>
      </c>
      <c r="G342" s="2444"/>
      <c r="H342" s="2444"/>
      <c r="I342" s="2444"/>
      <c r="J342" s="2453" t="s">
        <v>824</v>
      </c>
    </row>
    <row r="343" spans="1:10">
      <c r="A343" s="2410">
        <f>IF(未审附注之非流动资产!A343="",0,未审附注之非流动资产!A343)</f>
        <v>0</v>
      </c>
      <c r="B343" s="2403">
        <f>IF(未审附注之非流动资产!B343="",0,未审附注之非流动资产!B343)</f>
        <v>0</v>
      </c>
      <c r="C343" s="2403">
        <f>IF(未审附注之非流动资产!C343="",0,未审附注之非流动资产!C343)</f>
        <v>0</v>
      </c>
      <c r="D343" s="2403">
        <f>IF(未审附注之非流动资产!D343="",0,未审附注之非流动资产!D343)</f>
        <v>0</v>
      </c>
      <c r="E343" s="2403">
        <f>IF(未审附注之非流动资产!E343="",0,未审附注之非流动资产!E343)</f>
        <v>0</v>
      </c>
      <c r="F343" s="2369">
        <f t="shared" si="15"/>
        <v>0</v>
      </c>
      <c r="G343" s="2444"/>
      <c r="H343" s="2444"/>
      <c r="I343" s="2444"/>
      <c r="J343" s="2453" t="s">
        <v>824</v>
      </c>
    </row>
    <row r="344" spans="1:10">
      <c r="A344" s="2410">
        <f>IF(未审附注之非流动资产!A344="",0,未审附注之非流动资产!A344)</f>
        <v>0</v>
      </c>
      <c r="B344" s="2403">
        <f>IF(未审附注之非流动资产!B344="",0,未审附注之非流动资产!B344)</f>
        <v>0</v>
      </c>
      <c r="C344" s="2403">
        <f>IF(未审附注之非流动资产!C344="",0,未审附注之非流动资产!C344)</f>
        <v>0</v>
      </c>
      <c r="D344" s="2403">
        <f>IF(未审附注之非流动资产!D344="",0,未审附注之非流动资产!D344)</f>
        <v>0</v>
      </c>
      <c r="E344" s="2403">
        <f>IF(未审附注之非流动资产!E344="",0,未审附注之非流动资产!E344)</f>
        <v>0</v>
      </c>
      <c r="F344" s="2369">
        <f t="shared" si="15"/>
        <v>0</v>
      </c>
      <c r="G344" s="2444"/>
      <c r="H344" s="2444"/>
      <c r="I344" s="2444"/>
      <c r="J344" s="2453" t="s">
        <v>824</v>
      </c>
    </row>
    <row r="345" spans="1:10">
      <c r="A345" s="2400" t="s">
        <v>385</v>
      </c>
      <c r="B345" s="2369">
        <f>ROUND(SUM(B335:B344),2)</f>
        <v>0</v>
      </c>
      <c r="C345" s="2369">
        <f>ROUND(SUM(C335:C344),2)</f>
        <v>0</v>
      </c>
      <c r="D345" s="2369">
        <f>ROUND(SUM(D335:D344),2)</f>
        <v>0</v>
      </c>
      <c r="E345" s="2369">
        <f>ROUND(SUM(E335:E344),2)</f>
        <v>0</v>
      </c>
      <c r="F345" s="2369">
        <f>ROUND(SUM(F335:F344),2)</f>
        <v>0</v>
      </c>
      <c r="G345" s="2444"/>
      <c r="H345" s="2444"/>
      <c r="I345" s="2444"/>
      <c r="J345" s="2453" t="s">
        <v>825</v>
      </c>
    </row>
    <row r="346" spans="1:10">
      <c r="A346" s="2417"/>
      <c r="B346" s="2450"/>
      <c r="C346" s="2418"/>
      <c r="D346" s="2418"/>
      <c r="E346" s="2418"/>
      <c r="F346" s="2418"/>
      <c r="G346" s="2418"/>
      <c r="H346" s="2418"/>
      <c r="I346" s="2418"/>
      <c r="J346" s="2453"/>
    </row>
    <row r="347" spans="1:9">
      <c r="A347" s="2414" t="s">
        <v>826</v>
      </c>
      <c r="B347" s="2444"/>
      <c r="C347" s="2444"/>
      <c r="D347" s="2444"/>
      <c r="E347" s="2444"/>
      <c r="F347" s="2444"/>
      <c r="G347" s="2444"/>
      <c r="H347" s="2444"/>
      <c r="I347" s="2444"/>
    </row>
    <row r="348" spans="1:10">
      <c r="A348" s="2400" t="s">
        <v>815</v>
      </c>
      <c r="B348" s="2400" t="s">
        <v>671</v>
      </c>
      <c r="C348" s="2400" t="s">
        <v>582</v>
      </c>
      <c r="D348" s="2400" t="s">
        <v>817</v>
      </c>
      <c r="E348" s="2400" t="s">
        <v>818</v>
      </c>
      <c r="F348" s="2400" t="s">
        <v>516</v>
      </c>
      <c r="G348" s="2400" t="s">
        <v>827</v>
      </c>
      <c r="H348" s="2444"/>
      <c r="I348" s="2444"/>
      <c r="J348" s="2459"/>
    </row>
    <row r="349" spans="1:10">
      <c r="A349" s="2410">
        <f>IF(未审附注之非流动资产!A349="",0,未审附注之非流动资产!A349)</f>
        <v>0</v>
      </c>
      <c r="B349" s="2403">
        <f>IF(未审附注之非流动资产!B349="",0,未审附注之非流动资产!B349)</f>
        <v>0</v>
      </c>
      <c r="C349" s="2403">
        <f>IF(未审附注之非流动资产!C349="",0,未审附注之非流动资产!C349)</f>
        <v>0</v>
      </c>
      <c r="D349" s="2403">
        <f>IF(未审附注之非流动资产!D349="",0,未审附注之非流动资产!D349)</f>
        <v>0</v>
      </c>
      <c r="E349" s="2403">
        <f>IF(未审附注之非流动资产!E349="",0,未审附注之非流动资产!E349)</f>
        <v>0</v>
      </c>
      <c r="F349" s="2369">
        <f>ROUND(B349+C349-D349-E349,2)</f>
        <v>0</v>
      </c>
      <c r="G349" s="2410">
        <f>IF(未审附注之非流动资产!G349="",0,未审附注之非流动资产!G349)</f>
        <v>0</v>
      </c>
      <c r="H349" s="2444"/>
      <c r="I349" s="2444"/>
      <c r="J349" s="2453" t="s">
        <v>828</v>
      </c>
    </row>
    <row r="350" spans="1:10">
      <c r="A350" s="2410">
        <f>IF(未审附注之非流动资产!A350="",0,未审附注之非流动资产!A350)</f>
        <v>0</v>
      </c>
      <c r="B350" s="2403">
        <f>IF(未审附注之非流动资产!B350="",0,未审附注之非流动资产!B350)</f>
        <v>0</v>
      </c>
      <c r="C350" s="2403">
        <f>IF(未审附注之非流动资产!C350="",0,未审附注之非流动资产!C350)</f>
        <v>0</v>
      </c>
      <c r="D350" s="2403">
        <f>IF(未审附注之非流动资产!D350="",0,未审附注之非流动资产!D350)</f>
        <v>0</v>
      </c>
      <c r="E350" s="2403">
        <f>IF(未审附注之非流动资产!E350="",0,未审附注之非流动资产!E350)</f>
        <v>0</v>
      </c>
      <c r="F350" s="2369">
        <f t="shared" ref="F350:F358" si="16">ROUND(B350+C350-D350-E350,2)</f>
        <v>0</v>
      </c>
      <c r="G350" s="2410">
        <f>IF(未审附注之非流动资产!G350="",0,未审附注之非流动资产!G350)</f>
        <v>0</v>
      </c>
      <c r="H350" s="2444"/>
      <c r="I350" s="2444"/>
      <c r="J350" s="2453" t="s">
        <v>828</v>
      </c>
    </row>
    <row r="351" spans="1:10">
      <c r="A351" s="2410">
        <f>IF(未审附注之非流动资产!A351="",0,未审附注之非流动资产!A351)</f>
        <v>0</v>
      </c>
      <c r="B351" s="2403">
        <f>IF(未审附注之非流动资产!B351="",0,未审附注之非流动资产!B351)</f>
        <v>0</v>
      </c>
      <c r="C351" s="2403">
        <f>IF(未审附注之非流动资产!C351="",0,未审附注之非流动资产!C351)</f>
        <v>0</v>
      </c>
      <c r="D351" s="2403">
        <f>IF(未审附注之非流动资产!D351="",0,未审附注之非流动资产!D351)</f>
        <v>0</v>
      </c>
      <c r="E351" s="2403">
        <f>IF(未审附注之非流动资产!E351="",0,未审附注之非流动资产!E351)</f>
        <v>0</v>
      </c>
      <c r="F351" s="2369">
        <f t="shared" si="16"/>
        <v>0</v>
      </c>
      <c r="G351" s="2410">
        <f>IF(未审附注之非流动资产!G351="",0,未审附注之非流动资产!G351)</f>
        <v>0</v>
      </c>
      <c r="H351" s="2444"/>
      <c r="I351" s="2444"/>
      <c r="J351" s="2453" t="s">
        <v>828</v>
      </c>
    </row>
    <row r="352" spans="1:10">
      <c r="A352" s="2410">
        <f>IF(未审附注之非流动资产!A352="",0,未审附注之非流动资产!A352)</f>
        <v>0</v>
      </c>
      <c r="B352" s="2403">
        <f>IF(未审附注之非流动资产!B352="",0,未审附注之非流动资产!B352)</f>
        <v>0</v>
      </c>
      <c r="C352" s="2403">
        <f>IF(未审附注之非流动资产!C352="",0,未审附注之非流动资产!C352)</f>
        <v>0</v>
      </c>
      <c r="D352" s="2403">
        <f>IF(未审附注之非流动资产!D352="",0,未审附注之非流动资产!D352)</f>
        <v>0</v>
      </c>
      <c r="E352" s="2403">
        <f>IF(未审附注之非流动资产!E352="",0,未审附注之非流动资产!E352)</f>
        <v>0</v>
      </c>
      <c r="F352" s="2369">
        <f t="shared" si="16"/>
        <v>0</v>
      </c>
      <c r="G352" s="2410">
        <f>IF(未审附注之非流动资产!G352="",0,未审附注之非流动资产!G352)</f>
        <v>0</v>
      </c>
      <c r="H352" s="2444"/>
      <c r="I352" s="2444"/>
      <c r="J352" s="2453" t="s">
        <v>828</v>
      </c>
    </row>
    <row r="353" spans="1:10">
      <c r="A353" s="2410">
        <f>IF(未审附注之非流动资产!A353="",0,未审附注之非流动资产!A353)</f>
        <v>0</v>
      </c>
      <c r="B353" s="2403">
        <f>IF(未审附注之非流动资产!B353="",0,未审附注之非流动资产!B353)</f>
        <v>0</v>
      </c>
      <c r="C353" s="2403">
        <f>IF(未审附注之非流动资产!C353="",0,未审附注之非流动资产!C353)</f>
        <v>0</v>
      </c>
      <c r="D353" s="2403">
        <f>IF(未审附注之非流动资产!D353="",0,未审附注之非流动资产!D353)</f>
        <v>0</v>
      </c>
      <c r="E353" s="2403">
        <f>IF(未审附注之非流动资产!E353="",0,未审附注之非流动资产!E353)</f>
        <v>0</v>
      </c>
      <c r="F353" s="2369">
        <f t="shared" si="16"/>
        <v>0</v>
      </c>
      <c r="G353" s="2410">
        <f>IF(未审附注之非流动资产!G353="",0,未审附注之非流动资产!G353)</f>
        <v>0</v>
      </c>
      <c r="H353" s="2444"/>
      <c r="I353" s="2444"/>
      <c r="J353" s="2453" t="s">
        <v>828</v>
      </c>
    </row>
    <row r="354" spans="1:10">
      <c r="A354" s="2410">
        <f>IF(未审附注之非流动资产!A354="",0,未审附注之非流动资产!A354)</f>
        <v>0</v>
      </c>
      <c r="B354" s="2403">
        <f>IF(未审附注之非流动资产!B354="",0,未审附注之非流动资产!B354)</f>
        <v>0</v>
      </c>
      <c r="C354" s="2403">
        <f>IF(未审附注之非流动资产!C354="",0,未审附注之非流动资产!C354)</f>
        <v>0</v>
      </c>
      <c r="D354" s="2403">
        <f>IF(未审附注之非流动资产!D354="",0,未审附注之非流动资产!D354)</f>
        <v>0</v>
      </c>
      <c r="E354" s="2403">
        <f>IF(未审附注之非流动资产!E354="",0,未审附注之非流动资产!E354)</f>
        <v>0</v>
      </c>
      <c r="F354" s="2369">
        <f t="shared" si="16"/>
        <v>0</v>
      </c>
      <c r="G354" s="2410">
        <f>IF(未审附注之非流动资产!G354="",0,未审附注之非流动资产!G354)</f>
        <v>0</v>
      </c>
      <c r="H354" s="2444"/>
      <c r="I354" s="2444"/>
      <c r="J354" s="2453" t="s">
        <v>828</v>
      </c>
    </row>
    <row r="355" spans="1:10">
      <c r="A355" s="2410">
        <f>IF(未审附注之非流动资产!A355="",0,未审附注之非流动资产!A355)</f>
        <v>0</v>
      </c>
      <c r="B355" s="2403">
        <f>IF(未审附注之非流动资产!B355="",0,未审附注之非流动资产!B355)</f>
        <v>0</v>
      </c>
      <c r="C355" s="2403">
        <f>IF(未审附注之非流动资产!C355="",0,未审附注之非流动资产!C355)</f>
        <v>0</v>
      </c>
      <c r="D355" s="2403">
        <f>IF(未审附注之非流动资产!D355="",0,未审附注之非流动资产!D355)</f>
        <v>0</v>
      </c>
      <c r="E355" s="2403">
        <f>IF(未审附注之非流动资产!E355="",0,未审附注之非流动资产!E355)</f>
        <v>0</v>
      </c>
      <c r="F355" s="2369">
        <f t="shared" si="16"/>
        <v>0</v>
      </c>
      <c r="G355" s="2410">
        <f>IF(未审附注之非流动资产!G355="",0,未审附注之非流动资产!G355)</f>
        <v>0</v>
      </c>
      <c r="H355" s="2444"/>
      <c r="I355" s="2444"/>
      <c r="J355" s="2453" t="s">
        <v>828</v>
      </c>
    </row>
    <row r="356" spans="1:10">
      <c r="A356" s="2410">
        <f>IF(未审附注之非流动资产!A356="",0,未审附注之非流动资产!A356)</f>
        <v>0</v>
      </c>
      <c r="B356" s="2403">
        <f>IF(未审附注之非流动资产!B356="",0,未审附注之非流动资产!B356)</f>
        <v>0</v>
      </c>
      <c r="C356" s="2403">
        <f>IF(未审附注之非流动资产!C356="",0,未审附注之非流动资产!C356)</f>
        <v>0</v>
      </c>
      <c r="D356" s="2403">
        <f>IF(未审附注之非流动资产!D356="",0,未审附注之非流动资产!D356)</f>
        <v>0</v>
      </c>
      <c r="E356" s="2403">
        <f>IF(未审附注之非流动资产!E356="",0,未审附注之非流动资产!E356)</f>
        <v>0</v>
      </c>
      <c r="F356" s="2369">
        <f t="shared" si="16"/>
        <v>0</v>
      </c>
      <c r="G356" s="2410">
        <f>IF(未审附注之非流动资产!G356="",0,未审附注之非流动资产!G356)</f>
        <v>0</v>
      </c>
      <c r="H356" s="2444"/>
      <c r="I356" s="2444"/>
      <c r="J356" s="2453" t="s">
        <v>828</v>
      </c>
    </row>
    <row r="357" spans="1:10">
      <c r="A357" s="2410">
        <f>IF(未审附注之非流动资产!A357="",0,未审附注之非流动资产!A357)</f>
        <v>0</v>
      </c>
      <c r="B357" s="2403">
        <f>IF(未审附注之非流动资产!B357="",0,未审附注之非流动资产!B357)</f>
        <v>0</v>
      </c>
      <c r="C357" s="2403">
        <f>IF(未审附注之非流动资产!C357="",0,未审附注之非流动资产!C357)</f>
        <v>0</v>
      </c>
      <c r="D357" s="2403">
        <f>IF(未审附注之非流动资产!D357="",0,未审附注之非流动资产!D357)</f>
        <v>0</v>
      </c>
      <c r="E357" s="2403">
        <f>IF(未审附注之非流动资产!E357="",0,未审附注之非流动资产!E357)</f>
        <v>0</v>
      </c>
      <c r="F357" s="2369">
        <f t="shared" si="16"/>
        <v>0</v>
      </c>
      <c r="G357" s="2410">
        <f>IF(未审附注之非流动资产!G357="",0,未审附注之非流动资产!G357)</f>
        <v>0</v>
      </c>
      <c r="H357" s="2444"/>
      <c r="I357" s="2444"/>
      <c r="J357" s="2453" t="s">
        <v>828</v>
      </c>
    </row>
    <row r="358" spans="1:10">
      <c r="A358" s="2410">
        <f>IF(未审附注之非流动资产!A358="",0,未审附注之非流动资产!A358)</f>
        <v>0</v>
      </c>
      <c r="B358" s="2403">
        <f>IF(未审附注之非流动资产!B358="",0,未审附注之非流动资产!B358)</f>
        <v>0</v>
      </c>
      <c r="C358" s="2403">
        <f>IF(未审附注之非流动资产!C358="",0,未审附注之非流动资产!C358)</f>
        <v>0</v>
      </c>
      <c r="D358" s="2403">
        <f>IF(未审附注之非流动资产!D358="",0,未审附注之非流动资产!D358)</f>
        <v>0</v>
      </c>
      <c r="E358" s="2403">
        <f>IF(未审附注之非流动资产!E358="",0,未审附注之非流动资产!E358)</f>
        <v>0</v>
      </c>
      <c r="F358" s="2369">
        <f t="shared" si="16"/>
        <v>0</v>
      </c>
      <c r="G358" s="2410">
        <f>IF(未审附注之非流动资产!G358="",0,未审附注之非流动资产!G358)</f>
        <v>0</v>
      </c>
      <c r="H358" s="2444"/>
      <c r="I358" s="2444"/>
      <c r="J358" s="2453" t="s">
        <v>828</v>
      </c>
    </row>
    <row r="359" spans="1:10">
      <c r="A359" s="2400" t="s">
        <v>385</v>
      </c>
      <c r="B359" s="2369">
        <f>ROUND(SUM(B349:B358),2)</f>
        <v>0</v>
      </c>
      <c r="C359" s="2369">
        <f>ROUND(SUM(C349:C358),2)</f>
        <v>0</v>
      </c>
      <c r="D359" s="2369">
        <f>ROUND(SUM(D349:D358),2)</f>
        <v>0</v>
      </c>
      <c r="E359" s="2369">
        <f>ROUND(SUM(E349:E358),2)</f>
        <v>0</v>
      </c>
      <c r="F359" s="2369">
        <f>ROUND(SUM(F349:F358),2)</f>
        <v>0</v>
      </c>
      <c r="G359" s="2369"/>
      <c r="H359" s="2444"/>
      <c r="I359" s="2444"/>
      <c r="J359" s="2453" t="s">
        <v>829</v>
      </c>
    </row>
    <row r="360" spans="1:10">
      <c r="A360" s="2437"/>
      <c r="B360" s="2437"/>
      <c r="C360" s="2437"/>
      <c r="D360" s="2437"/>
      <c r="E360" s="2437"/>
      <c r="F360" s="2437"/>
      <c r="G360" s="2437"/>
      <c r="H360" s="2437"/>
      <c r="I360" s="2437"/>
      <c r="J360" s="2460"/>
    </row>
    <row r="361" spans="1:10">
      <c r="A361" s="2421"/>
      <c r="B361" s="2398"/>
      <c r="C361" s="2398"/>
      <c r="D361" s="2398"/>
      <c r="E361" s="2398"/>
      <c r="F361" s="2398"/>
      <c r="G361" s="2398"/>
      <c r="H361" s="2398"/>
      <c r="I361" s="2398"/>
      <c r="J361" s="2460"/>
    </row>
    <row r="362" spans="1:10">
      <c r="A362" s="2397" t="s">
        <v>830</v>
      </c>
      <c r="B362" s="2398"/>
      <c r="C362" s="2398"/>
      <c r="D362" s="2398"/>
      <c r="E362" s="2398"/>
      <c r="F362" s="2398"/>
      <c r="G362" s="2398"/>
      <c r="H362" s="2398"/>
      <c r="I362" s="2398"/>
      <c r="J362" s="2460"/>
    </row>
    <row r="363" spans="1:10">
      <c r="A363" s="2400" t="s">
        <v>373</v>
      </c>
      <c r="B363" s="2400" t="s">
        <v>627</v>
      </c>
      <c r="C363" s="2400" t="s">
        <v>628</v>
      </c>
      <c r="D363" s="2398"/>
      <c r="E363" s="2398"/>
      <c r="F363" s="2398"/>
      <c r="G363" s="2398"/>
      <c r="H363" s="2398"/>
      <c r="I363" s="2398"/>
      <c r="J363" s="2460"/>
    </row>
    <row r="364" spans="1:10">
      <c r="A364" s="2410">
        <f>IF(未审附注之非流动资产!A364="",0,未审附注之非流动资产!A364)</f>
        <v>0</v>
      </c>
      <c r="B364" s="2403">
        <f>IF(未审附注之非流动资产!B364="",0,未审附注之非流动资产!B364)</f>
        <v>0</v>
      </c>
      <c r="C364" s="2403">
        <f>IF(未审附注之非流动资产!C364="",0,未审附注之非流动资产!C364)</f>
        <v>0</v>
      </c>
      <c r="D364" s="2398"/>
      <c r="E364" s="2398"/>
      <c r="F364" s="2398"/>
      <c r="G364" s="2398"/>
      <c r="H364" s="2398"/>
      <c r="I364" s="2398"/>
      <c r="J364" s="2436" t="s">
        <v>238</v>
      </c>
    </row>
    <row r="365" spans="1:10">
      <c r="A365" s="2410">
        <f>IF(未审附注之非流动资产!A365="",0,未审附注之非流动资产!A365)</f>
        <v>0</v>
      </c>
      <c r="B365" s="2403">
        <f>IF(未审附注之非流动资产!B365="",0,未审附注之非流动资产!B365)</f>
        <v>0</v>
      </c>
      <c r="C365" s="2403">
        <f>IF(未审附注之非流动资产!C365="",0,未审附注之非流动资产!C365)</f>
        <v>0</v>
      </c>
      <c r="D365" s="2398"/>
      <c r="E365" s="2398"/>
      <c r="F365" s="2398"/>
      <c r="G365" s="2398"/>
      <c r="H365" s="2398"/>
      <c r="I365" s="2398"/>
      <c r="J365" s="2436" t="s">
        <v>238</v>
      </c>
    </row>
    <row r="366" spans="1:10">
      <c r="A366" s="2410">
        <f>IF(未审附注之非流动资产!A366="",0,未审附注之非流动资产!A366)</f>
        <v>0</v>
      </c>
      <c r="B366" s="2403">
        <f>IF(未审附注之非流动资产!B366="",0,未审附注之非流动资产!B366)</f>
        <v>0</v>
      </c>
      <c r="C366" s="2403">
        <f>IF(未审附注之非流动资产!C366="",0,未审附注之非流动资产!C366)</f>
        <v>0</v>
      </c>
      <c r="D366" s="2398"/>
      <c r="E366" s="2398"/>
      <c r="F366" s="2398"/>
      <c r="G366" s="2398"/>
      <c r="H366" s="2398"/>
      <c r="I366" s="2398"/>
      <c r="J366" s="2436" t="s">
        <v>238</v>
      </c>
    </row>
    <row r="367" spans="1:10">
      <c r="A367" s="2410">
        <f>IF(未审附注之非流动资产!A367="",0,未审附注之非流动资产!A367)</f>
        <v>0</v>
      </c>
      <c r="B367" s="2403">
        <f>IF(未审附注之非流动资产!B367="",0,未审附注之非流动资产!B367)</f>
        <v>0</v>
      </c>
      <c r="C367" s="2403">
        <f>IF(未审附注之非流动资产!C367="",0,未审附注之非流动资产!C367)</f>
        <v>0</v>
      </c>
      <c r="D367" s="2398"/>
      <c r="E367" s="2398"/>
      <c r="F367" s="2398"/>
      <c r="G367" s="2398"/>
      <c r="H367" s="2398"/>
      <c r="I367" s="2398"/>
      <c r="J367" s="2436" t="s">
        <v>238</v>
      </c>
    </row>
    <row r="368" spans="1:10">
      <c r="A368" s="2410">
        <f>IF(未审附注之非流动资产!A368="",0,未审附注之非流动资产!A368)</f>
        <v>0</v>
      </c>
      <c r="B368" s="2403">
        <f>IF(未审附注之非流动资产!B368="",0,未审附注之非流动资产!B368)</f>
        <v>0</v>
      </c>
      <c r="C368" s="2403">
        <f>IF(未审附注之非流动资产!C368="",0,未审附注之非流动资产!C368)</f>
        <v>0</v>
      </c>
      <c r="D368" s="2398"/>
      <c r="E368" s="2398"/>
      <c r="F368" s="2398"/>
      <c r="G368" s="2398"/>
      <c r="H368" s="2398"/>
      <c r="I368" s="2398"/>
      <c r="J368" s="2436" t="s">
        <v>238</v>
      </c>
    </row>
    <row r="369" spans="1:10">
      <c r="A369" s="2410">
        <f>IF(未审附注之非流动资产!A369="",0,未审附注之非流动资产!A369)</f>
        <v>0</v>
      </c>
      <c r="B369" s="2403">
        <f>IF(未审附注之非流动资产!B369="",0,未审附注之非流动资产!B369)</f>
        <v>0</v>
      </c>
      <c r="C369" s="2403">
        <f>IF(未审附注之非流动资产!C369="",0,未审附注之非流动资产!C369)</f>
        <v>0</v>
      </c>
      <c r="D369" s="2398"/>
      <c r="E369" s="2398"/>
      <c r="F369" s="2398"/>
      <c r="G369" s="2398"/>
      <c r="H369" s="2398"/>
      <c r="I369" s="2398"/>
      <c r="J369" s="2436" t="s">
        <v>238</v>
      </c>
    </row>
    <row r="370" spans="1:10">
      <c r="A370" s="2410">
        <f>IF(未审附注之非流动资产!A370="",0,未审附注之非流动资产!A370)</f>
        <v>0</v>
      </c>
      <c r="B370" s="2403">
        <f>IF(未审附注之非流动资产!B370="",0,未审附注之非流动资产!B370)</f>
        <v>0</v>
      </c>
      <c r="C370" s="2403">
        <f>IF(未审附注之非流动资产!C370="",0,未审附注之非流动资产!C370)</f>
        <v>0</v>
      </c>
      <c r="D370" s="2398"/>
      <c r="E370" s="2398"/>
      <c r="F370" s="2398"/>
      <c r="G370" s="2398"/>
      <c r="H370" s="2398"/>
      <c r="I370" s="2398"/>
      <c r="J370" s="2436" t="s">
        <v>238</v>
      </c>
    </row>
    <row r="371" spans="1:10">
      <c r="A371" s="2410">
        <f>IF(未审附注之非流动资产!A371="",0,未审附注之非流动资产!A371)</f>
        <v>0</v>
      </c>
      <c r="B371" s="2403">
        <f>IF(未审附注之非流动资产!B371="",0,未审附注之非流动资产!B371)</f>
        <v>0</v>
      </c>
      <c r="C371" s="2403">
        <f>IF(未审附注之非流动资产!C371="",0,未审附注之非流动资产!C371)</f>
        <v>0</v>
      </c>
      <c r="D371" s="2398"/>
      <c r="E371" s="2398"/>
      <c r="F371" s="2398"/>
      <c r="G371" s="2398"/>
      <c r="H371" s="2398"/>
      <c r="I371" s="2398"/>
      <c r="J371" s="2436" t="s">
        <v>238</v>
      </c>
    </row>
    <row r="372" spans="1:10">
      <c r="A372" s="2410">
        <f>IF(未审附注之非流动资产!A372="",0,未审附注之非流动资产!A372)</f>
        <v>0</v>
      </c>
      <c r="B372" s="2403">
        <f>IF(未审附注之非流动资产!B372="",0,未审附注之非流动资产!B372)</f>
        <v>0</v>
      </c>
      <c r="C372" s="2403">
        <f>IF(未审附注之非流动资产!C372="",0,未审附注之非流动资产!C372)</f>
        <v>0</v>
      </c>
      <c r="D372" s="2398"/>
      <c r="E372" s="2398"/>
      <c r="F372" s="2398"/>
      <c r="G372" s="2398"/>
      <c r="H372" s="2398"/>
      <c r="I372" s="2398"/>
      <c r="J372" s="2436" t="s">
        <v>238</v>
      </c>
    </row>
    <row r="373" spans="1:10">
      <c r="A373" s="2410">
        <f>IF(未审附注之非流动资产!A373="",0,未审附注之非流动资产!A373)</f>
        <v>0</v>
      </c>
      <c r="B373" s="2403">
        <f>IF(未审附注之非流动资产!B373="",0,未审附注之非流动资产!B373)</f>
        <v>0</v>
      </c>
      <c r="C373" s="2403">
        <f>IF(未审附注之非流动资产!C373="",0,未审附注之非流动资产!C373)</f>
        <v>0</v>
      </c>
      <c r="D373" s="2398"/>
      <c r="E373" s="2398"/>
      <c r="F373" s="2398"/>
      <c r="G373" s="2398"/>
      <c r="H373" s="2398"/>
      <c r="I373" s="2398"/>
      <c r="J373" s="2436" t="s">
        <v>238</v>
      </c>
    </row>
    <row r="374" spans="1:10">
      <c r="A374" s="2400" t="s">
        <v>385</v>
      </c>
      <c r="B374" s="2369">
        <f>ROUND(SUM(B364:B373),2)</f>
        <v>0</v>
      </c>
      <c r="C374" s="2369">
        <f>ROUND(SUM(C364:C373),2)</f>
        <v>0</v>
      </c>
      <c r="D374" s="2398"/>
      <c r="E374" s="2398"/>
      <c r="F374" s="2398"/>
      <c r="G374" s="2398"/>
      <c r="H374" s="2398"/>
      <c r="I374" s="2398"/>
      <c r="J374" s="2436" t="s">
        <v>831</v>
      </c>
    </row>
    <row r="375" spans="1:10">
      <c r="A375" s="2437"/>
      <c r="B375" s="2437"/>
      <c r="C375" s="2437"/>
      <c r="D375" s="2437"/>
      <c r="E375" s="2437"/>
      <c r="F375" s="2437"/>
      <c r="G375" s="2437"/>
      <c r="H375" s="2437"/>
      <c r="I375" s="2437"/>
      <c r="J375" s="2460"/>
    </row>
    <row r="376" spans="1:10">
      <c r="A376" s="2421"/>
      <c r="B376" s="2398"/>
      <c r="C376" s="2398"/>
      <c r="D376" s="2398"/>
      <c r="E376" s="2398"/>
      <c r="F376" s="2398"/>
      <c r="G376" s="2398"/>
      <c r="H376" s="2398"/>
      <c r="I376" s="2398"/>
      <c r="J376" s="2460"/>
    </row>
    <row r="377" spans="1:10">
      <c r="A377" s="2397" t="s">
        <v>832</v>
      </c>
      <c r="B377" s="2398"/>
      <c r="C377" s="2398"/>
      <c r="D377" s="2398"/>
      <c r="E377" s="2398"/>
      <c r="F377" s="2398"/>
      <c r="G377" s="2398"/>
      <c r="H377" s="2398"/>
      <c r="I377" s="2398"/>
      <c r="J377" s="2460"/>
    </row>
    <row r="378" spans="1:10">
      <c r="A378" s="2400" t="s">
        <v>373</v>
      </c>
      <c r="B378" s="2400" t="s">
        <v>627</v>
      </c>
      <c r="C378" s="2400" t="s">
        <v>628</v>
      </c>
      <c r="D378" s="2400" t="s">
        <v>833</v>
      </c>
      <c r="E378" s="2398"/>
      <c r="F378" s="2398"/>
      <c r="G378" s="2398"/>
      <c r="H378" s="2398"/>
      <c r="I378" s="2398"/>
      <c r="J378" s="2460"/>
    </row>
    <row r="379" spans="1:10">
      <c r="A379" s="2410">
        <f>IF(未审附注之非流动资产!A379="",0,未审附注之非流动资产!A379)</f>
        <v>0</v>
      </c>
      <c r="B379" s="2403">
        <f>IF(未审附注之非流动资产!B379="",0,未审附注之非流动资产!B379)</f>
        <v>0</v>
      </c>
      <c r="C379" s="2403">
        <f>IF(未审附注之非流动资产!C379="",0,未审附注之非流动资产!C379)</f>
        <v>0</v>
      </c>
      <c r="D379" s="2410">
        <f>IF(未审附注之非流动资产!D379="",0,未审附注之非流动资产!D379)</f>
        <v>0</v>
      </c>
      <c r="E379" s="2398"/>
      <c r="F379" s="2398"/>
      <c r="G379" s="2398"/>
      <c r="H379" s="2398"/>
      <c r="I379" s="2398"/>
      <c r="J379" s="2436" t="s">
        <v>240</v>
      </c>
    </row>
    <row r="380" spans="1:10">
      <c r="A380" s="2410">
        <f>IF(未审附注之非流动资产!A380="",0,未审附注之非流动资产!A380)</f>
        <v>0</v>
      </c>
      <c r="B380" s="2403">
        <f>IF(未审附注之非流动资产!B380="",0,未审附注之非流动资产!B380)</f>
        <v>0</v>
      </c>
      <c r="C380" s="2403">
        <f>IF(未审附注之非流动资产!C380="",0,未审附注之非流动资产!C380)</f>
        <v>0</v>
      </c>
      <c r="D380" s="2410">
        <f>IF(未审附注之非流动资产!D380="",0,未审附注之非流动资产!D380)</f>
        <v>0</v>
      </c>
      <c r="E380" s="2398"/>
      <c r="F380" s="2398"/>
      <c r="G380" s="2398"/>
      <c r="H380" s="2398"/>
      <c r="I380" s="2398"/>
      <c r="J380" s="2436" t="s">
        <v>240</v>
      </c>
    </row>
    <row r="381" spans="1:10">
      <c r="A381" s="2410">
        <f>IF(未审附注之非流动资产!A381="",0,未审附注之非流动资产!A381)</f>
        <v>0</v>
      </c>
      <c r="B381" s="2403">
        <f>IF(未审附注之非流动资产!B381="",0,未审附注之非流动资产!B381)</f>
        <v>0</v>
      </c>
      <c r="C381" s="2403">
        <f>IF(未审附注之非流动资产!C381="",0,未审附注之非流动资产!C381)</f>
        <v>0</v>
      </c>
      <c r="D381" s="2410">
        <f>IF(未审附注之非流动资产!D381="",0,未审附注之非流动资产!D381)</f>
        <v>0</v>
      </c>
      <c r="E381" s="2398"/>
      <c r="F381" s="2398"/>
      <c r="G381" s="2398"/>
      <c r="H381" s="2398"/>
      <c r="I381" s="2398"/>
      <c r="J381" s="2436" t="s">
        <v>240</v>
      </c>
    </row>
    <row r="382" spans="1:10">
      <c r="A382" s="2410">
        <f>IF(未审附注之非流动资产!A382="",0,未审附注之非流动资产!A382)</f>
        <v>0</v>
      </c>
      <c r="B382" s="2403">
        <f>IF(未审附注之非流动资产!B382="",0,未审附注之非流动资产!B382)</f>
        <v>0</v>
      </c>
      <c r="C382" s="2403">
        <f>IF(未审附注之非流动资产!C382="",0,未审附注之非流动资产!C382)</f>
        <v>0</v>
      </c>
      <c r="D382" s="2410">
        <f>IF(未审附注之非流动资产!D382="",0,未审附注之非流动资产!D382)</f>
        <v>0</v>
      </c>
      <c r="E382" s="2398"/>
      <c r="F382" s="2398"/>
      <c r="G382" s="2398"/>
      <c r="H382" s="2398"/>
      <c r="I382" s="2398"/>
      <c r="J382" s="2436" t="s">
        <v>240</v>
      </c>
    </row>
    <row r="383" spans="1:10">
      <c r="A383" s="2410">
        <f>IF(未审附注之非流动资产!A383="",0,未审附注之非流动资产!A383)</f>
        <v>0</v>
      </c>
      <c r="B383" s="2403">
        <f>IF(未审附注之非流动资产!B383="",0,未审附注之非流动资产!B383)</f>
        <v>0</v>
      </c>
      <c r="C383" s="2403">
        <f>IF(未审附注之非流动资产!C383="",0,未审附注之非流动资产!C383)</f>
        <v>0</v>
      </c>
      <c r="D383" s="2410">
        <f>IF(未审附注之非流动资产!D383="",0,未审附注之非流动资产!D383)</f>
        <v>0</v>
      </c>
      <c r="E383" s="2398"/>
      <c r="F383" s="2398"/>
      <c r="G383" s="2398"/>
      <c r="H383" s="2398"/>
      <c r="I383" s="2398"/>
      <c r="J383" s="2436" t="s">
        <v>240</v>
      </c>
    </row>
    <row r="384" spans="1:10">
      <c r="A384" s="2410">
        <f>IF(未审附注之非流动资产!A384="",0,未审附注之非流动资产!A384)</f>
        <v>0</v>
      </c>
      <c r="B384" s="2403">
        <f>IF(未审附注之非流动资产!B384="",0,未审附注之非流动资产!B384)</f>
        <v>0</v>
      </c>
      <c r="C384" s="2403">
        <f>IF(未审附注之非流动资产!C384="",0,未审附注之非流动资产!C384)</f>
        <v>0</v>
      </c>
      <c r="D384" s="2410">
        <f>IF(未审附注之非流动资产!D384="",0,未审附注之非流动资产!D384)</f>
        <v>0</v>
      </c>
      <c r="E384" s="2398"/>
      <c r="F384" s="2398"/>
      <c r="G384" s="2398"/>
      <c r="H384" s="2398"/>
      <c r="I384" s="2398"/>
      <c r="J384" s="2436" t="s">
        <v>240</v>
      </c>
    </row>
    <row r="385" spans="1:10">
      <c r="A385" s="2410">
        <f>IF(未审附注之非流动资产!A385="",0,未审附注之非流动资产!A385)</f>
        <v>0</v>
      </c>
      <c r="B385" s="2403">
        <f>IF(未审附注之非流动资产!B385="",0,未审附注之非流动资产!B385)</f>
        <v>0</v>
      </c>
      <c r="C385" s="2403">
        <f>IF(未审附注之非流动资产!C385="",0,未审附注之非流动资产!C385)</f>
        <v>0</v>
      </c>
      <c r="D385" s="2410">
        <f>IF(未审附注之非流动资产!D385="",0,未审附注之非流动资产!D385)</f>
        <v>0</v>
      </c>
      <c r="E385" s="2398"/>
      <c r="F385" s="2398"/>
      <c r="G385" s="2398"/>
      <c r="H385" s="2398"/>
      <c r="I385" s="2398"/>
      <c r="J385" s="2436" t="s">
        <v>240</v>
      </c>
    </row>
    <row r="386" spans="1:10">
      <c r="A386" s="2410">
        <f>IF(未审附注之非流动资产!A386="",0,未审附注之非流动资产!A386)</f>
        <v>0</v>
      </c>
      <c r="B386" s="2403">
        <f>IF(未审附注之非流动资产!B386="",0,未审附注之非流动资产!B386)</f>
        <v>0</v>
      </c>
      <c r="C386" s="2403">
        <f>IF(未审附注之非流动资产!C386="",0,未审附注之非流动资产!C386)</f>
        <v>0</v>
      </c>
      <c r="D386" s="2410">
        <f>IF(未审附注之非流动资产!D386="",0,未审附注之非流动资产!D386)</f>
        <v>0</v>
      </c>
      <c r="E386" s="2398"/>
      <c r="F386" s="2398"/>
      <c r="G386" s="2398"/>
      <c r="H386" s="2398"/>
      <c r="I386" s="2398"/>
      <c r="J386" s="2436" t="s">
        <v>240</v>
      </c>
    </row>
    <row r="387" spans="1:10">
      <c r="A387" s="2410">
        <f>IF(未审附注之非流动资产!A387="",0,未审附注之非流动资产!A387)</f>
        <v>0</v>
      </c>
      <c r="B387" s="2403">
        <f>IF(未审附注之非流动资产!B387="",0,未审附注之非流动资产!B387)</f>
        <v>0</v>
      </c>
      <c r="C387" s="2403">
        <f>IF(未审附注之非流动资产!C387="",0,未审附注之非流动资产!C387)</f>
        <v>0</v>
      </c>
      <c r="D387" s="2410">
        <f>IF(未审附注之非流动资产!D387="",0,未审附注之非流动资产!D387)</f>
        <v>0</v>
      </c>
      <c r="E387" s="2398"/>
      <c r="F387" s="2398"/>
      <c r="G387" s="2398"/>
      <c r="H387" s="2398"/>
      <c r="I387" s="2398"/>
      <c r="J387" s="2436" t="s">
        <v>240</v>
      </c>
    </row>
    <row r="388" spans="1:10">
      <c r="A388" s="2410">
        <f>IF(未审附注之非流动资产!A388="",0,未审附注之非流动资产!A388)</f>
        <v>0</v>
      </c>
      <c r="B388" s="2403">
        <f>IF(未审附注之非流动资产!B388="",0,未审附注之非流动资产!B388)</f>
        <v>0</v>
      </c>
      <c r="C388" s="2403">
        <f>IF(未审附注之非流动资产!C388="",0,未审附注之非流动资产!C388)</f>
        <v>0</v>
      </c>
      <c r="D388" s="2410">
        <f>IF(未审附注之非流动资产!D388="",0,未审附注之非流动资产!D388)</f>
        <v>0</v>
      </c>
      <c r="E388" s="2398"/>
      <c r="F388" s="2398"/>
      <c r="G388" s="2398"/>
      <c r="H388" s="2398"/>
      <c r="I388" s="2398"/>
      <c r="J388" s="2436" t="s">
        <v>240</v>
      </c>
    </row>
    <row r="389" spans="1:10">
      <c r="A389" s="2400" t="s">
        <v>385</v>
      </c>
      <c r="B389" s="2369">
        <f>ROUND(SUM(B379:B388),2)</f>
        <v>0</v>
      </c>
      <c r="C389" s="2369">
        <f>ROUND(SUM(C379:C388),2)</f>
        <v>0</v>
      </c>
      <c r="D389" s="2369"/>
      <c r="E389" s="2398"/>
      <c r="F389" s="2398"/>
      <c r="G389" s="2398"/>
      <c r="H389" s="2398"/>
      <c r="I389" s="2398"/>
      <c r="J389" s="2436" t="s">
        <v>834</v>
      </c>
    </row>
    <row r="390" spans="1:9">
      <c r="A390" s="2458"/>
      <c r="B390" s="2444"/>
      <c r="C390" s="2444"/>
      <c r="D390" s="2444"/>
      <c r="E390" s="2444"/>
      <c r="F390" s="2444"/>
      <c r="G390" s="2444"/>
      <c r="H390" s="2444"/>
      <c r="I390" s="2444"/>
    </row>
    <row r="391" spans="1:9">
      <c r="A391" s="2458"/>
      <c r="B391" s="2444"/>
      <c r="C391" s="2444"/>
      <c r="D391" s="2444"/>
      <c r="E391" s="2444"/>
      <c r="F391" s="2444"/>
      <c r="G391" s="2444"/>
      <c r="H391" s="2444"/>
      <c r="I391" s="2444"/>
    </row>
    <row r="392" spans="1:9">
      <c r="A392" s="2443" t="s">
        <v>835</v>
      </c>
      <c r="B392" s="2444"/>
      <c r="C392" s="2444"/>
      <c r="D392" s="2444"/>
      <c r="E392" s="2444"/>
      <c r="F392" s="2444"/>
      <c r="G392" s="2444"/>
      <c r="H392" s="2444"/>
      <c r="I392" s="2444"/>
    </row>
    <row r="393" spans="1:9">
      <c r="A393" s="2445" t="s">
        <v>836</v>
      </c>
      <c r="B393" s="2444"/>
      <c r="C393" s="2444"/>
      <c r="D393" s="2444"/>
      <c r="E393" s="2444"/>
      <c r="F393" s="2444"/>
      <c r="G393" s="2444"/>
      <c r="H393" s="2444"/>
      <c r="I393" s="2444"/>
    </row>
    <row r="394" spans="1:10">
      <c r="A394" s="2400" t="s">
        <v>373</v>
      </c>
      <c r="B394" s="2400" t="s">
        <v>317</v>
      </c>
      <c r="C394" s="2400" t="s">
        <v>582</v>
      </c>
      <c r="D394" s="2400" t="s">
        <v>583</v>
      </c>
      <c r="E394" s="2400" t="s">
        <v>316</v>
      </c>
      <c r="F394" s="2426" t="s">
        <v>837</v>
      </c>
      <c r="G394" s="2446"/>
      <c r="H394" s="2446"/>
      <c r="I394" s="2446"/>
      <c r="J394" s="2460"/>
    </row>
    <row r="395" spans="1:10">
      <c r="A395" s="2402" t="s">
        <v>838</v>
      </c>
      <c r="B395" s="2405"/>
      <c r="C395" s="2405"/>
      <c r="D395" s="2405"/>
      <c r="E395" s="2405"/>
      <c r="F395" s="2416"/>
      <c r="G395" s="2413"/>
      <c r="H395" s="2413"/>
      <c r="I395" s="2413"/>
      <c r="J395" s="2460"/>
    </row>
    <row r="396" spans="1:10">
      <c r="A396" s="2410">
        <f>IF(未审附注之非流动资产!A396="",0,未审附注之非流动资产!A396)</f>
        <v>0</v>
      </c>
      <c r="B396" s="2403">
        <f>IF(未审附注之非流动资产!B396="",0,未审附注之非流动资产!B396)</f>
        <v>0</v>
      </c>
      <c r="C396" s="2403">
        <f>IF(未审附注之非流动资产!C396="",0,未审附注之非流动资产!C396)</f>
        <v>0</v>
      </c>
      <c r="D396" s="2403">
        <f>IF(未审附注之非流动资产!D396="",0,未审附注之非流动资产!D396)</f>
        <v>0</v>
      </c>
      <c r="E396" s="2369">
        <f>ROUND(B396+C396-D396,2)</f>
        <v>0</v>
      </c>
      <c r="F396" s="2461">
        <f>IF(未审附注之非流动资产!F396="",0,未审附注之非流动资产!F396)</f>
        <v>0</v>
      </c>
      <c r="G396" s="2413"/>
      <c r="H396" s="2413"/>
      <c r="I396" s="2413"/>
      <c r="J396" s="2436" t="s">
        <v>839</v>
      </c>
    </row>
    <row r="397" spans="1:10">
      <c r="A397" s="2410">
        <f>IF(未审附注之非流动资产!A397="",0,未审附注之非流动资产!A397)</f>
        <v>0</v>
      </c>
      <c r="B397" s="2403">
        <f>IF(未审附注之非流动资产!B397="",0,未审附注之非流动资产!B397)</f>
        <v>0</v>
      </c>
      <c r="C397" s="2403">
        <f>IF(未审附注之非流动资产!C397="",0,未审附注之非流动资产!C397)</f>
        <v>0</v>
      </c>
      <c r="D397" s="2403">
        <f>IF(未审附注之非流动资产!D397="",0,未审附注之非流动资产!D397)</f>
        <v>0</v>
      </c>
      <c r="E397" s="2369">
        <f t="shared" ref="E397:E405" si="17">ROUND(B397+C397-D397,2)</f>
        <v>0</v>
      </c>
      <c r="F397" s="2461">
        <f>IF(未审附注之非流动资产!F397="",0,未审附注之非流动资产!F397)</f>
        <v>0</v>
      </c>
      <c r="G397" s="2413"/>
      <c r="H397" s="2413"/>
      <c r="I397" s="2413"/>
      <c r="J397" s="2436" t="s">
        <v>839</v>
      </c>
    </row>
    <row r="398" spans="1:10">
      <c r="A398" s="2410">
        <f>IF(未审附注之非流动资产!A398="",0,未审附注之非流动资产!A398)</f>
        <v>0</v>
      </c>
      <c r="B398" s="2403">
        <f>IF(未审附注之非流动资产!B398="",0,未审附注之非流动资产!B398)</f>
        <v>0</v>
      </c>
      <c r="C398" s="2403">
        <f>IF(未审附注之非流动资产!C398="",0,未审附注之非流动资产!C398)</f>
        <v>0</v>
      </c>
      <c r="D398" s="2403">
        <f>IF(未审附注之非流动资产!D398="",0,未审附注之非流动资产!D398)</f>
        <v>0</v>
      </c>
      <c r="E398" s="2369">
        <f t="shared" si="17"/>
        <v>0</v>
      </c>
      <c r="F398" s="2461">
        <f>IF(未审附注之非流动资产!F398="",0,未审附注之非流动资产!F398)</f>
        <v>0</v>
      </c>
      <c r="G398" s="2413"/>
      <c r="H398" s="2413"/>
      <c r="I398" s="2413"/>
      <c r="J398" s="2436" t="s">
        <v>839</v>
      </c>
    </row>
    <row r="399" spans="1:10">
      <c r="A399" s="2410">
        <f>IF(未审附注之非流动资产!A399="",0,未审附注之非流动资产!A399)</f>
        <v>0</v>
      </c>
      <c r="B399" s="2403">
        <f>IF(未审附注之非流动资产!B399="",0,未审附注之非流动资产!B399)</f>
        <v>0</v>
      </c>
      <c r="C399" s="2403">
        <f>IF(未审附注之非流动资产!C399="",0,未审附注之非流动资产!C399)</f>
        <v>0</v>
      </c>
      <c r="D399" s="2403">
        <f>IF(未审附注之非流动资产!D399="",0,未审附注之非流动资产!D399)</f>
        <v>0</v>
      </c>
      <c r="E399" s="2369">
        <f t="shared" si="17"/>
        <v>0</v>
      </c>
      <c r="F399" s="2461">
        <f>IF(未审附注之非流动资产!F399="",0,未审附注之非流动资产!F399)</f>
        <v>0</v>
      </c>
      <c r="G399" s="2413"/>
      <c r="H399" s="2413"/>
      <c r="I399" s="2413"/>
      <c r="J399" s="2436" t="s">
        <v>839</v>
      </c>
    </row>
    <row r="400" spans="1:10">
      <c r="A400" s="2410">
        <f>IF(未审附注之非流动资产!A400="",0,未审附注之非流动资产!A400)</f>
        <v>0</v>
      </c>
      <c r="B400" s="2403">
        <f>IF(未审附注之非流动资产!B400="",0,未审附注之非流动资产!B400)</f>
        <v>0</v>
      </c>
      <c r="C400" s="2403">
        <f>IF(未审附注之非流动资产!C400="",0,未审附注之非流动资产!C400)</f>
        <v>0</v>
      </c>
      <c r="D400" s="2403">
        <f>IF(未审附注之非流动资产!D400="",0,未审附注之非流动资产!D400)</f>
        <v>0</v>
      </c>
      <c r="E400" s="2369">
        <f t="shared" si="17"/>
        <v>0</v>
      </c>
      <c r="F400" s="2461">
        <f>IF(未审附注之非流动资产!F400="",0,未审附注之非流动资产!F400)</f>
        <v>0</v>
      </c>
      <c r="G400" s="2413"/>
      <c r="H400" s="2413"/>
      <c r="I400" s="2413"/>
      <c r="J400" s="2436" t="s">
        <v>839</v>
      </c>
    </row>
    <row r="401" spans="1:10">
      <c r="A401" s="2410">
        <f>IF(未审附注之非流动资产!A401="",0,未审附注之非流动资产!A401)</f>
        <v>0</v>
      </c>
      <c r="B401" s="2403">
        <f>IF(未审附注之非流动资产!B401="",0,未审附注之非流动资产!B401)</f>
        <v>0</v>
      </c>
      <c r="C401" s="2403">
        <f>IF(未审附注之非流动资产!C401="",0,未审附注之非流动资产!C401)</f>
        <v>0</v>
      </c>
      <c r="D401" s="2403">
        <f>IF(未审附注之非流动资产!D401="",0,未审附注之非流动资产!D401)</f>
        <v>0</v>
      </c>
      <c r="E401" s="2369">
        <f t="shared" si="17"/>
        <v>0</v>
      </c>
      <c r="F401" s="2461">
        <f>IF(未审附注之非流动资产!F401="",0,未审附注之非流动资产!F401)</f>
        <v>0</v>
      </c>
      <c r="G401" s="2413"/>
      <c r="H401" s="2413"/>
      <c r="I401" s="2413"/>
      <c r="J401" s="2436" t="s">
        <v>839</v>
      </c>
    </row>
    <row r="402" spans="1:10">
      <c r="A402" s="2410">
        <f>IF(未审附注之非流动资产!A402="",0,未审附注之非流动资产!A402)</f>
        <v>0</v>
      </c>
      <c r="B402" s="2403">
        <f>IF(未审附注之非流动资产!B402="",0,未审附注之非流动资产!B402)</f>
        <v>0</v>
      </c>
      <c r="C402" s="2403">
        <f>IF(未审附注之非流动资产!C402="",0,未审附注之非流动资产!C402)</f>
        <v>0</v>
      </c>
      <c r="D402" s="2403">
        <f>IF(未审附注之非流动资产!D402="",0,未审附注之非流动资产!D402)</f>
        <v>0</v>
      </c>
      <c r="E402" s="2369">
        <f t="shared" si="17"/>
        <v>0</v>
      </c>
      <c r="F402" s="2461">
        <f>IF(未审附注之非流动资产!F402="",0,未审附注之非流动资产!F402)</f>
        <v>0</v>
      </c>
      <c r="G402" s="2413"/>
      <c r="H402" s="2413"/>
      <c r="I402" s="2413"/>
      <c r="J402" s="2436" t="s">
        <v>839</v>
      </c>
    </row>
    <row r="403" spans="1:10">
      <c r="A403" s="2410">
        <f>IF(未审附注之非流动资产!A403="",0,未审附注之非流动资产!A403)</f>
        <v>0</v>
      </c>
      <c r="B403" s="2403">
        <f>IF(未审附注之非流动资产!B403="",0,未审附注之非流动资产!B403)</f>
        <v>0</v>
      </c>
      <c r="C403" s="2403">
        <f>IF(未审附注之非流动资产!C403="",0,未审附注之非流动资产!C403)</f>
        <v>0</v>
      </c>
      <c r="D403" s="2403">
        <f>IF(未审附注之非流动资产!D403="",0,未审附注之非流动资产!D403)</f>
        <v>0</v>
      </c>
      <c r="E403" s="2369">
        <f t="shared" si="17"/>
        <v>0</v>
      </c>
      <c r="F403" s="2461">
        <f>IF(未审附注之非流动资产!F403="",0,未审附注之非流动资产!F403)</f>
        <v>0</v>
      </c>
      <c r="G403" s="2413"/>
      <c r="H403" s="2413"/>
      <c r="I403" s="2413"/>
      <c r="J403" s="2436" t="s">
        <v>839</v>
      </c>
    </row>
    <row r="404" spans="1:10">
      <c r="A404" s="2410">
        <f>IF(未审附注之非流动资产!A404="",0,未审附注之非流动资产!A404)</f>
        <v>0</v>
      </c>
      <c r="B404" s="2403">
        <f>IF(未审附注之非流动资产!B404="",0,未审附注之非流动资产!B404)</f>
        <v>0</v>
      </c>
      <c r="C404" s="2403">
        <f>IF(未审附注之非流动资产!C404="",0,未审附注之非流动资产!C404)</f>
        <v>0</v>
      </c>
      <c r="D404" s="2403">
        <f>IF(未审附注之非流动资产!D404="",0,未审附注之非流动资产!D404)</f>
        <v>0</v>
      </c>
      <c r="E404" s="2369">
        <f t="shared" si="17"/>
        <v>0</v>
      </c>
      <c r="F404" s="2461">
        <f>IF(未审附注之非流动资产!F404="",0,未审附注之非流动资产!F404)</f>
        <v>0</v>
      </c>
      <c r="G404" s="2413"/>
      <c r="H404" s="2413"/>
      <c r="I404" s="2413"/>
      <c r="J404" s="2436" t="s">
        <v>839</v>
      </c>
    </row>
    <row r="405" spans="1:10">
      <c r="A405" s="2410">
        <f>IF(未审附注之非流动资产!A405="",0,未审附注之非流动资产!A405)</f>
        <v>0</v>
      </c>
      <c r="B405" s="2403">
        <f>IF(未审附注之非流动资产!B405="",0,未审附注之非流动资产!B405)</f>
        <v>0</v>
      </c>
      <c r="C405" s="2403">
        <f>IF(未审附注之非流动资产!C405="",0,未审附注之非流动资产!C405)</f>
        <v>0</v>
      </c>
      <c r="D405" s="2403">
        <f>IF(未审附注之非流动资产!D405="",0,未审附注之非流动资产!D405)</f>
        <v>0</v>
      </c>
      <c r="E405" s="2369">
        <f t="shared" si="17"/>
        <v>0</v>
      </c>
      <c r="F405" s="2461">
        <f>IF(未审附注之非流动资产!F405="",0,未审附注之非流动资产!F405)</f>
        <v>0</v>
      </c>
      <c r="G405" s="2413"/>
      <c r="H405" s="2413"/>
      <c r="I405" s="2413"/>
      <c r="J405" s="2436" t="s">
        <v>839</v>
      </c>
    </row>
    <row r="406" spans="1:10">
      <c r="A406" s="2400" t="s">
        <v>677</v>
      </c>
      <c r="B406" s="2369">
        <f>ROUND(SUM(B396:B405),2)</f>
        <v>0</v>
      </c>
      <c r="C406" s="2369">
        <f>ROUND(SUM(C396:C405),2)</f>
        <v>0</v>
      </c>
      <c r="D406" s="2369">
        <f>ROUND(SUM(D396:D405),2)</f>
        <v>0</v>
      </c>
      <c r="E406" s="2369">
        <f>ROUND(SUM(E396:E405),2)</f>
        <v>0</v>
      </c>
      <c r="F406" s="2416"/>
      <c r="G406" s="2413"/>
      <c r="H406" s="2413"/>
      <c r="I406" s="2413"/>
      <c r="J406" s="2436" t="s">
        <v>840</v>
      </c>
    </row>
    <row r="407" spans="1:10">
      <c r="A407" s="2405"/>
      <c r="B407" s="2405"/>
      <c r="C407" s="2405"/>
      <c r="D407" s="2405"/>
      <c r="E407" s="2405"/>
      <c r="F407" s="2416"/>
      <c r="G407" s="2413"/>
      <c r="H407" s="2413"/>
      <c r="I407" s="2413"/>
      <c r="J407" s="2460"/>
    </row>
    <row r="408" spans="1:10">
      <c r="A408" s="2402" t="s">
        <v>841</v>
      </c>
      <c r="B408" s="2405"/>
      <c r="C408" s="2405"/>
      <c r="D408" s="2405"/>
      <c r="E408" s="2405"/>
      <c r="F408" s="2416"/>
      <c r="G408" s="2413"/>
      <c r="H408" s="2413"/>
      <c r="I408" s="2413"/>
      <c r="J408" s="2460"/>
    </row>
    <row r="409" spans="1:10">
      <c r="A409" s="2410">
        <f>IF(未审附注之非流动资产!A409="",0,未审附注之非流动资产!A409)</f>
        <v>0</v>
      </c>
      <c r="B409" s="2403">
        <f>IF(未审附注之非流动资产!B409="",0,未审附注之非流动资产!B409)</f>
        <v>0</v>
      </c>
      <c r="C409" s="2403">
        <f>IF(未审附注之非流动资产!C409="",0,未审附注之非流动资产!C409)</f>
        <v>0</v>
      </c>
      <c r="D409" s="2403">
        <f>IF(未审附注之非流动资产!D409="",0,未审附注之非流动资产!D409)</f>
        <v>0</v>
      </c>
      <c r="E409" s="2369">
        <f>ROUND(B409+C409-D409,2)</f>
        <v>0</v>
      </c>
      <c r="F409" s="2461">
        <f>IF(未审附注之非流动资产!F409="",0,未审附注之非流动资产!F409)</f>
        <v>0</v>
      </c>
      <c r="G409" s="2413"/>
      <c r="H409" s="2413"/>
      <c r="I409" s="2413"/>
      <c r="J409" s="2436" t="s">
        <v>842</v>
      </c>
    </row>
    <row r="410" spans="1:10">
      <c r="A410" s="2410">
        <f>IF(未审附注之非流动资产!A410="",0,未审附注之非流动资产!A410)</f>
        <v>0</v>
      </c>
      <c r="B410" s="2403">
        <f>IF(未审附注之非流动资产!B410="",0,未审附注之非流动资产!B410)</f>
        <v>0</v>
      </c>
      <c r="C410" s="2403">
        <f>IF(未审附注之非流动资产!C410="",0,未审附注之非流动资产!C410)</f>
        <v>0</v>
      </c>
      <c r="D410" s="2403">
        <f>IF(未审附注之非流动资产!D410="",0,未审附注之非流动资产!D410)</f>
        <v>0</v>
      </c>
      <c r="E410" s="2369">
        <f t="shared" ref="E410:E418" si="18">ROUND(B410+C410-D410,2)</f>
        <v>0</v>
      </c>
      <c r="F410" s="2461">
        <f>IF(未审附注之非流动资产!F410="",0,未审附注之非流动资产!F410)</f>
        <v>0</v>
      </c>
      <c r="G410" s="2413"/>
      <c r="H410" s="2413"/>
      <c r="I410" s="2413"/>
      <c r="J410" s="2436" t="s">
        <v>842</v>
      </c>
    </row>
    <row r="411" spans="1:10">
      <c r="A411" s="2410">
        <f>IF(未审附注之非流动资产!A411="",0,未审附注之非流动资产!A411)</f>
        <v>0</v>
      </c>
      <c r="B411" s="2403">
        <f>IF(未审附注之非流动资产!B411="",0,未审附注之非流动资产!B411)</f>
        <v>0</v>
      </c>
      <c r="C411" s="2403">
        <f>IF(未审附注之非流动资产!C411="",0,未审附注之非流动资产!C411)</f>
        <v>0</v>
      </c>
      <c r="D411" s="2403">
        <f>IF(未审附注之非流动资产!D411="",0,未审附注之非流动资产!D411)</f>
        <v>0</v>
      </c>
      <c r="E411" s="2369">
        <f t="shared" si="18"/>
        <v>0</v>
      </c>
      <c r="F411" s="2461">
        <f>IF(未审附注之非流动资产!F411="",0,未审附注之非流动资产!F411)</f>
        <v>0</v>
      </c>
      <c r="G411" s="2413"/>
      <c r="H411" s="2413"/>
      <c r="I411" s="2413"/>
      <c r="J411" s="2436" t="s">
        <v>842</v>
      </c>
    </row>
    <row r="412" spans="1:10">
      <c r="A412" s="2410">
        <f>IF(未审附注之非流动资产!A412="",0,未审附注之非流动资产!A412)</f>
        <v>0</v>
      </c>
      <c r="B412" s="2403">
        <f>IF(未审附注之非流动资产!B412="",0,未审附注之非流动资产!B412)</f>
        <v>0</v>
      </c>
      <c r="C412" s="2403">
        <f>IF(未审附注之非流动资产!C412="",0,未审附注之非流动资产!C412)</f>
        <v>0</v>
      </c>
      <c r="D412" s="2403">
        <f>IF(未审附注之非流动资产!D412="",0,未审附注之非流动资产!D412)</f>
        <v>0</v>
      </c>
      <c r="E412" s="2369">
        <f t="shared" si="18"/>
        <v>0</v>
      </c>
      <c r="F412" s="2461">
        <f>IF(未审附注之非流动资产!F412="",0,未审附注之非流动资产!F412)</f>
        <v>0</v>
      </c>
      <c r="G412" s="2413"/>
      <c r="H412" s="2413"/>
      <c r="I412" s="2413"/>
      <c r="J412" s="2436" t="s">
        <v>842</v>
      </c>
    </row>
    <row r="413" spans="1:10">
      <c r="A413" s="2410">
        <f>IF(未审附注之非流动资产!A413="",0,未审附注之非流动资产!A413)</f>
        <v>0</v>
      </c>
      <c r="B413" s="2403">
        <f>IF(未审附注之非流动资产!B413="",0,未审附注之非流动资产!B413)</f>
        <v>0</v>
      </c>
      <c r="C413" s="2403">
        <f>IF(未审附注之非流动资产!C413="",0,未审附注之非流动资产!C413)</f>
        <v>0</v>
      </c>
      <c r="D413" s="2403">
        <f>IF(未审附注之非流动资产!D413="",0,未审附注之非流动资产!D413)</f>
        <v>0</v>
      </c>
      <c r="E413" s="2369">
        <f t="shared" si="18"/>
        <v>0</v>
      </c>
      <c r="F413" s="2461">
        <f>IF(未审附注之非流动资产!F413="",0,未审附注之非流动资产!F413)</f>
        <v>0</v>
      </c>
      <c r="G413" s="2413"/>
      <c r="H413" s="2413"/>
      <c r="I413" s="2413"/>
      <c r="J413" s="2436" t="s">
        <v>842</v>
      </c>
    </row>
    <row r="414" spans="1:10">
      <c r="A414" s="2410">
        <f>IF(未审附注之非流动资产!A414="",0,未审附注之非流动资产!A414)</f>
        <v>0</v>
      </c>
      <c r="B414" s="2403">
        <f>IF(未审附注之非流动资产!B414="",0,未审附注之非流动资产!B414)</f>
        <v>0</v>
      </c>
      <c r="C414" s="2403">
        <f>IF(未审附注之非流动资产!C414="",0,未审附注之非流动资产!C414)</f>
        <v>0</v>
      </c>
      <c r="D414" s="2403">
        <f>IF(未审附注之非流动资产!D414="",0,未审附注之非流动资产!D414)</f>
        <v>0</v>
      </c>
      <c r="E414" s="2369">
        <f t="shared" si="18"/>
        <v>0</v>
      </c>
      <c r="F414" s="2461">
        <f>IF(未审附注之非流动资产!F414="",0,未审附注之非流动资产!F414)</f>
        <v>0</v>
      </c>
      <c r="G414" s="2413"/>
      <c r="H414" s="2413"/>
      <c r="I414" s="2413"/>
      <c r="J414" s="2436" t="s">
        <v>842</v>
      </c>
    </row>
    <row r="415" spans="1:10">
      <c r="A415" s="2410">
        <f>IF(未审附注之非流动资产!A415="",0,未审附注之非流动资产!A415)</f>
        <v>0</v>
      </c>
      <c r="B415" s="2403">
        <f>IF(未审附注之非流动资产!B415="",0,未审附注之非流动资产!B415)</f>
        <v>0</v>
      </c>
      <c r="C415" s="2403">
        <f>IF(未审附注之非流动资产!C415="",0,未审附注之非流动资产!C415)</f>
        <v>0</v>
      </c>
      <c r="D415" s="2403">
        <f>IF(未审附注之非流动资产!D415="",0,未审附注之非流动资产!D415)</f>
        <v>0</v>
      </c>
      <c r="E415" s="2369">
        <f t="shared" si="18"/>
        <v>0</v>
      </c>
      <c r="F415" s="2461">
        <f>IF(未审附注之非流动资产!F415="",0,未审附注之非流动资产!F415)</f>
        <v>0</v>
      </c>
      <c r="G415" s="2413"/>
      <c r="H415" s="2413"/>
      <c r="I415" s="2413"/>
      <c r="J415" s="2436" t="s">
        <v>842</v>
      </c>
    </row>
    <row r="416" spans="1:10">
      <c r="A416" s="2410">
        <f>IF(未审附注之非流动资产!A416="",0,未审附注之非流动资产!A416)</f>
        <v>0</v>
      </c>
      <c r="B416" s="2403">
        <f>IF(未审附注之非流动资产!B416="",0,未审附注之非流动资产!B416)</f>
        <v>0</v>
      </c>
      <c r="C416" s="2403">
        <f>IF(未审附注之非流动资产!C416="",0,未审附注之非流动资产!C416)</f>
        <v>0</v>
      </c>
      <c r="D416" s="2403">
        <f>IF(未审附注之非流动资产!D416="",0,未审附注之非流动资产!D416)</f>
        <v>0</v>
      </c>
      <c r="E416" s="2369">
        <f t="shared" si="18"/>
        <v>0</v>
      </c>
      <c r="F416" s="2461">
        <f>IF(未审附注之非流动资产!F416="",0,未审附注之非流动资产!F416)</f>
        <v>0</v>
      </c>
      <c r="G416" s="2413"/>
      <c r="H416" s="2413"/>
      <c r="I416" s="2413"/>
      <c r="J416" s="2436" t="s">
        <v>842</v>
      </c>
    </row>
    <row r="417" spans="1:10">
      <c r="A417" s="2410">
        <f>IF(未审附注之非流动资产!A417="",0,未审附注之非流动资产!A417)</f>
        <v>0</v>
      </c>
      <c r="B417" s="2403">
        <f>IF(未审附注之非流动资产!B417="",0,未审附注之非流动资产!B417)</f>
        <v>0</v>
      </c>
      <c r="C417" s="2403">
        <f>IF(未审附注之非流动资产!C417="",0,未审附注之非流动资产!C417)</f>
        <v>0</v>
      </c>
      <c r="D417" s="2403">
        <f>IF(未审附注之非流动资产!D417="",0,未审附注之非流动资产!D417)</f>
        <v>0</v>
      </c>
      <c r="E417" s="2369">
        <f t="shared" si="18"/>
        <v>0</v>
      </c>
      <c r="F417" s="2461">
        <f>IF(未审附注之非流动资产!F417="",0,未审附注之非流动资产!F417)</f>
        <v>0</v>
      </c>
      <c r="G417" s="2413"/>
      <c r="H417" s="2413"/>
      <c r="I417" s="2413"/>
      <c r="J417" s="2436" t="s">
        <v>842</v>
      </c>
    </row>
    <row r="418" spans="1:10">
      <c r="A418" s="2410">
        <f>IF(未审附注之非流动资产!A418="",0,未审附注之非流动资产!A418)</f>
        <v>0</v>
      </c>
      <c r="B418" s="2403">
        <f>IF(未审附注之非流动资产!B418="",0,未审附注之非流动资产!B418)</f>
        <v>0</v>
      </c>
      <c r="C418" s="2403">
        <f>IF(未审附注之非流动资产!C418="",0,未审附注之非流动资产!C418)</f>
        <v>0</v>
      </c>
      <c r="D418" s="2403">
        <f>IF(未审附注之非流动资产!D418="",0,未审附注之非流动资产!D418)</f>
        <v>0</v>
      </c>
      <c r="E418" s="2369">
        <f t="shared" si="18"/>
        <v>0</v>
      </c>
      <c r="F418" s="2461">
        <f>IF(未审附注之非流动资产!F418="",0,未审附注之非流动资产!F418)</f>
        <v>0</v>
      </c>
      <c r="G418" s="2413"/>
      <c r="H418" s="2413"/>
      <c r="I418" s="2413"/>
      <c r="J418" s="2436" t="s">
        <v>842</v>
      </c>
    </row>
    <row r="419" spans="1:10">
      <c r="A419" s="2400" t="s">
        <v>677</v>
      </c>
      <c r="B419" s="2369">
        <f>ROUND(SUM(B409:B418),2)</f>
        <v>0</v>
      </c>
      <c r="C419" s="2369">
        <f>ROUND(SUM(C409:C418),2)</f>
        <v>0</v>
      </c>
      <c r="D419" s="2369">
        <f>ROUND(SUM(D409:D418),2)</f>
        <v>0</v>
      </c>
      <c r="E419" s="2369">
        <f>ROUND(SUM(E409:E418),2)</f>
        <v>0</v>
      </c>
      <c r="F419" s="2416"/>
      <c r="G419" s="2413"/>
      <c r="H419" s="2413"/>
      <c r="I419" s="2413"/>
      <c r="J419" s="2436" t="s">
        <v>843</v>
      </c>
    </row>
    <row r="420" spans="1:10">
      <c r="A420" s="2405"/>
      <c r="B420" s="2405"/>
      <c r="C420" s="2405"/>
      <c r="D420" s="2405"/>
      <c r="E420" s="2405"/>
      <c r="F420" s="2416"/>
      <c r="G420" s="2413"/>
      <c r="H420" s="2413"/>
      <c r="I420" s="2413"/>
      <c r="J420" s="2460"/>
    </row>
    <row r="421" spans="1:10">
      <c r="A421" s="2402" t="s">
        <v>844</v>
      </c>
      <c r="B421" s="2405"/>
      <c r="C421" s="2405"/>
      <c r="D421" s="2405"/>
      <c r="E421" s="2405"/>
      <c r="F421" s="2416"/>
      <c r="G421" s="2413"/>
      <c r="H421" s="2413"/>
      <c r="I421" s="2413"/>
      <c r="J421" s="2460"/>
    </row>
    <row r="422" spans="1:10">
      <c r="A422" s="2410">
        <f>IF(未审附注之非流动资产!A422="",0,未审附注之非流动资产!A422)</f>
        <v>0</v>
      </c>
      <c r="B422" s="2403">
        <f>IF(未审附注之非流动资产!B422="",0,未审附注之非流动资产!B422)</f>
        <v>0</v>
      </c>
      <c r="C422" s="2403">
        <f>IF(未审附注之非流动资产!C422="",0,未审附注之非流动资产!C422)</f>
        <v>0</v>
      </c>
      <c r="D422" s="2403">
        <f>IF(未审附注之非流动资产!D422="",0,未审附注之非流动资产!D422)</f>
        <v>0</v>
      </c>
      <c r="E422" s="2369">
        <f>ROUND(B422+C422-D422,2)</f>
        <v>0</v>
      </c>
      <c r="F422" s="2461">
        <f>IF(未审附注之非流动资产!F422="",0,未审附注之非流动资产!F422)</f>
        <v>0</v>
      </c>
      <c r="G422" s="2413"/>
      <c r="H422" s="2413"/>
      <c r="I422" s="2413"/>
      <c r="J422" s="2436" t="s">
        <v>845</v>
      </c>
    </row>
    <row r="423" spans="1:10">
      <c r="A423" s="2410">
        <f>IF(未审附注之非流动资产!A423="",0,未审附注之非流动资产!A423)</f>
        <v>0</v>
      </c>
      <c r="B423" s="2403">
        <f>IF(未审附注之非流动资产!B423="",0,未审附注之非流动资产!B423)</f>
        <v>0</v>
      </c>
      <c r="C423" s="2403">
        <f>IF(未审附注之非流动资产!C423="",0,未审附注之非流动资产!C423)</f>
        <v>0</v>
      </c>
      <c r="D423" s="2403">
        <f>IF(未审附注之非流动资产!D423="",0,未审附注之非流动资产!D423)</f>
        <v>0</v>
      </c>
      <c r="E423" s="2369">
        <f t="shared" ref="E423:E431" si="19">ROUND(B423+C423-D423,2)</f>
        <v>0</v>
      </c>
      <c r="F423" s="2461">
        <f>IF(未审附注之非流动资产!F423="",0,未审附注之非流动资产!F423)</f>
        <v>0</v>
      </c>
      <c r="G423" s="2413"/>
      <c r="H423" s="2413"/>
      <c r="I423" s="2413"/>
      <c r="J423" s="2436" t="s">
        <v>845</v>
      </c>
    </row>
    <row r="424" spans="1:10">
      <c r="A424" s="2410">
        <f>IF(未审附注之非流动资产!A424="",0,未审附注之非流动资产!A424)</f>
        <v>0</v>
      </c>
      <c r="B424" s="2403">
        <f>IF(未审附注之非流动资产!B424="",0,未审附注之非流动资产!B424)</f>
        <v>0</v>
      </c>
      <c r="C424" s="2403">
        <f>IF(未审附注之非流动资产!C424="",0,未审附注之非流动资产!C424)</f>
        <v>0</v>
      </c>
      <c r="D424" s="2403">
        <f>IF(未审附注之非流动资产!D424="",0,未审附注之非流动资产!D424)</f>
        <v>0</v>
      </c>
      <c r="E424" s="2369">
        <f t="shared" si="19"/>
        <v>0</v>
      </c>
      <c r="F424" s="2461">
        <f>IF(未审附注之非流动资产!F424="",0,未审附注之非流动资产!F424)</f>
        <v>0</v>
      </c>
      <c r="G424" s="2413"/>
      <c r="H424" s="2413"/>
      <c r="I424" s="2413"/>
      <c r="J424" s="2436" t="s">
        <v>845</v>
      </c>
    </row>
    <row r="425" spans="1:10">
      <c r="A425" s="2410">
        <f>IF(未审附注之非流动资产!A425="",0,未审附注之非流动资产!A425)</f>
        <v>0</v>
      </c>
      <c r="B425" s="2403">
        <f>IF(未审附注之非流动资产!B425="",0,未审附注之非流动资产!B425)</f>
        <v>0</v>
      </c>
      <c r="C425" s="2403">
        <f>IF(未审附注之非流动资产!C425="",0,未审附注之非流动资产!C425)</f>
        <v>0</v>
      </c>
      <c r="D425" s="2403">
        <f>IF(未审附注之非流动资产!D425="",0,未审附注之非流动资产!D425)</f>
        <v>0</v>
      </c>
      <c r="E425" s="2369">
        <f t="shared" si="19"/>
        <v>0</v>
      </c>
      <c r="F425" s="2461">
        <f>IF(未审附注之非流动资产!F425="",0,未审附注之非流动资产!F425)</f>
        <v>0</v>
      </c>
      <c r="G425" s="2413"/>
      <c r="H425" s="2413"/>
      <c r="I425" s="2413"/>
      <c r="J425" s="2436" t="s">
        <v>845</v>
      </c>
    </row>
    <row r="426" spans="1:10">
      <c r="A426" s="2410">
        <f>IF(未审附注之非流动资产!A426="",0,未审附注之非流动资产!A426)</f>
        <v>0</v>
      </c>
      <c r="B426" s="2403">
        <f>IF(未审附注之非流动资产!B426="",0,未审附注之非流动资产!B426)</f>
        <v>0</v>
      </c>
      <c r="C426" s="2403">
        <f>IF(未审附注之非流动资产!C426="",0,未审附注之非流动资产!C426)</f>
        <v>0</v>
      </c>
      <c r="D426" s="2403">
        <f>IF(未审附注之非流动资产!D426="",0,未审附注之非流动资产!D426)</f>
        <v>0</v>
      </c>
      <c r="E426" s="2369">
        <f t="shared" si="19"/>
        <v>0</v>
      </c>
      <c r="F426" s="2461">
        <f>IF(未审附注之非流动资产!F426="",0,未审附注之非流动资产!F426)</f>
        <v>0</v>
      </c>
      <c r="G426" s="2413"/>
      <c r="H426" s="2413"/>
      <c r="I426" s="2413"/>
      <c r="J426" s="2436" t="s">
        <v>845</v>
      </c>
    </row>
    <row r="427" spans="1:10">
      <c r="A427" s="2410">
        <f>IF(未审附注之非流动资产!A427="",0,未审附注之非流动资产!A427)</f>
        <v>0</v>
      </c>
      <c r="B427" s="2403">
        <f>IF(未审附注之非流动资产!B427="",0,未审附注之非流动资产!B427)</f>
        <v>0</v>
      </c>
      <c r="C427" s="2403">
        <f>IF(未审附注之非流动资产!C427="",0,未审附注之非流动资产!C427)</f>
        <v>0</v>
      </c>
      <c r="D427" s="2403">
        <f>IF(未审附注之非流动资产!D427="",0,未审附注之非流动资产!D427)</f>
        <v>0</v>
      </c>
      <c r="E427" s="2369">
        <f t="shared" si="19"/>
        <v>0</v>
      </c>
      <c r="F427" s="2461">
        <f>IF(未审附注之非流动资产!F427="",0,未审附注之非流动资产!F427)</f>
        <v>0</v>
      </c>
      <c r="G427" s="2413"/>
      <c r="H427" s="2413"/>
      <c r="I427" s="2413"/>
      <c r="J427" s="2436" t="s">
        <v>845</v>
      </c>
    </row>
    <row r="428" spans="1:10">
      <c r="A428" s="2410">
        <f>IF(未审附注之非流动资产!A428="",0,未审附注之非流动资产!A428)</f>
        <v>0</v>
      </c>
      <c r="B428" s="2403">
        <f>IF(未审附注之非流动资产!B428="",0,未审附注之非流动资产!B428)</f>
        <v>0</v>
      </c>
      <c r="C428" s="2403">
        <f>IF(未审附注之非流动资产!C428="",0,未审附注之非流动资产!C428)</f>
        <v>0</v>
      </c>
      <c r="D428" s="2403">
        <f>IF(未审附注之非流动资产!D428="",0,未审附注之非流动资产!D428)</f>
        <v>0</v>
      </c>
      <c r="E428" s="2369">
        <f t="shared" si="19"/>
        <v>0</v>
      </c>
      <c r="F428" s="2461">
        <f>IF(未审附注之非流动资产!F428="",0,未审附注之非流动资产!F428)</f>
        <v>0</v>
      </c>
      <c r="G428" s="2413"/>
      <c r="H428" s="2413"/>
      <c r="I428" s="2413"/>
      <c r="J428" s="2436" t="s">
        <v>845</v>
      </c>
    </row>
    <row r="429" spans="1:10">
      <c r="A429" s="2410">
        <f>IF(未审附注之非流动资产!A429="",0,未审附注之非流动资产!A429)</f>
        <v>0</v>
      </c>
      <c r="B429" s="2403">
        <f>IF(未审附注之非流动资产!B429="",0,未审附注之非流动资产!B429)</f>
        <v>0</v>
      </c>
      <c r="C429" s="2403">
        <f>IF(未审附注之非流动资产!C429="",0,未审附注之非流动资产!C429)</f>
        <v>0</v>
      </c>
      <c r="D429" s="2403">
        <f>IF(未审附注之非流动资产!D429="",0,未审附注之非流动资产!D429)</f>
        <v>0</v>
      </c>
      <c r="E429" s="2369">
        <f t="shared" si="19"/>
        <v>0</v>
      </c>
      <c r="F429" s="2461">
        <f>IF(未审附注之非流动资产!F429="",0,未审附注之非流动资产!F429)</f>
        <v>0</v>
      </c>
      <c r="G429" s="2413"/>
      <c r="H429" s="2413"/>
      <c r="I429" s="2413"/>
      <c r="J429" s="2436" t="s">
        <v>845</v>
      </c>
    </row>
    <row r="430" spans="1:10">
      <c r="A430" s="2410">
        <f>IF(未审附注之非流动资产!A430="",0,未审附注之非流动资产!A430)</f>
        <v>0</v>
      </c>
      <c r="B430" s="2403">
        <f>IF(未审附注之非流动资产!B430="",0,未审附注之非流动资产!B430)</f>
        <v>0</v>
      </c>
      <c r="C430" s="2403">
        <f>IF(未审附注之非流动资产!C430="",0,未审附注之非流动资产!C430)</f>
        <v>0</v>
      </c>
      <c r="D430" s="2403">
        <f>IF(未审附注之非流动资产!D430="",0,未审附注之非流动资产!D430)</f>
        <v>0</v>
      </c>
      <c r="E430" s="2369">
        <f t="shared" si="19"/>
        <v>0</v>
      </c>
      <c r="F430" s="2461">
        <f>IF(未审附注之非流动资产!F430="",0,未审附注之非流动资产!F430)</f>
        <v>0</v>
      </c>
      <c r="G430" s="2413"/>
      <c r="H430" s="2413"/>
      <c r="I430" s="2413"/>
      <c r="J430" s="2436" t="s">
        <v>845</v>
      </c>
    </row>
    <row r="431" spans="1:10">
      <c r="A431" s="2410">
        <f>IF(未审附注之非流动资产!A431="",0,未审附注之非流动资产!A431)</f>
        <v>0</v>
      </c>
      <c r="B431" s="2403">
        <f>IF(未审附注之非流动资产!B431="",0,未审附注之非流动资产!B431)</f>
        <v>0</v>
      </c>
      <c r="C431" s="2403">
        <f>IF(未审附注之非流动资产!C431="",0,未审附注之非流动资产!C431)</f>
        <v>0</v>
      </c>
      <c r="D431" s="2403">
        <f>IF(未审附注之非流动资产!D431="",0,未审附注之非流动资产!D431)</f>
        <v>0</v>
      </c>
      <c r="E431" s="2369">
        <f t="shared" si="19"/>
        <v>0</v>
      </c>
      <c r="F431" s="2461">
        <f>IF(未审附注之非流动资产!F431="",0,未审附注之非流动资产!F431)</f>
        <v>0</v>
      </c>
      <c r="G431" s="2413"/>
      <c r="H431" s="2413"/>
      <c r="I431" s="2413"/>
      <c r="J431" s="2436" t="s">
        <v>845</v>
      </c>
    </row>
    <row r="432" spans="1:10">
      <c r="A432" s="2400" t="s">
        <v>677</v>
      </c>
      <c r="B432" s="2369">
        <f>ROUND(SUM(B422:B431),2)</f>
        <v>0</v>
      </c>
      <c r="C432" s="2369">
        <f>ROUND(SUM(C422:C431),2)</f>
        <v>0</v>
      </c>
      <c r="D432" s="2369">
        <f>ROUND(SUM(D422:D431),2)</f>
        <v>0</v>
      </c>
      <c r="E432" s="2369">
        <f>ROUND(SUM(E422:E431),2)</f>
        <v>0</v>
      </c>
      <c r="F432" s="2416"/>
      <c r="G432" s="2413"/>
      <c r="H432" s="2413"/>
      <c r="I432" s="2413"/>
      <c r="J432" s="2436" t="s">
        <v>846</v>
      </c>
    </row>
    <row r="433" spans="1:10">
      <c r="A433" s="2405"/>
      <c r="B433" s="2405"/>
      <c r="C433" s="2405"/>
      <c r="D433" s="2405"/>
      <c r="E433" s="2405"/>
      <c r="F433" s="2416"/>
      <c r="G433" s="2413"/>
      <c r="H433" s="2413"/>
      <c r="I433" s="2413"/>
      <c r="J433" s="2460"/>
    </row>
    <row r="434" spans="1:10">
      <c r="A434" s="2402" t="s">
        <v>847</v>
      </c>
      <c r="B434" s="2405"/>
      <c r="C434" s="2405"/>
      <c r="D434" s="2405"/>
      <c r="E434" s="2405"/>
      <c r="F434" s="2416"/>
      <c r="G434" s="2413"/>
      <c r="H434" s="2413"/>
      <c r="I434" s="2413"/>
      <c r="J434" s="2460"/>
    </row>
    <row r="435" spans="1:10">
      <c r="A435" s="2410">
        <f>IF(未审附注之非流动资产!A435="",0,未审附注之非流动资产!A435)</f>
        <v>0</v>
      </c>
      <c r="B435" s="2403">
        <f>IF(未审附注之非流动资产!B435="",0,未审附注之非流动资产!B435)</f>
        <v>0</v>
      </c>
      <c r="C435" s="2403">
        <f>IF(未审附注之非流动资产!C435="",0,未审附注之非流动资产!C435)</f>
        <v>0</v>
      </c>
      <c r="D435" s="2403">
        <f>IF(未审附注之非流动资产!D435="",0,未审附注之非流动资产!D435)</f>
        <v>0</v>
      </c>
      <c r="E435" s="2369">
        <f>ROUND(B435+C435-D435,2)</f>
        <v>0</v>
      </c>
      <c r="F435" s="2461">
        <f>IF(未审附注之非流动资产!F435="",0,未审附注之非流动资产!F435)</f>
        <v>0</v>
      </c>
      <c r="G435" s="2413"/>
      <c r="H435" s="2413"/>
      <c r="I435" s="2413"/>
      <c r="J435" s="2436" t="s">
        <v>848</v>
      </c>
    </row>
    <row r="436" spans="1:10">
      <c r="A436" s="2410">
        <f>IF(未审附注之非流动资产!A436="",0,未审附注之非流动资产!A436)</f>
        <v>0</v>
      </c>
      <c r="B436" s="2403">
        <f>IF(未审附注之非流动资产!B436="",0,未审附注之非流动资产!B436)</f>
        <v>0</v>
      </c>
      <c r="C436" s="2403">
        <f>IF(未审附注之非流动资产!C436="",0,未审附注之非流动资产!C436)</f>
        <v>0</v>
      </c>
      <c r="D436" s="2403">
        <f>IF(未审附注之非流动资产!D436="",0,未审附注之非流动资产!D436)</f>
        <v>0</v>
      </c>
      <c r="E436" s="2369">
        <f t="shared" ref="E436:E444" si="20">ROUND(B436+C436-D436,2)</f>
        <v>0</v>
      </c>
      <c r="F436" s="2461">
        <f>IF(未审附注之非流动资产!F436="",0,未审附注之非流动资产!F436)</f>
        <v>0</v>
      </c>
      <c r="G436" s="2413"/>
      <c r="H436" s="2413"/>
      <c r="I436" s="2413"/>
      <c r="J436" s="2436" t="s">
        <v>848</v>
      </c>
    </row>
    <row r="437" spans="1:10">
      <c r="A437" s="2410">
        <f>IF(未审附注之非流动资产!A437="",0,未审附注之非流动资产!A437)</f>
        <v>0</v>
      </c>
      <c r="B437" s="2403">
        <f>IF(未审附注之非流动资产!B437="",0,未审附注之非流动资产!B437)</f>
        <v>0</v>
      </c>
      <c r="C437" s="2403">
        <f>IF(未审附注之非流动资产!C437="",0,未审附注之非流动资产!C437)</f>
        <v>0</v>
      </c>
      <c r="D437" s="2403">
        <f>IF(未审附注之非流动资产!D437="",0,未审附注之非流动资产!D437)</f>
        <v>0</v>
      </c>
      <c r="E437" s="2369">
        <f t="shared" si="20"/>
        <v>0</v>
      </c>
      <c r="F437" s="2461">
        <f>IF(未审附注之非流动资产!F437="",0,未审附注之非流动资产!F437)</f>
        <v>0</v>
      </c>
      <c r="G437" s="2413"/>
      <c r="H437" s="2413"/>
      <c r="I437" s="2413"/>
      <c r="J437" s="2436" t="s">
        <v>848</v>
      </c>
    </row>
    <row r="438" spans="1:10">
      <c r="A438" s="2410">
        <f>IF(未审附注之非流动资产!A438="",0,未审附注之非流动资产!A438)</f>
        <v>0</v>
      </c>
      <c r="B438" s="2403">
        <f>IF(未审附注之非流动资产!B438="",0,未审附注之非流动资产!B438)</f>
        <v>0</v>
      </c>
      <c r="C438" s="2403">
        <f>IF(未审附注之非流动资产!C438="",0,未审附注之非流动资产!C438)</f>
        <v>0</v>
      </c>
      <c r="D438" s="2403">
        <f>IF(未审附注之非流动资产!D438="",0,未审附注之非流动资产!D438)</f>
        <v>0</v>
      </c>
      <c r="E438" s="2369">
        <f t="shared" si="20"/>
        <v>0</v>
      </c>
      <c r="F438" s="2461">
        <f>IF(未审附注之非流动资产!F438="",0,未审附注之非流动资产!F438)</f>
        <v>0</v>
      </c>
      <c r="G438" s="2413"/>
      <c r="H438" s="2413"/>
      <c r="I438" s="2413"/>
      <c r="J438" s="2436" t="s">
        <v>848</v>
      </c>
    </row>
    <row r="439" spans="1:10">
      <c r="A439" s="2410">
        <f>IF(未审附注之非流动资产!A439="",0,未审附注之非流动资产!A439)</f>
        <v>0</v>
      </c>
      <c r="B439" s="2403">
        <f>IF(未审附注之非流动资产!B439="",0,未审附注之非流动资产!B439)</f>
        <v>0</v>
      </c>
      <c r="C439" s="2403">
        <f>IF(未审附注之非流动资产!C439="",0,未审附注之非流动资产!C439)</f>
        <v>0</v>
      </c>
      <c r="D439" s="2403">
        <f>IF(未审附注之非流动资产!D439="",0,未审附注之非流动资产!D439)</f>
        <v>0</v>
      </c>
      <c r="E439" s="2369">
        <f t="shared" si="20"/>
        <v>0</v>
      </c>
      <c r="F439" s="2461">
        <f>IF(未审附注之非流动资产!F439="",0,未审附注之非流动资产!F439)</f>
        <v>0</v>
      </c>
      <c r="G439" s="2413"/>
      <c r="H439" s="2413"/>
      <c r="I439" s="2413"/>
      <c r="J439" s="2436" t="s">
        <v>848</v>
      </c>
    </row>
    <row r="440" spans="1:10">
      <c r="A440" s="2410">
        <f>IF(未审附注之非流动资产!A440="",0,未审附注之非流动资产!A440)</f>
        <v>0</v>
      </c>
      <c r="B440" s="2403">
        <f>IF(未审附注之非流动资产!B440="",0,未审附注之非流动资产!B440)</f>
        <v>0</v>
      </c>
      <c r="C440" s="2403">
        <f>IF(未审附注之非流动资产!C440="",0,未审附注之非流动资产!C440)</f>
        <v>0</v>
      </c>
      <c r="D440" s="2403">
        <f>IF(未审附注之非流动资产!D440="",0,未审附注之非流动资产!D440)</f>
        <v>0</v>
      </c>
      <c r="E440" s="2369">
        <f t="shared" si="20"/>
        <v>0</v>
      </c>
      <c r="F440" s="2461">
        <f>IF(未审附注之非流动资产!F440="",0,未审附注之非流动资产!F440)</f>
        <v>0</v>
      </c>
      <c r="G440" s="2413"/>
      <c r="H440" s="2413"/>
      <c r="I440" s="2413"/>
      <c r="J440" s="2436" t="s">
        <v>848</v>
      </c>
    </row>
    <row r="441" spans="1:10">
      <c r="A441" s="2410">
        <f>IF(未审附注之非流动资产!A441="",0,未审附注之非流动资产!A441)</f>
        <v>0</v>
      </c>
      <c r="B441" s="2403">
        <f>IF(未审附注之非流动资产!B441="",0,未审附注之非流动资产!B441)</f>
        <v>0</v>
      </c>
      <c r="C441" s="2403">
        <f>IF(未审附注之非流动资产!C441="",0,未审附注之非流动资产!C441)</f>
        <v>0</v>
      </c>
      <c r="D441" s="2403">
        <f>IF(未审附注之非流动资产!D441="",0,未审附注之非流动资产!D441)</f>
        <v>0</v>
      </c>
      <c r="E441" s="2369">
        <f t="shared" si="20"/>
        <v>0</v>
      </c>
      <c r="F441" s="2461">
        <f>IF(未审附注之非流动资产!F441="",0,未审附注之非流动资产!F441)</f>
        <v>0</v>
      </c>
      <c r="G441" s="2413"/>
      <c r="H441" s="2413"/>
      <c r="I441" s="2413"/>
      <c r="J441" s="2436" t="s">
        <v>848</v>
      </c>
    </row>
    <row r="442" spans="1:10">
      <c r="A442" s="2410">
        <f>IF(未审附注之非流动资产!A442="",0,未审附注之非流动资产!A442)</f>
        <v>0</v>
      </c>
      <c r="B442" s="2403">
        <f>IF(未审附注之非流动资产!B442="",0,未审附注之非流动资产!B442)</f>
        <v>0</v>
      </c>
      <c r="C442" s="2403">
        <f>IF(未审附注之非流动资产!C442="",0,未审附注之非流动资产!C442)</f>
        <v>0</v>
      </c>
      <c r="D442" s="2403">
        <f>IF(未审附注之非流动资产!D442="",0,未审附注之非流动资产!D442)</f>
        <v>0</v>
      </c>
      <c r="E442" s="2369">
        <f t="shared" si="20"/>
        <v>0</v>
      </c>
      <c r="F442" s="2461">
        <f>IF(未审附注之非流动资产!F442="",0,未审附注之非流动资产!F442)</f>
        <v>0</v>
      </c>
      <c r="G442" s="2413"/>
      <c r="H442" s="2413"/>
      <c r="I442" s="2413"/>
      <c r="J442" s="2436" t="s">
        <v>848</v>
      </c>
    </row>
    <row r="443" spans="1:10">
      <c r="A443" s="2410">
        <f>IF(未审附注之非流动资产!A443="",0,未审附注之非流动资产!A443)</f>
        <v>0</v>
      </c>
      <c r="B443" s="2403">
        <f>IF(未审附注之非流动资产!B443="",0,未审附注之非流动资产!B443)</f>
        <v>0</v>
      </c>
      <c r="C443" s="2403">
        <f>IF(未审附注之非流动资产!C443="",0,未审附注之非流动资产!C443)</f>
        <v>0</v>
      </c>
      <c r="D443" s="2403">
        <f>IF(未审附注之非流动资产!D443="",0,未审附注之非流动资产!D443)</f>
        <v>0</v>
      </c>
      <c r="E443" s="2369">
        <f t="shared" si="20"/>
        <v>0</v>
      </c>
      <c r="F443" s="2461">
        <f>IF(未审附注之非流动资产!F443="",0,未审附注之非流动资产!F443)</f>
        <v>0</v>
      </c>
      <c r="G443" s="2413"/>
      <c r="H443" s="2413"/>
      <c r="I443" s="2413"/>
      <c r="J443" s="2436" t="s">
        <v>848</v>
      </c>
    </row>
    <row r="444" spans="1:10">
      <c r="A444" s="2410">
        <f>IF(未审附注之非流动资产!A444="",0,未审附注之非流动资产!A444)</f>
        <v>0</v>
      </c>
      <c r="B444" s="2403">
        <f>IF(未审附注之非流动资产!B444="",0,未审附注之非流动资产!B444)</f>
        <v>0</v>
      </c>
      <c r="C444" s="2403">
        <f>IF(未审附注之非流动资产!C444="",0,未审附注之非流动资产!C444)</f>
        <v>0</v>
      </c>
      <c r="D444" s="2403">
        <f>IF(未审附注之非流动资产!D444="",0,未审附注之非流动资产!D444)</f>
        <v>0</v>
      </c>
      <c r="E444" s="2369">
        <f t="shared" si="20"/>
        <v>0</v>
      </c>
      <c r="F444" s="2461">
        <f>IF(未审附注之非流动资产!F444="",0,未审附注之非流动资产!F444)</f>
        <v>0</v>
      </c>
      <c r="G444" s="2413"/>
      <c r="H444" s="2413"/>
      <c r="I444" s="2413"/>
      <c r="J444" s="2436" t="s">
        <v>848</v>
      </c>
    </row>
    <row r="445" spans="1:10">
      <c r="A445" s="2400" t="s">
        <v>677</v>
      </c>
      <c r="B445" s="2369">
        <f>ROUND(SUM(B435:B444),2)</f>
        <v>0</v>
      </c>
      <c r="C445" s="2369">
        <f>ROUND(SUM(C435:C444),2)</f>
        <v>0</v>
      </c>
      <c r="D445" s="2369">
        <f>ROUND(SUM(D435:D444),2)</f>
        <v>0</v>
      </c>
      <c r="E445" s="2369">
        <f>ROUND(SUM(E435:E444),2)</f>
        <v>0</v>
      </c>
      <c r="F445" s="2416"/>
      <c r="G445" s="2413"/>
      <c r="H445" s="2413"/>
      <c r="I445" s="2413"/>
      <c r="J445" s="2436" t="s">
        <v>849</v>
      </c>
    </row>
    <row r="446" spans="1:10">
      <c r="A446" s="2405"/>
      <c r="B446" s="2405"/>
      <c r="C446" s="2405"/>
      <c r="D446" s="2405"/>
      <c r="E446" s="2405"/>
      <c r="F446" s="2416"/>
      <c r="G446" s="2413"/>
      <c r="H446" s="2413"/>
      <c r="I446" s="2413"/>
      <c r="J446" s="2460"/>
    </row>
    <row r="447" spans="1:10">
      <c r="A447" s="2400" t="s">
        <v>385</v>
      </c>
      <c r="B447" s="2369">
        <f>ROUND(B406+B419+B432+B445,2)</f>
        <v>0</v>
      </c>
      <c r="C447" s="2369">
        <f>ROUND(C406+C419+C432+C445,2)</f>
        <v>0</v>
      </c>
      <c r="D447" s="2369">
        <f>ROUND(D406+D419+D432+D445,2)</f>
        <v>0</v>
      </c>
      <c r="E447" s="2369">
        <f>ROUND(E406+E419+E432+E445,2)</f>
        <v>0</v>
      </c>
      <c r="F447" s="2416"/>
      <c r="G447" s="2413"/>
      <c r="H447" s="2413"/>
      <c r="I447" s="2413"/>
      <c r="J447" s="2460"/>
    </row>
    <row r="448" spans="1:10">
      <c r="A448" s="2423"/>
      <c r="B448" s="2418"/>
      <c r="C448" s="2418"/>
      <c r="D448" s="2418"/>
      <c r="E448" s="2418"/>
      <c r="F448" s="2413"/>
      <c r="G448" s="2413"/>
      <c r="H448" s="2413"/>
      <c r="I448" s="2413"/>
      <c r="J448" s="2460"/>
    </row>
    <row r="449" spans="1:9">
      <c r="A449" s="2445" t="s">
        <v>850</v>
      </c>
      <c r="B449" s="2444"/>
      <c r="C449" s="2444"/>
      <c r="D449" s="2444"/>
      <c r="E449" s="2444"/>
      <c r="F449" s="2444"/>
      <c r="G449" s="2444"/>
      <c r="H449" s="2444"/>
      <c r="I449" s="2444"/>
    </row>
    <row r="450" spans="1:9">
      <c r="A450" s="2400" t="s">
        <v>851</v>
      </c>
      <c r="B450" s="2400" t="s">
        <v>852</v>
      </c>
      <c r="C450" s="2400" t="s">
        <v>853</v>
      </c>
      <c r="D450" s="2400" t="s">
        <v>854</v>
      </c>
      <c r="E450" s="2400" t="s">
        <v>354</v>
      </c>
      <c r="F450" s="2444"/>
      <c r="G450" s="2444"/>
      <c r="H450" s="2444"/>
      <c r="I450" s="2444"/>
    </row>
    <row r="451" spans="1:10">
      <c r="A451" s="2410">
        <f>IF(未审附注之非流动资产!A451="",0,未审附注之非流动资产!A451)</f>
        <v>0</v>
      </c>
      <c r="B451" s="2410">
        <f>IF(未审附注之非流动资产!B451="",0,未审附注之非流动资产!B451)</f>
        <v>0</v>
      </c>
      <c r="C451" s="2410">
        <f>IF(未审附注之非流动资产!C451="",0,未审附注之非流动资产!C451)</f>
        <v>0</v>
      </c>
      <c r="D451" s="2461">
        <f>IF(未审附注之非流动资产!D451="",0,未审附注之非流动资产!D451)</f>
        <v>0</v>
      </c>
      <c r="E451" s="2410">
        <f>IF(未审附注之非流动资产!E451="",0,未审附注之非流动资产!E451)</f>
        <v>0</v>
      </c>
      <c r="F451" s="2444"/>
      <c r="G451" s="2444"/>
      <c r="H451" s="2444"/>
      <c r="I451" s="2444"/>
      <c r="J451" s="2436" t="s">
        <v>855</v>
      </c>
    </row>
    <row r="452" spans="1:10">
      <c r="A452" s="2410">
        <f>IF(未审附注之非流动资产!A452="",0,未审附注之非流动资产!A452)</f>
        <v>0</v>
      </c>
      <c r="B452" s="2410">
        <f>IF(未审附注之非流动资产!B452="",0,未审附注之非流动资产!B452)</f>
        <v>0</v>
      </c>
      <c r="C452" s="2410">
        <f>IF(未审附注之非流动资产!C452="",0,未审附注之非流动资产!C452)</f>
        <v>0</v>
      </c>
      <c r="D452" s="2461">
        <f>IF(未审附注之非流动资产!D452="",0,未审附注之非流动资产!D452)</f>
        <v>0</v>
      </c>
      <c r="E452" s="2410">
        <f>IF(未审附注之非流动资产!E452="",0,未审附注之非流动资产!E452)</f>
        <v>0</v>
      </c>
      <c r="F452" s="2444"/>
      <c r="G452" s="2444"/>
      <c r="H452" s="2444"/>
      <c r="I452" s="2444"/>
      <c r="J452" s="2436" t="s">
        <v>855</v>
      </c>
    </row>
    <row r="453" spans="1:10">
      <c r="A453" s="2410">
        <f>IF(未审附注之非流动资产!A453="",0,未审附注之非流动资产!A453)</f>
        <v>0</v>
      </c>
      <c r="B453" s="2410">
        <f>IF(未审附注之非流动资产!B453="",0,未审附注之非流动资产!B453)</f>
        <v>0</v>
      </c>
      <c r="C453" s="2410">
        <f>IF(未审附注之非流动资产!C453="",0,未审附注之非流动资产!C453)</f>
        <v>0</v>
      </c>
      <c r="D453" s="2461">
        <f>IF(未审附注之非流动资产!D453="",0,未审附注之非流动资产!D453)</f>
        <v>0</v>
      </c>
      <c r="E453" s="2410">
        <f>IF(未审附注之非流动资产!E453="",0,未审附注之非流动资产!E453)</f>
        <v>0</v>
      </c>
      <c r="F453" s="2444"/>
      <c r="G453" s="2444"/>
      <c r="H453" s="2444"/>
      <c r="I453" s="2444"/>
      <c r="J453" s="2436" t="s">
        <v>855</v>
      </c>
    </row>
    <row r="454" spans="1:10">
      <c r="A454" s="2410">
        <f>IF(未审附注之非流动资产!A454="",0,未审附注之非流动资产!A454)</f>
        <v>0</v>
      </c>
      <c r="B454" s="2410">
        <f>IF(未审附注之非流动资产!B454="",0,未审附注之非流动资产!B454)</f>
        <v>0</v>
      </c>
      <c r="C454" s="2410">
        <f>IF(未审附注之非流动资产!C454="",0,未审附注之非流动资产!C454)</f>
        <v>0</v>
      </c>
      <c r="D454" s="2461">
        <f>IF(未审附注之非流动资产!D454="",0,未审附注之非流动资产!D454)</f>
        <v>0</v>
      </c>
      <c r="E454" s="2410">
        <f>IF(未审附注之非流动资产!E454="",0,未审附注之非流动资产!E454)</f>
        <v>0</v>
      </c>
      <c r="F454" s="2444"/>
      <c r="G454" s="2444"/>
      <c r="H454" s="2444"/>
      <c r="I454" s="2444"/>
      <c r="J454" s="2436" t="s">
        <v>855</v>
      </c>
    </row>
    <row r="455" spans="1:10">
      <c r="A455" s="2410">
        <f>IF(未审附注之非流动资产!A455="",0,未审附注之非流动资产!A455)</f>
        <v>0</v>
      </c>
      <c r="B455" s="2410">
        <f>IF(未审附注之非流动资产!B455="",0,未审附注之非流动资产!B455)</f>
        <v>0</v>
      </c>
      <c r="C455" s="2410">
        <f>IF(未审附注之非流动资产!C455="",0,未审附注之非流动资产!C455)</f>
        <v>0</v>
      </c>
      <c r="D455" s="2461">
        <f>IF(未审附注之非流动资产!D455="",0,未审附注之非流动资产!D455)</f>
        <v>0</v>
      </c>
      <c r="E455" s="2410">
        <f>IF(未审附注之非流动资产!E455="",0,未审附注之非流动资产!E455)</f>
        <v>0</v>
      </c>
      <c r="F455" s="2444"/>
      <c r="G455" s="2444"/>
      <c r="H455" s="2444"/>
      <c r="I455" s="2444"/>
      <c r="J455" s="2436" t="s">
        <v>855</v>
      </c>
    </row>
    <row r="456" spans="1:10">
      <c r="A456" s="2410">
        <f>IF(未审附注之非流动资产!A456="",0,未审附注之非流动资产!A456)</f>
        <v>0</v>
      </c>
      <c r="B456" s="2410">
        <f>IF(未审附注之非流动资产!B456="",0,未审附注之非流动资产!B456)</f>
        <v>0</v>
      </c>
      <c r="C456" s="2410">
        <f>IF(未审附注之非流动资产!C456="",0,未审附注之非流动资产!C456)</f>
        <v>0</v>
      </c>
      <c r="D456" s="2461">
        <f>IF(未审附注之非流动资产!D456="",0,未审附注之非流动资产!D456)</f>
        <v>0</v>
      </c>
      <c r="E456" s="2410">
        <f>IF(未审附注之非流动资产!E456="",0,未审附注之非流动资产!E456)</f>
        <v>0</v>
      </c>
      <c r="F456" s="2444"/>
      <c r="G456" s="2444"/>
      <c r="H456" s="2444"/>
      <c r="I456" s="2444"/>
      <c r="J456" s="2436" t="s">
        <v>855</v>
      </c>
    </row>
    <row r="457" spans="1:10">
      <c r="A457" s="2410">
        <f>IF(未审附注之非流动资产!A457="",0,未审附注之非流动资产!A457)</f>
        <v>0</v>
      </c>
      <c r="B457" s="2410">
        <f>IF(未审附注之非流动资产!B457="",0,未审附注之非流动资产!B457)</f>
        <v>0</v>
      </c>
      <c r="C457" s="2410">
        <f>IF(未审附注之非流动资产!C457="",0,未审附注之非流动资产!C457)</f>
        <v>0</v>
      </c>
      <c r="D457" s="2461">
        <f>IF(未审附注之非流动资产!D457="",0,未审附注之非流动资产!D457)</f>
        <v>0</v>
      </c>
      <c r="E457" s="2410">
        <f>IF(未审附注之非流动资产!E457="",0,未审附注之非流动资产!E457)</f>
        <v>0</v>
      </c>
      <c r="F457" s="2444"/>
      <c r="G457" s="2444"/>
      <c r="H457" s="2444"/>
      <c r="I457" s="2444"/>
      <c r="J457" s="2436" t="s">
        <v>855</v>
      </c>
    </row>
    <row r="458" spans="1:10">
      <c r="A458" s="2410">
        <f>IF(未审附注之非流动资产!A458="",0,未审附注之非流动资产!A458)</f>
        <v>0</v>
      </c>
      <c r="B458" s="2410">
        <f>IF(未审附注之非流动资产!B458="",0,未审附注之非流动资产!B458)</f>
        <v>0</v>
      </c>
      <c r="C458" s="2410">
        <f>IF(未审附注之非流动资产!C458="",0,未审附注之非流动资产!C458)</f>
        <v>0</v>
      </c>
      <c r="D458" s="2461">
        <f>IF(未审附注之非流动资产!D458="",0,未审附注之非流动资产!D458)</f>
        <v>0</v>
      </c>
      <c r="E458" s="2410">
        <f>IF(未审附注之非流动资产!E458="",0,未审附注之非流动资产!E458)</f>
        <v>0</v>
      </c>
      <c r="F458" s="2444"/>
      <c r="G458" s="2444"/>
      <c r="H458" s="2444"/>
      <c r="I458" s="2444"/>
      <c r="J458" s="2436" t="s">
        <v>855</v>
      </c>
    </row>
    <row r="459" spans="1:10">
      <c r="A459" s="2410">
        <f>IF(未审附注之非流动资产!A459="",0,未审附注之非流动资产!A459)</f>
        <v>0</v>
      </c>
      <c r="B459" s="2410">
        <f>IF(未审附注之非流动资产!B459="",0,未审附注之非流动资产!B459)</f>
        <v>0</v>
      </c>
      <c r="C459" s="2410">
        <f>IF(未审附注之非流动资产!C459="",0,未审附注之非流动资产!C459)</f>
        <v>0</v>
      </c>
      <c r="D459" s="2461">
        <f>IF(未审附注之非流动资产!D459="",0,未审附注之非流动资产!D459)</f>
        <v>0</v>
      </c>
      <c r="E459" s="2410">
        <f>IF(未审附注之非流动资产!E459="",0,未审附注之非流动资产!E459)</f>
        <v>0</v>
      </c>
      <c r="F459" s="2444"/>
      <c r="G459" s="2444"/>
      <c r="H459" s="2444"/>
      <c r="I459" s="2444"/>
      <c r="J459" s="2436" t="s">
        <v>855</v>
      </c>
    </row>
    <row r="460" spans="1:10">
      <c r="A460" s="2410">
        <f>IF(未审附注之非流动资产!A460="",0,未审附注之非流动资产!A460)</f>
        <v>0</v>
      </c>
      <c r="B460" s="2410">
        <f>IF(未审附注之非流动资产!B460="",0,未审附注之非流动资产!B460)</f>
        <v>0</v>
      </c>
      <c r="C460" s="2410">
        <f>IF(未审附注之非流动资产!C460="",0,未审附注之非流动资产!C460)</f>
        <v>0</v>
      </c>
      <c r="D460" s="2461">
        <f>IF(未审附注之非流动资产!D460="",0,未审附注之非流动资产!D460)</f>
        <v>0</v>
      </c>
      <c r="E460" s="2410">
        <f>IF(未审附注之非流动资产!E460="",0,未审附注之非流动资产!E460)</f>
        <v>0</v>
      </c>
      <c r="F460" s="2444"/>
      <c r="G460" s="2444"/>
      <c r="H460" s="2444"/>
      <c r="I460" s="2444"/>
      <c r="J460" s="2436" t="s">
        <v>855</v>
      </c>
    </row>
    <row r="461" spans="1:9">
      <c r="A461" s="2462"/>
      <c r="B461" s="2444"/>
      <c r="C461" s="2444"/>
      <c r="D461" s="2444"/>
      <c r="E461" s="2444"/>
      <c r="F461" s="2444"/>
      <c r="G461" s="2444"/>
      <c r="H461" s="2444"/>
      <c r="I461" s="2444"/>
    </row>
    <row r="462" spans="1:9">
      <c r="A462" s="2445" t="s">
        <v>856</v>
      </c>
      <c r="B462" s="2444"/>
      <c r="C462" s="2444"/>
      <c r="D462" s="2444"/>
      <c r="E462" s="2444"/>
      <c r="F462" s="2444"/>
      <c r="G462" s="2444"/>
      <c r="H462" s="2444"/>
      <c r="I462" s="2444"/>
    </row>
    <row r="463" spans="1:9">
      <c r="A463" s="2400" t="s">
        <v>852</v>
      </c>
      <c r="B463" s="2400" t="s">
        <v>857</v>
      </c>
      <c r="C463" s="2400" t="s">
        <v>858</v>
      </c>
      <c r="D463" s="2400" t="s">
        <v>859</v>
      </c>
      <c r="E463" s="2400" t="s">
        <v>860</v>
      </c>
      <c r="F463" s="2400" t="s">
        <v>776</v>
      </c>
      <c r="G463" s="2417"/>
      <c r="H463" s="2417"/>
      <c r="I463" s="2417"/>
    </row>
    <row r="464" spans="1:10">
      <c r="A464" s="2402" t="s">
        <v>861</v>
      </c>
      <c r="B464" s="2403">
        <f>IF(未审附注之非流动资产!B464="",0,未审附注之非流动资产!B464)</f>
        <v>0</v>
      </c>
      <c r="C464" s="2429">
        <f>IF(未审附注之非流动资产!C464="",0,未审附注之非流动资产!C464)</f>
        <v>0</v>
      </c>
      <c r="D464" s="2463">
        <f>IF(未审附注之非流动资产!D464="",0,未审附注之非流动资产!D464)</f>
        <v>0</v>
      </c>
      <c r="E464" s="2403">
        <f>IF(未审附注之非流动资产!E464="",0,未审附注之非流动资产!E464)</f>
        <v>0</v>
      </c>
      <c r="F464" s="2403">
        <f>IF(未审附注之非流动资产!F464="",0,未审附注之非流动资产!F464)</f>
        <v>0</v>
      </c>
      <c r="G464" s="2417"/>
      <c r="H464" s="2417"/>
      <c r="I464" s="2417"/>
      <c r="J464" s="2453" t="s">
        <v>862</v>
      </c>
    </row>
    <row r="465" spans="1:10">
      <c r="A465" s="2402" t="s">
        <v>863</v>
      </c>
      <c r="B465" s="2403">
        <f>IF(未审附注之非流动资产!B465="",0,未审附注之非流动资产!B465)</f>
        <v>0</v>
      </c>
      <c r="C465" s="2429">
        <f>IF(未审附注之非流动资产!C465="",0,未审附注之非流动资产!C465)</f>
        <v>0</v>
      </c>
      <c r="D465" s="2463">
        <f>IF(未审附注之非流动资产!D465="",0,未审附注之非流动资产!D465)</f>
        <v>0</v>
      </c>
      <c r="E465" s="2403">
        <f>IF(未审附注之非流动资产!E465="",0,未审附注之非流动资产!E465)</f>
        <v>0</v>
      </c>
      <c r="F465" s="2403">
        <f>IF(未审附注之非流动资产!F465="",0,未审附注之非流动资产!F465)</f>
        <v>0</v>
      </c>
      <c r="G465" s="2417"/>
      <c r="H465" s="2417"/>
      <c r="I465" s="2417"/>
      <c r="J465" s="2453" t="s">
        <v>864</v>
      </c>
    </row>
    <row r="466" spans="1:10">
      <c r="A466" s="2402" t="s">
        <v>865</v>
      </c>
      <c r="B466" s="2403">
        <f>IF(未审附注之非流动资产!B466="",0,未审附注之非流动资产!B466)</f>
        <v>0</v>
      </c>
      <c r="C466" s="2429">
        <f>IF(未审附注之非流动资产!C466="",0,未审附注之非流动资产!C466)</f>
        <v>0</v>
      </c>
      <c r="D466" s="2463">
        <f>IF(未审附注之非流动资产!D466="",0,未审附注之非流动资产!D466)</f>
        <v>0</v>
      </c>
      <c r="E466" s="2403">
        <f>IF(未审附注之非流动资产!E466="",0,未审附注之非流动资产!E466)</f>
        <v>0</v>
      </c>
      <c r="F466" s="2403">
        <f>IF(未审附注之非流动资产!F466="",0,未审附注之非流动资产!F466)</f>
        <v>0</v>
      </c>
      <c r="G466" s="2417"/>
      <c r="H466" s="2417"/>
      <c r="I466" s="2417"/>
      <c r="J466" s="2453" t="s">
        <v>866</v>
      </c>
    </row>
    <row r="467" spans="1:10">
      <c r="A467" s="2402" t="s">
        <v>867</v>
      </c>
      <c r="B467" s="2403">
        <f>IF(未审附注之非流动资产!B467="",0,未审附注之非流动资产!B467)</f>
        <v>0</v>
      </c>
      <c r="C467" s="2429">
        <f>IF(未审附注之非流动资产!C467="",0,未审附注之非流动资产!C467)</f>
        <v>0</v>
      </c>
      <c r="D467" s="2463">
        <f>IF(未审附注之非流动资产!D467="",0,未审附注之非流动资产!D467)</f>
        <v>0</v>
      </c>
      <c r="E467" s="2403">
        <f>IF(未审附注之非流动资产!E467="",0,未审附注之非流动资产!E467)</f>
        <v>0</v>
      </c>
      <c r="F467" s="2403">
        <f>IF(未审附注之非流动资产!F467="",0,未审附注之非流动资产!F467)</f>
        <v>0</v>
      </c>
      <c r="G467" s="2417"/>
      <c r="H467" s="2417"/>
      <c r="I467" s="2417"/>
      <c r="J467" s="2453" t="s">
        <v>868</v>
      </c>
    </row>
    <row r="468" spans="1:9">
      <c r="A468" s="2462"/>
      <c r="B468" s="2444"/>
      <c r="C468" s="2444"/>
      <c r="D468" s="2444"/>
      <c r="E468" s="2444"/>
      <c r="F468" s="2444"/>
      <c r="G468" s="2417"/>
      <c r="H468" s="2417"/>
      <c r="I468" s="2417"/>
    </row>
    <row r="469" spans="1:9">
      <c r="A469" s="2445" t="s">
        <v>869</v>
      </c>
      <c r="B469" s="2444"/>
      <c r="C469" s="2444"/>
      <c r="D469" s="2444"/>
      <c r="E469" s="2444"/>
      <c r="F469" s="2444"/>
      <c r="G469" s="2417"/>
      <c r="H469" s="2417"/>
      <c r="I469" s="2417"/>
    </row>
    <row r="470" spans="1:9">
      <c r="A470" s="2400" t="s">
        <v>851</v>
      </c>
      <c r="B470" s="2400" t="s">
        <v>852</v>
      </c>
      <c r="C470" s="2400" t="s">
        <v>870</v>
      </c>
      <c r="D470" s="2400" t="s">
        <v>871</v>
      </c>
      <c r="E470" s="2400" t="s">
        <v>872</v>
      </c>
      <c r="F470" s="2444"/>
      <c r="G470" s="2417"/>
      <c r="H470" s="2417"/>
      <c r="I470" s="2417"/>
    </row>
    <row r="471" spans="1:10">
      <c r="A471" s="2410">
        <f>IF(未审附注之非流动资产!A471="",0,未审附注之非流动资产!A471)</f>
        <v>0</v>
      </c>
      <c r="B471" s="2410">
        <f>IF(未审附注之非流动资产!B471="",0,未审附注之非流动资产!B471)</f>
        <v>0</v>
      </c>
      <c r="C471" s="2403">
        <f>IF(未审附注之非流动资产!C471="",0,未审附注之非流动资产!C471)</f>
        <v>0</v>
      </c>
      <c r="D471" s="2410">
        <f>IF(未审附注之非流动资产!D471="",0,未审附注之非流动资产!D471)</f>
        <v>0</v>
      </c>
      <c r="E471" s="2410">
        <f>IF(未审附注之非流动资产!E471="",0,未审附注之非流动资产!E471)</f>
        <v>0</v>
      </c>
      <c r="F471" s="2444"/>
      <c r="G471" s="2417"/>
      <c r="H471" s="2417"/>
      <c r="I471" s="2417"/>
      <c r="J471" s="2453" t="s">
        <v>873</v>
      </c>
    </row>
    <row r="472" spans="1:10">
      <c r="A472" s="2410">
        <f>IF(未审附注之非流动资产!A472="",0,未审附注之非流动资产!A472)</f>
        <v>0</v>
      </c>
      <c r="B472" s="2410">
        <f>IF(未审附注之非流动资产!B472="",0,未审附注之非流动资产!B472)</f>
        <v>0</v>
      </c>
      <c r="C472" s="2403">
        <f>IF(未审附注之非流动资产!C472="",0,未审附注之非流动资产!C472)</f>
        <v>0</v>
      </c>
      <c r="D472" s="2410">
        <f>IF(未审附注之非流动资产!D472="",0,未审附注之非流动资产!D472)</f>
        <v>0</v>
      </c>
      <c r="E472" s="2410">
        <f>IF(未审附注之非流动资产!E472="",0,未审附注之非流动资产!E472)</f>
        <v>0</v>
      </c>
      <c r="F472" s="2444"/>
      <c r="G472" s="2417"/>
      <c r="H472" s="2417"/>
      <c r="I472" s="2417"/>
      <c r="J472" s="2453" t="s">
        <v>873</v>
      </c>
    </row>
    <row r="473" spans="1:10">
      <c r="A473" s="2410">
        <f>IF(未审附注之非流动资产!A473="",0,未审附注之非流动资产!A473)</f>
        <v>0</v>
      </c>
      <c r="B473" s="2410">
        <f>IF(未审附注之非流动资产!B473="",0,未审附注之非流动资产!B473)</f>
        <v>0</v>
      </c>
      <c r="C473" s="2403">
        <f>IF(未审附注之非流动资产!C473="",0,未审附注之非流动资产!C473)</f>
        <v>0</v>
      </c>
      <c r="D473" s="2410">
        <f>IF(未审附注之非流动资产!D473="",0,未审附注之非流动资产!D473)</f>
        <v>0</v>
      </c>
      <c r="E473" s="2410">
        <f>IF(未审附注之非流动资产!E473="",0,未审附注之非流动资产!E473)</f>
        <v>0</v>
      </c>
      <c r="F473" s="2444"/>
      <c r="G473" s="2417"/>
      <c r="H473" s="2417"/>
      <c r="I473" s="2417"/>
      <c r="J473" s="2453" t="s">
        <v>873</v>
      </c>
    </row>
    <row r="474" spans="1:10">
      <c r="A474" s="2410">
        <f>IF(未审附注之非流动资产!A474="",0,未审附注之非流动资产!A474)</f>
        <v>0</v>
      </c>
      <c r="B474" s="2410">
        <f>IF(未审附注之非流动资产!B474="",0,未审附注之非流动资产!B474)</f>
        <v>0</v>
      </c>
      <c r="C474" s="2403">
        <f>IF(未审附注之非流动资产!C474="",0,未审附注之非流动资产!C474)</f>
        <v>0</v>
      </c>
      <c r="D474" s="2410">
        <f>IF(未审附注之非流动资产!D474="",0,未审附注之非流动资产!D474)</f>
        <v>0</v>
      </c>
      <c r="E474" s="2410">
        <f>IF(未审附注之非流动资产!E474="",0,未审附注之非流动资产!E474)</f>
        <v>0</v>
      </c>
      <c r="F474" s="2444"/>
      <c r="G474" s="2444"/>
      <c r="H474" s="2444"/>
      <c r="I474" s="2444"/>
      <c r="J474" s="2453" t="s">
        <v>873</v>
      </c>
    </row>
    <row r="475" spans="1:10">
      <c r="A475" s="2410">
        <f>IF(未审附注之非流动资产!A475="",0,未审附注之非流动资产!A475)</f>
        <v>0</v>
      </c>
      <c r="B475" s="2410">
        <f>IF(未审附注之非流动资产!B475="",0,未审附注之非流动资产!B475)</f>
        <v>0</v>
      </c>
      <c r="C475" s="2403">
        <f>IF(未审附注之非流动资产!C475="",0,未审附注之非流动资产!C475)</f>
        <v>0</v>
      </c>
      <c r="D475" s="2410">
        <f>IF(未审附注之非流动资产!D475="",0,未审附注之非流动资产!D475)</f>
        <v>0</v>
      </c>
      <c r="E475" s="2410">
        <f>IF(未审附注之非流动资产!E475="",0,未审附注之非流动资产!E475)</f>
        <v>0</v>
      </c>
      <c r="F475" s="2444"/>
      <c r="G475" s="2444"/>
      <c r="H475" s="2444"/>
      <c r="I475" s="2444"/>
      <c r="J475" s="2453" t="s">
        <v>873</v>
      </c>
    </row>
    <row r="476" spans="1:10">
      <c r="A476" s="2410">
        <f>IF(未审附注之非流动资产!A476="",0,未审附注之非流动资产!A476)</f>
        <v>0</v>
      </c>
      <c r="B476" s="2410">
        <f>IF(未审附注之非流动资产!B476="",0,未审附注之非流动资产!B476)</f>
        <v>0</v>
      </c>
      <c r="C476" s="2403">
        <f>IF(未审附注之非流动资产!C476="",0,未审附注之非流动资产!C476)</f>
        <v>0</v>
      </c>
      <c r="D476" s="2410">
        <f>IF(未审附注之非流动资产!D476="",0,未审附注之非流动资产!D476)</f>
        <v>0</v>
      </c>
      <c r="E476" s="2410">
        <f>IF(未审附注之非流动资产!E476="",0,未审附注之非流动资产!E476)</f>
        <v>0</v>
      </c>
      <c r="F476" s="2444"/>
      <c r="G476" s="2444"/>
      <c r="H476" s="2444"/>
      <c r="I476" s="2444"/>
      <c r="J476" s="2453" t="s">
        <v>873</v>
      </c>
    </row>
    <row r="477" spans="1:10">
      <c r="A477" s="2410">
        <f>IF(未审附注之非流动资产!A477="",0,未审附注之非流动资产!A477)</f>
        <v>0</v>
      </c>
      <c r="B477" s="2410">
        <f>IF(未审附注之非流动资产!B477="",0,未审附注之非流动资产!B477)</f>
        <v>0</v>
      </c>
      <c r="C477" s="2403">
        <f>IF(未审附注之非流动资产!C477="",0,未审附注之非流动资产!C477)</f>
        <v>0</v>
      </c>
      <c r="D477" s="2410">
        <f>IF(未审附注之非流动资产!D477="",0,未审附注之非流动资产!D477)</f>
        <v>0</v>
      </c>
      <c r="E477" s="2410">
        <f>IF(未审附注之非流动资产!E477="",0,未审附注之非流动资产!E477)</f>
        <v>0</v>
      </c>
      <c r="F477" s="2444"/>
      <c r="G477" s="2444"/>
      <c r="H477" s="2444"/>
      <c r="I477" s="2444"/>
      <c r="J477" s="2453" t="s">
        <v>873</v>
      </c>
    </row>
    <row r="478" spans="1:10">
      <c r="A478" s="2410">
        <f>IF(未审附注之非流动资产!A478="",0,未审附注之非流动资产!A478)</f>
        <v>0</v>
      </c>
      <c r="B478" s="2410">
        <f>IF(未审附注之非流动资产!B478="",0,未审附注之非流动资产!B478)</f>
        <v>0</v>
      </c>
      <c r="C478" s="2403">
        <f>IF(未审附注之非流动资产!C478="",0,未审附注之非流动资产!C478)</f>
        <v>0</v>
      </c>
      <c r="D478" s="2410">
        <f>IF(未审附注之非流动资产!D478="",0,未审附注之非流动资产!D478)</f>
        <v>0</v>
      </c>
      <c r="E478" s="2410">
        <f>IF(未审附注之非流动资产!E478="",0,未审附注之非流动资产!E478)</f>
        <v>0</v>
      </c>
      <c r="F478" s="2444"/>
      <c r="G478" s="2444"/>
      <c r="H478" s="2444"/>
      <c r="I478" s="2444"/>
      <c r="J478" s="2453" t="s">
        <v>873</v>
      </c>
    </row>
    <row r="479" spans="1:10">
      <c r="A479" s="2410">
        <f>IF(未审附注之非流动资产!A479="",0,未审附注之非流动资产!A479)</f>
        <v>0</v>
      </c>
      <c r="B479" s="2410">
        <f>IF(未审附注之非流动资产!B479="",0,未审附注之非流动资产!B479)</f>
        <v>0</v>
      </c>
      <c r="C479" s="2403">
        <f>IF(未审附注之非流动资产!C479="",0,未审附注之非流动资产!C479)</f>
        <v>0</v>
      </c>
      <c r="D479" s="2410">
        <f>IF(未审附注之非流动资产!D479="",0,未审附注之非流动资产!D479)</f>
        <v>0</v>
      </c>
      <c r="E479" s="2410">
        <f>IF(未审附注之非流动资产!E479="",0,未审附注之非流动资产!E479)</f>
        <v>0</v>
      </c>
      <c r="F479" s="2444"/>
      <c r="G479" s="2444"/>
      <c r="H479" s="2444"/>
      <c r="I479" s="2444"/>
      <c r="J479" s="2453" t="s">
        <v>873</v>
      </c>
    </row>
    <row r="480" spans="1:10">
      <c r="A480" s="2410">
        <f>IF(未审附注之非流动资产!A480="",0,未审附注之非流动资产!A480)</f>
        <v>0</v>
      </c>
      <c r="B480" s="2410">
        <f>IF(未审附注之非流动资产!B480="",0,未审附注之非流动资产!B480)</f>
        <v>0</v>
      </c>
      <c r="C480" s="2403">
        <f>IF(未审附注之非流动资产!C480="",0,未审附注之非流动资产!C480)</f>
        <v>0</v>
      </c>
      <c r="D480" s="2410">
        <f>IF(未审附注之非流动资产!D480="",0,未审附注之非流动资产!D480)</f>
        <v>0</v>
      </c>
      <c r="E480" s="2410">
        <f>IF(未审附注之非流动资产!E480="",0,未审附注之非流动资产!E480)</f>
        <v>0</v>
      </c>
      <c r="F480" s="2444"/>
      <c r="G480" s="2444"/>
      <c r="H480" s="2444"/>
      <c r="I480" s="2444"/>
      <c r="J480" s="2453" t="s">
        <v>873</v>
      </c>
    </row>
    <row r="481" spans="1:10">
      <c r="A481" s="2400" t="s">
        <v>385</v>
      </c>
      <c r="B481" s="2369"/>
      <c r="C481" s="2369">
        <f>ROUND(SUM(C471:C480),2)</f>
        <v>0</v>
      </c>
      <c r="D481" s="2369"/>
      <c r="E481" s="2369"/>
      <c r="F481" s="2444"/>
      <c r="G481" s="2444"/>
      <c r="H481" s="2444"/>
      <c r="I481" s="2444"/>
      <c r="J481" s="2453" t="s">
        <v>873</v>
      </c>
    </row>
    <row r="482" spans="1:9">
      <c r="A482" s="2462"/>
      <c r="B482" s="2444"/>
      <c r="C482" s="2444"/>
      <c r="D482" s="2444"/>
      <c r="E482" s="2444"/>
      <c r="F482" s="2444"/>
      <c r="G482" s="2444"/>
      <c r="H482" s="2444"/>
      <c r="I482" s="2444"/>
    </row>
    <row r="483" spans="1:9">
      <c r="A483" s="2462"/>
      <c r="B483" s="2444"/>
      <c r="C483" s="2444"/>
      <c r="D483" s="2444"/>
      <c r="E483" s="2444"/>
      <c r="F483" s="2444"/>
      <c r="G483" s="2444"/>
      <c r="H483" s="2444"/>
      <c r="I483" s="2444"/>
    </row>
    <row r="484" spans="1:9">
      <c r="A484" s="2443" t="s">
        <v>874</v>
      </c>
      <c r="B484" s="2444"/>
      <c r="C484" s="2444"/>
      <c r="D484" s="2444"/>
      <c r="E484" s="2444"/>
      <c r="F484" s="2444"/>
      <c r="G484" s="2444"/>
      <c r="H484" s="2444"/>
      <c r="I484" s="2444"/>
    </row>
    <row r="485" spans="1:9">
      <c r="A485" s="2445" t="s">
        <v>875</v>
      </c>
      <c r="B485" s="2444"/>
      <c r="C485" s="2444"/>
      <c r="D485" s="2444"/>
      <c r="E485" s="2444"/>
      <c r="F485" s="2444"/>
      <c r="G485" s="2444"/>
      <c r="H485" s="2444"/>
      <c r="I485" s="2444"/>
    </row>
    <row r="486" spans="1:9">
      <c r="A486" s="2400" t="s">
        <v>876</v>
      </c>
      <c r="B486" s="2400" t="s">
        <v>877</v>
      </c>
      <c r="C486" s="2400" t="s">
        <v>878</v>
      </c>
      <c r="D486" s="2400" t="s">
        <v>879</v>
      </c>
      <c r="E486" s="2400" t="s">
        <v>880</v>
      </c>
      <c r="F486" s="2444"/>
      <c r="G486" s="2444"/>
      <c r="H486" s="2444"/>
      <c r="I486" s="2444"/>
    </row>
    <row r="487" spans="1:10">
      <c r="A487" s="2410">
        <f>IF(未审附注之非流动资产!A487="",0,未审附注之非流动资产!A487)</f>
        <v>0</v>
      </c>
      <c r="B487" s="2431">
        <f>IF(未审附注之非流动资产!B487="",0,未审附注之非流动资产!B487)</f>
        <v>0</v>
      </c>
      <c r="C487" s="2403">
        <f>IF(未审附注之非流动资产!C487="",0,未审附注之非流动资产!C487)</f>
        <v>0</v>
      </c>
      <c r="D487" s="2403">
        <f>IF(未审附注之非流动资产!D487="",0,未审附注之非流动资产!D487)</f>
        <v>0</v>
      </c>
      <c r="E487" s="2403">
        <f>IF(未审附注之非流动资产!E487="",0,未审附注之非流动资产!E487)</f>
        <v>0</v>
      </c>
      <c r="F487" s="2444"/>
      <c r="G487" s="2444"/>
      <c r="H487" s="2444"/>
      <c r="I487" s="2444"/>
      <c r="J487" s="2453" t="s">
        <v>881</v>
      </c>
    </row>
    <row r="488" spans="1:10">
      <c r="A488" s="2410">
        <f>IF(未审附注之非流动资产!A488="",0,未审附注之非流动资产!A488)</f>
        <v>0</v>
      </c>
      <c r="B488" s="2431">
        <f>IF(未审附注之非流动资产!B488="",0,未审附注之非流动资产!B488)</f>
        <v>0</v>
      </c>
      <c r="C488" s="2403">
        <f>IF(未审附注之非流动资产!C488="",0,未审附注之非流动资产!C488)</f>
        <v>0</v>
      </c>
      <c r="D488" s="2403">
        <f>IF(未审附注之非流动资产!D488="",0,未审附注之非流动资产!D488)</f>
        <v>0</v>
      </c>
      <c r="E488" s="2403">
        <f>IF(未审附注之非流动资产!E488="",0,未审附注之非流动资产!E488)</f>
        <v>0</v>
      </c>
      <c r="F488" s="2444"/>
      <c r="G488" s="2444"/>
      <c r="H488" s="2444"/>
      <c r="I488" s="2444"/>
      <c r="J488" s="2453" t="s">
        <v>881</v>
      </c>
    </row>
    <row r="489" spans="1:10">
      <c r="A489" s="2410">
        <f>IF(未审附注之非流动资产!A489="",0,未审附注之非流动资产!A489)</f>
        <v>0</v>
      </c>
      <c r="B489" s="2431">
        <f>IF(未审附注之非流动资产!B489="",0,未审附注之非流动资产!B489)</f>
        <v>0</v>
      </c>
      <c r="C489" s="2403">
        <f>IF(未审附注之非流动资产!C489="",0,未审附注之非流动资产!C489)</f>
        <v>0</v>
      </c>
      <c r="D489" s="2403">
        <f>IF(未审附注之非流动资产!D489="",0,未审附注之非流动资产!D489)</f>
        <v>0</v>
      </c>
      <c r="E489" s="2403">
        <f>IF(未审附注之非流动资产!E489="",0,未审附注之非流动资产!E489)</f>
        <v>0</v>
      </c>
      <c r="F489" s="2444"/>
      <c r="G489" s="2444"/>
      <c r="H489" s="2444"/>
      <c r="I489" s="2444"/>
      <c r="J489" s="2453" t="s">
        <v>881</v>
      </c>
    </row>
    <row r="490" spans="1:10">
      <c r="A490" s="2410">
        <f>IF(未审附注之非流动资产!A490="",0,未审附注之非流动资产!A490)</f>
        <v>0</v>
      </c>
      <c r="B490" s="2431">
        <f>IF(未审附注之非流动资产!B490="",0,未审附注之非流动资产!B490)</f>
        <v>0</v>
      </c>
      <c r="C490" s="2403">
        <f>IF(未审附注之非流动资产!C490="",0,未审附注之非流动资产!C490)</f>
        <v>0</v>
      </c>
      <c r="D490" s="2403">
        <f>IF(未审附注之非流动资产!D490="",0,未审附注之非流动资产!D490)</f>
        <v>0</v>
      </c>
      <c r="E490" s="2403">
        <f>IF(未审附注之非流动资产!E490="",0,未审附注之非流动资产!E490)</f>
        <v>0</v>
      </c>
      <c r="F490" s="2444"/>
      <c r="G490" s="2444"/>
      <c r="H490" s="2444"/>
      <c r="I490" s="2444"/>
      <c r="J490" s="2453" t="s">
        <v>881</v>
      </c>
    </row>
    <row r="491" spans="1:10">
      <c r="A491" s="2410">
        <f>IF(未审附注之非流动资产!A491="",0,未审附注之非流动资产!A491)</f>
        <v>0</v>
      </c>
      <c r="B491" s="2431">
        <f>IF(未审附注之非流动资产!B491="",0,未审附注之非流动资产!B491)</f>
        <v>0</v>
      </c>
      <c r="C491" s="2403">
        <f>IF(未审附注之非流动资产!C491="",0,未审附注之非流动资产!C491)</f>
        <v>0</v>
      </c>
      <c r="D491" s="2403">
        <f>IF(未审附注之非流动资产!D491="",0,未审附注之非流动资产!D491)</f>
        <v>0</v>
      </c>
      <c r="E491" s="2403">
        <f>IF(未审附注之非流动资产!E491="",0,未审附注之非流动资产!E491)</f>
        <v>0</v>
      </c>
      <c r="F491" s="2444"/>
      <c r="G491" s="2444"/>
      <c r="H491" s="2444"/>
      <c r="I491" s="2444"/>
      <c r="J491" s="2453" t="s">
        <v>881</v>
      </c>
    </row>
    <row r="492" spans="1:10">
      <c r="A492" s="2410">
        <f>IF(未审附注之非流动资产!A492="",0,未审附注之非流动资产!A492)</f>
        <v>0</v>
      </c>
      <c r="B492" s="2431">
        <f>IF(未审附注之非流动资产!B492="",0,未审附注之非流动资产!B492)</f>
        <v>0</v>
      </c>
      <c r="C492" s="2403">
        <f>IF(未审附注之非流动资产!C492="",0,未审附注之非流动资产!C492)</f>
        <v>0</v>
      </c>
      <c r="D492" s="2403">
        <f>IF(未审附注之非流动资产!D492="",0,未审附注之非流动资产!D492)</f>
        <v>0</v>
      </c>
      <c r="E492" s="2403">
        <f>IF(未审附注之非流动资产!E492="",0,未审附注之非流动资产!E492)</f>
        <v>0</v>
      </c>
      <c r="F492" s="2444"/>
      <c r="G492" s="2444"/>
      <c r="H492" s="2444"/>
      <c r="I492" s="2444"/>
      <c r="J492" s="2453" t="s">
        <v>881</v>
      </c>
    </row>
    <row r="493" spans="1:10">
      <c r="A493" s="2410">
        <f>IF(未审附注之非流动资产!A493="",0,未审附注之非流动资产!A493)</f>
        <v>0</v>
      </c>
      <c r="B493" s="2431">
        <f>IF(未审附注之非流动资产!B493="",0,未审附注之非流动资产!B493)</f>
        <v>0</v>
      </c>
      <c r="C493" s="2403">
        <f>IF(未审附注之非流动资产!C493="",0,未审附注之非流动资产!C493)</f>
        <v>0</v>
      </c>
      <c r="D493" s="2403">
        <f>IF(未审附注之非流动资产!D493="",0,未审附注之非流动资产!D493)</f>
        <v>0</v>
      </c>
      <c r="E493" s="2403">
        <f>IF(未审附注之非流动资产!E493="",0,未审附注之非流动资产!E493)</f>
        <v>0</v>
      </c>
      <c r="F493" s="2444"/>
      <c r="G493" s="2444"/>
      <c r="H493" s="2444"/>
      <c r="I493" s="2444"/>
      <c r="J493" s="2453" t="s">
        <v>881</v>
      </c>
    </row>
    <row r="494" spans="1:10">
      <c r="A494" s="2410">
        <f>IF(未审附注之非流动资产!A494="",0,未审附注之非流动资产!A494)</f>
        <v>0</v>
      </c>
      <c r="B494" s="2431">
        <f>IF(未审附注之非流动资产!B494="",0,未审附注之非流动资产!B494)</f>
        <v>0</v>
      </c>
      <c r="C494" s="2403">
        <f>IF(未审附注之非流动资产!C494="",0,未审附注之非流动资产!C494)</f>
        <v>0</v>
      </c>
      <c r="D494" s="2403">
        <f>IF(未审附注之非流动资产!D494="",0,未审附注之非流动资产!D494)</f>
        <v>0</v>
      </c>
      <c r="E494" s="2403">
        <f>IF(未审附注之非流动资产!E494="",0,未审附注之非流动资产!E494)</f>
        <v>0</v>
      </c>
      <c r="F494" s="2444"/>
      <c r="G494" s="2444"/>
      <c r="H494" s="2444"/>
      <c r="I494" s="2444"/>
      <c r="J494" s="2453" t="s">
        <v>881</v>
      </c>
    </row>
    <row r="495" spans="1:10">
      <c r="A495" s="2410">
        <f>IF(未审附注之非流动资产!A495="",0,未审附注之非流动资产!A495)</f>
        <v>0</v>
      </c>
      <c r="B495" s="2431">
        <f>IF(未审附注之非流动资产!B495="",0,未审附注之非流动资产!B495)</f>
        <v>0</v>
      </c>
      <c r="C495" s="2403">
        <f>IF(未审附注之非流动资产!C495="",0,未审附注之非流动资产!C495)</f>
        <v>0</v>
      </c>
      <c r="D495" s="2403">
        <f>IF(未审附注之非流动资产!D495="",0,未审附注之非流动资产!D495)</f>
        <v>0</v>
      </c>
      <c r="E495" s="2403">
        <f>IF(未审附注之非流动资产!E495="",0,未审附注之非流动资产!E495)</f>
        <v>0</v>
      </c>
      <c r="F495" s="2444"/>
      <c r="G495" s="2444"/>
      <c r="H495" s="2444"/>
      <c r="I495" s="2444"/>
      <c r="J495" s="2453" t="s">
        <v>881</v>
      </c>
    </row>
    <row r="496" spans="1:10">
      <c r="A496" s="2410">
        <f>IF(未审附注之非流动资产!A496="",0,未审附注之非流动资产!A496)</f>
        <v>0</v>
      </c>
      <c r="B496" s="2431">
        <f>IF(未审附注之非流动资产!B496="",0,未审附注之非流动资产!B496)</f>
        <v>0</v>
      </c>
      <c r="C496" s="2403">
        <f>IF(未审附注之非流动资产!C496="",0,未审附注之非流动资产!C496)</f>
        <v>0</v>
      </c>
      <c r="D496" s="2403">
        <f>IF(未审附注之非流动资产!D496="",0,未审附注之非流动资产!D496)</f>
        <v>0</v>
      </c>
      <c r="E496" s="2403">
        <f>IF(未审附注之非流动资产!E496="",0,未审附注之非流动资产!E496)</f>
        <v>0</v>
      </c>
      <c r="F496" s="2444"/>
      <c r="G496" s="2444"/>
      <c r="H496" s="2444"/>
      <c r="I496" s="2444"/>
      <c r="J496" s="2453" t="s">
        <v>881</v>
      </c>
    </row>
    <row r="497" spans="1:10">
      <c r="A497" s="2400" t="s">
        <v>385</v>
      </c>
      <c r="B497" s="2369"/>
      <c r="C497" s="2369">
        <f>ROUND(SUM(C487:C496),2)</f>
        <v>0</v>
      </c>
      <c r="D497" s="2369">
        <f>ROUND(SUM(D487:D496),2)</f>
        <v>0</v>
      </c>
      <c r="E497" s="2369">
        <f>ROUND(SUM(E487:E496),2)</f>
        <v>0</v>
      </c>
      <c r="F497" s="2444"/>
      <c r="G497" s="2444"/>
      <c r="H497" s="2444"/>
      <c r="I497" s="2444"/>
      <c r="J497" s="2453" t="s">
        <v>881</v>
      </c>
    </row>
    <row r="498" spans="1:9">
      <c r="A498" s="2445"/>
      <c r="B498" s="2444"/>
      <c r="C498" s="2444"/>
      <c r="D498" s="2444"/>
      <c r="E498" s="2444"/>
      <c r="F498" s="2444"/>
      <c r="G498" s="2444"/>
      <c r="H498" s="2444"/>
      <c r="I498" s="2444"/>
    </row>
    <row r="499" spans="1:9">
      <c r="A499" s="2445" t="s">
        <v>882</v>
      </c>
      <c r="B499" s="2444"/>
      <c r="C499" s="2444"/>
      <c r="D499" s="2444"/>
      <c r="E499" s="2444"/>
      <c r="F499" s="2444"/>
      <c r="G499" s="2444"/>
      <c r="H499" s="2444"/>
      <c r="I499" s="2444"/>
    </row>
    <row r="500" spans="1:9">
      <c r="A500" s="2400" t="s">
        <v>373</v>
      </c>
      <c r="B500" s="2400" t="s">
        <v>317</v>
      </c>
      <c r="C500" s="2400" t="s">
        <v>582</v>
      </c>
      <c r="D500" s="2400" t="s">
        <v>583</v>
      </c>
      <c r="E500" s="2400" t="s">
        <v>316</v>
      </c>
      <c r="F500" s="2444"/>
      <c r="G500" s="2444"/>
      <c r="H500" s="2444"/>
      <c r="I500" s="2444"/>
    </row>
    <row r="501" spans="1:10">
      <c r="A501" s="2447" t="s">
        <v>715</v>
      </c>
      <c r="B501" s="2369">
        <f>ROUND(SUM(B502:B504),2)</f>
        <v>0</v>
      </c>
      <c r="C501" s="2369">
        <f>ROUND(SUM(C502:C504),2)</f>
        <v>0</v>
      </c>
      <c r="D501" s="2369">
        <f>ROUND(SUM(D502:D504),2)</f>
        <v>0</v>
      </c>
      <c r="E501" s="2369">
        <f>ROUND(SUM(E502:E504),2)</f>
        <v>0</v>
      </c>
      <c r="F501" s="2444"/>
      <c r="G501" s="2444"/>
      <c r="H501" s="2444"/>
      <c r="I501" s="2444"/>
      <c r="J501" s="2453" t="s">
        <v>883</v>
      </c>
    </row>
    <row r="502" spans="1:10">
      <c r="A502" s="2455" t="s">
        <v>884</v>
      </c>
      <c r="B502" s="2403">
        <f>IF(未审附注之非流动资产!B502="",0,未审附注之非流动资产!B502)</f>
        <v>0</v>
      </c>
      <c r="C502" s="2403">
        <f>IF(未审附注之非流动资产!C502="",0,未审附注之非流动资产!C502)</f>
        <v>0</v>
      </c>
      <c r="D502" s="2403">
        <f>IF(未审附注之非流动资产!D502="",0,未审附注之非流动资产!D502)</f>
        <v>0</v>
      </c>
      <c r="E502" s="2369">
        <f>ROUND(B502+C502-D502,2)</f>
        <v>0</v>
      </c>
      <c r="F502" s="2444"/>
      <c r="G502" s="2444"/>
      <c r="H502" s="2444"/>
      <c r="I502" s="2444"/>
      <c r="J502" s="2453" t="s">
        <v>885</v>
      </c>
    </row>
    <row r="503" spans="1:10">
      <c r="A503" s="2455" t="s">
        <v>886</v>
      </c>
      <c r="B503" s="2403">
        <f>IF(未审附注之非流动资产!B503="",0,未审附注之非流动资产!B503)</f>
        <v>0</v>
      </c>
      <c r="C503" s="2403">
        <f>IF(未审附注之非流动资产!C503="",0,未审附注之非流动资产!C503)</f>
        <v>0</v>
      </c>
      <c r="D503" s="2403">
        <f>IF(未审附注之非流动资产!D503="",0,未审附注之非流动资产!D503)</f>
        <v>0</v>
      </c>
      <c r="E503" s="2369">
        <f>ROUND(B503+C503-D503,2)</f>
        <v>0</v>
      </c>
      <c r="F503" s="2444"/>
      <c r="G503" s="2444"/>
      <c r="H503" s="2444"/>
      <c r="I503" s="2444"/>
      <c r="J503" s="2453" t="s">
        <v>887</v>
      </c>
    </row>
    <row r="504" spans="1:10">
      <c r="A504" s="2455" t="s">
        <v>888</v>
      </c>
      <c r="B504" s="2403">
        <f>IF(未审附注之非流动资产!B504="",0,未审附注之非流动资产!B504)</f>
        <v>0</v>
      </c>
      <c r="C504" s="2403">
        <f>IF(未审附注之非流动资产!C504="",0,未审附注之非流动资产!C504)</f>
        <v>0</v>
      </c>
      <c r="D504" s="2403">
        <f>IF(未审附注之非流动资产!D504="",0,未审附注之非流动资产!D504)</f>
        <v>0</v>
      </c>
      <c r="E504" s="2369">
        <f>ROUND(B504+C504-D504,2)</f>
        <v>0</v>
      </c>
      <c r="F504" s="2444"/>
      <c r="G504" s="2444"/>
      <c r="H504" s="2444"/>
      <c r="I504" s="2444"/>
      <c r="J504" s="2453" t="s">
        <v>889</v>
      </c>
    </row>
    <row r="505" spans="1:9">
      <c r="A505" s="2455"/>
      <c r="B505" s="2401"/>
      <c r="C505" s="2401"/>
      <c r="D505" s="2401"/>
      <c r="E505" s="2401"/>
      <c r="F505" s="2444"/>
      <c r="G505" s="2444"/>
      <c r="H505" s="2444"/>
      <c r="I505" s="2444"/>
    </row>
    <row r="506" spans="1:10">
      <c r="A506" s="2447" t="s">
        <v>890</v>
      </c>
      <c r="B506" s="2369">
        <f>ROUND(SUM(B507:B509),2)</f>
        <v>0</v>
      </c>
      <c r="C506" s="2369">
        <f>ROUND(SUM(C507:C509),2)</f>
        <v>0</v>
      </c>
      <c r="D506" s="2369">
        <f>ROUND(SUM(D507:D509),2)</f>
        <v>0</v>
      </c>
      <c r="E506" s="2369">
        <f>ROUND(SUM(E507:E509),2)</f>
        <v>0</v>
      </c>
      <c r="F506" s="2444"/>
      <c r="G506" s="2444"/>
      <c r="H506" s="2444"/>
      <c r="I506" s="2444"/>
      <c r="J506" s="2453" t="s">
        <v>891</v>
      </c>
    </row>
    <row r="507" spans="1:10">
      <c r="A507" s="2455" t="s">
        <v>884</v>
      </c>
      <c r="B507" s="2403">
        <f>IF(未审附注之非流动资产!B507="",0,未审附注之非流动资产!B507)</f>
        <v>0</v>
      </c>
      <c r="C507" s="2403">
        <f>IF(未审附注之非流动资产!C507="",0,未审附注之非流动资产!C507)</f>
        <v>0</v>
      </c>
      <c r="D507" s="2403">
        <f>IF(未审附注之非流动资产!D507="",0,未审附注之非流动资产!D507)</f>
        <v>0</v>
      </c>
      <c r="E507" s="2369">
        <f>ROUND(B507+C507-D507,2)</f>
        <v>0</v>
      </c>
      <c r="F507" s="2444"/>
      <c r="G507" s="2444"/>
      <c r="H507" s="2444"/>
      <c r="I507" s="2444"/>
      <c r="J507" s="2453" t="s">
        <v>892</v>
      </c>
    </row>
    <row r="508" spans="1:10">
      <c r="A508" s="2455" t="s">
        <v>886</v>
      </c>
      <c r="B508" s="2403">
        <f>IF(未审附注之非流动资产!B508="",0,未审附注之非流动资产!B508)</f>
        <v>0</v>
      </c>
      <c r="C508" s="2403">
        <f>IF(未审附注之非流动资产!C508="",0,未审附注之非流动资产!C508)</f>
        <v>0</v>
      </c>
      <c r="D508" s="2403">
        <f>IF(未审附注之非流动资产!D508="",0,未审附注之非流动资产!D508)</f>
        <v>0</v>
      </c>
      <c r="E508" s="2369">
        <f>ROUND(B508+C508-D508,2)</f>
        <v>0</v>
      </c>
      <c r="F508" s="2444"/>
      <c r="G508" s="2444"/>
      <c r="H508" s="2444"/>
      <c r="I508" s="2444"/>
      <c r="J508" s="2453" t="s">
        <v>893</v>
      </c>
    </row>
    <row r="509" spans="1:10">
      <c r="A509" s="2455" t="s">
        <v>888</v>
      </c>
      <c r="B509" s="2403">
        <f>IF(未审附注之非流动资产!B509="",0,未审附注之非流动资产!B509)</f>
        <v>0</v>
      </c>
      <c r="C509" s="2403">
        <f>IF(未审附注之非流动资产!C509="",0,未审附注之非流动资产!C509)</f>
        <v>0</v>
      </c>
      <c r="D509" s="2403">
        <f>IF(未审附注之非流动资产!D509="",0,未审附注之非流动资产!D509)</f>
        <v>0</v>
      </c>
      <c r="E509" s="2369">
        <f>ROUND(B509+C509-D509,2)</f>
        <v>0</v>
      </c>
      <c r="F509" s="2444"/>
      <c r="G509" s="2444"/>
      <c r="H509" s="2444"/>
      <c r="I509" s="2444"/>
      <c r="J509" s="2453" t="s">
        <v>894</v>
      </c>
    </row>
    <row r="510" spans="1:9">
      <c r="A510" s="2455"/>
      <c r="B510" s="2401"/>
      <c r="C510" s="2401"/>
      <c r="D510" s="2401"/>
      <c r="E510" s="2401"/>
      <c r="F510" s="2444"/>
      <c r="G510" s="2444"/>
      <c r="H510" s="2444"/>
      <c r="I510" s="2444"/>
    </row>
    <row r="511" spans="1:10">
      <c r="A511" s="2447" t="s">
        <v>895</v>
      </c>
      <c r="B511" s="2369">
        <f>ROUND(SUM(B512:B514),2)</f>
        <v>0</v>
      </c>
      <c r="C511" s="2369">
        <f>ROUND(SUM(C512:C514),2)</f>
        <v>0</v>
      </c>
      <c r="D511" s="2369">
        <f>ROUND(SUM(D512:D514),2)</f>
        <v>0</v>
      </c>
      <c r="E511" s="2369">
        <f>ROUND(SUM(E512:E514),2)</f>
        <v>0</v>
      </c>
      <c r="F511" s="2444"/>
      <c r="G511" s="2444"/>
      <c r="H511" s="2444"/>
      <c r="I511" s="2444"/>
      <c r="J511" s="2453" t="s">
        <v>896</v>
      </c>
    </row>
    <row r="512" spans="1:10">
      <c r="A512" s="2455" t="s">
        <v>884</v>
      </c>
      <c r="B512" s="2403">
        <f>IF(未审附注之非流动资产!B512="",0,未审附注之非流动资产!B512)</f>
        <v>0</v>
      </c>
      <c r="C512" s="2403">
        <f>IF(未审附注之非流动资产!C512="",0,未审附注之非流动资产!C512)</f>
        <v>0</v>
      </c>
      <c r="D512" s="2403">
        <f>IF(未审附注之非流动资产!D512="",0,未审附注之非流动资产!D512)</f>
        <v>0</v>
      </c>
      <c r="E512" s="2369">
        <f>ROUND(B512+C512-D512,2)</f>
        <v>0</v>
      </c>
      <c r="F512" s="2444"/>
      <c r="G512" s="2444"/>
      <c r="H512" s="2444"/>
      <c r="I512" s="2444"/>
      <c r="J512" s="2453" t="s">
        <v>897</v>
      </c>
    </row>
    <row r="513" spans="1:10">
      <c r="A513" s="2455" t="s">
        <v>886</v>
      </c>
      <c r="B513" s="2403">
        <f>IF(未审附注之非流动资产!B513="",0,未审附注之非流动资产!B513)</f>
        <v>0</v>
      </c>
      <c r="C513" s="2403">
        <f>IF(未审附注之非流动资产!C513="",0,未审附注之非流动资产!C513)</f>
        <v>0</v>
      </c>
      <c r="D513" s="2403">
        <f>IF(未审附注之非流动资产!D513="",0,未审附注之非流动资产!D513)</f>
        <v>0</v>
      </c>
      <c r="E513" s="2369">
        <f>ROUND(B513+C513-D513,2)</f>
        <v>0</v>
      </c>
      <c r="F513" s="2444"/>
      <c r="G513" s="2444"/>
      <c r="H513" s="2444"/>
      <c r="I513" s="2444"/>
      <c r="J513" s="2453" t="s">
        <v>898</v>
      </c>
    </row>
    <row r="514" spans="1:10">
      <c r="A514" s="2455" t="s">
        <v>888</v>
      </c>
      <c r="B514" s="2403">
        <f>IF(未审附注之非流动资产!B514="",0,未审附注之非流动资产!B514)</f>
        <v>0</v>
      </c>
      <c r="C514" s="2403">
        <f>IF(未审附注之非流动资产!C514="",0,未审附注之非流动资产!C514)</f>
        <v>0</v>
      </c>
      <c r="D514" s="2403">
        <f>IF(未审附注之非流动资产!D514="",0,未审附注之非流动资产!D514)</f>
        <v>0</v>
      </c>
      <c r="E514" s="2369">
        <f>ROUND(B514+C514-D514,2)</f>
        <v>0</v>
      </c>
      <c r="F514" s="2444"/>
      <c r="G514" s="2444"/>
      <c r="H514" s="2444"/>
      <c r="I514" s="2444"/>
      <c r="J514" s="2453" t="s">
        <v>899</v>
      </c>
    </row>
    <row r="515" spans="1:9">
      <c r="A515" s="2455"/>
      <c r="B515" s="2401"/>
      <c r="C515" s="2401"/>
      <c r="D515" s="2401"/>
      <c r="E515" s="2401"/>
      <c r="F515" s="2444"/>
      <c r="G515" s="2444"/>
      <c r="H515" s="2444"/>
      <c r="I515" s="2444"/>
    </row>
    <row r="516" spans="1:9">
      <c r="A516" s="2447" t="s">
        <v>900</v>
      </c>
      <c r="B516" s="2369">
        <f>ROUND(SUM(B517:B519),2)</f>
        <v>0</v>
      </c>
      <c r="C516" s="2369">
        <f>ROUND(SUM(C517:C519),2)</f>
        <v>0</v>
      </c>
      <c r="D516" s="2369">
        <f>ROUND(SUM(D517:D519),2)</f>
        <v>0</v>
      </c>
      <c r="E516" s="2369">
        <f>ROUND(SUM(E517:E519),2)</f>
        <v>0</v>
      </c>
      <c r="F516" s="2444"/>
      <c r="G516" s="2444"/>
      <c r="H516" s="2444"/>
      <c r="I516" s="2444"/>
    </row>
    <row r="517" spans="1:9">
      <c r="A517" s="2455" t="s">
        <v>884</v>
      </c>
      <c r="B517" s="2156">
        <f t="shared" ref="B517:D519" si="21">ROUND(B502-B507-B512,2)</f>
        <v>0</v>
      </c>
      <c r="C517" s="2156">
        <f t="shared" si="21"/>
        <v>0</v>
      </c>
      <c r="D517" s="2156">
        <f t="shared" si="21"/>
        <v>0</v>
      </c>
      <c r="E517" s="2369">
        <f>ROUND(B517+C517-D517,2)</f>
        <v>0</v>
      </c>
      <c r="F517" s="2444"/>
      <c r="G517" s="2444"/>
      <c r="H517" s="2444"/>
      <c r="I517" s="2444"/>
    </row>
    <row r="518" spans="1:9">
      <c r="A518" s="2455" t="s">
        <v>886</v>
      </c>
      <c r="B518" s="2156">
        <f t="shared" si="21"/>
        <v>0</v>
      </c>
      <c r="C518" s="2156">
        <f t="shared" si="21"/>
        <v>0</v>
      </c>
      <c r="D518" s="2156">
        <f t="shared" si="21"/>
        <v>0</v>
      </c>
      <c r="E518" s="2369">
        <f>ROUND(B518+C518-D518,2)</f>
        <v>0</v>
      </c>
      <c r="F518" s="2444"/>
      <c r="G518" s="2444"/>
      <c r="H518" s="2444"/>
      <c r="I518" s="2444"/>
    </row>
    <row r="519" spans="1:9">
      <c r="A519" s="2455" t="s">
        <v>888</v>
      </c>
      <c r="B519" s="2156">
        <f t="shared" si="21"/>
        <v>0</v>
      </c>
      <c r="C519" s="2156">
        <f t="shared" si="21"/>
        <v>0</v>
      </c>
      <c r="D519" s="2156">
        <f t="shared" si="21"/>
        <v>0</v>
      </c>
      <c r="E519" s="2369">
        <f>ROUND(B519+C519-D519,2)</f>
        <v>0</v>
      </c>
      <c r="F519" s="2444"/>
      <c r="G519" s="2444"/>
      <c r="H519" s="2444"/>
      <c r="I519" s="2444"/>
    </row>
    <row r="520" spans="1:9">
      <c r="A520" s="2444"/>
      <c r="B520" s="2444"/>
      <c r="C520" s="2444"/>
      <c r="D520" s="2444"/>
      <c r="E520" s="2444"/>
      <c r="F520" s="2444"/>
      <c r="G520" s="2444"/>
      <c r="H520" s="2444"/>
      <c r="I520" s="2444"/>
    </row>
    <row r="521" spans="1:9">
      <c r="A521" s="2454"/>
      <c r="B521" s="2444"/>
      <c r="C521" s="2444"/>
      <c r="D521" s="2444"/>
      <c r="E521" s="2444"/>
      <c r="F521" s="2444"/>
      <c r="G521" s="2444"/>
      <c r="H521" s="2444"/>
      <c r="I521" s="2444"/>
    </row>
    <row r="522" spans="1:9">
      <c r="A522" s="2452" t="s">
        <v>901</v>
      </c>
      <c r="B522" s="2444"/>
      <c r="C522" s="2444"/>
      <c r="D522" s="2444"/>
      <c r="E522" s="2444"/>
      <c r="F522" s="2444"/>
      <c r="G522" s="2444"/>
      <c r="H522" s="2444"/>
      <c r="I522" s="2444"/>
    </row>
    <row r="523" spans="1:9">
      <c r="A523" s="2451" t="s">
        <v>902</v>
      </c>
      <c r="B523" s="2444"/>
      <c r="C523" s="2444"/>
      <c r="D523" s="2444"/>
      <c r="E523" s="2444"/>
      <c r="F523" s="2444"/>
      <c r="G523" s="2444"/>
      <c r="H523" s="2444"/>
      <c r="I523" s="2444"/>
    </row>
    <row r="524" spans="1:9">
      <c r="A524" s="2400" t="s">
        <v>373</v>
      </c>
      <c r="B524" s="2400" t="s">
        <v>317</v>
      </c>
      <c r="C524" s="2400" t="s">
        <v>582</v>
      </c>
      <c r="D524" s="2400" t="s">
        <v>583</v>
      </c>
      <c r="E524" s="2400" t="s">
        <v>316</v>
      </c>
      <c r="F524" s="2444"/>
      <c r="G524" s="2444"/>
      <c r="H524" s="2444"/>
      <c r="I524" s="2444"/>
    </row>
    <row r="525" spans="1:10">
      <c r="A525" s="2447" t="s">
        <v>715</v>
      </c>
      <c r="B525" s="2369">
        <f>ROUND(SUM(B526:B535),2)</f>
        <v>0</v>
      </c>
      <c r="C525" s="2369">
        <f>ROUND(SUM(C526:C535),2)</f>
        <v>0</v>
      </c>
      <c r="D525" s="2369">
        <f>ROUND(SUM(D526:D535),2)</f>
        <v>0</v>
      </c>
      <c r="E525" s="2369">
        <f>ROUND(SUM(E526:E535),2)</f>
        <v>0</v>
      </c>
      <c r="F525" s="2444"/>
      <c r="G525" s="2444"/>
      <c r="H525" s="2444"/>
      <c r="I525" s="2444"/>
      <c r="J525" s="2436" t="s">
        <v>903</v>
      </c>
    </row>
    <row r="526" spans="1:10">
      <c r="A526" s="2410">
        <f>IF(未审附注之非流动资产!A526="",0,未审附注之非流动资产!A526)</f>
        <v>0</v>
      </c>
      <c r="B526" s="2403">
        <f>IF(未审附注之非流动资产!B526="",0,未审附注之非流动资产!B526)</f>
        <v>0</v>
      </c>
      <c r="C526" s="2403">
        <f>IF(未审附注之非流动资产!C526="",0,未审附注之非流动资产!C526)</f>
        <v>0</v>
      </c>
      <c r="D526" s="2403">
        <f>IF(未审附注之非流动资产!D526="",0,未审附注之非流动资产!D526)</f>
        <v>0</v>
      </c>
      <c r="E526" s="2369">
        <f>ROUND(B526+C526-D526,2)</f>
        <v>0</v>
      </c>
      <c r="F526" s="2398"/>
      <c r="G526" s="2398"/>
      <c r="H526" s="2398"/>
      <c r="I526" s="2398"/>
      <c r="J526" s="2436" t="s">
        <v>904</v>
      </c>
    </row>
    <row r="527" spans="1:10">
      <c r="A527" s="2410">
        <f>IF(未审附注之非流动资产!A527="",0,未审附注之非流动资产!A527)</f>
        <v>0</v>
      </c>
      <c r="B527" s="2403">
        <f>IF(未审附注之非流动资产!B527="",0,未审附注之非流动资产!B527)</f>
        <v>0</v>
      </c>
      <c r="C527" s="2403">
        <f>IF(未审附注之非流动资产!C527="",0,未审附注之非流动资产!C527)</f>
        <v>0</v>
      </c>
      <c r="D527" s="2403">
        <f>IF(未审附注之非流动资产!D527="",0,未审附注之非流动资产!D527)</f>
        <v>0</v>
      </c>
      <c r="E527" s="2369">
        <f t="shared" ref="E527:E535" si="22">ROUND(B527+C527-D527,2)</f>
        <v>0</v>
      </c>
      <c r="F527" s="2398"/>
      <c r="G527" s="2398"/>
      <c r="H527" s="2398"/>
      <c r="I527" s="2398"/>
      <c r="J527" s="2436" t="s">
        <v>904</v>
      </c>
    </row>
    <row r="528" spans="1:10">
      <c r="A528" s="2410">
        <f>IF(未审附注之非流动资产!A528="",0,未审附注之非流动资产!A528)</f>
        <v>0</v>
      </c>
      <c r="B528" s="2403">
        <f>IF(未审附注之非流动资产!B528="",0,未审附注之非流动资产!B528)</f>
        <v>0</v>
      </c>
      <c r="C528" s="2403">
        <f>IF(未审附注之非流动资产!C528="",0,未审附注之非流动资产!C528)</f>
        <v>0</v>
      </c>
      <c r="D528" s="2403">
        <f>IF(未审附注之非流动资产!D528="",0,未审附注之非流动资产!D528)</f>
        <v>0</v>
      </c>
      <c r="E528" s="2369">
        <f t="shared" si="22"/>
        <v>0</v>
      </c>
      <c r="F528" s="2398"/>
      <c r="G528" s="2398"/>
      <c r="H528" s="2398"/>
      <c r="I528" s="2398"/>
      <c r="J528" s="2436" t="s">
        <v>904</v>
      </c>
    </row>
    <row r="529" spans="1:10">
      <c r="A529" s="2410">
        <f>IF(未审附注之非流动资产!A529="",0,未审附注之非流动资产!A529)</f>
        <v>0</v>
      </c>
      <c r="B529" s="2403">
        <f>IF(未审附注之非流动资产!B529="",0,未审附注之非流动资产!B529)</f>
        <v>0</v>
      </c>
      <c r="C529" s="2403">
        <f>IF(未审附注之非流动资产!C529="",0,未审附注之非流动资产!C529)</f>
        <v>0</v>
      </c>
      <c r="D529" s="2403">
        <f>IF(未审附注之非流动资产!D529="",0,未审附注之非流动资产!D529)</f>
        <v>0</v>
      </c>
      <c r="E529" s="2369">
        <f t="shared" si="22"/>
        <v>0</v>
      </c>
      <c r="F529" s="2398"/>
      <c r="G529" s="2398"/>
      <c r="H529" s="2398"/>
      <c r="I529" s="2398"/>
      <c r="J529" s="2436" t="s">
        <v>904</v>
      </c>
    </row>
    <row r="530" spans="1:10">
      <c r="A530" s="2410">
        <f>IF(未审附注之非流动资产!A530="",0,未审附注之非流动资产!A530)</f>
        <v>0</v>
      </c>
      <c r="B530" s="2403">
        <f>IF(未审附注之非流动资产!B530="",0,未审附注之非流动资产!B530)</f>
        <v>0</v>
      </c>
      <c r="C530" s="2403">
        <f>IF(未审附注之非流动资产!C530="",0,未审附注之非流动资产!C530)</f>
        <v>0</v>
      </c>
      <c r="D530" s="2403">
        <f>IF(未审附注之非流动资产!D530="",0,未审附注之非流动资产!D530)</f>
        <v>0</v>
      </c>
      <c r="E530" s="2369">
        <f t="shared" si="22"/>
        <v>0</v>
      </c>
      <c r="F530" s="2398"/>
      <c r="G530" s="2398"/>
      <c r="H530" s="2398"/>
      <c r="I530" s="2398"/>
      <c r="J530" s="2436" t="s">
        <v>904</v>
      </c>
    </row>
    <row r="531" spans="1:10">
      <c r="A531" s="2410">
        <f>IF(未审附注之非流动资产!A531="",0,未审附注之非流动资产!A531)</f>
        <v>0</v>
      </c>
      <c r="B531" s="2403">
        <f>IF(未审附注之非流动资产!B531="",0,未审附注之非流动资产!B531)</f>
        <v>0</v>
      </c>
      <c r="C531" s="2403">
        <f>IF(未审附注之非流动资产!C531="",0,未审附注之非流动资产!C531)</f>
        <v>0</v>
      </c>
      <c r="D531" s="2403">
        <f>IF(未审附注之非流动资产!D531="",0,未审附注之非流动资产!D531)</f>
        <v>0</v>
      </c>
      <c r="E531" s="2369">
        <f t="shared" si="22"/>
        <v>0</v>
      </c>
      <c r="F531" s="2398"/>
      <c r="G531" s="2398"/>
      <c r="H531" s="2398"/>
      <c r="I531" s="2398"/>
      <c r="J531" s="2436" t="s">
        <v>904</v>
      </c>
    </row>
    <row r="532" spans="1:10">
      <c r="A532" s="2410">
        <f>IF(未审附注之非流动资产!A532="",0,未审附注之非流动资产!A532)</f>
        <v>0</v>
      </c>
      <c r="B532" s="2403">
        <f>IF(未审附注之非流动资产!B532="",0,未审附注之非流动资产!B532)</f>
        <v>0</v>
      </c>
      <c r="C532" s="2403">
        <f>IF(未审附注之非流动资产!C532="",0,未审附注之非流动资产!C532)</f>
        <v>0</v>
      </c>
      <c r="D532" s="2403">
        <f>IF(未审附注之非流动资产!D532="",0,未审附注之非流动资产!D532)</f>
        <v>0</v>
      </c>
      <c r="E532" s="2369">
        <f t="shared" si="22"/>
        <v>0</v>
      </c>
      <c r="F532" s="2398"/>
      <c r="G532" s="2398"/>
      <c r="H532" s="2398"/>
      <c r="I532" s="2398"/>
      <c r="J532" s="2436" t="s">
        <v>904</v>
      </c>
    </row>
    <row r="533" spans="1:10">
      <c r="A533" s="2410">
        <f>IF(未审附注之非流动资产!A533="",0,未审附注之非流动资产!A533)</f>
        <v>0</v>
      </c>
      <c r="B533" s="2403">
        <f>IF(未审附注之非流动资产!B533="",0,未审附注之非流动资产!B533)</f>
        <v>0</v>
      </c>
      <c r="C533" s="2403">
        <f>IF(未审附注之非流动资产!C533="",0,未审附注之非流动资产!C533)</f>
        <v>0</v>
      </c>
      <c r="D533" s="2403">
        <f>IF(未审附注之非流动资产!D533="",0,未审附注之非流动资产!D533)</f>
        <v>0</v>
      </c>
      <c r="E533" s="2369">
        <f t="shared" si="22"/>
        <v>0</v>
      </c>
      <c r="F533" s="2398"/>
      <c r="G533" s="2398"/>
      <c r="H533" s="2398"/>
      <c r="I533" s="2398"/>
      <c r="J533" s="2436" t="s">
        <v>904</v>
      </c>
    </row>
    <row r="534" spans="1:10">
      <c r="A534" s="2410">
        <f>IF(未审附注之非流动资产!A534="",0,未审附注之非流动资产!A534)</f>
        <v>0</v>
      </c>
      <c r="B534" s="2403">
        <f>IF(未审附注之非流动资产!B534="",0,未审附注之非流动资产!B534)</f>
        <v>0</v>
      </c>
      <c r="C534" s="2403">
        <f>IF(未审附注之非流动资产!C534="",0,未审附注之非流动资产!C534)</f>
        <v>0</v>
      </c>
      <c r="D534" s="2403">
        <f>IF(未审附注之非流动资产!D534="",0,未审附注之非流动资产!D534)</f>
        <v>0</v>
      </c>
      <c r="E534" s="2369">
        <f t="shared" si="22"/>
        <v>0</v>
      </c>
      <c r="F534" s="2398"/>
      <c r="G534" s="2398"/>
      <c r="H534" s="2398"/>
      <c r="I534" s="2398"/>
      <c r="J534" s="2436" t="s">
        <v>904</v>
      </c>
    </row>
    <row r="535" spans="1:10">
      <c r="A535" s="2410">
        <f>IF(未审附注之非流动资产!A535="",0,未审附注之非流动资产!A535)</f>
        <v>0</v>
      </c>
      <c r="B535" s="2403">
        <f>IF(未审附注之非流动资产!B535="",0,未审附注之非流动资产!B535)</f>
        <v>0</v>
      </c>
      <c r="C535" s="2403">
        <f>IF(未审附注之非流动资产!C535="",0,未审附注之非流动资产!C535)</f>
        <v>0</v>
      </c>
      <c r="D535" s="2403">
        <f>IF(未审附注之非流动资产!D535="",0,未审附注之非流动资产!D535)</f>
        <v>0</v>
      </c>
      <c r="E535" s="2369">
        <f t="shared" si="22"/>
        <v>0</v>
      </c>
      <c r="F535" s="2398"/>
      <c r="G535" s="2398"/>
      <c r="H535" s="2398"/>
      <c r="I535" s="2398"/>
      <c r="J535" s="2436" t="s">
        <v>904</v>
      </c>
    </row>
    <row r="536" spans="1:9">
      <c r="A536" s="2455"/>
      <c r="B536" s="2401"/>
      <c r="C536" s="2401"/>
      <c r="D536" s="2401"/>
      <c r="E536" s="2401"/>
      <c r="F536" s="2444"/>
      <c r="G536" s="2444"/>
      <c r="H536" s="2444"/>
      <c r="I536" s="2444"/>
    </row>
    <row r="537" spans="1:10">
      <c r="A537" s="2447" t="s">
        <v>905</v>
      </c>
      <c r="B537" s="2369">
        <f>ROUND(SUM(B538:B547),2)</f>
        <v>0</v>
      </c>
      <c r="C537" s="2369">
        <f>ROUND(SUM(C538:C547),2)</f>
        <v>0</v>
      </c>
      <c r="D537" s="2369">
        <f>ROUND(SUM(D538:D547),2)</f>
        <v>0</v>
      </c>
      <c r="E537" s="2369">
        <f>ROUND(SUM(E538:E547),2)</f>
        <v>0</v>
      </c>
      <c r="F537" s="2444"/>
      <c r="G537" s="2444"/>
      <c r="H537" s="2444"/>
      <c r="I537" s="2444"/>
      <c r="J537" s="2436" t="s">
        <v>906</v>
      </c>
    </row>
    <row r="538" spans="1:10">
      <c r="A538" s="2405">
        <f>IF(A526="","",A526)</f>
        <v>0</v>
      </c>
      <c r="B538" s="2403">
        <f>IF(未审附注之非流动资产!B538="",0,未审附注之非流动资产!B538)</f>
        <v>0</v>
      </c>
      <c r="C538" s="2403">
        <f>IF(未审附注之非流动资产!C538="",0,未审附注之非流动资产!C538)</f>
        <v>0</v>
      </c>
      <c r="D538" s="2403">
        <f>IF(未审附注之非流动资产!D538="",0,未审附注之非流动资产!D538)</f>
        <v>0</v>
      </c>
      <c r="E538" s="2369">
        <f>ROUND(B538+C538-D538,2)</f>
        <v>0</v>
      </c>
      <c r="F538" s="2398"/>
      <c r="G538" s="2398"/>
      <c r="H538" s="2398"/>
      <c r="I538" s="2398"/>
      <c r="J538" s="2436" t="s">
        <v>907</v>
      </c>
    </row>
    <row r="539" spans="1:10">
      <c r="A539" s="2405">
        <f t="shared" ref="A539:A547" si="23">IF(A527="","",A527)</f>
        <v>0</v>
      </c>
      <c r="B539" s="2403">
        <f>IF(未审附注之非流动资产!B539="",0,未审附注之非流动资产!B539)</f>
        <v>0</v>
      </c>
      <c r="C539" s="2403">
        <f>IF(未审附注之非流动资产!C539="",0,未审附注之非流动资产!C539)</f>
        <v>0</v>
      </c>
      <c r="D539" s="2403">
        <f>IF(未审附注之非流动资产!D539="",0,未审附注之非流动资产!D539)</f>
        <v>0</v>
      </c>
      <c r="E539" s="2369">
        <f t="shared" ref="E539:E547" si="24">ROUND(B539+C539-D539,2)</f>
        <v>0</v>
      </c>
      <c r="F539" s="2398"/>
      <c r="G539" s="2398"/>
      <c r="H539" s="2398"/>
      <c r="I539" s="2398"/>
      <c r="J539" s="2436" t="s">
        <v>907</v>
      </c>
    </row>
    <row r="540" spans="1:10">
      <c r="A540" s="2405">
        <f t="shared" si="23"/>
        <v>0</v>
      </c>
      <c r="B540" s="2403">
        <f>IF(未审附注之非流动资产!B540="",0,未审附注之非流动资产!B540)</f>
        <v>0</v>
      </c>
      <c r="C540" s="2403">
        <f>IF(未审附注之非流动资产!C540="",0,未审附注之非流动资产!C540)</f>
        <v>0</v>
      </c>
      <c r="D540" s="2403">
        <f>IF(未审附注之非流动资产!D540="",0,未审附注之非流动资产!D540)</f>
        <v>0</v>
      </c>
      <c r="E540" s="2369">
        <f t="shared" si="24"/>
        <v>0</v>
      </c>
      <c r="F540" s="2398"/>
      <c r="G540" s="2398"/>
      <c r="H540" s="2398"/>
      <c r="I540" s="2398"/>
      <c r="J540" s="2436" t="s">
        <v>907</v>
      </c>
    </row>
    <row r="541" spans="1:10">
      <c r="A541" s="2405">
        <f t="shared" si="23"/>
        <v>0</v>
      </c>
      <c r="B541" s="2403">
        <f>IF(未审附注之非流动资产!B541="",0,未审附注之非流动资产!B541)</f>
        <v>0</v>
      </c>
      <c r="C541" s="2403">
        <f>IF(未审附注之非流动资产!C541="",0,未审附注之非流动资产!C541)</f>
        <v>0</v>
      </c>
      <c r="D541" s="2403">
        <f>IF(未审附注之非流动资产!D541="",0,未审附注之非流动资产!D541)</f>
        <v>0</v>
      </c>
      <c r="E541" s="2369">
        <f t="shared" si="24"/>
        <v>0</v>
      </c>
      <c r="F541" s="2398"/>
      <c r="G541" s="2398"/>
      <c r="H541" s="2398"/>
      <c r="I541" s="2398"/>
      <c r="J541" s="2436" t="s">
        <v>907</v>
      </c>
    </row>
    <row r="542" spans="1:10">
      <c r="A542" s="2405">
        <f t="shared" si="23"/>
        <v>0</v>
      </c>
      <c r="B542" s="2403">
        <f>IF(未审附注之非流动资产!B542="",0,未审附注之非流动资产!B542)</f>
        <v>0</v>
      </c>
      <c r="C542" s="2403">
        <f>IF(未审附注之非流动资产!C542="",0,未审附注之非流动资产!C542)</f>
        <v>0</v>
      </c>
      <c r="D542" s="2403">
        <f>IF(未审附注之非流动资产!D542="",0,未审附注之非流动资产!D542)</f>
        <v>0</v>
      </c>
      <c r="E542" s="2369">
        <f t="shared" si="24"/>
        <v>0</v>
      </c>
      <c r="F542" s="2398"/>
      <c r="G542" s="2398"/>
      <c r="H542" s="2398"/>
      <c r="I542" s="2398"/>
      <c r="J542" s="2436" t="s">
        <v>907</v>
      </c>
    </row>
    <row r="543" spans="1:10">
      <c r="A543" s="2405">
        <f t="shared" si="23"/>
        <v>0</v>
      </c>
      <c r="B543" s="2403">
        <f>IF(未审附注之非流动资产!B543="",0,未审附注之非流动资产!B543)</f>
        <v>0</v>
      </c>
      <c r="C543" s="2403">
        <f>IF(未审附注之非流动资产!C543="",0,未审附注之非流动资产!C543)</f>
        <v>0</v>
      </c>
      <c r="D543" s="2403">
        <f>IF(未审附注之非流动资产!D543="",0,未审附注之非流动资产!D543)</f>
        <v>0</v>
      </c>
      <c r="E543" s="2369">
        <f t="shared" si="24"/>
        <v>0</v>
      </c>
      <c r="F543" s="2398"/>
      <c r="G543" s="2398"/>
      <c r="H543" s="2398"/>
      <c r="I543" s="2398"/>
      <c r="J543" s="2436" t="s">
        <v>907</v>
      </c>
    </row>
    <row r="544" spans="1:10">
      <c r="A544" s="2405">
        <f t="shared" si="23"/>
        <v>0</v>
      </c>
      <c r="B544" s="2403">
        <f>IF(未审附注之非流动资产!B544="",0,未审附注之非流动资产!B544)</f>
        <v>0</v>
      </c>
      <c r="C544" s="2403">
        <f>IF(未审附注之非流动资产!C544="",0,未审附注之非流动资产!C544)</f>
        <v>0</v>
      </c>
      <c r="D544" s="2403">
        <f>IF(未审附注之非流动资产!D544="",0,未审附注之非流动资产!D544)</f>
        <v>0</v>
      </c>
      <c r="E544" s="2369">
        <f t="shared" si="24"/>
        <v>0</v>
      </c>
      <c r="F544" s="2398"/>
      <c r="G544" s="2398"/>
      <c r="H544" s="2398"/>
      <c r="I544" s="2398"/>
      <c r="J544" s="2436" t="s">
        <v>907</v>
      </c>
    </row>
    <row r="545" spans="1:10">
      <c r="A545" s="2405">
        <f t="shared" si="23"/>
        <v>0</v>
      </c>
      <c r="B545" s="2403">
        <f>IF(未审附注之非流动资产!B545="",0,未审附注之非流动资产!B545)</f>
        <v>0</v>
      </c>
      <c r="C545" s="2403">
        <f>IF(未审附注之非流动资产!C545="",0,未审附注之非流动资产!C545)</f>
        <v>0</v>
      </c>
      <c r="D545" s="2403">
        <f>IF(未审附注之非流动资产!D545="",0,未审附注之非流动资产!D545)</f>
        <v>0</v>
      </c>
      <c r="E545" s="2369">
        <f t="shared" si="24"/>
        <v>0</v>
      </c>
      <c r="F545" s="2398"/>
      <c r="G545" s="2398"/>
      <c r="H545" s="2398"/>
      <c r="I545" s="2398"/>
      <c r="J545" s="2436" t="s">
        <v>907</v>
      </c>
    </row>
    <row r="546" spans="1:10">
      <c r="A546" s="2405">
        <f t="shared" si="23"/>
        <v>0</v>
      </c>
      <c r="B546" s="2403">
        <f>IF(未审附注之非流动资产!B546="",0,未审附注之非流动资产!B546)</f>
        <v>0</v>
      </c>
      <c r="C546" s="2403">
        <f>IF(未审附注之非流动资产!C546="",0,未审附注之非流动资产!C546)</f>
        <v>0</v>
      </c>
      <c r="D546" s="2403">
        <f>IF(未审附注之非流动资产!D546="",0,未审附注之非流动资产!D546)</f>
        <v>0</v>
      </c>
      <c r="E546" s="2369">
        <f t="shared" si="24"/>
        <v>0</v>
      </c>
      <c r="F546" s="2398"/>
      <c r="G546" s="2398"/>
      <c r="H546" s="2398"/>
      <c r="I546" s="2398"/>
      <c r="J546" s="2436" t="s">
        <v>907</v>
      </c>
    </row>
    <row r="547" spans="1:10">
      <c r="A547" s="2405">
        <f t="shared" si="23"/>
        <v>0</v>
      </c>
      <c r="B547" s="2403">
        <f>IF(未审附注之非流动资产!B547="",0,未审附注之非流动资产!B547)</f>
        <v>0</v>
      </c>
      <c r="C547" s="2403">
        <f>IF(未审附注之非流动资产!C547="",0,未审附注之非流动资产!C547)</f>
        <v>0</v>
      </c>
      <c r="D547" s="2403">
        <f>IF(未审附注之非流动资产!D547="",0,未审附注之非流动资产!D547)</f>
        <v>0</v>
      </c>
      <c r="E547" s="2369">
        <f t="shared" si="24"/>
        <v>0</v>
      </c>
      <c r="F547" s="2398"/>
      <c r="G547" s="2398"/>
      <c r="H547" s="2398"/>
      <c r="I547" s="2398"/>
      <c r="J547" s="2436" t="s">
        <v>907</v>
      </c>
    </row>
    <row r="548" spans="1:9">
      <c r="A548" s="2455"/>
      <c r="B548" s="2401"/>
      <c r="C548" s="2401"/>
      <c r="D548" s="2401"/>
      <c r="E548" s="2401"/>
      <c r="F548" s="2444"/>
      <c r="G548" s="2444"/>
      <c r="H548" s="2444"/>
      <c r="I548" s="2444"/>
    </row>
    <row r="549" spans="1:10">
      <c r="A549" s="2447" t="s">
        <v>908</v>
      </c>
      <c r="B549" s="2369">
        <f>ROUND(SUM(B550:B559),2)</f>
        <v>0</v>
      </c>
      <c r="C549" s="2369">
        <f>ROUND(SUM(C550:C559),2)</f>
        <v>0</v>
      </c>
      <c r="D549" s="2369">
        <f>ROUND(SUM(D550:D559),2)</f>
        <v>0</v>
      </c>
      <c r="E549" s="2369">
        <f>ROUND(SUM(E550:E559),2)</f>
        <v>0</v>
      </c>
      <c r="F549" s="2444"/>
      <c r="G549" s="2444"/>
      <c r="H549" s="2444"/>
      <c r="I549" s="2444"/>
      <c r="J549" s="2436" t="s">
        <v>909</v>
      </c>
    </row>
    <row r="550" spans="1:10">
      <c r="A550" s="2405">
        <f>IF(A526="","",A526)</f>
        <v>0</v>
      </c>
      <c r="B550" s="2403">
        <f>IF(未审附注之非流动资产!B550="",0,未审附注之非流动资产!B550)</f>
        <v>0</v>
      </c>
      <c r="C550" s="2403">
        <f>IF(未审附注之非流动资产!C550="",0,未审附注之非流动资产!C550)</f>
        <v>0</v>
      </c>
      <c r="D550" s="2403">
        <f>IF(未审附注之非流动资产!D550="",0,未审附注之非流动资产!D550)</f>
        <v>0</v>
      </c>
      <c r="E550" s="2369">
        <f>ROUND(B550+C550-D550,2)</f>
        <v>0</v>
      </c>
      <c r="F550" s="2398"/>
      <c r="G550" s="2398"/>
      <c r="H550" s="2398"/>
      <c r="I550" s="2398"/>
      <c r="J550" s="2436" t="s">
        <v>910</v>
      </c>
    </row>
    <row r="551" spans="1:10">
      <c r="A551" s="2405">
        <f t="shared" ref="A551:A559" si="25">IF(A527="","",A527)</f>
        <v>0</v>
      </c>
      <c r="B551" s="2403">
        <f>IF(未审附注之非流动资产!B551="",0,未审附注之非流动资产!B551)</f>
        <v>0</v>
      </c>
      <c r="C551" s="2403">
        <f>IF(未审附注之非流动资产!C551="",0,未审附注之非流动资产!C551)</f>
        <v>0</v>
      </c>
      <c r="D551" s="2403">
        <f>IF(未审附注之非流动资产!D551="",0,未审附注之非流动资产!D551)</f>
        <v>0</v>
      </c>
      <c r="E551" s="2369">
        <f t="shared" ref="E551:E559" si="26">ROUND(B551+C551-D551,2)</f>
        <v>0</v>
      </c>
      <c r="F551" s="2398"/>
      <c r="G551" s="2398"/>
      <c r="H551" s="2398"/>
      <c r="I551" s="2398"/>
      <c r="J551" s="2436" t="s">
        <v>910</v>
      </c>
    </row>
    <row r="552" spans="1:10">
      <c r="A552" s="2405">
        <f t="shared" si="25"/>
        <v>0</v>
      </c>
      <c r="B552" s="2403">
        <f>IF(未审附注之非流动资产!B552="",0,未审附注之非流动资产!B552)</f>
        <v>0</v>
      </c>
      <c r="C552" s="2403">
        <f>IF(未审附注之非流动资产!C552="",0,未审附注之非流动资产!C552)</f>
        <v>0</v>
      </c>
      <c r="D552" s="2403">
        <f>IF(未审附注之非流动资产!D552="",0,未审附注之非流动资产!D552)</f>
        <v>0</v>
      </c>
      <c r="E552" s="2369">
        <f t="shared" si="26"/>
        <v>0</v>
      </c>
      <c r="F552" s="2398"/>
      <c r="G552" s="2398"/>
      <c r="H552" s="2398"/>
      <c r="I552" s="2398"/>
      <c r="J552" s="2436" t="s">
        <v>910</v>
      </c>
    </row>
    <row r="553" spans="1:10">
      <c r="A553" s="2405">
        <f t="shared" si="25"/>
        <v>0</v>
      </c>
      <c r="B553" s="2403">
        <f>IF(未审附注之非流动资产!B553="",0,未审附注之非流动资产!B553)</f>
        <v>0</v>
      </c>
      <c r="C553" s="2403">
        <f>IF(未审附注之非流动资产!C553="",0,未审附注之非流动资产!C553)</f>
        <v>0</v>
      </c>
      <c r="D553" s="2403">
        <f>IF(未审附注之非流动资产!D553="",0,未审附注之非流动资产!D553)</f>
        <v>0</v>
      </c>
      <c r="E553" s="2369">
        <f t="shared" si="26"/>
        <v>0</v>
      </c>
      <c r="F553" s="2398"/>
      <c r="G553" s="2398"/>
      <c r="H553" s="2398"/>
      <c r="I553" s="2398"/>
      <c r="J553" s="2436" t="s">
        <v>910</v>
      </c>
    </row>
    <row r="554" spans="1:10">
      <c r="A554" s="2405">
        <f t="shared" si="25"/>
        <v>0</v>
      </c>
      <c r="B554" s="2403">
        <f>IF(未审附注之非流动资产!B554="",0,未审附注之非流动资产!B554)</f>
        <v>0</v>
      </c>
      <c r="C554" s="2403">
        <f>IF(未审附注之非流动资产!C554="",0,未审附注之非流动资产!C554)</f>
        <v>0</v>
      </c>
      <c r="D554" s="2403">
        <f>IF(未审附注之非流动资产!D554="",0,未审附注之非流动资产!D554)</f>
        <v>0</v>
      </c>
      <c r="E554" s="2369">
        <f t="shared" si="26"/>
        <v>0</v>
      </c>
      <c r="F554" s="2398"/>
      <c r="G554" s="2398"/>
      <c r="H554" s="2398"/>
      <c r="I554" s="2398"/>
      <c r="J554" s="2436" t="s">
        <v>910</v>
      </c>
    </row>
    <row r="555" spans="1:10">
      <c r="A555" s="2405">
        <f t="shared" si="25"/>
        <v>0</v>
      </c>
      <c r="B555" s="2403">
        <f>IF(未审附注之非流动资产!B555="",0,未审附注之非流动资产!B555)</f>
        <v>0</v>
      </c>
      <c r="C555" s="2403">
        <f>IF(未审附注之非流动资产!C555="",0,未审附注之非流动资产!C555)</f>
        <v>0</v>
      </c>
      <c r="D555" s="2403">
        <f>IF(未审附注之非流动资产!D555="",0,未审附注之非流动资产!D555)</f>
        <v>0</v>
      </c>
      <c r="E555" s="2369">
        <f t="shared" si="26"/>
        <v>0</v>
      </c>
      <c r="F555" s="2398"/>
      <c r="G555" s="2398"/>
      <c r="H555" s="2398"/>
      <c r="I555" s="2398"/>
      <c r="J555" s="2436" t="s">
        <v>910</v>
      </c>
    </row>
    <row r="556" spans="1:10">
      <c r="A556" s="2405">
        <f t="shared" si="25"/>
        <v>0</v>
      </c>
      <c r="B556" s="2403">
        <f>IF(未审附注之非流动资产!B556="",0,未审附注之非流动资产!B556)</f>
        <v>0</v>
      </c>
      <c r="C556" s="2403">
        <f>IF(未审附注之非流动资产!C556="",0,未审附注之非流动资产!C556)</f>
        <v>0</v>
      </c>
      <c r="D556" s="2403">
        <f>IF(未审附注之非流动资产!D556="",0,未审附注之非流动资产!D556)</f>
        <v>0</v>
      </c>
      <c r="E556" s="2369">
        <f t="shared" si="26"/>
        <v>0</v>
      </c>
      <c r="F556" s="2398"/>
      <c r="G556" s="2398"/>
      <c r="H556" s="2398"/>
      <c r="I556" s="2398"/>
      <c r="J556" s="2436" t="s">
        <v>910</v>
      </c>
    </row>
    <row r="557" spans="1:10">
      <c r="A557" s="2405">
        <f t="shared" si="25"/>
        <v>0</v>
      </c>
      <c r="B557" s="2403">
        <f>IF(未审附注之非流动资产!B557="",0,未审附注之非流动资产!B557)</f>
        <v>0</v>
      </c>
      <c r="C557" s="2403">
        <f>IF(未审附注之非流动资产!C557="",0,未审附注之非流动资产!C557)</f>
        <v>0</v>
      </c>
      <c r="D557" s="2403">
        <f>IF(未审附注之非流动资产!D557="",0,未审附注之非流动资产!D557)</f>
        <v>0</v>
      </c>
      <c r="E557" s="2369">
        <f t="shared" si="26"/>
        <v>0</v>
      </c>
      <c r="F557" s="2398"/>
      <c r="G557" s="2398"/>
      <c r="H557" s="2398"/>
      <c r="I557" s="2398"/>
      <c r="J557" s="2436" t="s">
        <v>910</v>
      </c>
    </row>
    <row r="558" spans="1:10">
      <c r="A558" s="2405">
        <f t="shared" si="25"/>
        <v>0</v>
      </c>
      <c r="B558" s="2403">
        <f>IF(未审附注之非流动资产!B558="",0,未审附注之非流动资产!B558)</f>
        <v>0</v>
      </c>
      <c r="C558" s="2403">
        <f>IF(未审附注之非流动资产!C558="",0,未审附注之非流动资产!C558)</f>
        <v>0</v>
      </c>
      <c r="D558" s="2403">
        <f>IF(未审附注之非流动资产!D558="",0,未审附注之非流动资产!D558)</f>
        <v>0</v>
      </c>
      <c r="E558" s="2369">
        <f t="shared" si="26"/>
        <v>0</v>
      </c>
      <c r="F558" s="2398"/>
      <c r="G558" s="2398"/>
      <c r="H558" s="2398"/>
      <c r="I558" s="2398"/>
      <c r="J558" s="2436" t="s">
        <v>910</v>
      </c>
    </row>
    <row r="559" spans="1:10">
      <c r="A559" s="2405">
        <f t="shared" si="25"/>
        <v>0</v>
      </c>
      <c r="B559" s="2403">
        <f>IF(未审附注之非流动资产!B559="",0,未审附注之非流动资产!B559)</f>
        <v>0</v>
      </c>
      <c r="C559" s="2403">
        <f>IF(未审附注之非流动资产!C559="",0,未审附注之非流动资产!C559)</f>
        <v>0</v>
      </c>
      <c r="D559" s="2403">
        <f>IF(未审附注之非流动资产!D559="",0,未审附注之非流动资产!D559)</f>
        <v>0</v>
      </c>
      <c r="E559" s="2369">
        <f t="shared" si="26"/>
        <v>0</v>
      </c>
      <c r="F559" s="2398"/>
      <c r="G559" s="2398"/>
      <c r="H559" s="2398"/>
      <c r="I559" s="2398"/>
      <c r="J559" s="2436" t="s">
        <v>910</v>
      </c>
    </row>
    <row r="560" spans="1:9">
      <c r="A560" s="2455"/>
      <c r="B560" s="2401"/>
      <c r="C560" s="2401"/>
      <c r="D560" s="2401"/>
      <c r="E560" s="2401"/>
      <c r="F560" s="2444"/>
      <c r="G560" s="2444"/>
      <c r="H560" s="2444"/>
      <c r="I560" s="2444"/>
    </row>
    <row r="561" spans="1:9">
      <c r="A561" s="2447" t="s">
        <v>911</v>
      </c>
      <c r="B561" s="2369">
        <f>ROUND(SUM(B562:B571),2)</f>
        <v>0</v>
      </c>
      <c r="C561" s="2369">
        <f>ROUND(SUM(C562:C571),2)</f>
        <v>0</v>
      </c>
      <c r="D561" s="2369">
        <f>ROUND(SUM(D562:D571),2)</f>
        <v>0</v>
      </c>
      <c r="E561" s="2369">
        <f>ROUND(SUM(E562:E571),2)</f>
        <v>0</v>
      </c>
      <c r="F561" s="2444"/>
      <c r="G561" s="2444"/>
      <c r="H561" s="2444"/>
      <c r="I561" s="2444"/>
    </row>
    <row r="562" spans="1:10">
      <c r="A562" s="2405">
        <f>IF(A526="","",A526)</f>
        <v>0</v>
      </c>
      <c r="B562" s="2156">
        <f t="shared" ref="B562:D571" si="27">ROUND(B526-B538-B550,2)</f>
        <v>0</v>
      </c>
      <c r="C562" s="2156">
        <f t="shared" si="27"/>
        <v>0</v>
      </c>
      <c r="D562" s="2156">
        <f t="shared" si="27"/>
        <v>0</v>
      </c>
      <c r="E562" s="2369">
        <f>ROUND(B562+C562-D562,2)</f>
        <v>0</v>
      </c>
      <c r="F562" s="2398"/>
      <c r="G562" s="2398"/>
      <c r="H562" s="2398"/>
      <c r="I562" s="2398"/>
      <c r="J562" s="2460"/>
    </row>
    <row r="563" spans="1:10">
      <c r="A563" s="2405">
        <f t="shared" ref="A563:A571" si="28">IF(A527="","",A527)</f>
        <v>0</v>
      </c>
      <c r="B563" s="2156">
        <f t="shared" si="27"/>
        <v>0</v>
      </c>
      <c r="C563" s="2156">
        <f t="shared" si="27"/>
        <v>0</v>
      </c>
      <c r="D563" s="2156">
        <f t="shared" si="27"/>
        <v>0</v>
      </c>
      <c r="E563" s="2369">
        <f t="shared" ref="E563:E571" si="29">ROUND(B563+C563-D563,2)</f>
        <v>0</v>
      </c>
      <c r="F563" s="2398"/>
      <c r="G563" s="2398"/>
      <c r="H563" s="2398"/>
      <c r="I563" s="2398"/>
      <c r="J563" s="2460"/>
    </row>
    <row r="564" spans="1:10">
      <c r="A564" s="2405">
        <f t="shared" si="28"/>
        <v>0</v>
      </c>
      <c r="B564" s="2156">
        <f t="shared" si="27"/>
        <v>0</v>
      </c>
      <c r="C564" s="2156">
        <f t="shared" si="27"/>
        <v>0</v>
      </c>
      <c r="D564" s="2156">
        <f t="shared" si="27"/>
        <v>0</v>
      </c>
      <c r="E564" s="2369">
        <f t="shared" si="29"/>
        <v>0</v>
      </c>
      <c r="F564" s="2398"/>
      <c r="G564" s="2398"/>
      <c r="H564" s="2398"/>
      <c r="I564" s="2398"/>
      <c r="J564" s="2460"/>
    </row>
    <row r="565" spans="1:10">
      <c r="A565" s="2405">
        <f t="shared" si="28"/>
        <v>0</v>
      </c>
      <c r="B565" s="2156">
        <f t="shared" si="27"/>
        <v>0</v>
      </c>
      <c r="C565" s="2156">
        <f t="shared" si="27"/>
        <v>0</v>
      </c>
      <c r="D565" s="2156">
        <f t="shared" si="27"/>
        <v>0</v>
      </c>
      <c r="E565" s="2369">
        <f t="shared" si="29"/>
        <v>0</v>
      </c>
      <c r="F565" s="2398"/>
      <c r="G565" s="2398"/>
      <c r="H565" s="2398"/>
      <c r="I565" s="2398"/>
      <c r="J565" s="2460"/>
    </row>
    <row r="566" spans="1:10">
      <c r="A566" s="2405">
        <f t="shared" si="28"/>
        <v>0</v>
      </c>
      <c r="B566" s="2156">
        <f t="shared" si="27"/>
        <v>0</v>
      </c>
      <c r="C566" s="2156">
        <f t="shared" si="27"/>
        <v>0</v>
      </c>
      <c r="D566" s="2156">
        <f t="shared" si="27"/>
        <v>0</v>
      </c>
      <c r="E566" s="2369">
        <f t="shared" si="29"/>
        <v>0</v>
      </c>
      <c r="F566" s="2398"/>
      <c r="G566" s="2398"/>
      <c r="H566" s="2398"/>
      <c r="I566" s="2398"/>
      <c r="J566" s="2460"/>
    </row>
    <row r="567" spans="1:10">
      <c r="A567" s="2405">
        <f t="shared" si="28"/>
        <v>0</v>
      </c>
      <c r="B567" s="2156">
        <f t="shared" si="27"/>
        <v>0</v>
      </c>
      <c r="C567" s="2156">
        <f t="shared" si="27"/>
        <v>0</v>
      </c>
      <c r="D567" s="2156">
        <f t="shared" si="27"/>
        <v>0</v>
      </c>
      <c r="E567" s="2369">
        <f t="shared" si="29"/>
        <v>0</v>
      </c>
      <c r="F567" s="2398"/>
      <c r="G567" s="2398"/>
      <c r="H567" s="2398"/>
      <c r="I567" s="2398"/>
      <c r="J567" s="2460"/>
    </row>
    <row r="568" spans="1:10">
      <c r="A568" s="2405">
        <f t="shared" si="28"/>
        <v>0</v>
      </c>
      <c r="B568" s="2156">
        <f t="shared" si="27"/>
        <v>0</v>
      </c>
      <c r="C568" s="2156">
        <f t="shared" si="27"/>
        <v>0</v>
      </c>
      <c r="D568" s="2156">
        <f t="shared" si="27"/>
        <v>0</v>
      </c>
      <c r="E568" s="2369">
        <f t="shared" si="29"/>
        <v>0</v>
      </c>
      <c r="F568" s="2398"/>
      <c r="G568" s="2398"/>
      <c r="H568" s="2398"/>
      <c r="I568" s="2398"/>
      <c r="J568" s="2460"/>
    </row>
    <row r="569" spans="1:10">
      <c r="A569" s="2405">
        <f t="shared" si="28"/>
        <v>0</v>
      </c>
      <c r="B569" s="2156">
        <f t="shared" si="27"/>
        <v>0</v>
      </c>
      <c r="C569" s="2156">
        <f t="shared" si="27"/>
        <v>0</v>
      </c>
      <c r="D569" s="2156">
        <f t="shared" si="27"/>
        <v>0</v>
      </c>
      <c r="E569" s="2369">
        <f t="shared" si="29"/>
        <v>0</v>
      </c>
      <c r="F569" s="2398"/>
      <c r="G569" s="2398"/>
      <c r="H569" s="2398"/>
      <c r="I569" s="2398"/>
      <c r="J569" s="2460"/>
    </row>
    <row r="570" spans="1:10">
      <c r="A570" s="2405">
        <f t="shared" si="28"/>
        <v>0</v>
      </c>
      <c r="B570" s="2156">
        <f t="shared" si="27"/>
        <v>0</v>
      </c>
      <c r="C570" s="2156">
        <f t="shared" si="27"/>
        <v>0</v>
      </c>
      <c r="D570" s="2156">
        <f t="shared" si="27"/>
        <v>0</v>
      </c>
      <c r="E570" s="2369">
        <f t="shared" si="29"/>
        <v>0</v>
      </c>
      <c r="F570" s="2398"/>
      <c r="G570" s="2398"/>
      <c r="H570" s="2398"/>
      <c r="I570" s="2398"/>
      <c r="J570" s="2460"/>
    </row>
    <row r="571" spans="1:10">
      <c r="A571" s="2405">
        <f t="shared" si="28"/>
        <v>0</v>
      </c>
      <c r="B571" s="2156">
        <f t="shared" si="27"/>
        <v>0</v>
      </c>
      <c r="C571" s="2156">
        <f t="shared" si="27"/>
        <v>0</v>
      </c>
      <c r="D571" s="2156">
        <f t="shared" si="27"/>
        <v>0</v>
      </c>
      <c r="E571" s="2369">
        <f t="shared" si="29"/>
        <v>0</v>
      </c>
      <c r="F571" s="2398"/>
      <c r="G571" s="2398"/>
      <c r="H571" s="2398"/>
      <c r="I571" s="2398"/>
      <c r="J571" s="2460"/>
    </row>
    <row r="572" spans="1:9">
      <c r="A572" s="2462"/>
      <c r="B572" s="2444"/>
      <c r="C572" s="2444"/>
      <c r="D572" s="2444"/>
      <c r="E572" s="2444"/>
      <c r="F572" s="2444"/>
      <c r="G572" s="2444"/>
      <c r="H572" s="2444"/>
      <c r="I572" s="2444"/>
    </row>
    <row r="573" spans="1:9">
      <c r="A573" s="2445" t="s">
        <v>912</v>
      </c>
      <c r="B573" s="2444"/>
      <c r="C573" s="2444"/>
      <c r="D573" s="2444"/>
      <c r="E573" s="2444"/>
      <c r="F573" s="2444"/>
      <c r="G573" s="2444"/>
      <c r="H573" s="2444"/>
      <c r="I573" s="2444"/>
    </row>
    <row r="574" spans="1:9">
      <c r="A574" s="2400" t="s">
        <v>373</v>
      </c>
      <c r="B574" s="2400" t="s">
        <v>913</v>
      </c>
      <c r="C574" s="2400" t="s">
        <v>914</v>
      </c>
      <c r="D574" s="2400" t="s">
        <v>915</v>
      </c>
      <c r="E574" s="2444"/>
      <c r="F574" s="2444"/>
      <c r="G574" s="2444"/>
      <c r="H574" s="2444"/>
      <c r="I574" s="2444"/>
    </row>
    <row r="575" spans="1:10">
      <c r="A575" s="2410">
        <f>IF(未审附注之非流动资产!A575="",0,未审附注之非流动资产!A575)</f>
        <v>0</v>
      </c>
      <c r="B575" s="2403">
        <f>IF(未审附注之非流动资产!B575="",0,未审附注之非流动资产!B575)</f>
        <v>0</v>
      </c>
      <c r="C575" s="2403">
        <f>IF(未审附注之非流动资产!C575="",0,未审附注之非流动资产!C575)</f>
        <v>0</v>
      </c>
      <c r="D575" s="2369">
        <f>ROUND(B575+C575,2)</f>
        <v>0</v>
      </c>
      <c r="E575" s="2444"/>
      <c r="F575" s="2398"/>
      <c r="G575" s="2398"/>
      <c r="H575" s="2398"/>
      <c r="I575" s="2398"/>
      <c r="J575" s="2436" t="s">
        <v>916</v>
      </c>
    </row>
    <row r="576" spans="1:10">
      <c r="A576" s="2410">
        <f>IF(未审附注之非流动资产!A576="",0,未审附注之非流动资产!A576)</f>
        <v>0</v>
      </c>
      <c r="B576" s="2403">
        <f>IF(未审附注之非流动资产!B576="",0,未审附注之非流动资产!B576)</f>
        <v>0</v>
      </c>
      <c r="C576" s="2403">
        <f>IF(未审附注之非流动资产!C576="",0,未审附注之非流动资产!C576)</f>
        <v>0</v>
      </c>
      <c r="D576" s="2369">
        <f t="shared" ref="D576:D584" si="30">ROUND(B576+C576,2)</f>
        <v>0</v>
      </c>
      <c r="E576" s="2444"/>
      <c r="F576" s="2398"/>
      <c r="G576" s="2398"/>
      <c r="H576" s="2398"/>
      <c r="I576" s="2398"/>
      <c r="J576" s="2436" t="s">
        <v>916</v>
      </c>
    </row>
    <row r="577" spans="1:10">
      <c r="A577" s="2410">
        <f>IF(未审附注之非流动资产!A577="",0,未审附注之非流动资产!A577)</f>
        <v>0</v>
      </c>
      <c r="B577" s="2403">
        <f>IF(未审附注之非流动资产!B577="",0,未审附注之非流动资产!B577)</f>
        <v>0</v>
      </c>
      <c r="C577" s="2403">
        <f>IF(未审附注之非流动资产!C577="",0,未审附注之非流动资产!C577)</f>
        <v>0</v>
      </c>
      <c r="D577" s="2369">
        <f t="shared" si="30"/>
        <v>0</v>
      </c>
      <c r="E577" s="2444"/>
      <c r="F577" s="2398"/>
      <c r="G577" s="2398"/>
      <c r="H577" s="2398"/>
      <c r="I577" s="2398"/>
      <c r="J577" s="2436" t="s">
        <v>916</v>
      </c>
    </row>
    <row r="578" spans="1:10">
      <c r="A578" s="2410">
        <f>IF(未审附注之非流动资产!A578="",0,未审附注之非流动资产!A578)</f>
        <v>0</v>
      </c>
      <c r="B578" s="2403">
        <f>IF(未审附注之非流动资产!B578="",0,未审附注之非流动资产!B578)</f>
        <v>0</v>
      </c>
      <c r="C578" s="2403">
        <f>IF(未审附注之非流动资产!C578="",0,未审附注之非流动资产!C578)</f>
        <v>0</v>
      </c>
      <c r="D578" s="2369">
        <f t="shared" si="30"/>
        <v>0</v>
      </c>
      <c r="E578" s="2444"/>
      <c r="F578" s="2398"/>
      <c r="G578" s="2398"/>
      <c r="H578" s="2398"/>
      <c r="I578" s="2398"/>
      <c r="J578" s="2436" t="s">
        <v>916</v>
      </c>
    </row>
    <row r="579" spans="1:10">
      <c r="A579" s="2410">
        <f>IF(未审附注之非流动资产!A579="",0,未审附注之非流动资产!A579)</f>
        <v>0</v>
      </c>
      <c r="B579" s="2403">
        <f>IF(未审附注之非流动资产!B579="",0,未审附注之非流动资产!B579)</f>
        <v>0</v>
      </c>
      <c r="C579" s="2403">
        <f>IF(未审附注之非流动资产!C579="",0,未审附注之非流动资产!C579)</f>
        <v>0</v>
      </c>
      <c r="D579" s="2369">
        <f t="shared" si="30"/>
        <v>0</v>
      </c>
      <c r="E579" s="2444"/>
      <c r="F579" s="2398"/>
      <c r="G579" s="2398"/>
      <c r="H579" s="2398"/>
      <c r="I579" s="2398"/>
      <c r="J579" s="2436" t="s">
        <v>916</v>
      </c>
    </row>
    <row r="580" spans="1:10">
      <c r="A580" s="2410">
        <f>IF(未审附注之非流动资产!A580="",0,未审附注之非流动资产!A580)</f>
        <v>0</v>
      </c>
      <c r="B580" s="2403">
        <f>IF(未审附注之非流动资产!B580="",0,未审附注之非流动资产!B580)</f>
        <v>0</v>
      </c>
      <c r="C580" s="2403">
        <f>IF(未审附注之非流动资产!C580="",0,未审附注之非流动资产!C580)</f>
        <v>0</v>
      </c>
      <c r="D580" s="2369">
        <f t="shared" si="30"/>
        <v>0</v>
      </c>
      <c r="E580" s="2444"/>
      <c r="F580" s="2398"/>
      <c r="G580" s="2398"/>
      <c r="H580" s="2398"/>
      <c r="I580" s="2398"/>
      <c r="J580" s="2436" t="s">
        <v>916</v>
      </c>
    </row>
    <row r="581" spans="1:10">
      <c r="A581" s="2410">
        <f>IF(未审附注之非流动资产!A581="",0,未审附注之非流动资产!A581)</f>
        <v>0</v>
      </c>
      <c r="B581" s="2403">
        <f>IF(未审附注之非流动资产!B581="",0,未审附注之非流动资产!B581)</f>
        <v>0</v>
      </c>
      <c r="C581" s="2403">
        <f>IF(未审附注之非流动资产!C581="",0,未审附注之非流动资产!C581)</f>
        <v>0</v>
      </c>
      <c r="D581" s="2369">
        <f t="shared" si="30"/>
        <v>0</v>
      </c>
      <c r="E581" s="2444"/>
      <c r="F581" s="2398"/>
      <c r="G581" s="2398"/>
      <c r="H581" s="2398"/>
      <c r="I581" s="2398"/>
      <c r="J581" s="2436" t="s">
        <v>916</v>
      </c>
    </row>
    <row r="582" spans="1:10">
      <c r="A582" s="2410">
        <f>IF(未审附注之非流动资产!A582="",0,未审附注之非流动资产!A582)</f>
        <v>0</v>
      </c>
      <c r="B582" s="2403">
        <f>IF(未审附注之非流动资产!B582="",0,未审附注之非流动资产!B582)</f>
        <v>0</v>
      </c>
      <c r="C582" s="2403">
        <f>IF(未审附注之非流动资产!C582="",0,未审附注之非流动资产!C582)</f>
        <v>0</v>
      </c>
      <c r="D582" s="2369">
        <f t="shared" si="30"/>
        <v>0</v>
      </c>
      <c r="E582" s="2444"/>
      <c r="F582" s="2398"/>
      <c r="G582" s="2398"/>
      <c r="H582" s="2398"/>
      <c r="I582" s="2398"/>
      <c r="J582" s="2436" t="s">
        <v>916</v>
      </c>
    </row>
    <row r="583" spans="1:10">
      <c r="A583" s="2410">
        <f>IF(未审附注之非流动资产!A583="",0,未审附注之非流动资产!A583)</f>
        <v>0</v>
      </c>
      <c r="B583" s="2403">
        <f>IF(未审附注之非流动资产!B583="",0,未审附注之非流动资产!B583)</f>
        <v>0</v>
      </c>
      <c r="C583" s="2403">
        <f>IF(未审附注之非流动资产!C583="",0,未审附注之非流动资产!C583)</f>
        <v>0</v>
      </c>
      <c r="D583" s="2369">
        <f t="shared" si="30"/>
        <v>0</v>
      </c>
      <c r="E583" s="2444"/>
      <c r="F583" s="2398"/>
      <c r="G583" s="2398"/>
      <c r="H583" s="2398"/>
      <c r="I583" s="2398"/>
      <c r="J583" s="2436" t="s">
        <v>916</v>
      </c>
    </row>
    <row r="584" spans="1:10">
      <c r="A584" s="2410">
        <f>IF(未审附注之非流动资产!A584="",0,未审附注之非流动资产!A584)</f>
        <v>0</v>
      </c>
      <c r="B584" s="2403">
        <f>IF(未审附注之非流动资产!B584="",0,未审附注之非流动资产!B584)</f>
        <v>0</v>
      </c>
      <c r="C584" s="2403">
        <f>IF(未审附注之非流动资产!C584="",0,未审附注之非流动资产!C584)</f>
        <v>0</v>
      </c>
      <c r="D584" s="2369">
        <f t="shared" si="30"/>
        <v>0</v>
      </c>
      <c r="E584" s="2444"/>
      <c r="F584" s="2398"/>
      <c r="G584" s="2398"/>
      <c r="H584" s="2398"/>
      <c r="I584" s="2398"/>
      <c r="J584" s="2436" t="s">
        <v>916</v>
      </c>
    </row>
    <row r="585" spans="1:10">
      <c r="A585" s="2400" t="s">
        <v>385</v>
      </c>
      <c r="B585" s="2369">
        <f>ROUND(SUM(B575:B584),2)</f>
        <v>0</v>
      </c>
      <c r="C585" s="2369">
        <f>ROUND(SUM(C575:C584),2)</f>
        <v>0</v>
      </c>
      <c r="D585" s="2369">
        <f>ROUND(SUM(D575:D584),2)</f>
        <v>0</v>
      </c>
      <c r="E585" s="2444"/>
      <c r="F585" s="2444"/>
      <c r="G585" s="2444"/>
      <c r="H585" s="2444"/>
      <c r="I585" s="2444"/>
      <c r="J585" s="2436" t="s">
        <v>917</v>
      </c>
    </row>
    <row r="586" spans="1:9">
      <c r="A586" s="2462"/>
      <c r="B586" s="2444"/>
      <c r="C586" s="2444"/>
      <c r="D586" s="2444"/>
      <c r="E586" s="2444"/>
      <c r="F586" s="2444"/>
      <c r="G586" s="2444"/>
      <c r="H586" s="2444"/>
      <c r="I586" s="2444"/>
    </row>
    <row r="587" spans="1:9">
      <c r="A587" s="2445" t="s">
        <v>918</v>
      </c>
      <c r="B587" s="2444"/>
      <c r="C587" s="2444"/>
      <c r="D587" s="2444"/>
      <c r="E587" s="2444"/>
      <c r="F587" s="2444"/>
      <c r="G587" s="2444"/>
      <c r="H587" s="2444"/>
      <c r="I587" s="2444"/>
    </row>
    <row r="588" spans="1:9">
      <c r="A588" s="2400" t="s">
        <v>373</v>
      </c>
      <c r="B588" s="2400" t="s">
        <v>919</v>
      </c>
      <c r="C588" s="2400" t="s">
        <v>920</v>
      </c>
      <c r="D588" s="2400" t="s">
        <v>921</v>
      </c>
      <c r="E588" s="2400" t="s">
        <v>922</v>
      </c>
      <c r="F588" s="2444"/>
      <c r="G588" s="2444"/>
      <c r="H588" s="2444"/>
      <c r="I588" s="2444"/>
    </row>
    <row r="589" spans="1:10">
      <c r="A589" s="2410">
        <f>IF(未审附注之非流动资产!A589="",0,未审附注之非流动资产!A589)</f>
        <v>0</v>
      </c>
      <c r="B589" s="2403">
        <f>IF(未审附注之非流动资产!B589="",0,未审附注之非流动资产!B589)</f>
        <v>0</v>
      </c>
      <c r="C589" s="2403">
        <f>IF(未审附注之非流动资产!C589="",0,未审附注之非流动资产!C589)</f>
        <v>0</v>
      </c>
      <c r="D589" s="2410">
        <f>IF(未审附注之非流动资产!D589="",0,未审附注之非流动资产!D589)</f>
        <v>0</v>
      </c>
      <c r="E589" s="2410">
        <f>IF(未审附注之非流动资产!E589="",0,未审附注之非流动资产!E589)</f>
        <v>0</v>
      </c>
      <c r="F589" s="2398"/>
      <c r="G589" s="2398"/>
      <c r="H589" s="2398"/>
      <c r="I589" s="2398"/>
      <c r="J589" s="2436" t="s">
        <v>923</v>
      </c>
    </row>
    <row r="590" spans="1:10">
      <c r="A590" s="2410">
        <f>IF(未审附注之非流动资产!A590="",0,未审附注之非流动资产!A590)</f>
        <v>0</v>
      </c>
      <c r="B590" s="2403">
        <f>IF(未审附注之非流动资产!B590="",0,未审附注之非流动资产!B590)</f>
        <v>0</v>
      </c>
      <c r="C590" s="2403">
        <f>IF(未审附注之非流动资产!C590="",0,未审附注之非流动资产!C590)</f>
        <v>0</v>
      </c>
      <c r="D590" s="2410">
        <f>IF(未审附注之非流动资产!D590="",0,未审附注之非流动资产!D590)</f>
        <v>0</v>
      </c>
      <c r="E590" s="2410">
        <f>IF(未审附注之非流动资产!E590="",0,未审附注之非流动资产!E590)</f>
        <v>0</v>
      </c>
      <c r="F590" s="2398"/>
      <c r="G590" s="2398"/>
      <c r="H590" s="2398"/>
      <c r="I590" s="2398"/>
      <c r="J590" s="2436" t="s">
        <v>923</v>
      </c>
    </row>
    <row r="591" spans="1:10">
      <c r="A591" s="2410">
        <f>IF(未审附注之非流动资产!A591="",0,未审附注之非流动资产!A591)</f>
        <v>0</v>
      </c>
      <c r="B591" s="2403">
        <f>IF(未审附注之非流动资产!B591="",0,未审附注之非流动资产!B591)</f>
        <v>0</v>
      </c>
      <c r="C591" s="2403">
        <f>IF(未审附注之非流动资产!C591="",0,未审附注之非流动资产!C591)</f>
        <v>0</v>
      </c>
      <c r="D591" s="2410">
        <f>IF(未审附注之非流动资产!D591="",0,未审附注之非流动资产!D591)</f>
        <v>0</v>
      </c>
      <c r="E591" s="2410">
        <f>IF(未审附注之非流动资产!E591="",0,未审附注之非流动资产!E591)</f>
        <v>0</v>
      </c>
      <c r="F591" s="2398"/>
      <c r="G591" s="2398"/>
      <c r="H591" s="2398"/>
      <c r="I591" s="2398"/>
      <c r="J591" s="2436" t="s">
        <v>923</v>
      </c>
    </row>
    <row r="592" spans="1:10">
      <c r="A592" s="2410">
        <f>IF(未审附注之非流动资产!A592="",0,未审附注之非流动资产!A592)</f>
        <v>0</v>
      </c>
      <c r="B592" s="2403">
        <f>IF(未审附注之非流动资产!B592="",0,未审附注之非流动资产!B592)</f>
        <v>0</v>
      </c>
      <c r="C592" s="2403">
        <f>IF(未审附注之非流动资产!C592="",0,未审附注之非流动资产!C592)</f>
        <v>0</v>
      </c>
      <c r="D592" s="2410">
        <f>IF(未审附注之非流动资产!D592="",0,未审附注之非流动资产!D592)</f>
        <v>0</v>
      </c>
      <c r="E592" s="2410">
        <f>IF(未审附注之非流动资产!E592="",0,未审附注之非流动资产!E592)</f>
        <v>0</v>
      </c>
      <c r="F592" s="2398"/>
      <c r="G592" s="2398"/>
      <c r="H592" s="2398"/>
      <c r="I592" s="2398"/>
      <c r="J592" s="2436" t="s">
        <v>923</v>
      </c>
    </row>
    <row r="593" spans="1:10">
      <c r="A593" s="2410">
        <f>IF(未审附注之非流动资产!A593="",0,未审附注之非流动资产!A593)</f>
        <v>0</v>
      </c>
      <c r="B593" s="2403">
        <f>IF(未审附注之非流动资产!B593="",0,未审附注之非流动资产!B593)</f>
        <v>0</v>
      </c>
      <c r="C593" s="2403">
        <f>IF(未审附注之非流动资产!C593="",0,未审附注之非流动资产!C593)</f>
        <v>0</v>
      </c>
      <c r="D593" s="2410">
        <f>IF(未审附注之非流动资产!D593="",0,未审附注之非流动资产!D593)</f>
        <v>0</v>
      </c>
      <c r="E593" s="2410">
        <f>IF(未审附注之非流动资产!E593="",0,未审附注之非流动资产!E593)</f>
        <v>0</v>
      </c>
      <c r="F593" s="2398"/>
      <c r="G593" s="2398"/>
      <c r="H593" s="2398"/>
      <c r="I593" s="2398"/>
      <c r="J593" s="2436" t="s">
        <v>923</v>
      </c>
    </row>
    <row r="594" spans="1:10">
      <c r="A594" s="2410">
        <f>IF(未审附注之非流动资产!A594="",0,未审附注之非流动资产!A594)</f>
        <v>0</v>
      </c>
      <c r="B594" s="2403">
        <f>IF(未审附注之非流动资产!B594="",0,未审附注之非流动资产!B594)</f>
        <v>0</v>
      </c>
      <c r="C594" s="2403">
        <f>IF(未审附注之非流动资产!C594="",0,未审附注之非流动资产!C594)</f>
        <v>0</v>
      </c>
      <c r="D594" s="2410">
        <f>IF(未审附注之非流动资产!D594="",0,未审附注之非流动资产!D594)</f>
        <v>0</v>
      </c>
      <c r="E594" s="2410">
        <f>IF(未审附注之非流动资产!E594="",0,未审附注之非流动资产!E594)</f>
        <v>0</v>
      </c>
      <c r="F594" s="2398"/>
      <c r="G594" s="2398"/>
      <c r="H594" s="2398"/>
      <c r="I594" s="2398"/>
      <c r="J594" s="2436" t="s">
        <v>923</v>
      </c>
    </row>
    <row r="595" spans="1:10">
      <c r="A595" s="2410">
        <f>IF(未审附注之非流动资产!A595="",0,未审附注之非流动资产!A595)</f>
        <v>0</v>
      </c>
      <c r="B595" s="2403">
        <f>IF(未审附注之非流动资产!B595="",0,未审附注之非流动资产!B595)</f>
        <v>0</v>
      </c>
      <c r="C595" s="2403">
        <f>IF(未审附注之非流动资产!C595="",0,未审附注之非流动资产!C595)</f>
        <v>0</v>
      </c>
      <c r="D595" s="2410">
        <f>IF(未审附注之非流动资产!D595="",0,未审附注之非流动资产!D595)</f>
        <v>0</v>
      </c>
      <c r="E595" s="2410">
        <f>IF(未审附注之非流动资产!E595="",0,未审附注之非流动资产!E595)</f>
        <v>0</v>
      </c>
      <c r="F595" s="2398"/>
      <c r="G595" s="2398"/>
      <c r="H595" s="2398"/>
      <c r="I595" s="2398"/>
      <c r="J595" s="2436" t="s">
        <v>923</v>
      </c>
    </row>
    <row r="596" spans="1:10">
      <c r="A596" s="2410">
        <f>IF(未审附注之非流动资产!A596="",0,未审附注之非流动资产!A596)</f>
        <v>0</v>
      </c>
      <c r="B596" s="2403">
        <f>IF(未审附注之非流动资产!B596="",0,未审附注之非流动资产!B596)</f>
        <v>0</v>
      </c>
      <c r="C596" s="2403">
        <f>IF(未审附注之非流动资产!C596="",0,未审附注之非流动资产!C596)</f>
        <v>0</v>
      </c>
      <c r="D596" s="2410">
        <f>IF(未审附注之非流动资产!D596="",0,未审附注之非流动资产!D596)</f>
        <v>0</v>
      </c>
      <c r="E596" s="2410">
        <f>IF(未审附注之非流动资产!E596="",0,未审附注之非流动资产!E596)</f>
        <v>0</v>
      </c>
      <c r="F596" s="2398"/>
      <c r="G596" s="2398"/>
      <c r="H596" s="2398"/>
      <c r="I596" s="2398"/>
      <c r="J596" s="2436" t="s">
        <v>923</v>
      </c>
    </row>
    <row r="597" spans="1:10">
      <c r="A597" s="2410">
        <f>IF(未审附注之非流动资产!A597="",0,未审附注之非流动资产!A597)</f>
        <v>0</v>
      </c>
      <c r="B597" s="2403">
        <f>IF(未审附注之非流动资产!B597="",0,未审附注之非流动资产!B597)</f>
        <v>0</v>
      </c>
      <c r="C597" s="2403">
        <f>IF(未审附注之非流动资产!C597="",0,未审附注之非流动资产!C597)</f>
        <v>0</v>
      </c>
      <c r="D597" s="2410">
        <f>IF(未审附注之非流动资产!D597="",0,未审附注之非流动资产!D597)</f>
        <v>0</v>
      </c>
      <c r="E597" s="2410">
        <f>IF(未审附注之非流动资产!E597="",0,未审附注之非流动资产!E597)</f>
        <v>0</v>
      </c>
      <c r="F597" s="2398"/>
      <c r="G597" s="2398"/>
      <c r="H597" s="2398"/>
      <c r="I597" s="2398"/>
      <c r="J597" s="2436" t="s">
        <v>923</v>
      </c>
    </row>
    <row r="598" spans="1:10">
      <c r="A598" s="2410">
        <f>IF(未审附注之非流动资产!A598="",0,未审附注之非流动资产!A598)</f>
        <v>0</v>
      </c>
      <c r="B598" s="2403">
        <f>IF(未审附注之非流动资产!B598="",0,未审附注之非流动资产!B598)</f>
        <v>0</v>
      </c>
      <c r="C598" s="2403">
        <f>IF(未审附注之非流动资产!C598="",0,未审附注之非流动资产!C598)</f>
        <v>0</v>
      </c>
      <c r="D598" s="2410">
        <f>IF(未审附注之非流动资产!D598="",0,未审附注之非流动资产!D598)</f>
        <v>0</v>
      </c>
      <c r="E598" s="2410">
        <f>IF(未审附注之非流动资产!E598="",0,未审附注之非流动资产!E598)</f>
        <v>0</v>
      </c>
      <c r="F598" s="2398"/>
      <c r="G598" s="2398"/>
      <c r="H598" s="2398"/>
      <c r="I598" s="2398"/>
      <c r="J598" s="2436" t="s">
        <v>923</v>
      </c>
    </row>
    <row r="599" spans="1:10">
      <c r="A599" s="2400" t="s">
        <v>385</v>
      </c>
      <c r="B599" s="2369">
        <f>ROUND(SUM(B589:B598),2)</f>
        <v>0</v>
      </c>
      <c r="C599" s="2369">
        <f>ROUND(SUM(C589:C598),2)</f>
        <v>0</v>
      </c>
      <c r="D599" s="2369"/>
      <c r="E599" s="2369"/>
      <c r="F599" s="2444"/>
      <c r="G599" s="2444"/>
      <c r="H599" s="2444"/>
      <c r="I599" s="2444"/>
      <c r="J599" s="2436" t="s">
        <v>924</v>
      </c>
    </row>
    <row r="600" spans="1:9">
      <c r="A600" s="2464"/>
      <c r="B600" s="2418"/>
      <c r="C600" s="2444"/>
      <c r="D600" s="2444"/>
      <c r="E600" s="2444"/>
      <c r="F600" s="2444"/>
      <c r="G600" s="2444"/>
      <c r="H600" s="2444"/>
      <c r="I600" s="2444"/>
    </row>
    <row r="601" spans="1:9">
      <c r="A601" s="2462"/>
      <c r="B601" s="2444"/>
      <c r="C601" s="2444"/>
      <c r="D601" s="2444"/>
      <c r="E601" s="2444"/>
      <c r="F601" s="2444"/>
      <c r="G601" s="2444"/>
      <c r="H601" s="2444"/>
      <c r="I601" s="2444"/>
    </row>
    <row r="602" spans="1:9">
      <c r="A602" s="2443" t="s">
        <v>925</v>
      </c>
      <c r="B602" s="2444"/>
      <c r="C602" s="2444"/>
      <c r="D602" s="2444"/>
      <c r="E602" s="2444"/>
      <c r="F602" s="2444"/>
      <c r="G602" s="2444"/>
      <c r="H602" s="2444"/>
      <c r="I602" s="2444"/>
    </row>
    <row r="603" spans="1:9">
      <c r="A603" s="2400" t="s">
        <v>373</v>
      </c>
      <c r="B603" s="2400" t="s">
        <v>317</v>
      </c>
      <c r="C603" s="2400" t="s">
        <v>582</v>
      </c>
      <c r="D603" s="2400" t="s">
        <v>583</v>
      </c>
      <c r="E603" s="2400" t="s">
        <v>316</v>
      </c>
      <c r="F603" s="2400" t="s">
        <v>926</v>
      </c>
      <c r="G603" s="2417"/>
      <c r="H603" s="2417"/>
      <c r="I603" s="2417"/>
    </row>
    <row r="604" spans="1:10">
      <c r="A604" s="2410">
        <f>IF(未审附注之非流动资产!A604="",0,未审附注之非流动资产!A604)</f>
        <v>0</v>
      </c>
      <c r="B604" s="2403">
        <f>IF(未审附注之非流动资产!B604="",0,未审附注之非流动资产!B604)</f>
        <v>0</v>
      </c>
      <c r="C604" s="2403">
        <f>IF(未审附注之非流动资产!C604="",0,未审附注之非流动资产!C604)</f>
        <v>0</v>
      </c>
      <c r="D604" s="2403">
        <f>IF(未审附注之非流动资产!D604="",0,未审附注之非流动资产!D604)</f>
        <v>0</v>
      </c>
      <c r="E604" s="2369">
        <f>ROUND(B604+C604-D604,2)</f>
        <v>0</v>
      </c>
      <c r="F604" s="2410">
        <f>IF(未审附注之非流动资产!F604="",0,未审附注之非流动资产!F604)</f>
        <v>0</v>
      </c>
      <c r="G604" s="2417"/>
      <c r="H604" s="2417"/>
      <c r="I604" s="2417"/>
      <c r="J604" s="2436" t="s">
        <v>248</v>
      </c>
    </row>
    <row r="605" spans="1:10">
      <c r="A605" s="2410">
        <f>IF(未审附注之非流动资产!A605="",0,未审附注之非流动资产!A605)</f>
        <v>0</v>
      </c>
      <c r="B605" s="2403">
        <f>IF(未审附注之非流动资产!B605="",0,未审附注之非流动资产!B605)</f>
        <v>0</v>
      </c>
      <c r="C605" s="2403">
        <f>IF(未审附注之非流动资产!C605="",0,未审附注之非流动资产!C605)</f>
        <v>0</v>
      </c>
      <c r="D605" s="2403">
        <f>IF(未审附注之非流动资产!D605="",0,未审附注之非流动资产!D605)</f>
        <v>0</v>
      </c>
      <c r="E605" s="2369">
        <f t="shared" ref="E605:E613" si="31">ROUND(B605+C605-D605,2)</f>
        <v>0</v>
      </c>
      <c r="F605" s="2410">
        <f>IF(未审附注之非流动资产!F605="",0,未审附注之非流动资产!F605)</f>
        <v>0</v>
      </c>
      <c r="G605" s="2417"/>
      <c r="H605" s="2417"/>
      <c r="I605" s="2417"/>
      <c r="J605" s="2436" t="s">
        <v>248</v>
      </c>
    </row>
    <row r="606" spans="1:10">
      <c r="A606" s="2410">
        <f>IF(未审附注之非流动资产!A606="",0,未审附注之非流动资产!A606)</f>
        <v>0</v>
      </c>
      <c r="B606" s="2403">
        <f>IF(未审附注之非流动资产!B606="",0,未审附注之非流动资产!B606)</f>
        <v>0</v>
      </c>
      <c r="C606" s="2403">
        <f>IF(未审附注之非流动资产!C606="",0,未审附注之非流动资产!C606)</f>
        <v>0</v>
      </c>
      <c r="D606" s="2403">
        <f>IF(未审附注之非流动资产!D606="",0,未审附注之非流动资产!D606)</f>
        <v>0</v>
      </c>
      <c r="E606" s="2369">
        <f t="shared" si="31"/>
        <v>0</v>
      </c>
      <c r="F606" s="2410">
        <f>IF(未审附注之非流动资产!F606="",0,未审附注之非流动资产!F606)</f>
        <v>0</v>
      </c>
      <c r="G606" s="2417"/>
      <c r="H606" s="2417"/>
      <c r="I606" s="2417"/>
      <c r="J606" s="2436" t="s">
        <v>248</v>
      </c>
    </row>
    <row r="607" spans="1:10">
      <c r="A607" s="2410">
        <f>IF(未审附注之非流动资产!A607="",0,未审附注之非流动资产!A607)</f>
        <v>0</v>
      </c>
      <c r="B607" s="2403">
        <f>IF(未审附注之非流动资产!B607="",0,未审附注之非流动资产!B607)</f>
        <v>0</v>
      </c>
      <c r="C607" s="2403">
        <f>IF(未审附注之非流动资产!C607="",0,未审附注之非流动资产!C607)</f>
        <v>0</v>
      </c>
      <c r="D607" s="2403">
        <f>IF(未审附注之非流动资产!D607="",0,未审附注之非流动资产!D607)</f>
        <v>0</v>
      </c>
      <c r="E607" s="2369">
        <f t="shared" si="31"/>
        <v>0</v>
      </c>
      <c r="F607" s="2410">
        <f>IF(未审附注之非流动资产!F607="",0,未审附注之非流动资产!F607)</f>
        <v>0</v>
      </c>
      <c r="G607" s="2417"/>
      <c r="H607" s="2417"/>
      <c r="I607" s="2417"/>
      <c r="J607" s="2436" t="s">
        <v>248</v>
      </c>
    </row>
    <row r="608" spans="1:10">
      <c r="A608" s="2410">
        <f>IF(未审附注之非流动资产!A608="",0,未审附注之非流动资产!A608)</f>
        <v>0</v>
      </c>
      <c r="B608" s="2403">
        <f>IF(未审附注之非流动资产!B608="",0,未审附注之非流动资产!B608)</f>
        <v>0</v>
      </c>
      <c r="C608" s="2403">
        <f>IF(未审附注之非流动资产!C608="",0,未审附注之非流动资产!C608)</f>
        <v>0</v>
      </c>
      <c r="D608" s="2403">
        <f>IF(未审附注之非流动资产!D608="",0,未审附注之非流动资产!D608)</f>
        <v>0</v>
      </c>
      <c r="E608" s="2369">
        <f t="shared" si="31"/>
        <v>0</v>
      </c>
      <c r="F608" s="2410">
        <f>IF(未审附注之非流动资产!F608="",0,未审附注之非流动资产!F608)</f>
        <v>0</v>
      </c>
      <c r="G608" s="2417"/>
      <c r="H608" s="2417"/>
      <c r="I608" s="2417"/>
      <c r="J608" s="2436" t="s">
        <v>248</v>
      </c>
    </row>
    <row r="609" spans="1:10">
      <c r="A609" s="2410">
        <f>IF(未审附注之非流动资产!A609="",0,未审附注之非流动资产!A609)</f>
        <v>0</v>
      </c>
      <c r="B609" s="2403">
        <f>IF(未审附注之非流动资产!B609="",0,未审附注之非流动资产!B609)</f>
        <v>0</v>
      </c>
      <c r="C609" s="2403">
        <f>IF(未审附注之非流动资产!C609="",0,未审附注之非流动资产!C609)</f>
        <v>0</v>
      </c>
      <c r="D609" s="2403">
        <f>IF(未审附注之非流动资产!D609="",0,未审附注之非流动资产!D609)</f>
        <v>0</v>
      </c>
      <c r="E609" s="2369">
        <f t="shared" si="31"/>
        <v>0</v>
      </c>
      <c r="F609" s="2410">
        <f>IF(未审附注之非流动资产!F609="",0,未审附注之非流动资产!F609)</f>
        <v>0</v>
      </c>
      <c r="G609" s="2417"/>
      <c r="H609" s="2417"/>
      <c r="I609" s="2417"/>
      <c r="J609" s="2436" t="s">
        <v>248</v>
      </c>
    </row>
    <row r="610" spans="1:10">
      <c r="A610" s="2410">
        <f>IF(未审附注之非流动资产!A610="",0,未审附注之非流动资产!A610)</f>
        <v>0</v>
      </c>
      <c r="B610" s="2403">
        <f>IF(未审附注之非流动资产!B610="",0,未审附注之非流动资产!B610)</f>
        <v>0</v>
      </c>
      <c r="C610" s="2403">
        <f>IF(未审附注之非流动资产!C610="",0,未审附注之非流动资产!C610)</f>
        <v>0</v>
      </c>
      <c r="D610" s="2403">
        <f>IF(未审附注之非流动资产!D610="",0,未审附注之非流动资产!D610)</f>
        <v>0</v>
      </c>
      <c r="E610" s="2369">
        <f t="shared" si="31"/>
        <v>0</v>
      </c>
      <c r="F610" s="2410">
        <f>IF(未审附注之非流动资产!F610="",0,未审附注之非流动资产!F610)</f>
        <v>0</v>
      </c>
      <c r="G610" s="2417"/>
      <c r="H610" s="2417"/>
      <c r="I610" s="2417"/>
      <c r="J610" s="2436" t="s">
        <v>248</v>
      </c>
    </row>
    <row r="611" spans="1:10">
      <c r="A611" s="2410">
        <f>IF(未审附注之非流动资产!A611="",0,未审附注之非流动资产!A611)</f>
        <v>0</v>
      </c>
      <c r="B611" s="2403">
        <f>IF(未审附注之非流动资产!B611="",0,未审附注之非流动资产!B611)</f>
        <v>0</v>
      </c>
      <c r="C611" s="2403">
        <f>IF(未审附注之非流动资产!C611="",0,未审附注之非流动资产!C611)</f>
        <v>0</v>
      </c>
      <c r="D611" s="2403">
        <f>IF(未审附注之非流动资产!D611="",0,未审附注之非流动资产!D611)</f>
        <v>0</v>
      </c>
      <c r="E611" s="2369">
        <f t="shared" si="31"/>
        <v>0</v>
      </c>
      <c r="F611" s="2410">
        <f>IF(未审附注之非流动资产!F611="",0,未审附注之非流动资产!F611)</f>
        <v>0</v>
      </c>
      <c r="G611" s="2417"/>
      <c r="H611" s="2417"/>
      <c r="I611" s="2417"/>
      <c r="J611" s="2436" t="s">
        <v>248</v>
      </c>
    </row>
    <row r="612" spans="1:10">
      <c r="A612" s="2410">
        <f>IF(未审附注之非流动资产!A612="",0,未审附注之非流动资产!A612)</f>
        <v>0</v>
      </c>
      <c r="B612" s="2403">
        <f>IF(未审附注之非流动资产!B612="",0,未审附注之非流动资产!B612)</f>
        <v>0</v>
      </c>
      <c r="C612" s="2403">
        <f>IF(未审附注之非流动资产!C612="",0,未审附注之非流动资产!C612)</f>
        <v>0</v>
      </c>
      <c r="D612" s="2403">
        <f>IF(未审附注之非流动资产!D612="",0,未审附注之非流动资产!D612)</f>
        <v>0</v>
      </c>
      <c r="E612" s="2369">
        <f t="shared" si="31"/>
        <v>0</v>
      </c>
      <c r="F612" s="2410">
        <f>IF(未审附注之非流动资产!F612="",0,未审附注之非流动资产!F612)</f>
        <v>0</v>
      </c>
      <c r="G612" s="2417"/>
      <c r="H612" s="2417"/>
      <c r="I612" s="2417"/>
      <c r="J612" s="2436" t="s">
        <v>248</v>
      </c>
    </row>
    <row r="613" spans="1:10">
      <c r="A613" s="2410">
        <f>IF(未审附注之非流动资产!A613="",0,未审附注之非流动资产!A613)</f>
        <v>0</v>
      </c>
      <c r="B613" s="2403">
        <f>IF(未审附注之非流动资产!B613="",0,未审附注之非流动资产!B613)</f>
        <v>0</v>
      </c>
      <c r="C613" s="2403">
        <f>IF(未审附注之非流动资产!C613="",0,未审附注之非流动资产!C613)</f>
        <v>0</v>
      </c>
      <c r="D613" s="2403">
        <f>IF(未审附注之非流动资产!D613="",0,未审附注之非流动资产!D613)</f>
        <v>0</v>
      </c>
      <c r="E613" s="2369">
        <f t="shared" si="31"/>
        <v>0</v>
      </c>
      <c r="F613" s="2410">
        <f>IF(未审附注之非流动资产!F613="",0,未审附注之非流动资产!F613)</f>
        <v>0</v>
      </c>
      <c r="G613" s="2417"/>
      <c r="H613" s="2417"/>
      <c r="I613" s="2417"/>
      <c r="J613" s="2436" t="s">
        <v>248</v>
      </c>
    </row>
    <row r="614" spans="1:10">
      <c r="A614" s="2400" t="s">
        <v>385</v>
      </c>
      <c r="B614" s="2369">
        <f>ROUND(SUM(B604:B613),2)</f>
        <v>0</v>
      </c>
      <c r="C614" s="2369">
        <f>ROUND(SUM(C604:C613),2)</f>
        <v>0</v>
      </c>
      <c r="D614" s="2369">
        <f>ROUND(SUM(D604:D613),2)</f>
        <v>0</v>
      </c>
      <c r="E614" s="2369">
        <f>ROUND(SUM(E604:E613),2)</f>
        <v>0</v>
      </c>
      <c r="F614" s="2369"/>
      <c r="G614" s="2417"/>
      <c r="H614" s="2417"/>
      <c r="I614" s="2417"/>
      <c r="J614" s="2436" t="s">
        <v>927</v>
      </c>
    </row>
    <row r="615" spans="1:10">
      <c r="A615" s="2437"/>
      <c r="B615" s="2437"/>
      <c r="C615" s="2437"/>
      <c r="D615" s="2437"/>
      <c r="E615" s="2437"/>
      <c r="F615" s="2437"/>
      <c r="G615" s="2437"/>
      <c r="H615" s="2437"/>
      <c r="I615" s="2437"/>
      <c r="J615" s="2460"/>
    </row>
    <row r="616" spans="1:10">
      <c r="A616" s="2421"/>
      <c r="B616" s="2398"/>
      <c r="C616" s="2398"/>
      <c r="D616" s="2398"/>
      <c r="E616" s="2398"/>
      <c r="F616" s="2398"/>
      <c r="G616" s="2398"/>
      <c r="H616" s="2398"/>
      <c r="I616" s="2398"/>
      <c r="J616" s="2460"/>
    </row>
    <row r="617" spans="1:10">
      <c r="A617" s="2397" t="s">
        <v>928</v>
      </c>
      <c r="B617" s="2398"/>
      <c r="C617" s="2398"/>
      <c r="D617" s="2398"/>
      <c r="E617" s="2398"/>
      <c r="F617" s="2398"/>
      <c r="G617" s="2398"/>
      <c r="H617" s="2398"/>
      <c r="I617" s="2398"/>
      <c r="J617" s="2460"/>
    </row>
    <row r="618" spans="1:10">
      <c r="A618" s="2400" t="s">
        <v>373</v>
      </c>
      <c r="B618" s="2400" t="s">
        <v>929</v>
      </c>
      <c r="C618" s="2400" t="s">
        <v>628</v>
      </c>
      <c r="D618" s="2400" t="s">
        <v>582</v>
      </c>
      <c r="E618" s="2400" t="s">
        <v>583</v>
      </c>
      <c r="F618" s="2400" t="s">
        <v>316</v>
      </c>
      <c r="G618" s="2400" t="s">
        <v>930</v>
      </c>
      <c r="H618" s="2398"/>
      <c r="I618" s="2398"/>
      <c r="J618" s="2460"/>
    </row>
    <row r="619" spans="1:10">
      <c r="A619" s="2410">
        <f>IF(未审附注之非流动资产!A619="",0,未审附注之非流动资产!A619)</f>
        <v>0</v>
      </c>
      <c r="B619" s="2403">
        <f>IF(未审附注之非流动资产!B619="",0,未审附注之非流动资产!B619)</f>
        <v>0</v>
      </c>
      <c r="C619" s="2403">
        <f>IF(未审附注之非流动资产!C619="",0,未审附注之非流动资产!C619)</f>
        <v>0</v>
      </c>
      <c r="D619" s="2403">
        <f>IF(未审附注之非流动资产!D619="",0,未审附注之非流动资产!D619)</f>
        <v>0</v>
      </c>
      <c r="E619" s="2403">
        <f>IF(未审附注之非流动资产!E619="",0,未审附注之非流动资产!E619)</f>
        <v>0</v>
      </c>
      <c r="F619" s="2369">
        <f>ROUND(C619+D619-E619,2)</f>
        <v>0</v>
      </c>
      <c r="G619" s="2410">
        <f>IF(未审附注之非流动资产!G619="",0,未审附注之非流动资产!G619)</f>
        <v>0</v>
      </c>
      <c r="H619" s="2398"/>
      <c r="I619" s="2398"/>
      <c r="J619" s="2436" t="s">
        <v>250</v>
      </c>
    </row>
    <row r="620" spans="1:10">
      <c r="A620" s="2410">
        <f>IF(未审附注之非流动资产!A620="",0,未审附注之非流动资产!A620)</f>
        <v>0</v>
      </c>
      <c r="B620" s="2403">
        <f>IF(未审附注之非流动资产!B620="",0,未审附注之非流动资产!B620)</f>
        <v>0</v>
      </c>
      <c r="C620" s="2403">
        <f>IF(未审附注之非流动资产!C620="",0,未审附注之非流动资产!C620)</f>
        <v>0</v>
      </c>
      <c r="D620" s="2403">
        <f>IF(未审附注之非流动资产!D620="",0,未审附注之非流动资产!D620)</f>
        <v>0</v>
      </c>
      <c r="E620" s="2403">
        <f>IF(未审附注之非流动资产!E620="",0,未审附注之非流动资产!E620)</f>
        <v>0</v>
      </c>
      <c r="F620" s="2369">
        <f t="shared" ref="F620:F628" si="32">ROUND(C620+D620-E620,2)</f>
        <v>0</v>
      </c>
      <c r="G620" s="2410">
        <f>IF(未审附注之非流动资产!G620="",0,未审附注之非流动资产!G620)</f>
        <v>0</v>
      </c>
      <c r="H620" s="2398"/>
      <c r="I620" s="2398"/>
      <c r="J620" s="2436" t="s">
        <v>250</v>
      </c>
    </row>
    <row r="621" spans="1:10">
      <c r="A621" s="2410">
        <f>IF(未审附注之非流动资产!A621="",0,未审附注之非流动资产!A621)</f>
        <v>0</v>
      </c>
      <c r="B621" s="2403">
        <f>IF(未审附注之非流动资产!B621="",0,未审附注之非流动资产!B621)</f>
        <v>0</v>
      </c>
      <c r="C621" s="2403">
        <f>IF(未审附注之非流动资产!C621="",0,未审附注之非流动资产!C621)</f>
        <v>0</v>
      </c>
      <c r="D621" s="2403">
        <f>IF(未审附注之非流动资产!D621="",0,未审附注之非流动资产!D621)</f>
        <v>0</v>
      </c>
      <c r="E621" s="2403">
        <f>IF(未审附注之非流动资产!E621="",0,未审附注之非流动资产!E621)</f>
        <v>0</v>
      </c>
      <c r="F621" s="2369">
        <f t="shared" si="32"/>
        <v>0</v>
      </c>
      <c r="G621" s="2410">
        <f>IF(未审附注之非流动资产!G621="",0,未审附注之非流动资产!G621)</f>
        <v>0</v>
      </c>
      <c r="H621" s="2398"/>
      <c r="I621" s="2398"/>
      <c r="J621" s="2436" t="s">
        <v>250</v>
      </c>
    </row>
    <row r="622" spans="1:10">
      <c r="A622" s="2410">
        <f>IF(未审附注之非流动资产!A622="",0,未审附注之非流动资产!A622)</f>
        <v>0</v>
      </c>
      <c r="B622" s="2403">
        <f>IF(未审附注之非流动资产!B622="",0,未审附注之非流动资产!B622)</f>
        <v>0</v>
      </c>
      <c r="C622" s="2403">
        <f>IF(未审附注之非流动资产!C622="",0,未审附注之非流动资产!C622)</f>
        <v>0</v>
      </c>
      <c r="D622" s="2403">
        <f>IF(未审附注之非流动资产!D622="",0,未审附注之非流动资产!D622)</f>
        <v>0</v>
      </c>
      <c r="E622" s="2403">
        <f>IF(未审附注之非流动资产!E622="",0,未审附注之非流动资产!E622)</f>
        <v>0</v>
      </c>
      <c r="F622" s="2369">
        <f t="shared" si="32"/>
        <v>0</v>
      </c>
      <c r="G622" s="2410">
        <f>IF(未审附注之非流动资产!G622="",0,未审附注之非流动资产!G622)</f>
        <v>0</v>
      </c>
      <c r="H622" s="2398"/>
      <c r="I622" s="2398"/>
      <c r="J622" s="2436" t="s">
        <v>250</v>
      </c>
    </row>
    <row r="623" spans="1:10">
      <c r="A623" s="2410">
        <f>IF(未审附注之非流动资产!A623="",0,未审附注之非流动资产!A623)</f>
        <v>0</v>
      </c>
      <c r="B623" s="2403">
        <f>IF(未审附注之非流动资产!B623="",0,未审附注之非流动资产!B623)</f>
        <v>0</v>
      </c>
      <c r="C623" s="2403">
        <f>IF(未审附注之非流动资产!C623="",0,未审附注之非流动资产!C623)</f>
        <v>0</v>
      </c>
      <c r="D623" s="2403">
        <f>IF(未审附注之非流动资产!D623="",0,未审附注之非流动资产!D623)</f>
        <v>0</v>
      </c>
      <c r="E623" s="2403">
        <f>IF(未审附注之非流动资产!E623="",0,未审附注之非流动资产!E623)</f>
        <v>0</v>
      </c>
      <c r="F623" s="2369">
        <f t="shared" si="32"/>
        <v>0</v>
      </c>
      <c r="G623" s="2410">
        <f>IF(未审附注之非流动资产!G623="",0,未审附注之非流动资产!G623)</f>
        <v>0</v>
      </c>
      <c r="H623" s="2398"/>
      <c r="I623" s="2398"/>
      <c r="J623" s="2436" t="s">
        <v>250</v>
      </c>
    </row>
    <row r="624" spans="1:10">
      <c r="A624" s="2410">
        <f>IF(未审附注之非流动资产!A624="",0,未审附注之非流动资产!A624)</f>
        <v>0</v>
      </c>
      <c r="B624" s="2403">
        <f>IF(未审附注之非流动资产!B624="",0,未审附注之非流动资产!B624)</f>
        <v>0</v>
      </c>
      <c r="C624" s="2403">
        <f>IF(未审附注之非流动资产!C624="",0,未审附注之非流动资产!C624)</f>
        <v>0</v>
      </c>
      <c r="D624" s="2403">
        <f>IF(未审附注之非流动资产!D624="",0,未审附注之非流动资产!D624)</f>
        <v>0</v>
      </c>
      <c r="E624" s="2403">
        <f>IF(未审附注之非流动资产!E624="",0,未审附注之非流动资产!E624)</f>
        <v>0</v>
      </c>
      <c r="F624" s="2369">
        <f t="shared" si="32"/>
        <v>0</v>
      </c>
      <c r="G624" s="2410">
        <f>IF(未审附注之非流动资产!G624="",0,未审附注之非流动资产!G624)</f>
        <v>0</v>
      </c>
      <c r="H624" s="2398"/>
      <c r="I624" s="2398"/>
      <c r="J624" s="2436" t="s">
        <v>250</v>
      </c>
    </row>
    <row r="625" spans="1:10">
      <c r="A625" s="2410">
        <f>IF(未审附注之非流动资产!A625="",0,未审附注之非流动资产!A625)</f>
        <v>0</v>
      </c>
      <c r="B625" s="2403">
        <f>IF(未审附注之非流动资产!B625="",0,未审附注之非流动资产!B625)</f>
        <v>0</v>
      </c>
      <c r="C625" s="2403">
        <f>IF(未审附注之非流动资产!C625="",0,未审附注之非流动资产!C625)</f>
        <v>0</v>
      </c>
      <c r="D625" s="2403">
        <f>IF(未审附注之非流动资产!D625="",0,未审附注之非流动资产!D625)</f>
        <v>0</v>
      </c>
      <c r="E625" s="2403">
        <f>IF(未审附注之非流动资产!E625="",0,未审附注之非流动资产!E625)</f>
        <v>0</v>
      </c>
      <c r="F625" s="2369">
        <f t="shared" si="32"/>
        <v>0</v>
      </c>
      <c r="G625" s="2410">
        <f>IF(未审附注之非流动资产!G625="",0,未审附注之非流动资产!G625)</f>
        <v>0</v>
      </c>
      <c r="H625" s="2398"/>
      <c r="I625" s="2398"/>
      <c r="J625" s="2436" t="s">
        <v>250</v>
      </c>
    </row>
    <row r="626" spans="1:10">
      <c r="A626" s="2410">
        <f>IF(未审附注之非流动资产!A626="",0,未审附注之非流动资产!A626)</f>
        <v>0</v>
      </c>
      <c r="B626" s="2403">
        <f>IF(未审附注之非流动资产!B626="",0,未审附注之非流动资产!B626)</f>
        <v>0</v>
      </c>
      <c r="C626" s="2403">
        <f>IF(未审附注之非流动资产!C626="",0,未审附注之非流动资产!C626)</f>
        <v>0</v>
      </c>
      <c r="D626" s="2403">
        <f>IF(未审附注之非流动资产!D626="",0,未审附注之非流动资产!D626)</f>
        <v>0</v>
      </c>
      <c r="E626" s="2403">
        <f>IF(未审附注之非流动资产!E626="",0,未审附注之非流动资产!E626)</f>
        <v>0</v>
      </c>
      <c r="F626" s="2369">
        <f t="shared" si="32"/>
        <v>0</v>
      </c>
      <c r="G626" s="2410">
        <f>IF(未审附注之非流动资产!G626="",0,未审附注之非流动资产!G626)</f>
        <v>0</v>
      </c>
      <c r="H626" s="2398"/>
      <c r="I626" s="2398"/>
      <c r="J626" s="2436" t="s">
        <v>250</v>
      </c>
    </row>
    <row r="627" spans="1:10">
      <c r="A627" s="2410">
        <f>IF(未审附注之非流动资产!A627="",0,未审附注之非流动资产!A627)</f>
        <v>0</v>
      </c>
      <c r="B627" s="2403">
        <f>IF(未审附注之非流动资产!B627="",0,未审附注之非流动资产!B627)</f>
        <v>0</v>
      </c>
      <c r="C627" s="2403">
        <f>IF(未审附注之非流动资产!C627="",0,未审附注之非流动资产!C627)</f>
        <v>0</v>
      </c>
      <c r="D627" s="2403">
        <f>IF(未审附注之非流动资产!D627="",0,未审附注之非流动资产!D627)</f>
        <v>0</v>
      </c>
      <c r="E627" s="2403">
        <f>IF(未审附注之非流动资产!E627="",0,未审附注之非流动资产!E627)</f>
        <v>0</v>
      </c>
      <c r="F627" s="2369">
        <f t="shared" si="32"/>
        <v>0</v>
      </c>
      <c r="G627" s="2410">
        <f>IF(未审附注之非流动资产!G627="",0,未审附注之非流动资产!G627)</f>
        <v>0</v>
      </c>
      <c r="H627" s="2398"/>
      <c r="I627" s="2398"/>
      <c r="J627" s="2436" t="s">
        <v>250</v>
      </c>
    </row>
    <row r="628" spans="1:10">
      <c r="A628" s="2410">
        <f>IF(未审附注之非流动资产!A628="",0,未审附注之非流动资产!A628)</f>
        <v>0</v>
      </c>
      <c r="B628" s="2403">
        <f>IF(未审附注之非流动资产!B628="",0,未审附注之非流动资产!B628)</f>
        <v>0</v>
      </c>
      <c r="C628" s="2403">
        <f>IF(未审附注之非流动资产!C628="",0,未审附注之非流动资产!C628)</f>
        <v>0</v>
      </c>
      <c r="D628" s="2403">
        <f>IF(未审附注之非流动资产!D628="",0,未审附注之非流动资产!D628)</f>
        <v>0</v>
      </c>
      <c r="E628" s="2403">
        <f>IF(未审附注之非流动资产!E628="",0,未审附注之非流动资产!E628)</f>
        <v>0</v>
      </c>
      <c r="F628" s="2369">
        <f t="shared" si="32"/>
        <v>0</v>
      </c>
      <c r="G628" s="2410">
        <f>IF(未审附注之非流动资产!G628="",0,未审附注之非流动资产!G628)</f>
        <v>0</v>
      </c>
      <c r="H628" s="2398"/>
      <c r="I628" s="2398"/>
      <c r="J628" s="2436" t="s">
        <v>250</v>
      </c>
    </row>
    <row r="629" spans="1:10">
      <c r="A629" s="2400" t="s">
        <v>385</v>
      </c>
      <c r="B629" s="2369">
        <f>ROUND(SUM(B619:B628),2)</f>
        <v>0</v>
      </c>
      <c r="C629" s="2369">
        <f>ROUND(SUM(C619:C628),2)</f>
        <v>0</v>
      </c>
      <c r="D629" s="2369">
        <f>ROUND(SUM(D619:D628),2)</f>
        <v>0</v>
      </c>
      <c r="E629" s="2369">
        <f>ROUND(SUM(E619:E628),2)</f>
        <v>0</v>
      </c>
      <c r="F629" s="2369">
        <f>ROUND(SUM(F619:F628),2)</f>
        <v>0</v>
      </c>
      <c r="G629" s="2369"/>
      <c r="H629" s="2398"/>
      <c r="I629" s="2398"/>
      <c r="J629" s="2436" t="s">
        <v>931</v>
      </c>
    </row>
    <row r="630" spans="1:10">
      <c r="A630" s="2437"/>
      <c r="B630" s="2437"/>
      <c r="C630" s="2437"/>
      <c r="D630" s="2437"/>
      <c r="E630" s="2437"/>
      <c r="F630" s="2437"/>
      <c r="G630" s="2437"/>
      <c r="H630" s="2437"/>
      <c r="I630" s="2437"/>
      <c r="J630" s="2460"/>
    </row>
    <row r="631" spans="1:10">
      <c r="A631" s="2421"/>
      <c r="B631" s="2398"/>
      <c r="C631" s="2398"/>
      <c r="D631" s="2398"/>
      <c r="E631" s="2398"/>
      <c r="F631" s="2398"/>
      <c r="G631" s="2398"/>
      <c r="H631" s="2398"/>
      <c r="I631" s="2398"/>
      <c r="J631" s="2460"/>
    </row>
    <row r="632" spans="1:10">
      <c r="A632" s="2397" t="s">
        <v>932</v>
      </c>
      <c r="B632" s="2398"/>
      <c r="C632" s="2398"/>
      <c r="D632" s="2398"/>
      <c r="E632" s="2398"/>
      <c r="F632" s="2398"/>
      <c r="G632" s="2398"/>
      <c r="H632" s="2398"/>
      <c r="I632" s="2398"/>
      <c r="J632" s="2460"/>
    </row>
    <row r="633" spans="1:10">
      <c r="A633" s="2400" t="s">
        <v>373</v>
      </c>
      <c r="B633" s="2400" t="s">
        <v>627</v>
      </c>
      <c r="C633" s="2400" t="s">
        <v>628</v>
      </c>
      <c r="D633" s="2400" t="s">
        <v>573</v>
      </c>
      <c r="E633" s="2400" t="s">
        <v>489</v>
      </c>
      <c r="F633" s="2398"/>
      <c r="G633" s="2398"/>
      <c r="H633" s="2398"/>
      <c r="I633" s="2398"/>
      <c r="J633" s="2460"/>
    </row>
    <row r="634" spans="1:10">
      <c r="A634" s="2410">
        <f>IF(未审附注之非流动资产!A634="",0,未审附注之非流动资产!A634)</f>
        <v>0</v>
      </c>
      <c r="B634" s="2403">
        <f>IF(未审附注之非流动资产!B634="",0,未审附注之非流动资产!B634)</f>
        <v>0</v>
      </c>
      <c r="C634" s="2403">
        <f>IF(未审附注之非流动资产!C634="",0,未审附注之非流动资产!C634)</f>
        <v>0</v>
      </c>
      <c r="D634" s="2410">
        <f>IF(未审附注之非流动资产!D634="",0,未审附注之非流动资产!D634)</f>
        <v>0</v>
      </c>
      <c r="E634" s="2410">
        <f>IF(未审附注之非流动资产!E634="",0,未审附注之非流动资产!E634)</f>
        <v>0</v>
      </c>
      <c r="F634" s="2398"/>
      <c r="G634" s="2398"/>
      <c r="H634" s="2398"/>
      <c r="I634" s="2398"/>
      <c r="J634" s="2436" t="s">
        <v>254</v>
      </c>
    </row>
    <row r="635" spans="1:10">
      <c r="A635" s="2410">
        <f>IF(未审附注之非流动资产!A635="",0,未审附注之非流动资产!A635)</f>
        <v>0</v>
      </c>
      <c r="B635" s="2403">
        <f>IF(未审附注之非流动资产!B635="",0,未审附注之非流动资产!B635)</f>
        <v>0</v>
      </c>
      <c r="C635" s="2403">
        <f>IF(未审附注之非流动资产!C635="",0,未审附注之非流动资产!C635)</f>
        <v>0</v>
      </c>
      <c r="D635" s="2410">
        <f>IF(未审附注之非流动资产!D635="",0,未审附注之非流动资产!D635)</f>
        <v>0</v>
      </c>
      <c r="E635" s="2410">
        <f>IF(未审附注之非流动资产!E635="",0,未审附注之非流动资产!E635)</f>
        <v>0</v>
      </c>
      <c r="F635" s="2398"/>
      <c r="G635" s="2398"/>
      <c r="H635" s="2398"/>
      <c r="I635" s="2398"/>
      <c r="J635" s="2436" t="s">
        <v>254</v>
      </c>
    </row>
    <row r="636" spans="1:10">
      <c r="A636" s="2410">
        <f>IF(未审附注之非流动资产!A636="",0,未审附注之非流动资产!A636)</f>
        <v>0</v>
      </c>
      <c r="B636" s="2403">
        <f>IF(未审附注之非流动资产!B636="",0,未审附注之非流动资产!B636)</f>
        <v>0</v>
      </c>
      <c r="C636" s="2403">
        <f>IF(未审附注之非流动资产!C636="",0,未审附注之非流动资产!C636)</f>
        <v>0</v>
      </c>
      <c r="D636" s="2410">
        <f>IF(未审附注之非流动资产!D636="",0,未审附注之非流动资产!D636)</f>
        <v>0</v>
      </c>
      <c r="E636" s="2410">
        <f>IF(未审附注之非流动资产!E636="",0,未审附注之非流动资产!E636)</f>
        <v>0</v>
      </c>
      <c r="F636" s="2398"/>
      <c r="G636" s="2398"/>
      <c r="H636" s="2398"/>
      <c r="I636" s="2398"/>
      <c r="J636" s="2436" t="s">
        <v>254</v>
      </c>
    </row>
    <row r="637" spans="1:10">
      <c r="A637" s="2410">
        <f>IF(未审附注之非流动资产!A637="",0,未审附注之非流动资产!A637)</f>
        <v>0</v>
      </c>
      <c r="B637" s="2403">
        <f>IF(未审附注之非流动资产!B637="",0,未审附注之非流动资产!B637)</f>
        <v>0</v>
      </c>
      <c r="C637" s="2403">
        <f>IF(未审附注之非流动资产!C637="",0,未审附注之非流动资产!C637)</f>
        <v>0</v>
      </c>
      <c r="D637" s="2410">
        <f>IF(未审附注之非流动资产!D637="",0,未审附注之非流动资产!D637)</f>
        <v>0</v>
      </c>
      <c r="E637" s="2410">
        <f>IF(未审附注之非流动资产!E637="",0,未审附注之非流动资产!E637)</f>
        <v>0</v>
      </c>
      <c r="F637" s="2398"/>
      <c r="G637" s="2398"/>
      <c r="H637" s="2398"/>
      <c r="I637" s="2398"/>
      <c r="J637" s="2436" t="s">
        <v>254</v>
      </c>
    </row>
    <row r="638" spans="1:10">
      <c r="A638" s="2410">
        <f>IF(未审附注之非流动资产!A638="",0,未审附注之非流动资产!A638)</f>
        <v>0</v>
      </c>
      <c r="B638" s="2403">
        <f>IF(未审附注之非流动资产!B638="",0,未审附注之非流动资产!B638)</f>
        <v>0</v>
      </c>
      <c r="C638" s="2403">
        <f>IF(未审附注之非流动资产!C638="",0,未审附注之非流动资产!C638)</f>
        <v>0</v>
      </c>
      <c r="D638" s="2410">
        <f>IF(未审附注之非流动资产!D638="",0,未审附注之非流动资产!D638)</f>
        <v>0</v>
      </c>
      <c r="E638" s="2410">
        <f>IF(未审附注之非流动资产!E638="",0,未审附注之非流动资产!E638)</f>
        <v>0</v>
      </c>
      <c r="F638" s="2398"/>
      <c r="G638" s="2398"/>
      <c r="H638" s="2398"/>
      <c r="I638" s="2398"/>
      <c r="J638" s="2436" t="s">
        <v>254</v>
      </c>
    </row>
    <row r="639" spans="1:10">
      <c r="A639" s="2410">
        <f>IF(未审附注之非流动资产!A639="",0,未审附注之非流动资产!A639)</f>
        <v>0</v>
      </c>
      <c r="B639" s="2403">
        <f>IF(未审附注之非流动资产!B639="",0,未审附注之非流动资产!B639)</f>
        <v>0</v>
      </c>
      <c r="C639" s="2403">
        <f>IF(未审附注之非流动资产!C639="",0,未审附注之非流动资产!C639)</f>
        <v>0</v>
      </c>
      <c r="D639" s="2410">
        <f>IF(未审附注之非流动资产!D639="",0,未审附注之非流动资产!D639)</f>
        <v>0</v>
      </c>
      <c r="E639" s="2410">
        <f>IF(未审附注之非流动资产!E639="",0,未审附注之非流动资产!E639)</f>
        <v>0</v>
      </c>
      <c r="F639" s="2398"/>
      <c r="G639" s="2398"/>
      <c r="H639" s="2398"/>
      <c r="I639" s="2398"/>
      <c r="J639" s="2436" t="s">
        <v>254</v>
      </c>
    </row>
    <row r="640" spans="1:10">
      <c r="A640" s="2410">
        <f>IF(未审附注之非流动资产!A640="",0,未审附注之非流动资产!A640)</f>
        <v>0</v>
      </c>
      <c r="B640" s="2403">
        <f>IF(未审附注之非流动资产!B640="",0,未审附注之非流动资产!B640)</f>
        <v>0</v>
      </c>
      <c r="C640" s="2403">
        <f>IF(未审附注之非流动资产!C640="",0,未审附注之非流动资产!C640)</f>
        <v>0</v>
      </c>
      <c r="D640" s="2410">
        <f>IF(未审附注之非流动资产!D640="",0,未审附注之非流动资产!D640)</f>
        <v>0</v>
      </c>
      <c r="E640" s="2410">
        <f>IF(未审附注之非流动资产!E640="",0,未审附注之非流动资产!E640)</f>
        <v>0</v>
      </c>
      <c r="F640" s="2398"/>
      <c r="G640" s="2398"/>
      <c r="H640" s="2398"/>
      <c r="I640" s="2398"/>
      <c r="J640" s="2436" t="s">
        <v>254</v>
      </c>
    </row>
    <row r="641" spans="1:10">
      <c r="A641" s="2410">
        <f>IF(未审附注之非流动资产!A641="",0,未审附注之非流动资产!A641)</f>
        <v>0</v>
      </c>
      <c r="B641" s="2403">
        <f>IF(未审附注之非流动资产!B641="",0,未审附注之非流动资产!B641)</f>
        <v>0</v>
      </c>
      <c r="C641" s="2403">
        <f>IF(未审附注之非流动资产!C641="",0,未审附注之非流动资产!C641)</f>
        <v>0</v>
      </c>
      <c r="D641" s="2410">
        <f>IF(未审附注之非流动资产!D641="",0,未审附注之非流动资产!D641)</f>
        <v>0</v>
      </c>
      <c r="E641" s="2410">
        <f>IF(未审附注之非流动资产!E641="",0,未审附注之非流动资产!E641)</f>
        <v>0</v>
      </c>
      <c r="F641" s="2398"/>
      <c r="G641" s="2398"/>
      <c r="H641" s="2398"/>
      <c r="I641" s="2398"/>
      <c r="J641" s="2436" t="s">
        <v>254</v>
      </c>
    </row>
    <row r="642" spans="1:10">
      <c r="A642" s="2410">
        <f>IF(未审附注之非流动资产!A642="",0,未审附注之非流动资产!A642)</f>
        <v>0</v>
      </c>
      <c r="B642" s="2403">
        <f>IF(未审附注之非流动资产!B642="",0,未审附注之非流动资产!B642)</f>
        <v>0</v>
      </c>
      <c r="C642" s="2403">
        <f>IF(未审附注之非流动资产!C642="",0,未审附注之非流动资产!C642)</f>
        <v>0</v>
      </c>
      <c r="D642" s="2410">
        <f>IF(未审附注之非流动资产!D642="",0,未审附注之非流动资产!D642)</f>
        <v>0</v>
      </c>
      <c r="E642" s="2410">
        <f>IF(未审附注之非流动资产!E642="",0,未审附注之非流动资产!E642)</f>
        <v>0</v>
      </c>
      <c r="F642" s="2398"/>
      <c r="G642" s="2398"/>
      <c r="H642" s="2398"/>
      <c r="I642" s="2398"/>
      <c r="J642" s="2436" t="s">
        <v>254</v>
      </c>
    </row>
    <row r="643" spans="1:10">
      <c r="A643" s="2410">
        <f>IF(未审附注之非流动资产!A643="",0,未审附注之非流动资产!A643)</f>
        <v>0</v>
      </c>
      <c r="B643" s="2403">
        <f>IF(未审附注之非流动资产!B643="",0,未审附注之非流动资产!B643)</f>
        <v>0</v>
      </c>
      <c r="C643" s="2403">
        <f>IF(未审附注之非流动资产!C643="",0,未审附注之非流动资产!C643)</f>
        <v>0</v>
      </c>
      <c r="D643" s="2410">
        <f>IF(未审附注之非流动资产!D643="",0,未审附注之非流动资产!D643)</f>
        <v>0</v>
      </c>
      <c r="E643" s="2410">
        <f>IF(未审附注之非流动资产!E643="",0,未审附注之非流动资产!E643)</f>
        <v>0</v>
      </c>
      <c r="F643" s="2398"/>
      <c r="G643" s="2398"/>
      <c r="H643" s="2398"/>
      <c r="I643" s="2398"/>
      <c r="J643" s="2436" t="s">
        <v>254</v>
      </c>
    </row>
    <row r="644" spans="1:10">
      <c r="A644" s="2400" t="s">
        <v>385</v>
      </c>
      <c r="B644" s="2369">
        <f>ROUND(SUM(B634:B643),2)</f>
        <v>0</v>
      </c>
      <c r="C644" s="2369">
        <f>ROUND(SUM(C634:C643),2)</f>
        <v>0</v>
      </c>
      <c r="D644" s="2369"/>
      <c r="E644" s="2369"/>
      <c r="F644" s="2398"/>
      <c r="G644" s="2398"/>
      <c r="H644" s="2398"/>
      <c r="I644" s="2398"/>
      <c r="J644" s="2436" t="s">
        <v>933</v>
      </c>
    </row>
    <row r="645" spans="1:9">
      <c r="A645" s="2454"/>
      <c r="B645" s="2444"/>
      <c r="C645" s="2444"/>
      <c r="D645" s="2444"/>
      <c r="E645" s="2444"/>
      <c r="F645" s="2444"/>
      <c r="G645" s="2417"/>
      <c r="H645" s="2417"/>
      <c r="I645" s="2417"/>
    </row>
    <row r="646" spans="1:9">
      <c r="A646" s="2454"/>
      <c r="B646" s="2444"/>
      <c r="C646" s="2444"/>
      <c r="D646" s="2444"/>
      <c r="E646" s="2444"/>
      <c r="F646" s="2444"/>
      <c r="G646" s="2417"/>
      <c r="H646" s="2417"/>
      <c r="I646" s="2417"/>
    </row>
    <row r="647" spans="1:9">
      <c r="A647" s="2443" t="s">
        <v>934</v>
      </c>
      <c r="B647" s="2444"/>
      <c r="C647" s="2444"/>
      <c r="D647" s="2444"/>
      <c r="E647" s="2444"/>
      <c r="F647" s="2444"/>
      <c r="G647" s="2417"/>
      <c r="H647" s="2417"/>
      <c r="I647" s="2417"/>
    </row>
    <row r="648" spans="1:9">
      <c r="A648" s="2400" t="s">
        <v>373</v>
      </c>
      <c r="B648" s="2400" t="s">
        <v>316</v>
      </c>
      <c r="C648" s="2400" t="s">
        <v>317</v>
      </c>
      <c r="D648" s="2444"/>
      <c r="E648" s="2444"/>
      <c r="F648" s="2444"/>
      <c r="G648" s="2417"/>
      <c r="H648" s="2417"/>
      <c r="I648" s="2417"/>
    </row>
    <row r="649" spans="1:9">
      <c r="A649" s="2447" t="s">
        <v>935</v>
      </c>
      <c r="B649" s="2401"/>
      <c r="C649" s="2401"/>
      <c r="D649" s="2444"/>
      <c r="E649" s="2444"/>
      <c r="F649" s="2444"/>
      <c r="G649" s="2444"/>
      <c r="H649" s="2444"/>
      <c r="I649" s="2444"/>
    </row>
    <row r="650" spans="1:10">
      <c r="A650" s="2410">
        <f>IF(未审附注之非流动资产!A650="",0,未审附注之非流动资产!A650)</f>
        <v>0</v>
      </c>
      <c r="B650" s="2403">
        <f>IF(未审附注之非流动资产!B650="",0,未审附注之非流动资产!B650)</f>
        <v>0</v>
      </c>
      <c r="C650" s="2403">
        <f>IF(未审附注之非流动资产!C650="",0,未审附注之非流动资产!C650)</f>
        <v>0</v>
      </c>
      <c r="D650" s="2444"/>
      <c r="E650" s="2444"/>
      <c r="F650" s="2444"/>
      <c r="G650" s="2444"/>
      <c r="H650" s="2444"/>
      <c r="I650" s="2444"/>
      <c r="J650" s="2436" t="s">
        <v>252</v>
      </c>
    </row>
    <row r="651" spans="1:10">
      <c r="A651" s="2410">
        <f>IF(未审附注之非流动资产!A651="",0,未审附注之非流动资产!A651)</f>
        <v>0</v>
      </c>
      <c r="B651" s="2403">
        <f>IF(未审附注之非流动资产!B651="",0,未审附注之非流动资产!B651)</f>
        <v>0</v>
      </c>
      <c r="C651" s="2403">
        <f>IF(未审附注之非流动资产!C651="",0,未审附注之非流动资产!C651)</f>
        <v>0</v>
      </c>
      <c r="D651" s="2444"/>
      <c r="E651" s="2444"/>
      <c r="F651" s="2444"/>
      <c r="G651" s="2444"/>
      <c r="H651" s="2444"/>
      <c r="I651" s="2444"/>
      <c r="J651" s="2436" t="s">
        <v>252</v>
      </c>
    </row>
    <row r="652" spans="1:10">
      <c r="A652" s="2410">
        <f>IF(未审附注之非流动资产!A652="",0,未审附注之非流动资产!A652)</f>
        <v>0</v>
      </c>
      <c r="B652" s="2403">
        <f>IF(未审附注之非流动资产!B652="",0,未审附注之非流动资产!B652)</f>
        <v>0</v>
      </c>
      <c r="C652" s="2403">
        <f>IF(未审附注之非流动资产!C652="",0,未审附注之非流动资产!C652)</f>
        <v>0</v>
      </c>
      <c r="D652" s="2444"/>
      <c r="E652" s="2444"/>
      <c r="F652" s="2444"/>
      <c r="G652" s="2444"/>
      <c r="H652" s="2444"/>
      <c r="I652" s="2444"/>
      <c r="J652" s="2436" t="s">
        <v>252</v>
      </c>
    </row>
    <row r="653" spans="1:10">
      <c r="A653" s="2410">
        <f>IF(未审附注之非流动资产!A653="",0,未审附注之非流动资产!A653)</f>
        <v>0</v>
      </c>
      <c r="B653" s="2403">
        <f>IF(未审附注之非流动资产!B653="",0,未审附注之非流动资产!B653)</f>
        <v>0</v>
      </c>
      <c r="C653" s="2403">
        <f>IF(未审附注之非流动资产!C653="",0,未审附注之非流动资产!C653)</f>
        <v>0</v>
      </c>
      <c r="D653" s="2444"/>
      <c r="E653" s="2444"/>
      <c r="F653" s="2444"/>
      <c r="G653" s="2444"/>
      <c r="H653" s="2444"/>
      <c r="I653" s="2444"/>
      <c r="J653" s="2436" t="s">
        <v>252</v>
      </c>
    </row>
    <row r="654" spans="1:10">
      <c r="A654" s="2410">
        <f>IF(未审附注之非流动资产!A654="",0,未审附注之非流动资产!A654)</f>
        <v>0</v>
      </c>
      <c r="B654" s="2403">
        <f>IF(未审附注之非流动资产!B654="",0,未审附注之非流动资产!B654)</f>
        <v>0</v>
      </c>
      <c r="C654" s="2403">
        <f>IF(未审附注之非流动资产!C654="",0,未审附注之非流动资产!C654)</f>
        <v>0</v>
      </c>
      <c r="D654" s="2444"/>
      <c r="E654" s="2444"/>
      <c r="F654" s="2444"/>
      <c r="G654" s="2444"/>
      <c r="H654" s="2444"/>
      <c r="I654" s="2444"/>
      <c r="J654" s="2436" t="s">
        <v>252</v>
      </c>
    </row>
    <row r="655" spans="1:10">
      <c r="A655" s="2410">
        <f>IF(未审附注之非流动资产!A655="",0,未审附注之非流动资产!A655)</f>
        <v>0</v>
      </c>
      <c r="B655" s="2403">
        <f>IF(未审附注之非流动资产!B655="",0,未审附注之非流动资产!B655)</f>
        <v>0</v>
      </c>
      <c r="C655" s="2403">
        <f>IF(未审附注之非流动资产!C655="",0,未审附注之非流动资产!C655)</f>
        <v>0</v>
      </c>
      <c r="D655" s="2444"/>
      <c r="E655" s="2444"/>
      <c r="F655" s="2444"/>
      <c r="G655" s="2444"/>
      <c r="H655" s="2444"/>
      <c r="I655" s="2444"/>
      <c r="J655" s="2436" t="s">
        <v>252</v>
      </c>
    </row>
    <row r="656" spans="1:10">
      <c r="A656" s="2410">
        <f>IF(未审附注之非流动资产!A656="",0,未审附注之非流动资产!A656)</f>
        <v>0</v>
      </c>
      <c r="B656" s="2403">
        <f>IF(未审附注之非流动资产!B656="",0,未审附注之非流动资产!B656)</f>
        <v>0</v>
      </c>
      <c r="C656" s="2403">
        <f>IF(未审附注之非流动资产!C656="",0,未审附注之非流动资产!C656)</f>
        <v>0</v>
      </c>
      <c r="D656" s="2444"/>
      <c r="E656" s="2444"/>
      <c r="F656" s="2444"/>
      <c r="G656" s="2444"/>
      <c r="H656" s="2444"/>
      <c r="I656" s="2444"/>
      <c r="J656" s="2436" t="s">
        <v>252</v>
      </c>
    </row>
    <row r="657" spans="1:10">
      <c r="A657" s="2410">
        <f>IF(未审附注之非流动资产!A657="",0,未审附注之非流动资产!A657)</f>
        <v>0</v>
      </c>
      <c r="B657" s="2403">
        <f>IF(未审附注之非流动资产!B657="",0,未审附注之非流动资产!B657)</f>
        <v>0</v>
      </c>
      <c r="C657" s="2403">
        <f>IF(未审附注之非流动资产!C657="",0,未审附注之非流动资产!C657)</f>
        <v>0</v>
      </c>
      <c r="D657" s="2444"/>
      <c r="E657" s="2444"/>
      <c r="F657" s="2444"/>
      <c r="G657" s="2444"/>
      <c r="H657" s="2444"/>
      <c r="I657" s="2444"/>
      <c r="J657" s="2436" t="s">
        <v>252</v>
      </c>
    </row>
    <row r="658" spans="1:10">
      <c r="A658" s="2410">
        <f>IF(未审附注之非流动资产!A658="",0,未审附注之非流动资产!A658)</f>
        <v>0</v>
      </c>
      <c r="B658" s="2403">
        <f>IF(未审附注之非流动资产!B658="",0,未审附注之非流动资产!B658)</f>
        <v>0</v>
      </c>
      <c r="C658" s="2403">
        <f>IF(未审附注之非流动资产!C658="",0,未审附注之非流动资产!C658)</f>
        <v>0</v>
      </c>
      <c r="D658" s="2444"/>
      <c r="E658" s="2444"/>
      <c r="F658" s="2444"/>
      <c r="G658" s="2444"/>
      <c r="H658" s="2444"/>
      <c r="I658" s="2444"/>
      <c r="J658" s="2436" t="s">
        <v>252</v>
      </c>
    </row>
    <row r="659" spans="1:10">
      <c r="A659" s="2410">
        <f>IF(未审附注之非流动资产!A659="",0,未审附注之非流动资产!A659)</f>
        <v>0</v>
      </c>
      <c r="B659" s="2403">
        <f>IF(未审附注之非流动资产!B659="",0,未审附注之非流动资产!B659)</f>
        <v>0</v>
      </c>
      <c r="C659" s="2403">
        <f>IF(未审附注之非流动资产!C659="",0,未审附注之非流动资产!C659)</f>
        <v>0</v>
      </c>
      <c r="D659" s="2444"/>
      <c r="E659" s="2444"/>
      <c r="F659" s="2444"/>
      <c r="G659" s="2444"/>
      <c r="H659" s="2444"/>
      <c r="I659" s="2444"/>
      <c r="J659" s="2436" t="s">
        <v>252</v>
      </c>
    </row>
    <row r="660" spans="1:10">
      <c r="A660" s="2400" t="s">
        <v>385</v>
      </c>
      <c r="B660" s="2369">
        <f>ROUND(SUM(B650:B659),2)</f>
        <v>0</v>
      </c>
      <c r="C660" s="2369">
        <f>ROUND(SUM(C650:C659),2)</f>
        <v>0</v>
      </c>
      <c r="D660" s="2444"/>
      <c r="E660" s="2444"/>
      <c r="F660" s="2444"/>
      <c r="G660" s="2444"/>
      <c r="H660" s="2444"/>
      <c r="I660" s="2444"/>
      <c r="J660" s="2436" t="s">
        <v>936</v>
      </c>
    </row>
    <row r="661" spans="1:9">
      <c r="A661" s="2400"/>
      <c r="B661" s="2401"/>
      <c r="C661" s="2401"/>
      <c r="D661" s="2444"/>
      <c r="E661" s="2444"/>
      <c r="F661" s="2444"/>
      <c r="G661" s="2444"/>
      <c r="H661" s="2444"/>
      <c r="I661" s="2444"/>
    </row>
    <row r="662" spans="1:9">
      <c r="A662" s="2447" t="s">
        <v>937</v>
      </c>
      <c r="B662" s="2401"/>
      <c r="C662" s="2401"/>
      <c r="D662" s="2444"/>
      <c r="E662" s="2444"/>
      <c r="F662" s="2444"/>
      <c r="G662" s="2444"/>
      <c r="H662" s="2444"/>
      <c r="I662" s="2444"/>
    </row>
    <row r="663" spans="1:10">
      <c r="A663" s="2410">
        <f>IF(未审附注之非流动资产!A663="",0,未审附注之非流动资产!A663)</f>
        <v>0</v>
      </c>
      <c r="B663" s="2403">
        <f>IF(未审附注之非流动资产!B663="",0,未审附注之非流动资产!B663)</f>
        <v>0</v>
      </c>
      <c r="C663" s="2403">
        <f>IF(未审附注之非流动资产!C663="",0,未审附注之非流动资产!C663)</f>
        <v>0</v>
      </c>
      <c r="D663" s="2444"/>
      <c r="E663" s="2444"/>
      <c r="F663" s="2444"/>
      <c r="G663" s="2444"/>
      <c r="H663" s="2444"/>
      <c r="I663" s="2444"/>
      <c r="J663" s="2436" t="s">
        <v>237</v>
      </c>
    </row>
    <row r="664" spans="1:10">
      <c r="A664" s="2410">
        <f>IF(未审附注之非流动资产!A664="",0,未审附注之非流动资产!A664)</f>
        <v>0</v>
      </c>
      <c r="B664" s="2403">
        <f>IF(未审附注之非流动资产!B664="",0,未审附注之非流动资产!B664)</f>
        <v>0</v>
      </c>
      <c r="C664" s="2403">
        <f>IF(未审附注之非流动资产!C664="",0,未审附注之非流动资产!C664)</f>
        <v>0</v>
      </c>
      <c r="D664" s="2444"/>
      <c r="E664" s="2444"/>
      <c r="F664" s="2444"/>
      <c r="G664" s="2444"/>
      <c r="H664" s="2444"/>
      <c r="I664" s="2444"/>
      <c r="J664" s="2436" t="s">
        <v>237</v>
      </c>
    </row>
    <row r="665" spans="1:10">
      <c r="A665" s="2410">
        <f>IF(未审附注之非流动资产!A665="",0,未审附注之非流动资产!A665)</f>
        <v>0</v>
      </c>
      <c r="B665" s="2403">
        <f>IF(未审附注之非流动资产!B665="",0,未审附注之非流动资产!B665)</f>
        <v>0</v>
      </c>
      <c r="C665" s="2403">
        <f>IF(未审附注之非流动资产!C665="",0,未审附注之非流动资产!C665)</f>
        <v>0</v>
      </c>
      <c r="D665" s="2444"/>
      <c r="E665" s="2444"/>
      <c r="F665" s="2444"/>
      <c r="G665" s="2444"/>
      <c r="H665" s="2444"/>
      <c r="I665" s="2444"/>
      <c r="J665" s="2436" t="s">
        <v>237</v>
      </c>
    </row>
    <row r="666" spans="1:10">
      <c r="A666" s="2410">
        <f>IF(未审附注之非流动资产!A666="",0,未审附注之非流动资产!A666)</f>
        <v>0</v>
      </c>
      <c r="B666" s="2403">
        <f>IF(未审附注之非流动资产!B666="",0,未审附注之非流动资产!B666)</f>
        <v>0</v>
      </c>
      <c r="C666" s="2403">
        <f>IF(未审附注之非流动资产!C666="",0,未审附注之非流动资产!C666)</f>
        <v>0</v>
      </c>
      <c r="D666" s="2444"/>
      <c r="E666" s="2444"/>
      <c r="F666" s="2444"/>
      <c r="G666" s="2444"/>
      <c r="H666" s="2444"/>
      <c r="I666" s="2444"/>
      <c r="J666" s="2436" t="s">
        <v>237</v>
      </c>
    </row>
    <row r="667" spans="1:10">
      <c r="A667" s="2410">
        <f>IF(未审附注之非流动资产!A667="",0,未审附注之非流动资产!A667)</f>
        <v>0</v>
      </c>
      <c r="B667" s="2403">
        <f>IF(未审附注之非流动资产!B667="",0,未审附注之非流动资产!B667)</f>
        <v>0</v>
      </c>
      <c r="C667" s="2403">
        <f>IF(未审附注之非流动资产!C667="",0,未审附注之非流动资产!C667)</f>
        <v>0</v>
      </c>
      <c r="D667" s="2444"/>
      <c r="E667" s="2444"/>
      <c r="F667" s="2444"/>
      <c r="G667" s="2444"/>
      <c r="H667" s="2444"/>
      <c r="I667" s="2444"/>
      <c r="J667" s="2436" t="s">
        <v>237</v>
      </c>
    </row>
    <row r="668" spans="1:10">
      <c r="A668" s="2410">
        <f>IF(未审附注之非流动资产!A668="",0,未审附注之非流动资产!A668)</f>
        <v>0</v>
      </c>
      <c r="B668" s="2403">
        <f>IF(未审附注之非流动资产!B668="",0,未审附注之非流动资产!B668)</f>
        <v>0</v>
      </c>
      <c r="C668" s="2403">
        <f>IF(未审附注之非流动资产!C668="",0,未审附注之非流动资产!C668)</f>
        <v>0</v>
      </c>
      <c r="D668" s="2444"/>
      <c r="E668" s="2444"/>
      <c r="F668" s="2444"/>
      <c r="G668" s="2444"/>
      <c r="H668" s="2444"/>
      <c r="I668" s="2444"/>
      <c r="J668" s="2436" t="s">
        <v>237</v>
      </c>
    </row>
    <row r="669" spans="1:10">
      <c r="A669" s="2410">
        <f>IF(未审附注之非流动资产!A669="",0,未审附注之非流动资产!A669)</f>
        <v>0</v>
      </c>
      <c r="B669" s="2403">
        <f>IF(未审附注之非流动资产!B669="",0,未审附注之非流动资产!B669)</f>
        <v>0</v>
      </c>
      <c r="C669" s="2403">
        <f>IF(未审附注之非流动资产!C669="",0,未审附注之非流动资产!C669)</f>
        <v>0</v>
      </c>
      <c r="D669" s="2444"/>
      <c r="E669" s="2444"/>
      <c r="F669" s="2444"/>
      <c r="G669" s="2444"/>
      <c r="H669" s="2444"/>
      <c r="I669" s="2444"/>
      <c r="J669" s="2436" t="s">
        <v>237</v>
      </c>
    </row>
    <row r="670" spans="1:10">
      <c r="A670" s="2410">
        <f>IF(未审附注之非流动资产!A670="",0,未审附注之非流动资产!A670)</f>
        <v>0</v>
      </c>
      <c r="B670" s="2403">
        <f>IF(未审附注之非流动资产!B670="",0,未审附注之非流动资产!B670)</f>
        <v>0</v>
      </c>
      <c r="C670" s="2403">
        <f>IF(未审附注之非流动资产!C670="",0,未审附注之非流动资产!C670)</f>
        <v>0</v>
      </c>
      <c r="D670" s="2444"/>
      <c r="E670" s="2444"/>
      <c r="F670" s="2444"/>
      <c r="G670" s="2444"/>
      <c r="H670" s="2444"/>
      <c r="I670" s="2444"/>
      <c r="J670" s="2436" t="s">
        <v>237</v>
      </c>
    </row>
    <row r="671" spans="1:10">
      <c r="A671" s="2410">
        <f>IF(未审附注之非流动资产!A671="",0,未审附注之非流动资产!A671)</f>
        <v>0</v>
      </c>
      <c r="B671" s="2403">
        <f>IF(未审附注之非流动资产!B671="",0,未审附注之非流动资产!B671)</f>
        <v>0</v>
      </c>
      <c r="C671" s="2403">
        <f>IF(未审附注之非流动资产!C671="",0,未审附注之非流动资产!C671)</f>
        <v>0</v>
      </c>
      <c r="D671" s="2444"/>
      <c r="E671" s="2444"/>
      <c r="F671" s="2444"/>
      <c r="G671" s="2444"/>
      <c r="H671" s="2444"/>
      <c r="I671" s="2444"/>
      <c r="J671" s="2436" t="s">
        <v>237</v>
      </c>
    </row>
    <row r="672" spans="1:10">
      <c r="A672" s="2410">
        <f>IF(未审附注之非流动资产!A672="",0,未审附注之非流动资产!A672)</f>
        <v>0</v>
      </c>
      <c r="B672" s="2403">
        <f>IF(未审附注之非流动资产!B672="",0,未审附注之非流动资产!B672)</f>
        <v>0</v>
      </c>
      <c r="C672" s="2403">
        <f>IF(未审附注之非流动资产!C672="",0,未审附注之非流动资产!C672)</f>
        <v>0</v>
      </c>
      <c r="D672" s="2444"/>
      <c r="E672" s="2444"/>
      <c r="F672" s="2444"/>
      <c r="G672" s="2444"/>
      <c r="H672" s="2444"/>
      <c r="I672" s="2444"/>
      <c r="J672" s="2436" t="s">
        <v>237</v>
      </c>
    </row>
    <row r="673" spans="1:10">
      <c r="A673" s="2400" t="s">
        <v>385</v>
      </c>
      <c r="B673" s="2369">
        <f>ROUND(SUM(B663:B672),2)</f>
        <v>0</v>
      </c>
      <c r="C673" s="2369">
        <f>ROUND(SUM(C663:C672),2)</f>
        <v>0</v>
      </c>
      <c r="D673" s="2444"/>
      <c r="E673" s="2444"/>
      <c r="F673" s="2444"/>
      <c r="G673" s="2444"/>
      <c r="H673" s="2444"/>
      <c r="I673" s="2444"/>
      <c r="J673" s="2436" t="s">
        <v>938</v>
      </c>
    </row>
    <row r="674" spans="1:9">
      <c r="A674" s="2462"/>
      <c r="B674" s="2444"/>
      <c r="C674" s="2444"/>
      <c r="D674" s="2444"/>
      <c r="E674" s="2444"/>
      <c r="F674" s="2444"/>
      <c r="G674" s="2444"/>
      <c r="H674" s="2444"/>
      <c r="I674" s="2444"/>
    </row>
    <row r="675" spans="1:9">
      <c r="A675" s="2462"/>
      <c r="B675" s="2444"/>
      <c r="C675" s="2444"/>
      <c r="D675" s="2444"/>
      <c r="E675" s="2444"/>
      <c r="F675" s="2444"/>
      <c r="G675" s="2444"/>
      <c r="H675" s="2444"/>
      <c r="I675" s="2444"/>
    </row>
    <row r="676" spans="1:9">
      <c r="A676" s="2452" t="s">
        <v>939</v>
      </c>
      <c r="B676" s="2444"/>
      <c r="C676" s="2444"/>
      <c r="D676" s="2444"/>
      <c r="E676" s="2444"/>
      <c r="F676" s="2444"/>
      <c r="G676" s="2444"/>
      <c r="H676" s="2444"/>
      <c r="I676" s="2444"/>
    </row>
    <row r="677" spans="1:9">
      <c r="A677" s="2400" t="s">
        <v>373</v>
      </c>
      <c r="B677" s="2400" t="s">
        <v>317</v>
      </c>
      <c r="C677" s="2400" t="s">
        <v>608</v>
      </c>
      <c r="D677" s="2400" t="s">
        <v>583</v>
      </c>
      <c r="E677" s="2401"/>
      <c r="F677" s="2400" t="s">
        <v>316</v>
      </c>
      <c r="G677" s="2417"/>
      <c r="H677" s="2417"/>
      <c r="I677" s="2417"/>
    </row>
    <row r="678" spans="1:9">
      <c r="A678" s="2401"/>
      <c r="B678" s="2401"/>
      <c r="C678" s="2401"/>
      <c r="D678" s="2400" t="s">
        <v>612</v>
      </c>
      <c r="E678" s="2400" t="s">
        <v>613</v>
      </c>
      <c r="F678" s="2401"/>
      <c r="G678" s="2412"/>
      <c r="H678" s="2412"/>
      <c r="I678" s="2412"/>
    </row>
    <row r="679" spans="1:10">
      <c r="A679" s="2447" t="s">
        <v>940</v>
      </c>
      <c r="B679" s="2403">
        <f>IF(未审附注之非流动资产!B679="",0,未审附注之非流动资产!B679)</f>
        <v>0</v>
      </c>
      <c r="C679" s="2403">
        <f>IF(未审附注之非流动资产!C679="",0,未审附注之非流动资产!C679)</f>
        <v>0</v>
      </c>
      <c r="D679" s="2403">
        <f>IF(未审附注之非流动资产!D679="",0,未审附注之非流动资产!D679)</f>
        <v>0</v>
      </c>
      <c r="E679" s="2403">
        <f>IF(未审附注之非流动资产!E679="",0,未审附注之非流动资产!E679)</f>
        <v>0</v>
      </c>
      <c r="F679" s="2369">
        <f>ROUND(B679+C679-D679-E679,2)</f>
        <v>0</v>
      </c>
      <c r="G679" s="2418"/>
      <c r="H679" s="2418"/>
      <c r="I679" s="2418"/>
      <c r="J679" s="2453" t="s">
        <v>941</v>
      </c>
    </row>
    <row r="680" spans="1:10">
      <c r="A680" s="2447" t="s">
        <v>942</v>
      </c>
      <c r="B680" s="2403">
        <f>IF(未审附注之非流动资产!B680="",0,未审附注之非流动资产!B680)</f>
        <v>0</v>
      </c>
      <c r="C680" s="2403">
        <f>IF(未审附注之非流动资产!C680="",0,未审附注之非流动资产!C680)</f>
        <v>0</v>
      </c>
      <c r="D680" s="2403">
        <f>IF(未审附注之非流动资产!D680="",0,未审附注之非流动资产!D680)</f>
        <v>0</v>
      </c>
      <c r="E680" s="2403">
        <f>IF(未审附注之非流动资产!E680="",0,未审附注之非流动资产!E680)</f>
        <v>0</v>
      </c>
      <c r="F680" s="2369">
        <f t="shared" ref="F680:F693" si="33">ROUND(B680+C680-D680-E680,2)</f>
        <v>0</v>
      </c>
      <c r="G680" s="2418"/>
      <c r="H680" s="2418"/>
      <c r="I680" s="2418"/>
      <c r="J680" s="2453" t="s">
        <v>943</v>
      </c>
    </row>
    <row r="681" spans="1:10">
      <c r="A681" s="2447" t="s">
        <v>944</v>
      </c>
      <c r="B681" s="2403">
        <f>IF(未审附注之非流动资产!B681="",0,未审附注之非流动资产!B681)</f>
        <v>0</v>
      </c>
      <c r="C681" s="2403">
        <f>IF(未审附注之非流动资产!C681="",0,未审附注之非流动资产!C681)</f>
        <v>0</v>
      </c>
      <c r="D681" s="2403">
        <f>IF(未审附注之非流动资产!D681="",0,未审附注之非流动资产!D681)</f>
        <v>0</v>
      </c>
      <c r="E681" s="2403">
        <f>IF(未审附注之非流动资产!E681="",0,未审附注之非流动资产!E681)</f>
        <v>0</v>
      </c>
      <c r="F681" s="2369">
        <f t="shared" si="33"/>
        <v>0</v>
      </c>
      <c r="G681" s="2418"/>
      <c r="H681" s="2418"/>
      <c r="I681" s="2418"/>
      <c r="J681" s="2453" t="s">
        <v>945</v>
      </c>
    </row>
    <row r="682" spans="1:10">
      <c r="A682" s="2447" t="s">
        <v>946</v>
      </c>
      <c r="B682" s="2403">
        <f>IF(未审附注之非流动资产!B682="",0,未审附注之非流动资产!B682)</f>
        <v>0</v>
      </c>
      <c r="C682" s="2403">
        <f>IF(未审附注之非流动资产!C682="",0,未审附注之非流动资产!C682)</f>
        <v>0</v>
      </c>
      <c r="D682" s="2403">
        <f>IF(未审附注之非流动资产!D682="",0,未审附注之非流动资产!D682)</f>
        <v>0</v>
      </c>
      <c r="E682" s="2403">
        <f>IF(未审附注之非流动资产!E682="",0,未审附注之非流动资产!E682)</f>
        <v>0</v>
      </c>
      <c r="F682" s="2369">
        <f t="shared" si="33"/>
        <v>0</v>
      </c>
      <c r="G682" s="2418"/>
      <c r="H682" s="2418"/>
      <c r="I682" s="2418"/>
      <c r="J682" s="2453" t="s">
        <v>947</v>
      </c>
    </row>
    <row r="683" spans="1:10">
      <c r="A683" s="2447" t="s">
        <v>948</v>
      </c>
      <c r="B683" s="2403">
        <f>IF(未审附注之非流动资产!B683="",0,未审附注之非流动资产!B683)</f>
        <v>0</v>
      </c>
      <c r="C683" s="2403">
        <f>IF(未审附注之非流动资产!C683="",0,未审附注之非流动资产!C683)</f>
        <v>0</v>
      </c>
      <c r="D683" s="2403">
        <f>IF(未审附注之非流动资产!D683="",0,未审附注之非流动资产!D683)</f>
        <v>0</v>
      </c>
      <c r="E683" s="2403">
        <f>IF(未审附注之非流动资产!E683="",0,未审附注之非流动资产!E683)</f>
        <v>0</v>
      </c>
      <c r="F683" s="2369">
        <f t="shared" si="33"/>
        <v>0</v>
      </c>
      <c r="G683" s="2418"/>
      <c r="H683" s="2418"/>
      <c r="I683" s="2418"/>
      <c r="J683" s="2453" t="s">
        <v>949</v>
      </c>
    </row>
    <row r="684" spans="1:10">
      <c r="A684" s="2447" t="s">
        <v>950</v>
      </c>
      <c r="B684" s="2403">
        <f>IF(未审附注之非流动资产!B684="",0,未审附注之非流动资产!B684)</f>
        <v>0</v>
      </c>
      <c r="C684" s="2403">
        <f>IF(未审附注之非流动资产!C684="",0,未审附注之非流动资产!C684)</f>
        <v>0</v>
      </c>
      <c r="D684" s="2403">
        <f>IF(未审附注之非流动资产!D684="",0,未审附注之非流动资产!D684)</f>
        <v>0</v>
      </c>
      <c r="E684" s="2403">
        <f>IF(未审附注之非流动资产!E684="",0,未审附注之非流动资产!E684)</f>
        <v>0</v>
      </c>
      <c r="F684" s="2369">
        <f t="shared" si="33"/>
        <v>0</v>
      </c>
      <c r="G684" s="2418"/>
      <c r="H684" s="2418"/>
      <c r="I684" s="2418"/>
      <c r="J684" s="2453" t="s">
        <v>951</v>
      </c>
    </row>
    <row r="685" spans="1:10">
      <c r="A685" s="2447" t="s">
        <v>952</v>
      </c>
      <c r="B685" s="2403">
        <f>IF(未审附注之非流动资产!B685="",0,未审附注之非流动资产!B685)</f>
        <v>0</v>
      </c>
      <c r="C685" s="2403">
        <f>IF(未审附注之非流动资产!C685="",0,未审附注之非流动资产!C685)</f>
        <v>0</v>
      </c>
      <c r="D685" s="2403">
        <f>IF(未审附注之非流动资产!D685="",0,未审附注之非流动资产!D685)</f>
        <v>0</v>
      </c>
      <c r="E685" s="2403">
        <f>IF(未审附注之非流动资产!E685="",0,未审附注之非流动资产!E685)</f>
        <v>0</v>
      </c>
      <c r="F685" s="2369">
        <f t="shared" si="33"/>
        <v>0</v>
      </c>
      <c r="G685" s="2418"/>
      <c r="H685" s="2418"/>
      <c r="I685" s="2418"/>
      <c r="J685" s="2453" t="s">
        <v>953</v>
      </c>
    </row>
    <row r="686" spans="1:10">
      <c r="A686" s="2447" t="s">
        <v>954</v>
      </c>
      <c r="B686" s="2403">
        <f>IF(未审附注之非流动资产!B686="",0,未审附注之非流动资产!B686)</f>
        <v>0</v>
      </c>
      <c r="C686" s="2403">
        <f>IF(未审附注之非流动资产!C686="",0,未审附注之非流动资产!C686)</f>
        <v>0</v>
      </c>
      <c r="D686" s="2403">
        <f>IF(未审附注之非流动资产!D686="",0,未审附注之非流动资产!D686)</f>
        <v>0</v>
      </c>
      <c r="E686" s="2403">
        <f>IF(未审附注之非流动资产!E686="",0,未审附注之非流动资产!E686)</f>
        <v>0</v>
      </c>
      <c r="F686" s="2369">
        <f t="shared" si="33"/>
        <v>0</v>
      </c>
      <c r="G686" s="2418"/>
      <c r="H686" s="2418"/>
      <c r="I686" s="2418"/>
      <c r="J686" s="2453" t="s">
        <v>955</v>
      </c>
    </row>
    <row r="687" spans="1:10">
      <c r="A687" s="2447" t="s">
        <v>956</v>
      </c>
      <c r="B687" s="2403">
        <f>IF(未审附注之非流动资产!B687="",0,未审附注之非流动资产!B687)</f>
        <v>0</v>
      </c>
      <c r="C687" s="2403">
        <f>IF(未审附注之非流动资产!C687="",0,未审附注之非流动资产!C687)</f>
        <v>0</v>
      </c>
      <c r="D687" s="2403">
        <f>IF(未审附注之非流动资产!D687="",0,未审附注之非流动资产!D687)</f>
        <v>0</v>
      </c>
      <c r="E687" s="2403">
        <f>IF(未审附注之非流动资产!E687="",0,未审附注之非流动资产!E687)</f>
        <v>0</v>
      </c>
      <c r="F687" s="2369">
        <f t="shared" si="33"/>
        <v>0</v>
      </c>
      <c r="G687" s="2418"/>
      <c r="H687" s="2418"/>
      <c r="I687" s="2418"/>
      <c r="J687" s="2453" t="s">
        <v>957</v>
      </c>
    </row>
    <row r="688" spans="1:10">
      <c r="A688" s="2447" t="s">
        <v>958</v>
      </c>
      <c r="B688" s="2403">
        <f>IF(未审附注之非流动资产!B688="",0,未审附注之非流动资产!B688)</f>
        <v>0</v>
      </c>
      <c r="C688" s="2403">
        <f>IF(未审附注之非流动资产!C688="",0,未审附注之非流动资产!C688)</f>
        <v>0</v>
      </c>
      <c r="D688" s="2403">
        <f>IF(未审附注之非流动资产!D688="",0,未审附注之非流动资产!D688)</f>
        <v>0</v>
      </c>
      <c r="E688" s="2403">
        <f>IF(未审附注之非流动资产!E688="",0,未审附注之非流动资产!E688)</f>
        <v>0</v>
      </c>
      <c r="F688" s="2369">
        <f t="shared" si="33"/>
        <v>0</v>
      </c>
      <c r="G688" s="2418"/>
      <c r="H688" s="2418"/>
      <c r="I688" s="2418"/>
      <c r="J688" s="2453" t="s">
        <v>959</v>
      </c>
    </row>
    <row r="689" spans="1:10">
      <c r="A689" s="2447" t="s">
        <v>960</v>
      </c>
      <c r="B689" s="2403">
        <f>IF(未审附注之非流动资产!B689="",0,未审附注之非流动资产!B689)</f>
        <v>0</v>
      </c>
      <c r="C689" s="2403">
        <f>IF(未审附注之非流动资产!C689="",0,未审附注之非流动资产!C689)</f>
        <v>0</v>
      </c>
      <c r="D689" s="2403">
        <f>IF(未审附注之非流动资产!D689="",0,未审附注之非流动资产!D689)</f>
        <v>0</v>
      </c>
      <c r="E689" s="2403">
        <f>IF(未审附注之非流动资产!E689="",0,未审附注之非流动资产!E689)</f>
        <v>0</v>
      </c>
      <c r="F689" s="2369">
        <f t="shared" si="33"/>
        <v>0</v>
      </c>
      <c r="G689" s="2418"/>
      <c r="H689" s="2418"/>
      <c r="I689" s="2418"/>
      <c r="J689" s="2453" t="s">
        <v>961</v>
      </c>
    </row>
    <row r="690" spans="1:10">
      <c r="A690" s="2447" t="s">
        <v>962</v>
      </c>
      <c r="B690" s="2403">
        <f>IF(未审附注之非流动资产!B690="",0,未审附注之非流动资产!B690)</f>
        <v>0</v>
      </c>
      <c r="C690" s="2403">
        <f>IF(未审附注之非流动资产!C690="",0,未审附注之非流动资产!C690)</f>
        <v>0</v>
      </c>
      <c r="D690" s="2403">
        <f>IF(未审附注之非流动资产!D690="",0,未审附注之非流动资产!D690)</f>
        <v>0</v>
      </c>
      <c r="E690" s="2403">
        <f>IF(未审附注之非流动资产!E690="",0,未审附注之非流动资产!E690)</f>
        <v>0</v>
      </c>
      <c r="F690" s="2369">
        <f t="shared" si="33"/>
        <v>0</v>
      </c>
      <c r="G690" s="2418"/>
      <c r="H690" s="2418"/>
      <c r="I690" s="2418"/>
      <c r="J690" s="2453" t="s">
        <v>963</v>
      </c>
    </row>
    <row r="691" spans="1:10">
      <c r="A691" s="2447" t="s">
        <v>964</v>
      </c>
      <c r="B691" s="2403">
        <f>IF(未审附注之非流动资产!B691="",0,未审附注之非流动资产!B691)</f>
        <v>0</v>
      </c>
      <c r="C691" s="2403">
        <f>IF(未审附注之非流动资产!C691="",0,未审附注之非流动资产!C691)</f>
        <v>0</v>
      </c>
      <c r="D691" s="2403">
        <f>IF(未审附注之非流动资产!D691="",0,未审附注之非流动资产!D691)</f>
        <v>0</v>
      </c>
      <c r="E691" s="2403">
        <f>IF(未审附注之非流动资产!E691="",0,未审附注之非流动资产!E691)</f>
        <v>0</v>
      </c>
      <c r="F691" s="2369">
        <f t="shared" si="33"/>
        <v>0</v>
      </c>
      <c r="G691" s="2418"/>
      <c r="H691" s="2418"/>
      <c r="I691" s="2418"/>
      <c r="J691" s="2453" t="s">
        <v>965</v>
      </c>
    </row>
    <row r="692" spans="1:10">
      <c r="A692" s="2447" t="s">
        <v>966</v>
      </c>
      <c r="B692" s="2403">
        <f>IF(未审附注之非流动资产!B692="",0,未审附注之非流动资产!B692)</f>
        <v>0</v>
      </c>
      <c r="C692" s="2403">
        <f>IF(未审附注之非流动资产!C692="",0,未审附注之非流动资产!C692)</f>
        <v>0</v>
      </c>
      <c r="D692" s="2403">
        <f>IF(未审附注之非流动资产!D692="",0,未审附注之非流动资产!D692)</f>
        <v>0</v>
      </c>
      <c r="E692" s="2403">
        <f>IF(未审附注之非流动资产!E692="",0,未审附注之非流动资产!E692)</f>
        <v>0</v>
      </c>
      <c r="F692" s="2369">
        <f t="shared" si="33"/>
        <v>0</v>
      </c>
      <c r="G692" s="2418"/>
      <c r="H692" s="2418"/>
      <c r="I692" s="2418"/>
      <c r="J692" s="2453" t="s">
        <v>967</v>
      </c>
    </row>
    <row r="693" spans="1:10">
      <c r="A693" s="2447" t="s">
        <v>968</v>
      </c>
      <c r="B693" s="2403">
        <f>IF(未审附注之非流动资产!B693="",0,未审附注之非流动资产!B693)</f>
        <v>0</v>
      </c>
      <c r="C693" s="2403">
        <f>IF(未审附注之非流动资产!C693="",0,未审附注之非流动资产!C693)</f>
        <v>0</v>
      </c>
      <c r="D693" s="2403">
        <f>IF(未审附注之非流动资产!D693="",0,未审附注之非流动资产!D693)</f>
        <v>0</v>
      </c>
      <c r="E693" s="2403">
        <f>IF(未审附注之非流动资产!E693="",0,未审附注之非流动资产!E693)</f>
        <v>0</v>
      </c>
      <c r="F693" s="2369">
        <f t="shared" si="33"/>
        <v>0</v>
      </c>
      <c r="G693" s="2418"/>
      <c r="H693" s="2418"/>
      <c r="I693" s="2418"/>
      <c r="J693" s="2453" t="s">
        <v>969</v>
      </c>
    </row>
    <row r="694" spans="1:10">
      <c r="A694" s="2400" t="s">
        <v>385</v>
      </c>
      <c r="B694" s="2369">
        <f>ROUND(SUM(B679:B693),2)</f>
        <v>0</v>
      </c>
      <c r="C694" s="2369">
        <f>ROUND(SUM(C679:C693),2)</f>
        <v>0</v>
      </c>
      <c r="D694" s="2369">
        <f>ROUND(SUM(D679:D693),2)</f>
        <v>0</v>
      </c>
      <c r="E694" s="2369">
        <f>ROUND(SUM(E679:E693),2)</f>
        <v>0</v>
      </c>
      <c r="F694" s="2369">
        <f>ROUND(SUM(F679:F693),2)</f>
        <v>0</v>
      </c>
      <c r="G694" s="2418"/>
      <c r="H694" s="2418"/>
      <c r="I694" s="2418"/>
      <c r="J694" s="2453" t="s">
        <v>970</v>
      </c>
    </row>
    <row r="695" spans="1:9">
      <c r="A695" s="2454"/>
      <c r="B695" s="2444"/>
      <c r="C695" s="2444"/>
      <c r="D695" s="2444"/>
      <c r="E695" s="2444"/>
      <c r="F695" s="2444"/>
      <c r="G695" s="2444"/>
      <c r="H695" s="2444"/>
      <c r="I695" s="2444"/>
    </row>
    <row r="696" spans="1:9">
      <c r="A696" s="2454"/>
      <c r="B696" s="2444"/>
      <c r="C696" s="2444"/>
      <c r="D696" s="2444"/>
      <c r="E696" s="2444"/>
      <c r="F696" s="2444"/>
      <c r="G696" s="2444"/>
      <c r="H696" s="2444"/>
      <c r="I696" s="2444"/>
    </row>
    <row r="697" spans="1:9">
      <c r="A697" s="2443" t="s">
        <v>971</v>
      </c>
      <c r="B697" s="2444"/>
      <c r="C697" s="2444"/>
      <c r="D697" s="2444"/>
      <c r="E697" s="2444"/>
      <c r="F697" s="2444"/>
      <c r="G697" s="2444"/>
      <c r="H697" s="2444"/>
      <c r="I697" s="2444"/>
    </row>
    <row r="698" spans="1:9">
      <c r="A698" s="2400" t="s">
        <v>972</v>
      </c>
      <c r="B698" s="2400" t="s">
        <v>628</v>
      </c>
      <c r="C698" s="2400" t="s">
        <v>582</v>
      </c>
      <c r="D698" s="2400" t="s">
        <v>583</v>
      </c>
      <c r="E698" s="2400" t="s">
        <v>627</v>
      </c>
      <c r="F698" s="2400" t="s">
        <v>973</v>
      </c>
      <c r="G698" s="2444"/>
      <c r="H698" s="2444"/>
      <c r="I698" s="2444"/>
    </row>
    <row r="699" spans="1:9">
      <c r="A699" s="2447" t="s">
        <v>974</v>
      </c>
      <c r="B699" s="2401"/>
      <c r="C699" s="2401"/>
      <c r="D699" s="2401"/>
      <c r="E699" s="2401"/>
      <c r="F699" s="2401"/>
      <c r="G699" s="2444"/>
      <c r="H699" s="2444"/>
      <c r="I699" s="2444"/>
    </row>
    <row r="700" spans="1:10">
      <c r="A700" s="2410">
        <f>IF(未审附注之非流动资产!A700="",0,未审附注之非流动资产!A700)</f>
        <v>0</v>
      </c>
      <c r="B700" s="2403">
        <f>IF(未审附注之非流动资产!B700="",0,未审附注之非流动资产!B700)</f>
        <v>0</v>
      </c>
      <c r="C700" s="2403">
        <f>IF(未审附注之非流动资产!C700="",0,未审附注之非流动资产!C700)</f>
        <v>0</v>
      </c>
      <c r="D700" s="2403">
        <f>IF(未审附注之非流动资产!D700="",0,未审附注之非流动资产!D700)</f>
        <v>0</v>
      </c>
      <c r="E700" s="2369">
        <f>ROUND(B700+C700-D700,2)</f>
        <v>0</v>
      </c>
      <c r="F700" s="2410">
        <f>IF(未审附注之非流动资产!F700="",0,未审附注之非流动资产!F700)</f>
        <v>0</v>
      </c>
      <c r="G700" s="2444"/>
      <c r="H700" s="2444"/>
      <c r="I700" s="2444"/>
      <c r="J700" s="2436" t="s">
        <v>975</v>
      </c>
    </row>
    <row r="701" spans="1:10">
      <c r="A701" s="2410">
        <f>IF(未审附注之非流动资产!A701="",0,未审附注之非流动资产!A701)</f>
        <v>0</v>
      </c>
      <c r="B701" s="2403">
        <f>IF(未审附注之非流动资产!B701="",0,未审附注之非流动资产!B701)</f>
        <v>0</v>
      </c>
      <c r="C701" s="2403">
        <f>IF(未审附注之非流动资产!C701="",0,未审附注之非流动资产!C701)</f>
        <v>0</v>
      </c>
      <c r="D701" s="2403">
        <f>IF(未审附注之非流动资产!D701="",0,未审附注之非流动资产!D701)</f>
        <v>0</v>
      </c>
      <c r="E701" s="2369">
        <f t="shared" ref="E701:E709" si="34">ROUND(B701+C701-D701,2)</f>
        <v>0</v>
      </c>
      <c r="F701" s="2410">
        <f>IF(未审附注之非流动资产!F701="",0,未审附注之非流动资产!F701)</f>
        <v>0</v>
      </c>
      <c r="G701" s="2444"/>
      <c r="H701" s="2444"/>
      <c r="I701" s="2444"/>
      <c r="J701" s="2436" t="s">
        <v>975</v>
      </c>
    </row>
    <row r="702" spans="1:10">
      <c r="A702" s="2410">
        <f>IF(未审附注之非流动资产!A702="",0,未审附注之非流动资产!A702)</f>
        <v>0</v>
      </c>
      <c r="B702" s="2403">
        <f>IF(未审附注之非流动资产!B702="",0,未审附注之非流动资产!B702)</f>
        <v>0</v>
      </c>
      <c r="C702" s="2403">
        <f>IF(未审附注之非流动资产!C702="",0,未审附注之非流动资产!C702)</f>
        <v>0</v>
      </c>
      <c r="D702" s="2403">
        <f>IF(未审附注之非流动资产!D702="",0,未审附注之非流动资产!D702)</f>
        <v>0</v>
      </c>
      <c r="E702" s="2369">
        <f t="shared" si="34"/>
        <v>0</v>
      </c>
      <c r="F702" s="2410">
        <f>IF(未审附注之非流动资产!F702="",0,未审附注之非流动资产!F702)</f>
        <v>0</v>
      </c>
      <c r="G702" s="2444"/>
      <c r="H702" s="2444"/>
      <c r="I702" s="2444"/>
      <c r="J702" s="2436" t="s">
        <v>975</v>
      </c>
    </row>
    <row r="703" spans="1:10">
      <c r="A703" s="2410">
        <f>IF(未审附注之非流动资产!A703="",0,未审附注之非流动资产!A703)</f>
        <v>0</v>
      </c>
      <c r="B703" s="2403">
        <f>IF(未审附注之非流动资产!B703="",0,未审附注之非流动资产!B703)</f>
        <v>0</v>
      </c>
      <c r="C703" s="2403">
        <f>IF(未审附注之非流动资产!C703="",0,未审附注之非流动资产!C703)</f>
        <v>0</v>
      </c>
      <c r="D703" s="2403">
        <f>IF(未审附注之非流动资产!D703="",0,未审附注之非流动资产!D703)</f>
        <v>0</v>
      </c>
      <c r="E703" s="2369">
        <f t="shared" si="34"/>
        <v>0</v>
      </c>
      <c r="F703" s="2410">
        <f>IF(未审附注之非流动资产!F703="",0,未审附注之非流动资产!F703)</f>
        <v>0</v>
      </c>
      <c r="G703" s="2444"/>
      <c r="H703" s="2444"/>
      <c r="I703" s="2444"/>
      <c r="J703" s="2436" t="s">
        <v>975</v>
      </c>
    </row>
    <row r="704" spans="1:10">
      <c r="A704" s="2410">
        <f>IF(未审附注之非流动资产!A704="",0,未审附注之非流动资产!A704)</f>
        <v>0</v>
      </c>
      <c r="B704" s="2403">
        <f>IF(未审附注之非流动资产!B704="",0,未审附注之非流动资产!B704)</f>
        <v>0</v>
      </c>
      <c r="C704" s="2403">
        <f>IF(未审附注之非流动资产!C704="",0,未审附注之非流动资产!C704)</f>
        <v>0</v>
      </c>
      <c r="D704" s="2403">
        <f>IF(未审附注之非流动资产!D704="",0,未审附注之非流动资产!D704)</f>
        <v>0</v>
      </c>
      <c r="E704" s="2369">
        <f t="shared" si="34"/>
        <v>0</v>
      </c>
      <c r="F704" s="2410">
        <f>IF(未审附注之非流动资产!F704="",0,未审附注之非流动资产!F704)</f>
        <v>0</v>
      </c>
      <c r="G704" s="2444"/>
      <c r="H704" s="2444"/>
      <c r="I704" s="2444"/>
      <c r="J704" s="2436" t="s">
        <v>975</v>
      </c>
    </row>
    <row r="705" spans="1:10">
      <c r="A705" s="2410">
        <f>IF(未审附注之非流动资产!A705="",0,未审附注之非流动资产!A705)</f>
        <v>0</v>
      </c>
      <c r="B705" s="2403">
        <f>IF(未审附注之非流动资产!B705="",0,未审附注之非流动资产!B705)</f>
        <v>0</v>
      </c>
      <c r="C705" s="2403">
        <f>IF(未审附注之非流动资产!C705="",0,未审附注之非流动资产!C705)</f>
        <v>0</v>
      </c>
      <c r="D705" s="2403">
        <f>IF(未审附注之非流动资产!D705="",0,未审附注之非流动资产!D705)</f>
        <v>0</v>
      </c>
      <c r="E705" s="2369">
        <f t="shared" si="34"/>
        <v>0</v>
      </c>
      <c r="F705" s="2410">
        <f>IF(未审附注之非流动资产!F705="",0,未审附注之非流动资产!F705)</f>
        <v>0</v>
      </c>
      <c r="G705" s="2444"/>
      <c r="H705" s="2444"/>
      <c r="I705" s="2444"/>
      <c r="J705" s="2436" t="s">
        <v>975</v>
      </c>
    </row>
    <row r="706" spans="1:10">
      <c r="A706" s="2410">
        <f>IF(未审附注之非流动资产!A706="",0,未审附注之非流动资产!A706)</f>
        <v>0</v>
      </c>
      <c r="B706" s="2403">
        <f>IF(未审附注之非流动资产!B706="",0,未审附注之非流动资产!B706)</f>
        <v>0</v>
      </c>
      <c r="C706" s="2403">
        <f>IF(未审附注之非流动资产!C706="",0,未审附注之非流动资产!C706)</f>
        <v>0</v>
      </c>
      <c r="D706" s="2403">
        <f>IF(未审附注之非流动资产!D706="",0,未审附注之非流动资产!D706)</f>
        <v>0</v>
      </c>
      <c r="E706" s="2369">
        <f t="shared" si="34"/>
        <v>0</v>
      </c>
      <c r="F706" s="2410">
        <f>IF(未审附注之非流动资产!F706="",0,未审附注之非流动资产!F706)</f>
        <v>0</v>
      </c>
      <c r="G706" s="2444"/>
      <c r="H706" s="2444"/>
      <c r="I706" s="2444"/>
      <c r="J706" s="2436" t="s">
        <v>975</v>
      </c>
    </row>
    <row r="707" spans="1:10">
      <c r="A707" s="2410">
        <f>IF(未审附注之非流动资产!A707="",0,未审附注之非流动资产!A707)</f>
        <v>0</v>
      </c>
      <c r="B707" s="2403">
        <f>IF(未审附注之非流动资产!B707="",0,未审附注之非流动资产!B707)</f>
        <v>0</v>
      </c>
      <c r="C707" s="2403">
        <f>IF(未审附注之非流动资产!C707="",0,未审附注之非流动资产!C707)</f>
        <v>0</v>
      </c>
      <c r="D707" s="2403">
        <f>IF(未审附注之非流动资产!D707="",0,未审附注之非流动资产!D707)</f>
        <v>0</v>
      </c>
      <c r="E707" s="2369">
        <f t="shared" si="34"/>
        <v>0</v>
      </c>
      <c r="F707" s="2410">
        <f>IF(未审附注之非流动资产!F707="",0,未审附注之非流动资产!F707)</f>
        <v>0</v>
      </c>
      <c r="G707" s="2444"/>
      <c r="H707" s="2444"/>
      <c r="I707" s="2444"/>
      <c r="J707" s="2436" t="s">
        <v>975</v>
      </c>
    </row>
    <row r="708" spans="1:10">
      <c r="A708" s="2410">
        <f>IF(未审附注之非流动资产!A708="",0,未审附注之非流动资产!A708)</f>
        <v>0</v>
      </c>
      <c r="B708" s="2403">
        <f>IF(未审附注之非流动资产!B708="",0,未审附注之非流动资产!B708)</f>
        <v>0</v>
      </c>
      <c r="C708" s="2403">
        <f>IF(未审附注之非流动资产!C708="",0,未审附注之非流动资产!C708)</f>
        <v>0</v>
      </c>
      <c r="D708" s="2403">
        <f>IF(未审附注之非流动资产!D708="",0,未审附注之非流动资产!D708)</f>
        <v>0</v>
      </c>
      <c r="E708" s="2369">
        <f t="shared" si="34"/>
        <v>0</v>
      </c>
      <c r="F708" s="2410">
        <f>IF(未审附注之非流动资产!F708="",0,未审附注之非流动资产!F708)</f>
        <v>0</v>
      </c>
      <c r="G708" s="2444"/>
      <c r="H708" s="2444"/>
      <c r="I708" s="2444"/>
      <c r="J708" s="2436" t="s">
        <v>975</v>
      </c>
    </row>
    <row r="709" spans="1:10">
      <c r="A709" s="2410">
        <f>IF(未审附注之非流动资产!A709="",0,未审附注之非流动资产!A709)</f>
        <v>0</v>
      </c>
      <c r="B709" s="2403">
        <f>IF(未审附注之非流动资产!B709="",0,未审附注之非流动资产!B709)</f>
        <v>0</v>
      </c>
      <c r="C709" s="2403">
        <f>IF(未审附注之非流动资产!C709="",0,未审附注之非流动资产!C709)</f>
        <v>0</v>
      </c>
      <c r="D709" s="2403">
        <f>IF(未审附注之非流动资产!D709="",0,未审附注之非流动资产!D709)</f>
        <v>0</v>
      </c>
      <c r="E709" s="2369">
        <f t="shared" si="34"/>
        <v>0</v>
      </c>
      <c r="F709" s="2410">
        <f>IF(未审附注之非流动资产!F709="",0,未审附注之非流动资产!F709)</f>
        <v>0</v>
      </c>
      <c r="G709" s="2444"/>
      <c r="H709" s="2444"/>
      <c r="I709" s="2444"/>
      <c r="J709" s="2436" t="s">
        <v>975</v>
      </c>
    </row>
    <row r="710" spans="1:10">
      <c r="A710" s="2400" t="s">
        <v>677</v>
      </c>
      <c r="B710" s="2369">
        <f>ROUND(SUM(B700:B709),2)</f>
        <v>0</v>
      </c>
      <c r="C710" s="2369">
        <f>ROUND(SUM(C700:C709),2)</f>
        <v>0</v>
      </c>
      <c r="D710" s="2369">
        <f>ROUND(SUM(D700:D709),2)</f>
        <v>0</v>
      </c>
      <c r="E710" s="2369">
        <f>ROUND(SUM(E700:E709),2)</f>
        <v>0</v>
      </c>
      <c r="F710" s="2369"/>
      <c r="G710" s="2444"/>
      <c r="H710" s="2444"/>
      <c r="I710" s="2444"/>
      <c r="J710" s="2436" t="s">
        <v>976</v>
      </c>
    </row>
    <row r="711" spans="1:9">
      <c r="A711" s="2401"/>
      <c r="B711" s="2401"/>
      <c r="C711" s="2401"/>
      <c r="D711" s="2401"/>
      <c r="E711" s="2401"/>
      <c r="F711" s="2401"/>
      <c r="G711" s="2444"/>
      <c r="H711" s="2444"/>
      <c r="I711" s="2444"/>
    </row>
    <row r="712" spans="1:9">
      <c r="A712" s="2447" t="s">
        <v>977</v>
      </c>
      <c r="B712" s="2401"/>
      <c r="C712" s="2401"/>
      <c r="D712" s="2401"/>
      <c r="E712" s="2401"/>
      <c r="F712" s="2401"/>
      <c r="G712" s="2444"/>
      <c r="H712" s="2444"/>
      <c r="I712" s="2444"/>
    </row>
    <row r="713" spans="1:10">
      <c r="A713" s="2410">
        <f>IF(未审附注之非流动资产!A713="",0,未审附注之非流动资产!A713)</f>
        <v>0</v>
      </c>
      <c r="B713" s="2403">
        <f>IF(未审附注之非流动资产!B713="",0,未审附注之非流动资产!B713)</f>
        <v>0</v>
      </c>
      <c r="C713" s="2403">
        <f>IF(未审附注之非流动资产!C713="",0,未审附注之非流动资产!C713)</f>
        <v>0</v>
      </c>
      <c r="D713" s="2403">
        <f>IF(未审附注之非流动资产!D713="",0,未审附注之非流动资产!D713)</f>
        <v>0</v>
      </c>
      <c r="E713" s="2369">
        <f>ROUND(B713+C713-D713,2)</f>
        <v>0</v>
      </c>
      <c r="F713" s="2410">
        <f>IF(未审附注之非流动资产!F713="",0,未审附注之非流动资产!F713)</f>
        <v>0</v>
      </c>
      <c r="G713" s="2444"/>
      <c r="H713" s="2444"/>
      <c r="I713" s="2444"/>
      <c r="J713" s="2436" t="s">
        <v>978</v>
      </c>
    </row>
    <row r="714" spans="1:10">
      <c r="A714" s="2410">
        <f>IF(未审附注之非流动资产!A714="",0,未审附注之非流动资产!A714)</f>
        <v>0</v>
      </c>
      <c r="B714" s="2403">
        <f>IF(未审附注之非流动资产!B714="",0,未审附注之非流动资产!B714)</f>
        <v>0</v>
      </c>
      <c r="C714" s="2403">
        <f>IF(未审附注之非流动资产!C714="",0,未审附注之非流动资产!C714)</f>
        <v>0</v>
      </c>
      <c r="D714" s="2403">
        <f>IF(未审附注之非流动资产!D714="",0,未审附注之非流动资产!D714)</f>
        <v>0</v>
      </c>
      <c r="E714" s="2369">
        <f t="shared" ref="E714:E722" si="35">ROUND(B714+C714-D714,2)</f>
        <v>0</v>
      </c>
      <c r="F714" s="2410">
        <f>IF(未审附注之非流动资产!F714="",0,未审附注之非流动资产!F714)</f>
        <v>0</v>
      </c>
      <c r="G714" s="2444"/>
      <c r="H714" s="2444"/>
      <c r="I714" s="2444"/>
      <c r="J714" s="2436" t="s">
        <v>978</v>
      </c>
    </row>
    <row r="715" spans="1:10">
      <c r="A715" s="2410">
        <f>IF(未审附注之非流动资产!A715="",0,未审附注之非流动资产!A715)</f>
        <v>0</v>
      </c>
      <c r="B715" s="2403">
        <f>IF(未审附注之非流动资产!B715="",0,未审附注之非流动资产!B715)</f>
        <v>0</v>
      </c>
      <c r="C715" s="2403">
        <f>IF(未审附注之非流动资产!C715="",0,未审附注之非流动资产!C715)</f>
        <v>0</v>
      </c>
      <c r="D715" s="2403">
        <f>IF(未审附注之非流动资产!D715="",0,未审附注之非流动资产!D715)</f>
        <v>0</v>
      </c>
      <c r="E715" s="2369">
        <f t="shared" si="35"/>
        <v>0</v>
      </c>
      <c r="F715" s="2410">
        <f>IF(未审附注之非流动资产!F715="",0,未审附注之非流动资产!F715)</f>
        <v>0</v>
      </c>
      <c r="G715" s="2444"/>
      <c r="H715" s="2444"/>
      <c r="I715" s="2444"/>
      <c r="J715" s="2436" t="s">
        <v>978</v>
      </c>
    </row>
    <row r="716" spans="1:10">
      <c r="A716" s="2410">
        <f>IF(未审附注之非流动资产!A716="",0,未审附注之非流动资产!A716)</f>
        <v>0</v>
      </c>
      <c r="B716" s="2403">
        <f>IF(未审附注之非流动资产!B716="",0,未审附注之非流动资产!B716)</f>
        <v>0</v>
      </c>
      <c r="C716" s="2403">
        <f>IF(未审附注之非流动资产!C716="",0,未审附注之非流动资产!C716)</f>
        <v>0</v>
      </c>
      <c r="D716" s="2403">
        <f>IF(未审附注之非流动资产!D716="",0,未审附注之非流动资产!D716)</f>
        <v>0</v>
      </c>
      <c r="E716" s="2369">
        <f t="shared" si="35"/>
        <v>0</v>
      </c>
      <c r="F716" s="2410">
        <f>IF(未审附注之非流动资产!F716="",0,未审附注之非流动资产!F716)</f>
        <v>0</v>
      </c>
      <c r="G716" s="2444"/>
      <c r="H716" s="2444"/>
      <c r="I716" s="2444"/>
      <c r="J716" s="2436" t="s">
        <v>978</v>
      </c>
    </row>
    <row r="717" spans="1:10">
      <c r="A717" s="2410">
        <f>IF(未审附注之非流动资产!A717="",0,未审附注之非流动资产!A717)</f>
        <v>0</v>
      </c>
      <c r="B717" s="2403">
        <f>IF(未审附注之非流动资产!B717="",0,未审附注之非流动资产!B717)</f>
        <v>0</v>
      </c>
      <c r="C717" s="2403">
        <f>IF(未审附注之非流动资产!C717="",0,未审附注之非流动资产!C717)</f>
        <v>0</v>
      </c>
      <c r="D717" s="2403">
        <f>IF(未审附注之非流动资产!D717="",0,未审附注之非流动资产!D717)</f>
        <v>0</v>
      </c>
      <c r="E717" s="2369">
        <f t="shared" si="35"/>
        <v>0</v>
      </c>
      <c r="F717" s="2410">
        <f>IF(未审附注之非流动资产!F717="",0,未审附注之非流动资产!F717)</f>
        <v>0</v>
      </c>
      <c r="G717" s="2444"/>
      <c r="H717" s="2444"/>
      <c r="I717" s="2444"/>
      <c r="J717" s="2436" t="s">
        <v>978</v>
      </c>
    </row>
    <row r="718" spans="1:10">
      <c r="A718" s="2410">
        <f>IF(未审附注之非流动资产!A718="",0,未审附注之非流动资产!A718)</f>
        <v>0</v>
      </c>
      <c r="B718" s="2403">
        <f>IF(未审附注之非流动资产!B718="",0,未审附注之非流动资产!B718)</f>
        <v>0</v>
      </c>
      <c r="C718" s="2403">
        <f>IF(未审附注之非流动资产!C718="",0,未审附注之非流动资产!C718)</f>
        <v>0</v>
      </c>
      <c r="D718" s="2403">
        <f>IF(未审附注之非流动资产!D718="",0,未审附注之非流动资产!D718)</f>
        <v>0</v>
      </c>
      <c r="E718" s="2369">
        <f t="shared" si="35"/>
        <v>0</v>
      </c>
      <c r="F718" s="2410">
        <f>IF(未审附注之非流动资产!F718="",0,未审附注之非流动资产!F718)</f>
        <v>0</v>
      </c>
      <c r="G718" s="2444"/>
      <c r="H718" s="2444"/>
      <c r="I718" s="2444"/>
      <c r="J718" s="2436" t="s">
        <v>978</v>
      </c>
    </row>
    <row r="719" spans="1:10">
      <c r="A719" s="2410">
        <f>IF(未审附注之非流动资产!A719="",0,未审附注之非流动资产!A719)</f>
        <v>0</v>
      </c>
      <c r="B719" s="2403">
        <f>IF(未审附注之非流动资产!B719="",0,未审附注之非流动资产!B719)</f>
        <v>0</v>
      </c>
      <c r="C719" s="2403">
        <f>IF(未审附注之非流动资产!C719="",0,未审附注之非流动资产!C719)</f>
        <v>0</v>
      </c>
      <c r="D719" s="2403">
        <f>IF(未审附注之非流动资产!D719="",0,未审附注之非流动资产!D719)</f>
        <v>0</v>
      </c>
      <c r="E719" s="2369">
        <f t="shared" si="35"/>
        <v>0</v>
      </c>
      <c r="F719" s="2410">
        <f>IF(未审附注之非流动资产!F719="",0,未审附注之非流动资产!F719)</f>
        <v>0</v>
      </c>
      <c r="G719" s="2444"/>
      <c r="H719" s="2444"/>
      <c r="I719" s="2444"/>
      <c r="J719" s="2436" t="s">
        <v>978</v>
      </c>
    </row>
    <row r="720" spans="1:10">
      <c r="A720" s="2410">
        <f>IF(未审附注之非流动资产!A720="",0,未审附注之非流动资产!A720)</f>
        <v>0</v>
      </c>
      <c r="B720" s="2403">
        <f>IF(未审附注之非流动资产!B720="",0,未审附注之非流动资产!B720)</f>
        <v>0</v>
      </c>
      <c r="C720" s="2403">
        <f>IF(未审附注之非流动资产!C720="",0,未审附注之非流动资产!C720)</f>
        <v>0</v>
      </c>
      <c r="D720" s="2403">
        <f>IF(未审附注之非流动资产!D720="",0,未审附注之非流动资产!D720)</f>
        <v>0</v>
      </c>
      <c r="E720" s="2369">
        <f t="shared" si="35"/>
        <v>0</v>
      </c>
      <c r="F720" s="2410">
        <f>IF(未审附注之非流动资产!F720="",0,未审附注之非流动资产!F720)</f>
        <v>0</v>
      </c>
      <c r="G720" s="2444"/>
      <c r="H720" s="2444"/>
      <c r="I720" s="2444"/>
      <c r="J720" s="2436" t="s">
        <v>978</v>
      </c>
    </row>
    <row r="721" spans="1:10">
      <c r="A721" s="2410">
        <f>IF(未审附注之非流动资产!A721="",0,未审附注之非流动资产!A721)</f>
        <v>0</v>
      </c>
      <c r="B721" s="2403">
        <f>IF(未审附注之非流动资产!B721="",0,未审附注之非流动资产!B721)</f>
        <v>0</v>
      </c>
      <c r="C721" s="2403">
        <f>IF(未审附注之非流动资产!C721="",0,未审附注之非流动资产!C721)</f>
        <v>0</v>
      </c>
      <c r="D721" s="2403">
        <f>IF(未审附注之非流动资产!D721="",0,未审附注之非流动资产!D721)</f>
        <v>0</v>
      </c>
      <c r="E721" s="2369">
        <f t="shared" si="35"/>
        <v>0</v>
      </c>
      <c r="F721" s="2410">
        <f>IF(未审附注之非流动资产!F721="",0,未审附注之非流动资产!F721)</f>
        <v>0</v>
      </c>
      <c r="G721" s="2444"/>
      <c r="H721" s="2444"/>
      <c r="I721" s="2444"/>
      <c r="J721" s="2436" t="s">
        <v>978</v>
      </c>
    </row>
    <row r="722" spans="1:10">
      <c r="A722" s="2410">
        <f>IF(未审附注之非流动资产!A722="",0,未审附注之非流动资产!A722)</f>
        <v>0</v>
      </c>
      <c r="B722" s="2403">
        <f>IF(未审附注之非流动资产!B722="",0,未审附注之非流动资产!B722)</f>
        <v>0</v>
      </c>
      <c r="C722" s="2403">
        <f>IF(未审附注之非流动资产!C722="",0,未审附注之非流动资产!C722)</f>
        <v>0</v>
      </c>
      <c r="D722" s="2403">
        <f>IF(未审附注之非流动资产!D722="",0,未审附注之非流动资产!D722)</f>
        <v>0</v>
      </c>
      <c r="E722" s="2369">
        <f t="shared" si="35"/>
        <v>0</v>
      </c>
      <c r="F722" s="2410">
        <f>IF(未审附注之非流动资产!F722="",0,未审附注之非流动资产!F722)</f>
        <v>0</v>
      </c>
      <c r="G722" s="2444"/>
      <c r="H722" s="2444"/>
      <c r="I722" s="2444"/>
      <c r="J722" s="2436" t="s">
        <v>978</v>
      </c>
    </row>
    <row r="723" spans="1:10">
      <c r="A723" s="2400" t="s">
        <v>677</v>
      </c>
      <c r="B723" s="2369">
        <f>ROUND(SUM(B713:B722),2)</f>
        <v>0</v>
      </c>
      <c r="C723" s="2369">
        <f>ROUND(SUM(C713:C722),2)</f>
        <v>0</v>
      </c>
      <c r="D723" s="2369">
        <f>ROUND(SUM(D713:D722),2)</f>
        <v>0</v>
      </c>
      <c r="E723" s="2369">
        <f>ROUND(SUM(E713:E722),2)</f>
        <v>0</v>
      </c>
      <c r="F723" s="2369"/>
      <c r="G723" s="2444"/>
      <c r="H723" s="2444"/>
      <c r="I723" s="2444"/>
      <c r="J723" s="2436" t="s">
        <v>979</v>
      </c>
    </row>
    <row r="724" spans="1:9">
      <c r="A724" s="2400"/>
      <c r="B724" s="2369"/>
      <c r="C724" s="2369"/>
      <c r="D724" s="2369"/>
      <c r="E724" s="2369"/>
      <c r="F724" s="2401"/>
      <c r="G724" s="2444"/>
      <c r="H724" s="2444"/>
      <c r="I724" s="2444"/>
    </row>
    <row r="725" spans="1:10">
      <c r="A725" s="2400" t="s">
        <v>385</v>
      </c>
      <c r="B725" s="2369">
        <f>ROUND(B710+B723,2)</f>
        <v>0</v>
      </c>
      <c r="C725" s="2369">
        <f>ROUND(C710+C723,2)</f>
        <v>0</v>
      </c>
      <c r="D725" s="2369">
        <f>ROUND(D710+D723,2)</f>
        <v>0</v>
      </c>
      <c r="E725" s="2369">
        <f>ROUND(E710+E723,2)</f>
        <v>0</v>
      </c>
      <c r="F725" s="2401"/>
      <c r="G725" s="2444"/>
      <c r="H725" s="2444"/>
      <c r="I725" s="2444"/>
      <c r="J725" s="2436" t="s">
        <v>980</v>
      </c>
    </row>
    <row r="726" spans="1:10">
      <c r="A726" s="2444"/>
      <c r="B726" s="2444"/>
      <c r="C726" s="2444"/>
      <c r="D726" s="2444"/>
      <c r="E726" s="2444"/>
      <c r="F726" s="2444"/>
      <c r="G726" s="2444"/>
      <c r="H726" s="2444"/>
      <c r="I726" s="2444"/>
      <c r="J726" s="2453" t="s">
        <v>630</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4.25"/>
  <cols>
    <col min="1" max="1" width="37.75" customWidth="1"/>
    <col min="2" max="8" width="12.25" customWidth="1"/>
    <col min="9" max="9" width="35.75" hidden="1" customWidth="1"/>
  </cols>
  <sheetData>
    <row r="1" ht="25.5" spans="1:10">
      <c r="A1" s="2395" t="s">
        <v>1974</v>
      </c>
      <c r="B1" s="2395"/>
      <c r="C1" s="2395"/>
      <c r="D1" s="2395"/>
      <c r="E1" s="2395"/>
      <c r="F1" s="2395"/>
      <c r="G1" s="2395"/>
      <c r="H1" s="2395"/>
      <c r="I1" s="2396"/>
      <c r="J1" s="2396"/>
    </row>
    <row r="2" spans="1:8">
      <c r="A2" s="2397" t="s">
        <v>982</v>
      </c>
      <c r="B2" s="2398"/>
      <c r="C2" s="2398"/>
      <c r="D2" s="2398"/>
      <c r="E2" s="2398"/>
      <c r="F2" s="2398"/>
      <c r="G2" s="2398"/>
      <c r="H2" s="2398"/>
    </row>
    <row r="3" spans="1:8">
      <c r="A3" s="2399" t="s">
        <v>314</v>
      </c>
      <c r="B3" s="2398"/>
      <c r="C3" s="2398"/>
      <c r="D3" s="2398"/>
      <c r="E3" s="2398"/>
      <c r="F3" s="2398"/>
      <c r="G3" s="2398"/>
      <c r="H3" s="2398"/>
    </row>
    <row r="4" spans="1:8">
      <c r="A4" s="2400" t="s">
        <v>373</v>
      </c>
      <c r="B4" s="2400" t="s">
        <v>316</v>
      </c>
      <c r="C4" s="2400" t="s">
        <v>317</v>
      </c>
      <c r="D4" s="2398"/>
      <c r="E4" s="2398"/>
      <c r="F4" s="2398"/>
      <c r="G4" s="2398"/>
      <c r="H4" s="2398"/>
    </row>
    <row r="5" spans="1:9">
      <c r="A5" s="2402" t="s">
        <v>983</v>
      </c>
      <c r="B5" s="2403">
        <f>IF(未审附注之负债及权益!B5="",0,未审附注之负债及权益!B5)</f>
        <v>0</v>
      </c>
      <c r="C5" s="2403">
        <f>IF(未审附注之负债及权益!C5="",0,未审附注之负债及权益!C5)</f>
        <v>0</v>
      </c>
      <c r="D5" s="2398"/>
      <c r="E5" s="2398"/>
      <c r="F5" s="2398"/>
      <c r="G5" s="2398"/>
      <c r="H5" s="2398"/>
      <c r="I5" s="2404" t="s">
        <v>984</v>
      </c>
    </row>
    <row r="6" spans="1:9">
      <c r="A6" s="2402" t="s">
        <v>985</v>
      </c>
      <c r="B6" s="2403">
        <f>IF(未审附注之负债及权益!B6="",0,未审附注之负债及权益!B6)</f>
        <v>0</v>
      </c>
      <c r="C6" s="2403">
        <f>IF(未审附注之负债及权益!C6="",0,未审附注之负债及权益!C6)</f>
        <v>0</v>
      </c>
      <c r="D6" s="2398"/>
      <c r="E6" s="2398"/>
      <c r="F6" s="2398"/>
      <c r="G6" s="2398"/>
      <c r="H6" s="2398"/>
      <c r="I6" s="2404" t="s">
        <v>986</v>
      </c>
    </row>
    <row r="7" spans="1:9">
      <c r="A7" s="2402" t="s">
        <v>987</v>
      </c>
      <c r="B7" s="2403">
        <f>IF(未审附注之负债及权益!B7="",0,未审附注之负债及权益!B7)</f>
        <v>0</v>
      </c>
      <c r="C7" s="2403">
        <f>IF(未审附注之负债及权益!C7="",0,未审附注之负债及权益!C7)</f>
        <v>0</v>
      </c>
      <c r="D7" s="2398"/>
      <c r="E7" s="2398"/>
      <c r="F7" s="2398"/>
      <c r="G7" s="2398"/>
      <c r="H7" s="2398"/>
      <c r="I7" s="2404" t="s">
        <v>988</v>
      </c>
    </row>
    <row r="8" spans="1:9">
      <c r="A8" s="2402" t="s">
        <v>989</v>
      </c>
      <c r="B8" s="2403">
        <f>IF(未审附注之负债及权益!B8="",0,未审附注之负债及权益!B8)</f>
        <v>0</v>
      </c>
      <c r="C8" s="2403">
        <f>IF(未审附注之负债及权益!C8="",0,未审附注之负债及权益!C8)</f>
        <v>0</v>
      </c>
      <c r="D8" s="2398"/>
      <c r="E8" s="2398"/>
      <c r="F8" s="2398"/>
      <c r="G8" s="2398"/>
      <c r="H8" s="2398"/>
      <c r="I8" s="2404" t="s">
        <v>990</v>
      </c>
    </row>
    <row r="9" spans="1:9">
      <c r="A9" s="2400" t="s">
        <v>385</v>
      </c>
      <c r="B9" s="2369">
        <f>ROUND(SUM(B5:B8),2)</f>
        <v>0</v>
      </c>
      <c r="C9" s="2369">
        <f>ROUND(SUM(C5:C8),2)</f>
        <v>0</v>
      </c>
      <c r="D9" s="2398"/>
      <c r="E9" s="2398"/>
      <c r="F9" s="2398"/>
      <c r="G9" s="2398"/>
      <c r="H9" s="2398"/>
      <c r="I9" s="2404" t="s">
        <v>991</v>
      </c>
    </row>
    <row r="10" spans="1:8">
      <c r="A10" s="2398"/>
      <c r="B10" s="2398"/>
      <c r="C10" s="2398"/>
      <c r="D10" s="2398"/>
      <c r="E10" s="2398"/>
      <c r="F10" s="2398"/>
      <c r="G10" s="2398"/>
      <c r="H10" s="2398"/>
    </row>
    <row r="11" spans="1:8">
      <c r="A11" s="2406" t="s">
        <v>992</v>
      </c>
      <c r="B11" s="2398"/>
      <c r="C11" s="2398"/>
      <c r="D11" s="2398"/>
      <c r="E11" s="2398"/>
      <c r="F11" s="2398"/>
      <c r="G11" s="2398"/>
      <c r="H11" s="2398"/>
    </row>
    <row r="12" spans="1:8">
      <c r="A12" s="2426" t="s">
        <v>993</v>
      </c>
      <c r="B12" s="2426" t="s">
        <v>994</v>
      </c>
      <c r="C12" s="2426" t="s">
        <v>995</v>
      </c>
      <c r="D12" s="2426" t="s">
        <v>996</v>
      </c>
      <c r="E12" s="2426" t="s">
        <v>997</v>
      </c>
      <c r="F12" s="2426" t="s">
        <v>998</v>
      </c>
      <c r="G12" s="2398"/>
      <c r="H12" s="2398"/>
    </row>
    <row r="13" spans="1:9">
      <c r="A13" s="2410">
        <f>IF(未审附注之负债及权益!A13="",0,未审附注之负债及权益!A13)</f>
        <v>0</v>
      </c>
      <c r="B13" s="2403">
        <f>IF(未审附注之负债及权益!B13="",0,未审附注之负债及权益!B13)</f>
        <v>0</v>
      </c>
      <c r="C13" s="2429">
        <f>IF(未审附注之负债及权益!C13="",0,未审附注之负债及权益!C13)</f>
        <v>0</v>
      </c>
      <c r="D13" s="2410">
        <f>IF(未审附注之负债及权益!D13="",0,未审附注之负债及权益!D13)</f>
        <v>0</v>
      </c>
      <c r="E13" s="2410">
        <f>IF(未审附注之负债及权益!E13="",0,未审附注之负债及权益!E13)</f>
        <v>0</v>
      </c>
      <c r="F13" s="2410">
        <f>IF(未审附注之负债及权益!F13="",0,未审附注之负债及权益!F13)</f>
        <v>0</v>
      </c>
      <c r="G13" s="2398"/>
      <c r="H13" s="2398"/>
      <c r="I13" s="2404" t="s">
        <v>999</v>
      </c>
    </row>
    <row r="14" spans="1:9">
      <c r="A14" s="2410">
        <f>IF(未审附注之负债及权益!A14="",0,未审附注之负债及权益!A14)</f>
        <v>0</v>
      </c>
      <c r="B14" s="2403">
        <f>IF(未审附注之负债及权益!B14="",0,未审附注之负债及权益!B14)</f>
        <v>0</v>
      </c>
      <c r="C14" s="2429">
        <f>IF(未审附注之负债及权益!C14="",0,未审附注之负债及权益!C14)</f>
        <v>0</v>
      </c>
      <c r="D14" s="2410">
        <f>IF(未审附注之负债及权益!D14="",0,未审附注之负债及权益!D14)</f>
        <v>0</v>
      </c>
      <c r="E14" s="2410">
        <f>IF(未审附注之负债及权益!E14="",0,未审附注之负债及权益!E14)</f>
        <v>0</v>
      </c>
      <c r="F14" s="2410">
        <f>IF(未审附注之负债及权益!F14="",0,未审附注之负债及权益!F14)</f>
        <v>0</v>
      </c>
      <c r="G14" s="2398"/>
      <c r="H14" s="2398"/>
      <c r="I14" s="2404" t="s">
        <v>999</v>
      </c>
    </row>
    <row r="15" spans="1:9">
      <c r="A15" s="2410">
        <f>IF(未审附注之负债及权益!A15="",0,未审附注之负债及权益!A15)</f>
        <v>0</v>
      </c>
      <c r="B15" s="2403">
        <f>IF(未审附注之负债及权益!B15="",0,未审附注之负债及权益!B15)</f>
        <v>0</v>
      </c>
      <c r="C15" s="2429">
        <f>IF(未审附注之负债及权益!C15="",0,未审附注之负债及权益!C15)</f>
        <v>0</v>
      </c>
      <c r="D15" s="2410">
        <f>IF(未审附注之负债及权益!D15="",0,未审附注之负债及权益!D15)</f>
        <v>0</v>
      </c>
      <c r="E15" s="2410">
        <f>IF(未审附注之负债及权益!E15="",0,未审附注之负债及权益!E15)</f>
        <v>0</v>
      </c>
      <c r="F15" s="2410">
        <f>IF(未审附注之负债及权益!F15="",0,未审附注之负债及权益!F15)</f>
        <v>0</v>
      </c>
      <c r="G15" s="2398"/>
      <c r="H15" s="2398"/>
      <c r="I15" s="2404" t="s">
        <v>999</v>
      </c>
    </row>
    <row r="16" spans="1:9">
      <c r="A16" s="2410">
        <f>IF(未审附注之负债及权益!A16="",0,未审附注之负债及权益!A16)</f>
        <v>0</v>
      </c>
      <c r="B16" s="2403">
        <f>IF(未审附注之负债及权益!B16="",0,未审附注之负债及权益!B16)</f>
        <v>0</v>
      </c>
      <c r="C16" s="2429">
        <f>IF(未审附注之负债及权益!C16="",0,未审附注之负债及权益!C16)</f>
        <v>0</v>
      </c>
      <c r="D16" s="2410">
        <f>IF(未审附注之负债及权益!D16="",0,未审附注之负债及权益!D16)</f>
        <v>0</v>
      </c>
      <c r="E16" s="2410">
        <f>IF(未审附注之负债及权益!E16="",0,未审附注之负债及权益!E16)</f>
        <v>0</v>
      </c>
      <c r="F16" s="2410">
        <f>IF(未审附注之负债及权益!F16="",0,未审附注之负债及权益!F16)</f>
        <v>0</v>
      </c>
      <c r="G16" s="2398"/>
      <c r="H16" s="2398"/>
      <c r="I16" s="2404" t="s">
        <v>999</v>
      </c>
    </row>
    <row r="17" spans="1:9">
      <c r="A17" s="2410">
        <f>IF(未审附注之负债及权益!A17="",0,未审附注之负债及权益!A17)</f>
        <v>0</v>
      </c>
      <c r="B17" s="2403">
        <f>IF(未审附注之负债及权益!B17="",0,未审附注之负债及权益!B17)</f>
        <v>0</v>
      </c>
      <c r="C17" s="2429">
        <f>IF(未审附注之负债及权益!C17="",0,未审附注之负债及权益!C17)</f>
        <v>0</v>
      </c>
      <c r="D17" s="2410">
        <f>IF(未审附注之负债及权益!D17="",0,未审附注之负债及权益!D17)</f>
        <v>0</v>
      </c>
      <c r="E17" s="2410">
        <f>IF(未审附注之负债及权益!E17="",0,未审附注之负债及权益!E17)</f>
        <v>0</v>
      </c>
      <c r="F17" s="2410">
        <f>IF(未审附注之负债及权益!F17="",0,未审附注之负债及权益!F17)</f>
        <v>0</v>
      </c>
      <c r="G17" s="2398"/>
      <c r="H17" s="2398"/>
      <c r="I17" s="2404" t="s">
        <v>999</v>
      </c>
    </row>
    <row r="18" spans="1:9">
      <c r="A18" s="2410">
        <f>IF(未审附注之负债及权益!A18="",0,未审附注之负债及权益!A18)</f>
        <v>0</v>
      </c>
      <c r="B18" s="2403">
        <f>IF(未审附注之负债及权益!B18="",0,未审附注之负债及权益!B18)</f>
        <v>0</v>
      </c>
      <c r="C18" s="2429">
        <f>IF(未审附注之负债及权益!C18="",0,未审附注之负债及权益!C18)</f>
        <v>0</v>
      </c>
      <c r="D18" s="2410">
        <f>IF(未审附注之负债及权益!D18="",0,未审附注之负债及权益!D18)</f>
        <v>0</v>
      </c>
      <c r="E18" s="2410">
        <f>IF(未审附注之负债及权益!E18="",0,未审附注之负债及权益!E18)</f>
        <v>0</v>
      </c>
      <c r="F18" s="2410">
        <f>IF(未审附注之负债及权益!F18="",0,未审附注之负债及权益!F18)</f>
        <v>0</v>
      </c>
      <c r="G18" s="2398"/>
      <c r="H18" s="2398"/>
      <c r="I18" s="2404" t="s">
        <v>999</v>
      </c>
    </row>
    <row r="19" spans="1:9">
      <c r="A19" s="2410">
        <f>IF(未审附注之负债及权益!A19="",0,未审附注之负债及权益!A19)</f>
        <v>0</v>
      </c>
      <c r="B19" s="2403">
        <f>IF(未审附注之负债及权益!B19="",0,未审附注之负债及权益!B19)</f>
        <v>0</v>
      </c>
      <c r="C19" s="2429">
        <f>IF(未审附注之负债及权益!C19="",0,未审附注之负债及权益!C19)</f>
        <v>0</v>
      </c>
      <c r="D19" s="2410">
        <f>IF(未审附注之负债及权益!D19="",0,未审附注之负债及权益!D19)</f>
        <v>0</v>
      </c>
      <c r="E19" s="2410">
        <f>IF(未审附注之负债及权益!E19="",0,未审附注之负债及权益!E19)</f>
        <v>0</v>
      </c>
      <c r="F19" s="2410">
        <f>IF(未审附注之负债及权益!F19="",0,未审附注之负债及权益!F19)</f>
        <v>0</v>
      </c>
      <c r="G19" s="2398"/>
      <c r="H19" s="2398"/>
      <c r="I19" s="2404" t="s">
        <v>999</v>
      </c>
    </row>
    <row r="20" spans="1:9">
      <c r="A20" s="2410">
        <f>IF(未审附注之负债及权益!A20="",0,未审附注之负债及权益!A20)</f>
        <v>0</v>
      </c>
      <c r="B20" s="2403">
        <f>IF(未审附注之负债及权益!B20="",0,未审附注之负债及权益!B20)</f>
        <v>0</v>
      </c>
      <c r="C20" s="2429">
        <f>IF(未审附注之负债及权益!C20="",0,未审附注之负债及权益!C20)</f>
        <v>0</v>
      </c>
      <c r="D20" s="2410">
        <f>IF(未审附注之负债及权益!D20="",0,未审附注之负债及权益!D20)</f>
        <v>0</v>
      </c>
      <c r="E20" s="2410">
        <f>IF(未审附注之负债及权益!E20="",0,未审附注之负债及权益!E20)</f>
        <v>0</v>
      </c>
      <c r="F20" s="2410">
        <f>IF(未审附注之负债及权益!F20="",0,未审附注之负债及权益!F20)</f>
        <v>0</v>
      </c>
      <c r="G20" s="2398"/>
      <c r="H20" s="2398"/>
      <c r="I20" s="2404" t="s">
        <v>999</v>
      </c>
    </row>
    <row r="21" spans="1:9">
      <c r="A21" s="2410">
        <f>IF(未审附注之负债及权益!A21="",0,未审附注之负债及权益!A21)</f>
        <v>0</v>
      </c>
      <c r="B21" s="2403">
        <f>IF(未审附注之负债及权益!B21="",0,未审附注之负债及权益!B21)</f>
        <v>0</v>
      </c>
      <c r="C21" s="2429">
        <f>IF(未审附注之负债及权益!C21="",0,未审附注之负债及权益!C21)</f>
        <v>0</v>
      </c>
      <c r="D21" s="2410">
        <f>IF(未审附注之负债及权益!D21="",0,未审附注之负债及权益!D21)</f>
        <v>0</v>
      </c>
      <c r="E21" s="2410">
        <f>IF(未审附注之负债及权益!E21="",0,未审附注之负债及权益!E21)</f>
        <v>0</v>
      </c>
      <c r="F21" s="2410">
        <f>IF(未审附注之负债及权益!F21="",0,未审附注之负债及权益!F21)</f>
        <v>0</v>
      </c>
      <c r="G21" s="2398"/>
      <c r="H21" s="2398"/>
      <c r="I21" s="2404" t="s">
        <v>999</v>
      </c>
    </row>
    <row r="22" spans="1:9">
      <c r="A22" s="2410">
        <f>IF(未审附注之负债及权益!A22="",0,未审附注之负债及权益!A22)</f>
        <v>0</v>
      </c>
      <c r="B22" s="2403">
        <f>IF(未审附注之负债及权益!B22="",0,未审附注之负债及权益!B22)</f>
        <v>0</v>
      </c>
      <c r="C22" s="2429">
        <f>IF(未审附注之负债及权益!C22="",0,未审附注之负债及权益!C22)</f>
        <v>0</v>
      </c>
      <c r="D22" s="2410">
        <f>IF(未审附注之负债及权益!D22="",0,未审附注之负债及权益!D22)</f>
        <v>0</v>
      </c>
      <c r="E22" s="2410">
        <f>IF(未审附注之负债及权益!E22="",0,未审附注之负债及权益!E22)</f>
        <v>0</v>
      </c>
      <c r="F22" s="2410">
        <f>IF(未审附注之负债及权益!F22="",0,未审附注之负债及权益!F22)</f>
        <v>0</v>
      </c>
      <c r="G22" s="2398"/>
      <c r="H22" s="2398"/>
      <c r="I22" s="2404" t="s">
        <v>999</v>
      </c>
    </row>
    <row r="23" spans="1:9">
      <c r="A23" s="2400" t="s">
        <v>385</v>
      </c>
      <c r="B23" s="2369">
        <f>ROUND(SUM(B13:B22),2)</f>
        <v>0</v>
      </c>
      <c r="C23" s="2369"/>
      <c r="D23" s="2369"/>
      <c r="E23" s="2369"/>
      <c r="F23" s="2369"/>
      <c r="G23" s="2398"/>
      <c r="H23" s="2398"/>
      <c r="I23" s="2404" t="s">
        <v>1000</v>
      </c>
    </row>
    <row r="24" spans="1:8">
      <c r="A24" s="2398"/>
      <c r="B24" s="2398"/>
      <c r="C24" s="2398"/>
      <c r="D24" s="2398"/>
      <c r="E24" s="2398"/>
      <c r="F24" s="2398"/>
      <c r="G24" s="2398"/>
      <c r="H24" s="2398"/>
    </row>
    <row r="25" spans="1:8">
      <c r="A25" s="2406" t="s">
        <v>1001</v>
      </c>
      <c r="B25" s="2398"/>
      <c r="C25" s="2398"/>
      <c r="D25" s="2398"/>
      <c r="E25" s="2398"/>
      <c r="F25" s="2398"/>
      <c r="G25" s="2398"/>
      <c r="H25" s="2398"/>
    </row>
    <row r="26" spans="1:8">
      <c r="A26" s="2426" t="s">
        <v>993</v>
      </c>
      <c r="B26" s="2426" t="s">
        <v>994</v>
      </c>
      <c r="C26" s="2426" t="s">
        <v>995</v>
      </c>
      <c r="D26" s="2426" t="s">
        <v>996</v>
      </c>
      <c r="E26" s="2426" t="s">
        <v>1002</v>
      </c>
      <c r="F26" s="2426" t="s">
        <v>1003</v>
      </c>
      <c r="G26" s="2398"/>
      <c r="H26" s="2398"/>
    </row>
    <row r="27" spans="1:9">
      <c r="A27" s="2410">
        <f>IF(未审附注之负债及权益!A27="",0,未审附注之负债及权益!A27)</f>
        <v>0</v>
      </c>
      <c r="B27" s="2403">
        <f>IF(未审附注之负债及权益!B27="",0,未审附注之负债及权益!B27)</f>
        <v>0</v>
      </c>
      <c r="C27" s="2429">
        <f>IF(未审附注之负债及权益!C27="",0,未审附注之负债及权益!C27)</f>
        <v>0</v>
      </c>
      <c r="D27" s="2410">
        <f>IF(未审附注之负债及权益!D27="",0,未审附注之负债及权益!D27)</f>
        <v>0</v>
      </c>
      <c r="E27" s="2410">
        <f>IF(未审附注之负债及权益!E27="",0,未审附注之负债及权益!E27)</f>
        <v>0</v>
      </c>
      <c r="F27" s="2431">
        <f>IF(未审附注之负债及权益!F27="",0,未审附注之负债及权益!F27)</f>
        <v>0</v>
      </c>
      <c r="G27" s="2398"/>
      <c r="H27" s="2398"/>
      <c r="I27" s="2404" t="s">
        <v>1004</v>
      </c>
    </row>
    <row r="28" spans="1:9">
      <c r="A28" s="2410">
        <f>IF(未审附注之负债及权益!A28="",0,未审附注之负债及权益!A28)</f>
        <v>0</v>
      </c>
      <c r="B28" s="2403">
        <f>IF(未审附注之负债及权益!B28="",0,未审附注之负债及权益!B28)</f>
        <v>0</v>
      </c>
      <c r="C28" s="2429">
        <f>IF(未审附注之负债及权益!C28="",0,未审附注之负债及权益!C28)</f>
        <v>0</v>
      </c>
      <c r="D28" s="2410">
        <f>IF(未审附注之负债及权益!D28="",0,未审附注之负债及权益!D28)</f>
        <v>0</v>
      </c>
      <c r="E28" s="2410">
        <f>IF(未审附注之负债及权益!E28="",0,未审附注之负债及权益!E28)</f>
        <v>0</v>
      </c>
      <c r="F28" s="2431">
        <f>IF(未审附注之负债及权益!F28="",0,未审附注之负债及权益!F28)</f>
        <v>0</v>
      </c>
      <c r="G28" s="2398"/>
      <c r="H28" s="2398"/>
      <c r="I28" s="2404" t="s">
        <v>1004</v>
      </c>
    </row>
    <row r="29" spans="1:9">
      <c r="A29" s="2410">
        <f>IF(未审附注之负债及权益!A29="",0,未审附注之负债及权益!A29)</f>
        <v>0</v>
      </c>
      <c r="B29" s="2403">
        <f>IF(未审附注之负债及权益!B29="",0,未审附注之负债及权益!B29)</f>
        <v>0</v>
      </c>
      <c r="C29" s="2429">
        <f>IF(未审附注之负债及权益!C29="",0,未审附注之负债及权益!C29)</f>
        <v>0</v>
      </c>
      <c r="D29" s="2410">
        <f>IF(未审附注之负债及权益!D29="",0,未审附注之负债及权益!D29)</f>
        <v>0</v>
      </c>
      <c r="E29" s="2410">
        <f>IF(未审附注之负债及权益!E29="",0,未审附注之负债及权益!E29)</f>
        <v>0</v>
      </c>
      <c r="F29" s="2431">
        <f>IF(未审附注之负债及权益!F29="",0,未审附注之负债及权益!F29)</f>
        <v>0</v>
      </c>
      <c r="G29" s="2398"/>
      <c r="H29" s="2398"/>
      <c r="I29" s="2404" t="s">
        <v>1004</v>
      </c>
    </row>
    <row r="30" spans="1:9">
      <c r="A30" s="2410">
        <f>IF(未审附注之负债及权益!A30="",0,未审附注之负债及权益!A30)</f>
        <v>0</v>
      </c>
      <c r="B30" s="2403">
        <f>IF(未审附注之负债及权益!B30="",0,未审附注之负债及权益!B30)</f>
        <v>0</v>
      </c>
      <c r="C30" s="2429">
        <f>IF(未审附注之负债及权益!C30="",0,未审附注之负债及权益!C30)</f>
        <v>0</v>
      </c>
      <c r="D30" s="2410">
        <f>IF(未审附注之负债及权益!D30="",0,未审附注之负债及权益!D30)</f>
        <v>0</v>
      </c>
      <c r="E30" s="2410">
        <f>IF(未审附注之负债及权益!E30="",0,未审附注之负债及权益!E30)</f>
        <v>0</v>
      </c>
      <c r="F30" s="2431">
        <f>IF(未审附注之负债及权益!F30="",0,未审附注之负债及权益!F30)</f>
        <v>0</v>
      </c>
      <c r="G30" s="2398"/>
      <c r="H30" s="2398"/>
      <c r="I30" s="2404" t="s">
        <v>1004</v>
      </c>
    </row>
    <row r="31" spans="1:9">
      <c r="A31" s="2410">
        <f>IF(未审附注之负债及权益!A31="",0,未审附注之负债及权益!A31)</f>
        <v>0</v>
      </c>
      <c r="B31" s="2403">
        <f>IF(未审附注之负债及权益!B31="",0,未审附注之负债及权益!B31)</f>
        <v>0</v>
      </c>
      <c r="C31" s="2429">
        <f>IF(未审附注之负债及权益!C31="",0,未审附注之负债及权益!C31)</f>
        <v>0</v>
      </c>
      <c r="D31" s="2410">
        <f>IF(未审附注之负债及权益!D31="",0,未审附注之负债及权益!D31)</f>
        <v>0</v>
      </c>
      <c r="E31" s="2410">
        <f>IF(未审附注之负债及权益!E31="",0,未审附注之负债及权益!E31)</f>
        <v>0</v>
      </c>
      <c r="F31" s="2431">
        <f>IF(未审附注之负债及权益!F31="",0,未审附注之负债及权益!F31)</f>
        <v>0</v>
      </c>
      <c r="G31" s="2398"/>
      <c r="H31" s="2398"/>
      <c r="I31" s="2404" t="s">
        <v>1004</v>
      </c>
    </row>
    <row r="32" spans="1:9">
      <c r="A32" s="2410">
        <f>IF(未审附注之负债及权益!A32="",0,未审附注之负债及权益!A32)</f>
        <v>0</v>
      </c>
      <c r="B32" s="2403">
        <f>IF(未审附注之负债及权益!B32="",0,未审附注之负债及权益!B32)</f>
        <v>0</v>
      </c>
      <c r="C32" s="2429">
        <f>IF(未审附注之负债及权益!C32="",0,未审附注之负债及权益!C32)</f>
        <v>0</v>
      </c>
      <c r="D32" s="2410">
        <f>IF(未审附注之负债及权益!D32="",0,未审附注之负债及权益!D32)</f>
        <v>0</v>
      </c>
      <c r="E32" s="2410">
        <f>IF(未审附注之负债及权益!E32="",0,未审附注之负债及权益!E32)</f>
        <v>0</v>
      </c>
      <c r="F32" s="2431">
        <f>IF(未审附注之负债及权益!F32="",0,未审附注之负债及权益!F32)</f>
        <v>0</v>
      </c>
      <c r="G32" s="2398"/>
      <c r="H32" s="2398"/>
      <c r="I32" s="2404" t="s">
        <v>1004</v>
      </c>
    </row>
    <row r="33" spans="1:9">
      <c r="A33" s="2410">
        <f>IF(未审附注之负债及权益!A33="",0,未审附注之负债及权益!A33)</f>
        <v>0</v>
      </c>
      <c r="B33" s="2403">
        <f>IF(未审附注之负债及权益!B33="",0,未审附注之负债及权益!B33)</f>
        <v>0</v>
      </c>
      <c r="C33" s="2429">
        <f>IF(未审附注之负债及权益!C33="",0,未审附注之负债及权益!C33)</f>
        <v>0</v>
      </c>
      <c r="D33" s="2410">
        <f>IF(未审附注之负债及权益!D33="",0,未审附注之负债及权益!D33)</f>
        <v>0</v>
      </c>
      <c r="E33" s="2410">
        <f>IF(未审附注之负债及权益!E33="",0,未审附注之负债及权益!E33)</f>
        <v>0</v>
      </c>
      <c r="F33" s="2431">
        <f>IF(未审附注之负债及权益!F33="",0,未审附注之负债及权益!F33)</f>
        <v>0</v>
      </c>
      <c r="G33" s="2398"/>
      <c r="H33" s="2398"/>
      <c r="I33" s="2404" t="s">
        <v>1004</v>
      </c>
    </row>
    <row r="34" spans="1:9">
      <c r="A34" s="2410">
        <f>IF(未审附注之负债及权益!A34="",0,未审附注之负债及权益!A34)</f>
        <v>0</v>
      </c>
      <c r="B34" s="2403">
        <f>IF(未审附注之负债及权益!B34="",0,未审附注之负债及权益!B34)</f>
        <v>0</v>
      </c>
      <c r="C34" s="2429">
        <f>IF(未审附注之负债及权益!C34="",0,未审附注之负债及权益!C34)</f>
        <v>0</v>
      </c>
      <c r="D34" s="2410">
        <f>IF(未审附注之负债及权益!D34="",0,未审附注之负债及权益!D34)</f>
        <v>0</v>
      </c>
      <c r="E34" s="2410">
        <f>IF(未审附注之负债及权益!E34="",0,未审附注之负债及权益!E34)</f>
        <v>0</v>
      </c>
      <c r="F34" s="2431">
        <f>IF(未审附注之负债及权益!F34="",0,未审附注之负债及权益!F34)</f>
        <v>0</v>
      </c>
      <c r="G34" s="2398"/>
      <c r="H34" s="2398"/>
      <c r="I34" s="2404" t="s">
        <v>1004</v>
      </c>
    </row>
    <row r="35" spans="1:9">
      <c r="A35" s="2410">
        <f>IF(未审附注之负债及权益!A35="",0,未审附注之负债及权益!A35)</f>
        <v>0</v>
      </c>
      <c r="B35" s="2403">
        <f>IF(未审附注之负债及权益!B35="",0,未审附注之负债及权益!B35)</f>
        <v>0</v>
      </c>
      <c r="C35" s="2429">
        <f>IF(未审附注之负债及权益!C35="",0,未审附注之负债及权益!C35)</f>
        <v>0</v>
      </c>
      <c r="D35" s="2410">
        <f>IF(未审附注之负债及权益!D35="",0,未审附注之负债及权益!D35)</f>
        <v>0</v>
      </c>
      <c r="E35" s="2410">
        <f>IF(未审附注之负债及权益!E35="",0,未审附注之负债及权益!E35)</f>
        <v>0</v>
      </c>
      <c r="F35" s="2431">
        <f>IF(未审附注之负债及权益!F35="",0,未审附注之负债及权益!F35)</f>
        <v>0</v>
      </c>
      <c r="G35" s="2398"/>
      <c r="H35" s="2398"/>
      <c r="I35" s="2404" t="s">
        <v>1004</v>
      </c>
    </row>
    <row r="36" spans="1:9">
      <c r="A36" s="2410">
        <f>IF(未审附注之负债及权益!A36="",0,未审附注之负债及权益!A36)</f>
        <v>0</v>
      </c>
      <c r="B36" s="2403">
        <f>IF(未审附注之负债及权益!B36="",0,未审附注之负债及权益!B36)</f>
        <v>0</v>
      </c>
      <c r="C36" s="2429">
        <f>IF(未审附注之负债及权益!C36="",0,未审附注之负债及权益!C36)</f>
        <v>0</v>
      </c>
      <c r="D36" s="2410">
        <f>IF(未审附注之负债及权益!D36="",0,未审附注之负债及权益!D36)</f>
        <v>0</v>
      </c>
      <c r="E36" s="2410">
        <f>IF(未审附注之负债及权益!E36="",0,未审附注之负债及权益!E36)</f>
        <v>0</v>
      </c>
      <c r="F36" s="2431">
        <f>IF(未审附注之负债及权益!F36="",0,未审附注之负债及权益!F36)</f>
        <v>0</v>
      </c>
      <c r="G36" s="2398"/>
      <c r="H36" s="2398"/>
      <c r="I36" s="2404" t="s">
        <v>1004</v>
      </c>
    </row>
    <row r="37" spans="1:9">
      <c r="A37" s="2400" t="s">
        <v>385</v>
      </c>
      <c r="B37" s="2369">
        <f>ROUND(SUM(B27:B36),2)</f>
        <v>0</v>
      </c>
      <c r="C37" s="2369"/>
      <c r="D37" s="2369"/>
      <c r="E37" s="2369"/>
      <c r="F37" s="2369"/>
      <c r="G37" s="2398"/>
      <c r="H37" s="2398"/>
      <c r="I37" s="2404" t="s">
        <v>1005</v>
      </c>
    </row>
    <row r="38" spans="1:8">
      <c r="A38" s="2398"/>
      <c r="B38" s="2398"/>
      <c r="C38" s="2398"/>
      <c r="D38" s="2398"/>
      <c r="E38" s="2398"/>
      <c r="F38" s="2398"/>
      <c r="G38" s="2398"/>
      <c r="H38" s="2398"/>
    </row>
    <row r="39" spans="1:8">
      <c r="A39" s="2398"/>
      <c r="B39" s="2398"/>
      <c r="C39" s="2398"/>
      <c r="D39" s="2398"/>
      <c r="E39" s="2398"/>
      <c r="F39" s="2398"/>
      <c r="G39" s="2398"/>
      <c r="H39" s="2398"/>
    </row>
    <row r="40" spans="1:8">
      <c r="A40" s="2397" t="s">
        <v>1006</v>
      </c>
      <c r="B40" s="2398"/>
      <c r="C40" s="2398"/>
      <c r="D40" s="2398"/>
      <c r="E40" s="2398"/>
      <c r="F40" s="2398"/>
      <c r="G40" s="2398"/>
      <c r="H40" s="2398"/>
    </row>
    <row r="41" spans="1:8">
      <c r="A41" s="2402" t="s">
        <v>373</v>
      </c>
      <c r="B41" s="2402" t="s">
        <v>374</v>
      </c>
      <c r="C41" s="2402" t="s">
        <v>375</v>
      </c>
      <c r="D41" s="2398"/>
      <c r="E41" s="2398"/>
      <c r="F41" s="2398"/>
      <c r="G41" s="2398"/>
      <c r="H41" s="2398"/>
    </row>
    <row r="42" spans="1:9">
      <c r="A42" s="2402" t="s">
        <v>1007</v>
      </c>
      <c r="B42" s="2403">
        <f>IF(未审附注之负债及权益!B42="",0,未审附注之负债及权益!B42)</f>
        <v>0</v>
      </c>
      <c r="C42" s="2403">
        <f>IF(未审附注之负债及权益!C42="",0,未审附注之负债及权益!C42)</f>
        <v>0</v>
      </c>
      <c r="D42" s="2398"/>
      <c r="E42" s="2398"/>
      <c r="F42" s="2398"/>
      <c r="G42" s="2398"/>
      <c r="H42" s="2398"/>
      <c r="I42" s="2404" t="s">
        <v>1008</v>
      </c>
    </row>
    <row r="43" spans="1:9">
      <c r="A43" s="2402" t="s">
        <v>1009</v>
      </c>
      <c r="B43" s="2403">
        <f>IF(未审附注之负债及权益!B43="",0,未审附注之负债及权益!B43)</f>
        <v>0</v>
      </c>
      <c r="C43" s="2403">
        <f>IF(未审附注之负债及权益!C43="",0,未审附注之负债及权益!C43)</f>
        <v>0</v>
      </c>
      <c r="D43" s="2398"/>
      <c r="E43" s="2398"/>
      <c r="F43" s="2398"/>
      <c r="G43" s="2398"/>
      <c r="H43" s="2398"/>
      <c r="I43" s="2404" t="s">
        <v>1010</v>
      </c>
    </row>
    <row r="44" spans="1:9">
      <c r="A44" s="2402" t="s">
        <v>1011</v>
      </c>
      <c r="B44" s="2403">
        <f>IF(未审附注之负债及权益!B44="",0,未审附注之负债及权益!B44)</f>
        <v>0</v>
      </c>
      <c r="C44" s="2403">
        <f>IF(未审附注之负债及权益!C44="",0,未审附注之负债及权益!C44)</f>
        <v>0</v>
      </c>
      <c r="D44" s="2398"/>
      <c r="E44" s="2398"/>
      <c r="F44" s="2398"/>
      <c r="G44" s="2398"/>
      <c r="H44" s="2398"/>
      <c r="I44" s="2404" t="s">
        <v>1012</v>
      </c>
    </row>
    <row r="45" spans="1:9">
      <c r="A45" s="2402" t="s">
        <v>280</v>
      </c>
      <c r="B45" s="2403">
        <f>IF(未审附注之负债及权益!B45="",0,未审附注之负债及权益!B45)</f>
        <v>0</v>
      </c>
      <c r="C45" s="2403">
        <f>IF(未审附注之负债及权益!C45="",0,未审附注之负债及权益!C45)</f>
        <v>0</v>
      </c>
      <c r="D45" s="2398"/>
      <c r="E45" s="2398"/>
      <c r="F45" s="2398"/>
      <c r="G45" s="2398"/>
      <c r="H45" s="2398"/>
      <c r="I45" s="2404" t="s">
        <v>1013</v>
      </c>
    </row>
    <row r="46" spans="1:9">
      <c r="A46" s="2402" t="s">
        <v>385</v>
      </c>
      <c r="B46" s="2369">
        <f>ROUND(SUM(B42:B45),2)</f>
        <v>0</v>
      </c>
      <c r="C46" s="2369">
        <f>ROUND(SUM(C42:C45),2)</f>
        <v>0</v>
      </c>
      <c r="D46" s="2398"/>
      <c r="E46" s="2398"/>
      <c r="F46" s="2398"/>
      <c r="G46" s="2398"/>
      <c r="H46" s="2398"/>
      <c r="I46" s="2404" t="s">
        <v>1014</v>
      </c>
    </row>
    <row r="47" spans="1:8">
      <c r="A47" s="2421"/>
      <c r="B47" s="2398"/>
      <c r="C47" s="2398"/>
      <c r="D47" s="2398"/>
      <c r="E47" s="2398"/>
      <c r="F47" s="2398"/>
      <c r="G47" s="2398"/>
      <c r="H47" s="2398"/>
    </row>
    <row r="48" spans="1:8">
      <c r="A48" s="2421"/>
      <c r="B48" s="2398"/>
      <c r="C48" s="2398"/>
      <c r="D48" s="2398"/>
      <c r="E48" s="2398"/>
      <c r="F48" s="2398"/>
      <c r="G48" s="2398"/>
      <c r="H48" s="2398"/>
    </row>
    <row r="49" spans="1:8">
      <c r="A49" s="2397" t="s">
        <v>1015</v>
      </c>
      <c r="B49" s="2398"/>
      <c r="C49" s="2398"/>
      <c r="D49" s="2398"/>
      <c r="E49" s="2398"/>
      <c r="F49" s="2398"/>
      <c r="G49" s="2398"/>
      <c r="H49" s="2398"/>
    </row>
    <row r="50" spans="1:8">
      <c r="A50" s="2399" t="s">
        <v>314</v>
      </c>
      <c r="B50" s="2398"/>
      <c r="C50" s="2398"/>
      <c r="D50" s="2398"/>
      <c r="E50" s="2398"/>
      <c r="F50" s="2398"/>
      <c r="G50" s="2398"/>
      <c r="H50" s="2398"/>
    </row>
    <row r="51" spans="1:8">
      <c r="A51" s="2401" t="s">
        <v>391</v>
      </c>
      <c r="B51" s="2400" t="s">
        <v>316</v>
      </c>
      <c r="C51" s="2400" t="s">
        <v>317</v>
      </c>
      <c r="D51" s="2400" t="s">
        <v>1016</v>
      </c>
      <c r="E51" s="2398"/>
      <c r="F51" s="2398"/>
      <c r="G51" s="2398"/>
      <c r="H51" s="2398"/>
    </row>
    <row r="52" spans="1:9">
      <c r="A52" s="2405" t="s">
        <v>392</v>
      </c>
      <c r="B52" s="2403">
        <f>IF(未审附注之负债及权益!B52="",0,未审附注之负债及权益!B52)</f>
        <v>0</v>
      </c>
      <c r="C52" s="2403">
        <f>IF(未审附注之负债及权益!C52="",0,未审附注之负债及权益!C52)</f>
        <v>0</v>
      </c>
      <c r="D52" s="2403">
        <f>IF(未审附注之负债及权益!D52="",0,未审附注之负债及权益!D52)</f>
        <v>0</v>
      </c>
      <c r="E52" s="2398"/>
      <c r="F52" s="2398"/>
      <c r="G52" s="2398"/>
      <c r="H52" s="2398"/>
      <c r="I52" s="2404" t="s">
        <v>1017</v>
      </c>
    </row>
    <row r="53" spans="1:9">
      <c r="A53" s="2405" t="s">
        <v>394</v>
      </c>
      <c r="B53" s="2403">
        <f>IF(未审附注之负债及权益!B53="",0,未审附注之负债及权益!B53)</f>
        <v>0</v>
      </c>
      <c r="C53" s="2403">
        <f>IF(未审附注之负债及权益!C53="",0,未审附注之负债及权益!C53)</f>
        <v>0</v>
      </c>
      <c r="D53" s="2403">
        <f>IF(未审附注之负债及权益!D53="",0,未审附注之负债及权益!D53)</f>
        <v>0</v>
      </c>
      <c r="E53" s="2398"/>
      <c r="F53" s="2398"/>
      <c r="G53" s="2398"/>
      <c r="H53" s="2398"/>
      <c r="I53" s="2404" t="s">
        <v>1018</v>
      </c>
    </row>
    <row r="54" spans="1:9">
      <c r="A54" s="2400" t="s">
        <v>385</v>
      </c>
      <c r="B54" s="2369">
        <f>ROUND(SUM(B52:B53),2)</f>
        <v>0</v>
      </c>
      <c r="C54" s="2369">
        <f>ROUND(SUM(C52:C53),2)</f>
        <v>0</v>
      </c>
      <c r="D54" s="2369">
        <f>ROUND(SUM(D52:D53),2)</f>
        <v>0</v>
      </c>
      <c r="E54" s="2398"/>
      <c r="F54" s="2398"/>
      <c r="G54" s="2398"/>
      <c r="H54" s="2398"/>
      <c r="I54" s="2404" t="s">
        <v>1019</v>
      </c>
    </row>
    <row r="55" spans="1:8">
      <c r="A55" s="2421"/>
      <c r="B55" s="2398"/>
      <c r="C55" s="2398"/>
      <c r="D55" s="2398"/>
      <c r="E55" s="2398"/>
      <c r="F55" s="2398"/>
      <c r="G55" s="2398"/>
      <c r="H55" s="2398"/>
    </row>
    <row r="56" spans="1:8">
      <c r="A56" s="2421"/>
      <c r="B56" s="2398"/>
      <c r="C56" s="2398"/>
      <c r="D56" s="2398"/>
      <c r="E56" s="2398"/>
      <c r="F56" s="2398"/>
      <c r="G56" s="2398"/>
      <c r="H56" s="2398"/>
    </row>
    <row r="57" spans="1:8">
      <c r="A57" s="2397" t="s">
        <v>1020</v>
      </c>
      <c r="B57" s="2398"/>
      <c r="C57" s="2398"/>
      <c r="D57" s="2398"/>
      <c r="E57" s="2398"/>
      <c r="F57" s="2398"/>
      <c r="G57" s="2398"/>
      <c r="H57" s="2398"/>
    </row>
    <row r="58" spans="1:8">
      <c r="A58" s="2399" t="s">
        <v>1021</v>
      </c>
      <c r="B58" s="2398"/>
      <c r="C58" s="2398"/>
      <c r="D58" s="2398"/>
      <c r="E58" s="2398"/>
      <c r="F58" s="2398"/>
      <c r="G58" s="2398"/>
      <c r="H58" s="2398"/>
    </row>
    <row r="59" spans="1:8">
      <c r="A59" s="2407" t="s">
        <v>443</v>
      </c>
      <c r="B59" s="2432" t="s">
        <v>316</v>
      </c>
      <c r="C59" s="2433"/>
      <c r="D59" s="2400" t="s">
        <v>317</v>
      </c>
      <c r="E59" s="2401"/>
      <c r="F59" s="2398"/>
      <c r="G59" s="2398"/>
      <c r="H59" s="2398"/>
    </row>
    <row r="60" spans="1:8">
      <c r="A60" s="2434"/>
      <c r="B60" s="2400" t="s">
        <v>444</v>
      </c>
      <c r="C60" s="2400" t="s">
        <v>445</v>
      </c>
      <c r="D60" s="2400" t="s">
        <v>444</v>
      </c>
      <c r="E60" s="2400" t="s">
        <v>445</v>
      </c>
      <c r="F60" s="2398"/>
      <c r="G60" s="2398"/>
      <c r="H60" s="2398"/>
    </row>
    <row r="61" spans="1:9">
      <c r="A61" s="2405" t="s">
        <v>448</v>
      </c>
      <c r="B61" s="2403">
        <f>IF(未审附注之负债及权益!B61="",0,未审附注之负债及权益!B61)</f>
        <v>0</v>
      </c>
      <c r="C61" s="2435">
        <f>IF(B61=0,0,1-C62-C63-C64)</f>
        <v>0</v>
      </c>
      <c r="D61" s="2403">
        <f>IF(未审附注之负债及权益!D61="",0,未审附注之负债及权益!D61)</f>
        <v>0</v>
      </c>
      <c r="E61" s="2435">
        <f>IF(D61=0,0,1-E62-E63-E64)</f>
        <v>0</v>
      </c>
      <c r="F61" s="2398"/>
      <c r="G61" s="2398"/>
      <c r="H61" s="2398"/>
      <c r="I61" s="2436" t="s">
        <v>1022</v>
      </c>
    </row>
    <row r="62" spans="1:9">
      <c r="A62" s="2405" t="s">
        <v>450</v>
      </c>
      <c r="B62" s="2403">
        <f>IF(未审附注之负债及权益!B62="",0,未审附注之负债及权益!B62)</f>
        <v>0</v>
      </c>
      <c r="C62" s="2435">
        <f>IF(B62=0,0,IF(B61=0,ROUND(1-C63-C64,4),ROUND(B62/B65,4)))</f>
        <v>0</v>
      </c>
      <c r="D62" s="2403">
        <f>IF(未审附注之负债及权益!D62="",0,未审附注之负债及权益!D62)</f>
        <v>0</v>
      </c>
      <c r="E62" s="2435">
        <f>IF(D62=0,0,IF(D61=0,ROUND(1-E63-E64,4),ROUND(D62/D65,4)))</f>
        <v>0</v>
      </c>
      <c r="F62" s="2398"/>
      <c r="G62" s="2398"/>
      <c r="H62" s="2398"/>
      <c r="I62" s="2436" t="s">
        <v>1023</v>
      </c>
    </row>
    <row r="63" spans="1:9">
      <c r="A63" s="2405" t="s">
        <v>452</v>
      </c>
      <c r="B63" s="2403">
        <f>IF(未审附注之负债及权益!B63="",0,未审附注之负债及权益!B63)</f>
        <v>0</v>
      </c>
      <c r="C63" s="2435">
        <f>IF(B63=0,0,IF(AND(B61=0,B62=0),ROUND(1-C64,4),ROUND(B63/B65,4)))</f>
        <v>0</v>
      </c>
      <c r="D63" s="2403">
        <f>IF(未审附注之负债及权益!D63="",0,未审附注之负债及权益!D63)</f>
        <v>0</v>
      </c>
      <c r="E63" s="2435">
        <f>IF(D63=0,0,IF(AND(D61=0,D62=0),ROUND(1-E64,4),ROUND(D63/D65,4)))</f>
        <v>0</v>
      </c>
      <c r="F63" s="2398"/>
      <c r="G63" s="2398"/>
      <c r="H63" s="2398"/>
      <c r="I63" s="2436" t="s">
        <v>1024</v>
      </c>
    </row>
    <row r="64" spans="1:9">
      <c r="A64" s="2405" t="s">
        <v>557</v>
      </c>
      <c r="B64" s="2403">
        <f>IF(未审附注之负债及权益!B64="",0,未审附注之负债及权益!B64)</f>
        <v>0</v>
      </c>
      <c r="C64" s="2435">
        <f>IF(B64=0,0,ROUND(B64/B65,4))</f>
        <v>0</v>
      </c>
      <c r="D64" s="2403">
        <f>IF(未审附注之负债及权益!D64="",0,未审附注之负债及权益!D64)</f>
        <v>0</v>
      </c>
      <c r="E64" s="2435">
        <f>IF(D64=0,0,ROUND(D64/D65,4))</f>
        <v>0</v>
      </c>
      <c r="F64" s="2398"/>
      <c r="G64" s="2398"/>
      <c r="H64" s="2398"/>
      <c r="I64" s="2436" t="s">
        <v>1025</v>
      </c>
    </row>
    <row r="65" spans="1:9">
      <c r="A65" s="2400" t="s">
        <v>385</v>
      </c>
      <c r="B65" s="2369">
        <f>ROUND(SUM(B61:B64),2)</f>
        <v>0</v>
      </c>
      <c r="C65" s="2411">
        <f>IF(B65=0,0,1)</f>
        <v>0</v>
      </c>
      <c r="D65" s="2369">
        <f>ROUND(SUM(D61:D64),2)</f>
        <v>0</v>
      </c>
      <c r="E65" s="2411">
        <f>IF(D65=0,0,1)</f>
        <v>0</v>
      </c>
      <c r="F65" s="2398"/>
      <c r="G65" s="2398"/>
      <c r="H65" s="2398"/>
      <c r="I65" s="2436" t="s">
        <v>1026</v>
      </c>
    </row>
    <row r="66" spans="1:8">
      <c r="A66" s="2421"/>
      <c r="B66" s="2398"/>
      <c r="C66" s="2398"/>
      <c r="D66" s="2398"/>
      <c r="E66" s="2398"/>
      <c r="F66" s="2398"/>
      <c r="G66" s="2398"/>
      <c r="H66" s="2398"/>
    </row>
    <row r="67" spans="1:8">
      <c r="A67" s="2399" t="s">
        <v>1027</v>
      </c>
      <c r="B67" s="2398"/>
      <c r="C67" s="2398"/>
      <c r="D67" s="2398"/>
      <c r="E67" s="2398"/>
      <c r="F67" s="2398"/>
      <c r="G67" s="2398"/>
      <c r="H67" s="2398"/>
    </row>
    <row r="68" spans="1:8">
      <c r="A68" s="2400" t="s">
        <v>373</v>
      </c>
      <c r="B68" s="2400" t="s">
        <v>316</v>
      </c>
      <c r="C68" s="2400" t="s">
        <v>496</v>
      </c>
      <c r="D68" s="2400" t="s">
        <v>1028</v>
      </c>
      <c r="E68" s="2398"/>
      <c r="F68" s="2398"/>
      <c r="G68" s="2398"/>
      <c r="H68" s="2398"/>
    </row>
    <row r="69" spans="1:9">
      <c r="A69" s="2410">
        <f>IF(未审附注之负债及权益!A69="",0,未审附注之负债及权益!A69)</f>
        <v>0</v>
      </c>
      <c r="B69" s="2403">
        <f>IF(未审附注之负债及权益!B69="",0,未审附注之负债及权益!B69)</f>
        <v>0</v>
      </c>
      <c r="C69" s="2410">
        <f>IF(未审附注之负债及权益!C69="",0,未审附注之负债及权益!C69)</f>
        <v>0</v>
      </c>
      <c r="D69" s="2410">
        <f>IF(未审附注之负债及权益!D69="",0,未审附注之负债及权益!D69)</f>
        <v>0</v>
      </c>
      <c r="E69" s="2398"/>
      <c r="F69" s="2398"/>
      <c r="G69" s="2398"/>
      <c r="H69" s="2398"/>
      <c r="I69" s="2436" t="s">
        <v>1029</v>
      </c>
    </row>
    <row r="70" spans="1:9">
      <c r="A70" s="2410">
        <f>IF(未审附注之负债及权益!A70="",0,未审附注之负债及权益!A70)</f>
        <v>0</v>
      </c>
      <c r="B70" s="2403">
        <f>IF(未审附注之负债及权益!B70="",0,未审附注之负债及权益!B70)</f>
        <v>0</v>
      </c>
      <c r="C70" s="2410">
        <f>IF(未审附注之负债及权益!C70="",0,未审附注之负债及权益!C70)</f>
        <v>0</v>
      </c>
      <c r="D70" s="2410">
        <f>IF(未审附注之负债及权益!D70="",0,未审附注之负债及权益!D70)</f>
        <v>0</v>
      </c>
      <c r="E70" s="2398"/>
      <c r="F70" s="2398"/>
      <c r="G70" s="2398"/>
      <c r="H70" s="2398"/>
      <c r="I70" s="2436" t="s">
        <v>1029</v>
      </c>
    </row>
    <row r="71" spans="1:9">
      <c r="A71" s="2410">
        <f>IF(未审附注之负债及权益!A71="",0,未审附注之负债及权益!A71)</f>
        <v>0</v>
      </c>
      <c r="B71" s="2403">
        <f>IF(未审附注之负债及权益!B71="",0,未审附注之负债及权益!B71)</f>
        <v>0</v>
      </c>
      <c r="C71" s="2410">
        <f>IF(未审附注之负债及权益!C71="",0,未审附注之负债及权益!C71)</f>
        <v>0</v>
      </c>
      <c r="D71" s="2410">
        <f>IF(未审附注之负债及权益!D71="",0,未审附注之负债及权益!D71)</f>
        <v>0</v>
      </c>
      <c r="E71" s="2398"/>
      <c r="F71" s="2398"/>
      <c r="G71" s="2398"/>
      <c r="H71" s="2398"/>
      <c r="I71" s="2436" t="s">
        <v>1029</v>
      </c>
    </row>
    <row r="72" spans="1:9">
      <c r="A72" s="2410">
        <f>IF(未审附注之负债及权益!A72="",0,未审附注之负债及权益!A72)</f>
        <v>0</v>
      </c>
      <c r="B72" s="2403">
        <f>IF(未审附注之负债及权益!B72="",0,未审附注之负债及权益!B72)</f>
        <v>0</v>
      </c>
      <c r="C72" s="2410">
        <f>IF(未审附注之负债及权益!C72="",0,未审附注之负债及权益!C72)</f>
        <v>0</v>
      </c>
      <c r="D72" s="2410">
        <f>IF(未审附注之负债及权益!D72="",0,未审附注之负债及权益!D72)</f>
        <v>0</v>
      </c>
      <c r="E72" s="2398"/>
      <c r="F72" s="2398"/>
      <c r="G72" s="2398"/>
      <c r="H72" s="2398"/>
      <c r="I72" s="2436" t="s">
        <v>1029</v>
      </c>
    </row>
    <row r="73" spans="1:9">
      <c r="A73" s="2410">
        <f>IF(未审附注之负债及权益!A73="",0,未审附注之负债及权益!A73)</f>
        <v>0</v>
      </c>
      <c r="B73" s="2403">
        <f>IF(未审附注之负债及权益!B73="",0,未审附注之负债及权益!B73)</f>
        <v>0</v>
      </c>
      <c r="C73" s="2410">
        <f>IF(未审附注之负债及权益!C73="",0,未审附注之负债及权益!C73)</f>
        <v>0</v>
      </c>
      <c r="D73" s="2410">
        <f>IF(未审附注之负债及权益!D73="",0,未审附注之负债及权益!D73)</f>
        <v>0</v>
      </c>
      <c r="E73" s="2398"/>
      <c r="F73" s="2398"/>
      <c r="G73" s="2398"/>
      <c r="H73" s="2398"/>
      <c r="I73" s="2436" t="s">
        <v>1029</v>
      </c>
    </row>
    <row r="74" spans="1:9">
      <c r="A74" s="2410">
        <f>IF(未审附注之负债及权益!A74="",0,未审附注之负债及权益!A74)</f>
        <v>0</v>
      </c>
      <c r="B74" s="2403">
        <f>IF(未审附注之负债及权益!B74="",0,未审附注之负债及权益!B74)</f>
        <v>0</v>
      </c>
      <c r="C74" s="2410">
        <f>IF(未审附注之负债及权益!C74="",0,未审附注之负债及权益!C74)</f>
        <v>0</v>
      </c>
      <c r="D74" s="2410">
        <f>IF(未审附注之负债及权益!D74="",0,未审附注之负债及权益!D74)</f>
        <v>0</v>
      </c>
      <c r="E74" s="2398"/>
      <c r="F74" s="2398"/>
      <c r="G74" s="2398"/>
      <c r="H74" s="2398"/>
      <c r="I74" s="2436" t="s">
        <v>1029</v>
      </c>
    </row>
    <row r="75" spans="1:9">
      <c r="A75" s="2410">
        <f>IF(未审附注之负债及权益!A75="",0,未审附注之负债及权益!A75)</f>
        <v>0</v>
      </c>
      <c r="B75" s="2403">
        <f>IF(未审附注之负债及权益!B75="",0,未审附注之负债及权益!B75)</f>
        <v>0</v>
      </c>
      <c r="C75" s="2410">
        <f>IF(未审附注之负债及权益!C75="",0,未审附注之负债及权益!C75)</f>
        <v>0</v>
      </c>
      <c r="D75" s="2410">
        <f>IF(未审附注之负债及权益!D75="",0,未审附注之负债及权益!D75)</f>
        <v>0</v>
      </c>
      <c r="E75" s="2398"/>
      <c r="F75" s="2398"/>
      <c r="G75" s="2398"/>
      <c r="H75" s="2398"/>
      <c r="I75" s="2436" t="s">
        <v>1029</v>
      </c>
    </row>
    <row r="76" spans="1:9">
      <c r="A76" s="2410">
        <f>IF(未审附注之负债及权益!A76="",0,未审附注之负债及权益!A76)</f>
        <v>0</v>
      </c>
      <c r="B76" s="2403">
        <f>IF(未审附注之负债及权益!B76="",0,未审附注之负债及权益!B76)</f>
        <v>0</v>
      </c>
      <c r="C76" s="2410">
        <f>IF(未审附注之负债及权益!C76="",0,未审附注之负债及权益!C76)</f>
        <v>0</v>
      </c>
      <c r="D76" s="2410">
        <f>IF(未审附注之负债及权益!D76="",0,未审附注之负债及权益!D76)</f>
        <v>0</v>
      </c>
      <c r="E76" s="2398"/>
      <c r="F76" s="2398"/>
      <c r="G76" s="2398"/>
      <c r="H76" s="2398"/>
      <c r="I76" s="2436" t="s">
        <v>1029</v>
      </c>
    </row>
    <row r="77" spans="1:9">
      <c r="A77" s="2410">
        <f>IF(未审附注之负债及权益!A77="",0,未审附注之负债及权益!A77)</f>
        <v>0</v>
      </c>
      <c r="B77" s="2403">
        <f>IF(未审附注之负债及权益!B77="",0,未审附注之负债及权益!B77)</f>
        <v>0</v>
      </c>
      <c r="C77" s="2410">
        <f>IF(未审附注之负债及权益!C77="",0,未审附注之负债及权益!C77)</f>
        <v>0</v>
      </c>
      <c r="D77" s="2410">
        <f>IF(未审附注之负债及权益!D77="",0,未审附注之负债及权益!D77)</f>
        <v>0</v>
      </c>
      <c r="E77" s="2398"/>
      <c r="F77" s="2398"/>
      <c r="G77" s="2398"/>
      <c r="H77" s="2398"/>
      <c r="I77" s="2436" t="s">
        <v>1029</v>
      </c>
    </row>
    <row r="78" spans="1:9">
      <c r="A78" s="2410">
        <f>IF(未审附注之负债及权益!A78="",0,未审附注之负债及权益!A78)</f>
        <v>0</v>
      </c>
      <c r="B78" s="2403">
        <f>IF(未审附注之负债及权益!B78="",0,未审附注之负债及权益!B78)</f>
        <v>0</v>
      </c>
      <c r="C78" s="2410">
        <f>IF(未审附注之负债及权益!C78="",0,未审附注之负债及权益!C78)</f>
        <v>0</v>
      </c>
      <c r="D78" s="2410">
        <f>IF(未审附注之负债及权益!D78="",0,未审附注之负债及权益!D78)</f>
        <v>0</v>
      </c>
      <c r="E78" s="2398"/>
      <c r="F78" s="2398"/>
      <c r="G78" s="2398"/>
      <c r="H78" s="2398"/>
      <c r="I78" s="2436" t="s">
        <v>1029</v>
      </c>
    </row>
    <row r="79" spans="1:9">
      <c r="A79" s="2400" t="s">
        <v>385</v>
      </c>
      <c r="B79" s="2369">
        <f>ROUND(SUM(B69:B78),2)</f>
        <v>0</v>
      </c>
      <c r="C79" s="2369"/>
      <c r="D79" s="2369"/>
      <c r="E79" s="2398"/>
      <c r="F79" s="2398"/>
      <c r="G79" s="2398"/>
      <c r="H79" s="2398"/>
      <c r="I79" s="2436" t="s">
        <v>1030</v>
      </c>
    </row>
    <row r="80" spans="1:8">
      <c r="A80" s="2421"/>
      <c r="B80" s="2398"/>
      <c r="C80" s="2398"/>
      <c r="D80" s="2398"/>
      <c r="E80" s="2398"/>
      <c r="F80" s="2398"/>
      <c r="G80" s="2398"/>
      <c r="H80" s="2398"/>
    </row>
    <row r="81" spans="1:8">
      <c r="A81" s="2414" t="s">
        <v>1031</v>
      </c>
      <c r="B81" s="2398"/>
      <c r="C81" s="2398"/>
      <c r="D81" s="2398"/>
      <c r="E81" s="2398"/>
      <c r="F81" s="2398"/>
      <c r="G81" s="2398"/>
      <c r="H81" s="2398"/>
    </row>
    <row r="82" spans="1:8">
      <c r="A82" s="2400" t="s">
        <v>495</v>
      </c>
      <c r="B82" s="2400" t="s">
        <v>316</v>
      </c>
      <c r="C82" s="2400" t="s">
        <v>317</v>
      </c>
      <c r="D82" s="2400" t="s">
        <v>496</v>
      </c>
      <c r="E82" s="2398"/>
      <c r="F82" s="2398"/>
      <c r="G82" s="2398"/>
      <c r="H82" s="2398"/>
    </row>
    <row r="83" spans="1:9">
      <c r="A83" s="2410">
        <f>IF(未审附注之负债及权益!A83="",0,未审附注之负债及权益!A83)</f>
        <v>0</v>
      </c>
      <c r="B83" s="2403">
        <f>IF(未审附注之负债及权益!B83="",0,未审附注之负债及权益!B83)</f>
        <v>0</v>
      </c>
      <c r="C83" s="2403">
        <f>IF(未审附注之负债及权益!C83="",0,未审附注之负债及权益!C83)</f>
        <v>0</v>
      </c>
      <c r="D83" s="2410">
        <f>IF(未审附注之负债及权益!D83="",0,未审附注之负债及权益!D83)</f>
        <v>0</v>
      </c>
      <c r="E83" s="2398"/>
      <c r="F83" s="2398"/>
      <c r="G83" s="2398"/>
      <c r="H83" s="2398"/>
      <c r="I83" s="2436" t="s">
        <v>1032</v>
      </c>
    </row>
    <row r="84" spans="1:9">
      <c r="A84" s="2410">
        <f>IF(未审附注之负债及权益!A84="",0,未审附注之负债及权益!A84)</f>
        <v>0</v>
      </c>
      <c r="B84" s="2403">
        <f>IF(未审附注之负债及权益!B84="",0,未审附注之负债及权益!B84)</f>
        <v>0</v>
      </c>
      <c r="C84" s="2403">
        <f>IF(未审附注之负债及权益!C84="",0,未审附注之负债及权益!C84)</f>
        <v>0</v>
      </c>
      <c r="D84" s="2410">
        <f>IF(未审附注之负债及权益!D84="",0,未审附注之负债及权益!D84)</f>
        <v>0</v>
      </c>
      <c r="E84" s="2398"/>
      <c r="F84" s="2398"/>
      <c r="G84" s="2398"/>
      <c r="H84" s="2398"/>
      <c r="I84" s="2436" t="s">
        <v>1032</v>
      </c>
    </row>
    <row r="85" spans="1:9">
      <c r="A85" s="2410">
        <f>IF(未审附注之负债及权益!A85="",0,未审附注之负债及权益!A85)</f>
        <v>0</v>
      </c>
      <c r="B85" s="2403">
        <f>IF(未审附注之负债及权益!B85="",0,未审附注之负债及权益!B85)</f>
        <v>0</v>
      </c>
      <c r="C85" s="2403">
        <f>IF(未审附注之负债及权益!C85="",0,未审附注之负债及权益!C85)</f>
        <v>0</v>
      </c>
      <c r="D85" s="2410">
        <f>IF(未审附注之负债及权益!D85="",0,未审附注之负债及权益!D85)</f>
        <v>0</v>
      </c>
      <c r="E85" s="2398"/>
      <c r="F85" s="2398"/>
      <c r="G85" s="2398"/>
      <c r="H85" s="2398"/>
      <c r="I85" s="2436" t="s">
        <v>1032</v>
      </c>
    </row>
    <row r="86" spans="1:9">
      <c r="A86" s="2410">
        <f>IF(未审附注之负债及权益!A86="",0,未审附注之负债及权益!A86)</f>
        <v>0</v>
      </c>
      <c r="B86" s="2403">
        <f>IF(未审附注之负债及权益!B86="",0,未审附注之负债及权益!B86)</f>
        <v>0</v>
      </c>
      <c r="C86" s="2403">
        <f>IF(未审附注之负债及权益!C86="",0,未审附注之负债及权益!C86)</f>
        <v>0</v>
      </c>
      <c r="D86" s="2410">
        <f>IF(未审附注之负债及权益!D86="",0,未审附注之负债及权益!D86)</f>
        <v>0</v>
      </c>
      <c r="E86" s="2398"/>
      <c r="F86" s="2398"/>
      <c r="G86" s="2398"/>
      <c r="H86" s="2398"/>
      <c r="I86" s="2436" t="s">
        <v>1032</v>
      </c>
    </row>
    <row r="87" spans="1:9">
      <c r="A87" s="2410">
        <f>IF(未审附注之负债及权益!A87="",0,未审附注之负债及权益!A87)</f>
        <v>0</v>
      </c>
      <c r="B87" s="2403">
        <f>IF(未审附注之负债及权益!B87="",0,未审附注之负债及权益!B87)</f>
        <v>0</v>
      </c>
      <c r="C87" s="2403">
        <f>IF(未审附注之负债及权益!C87="",0,未审附注之负债及权益!C87)</f>
        <v>0</v>
      </c>
      <c r="D87" s="2410">
        <f>IF(未审附注之负债及权益!D87="",0,未审附注之负债及权益!D87)</f>
        <v>0</v>
      </c>
      <c r="E87" s="2398"/>
      <c r="F87" s="2398"/>
      <c r="G87" s="2398"/>
      <c r="H87" s="2398"/>
      <c r="I87" s="2436" t="s">
        <v>1032</v>
      </c>
    </row>
    <row r="88" spans="1:9">
      <c r="A88" s="2410">
        <f>IF(未审附注之负债及权益!A88="",0,未审附注之负债及权益!A88)</f>
        <v>0</v>
      </c>
      <c r="B88" s="2403">
        <f>IF(未审附注之负债及权益!B88="",0,未审附注之负债及权益!B88)</f>
        <v>0</v>
      </c>
      <c r="C88" s="2403">
        <f>IF(未审附注之负债及权益!C88="",0,未审附注之负债及权益!C88)</f>
        <v>0</v>
      </c>
      <c r="D88" s="2410">
        <f>IF(未审附注之负债及权益!D88="",0,未审附注之负债及权益!D88)</f>
        <v>0</v>
      </c>
      <c r="E88" s="2398"/>
      <c r="F88" s="2398"/>
      <c r="G88" s="2398"/>
      <c r="H88" s="2398"/>
      <c r="I88" s="2436" t="s">
        <v>1032</v>
      </c>
    </row>
    <row r="89" spans="1:9">
      <c r="A89" s="2410">
        <f>IF(未审附注之负债及权益!A89="",0,未审附注之负债及权益!A89)</f>
        <v>0</v>
      </c>
      <c r="B89" s="2403">
        <f>IF(未审附注之负债及权益!B89="",0,未审附注之负债及权益!B89)</f>
        <v>0</v>
      </c>
      <c r="C89" s="2403">
        <f>IF(未审附注之负债及权益!C89="",0,未审附注之负债及权益!C89)</f>
        <v>0</v>
      </c>
      <c r="D89" s="2410">
        <f>IF(未审附注之负债及权益!D89="",0,未审附注之负债及权益!D89)</f>
        <v>0</v>
      </c>
      <c r="E89" s="2398"/>
      <c r="F89" s="2398"/>
      <c r="G89" s="2398"/>
      <c r="H89" s="2398"/>
      <c r="I89" s="2436" t="s">
        <v>1032</v>
      </c>
    </row>
    <row r="90" spans="1:9">
      <c r="A90" s="2410">
        <f>IF(未审附注之负债及权益!A90="",0,未审附注之负债及权益!A90)</f>
        <v>0</v>
      </c>
      <c r="B90" s="2403">
        <f>IF(未审附注之负债及权益!B90="",0,未审附注之负债及权益!B90)</f>
        <v>0</v>
      </c>
      <c r="C90" s="2403">
        <f>IF(未审附注之负债及权益!C90="",0,未审附注之负债及权益!C90)</f>
        <v>0</v>
      </c>
      <c r="D90" s="2410">
        <f>IF(未审附注之负债及权益!D90="",0,未审附注之负债及权益!D90)</f>
        <v>0</v>
      </c>
      <c r="E90" s="2398"/>
      <c r="F90" s="2398"/>
      <c r="G90" s="2398"/>
      <c r="H90" s="2398"/>
      <c r="I90" s="2436" t="s">
        <v>1032</v>
      </c>
    </row>
    <row r="91" spans="1:9">
      <c r="A91" s="2410">
        <f>IF(未审附注之负债及权益!A91="",0,未审附注之负债及权益!A91)</f>
        <v>0</v>
      </c>
      <c r="B91" s="2403">
        <f>IF(未审附注之负债及权益!B91="",0,未审附注之负债及权益!B91)</f>
        <v>0</v>
      </c>
      <c r="C91" s="2403">
        <f>IF(未审附注之负债及权益!C91="",0,未审附注之负债及权益!C91)</f>
        <v>0</v>
      </c>
      <c r="D91" s="2410">
        <f>IF(未审附注之负债及权益!D91="",0,未审附注之负债及权益!D91)</f>
        <v>0</v>
      </c>
      <c r="E91" s="2398"/>
      <c r="F91" s="2398"/>
      <c r="G91" s="2398"/>
      <c r="H91" s="2398"/>
      <c r="I91" s="2436" t="s">
        <v>1032</v>
      </c>
    </row>
    <row r="92" spans="1:9">
      <c r="A92" s="2410">
        <f>IF(未审附注之负债及权益!A92="",0,未审附注之负债及权益!A92)</f>
        <v>0</v>
      </c>
      <c r="B92" s="2403">
        <f>IF(未审附注之负债及权益!B92="",0,未审附注之负债及权益!B92)</f>
        <v>0</v>
      </c>
      <c r="C92" s="2403">
        <f>IF(未审附注之负债及权益!C92="",0,未审附注之负债及权益!C92)</f>
        <v>0</v>
      </c>
      <c r="D92" s="2410">
        <f>IF(未审附注之负债及权益!D92="",0,未审附注之负债及权益!D92)</f>
        <v>0</v>
      </c>
      <c r="E92" s="2398"/>
      <c r="F92" s="2398"/>
      <c r="G92" s="2398"/>
      <c r="H92" s="2398"/>
      <c r="I92" s="2436" t="s">
        <v>1032</v>
      </c>
    </row>
    <row r="93" spans="1:9">
      <c r="A93" s="2400" t="s">
        <v>385</v>
      </c>
      <c r="B93" s="2369">
        <f>ROUND(SUM(B83:B92),2)</f>
        <v>0</v>
      </c>
      <c r="C93" s="2369">
        <f>ROUND(SUM(C83:C92),2)</f>
        <v>0</v>
      </c>
      <c r="D93" s="2369"/>
      <c r="E93" s="2398"/>
      <c r="F93" s="2398"/>
      <c r="G93" s="2398"/>
      <c r="H93" s="2398"/>
      <c r="I93" s="2436" t="s">
        <v>1033</v>
      </c>
    </row>
    <row r="94" spans="1:8">
      <c r="A94" s="2421"/>
      <c r="B94" s="2398"/>
      <c r="C94" s="2398"/>
      <c r="D94" s="2398"/>
      <c r="E94" s="2398"/>
      <c r="F94" s="2398"/>
      <c r="G94" s="2398"/>
      <c r="H94" s="2398"/>
    </row>
    <row r="95" spans="1:8">
      <c r="A95" s="2399" t="s">
        <v>1034</v>
      </c>
      <c r="B95" s="2398"/>
      <c r="C95" s="2398"/>
      <c r="D95" s="2398"/>
      <c r="E95" s="2398"/>
      <c r="F95" s="2398"/>
      <c r="G95" s="2398"/>
      <c r="H95" s="2398"/>
    </row>
    <row r="96" spans="1:8">
      <c r="A96" s="2400" t="s">
        <v>569</v>
      </c>
      <c r="B96" s="2400" t="s">
        <v>316</v>
      </c>
      <c r="C96" s="2400" t="s">
        <v>317</v>
      </c>
      <c r="D96" s="2400" t="s">
        <v>496</v>
      </c>
      <c r="E96" s="2398"/>
      <c r="F96" s="2398"/>
      <c r="G96" s="2398"/>
      <c r="H96" s="2398"/>
    </row>
    <row r="97" spans="1:9">
      <c r="A97" s="2410">
        <f>IF(未审附注之负债及权益!A97="",0,未审附注之负债及权益!A97)</f>
        <v>0</v>
      </c>
      <c r="B97" s="2403">
        <f>IF(未审附注之负债及权益!B97="",0,未审附注之负债及权益!B97)</f>
        <v>0</v>
      </c>
      <c r="C97" s="2403">
        <f>IF(未审附注之负债及权益!C97="",0,未审附注之负债及权益!C97)</f>
        <v>0</v>
      </c>
      <c r="D97" s="2410">
        <f>IF(未审附注之负债及权益!D97="",0,未审附注之负债及权益!D97)</f>
        <v>0</v>
      </c>
      <c r="E97" s="2398"/>
      <c r="F97" s="2398"/>
      <c r="G97" s="2398"/>
      <c r="H97" s="2398"/>
      <c r="I97" s="2436" t="s">
        <v>1035</v>
      </c>
    </row>
    <row r="98" spans="1:9">
      <c r="A98" s="2410">
        <f>IF(未审附注之负债及权益!A98="",0,未审附注之负债及权益!A98)</f>
        <v>0</v>
      </c>
      <c r="B98" s="2403">
        <f>IF(未审附注之负债及权益!B98="",0,未审附注之负债及权益!B98)</f>
        <v>0</v>
      </c>
      <c r="C98" s="2403">
        <f>IF(未审附注之负债及权益!C98="",0,未审附注之负债及权益!C98)</f>
        <v>0</v>
      </c>
      <c r="D98" s="2410">
        <f>IF(未审附注之负债及权益!D98="",0,未审附注之负债及权益!D98)</f>
        <v>0</v>
      </c>
      <c r="E98" s="2398"/>
      <c r="F98" s="2398"/>
      <c r="G98" s="2398"/>
      <c r="H98" s="2398"/>
      <c r="I98" s="2436" t="s">
        <v>1035</v>
      </c>
    </row>
    <row r="99" spans="1:9">
      <c r="A99" s="2410">
        <f>IF(未审附注之负债及权益!A99="",0,未审附注之负债及权益!A99)</f>
        <v>0</v>
      </c>
      <c r="B99" s="2403">
        <f>IF(未审附注之负债及权益!B99="",0,未审附注之负债及权益!B99)</f>
        <v>0</v>
      </c>
      <c r="C99" s="2403">
        <f>IF(未审附注之负债及权益!C99="",0,未审附注之负债及权益!C99)</f>
        <v>0</v>
      </c>
      <c r="D99" s="2410">
        <f>IF(未审附注之负债及权益!D99="",0,未审附注之负债及权益!D99)</f>
        <v>0</v>
      </c>
      <c r="E99" s="2398"/>
      <c r="F99" s="2398"/>
      <c r="G99" s="2398"/>
      <c r="H99" s="2398"/>
      <c r="I99" s="2436" t="s">
        <v>1035</v>
      </c>
    </row>
    <row r="100" spans="1:9">
      <c r="A100" s="2410">
        <f>IF(未审附注之负债及权益!A100="",0,未审附注之负债及权益!A100)</f>
        <v>0</v>
      </c>
      <c r="B100" s="2403">
        <f>IF(未审附注之负债及权益!B100="",0,未审附注之负债及权益!B100)</f>
        <v>0</v>
      </c>
      <c r="C100" s="2403">
        <f>IF(未审附注之负债及权益!C100="",0,未审附注之负债及权益!C100)</f>
        <v>0</v>
      </c>
      <c r="D100" s="2410">
        <f>IF(未审附注之负债及权益!D100="",0,未审附注之负债及权益!D100)</f>
        <v>0</v>
      </c>
      <c r="E100" s="2398"/>
      <c r="F100" s="2398"/>
      <c r="G100" s="2398"/>
      <c r="H100" s="2398"/>
      <c r="I100" s="2436" t="s">
        <v>1035</v>
      </c>
    </row>
    <row r="101" spans="1:9">
      <c r="A101" s="2410">
        <f>IF(未审附注之负债及权益!A101="",0,未审附注之负债及权益!A101)</f>
        <v>0</v>
      </c>
      <c r="B101" s="2403">
        <f>IF(未审附注之负债及权益!B101="",0,未审附注之负债及权益!B101)</f>
        <v>0</v>
      </c>
      <c r="C101" s="2403">
        <f>IF(未审附注之负债及权益!C101="",0,未审附注之负债及权益!C101)</f>
        <v>0</v>
      </c>
      <c r="D101" s="2410">
        <f>IF(未审附注之负债及权益!D101="",0,未审附注之负债及权益!D101)</f>
        <v>0</v>
      </c>
      <c r="E101" s="2398"/>
      <c r="F101" s="2398"/>
      <c r="G101" s="2398"/>
      <c r="H101" s="2398"/>
      <c r="I101" s="2436" t="s">
        <v>1035</v>
      </c>
    </row>
    <row r="102" spans="1:9">
      <c r="A102" s="2410">
        <f>IF(未审附注之负债及权益!A102="",0,未审附注之负债及权益!A102)</f>
        <v>0</v>
      </c>
      <c r="B102" s="2403">
        <f>IF(未审附注之负债及权益!B102="",0,未审附注之负债及权益!B102)</f>
        <v>0</v>
      </c>
      <c r="C102" s="2403">
        <f>IF(未审附注之负债及权益!C102="",0,未审附注之负债及权益!C102)</f>
        <v>0</v>
      </c>
      <c r="D102" s="2410">
        <f>IF(未审附注之负债及权益!D102="",0,未审附注之负债及权益!D102)</f>
        <v>0</v>
      </c>
      <c r="E102" s="2398"/>
      <c r="F102" s="2398"/>
      <c r="G102" s="2398"/>
      <c r="H102" s="2398"/>
      <c r="I102" s="2436" t="s">
        <v>1035</v>
      </c>
    </row>
    <row r="103" spans="1:9">
      <c r="A103" s="2410">
        <f>IF(未审附注之负债及权益!A103="",0,未审附注之负债及权益!A103)</f>
        <v>0</v>
      </c>
      <c r="B103" s="2403">
        <f>IF(未审附注之负债及权益!B103="",0,未审附注之负债及权益!B103)</f>
        <v>0</v>
      </c>
      <c r="C103" s="2403">
        <f>IF(未审附注之负债及权益!C103="",0,未审附注之负债及权益!C103)</f>
        <v>0</v>
      </c>
      <c r="D103" s="2410">
        <f>IF(未审附注之负债及权益!D103="",0,未审附注之负债及权益!D103)</f>
        <v>0</v>
      </c>
      <c r="E103" s="2398"/>
      <c r="F103" s="2398"/>
      <c r="G103" s="2398"/>
      <c r="H103" s="2398"/>
      <c r="I103" s="2436" t="s">
        <v>1035</v>
      </c>
    </row>
    <row r="104" spans="1:9">
      <c r="A104" s="2410">
        <f>IF(未审附注之负债及权益!A104="",0,未审附注之负债及权益!A104)</f>
        <v>0</v>
      </c>
      <c r="B104" s="2403">
        <f>IF(未审附注之负债及权益!B104="",0,未审附注之负债及权益!B104)</f>
        <v>0</v>
      </c>
      <c r="C104" s="2403">
        <f>IF(未审附注之负债及权益!C104="",0,未审附注之负债及权益!C104)</f>
        <v>0</v>
      </c>
      <c r="D104" s="2410">
        <f>IF(未审附注之负债及权益!D104="",0,未审附注之负债及权益!D104)</f>
        <v>0</v>
      </c>
      <c r="E104" s="2398"/>
      <c r="F104" s="2398"/>
      <c r="G104" s="2398"/>
      <c r="H104" s="2398"/>
      <c r="I104" s="2436" t="s">
        <v>1035</v>
      </c>
    </row>
    <row r="105" spans="1:9">
      <c r="A105" s="2410">
        <f>IF(未审附注之负债及权益!A105="",0,未审附注之负债及权益!A105)</f>
        <v>0</v>
      </c>
      <c r="B105" s="2403">
        <f>IF(未审附注之负债及权益!B105="",0,未审附注之负债及权益!B105)</f>
        <v>0</v>
      </c>
      <c r="C105" s="2403">
        <f>IF(未审附注之负债及权益!C105="",0,未审附注之负债及权益!C105)</f>
        <v>0</v>
      </c>
      <c r="D105" s="2410">
        <f>IF(未审附注之负债及权益!D105="",0,未审附注之负债及权益!D105)</f>
        <v>0</v>
      </c>
      <c r="E105" s="2398"/>
      <c r="F105" s="2398"/>
      <c r="G105" s="2398"/>
      <c r="H105" s="2398"/>
      <c r="I105" s="2436" t="s">
        <v>1035</v>
      </c>
    </row>
    <row r="106" spans="1:9">
      <c r="A106" s="2410">
        <f>IF(未审附注之负债及权益!A106="",0,未审附注之负债及权益!A106)</f>
        <v>0</v>
      </c>
      <c r="B106" s="2403">
        <f>IF(未审附注之负债及权益!B106="",0,未审附注之负债及权益!B106)</f>
        <v>0</v>
      </c>
      <c r="C106" s="2403">
        <f>IF(未审附注之负债及权益!C106="",0,未审附注之负债及权益!C106)</f>
        <v>0</v>
      </c>
      <c r="D106" s="2410">
        <f>IF(未审附注之负债及权益!D106="",0,未审附注之负债及权益!D106)</f>
        <v>0</v>
      </c>
      <c r="E106" s="2398"/>
      <c r="F106" s="2398"/>
      <c r="G106" s="2398"/>
      <c r="H106" s="2398"/>
      <c r="I106" s="2436" t="s">
        <v>1035</v>
      </c>
    </row>
    <row r="107" spans="1:9">
      <c r="A107" s="2400" t="s">
        <v>385</v>
      </c>
      <c r="B107" s="2369">
        <f>ROUND(SUM(B97:B106),2)</f>
        <v>0</v>
      </c>
      <c r="C107" s="2369">
        <f>ROUND(SUM(C97:C106),2)</f>
        <v>0</v>
      </c>
      <c r="D107" s="2369"/>
      <c r="E107" s="2398"/>
      <c r="F107" s="2398"/>
      <c r="G107" s="2398"/>
      <c r="H107" s="2398"/>
      <c r="I107" s="2436" t="s">
        <v>1036</v>
      </c>
    </row>
    <row r="108" spans="1:8">
      <c r="A108" s="2421"/>
      <c r="B108" s="2398"/>
      <c r="C108" s="2398"/>
      <c r="D108" s="2398"/>
      <c r="E108" s="2398"/>
      <c r="F108" s="2398"/>
      <c r="G108" s="2398"/>
      <c r="H108" s="2398"/>
    </row>
    <row r="109" spans="1:8">
      <c r="A109" s="2421"/>
      <c r="B109" s="2398"/>
      <c r="C109" s="2398"/>
      <c r="D109" s="2398"/>
      <c r="E109" s="2398"/>
      <c r="F109" s="2398"/>
      <c r="G109" s="2398"/>
      <c r="H109" s="2398"/>
    </row>
    <row r="110" spans="1:8">
      <c r="A110" s="2397" t="s">
        <v>1037</v>
      </c>
      <c r="B110" s="2398"/>
      <c r="C110" s="2398"/>
      <c r="D110" s="2398"/>
      <c r="E110" s="2398"/>
      <c r="F110" s="2398"/>
      <c r="G110" s="2398"/>
      <c r="H110" s="2398"/>
    </row>
    <row r="111" spans="1:8">
      <c r="A111" s="2399" t="s">
        <v>1038</v>
      </c>
      <c r="B111" s="2398"/>
      <c r="C111" s="2398"/>
      <c r="D111" s="2398"/>
      <c r="E111" s="2398"/>
      <c r="F111" s="2398"/>
      <c r="G111" s="2398"/>
      <c r="H111" s="2398"/>
    </row>
    <row r="112" spans="1:8">
      <c r="A112" s="2407" t="s">
        <v>443</v>
      </c>
      <c r="B112" s="2432" t="s">
        <v>316</v>
      </c>
      <c r="C112" s="2433"/>
      <c r="D112" s="2400" t="s">
        <v>317</v>
      </c>
      <c r="E112" s="2401"/>
      <c r="F112" s="2398"/>
      <c r="G112" s="2398"/>
      <c r="H112" s="2398"/>
    </row>
    <row r="113" spans="1:8">
      <c r="A113" s="2434"/>
      <c r="B113" s="2400" t="s">
        <v>444</v>
      </c>
      <c r="C113" s="2400" t="s">
        <v>445</v>
      </c>
      <c r="D113" s="2400" t="s">
        <v>444</v>
      </c>
      <c r="E113" s="2400" t="s">
        <v>445</v>
      </c>
      <c r="F113" s="2398"/>
      <c r="G113" s="2398"/>
      <c r="H113" s="2398"/>
    </row>
    <row r="114" spans="1:9">
      <c r="A114" s="2405" t="s">
        <v>448</v>
      </c>
      <c r="B114" s="2403">
        <f>IF(未审附注之负债及权益!B114="",0,未审附注之负债及权益!B114)</f>
        <v>0</v>
      </c>
      <c r="C114" s="2435">
        <f>IF(B114=0,0,1-C115-C116-C117)</f>
        <v>0</v>
      </c>
      <c r="D114" s="2403">
        <f>IF(未审附注之负债及权益!D114="",0,未审附注之负债及权益!D114)</f>
        <v>0</v>
      </c>
      <c r="E114" s="2435">
        <f>IF(D114=0,0,1-E115-E116-E117)</f>
        <v>0</v>
      </c>
      <c r="F114" s="2398"/>
      <c r="G114" s="2398"/>
      <c r="H114" s="2398"/>
      <c r="I114" s="2436" t="s">
        <v>1039</v>
      </c>
    </row>
    <row r="115" spans="1:9">
      <c r="A115" s="2405" t="s">
        <v>450</v>
      </c>
      <c r="B115" s="2403">
        <f>IF(未审附注之负债及权益!B115="",0,未审附注之负债及权益!B115)</f>
        <v>0</v>
      </c>
      <c r="C115" s="2435">
        <f>IF(B115=0,0,IF(B114=0,ROUND(1-C116-C117,4),ROUND(B115/B118,4)))</f>
        <v>0</v>
      </c>
      <c r="D115" s="2403">
        <f>IF(未审附注之负债及权益!D115="",0,未审附注之负债及权益!D115)</f>
        <v>0</v>
      </c>
      <c r="E115" s="2435">
        <f>IF(D115=0,0,IF(D114=0,ROUND(1-E116-E117,4),ROUND(D115/D118,4)))</f>
        <v>0</v>
      </c>
      <c r="F115" s="2398"/>
      <c r="G115" s="2398"/>
      <c r="H115" s="2398"/>
      <c r="I115" s="2436" t="s">
        <v>1040</v>
      </c>
    </row>
    <row r="116" spans="1:9">
      <c r="A116" s="2405" t="s">
        <v>452</v>
      </c>
      <c r="B116" s="2403">
        <f>IF(未审附注之负债及权益!B116="",0,未审附注之负债及权益!B116)</f>
        <v>0</v>
      </c>
      <c r="C116" s="2435">
        <f>IF(B116=0,0,IF(AND(B114=0,B115=0),ROUND(1-C117,4),ROUND(B116/B118,4)))</f>
        <v>0</v>
      </c>
      <c r="D116" s="2403">
        <f>IF(未审附注之负债及权益!D116="",0,未审附注之负债及权益!D116)</f>
        <v>0</v>
      </c>
      <c r="E116" s="2435">
        <f>IF(D116=0,0,IF(AND(D114=0,D115=0),ROUND(1-E117,4),ROUND(D116/D118,4)))</f>
        <v>0</v>
      </c>
      <c r="F116" s="2398"/>
      <c r="G116" s="2398"/>
      <c r="H116" s="2398"/>
      <c r="I116" s="2436" t="s">
        <v>1041</v>
      </c>
    </row>
    <row r="117" spans="1:9">
      <c r="A117" s="2405" t="s">
        <v>557</v>
      </c>
      <c r="B117" s="2403">
        <f>IF(未审附注之负债及权益!B117="",0,未审附注之负债及权益!B117)</f>
        <v>0</v>
      </c>
      <c r="C117" s="2435">
        <f>IF(B117=0,0,ROUND(B117/B118,4))</f>
        <v>0</v>
      </c>
      <c r="D117" s="2403">
        <f>IF(未审附注之负债及权益!D117="",0,未审附注之负债及权益!D117)</f>
        <v>0</v>
      </c>
      <c r="E117" s="2435">
        <f>IF(D117=0,0,ROUND(D117/D118,4))</f>
        <v>0</v>
      </c>
      <c r="F117" s="2398"/>
      <c r="G117" s="2398"/>
      <c r="H117" s="2398"/>
      <c r="I117" s="2436" t="s">
        <v>1042</v>
      </c>
    </row>
    <row r="118" spans="1:9">
      <c r="A118" s="2400" t="s">
        <v>385</v>
      </c>
      <c r="B118" s="2369">
        <f>ROUND(SUM(B114:B117),2)</f>
        <v>0</v>
      </c>
      <c r="C118" s="2411">
        <f>IF(B118=0,0,1)</f>
        <v>0</v>
      </c>
      <c r="D118" s="2369">
        <f>ROUND(SUM(D114:D117),2)</f>
        <v>0</v>
      </c>
      <c r="E118" s="2411">
        <f>IF(D118=0,0,1)</f>
        <v>0</v>
      </c>
      <c r="F118" s="2398"/>
      <c r="G118" s="2398"/>
      <c r="H118" s="2398"/>
      <c r="I118" s="2436" t="s">
        <v>1043</v>
      </c>
    </row>
    <row r="119" spans="1:8">
      <c r="A119" s="2421"/>
      <c r="B119" s="2398"/>
      <c r="C119" s="2398"/>
      <c r="D119" s="2398"/>
      <c r="E119" s="2398"/>
      <c r="F119" s="2398"/>
      <c r="G119" s="2398"/>
      <c r="H119" s="2398"/>
    </row>
    <row r="120" spans="1:8">
      <c r="A120" s="2399" t="s">
        <v>1044</v>
      </c>
      <c r="B120" s="2398"/>
      <c r="C120" s="2398"/>
      <c r="D120" s="2398"/>
      <c r="E120" s="2398"/>
      <c r="F120" s="2398"/>
      <c r="G120" s="2398"/>
      <c r="H120" s="2398"/>
    </row>
    <row r="121" spans="1:8">
      <c r="A121" s="2400" t="s">
        <v>373</v>
      </c>
      <c r="B121" s="2400" t="s">
        <v>316</v>
      </c>
      <c r="C121" s="2400" t="s">
        <v>496</v>
      </c>
      <c r="D121" s="2400" t="s">
        <v>1028</v>
      </c>
      <c r="E121" s="2398"/>
      <c r="F121" s="2398"/>
      <c r="G121" s="2398"/>
      <c r="H121" s="2398"/>
    </row>
    <row r="122" spans="1:9">
      <c r="A122" s="2410">
        <f>IF(未审附注之负债及权益!A122="",0,未审附注之负债及权益!A122)</f>
        <v>0</v>
      </c>
      <c r="B122" s="2403">
        <f>IF(未审附注之负债及权益!B122="",0,未审附注之负债及权益!B122)</f>
        <v>0</v>
      </c>
      <c r="C122" s="2410">
        <f>IF(未审附注之负债及权益!C122="",0,未审附注之负债及权益!C122)</f>
        <v>0</v>
      </c>
      <c r="D122" s="2410">
        <f>IF(未审附注之负债及权益!D122="",0,未审附注之负债及权益!D122)</f>
        <v>0</v>
      </c>
      <c r="E122" s="2398"/>
      <c r="F122" s="2398"/>
      <c r="G122" s="2398"/>
      <c r="H122" s="2398"/>
      <c r="I122" s="2436" t="s">
        <v>1045</v>
      </c>
    </row>
    <row r="123" spans="1:9">
      <c r="A123" s="2410">
        <f>IF(未审附注之负债及权益!A123="",0,未审附注之负债及权益!A123)</f>
        <v>0</v>
      </c>
      <c r="B123" s="2403">
        <f>IF(未审附注之负债及权益!B123="",0,未审附注之负债及权益!B123)</f>
        <v>0</v>
      </c>
      <c r="C123" s="2410">
        <f>IF(未审附注之负债及权益!C123="",0,未审附注之负债及权益!C123)</f>
        <v>0</v>
      </c>
      <c r="D123" s="2410">
        <f>IF(未审附注之负债及权益!D123="",0,未审附注之负债及权益!D123)</f>
        <v>0</v>
      </c>
      <c r="E123" s="2398"/>
      <c r="F123" s="2398"/>
      <c r="G123" s="2398"/>
      <c r="H123" s="2398"/>
      <c r="I123" s="2436" t="s">
        <v>1045</v>
      </c>
    </row>
    <row r="124" spans="1:9">
      <c r="A124" s="2410">
        <f>IF(未审附注之负债及权益!A124="",0,未审附注之负债及权益!A124)</f>
        <v>0</v>
      </c>
      <c r="B124" s="2403">
        <f>IF(未审附注之负债及权益!B124="",0,未审附注之负债及权益!B124)</f>
        <v>0</v>
      </c>
      <c r="C124" s="2410">
        <f>IF(未审附注之负债及权益!C124="",0,未审附注之负债及权益!C124)</f>
        <v>0</v>
      </c>
      <c r="D124" s="2410">
        <f>IF(未审附注之负债及权益!D124="",0,未审附注之负债及权益!D124)</f>
        <v>0</v>
      </c>
      <c r="E124" s="2398"/>
      <c r="F124" s="2398"/>
      <c r="G124" s="2398"/>
      <c r="H124" s="2398"/>
      <c r="I124" s="2436" t="s">
        <v>1045</v>
      </c>
    </row>
    <row r="125" spans="1:9">
      <c r="A125" s="2410">
        <f>IF(未审附注之负债及权益!A125="",0,未审附注之负债及权益!A125)</f>
        <v>0</v>
      </c>
      <c r="B125" s="2403">
        <f>IF(未审附注之负债及权益!B125="",0,未审附注之负债及权益!B125)</f>
        <v>0</v>
      </c>
      <c r="C125" s="2410">
        <f>IF(未审附注之负债及权益!C125="",0,未审附注之负债及权益!C125)</f>
        <v>0</v>
      </c>
      <c r="D125" s="2410">
        <f>IF(未审附注之负债及权益!D125="",0,未审附注之负债及权益!D125)</f>
        <v>0</v>
      </c>
      <c r="E125" s="2398"/>
      <c r="F125" s="2398"/>
      <c r="G125" s="2398"/>
      <c r="H125" s="2398"/>
      <c r="I125" s="2436" t="s">
        <v>1045</v>
      </c>
    </row>
    <row r="126" spans="1:9">
      <c r="A126" s="2410">
        <f>IF(未审附注之负债及权益!A126="",0,未审附注之负债及权益!A126)</f>
        <v>0</v>
      </c>
      <c r="B126" s="2403">
        <f>IF(未审附注之负债及权益!B126="",0,未审附注之负债及权益!B126)</f>
        <v>0</v>
      </c>
      <c r="C126" s="2410">
        <f>IF(未审附注之负债及权益!C126="",0,未审附注之负债及权益!C126)</f>
        <v>0</v>
      </c>
      <c r="D126" s="2410">
        <f>IF(未审附注之负债及权益!D126="",0,未审附注之负债及权益!D126)</f>
        <v>0</v>
      </c>
      <c r="E126" s="2398"/>
      <c r="F126" s="2398"/>
      <c r="G126" s="2398"/>
      <c r="H126" s="2398"/>
      <c r="I126" s="2436" t="s">
        <v>1045</v>
      </c>
    </row>
    <row r="127" spans="1:9">
      <c r="A127" s="2410">
        <f>IF(未审附注之负债及权益!A127="",0,未审附注之负债及权益!A127)</f>
        <v>0</v>
      </c>
      <c r="B127" s="2403">
        <f>IF(未审附注之负债及权益!B127="",0,未审附注之负债及权益!B127)</f>
        <v>0</v>
      </c>
      <c r="C127" s="2410">
        <f>IF(未审附注之负债及权益!C127="",0,未审附注之负债及权益!C127)</f>
        <v>0</v>
      </c>
      <c r="D127" s="2410">
        <f>IF(未审附注之负债及权益!D127="",0,未审附注之负债及权益!D127)</f>
        <v>0</v>
      </c>
      <c r="E127" s="2398"/>
      <c r="F127" s="2398"/>
      <c r="G127" s="2398"/>
      <c r="H127" s="2398"/>
      <c r="I127" s="2436" t="s">
        <v>1045</v>
      </c>
    </row>
    <row r="128" spans="1:9">
      <c r="A128" s="2410">
        <f>IF(未审附注之负债及权益!A128="",0,未审附注之负债及权益!A128)</f>
        <v>0</v>
      </c>
      <c r="B128" s="2403">
        <f>IF(未审附注之负债及权益!B128="",0,未审附注之负债及权益!B128)</f>
        <v>0</v>
      </c>
      <c r="C128" s="2410">
        <f>IF(未审附注之负债及权益!C128="",0,未审附注之负债及权益!C128)</f>
        <v>0</v>
      </c>
      <c r="D128" s="2410">
        <f>IF(未审附注之负债及权益!D128="",0,未审附注之负债及权益!D128)</f>
        <v>0</v>
      </c>
      <c r="E128" s="2398"/>
      <c r="F128" s="2398"/>
      <c r="G128" s="2398"/>
      <c r="H128" s="2398"/>
      <c r="I128" s="2436" t="s">
        <v>1045</v>
      </c>
    </row>
    <row r="129" spans="1:9">
      <c r="A129" s="2410">
        <f>IF(未审附注之负债及权益!A129="",0,未审附注之负债及权益!A129)</f>
        <v>0</v>
      </c>
      <c r="B129" s="2403">
        <f>IF(未审附注之负债及权益!B129="",0,未审附注之负债及权益!B129)</f>
        <v>0</v>
      </c>
      <c r="C129" s="2410">
        <f>IF(未审附注之负债及权益!C129="",0,未审附注之负债及权益!C129)</f>
        <v>0</v>
      </c>
      <c r="D129" s="2410">
        <f>IF(未审附注之负债及权益!D129="",0,未审附注之负债及权益!D129)</f>
        <v>0</v>
      </c>
      <c r="E129" s="2398"/>
      <c r="F129" s="2398"/>
      <c r="G129" s="2398"/>
      <c r="H129" s="2398"/>
      <c r="I129" s="2436" t="s">
        <v>1045</v>
      </c>
    </row>
    <row r="130" spans="1:9">
      <c r="A130" s="2410">
        <f>IF(未审附注之负债及权益!A130="",0,未审附注之负债及权益!A130)</f>
        <v>0</v>
      </c>
      <c r="B130" s="2403">
        <f>IF(未审附注之负债及权益!B130="",0,未审附注之负债及权益!B130)</f>
        <v>0</v>
      </c>
      <c r="C130" s="2410">
        <f>IF(未审附注之负债及权益!C130="",0,未审附注之负债及权益!C130)</f>
        <v>0</v>
      </c>
      <c r="D130" s="2410">
        <f>IF(未审附注之负债及权益!D130="",0,未审附注之负债及权益!D130)</f>
        <v>0</v>
      </c>
      <c r="E130" s="2398"/>
      <c r="F130" s="2398"/>
      <c r="G130" s="2398"/>
      <c r="H130" s="2398"/>
      <c r="I130" s="2436" t="s">
        <v>1045</v>
      </c>
    </row>
    <row r="131" spans="1:9">
      <c r="A131" s="2410">
        <f>IF(未审附注之负债及权益!A131="",0,未审附注之负债及权益!A131)</f>
        <v>0</v>
      </c>
      <c r="B131" s="2403">
        <f>IF(未审附注之负债及权益!B131="",0,未审附注之负债及权益!B131)</f>
        <v>0</v>
      </c>
      <c r="C131" s="2410">
        <f>IF(未审附注之负债及权益!C131="",0,未审附注之负债及权益!C131)</f>
        <v>0</v>
      </c>
      <c r="D131" s="2410">
        <f>IF(未审附注之负债及权益!D131="",0,未审附注之负债及权益!D131)</f>
        <v>0</v>
      </c>
      <c r="E131" s="2398"/>
      <c r="F131" s="2398"/>
      <c r="G131" s="2398"/>
      <c r="H131" s="2398"/>
      <c r="I131" s="2436" t="s">
        <v>1045</v>
      </c>
    </row>
    <row r="132" spans="1:9">
      <c r="A132" s="2400" t="s">
        <v>385</v>
      </c>
      <c r="B132" s="2369">
        <f>ROUND(SUM(B122:B131),2)</f>
        <v>0</v>
      </c>
      <c r="C132" s="2369"/>
      <c r="D132" s="2369"/>
      <c r="E132" s="2398"/>
      <c r="F132" s="2398"/>
      <c r="G132" s="2398"/>
      <c r="H132" s="2398"/>
      <c r="I132" s="2436" t="s">
        <v>1046</v>
      </c>
    </row>
    <row r="133" spans="1:8">
      <c r="A133" s="2421"/>
      <c r="B133" s="2398"/>
      <c r="C133" s="2398"/>
      <c r="D133" s="2398"/>
      <c r="E133" s="2398"/>
      <c r="F133" s="2398"/>
      <c r="G133" s="2398"/>
      <c r="H133" s="2398"/>
    </row>
    <row r="134" spans="1:8">
      <c r="A134" s="2414" t="s">
        <v>1031</v>
      </c>
      <c r="B134" s="2398"/>
      <c r="C134" s="2398"/>
      <c r="D134" s="2398"/>
      <c r="E134" s="2398"/>
      <c r="F134" s="2398"/>
      <c r="G134" s="2398"/>
      <c r="H134" s="2398"/>
    </row>
    <row r="135" spans="1:8">
      <c r="A135" s="2400" t="s">
        <v>495</v>
      </c>
      <c r="B135" s="2400" t="s">
        <v>316</v>
      </c>
      <c r="C135" s="2400" t="s">
        <v>317</v>
      </c>
      <c r="D135" s="2400" t="s">
        <v>496</v>
      </c>
      <c r="E135" s="2398"/>
      <c r="F135" s="2398"/>
      <c r="G135" s="2398"/>
      <c r="H135" s="2398"/>
    </row>
    <row r="136" spans="1:9">
      <c r="A136" s="2410">
        <f>IF(未审附注之负债及权益!A136="",0,未审附注之负债及权益!A136)</f>
        <v>0</v>
      </c>
      <c r="B136" s="2403">
        <f>IF(未审附注之负债及权益!B136="",0,未审附注之负债及权益!B136)</f>
        <v>0</v>
      </c>
      <c r="C136" s="2403">
        <f>IF(未审附注之负债及权益!C136="",0,未审附注之负债及权益!C136)</f>
        <v>0</v>
      </c>
      <c r="D136" s="2410">
        <f>IF(未审附注之负债及权益!D136="",0,未审附注之负债及权益!D136)</f>
        <v>0</v>
      </c>
      <c r="E136" s="2398"/>
      <c r="F136" s="2398"/>
      <c r="G136" s="2398"/>
      <c r="H136" s="2398"/>
      <c r="I136" s="2436" t="s">
        <v>1047</v>
      </c>
    </row>
    <row r="137" spans="1:9">
      <c r="A137" s="2410">
        <f>IF(未审附注之负债及权益!A137="",0,未审附注之负债及权益!A137)</f>
        <v>0</v>
      </c>
      <c r="B137" s="2403">
        <f>IF(未审附注之负债及权益!B137="",0,未审附注之负债及权益!B137)</f>
        <v>0</v>
      </c>
      <c r="C137" s="2403">
        <f>IF(未审附注之负债及权益!C137="",0,未审附注之负债及权益!C137)</f>
        <v>0</v>
      </c>
      <c r="D137" s="2410">
        <f>IF(未审附注之负债及权益!D137="",0,未审附注之负债及权益!D137)</f>
        <v>0</v>
      </c>
      <c r="E137" s="2398"/>
      <c r="F137" s="2398"/>
      <c r="G137" s="2398"/>
      <c r="H137" s="2398"/>
      <c r="I137" s="2436" t="s">
        <v>1047</v>
      </c>
    </row>
    <row r="138" spans="1:9">
      <c r="A138" s="2410">
        <f>IF(未审附注之负债及权益!A138="",0,未审附注之负债及权益!A138)</f>
        <v>0</v>
      </c>
      <c r="B138" s="2403">
        <f>IF(未审附注之负债及权益!B138="",0,未审附注之负债及权益!B138)</f>
        <v>0</v>
      </c>
      <c r="C138" s="2403">
        <f>IF(未审附注之负债及权益!C138="",0,未审附注之负债及权益!C138)</f>
        <v>0</v>
      </c>
      <c r="D138" s="2410">
        <f>IF(未审附注之负债及权益!D138="",0,未审附注之负债及权益!D138)</f>
        <v>0</v>
      </c>
      <c r="E138" s="2398"/>
      <c r="F138" s="2398"/>
      <c r="G138" s="2398"/>
      <c r="H138" s="2398"/>
      <c r="I138" s="2436" t="s">
        <v>1047</v>
      </c>
    </row>
    <row r="139" spans="1:9">
      <c r="A139" s="2410">
        <f>IF(未审附注之负债及权益!A139="",0,未审附注之负债及权益!A139)</f>
        <v>0</v>
      </c>
      <c r="B139" s="2403">
        <f>IF(未审附注之负债及权益!B139="",0,未审附注之负债及权益!B139)</f>
        <v>0</v>
      </c>
      <c r="C139" s="2403">
        <f>IF(未审附注之负债及权益!C139="",0,未审附注之负债及权益!C139)</f>
        <v>0</v>
      </c>
      <c r="D139" s="2410">
        <f>IF(未审附注之负债及权益!D139="",0,未审附注之负债及权益!D139)</f>
        <v>0</v>
      </c>
      <c r="E139" s="2398"/>
      <c r="F139" s="2398"/>
      <c r="G139" s="2398"/>
      <c r="H139" s="2398"/>
      <c r="I139" s="2436" t="s">
        <v>1047</v>
      </c>
    </row>
    <row r="140" spans="1:9">
      <c r="A140" s="2410">
        <f>IF(未审附注之负债及权益!A140="",0,未审附注之负债及权益!A140)</f>
        <v>0</v>
      </c>
      <c r="B140" s="2403">
        <f>IF(未审附注之负债及权益!B140="",0,未审附注之负债及权益!B140)</f>
        <v>0</v>
      </c>
      <c r="C140" s="2403">
        <f>IF(未审附注之负债及权益!C140="",0,未审附注之负债及权益!C140)</f>
        <v>0</v>
      </c>
      <c r="D140" s="2410">
        <f>IF(未审附注之负债及权益!D140="",0,未审附注之负债及权益!D140)</f>
        <v>0</v>
      </c>
      <c r="E140" s="2398"/>
      <c r="F140" s="2398"/>
      <c r="G140" s="2398"/>
      <c r="H140" s="2398"/>
      <c r="I140" s="2436" t="s">
        <v>1047</v>
      </c>
    </row>
    <row r="141" spans="1:9">
      <c r="A141" s="2410">
        <f>IF(未审附注之负债及权益!A141="",0,未审附注之负债及权益!A141)</f>
        <v>0</v>
      </c>
      <c r="B141" s="2403">
        <f>IF(未审附注之负债及权益!B141="",0,未审附注之负债及权益!B141)</f>
        <v>0</v>
      </c>
      <c r="C141" s="2403">
        <f>IF(未审附注之负债及权益!C141="",0,未审附注之负债及权益!C141)</f>
        <v>0</v>
      </c>
      <c r="D141" s="2410">
        <f>IF(未审附注之负债及权益!D141="",0,未审附注之负债及权益!D141)</f>
        <v>0</v>
      </c>
      <c r="E141" s="2398"/>
      <c r="F141" s="2398"/>
      <c r="G141" s="2398"/>
      <c r="H141" s="2398"/>
      <c r="I141" s="2436" t="s">
        <v>1047</v>
      </c>
    </row>
    <row r="142" spans="1:9">
      <c r="A142" s="2410">
        <f>IF(未审附注之负债及权益!A142="",0,未审附注之负债及权益!A142)</f>
        <v>0</v>
      </c>
      <c r="B142" s="2403">
        <f>IF(未审附注之负债及权益!B142="",0,未审附注之负债及权益!B142)</f>
        <v>0</v>
      </c>
      <c r="C142" s="2403">
        <f>IF(未审附注之负债及权益!C142="",0,未审附注之负债及权益!C142)</f>
        <v>0</v>
      </c>
      <c r="D142" s="2410">
        <f>IF(未审附注之负债及权益!D142="",0,未审附注之负债及权益!D142)</f>
        <v>0</v>
      </c>
      <c r="E142" s="2398"/>
      <c r="F142" s="2398"/>
      <c r="G142" s="2398"/>
      <c r="H142" s="2398"/>
      <c r="I142" s="2436" t="s">
        <v>1047</v>
      </c>
    </row>
    <row r="143" spans="1:9">
      <c r="A143" s="2410">
        <f>IF(未审附注之负债及权益!A143="",0,未审附注之负债及权益!A143)</f>
        <v>0</v>
      </c>
      <c r="B143" s="2403">
        <f>IF(未审附注之负债及权益!B143="",0,未审附注之负债及权益!B143)</f>
        <v>0</v>
      </c>
      <c r="C143" s="2403">
        <f>IF(未审附注之负债及权益!C143="",0,未审附注之负债及权益!C143)</f>
        <v>0</v>
      </c>
      <c r="D143" s="2410">
        <f>IF(未审附注之负债及权益!D143="",0,未审附注之负债及权益!D143)</f>
        <v>0</v>
      </c>
      <c r="E143" s="2398"/>
      <c r="F143" s="2398"/>
      <c r="G143" s="2398"/>
      <c r="H143" s="2398"/>
      <c r="I143" s="2436" t="s">
        <v>1047</v>
      </c>
    </row>
    <row r="144" spans="1:9">
      <c r="A144" s="2410">
        <f>IF(未审附注之负债及权益!A144="",0,未审附注之负债及权益!A144)</f>
        <v>0</v>
      </c>
      <c r="B144" s="2403">
        <f>IF(未审附注之负债及权益!B144="",0,未审附注之负债及权益!B144)</f>
        <v>0</v>
      </c>
      <c r="C144" s="2403">
        <f>IF(未审附注之负债及权益!C144="",0,未审附注之负债及权益!C144)</f>
        <v>0</v>
      </c>
      <c r="D144" s="2410">
        <f>IF(未审附注之负债及权益!D144="",0,未审附注之负债及权益!D144)</f>
        <v>0</v>
      </c>
      <c r="E144" s="2398"/>
      <c r="F144" s="2398"/>
      <c r="G144" s="2398"/>
      <c r="H144" s="2398"/>
      <c r="I144" s="2436" t="s">
        <v>1047</v>
      </c>
    </row>
    <row r="145" spans="1:9">
      <c r="A145" s="2410">
        <f>IF(未审附注之负债及权益!A145="",0,未审附注之负债及权益!A145)</f>
        <v>0</v>
      </c>
      <c r="B145" s="2403">
        <f>IF(未审附注之负债及权益!B145="",0,未审附注之负债及权益!B145)</f>
        <v>0</v>
      </c>
      <c r="C145" s="2403">
        <f>IF(未审附注之负债及权益!C145="",0,未审附注之负债及权益!C145)</f>
        <v>0</v>
      </c>
      <c r="D145" s="2410">
        <f>IF(未审附注之负债及权益!D145="",0,未审附注之负债及权益!D145)</f>
        <v>0</v>
      </c>
      <c r="E145" s="2398"/>
      <c r="F145" s="2398"/>
      <c r="G145" s="2398"/>
      <c r="H145" s="2398"/>
      <c r="I145" s="2436" t="s">
        <v>1047</v>
      </c>
    </row>
    <row r="146" spans="1:9">
      <c r="A146" s="2400" t="s">
        <v>385</v>
      </c>
      <c r="B146" s="2369">
        <f>ROUND(SUM(B136:B145),2)</f>
        <v>0</v>
      </c>
      <c r="C146" s="2369">
        <f>ROUND(SUM(C136:C145),2)</f>
        <v>0</v>
      </c>
      <c r="D146" s="2369"/>
      <c r="E146" s="2398"/>
      <c r="F146" s="2398"/>
      <c r="G146" s="2398"/>
      <c r="H146" s="2398"/>
      <c r="I146" s="2436" t="s">
        <v>1048</v>
      </c>
    </row>
    <row r="147" spans="1:8">
      <c r="A147" s="2421"/>
      <c r="B147" s="2398"/>
      <c r="C147" s="2398"/>
      <c r="D147" s="2398"/>
      <c r="E147" s="2398"/>
      <c r="F147" s="2398"/>
      <c r="G147" s="2398"/>
      <c r="H147" s="2398"/>
    </row>
    <row r="148" spans="1:8">
      <c r="A148" s="2399" t="s">
        <v>1034</v>
      </c>
      <c r="B148" s="2398"/>
      <c r="C148" s="2398"/>
      <c r="D148" s="2398"/>
      <c r="E148" s="2398"/>
      <c r="F148" s="2398"/>
      <c r="G148" s="2398"/>
      <c r="H148" s="2398"/>
    </row>
    <row r="149" spans="1:8">
      <c r="A149" s="2400" t="s">
        <v>569</v>
      </c>
      <c r="B149" s="2400" t="s">
        <v>316</v>
      </c>
      <c r="C149" s="2400" t="s">
        <v>317</v>
      </c>
      <c r="D149" s="2400" t="s">
        <v>496</v>
      </c>
      <c r="E149" s="2398"/>
      <c r="F149" s="2398"/>
      <c r="G149" s="2398"/>
      <c r="H149" s="2398"/>
    </row>
    <row r="150" spans="1:9">
      <c r="A150" s="2410">
        <f>IF(未审附注之负债及权益!A150="",0,未审附注之负债及权益!A150)</f>
        <v>0</v>
      </c>
      <c r="B150" s="2403">
        <f>IF(未审附注之负债及权益!B150="",0,未审附注之负债及权益!B150)</f>
        <v>0</v>
      </c>
      <c r="C150" s="2403">
        <f>IF(未审附注之负债及权益!C150="",0,未审附注之负债及权益!C150)</f>
        <v>0</v>
      </c>
      <c r="D150" s="2410">
        <f>IF(未审附注之负债及权益!D150="",0,未审附注之负债及权益!D150)</f>
        <v>0</v>
      </c>
      <c r="E150" s="2398"/>
      <c r="F150" s="2398"/>
      <c r="G150" s="2398"/>
      <c r="H150" s="2398"/>
      <c r="I150" s="2436" t="s">
        <v>1049</v>
      </c>
    </row>
    <row r="151" spans="1:9">
      <c r="A151" s="2410">
        <f>IF(未审附注之负债及权益!A151="",0,未审附注之负债及权益!A151)</f>
        <v>0</v>
      </c>
      <c r="B151" s="2403">
        <f>IF(未审附注之负债及权益!B151="",0,未审附注之负债及权益!B151)</f>
        <v>0</v>
      </c>
      <c r="C151" s="2403">
        <f>IF(未审附注之负债及权益!C151="",0,未审附注之负债及权益!C151)</f>
        <v>0</v>
      </c>
      <c r="D151" s="2410">
        <f>IF(未审附注之负债及权益!D151="",0,未审附注之负债及权益!D151)</f>
        <v>0</v>
      </c>
      <c r="E151" s="2398"/>
      <c r="F151" s="2398"/>
      <c r="G151" s="2398"/>
      <c r="H151" s="2398"/>
      <c r="I151" s="2436" t="s">
        <v>1049</v>
      </c>
    </row>
    <row r="152" spans="1:9">
      <c r="A152" s="2410">
        <f>IF(未审附注之负债及权益!A152="",0,未审附注之负债及权益!A152)</f>
        <v>0</v>
      </c>
      <c r="B152" s="2403">
        <f>IF(未审附注之负债及权益!B152="",0,未审附注之负债及权益!B152)</f>
        <v>0</v>
      </c>
      <c r="C152" s="2403">
        <f>IF(未审附注之负债及权益!C152="",0,未审附注之负债及权益!C152)</f>
        <v>0</v>
      </c>
      <c r="D152" s="2410">
        <f>IF(未审附注之负债及权益!D152="",0,未审附注之负债及权益!D152)</f>
        <v>0</v>
      </c>
      <c r="E152" s="2398"/>
      <c r="F152" s="2398"/>
      <c r="G152" s="2398"/>
      <c r="H152" s="2398"/>
      <c r="I152" s="2436" t="s">
        <v>1049</v>
      </c>
    </row>
    <row r="153" spans="1:9">
      <c r="A153" s="2410">
        <f>IF(未审附注之负债及权益!A153="",0,未审附注之负债及权益!A153)</f>
        <v>0</v>
      </c>
      <c r="B153" s="2403">
        <f>IF(未审附注之负债及权益!B153="",0,未审附注之负债及权益!B153)</f>
        <v>0</v>
      </c>
      <c r="C153" s="2403">
        <f>IF(未审附注之负债及权益!C153="",0,未审附注之负债及权益!C153)</f>
        <v>0</v>
      </c>
      <c r="D153" s="2410">
        <f>IF(未审附注之负债及权益!D153="",0,未审附注之负债及权益!D153)</f>
        <v>0</v>
      </c>
      <c r="E153" s="2398"/>
      <c r="F153" s="2398"/>
      <c r="G153" s="2398"/>
      <c r="H153" s="2398"/>
      <c r="I153" s="2436" t="s">
        <v>1049</v>
      </c>
    </row>
    <row r="154" spans="1:9">
      <c r="A154" s="2410">
        <f>IF(未审附注之负债及权益!A154="",0,未审附注之负债及权益!A154)</f>
        <v>0</v>
      </c>
      <c r="B154" s="2403">
        <f>IF(未审附注之负债及权益!B154="",0,未审附注之负债及权益!B154)</f>
        <v>0</v>
      </c>
      <c r="C154" s="2403">
        <f>IF(未审附注之负债及权益!C154="",0,未审附注之负债及权益!C154)</f>
        <v>0</v>
      </c>
      <c r="D154" s="2410">
        <f>IF(未审附注之负债及权益!D154="",0,未审附注之负债及权益!D154)</f>
        <v>0</v>
      </c>
      <c r="E154" s="2398"/>
      <c r="F154" s="2398"/>
      <c r="G154" s="2398"/>
      <c r="H154" s="2398"/>
      <c r="I154" s="2436" t="s">
        <v>1049</v>
      </c>
    </row>
    <row r="155" spans="1:9">
      <c r="A155" s="2410">
        <f>IF(未审附注之负债及权益!A155="",0,未审附注之负债及权益!A155)</f>
        <v>0</v>
      </c>
      <c r="B155" s="2403">
        <f>IF(未审附注之负债及权益!B155="",0,未审附注之负债及权益!B155)</f>
        <v>0</v>
      </c>
      <c r="C155" s="2403">
        <f>IF(未审附注之负债及权益!C155="",0,未审附注之负债及权益!C155)</f>
        <v>0</v>
      </c>
      <c r="D155" s="2410">
        <f>IF(未审附注之负债及权益!D155="",0,未审附注之负债及权益!D155)</f>
        <v>0</v>
      </c>
      <c r="E155" s="2398"/>
      <c r="F155" s="2398"/>
      <c r="G155" s="2398"/>
      <c r="H155" s="2398"/>
      <c r="I155" s="2436" t="s">
        <v>1049</v>
      </c>
    </row>
    <row r="156" spans="1:9">
      <c r="A156" s="2410">
        <f>IF(未审附注之负债及权益!A156="",0,未审附注之负债及权益!A156)</f>
        <v>0</v>
      </c>
      <c r="B156" s="2403">
        <f>IF(未审附注之负债及权益!B156="",0,未审附注之负债及权益!B156)</f>
        <v>0</v>
      </c>
      <c r="C156" s="2403">
        <f>IF(未审附注之负债及权益!C156="",0,未审附注之负债及权益!C156)</f>
        <v>0</v>
      </c>
      <c r="D156" s="2410">
        <f>IF(未审附注之负债及权益!D156="",0,未审附注之负债及权益!D156)</f>
        <v>0</v>
      </c>
      <c r="E156" s="2398"/>
      <c r="F156" s="2398"/>
      <c r="G156" s="2398"/>
      <c r="H156" s="2398"/>
      <c r="I156" s="2436" t="s">
        <v>1049</v>
      </c>
    </row>
    <row r="157" spans="1:9">
      <c r="A157" s="2410">
        <f>IF(未审附注之负债及权益!A157="",0,未审附注之负债及权益!A157)</f>
        <v>0</v>
      </c>
      <c r="B157" s="2403">
        <f>IF(未审附注之负债及权益!B157="",0,未审附注之负债及权益!B157)</f>
        <v>0</v>
      </c>
      <c r="C157" s="2403">
        <f>IF(未审附注之负债及权益!C157="",0,未审附注之负债及权益!C157)</f>
        <v>0</v>
      </c>
      <c r="D157" s="2410">
        <f>IF(未审附注之负债及权益!D157="",0,未审附注之负债及权益!D157)</f>
        <v>0</v>
      </c>
      <c r="E157" s="2398"/>
      <c r="F157" s="2398"/>
      <c r="G157" s="2398"/>
      <c r="H157" s="2398"/>
      <c r="I157" s="2436" t="s">
        <v>1049</v>
      </c>
    </row>
    <row r="158" spans="1:9">
      <c r="A158" s="2410">
        <f>IF(未审附注之负债及权益!A158="",0,未审附注之负债及权益!A158)</f>
        <v>0</v>
      </c>
      <c r="B158" s="2403">
        <f>IF(未审附注之负债及权益!B158="",0,未审附注之负债及权益!B158)</f>
        <v>0</v>
      </c>
      <c r="C158" s="2403">
        <f>IF(未审附注之负债及权益!C158="",0,未审附注之负债及权益!C158)</f>
        <v>0</v>
      </c>
      <c r="D158" s="2410">
        <f>IF(未审附注之负债及权益!D158="",0,未审附注之负债及权益!D158)</f>
        <v>0</v>
      </c>
      <c r="E158" s="2398"/>
      <c r="F158" s="2398"/>
      <c r="G158" s="2398"/>
      <c r="H158" s="2398"/>
      <c r="I158" s="2436" t="s">
        <v>1049</v>
      </c>
    </row>
    <row r="159" spans="1:9">
      <c r="A159" s="2410">
        <f>IF(未审附注之负债及权益!A159="",0,未审附注之负债及权益!A159)</f>
        <v>0</v>
      </c>
      <c r="B159" s="2403">
        <f>IF(未审附注之负债及权益!B159="",0,未审附注之负债及权益!B159)</f>
        <v>0</v>
      </c>
      <c r="C159" s="2403">
        <f>IF(未审附注之负债及权益!C159="",0,未审附注之负债及权益!C159)</f>
        <v>0</v>
      </c>
      <c r="D159" s="2410">
        <f>IF(未审附注之负债及权益!D159="",0,未审附注之负债及权益!D159)</f>
        <v>0</v>
      </c>
      <c r="E159" s="2398"/>
      <c r="F159" s="2398"/>
      <c r="G159" s="2398"/>
      <c r="H159" s="2398"/>
      <c r="I159" s="2436" t="s">
        <v>1049</v>
      </c>
    </row>
    <row r="160" spans="1:9">
      <c r="A160" s="2400" t="s">
        <v>385</v>
      </c>
      <c r="B160" s="2369">
        <f>ROUND(SUM(B150:B159),2)</f>
        <v>0</v>
      </c>
      <c r="C160" s="2369">
        <f>ROUND(SUM(C150:C159),2)</f>
        <v>0</v>
      </c>
      <c r="D160" s="2369"/>
      <c r="E160" s="2398"/>
      <c r="F160" s="2398"/>
      <c r="G160" s="2398"/>
      <c r="H160" s="2398"/>
      <c r="I160" s="2436" t="s">
        <v>1050</v>
      </c>
    </row>
    <row r="161" spans="1:8">
      <c r="A161" s="2421"/>
      <c r="B161" s="2398"/>
      <c r="C161" s="2398"/>
      <c r="D161" s="2398"/>
      <c r="E161" s="2398"/>
      <c r="F161" s="2398"/>
      <c r="G161" s="2398"/>
      <c r="H161" s="2398"/>
    </row>
    <row r="162" spans="1:8">
      <c r="A162" s="2421"/>
      <c r="B162" s="2398"/>
      <c r="C162" s="2398"/>
      <c r="D162" s="2398"/>
      <c r="E162" s="2398"/>
      <c r="F162" s="2398"/>
      <c r="G162" s="2398"/>
      <c r="H162" s="2398"/>
    </row>
    <row r="163" spans="1:8">
      <c r="A163" s="2397" t="s">
        <v>1051</v>
      </c>
      <c r="B163" s="2398"/>
      <c r="C163" s="2398"/>
      <c r="D163" s="2398"/>
      <c r="E163" s="2398"/>
      <c r="F163" s="2398"/>
      <c r="G163" s="2398"/>
      <c r="H163" s="2398"/>
    </row>
    <row r="164" spans="1:8">
      <c r="A164" s="2400" t="s">
        <v>373</v>
      </c>
      <c r="B164" s="2400" t="s">
        <v>317</v>
      </c>
      <c r="C164" s="2400" t="s">
        <v>582</v>
      </c>
      <c r="D164" s="2400" t="s">
        <v>1052</v>
      </c>
      <c r="E164" s="2400" t="s">
        <v>316</v>
      </c>
      <c r="F164" s="2398"/>
      <c r="G164" s="2398"/>
      <c r="H164" s="2398"/>
    </row>
    <row r="165" spans="1:9">
      <c r="A165" s="2402" t="s">
        <v>1053</v>
      </c>
      <c r="B165" s="2403">
        <f>IF(未审附注之负债及权益!B165="",0,未审附注之负债及权益!B165)</f>
        <v>0</v>
      </c>
      <c r="C165" s="2403">
        <f>IF(未审附注之负债及权益!C165="",0,未审附注之负债及权益!C165)</f>
        <v>0</v>
      </c>
      <c r="D165" s="2403">
        <f>IF(未审附注之负债及权益!D165="",0,未审附注之负债及权益!D165)</f>
        <v>0</v>
      </c>
      <c r="E165" s="2369">
        <f>ROUND(B165+C165-D165,2)</f>
        <v>0</v>
      </c>
      <c r="F165" s="2398"/>
      <c r="G165" s="2398"/>
      <c r="H165" s="2398"/>
      <c r="I165" s="2436" t="s">
        <v>1054</v>
      </c>
    </row>
    <row r="166" spans="1:9">
      <c r="A166" s="2402" t="s">
        <v>1055</v>
      </c>
      <c r="B166" s="2403">
        <f>IF(未审附注之负债及权益!B166="",0,未审附注之负债及权益!B166)</f>
        <v>0</v>
      </c>
      <c r="C166" s="2403">
        <f>IF(未审附注之负债及权益!C166="",0,未审附注之负债及权益!C166)</f>
        <v>0</v>
      </c>
      <c r="D166" s="2403">
        <f>IF(未审附注之负债及权益!D166="",0,未审附注之负债及权益!D166)</f>
        <v>0</v>
      </c>
      <c r="E166" s="2369">
        <f t="shared" ref="E166:E180" si="0">ROUND(B166+C166-D166,2)</f>
        <v>0</v>
      </c>
      <c r="F166" s="2398"/>
      <c r="G166" s="2398"/>
      <c r="H166" s="2398"/>
      <c r="I166" s="2436" t="s">
        <v>1056</v>
      </c>
    </row>
    <row r="167" spans="1:9">
      <c r="A167" s="2402" t="s">
        <v>1057</v>
      </c>
      <c r="B167" s="2369">
        <f>ROUND(SUM(B168:B173),2)</f>
        <v>0</v>
      </c>
      <c r="C167" s="2369">
        <f>ROUND(SUM(C168:C173),2)</f>
        <v>0</v>
      </c>
      <c r="D167" s="2369">
        <f>ROUND(SUM(D168:D173),2)</f>
        <v>0</v>
      </c>
      <c r="E167" s="2369">
        <f t="shared" si="0"/>
        <v>0</v>
      </c>
      <c r="F167" s="2398"/>
      <c r="G167" s="2398"/>
      <c r="H167" s="2398"/>
      <c r="I167" s="2436" t="s">
        <v>1058</v>
      </c>
    </row>
    <row r="168" spans="1:9">
      <c r="A168" s="2402" t="s">
        <v>1059</v>
      </c>
      <c r="B168" s="2403">
        <f>IF(未审附注之负债及权益!B168="",0,未审附注之负债及权益!B168)</f>
        <v>0</v>
      </c>
      <c r="C168" s="2403">
        <f>IF(未审附注之负债及权益!C168="",0,未审附注之负债及权益!C168)</f>
        <v>0</v>
      </c>
      <c r="D168" s="2403">
        <f>IF(未审附注之负债及权益!D168="",0,未审附注之负债及权益!D168)</f>
        <v>0</v>
      </c>
      <c r="E168" s="2369">
        <f t="shared" si="0"/>
        <v>0</v>
      </c>
      <c r="F168" s="2398"/>
      <c r="G168" s="2398"/>
      <c r="H168" s="2398"/>
      <c r="I168" s="2436" t="s">
        <v>1060</v>
      </c>
    </row>
    <row r="169" spans="1:9">
      <c r="A169" s="2405" t="s">
        <v>1061</v>
      </c>
      <c r="B169" s="2403">
        <f>IF(未审附注之负债及权益!B169="",0,未审附注之负债及权益!B169)</f>
        <v>0</v>
      </c>
      <c r="C169" s="2403">
        <f>IF(未审附注之负债及权益!C169="",0,未审附注之负债及权益!C169)</f>
        <v>0</v>
      </c>
      <c r="D169" s="2403">
        <f>IF(未审附注之负债及权益!D169="",0,未审附注之负债及权益!D169)</f>
        <v>0</v>
      </c>
      <c r="E169" s="2369">
        <f t="shared" si="0"/>
        <v>0</v>
      </c>
      <c r="F169" s="2398"/>
      <c r="G169" s="2398"/>
      <c r="H169" s="2398"/>
      <c r="I169" s="2436" t="s">
        <v>1062</v>
      </c>
    </row>
    <row r="170" spans="1:9">
      <c r="A170" s="2405" t="s">
        <v>1063</v>
      </c>
      <c r="B170" s="2403">
        <f>IF(未审附注之负债及权益!B170="",0,未审附注之负债及权益!B170)</f>
        <v>0</v>
      </c>
      <c r="C170" s="2403">
        <f>IF(未审附注之负债及权益!C170="",0,未审附注之负债及权益!C170)</f>
        <v>0</v>
      </c>
      <c r="D170" s="2403">
        <f>IF(未审附注之负债及权益!D170="",0,未审附注之负债及权益!D170)</f>
        <v>0</v>
      </c>
      <c r="E170" s="2369">
        <f t="shared" si="0"/>
        <v>0</v>
      </c>
      <c r="F170" s="2398"/>
      <c r="G170" s="2398"/>
      <c r="H170" s="2398"/>
      <c r="I170" s="2436" t="s">
        <v>1064</v>
      </c>
    </row>
    <row r="171" spans="1:9">
      <c r="A171" s="2405" t="s">
        <v>1065</v>
      </c>
      <c r="B171" s="2403">
        <f>IF(未审附注之负债及权益!B171="",0,未审附注之负债及权益!B171)</f>
        <v>0</v>
      </c>
      <c r="C171" s="2403">
        <f>IF(未审附注之负债及权益!C171="",0,未审附注之负债及权益!C171)</f>
        <v>0</v>
      </c>
      <c r="D171" s="2403">
        <f>IF(未审附注之负债及权益!D171="",0,未审附注之负债及权益!D171)</f>
        <v>0</v>
      </c>
      <c r="E171" s="2369">
        <f t="shared" si="0"/>
        <v>0</v>
      </c>
      <c r="F171" s="2398"/>
      <c r="G171" s="2398"/>
      <c r="H171" s="2398"/>
      <c r="I171" s="2436" t="s">
        <v>1066</v>
      </c>
    </row>
    <row r="172" spans="1:9">
      <c r="A172" s="2405" t="s">
        <v>1067</v>
      </c>
      <c r="B172" s="2403">
        <f>IF(未审附注之负债及权益!B172="",0,未审附注之负债及权益!B172)</f>
        <v>0</v>
      </c>
      <c r="C172" s="2403">
        <f>IF(未审附注之负债及权益!C172="",0,未审附注之负债及权益!C172)</f>
        <v>0</v>
      </c>
      <c r="D172" s="2403">
        <f>IF(未审附注之负债及权益!D172="",0,未审附注之负债及权益!D172)</f>
        <v>0</v>
      </c>
      <c r="E172" s="2369">
        <f t="shared" si="0"/>
        <v>0</v>
      </c>
      <c r="F172" s="2398"/>
      <c r="G172" s="2398"/>
      <c r="H172" s="2398"/>
      <c r="I172" s="2436" t="s">
        <v>1068</v>
      </c>
    </row>
    <row r="173" spans="1:9">
      <c r="A173" s="2405" t="s">
        <v>1069</v>
      </c>
      <c r="B173" s="2403">
        <f>IF(未审附注之负债及权益!B173="",0,未审附注之负债及权益!B173)</f>
        <v>0</v>
      </c>
      <c r="C173" s="2403">
        <f>IF(未审附注之负债及权益!C173="",0,未审附注之负债及权益!C173)</f>
        <v>0</v>
      </c>
      <c r="D173" s="2403">
        <f>IF(未审附注之负债及权益!D173="",0,未审附注之负债及权益!D173)</f>
        <v>0</v>
      </c>
      <c r="E173" s="2369">
        <f t="shared" si="0"/>
        <v>0</v>
      </c>
      <c r="F173" s="2398"/>
      <c r="G173" s="2398"/>
      <c r="H173" s="2398"/>
      <c r="I173" s="2436" t="s">
        <v>1070</v>
      </c>
    </row>
    <row r="174" spans="1:9">
      <c r="A174" s="2402" t="s">
        <v>1071</v>
      </c>
      <c r="B174" s="2403">
        <f>IF(未审附注之负债及权益!B174="",0,未审附注之负债及权益!B174)</f>
        <v>0</v>
      </c>
      <c r="C174" s="2403">
        <f>IF(未审附注之负债及权益!C174="",0,未审附注之负债及权益!C174)</f>
        <v>0</v>
      </c>
      <c r="D174" s="2403">
        <f>IF(未审附注之负债及权益!D174="",0,未审附注之负债及权益!D174)</f>
        <v>0</v>
      </c>
      <c r="E174" s="2369">
        <f t="shared" si="0"/>
        <v>0</v>
      </c>
      <c r="F174" s="2398"/>
      <c r="G174" s="2398"/>
      <c r="H174" s="2398"/>
      <c r="I174" s="2436" t="s">
        <v>1072</v>
      </c>
    </row>
    <row r="175" spans="1:9">
      <c r="A175" s="2402" t="s">
        <v>1073</v>
      </c>
      <c r="B175" s="2403">
        <f>IF(未审附注之负债及权益!B175="",0,未审附注之负债及权益!B175)</f>
        <v>0</v>
      </c>
      <c r="C175" s="2403">
        <f>IF(未审附注之负债及权益!C175="",0,未审附注之负债及权益!C175)</f>
        <v>0</v>
      </c>
      <c r="D175" s="2403">
        <f>IF(未审附注之负债及权益!D175="",0,未审附注之负债及权益!D175)</f>
        <v>0</v>
      </c>
      <c r="E175" s="2369">
        <f t="shared" si="0"/>
        <v>0</v>
      </c>
      <c r="F175" s="2398"/>
      <c r="G175" s="2398"/>
      <c r="H175" s="2398"/>
      <c r="I175" s="2436" t="s">
        <v>1074</v>
      </c>
    </row>
    <row r="176" spans="1:9">
      <c r="A176" s="2402" t="s">
        <v>1075</v>
      </c>
      <c r="B176" s="2403">
        <f>IF(未审附注之负债及权益!B176="",0,未审附注之负债及权益!B176)</f>
        <v>0</v>
      </c>
      <c r="C176" s="2403">
        <f>IF(未审附注之负债及权益!C176="",0,未审附注之负债及权益!C176)</f>
        <v>0</v>
      </c>
      <c r="D176" s="2403">
        <f>IF(未审附注之负债及权益!D176="",0,未审附注之负债及权益!D176)</f>
        <v>0</v>
      </c>
      <c r="E176" s="2369">
        <f t="shared" si="0"/>
        <v>0</v>
      </c>
      <c r="F176" s="2398"/>
      <c r="G176" s="2398"/>
      <c r="H176" s="2398"/>
      <c r="I176" s="2436" t="s">
        <v>1076</v>
      </c>
    </row>
    <row r="177" spans="1:9">
      <c r="A177" s="2402" t="s">
        <v>1077</v>
      </c>
      <c r="B177" s="2403">
        <f>IF(未审附注之负债及权益!B177="",0,未审附注之负债及权益!B177)</f>
        <v>0</v>
      </c>
      <c r="C177" s="2403">
        <f>IF(未审附注之负债及权益!C177="",0,未审附注之负债及权益!C177)</f>
        <v>0</v>
      </c>
      <c r="D177" s="2403">
        <f>IF(未审附注之负债及权益!D177="",0,未审附注之负债及权益!D177)</f>
        <v>0</v>
      </c>
      <c r="E177" s="2369">
        <f t="shared" si="0"/>
        <v>0</v>
      </c>
      <c r="F177" s="2398"/>
      <c r="G177" s="2398"/>
      <c r="H177" s="2398"/>
      <c r="I177" s="2436" t="s">
        <v>1078</v>
      </c>
    </row>
    <row r="178" spans="1:9">
      <c r="A178" s="2402" t="s">
        <v>1079</v>
      </c>
      <c r="B178" s="2403">
        <f>IF(未审附注之负债及权益!B178="",0,未审附注之负债及权益!B178)</f>
        <v>0</v>
      </c>
      <c r="C178" s="2403">
        <f>IF(未审附注之负债及权益!C178="",0,未审附注之负债及权益!C178)</f>
        <v>0</v>
      </c>
      <c r="D178" s="2403">
        <f>IF(未审附注之负债及权益!D178="",0,未审附注之负债及权益!D178)</f>
        <v>0</v>
      </c>
      <c r="E178" s="2369">
        <f t="shared" si="0"/>
        <v>0</v>
      </c>
      <c r="F178" s="2398"/>
      <c r="G178" s="2398"/>
      <c r="H178" s="2398"/>
      <c r="I178" s="2436" t="s">
        <v>1080</v>
      </c>
    </row>
    <row r="179" spans="1:9">
      <c r="A179" s="2402" t="s">
        <v>1081</v>
      </c>
      <c r="B179" s="2403">
        <f>IF(未审附注之负债及权益!B179="",0,未审附注之负债及权益!B179)</f>
        <v>0</v>
      </c>
      <c r="C179" s="2403">
        <f>IF(未审附注之负债及权益!C179="",0,未审附注之负债及权益!C179)</f>
        <v>0</v>
      </c>
      <c r="D179" s="2403">
        <f>IF(未审附注之负债及权益!D179="",0,未审附注之负债及权益!D179)</f>
        <v>0</v>
      </c>
      <c r="E179" s="2369">
        <f t="shared" si="0"/>
        <v>0</v>
      </c>
      <c r="F179" s="2398"/>
      <c r="G179" s="2398"/>
      <c r="H179" s="2398"/>
      <c r="I179" s="2436" t="s">
        <v>1082</v>
      </c>
    </row>
    <row r="180" spans="1:9">
      <c r="A180" s="2402" t="s">
        <v>385</v>
      </c>
      <c r="B180" s="2369">
        <f>ROUND(B165+B166+B167+B174+B175+B176+B177+B178,2)</f>
        <v>0</v>
      </c>
      <c r="C180" s="2369">
        <f>ROUND(C165+C166+C167+C174+C175+C176+C177+C178,2)</f>
        <v>0</v>
      </c>
      <c r="D180" s="2369">
        <f>ROUND(D165+D166+D167+D174+D175+D176+D177+D178,2)</f>
        <v>0</v>
      </c>
      <c r="E180" s="2369">
        <f t="shared" si="0"/>
        <v>0</v>
      </c>
      <c r="F180" s="2398"/>
      <c r="G180" s="2398"/>
      <c r="H180" s="2398"/>
      <c r="I180" s="2436" t="s">
        <v>1083</v>
      </c>
    </row>
    <row r="181" spans="1:8">
      <c r="A181" s="2437"/>
      <c r="B181" s="2437"/>
      <c r="C181" s="2437"/>
      <c r="D181" s="2437"/>
      <c r="E181" s="2437"/>
      <c r="F181" s="2398"/>
      <c r="G181" s="2398"/>
      <c r="H181" s="2398"/>
    </row>
    <row r="182" spans="1:8">
      <c r="A182" s="2437"/>
      <c r="B182" s="2437"/>
      <c r="C182" s="2437"/>
      <c r="D182" s="2437"/>
      <c r="E182" s="2437"/>
      <c r="F182" s="2398"/>
      <c r="G182" s="2398"/>
      <c r="H182" s="2398"/>
    </row>
    <row r="183" spans="1:8">
      <c r="A183" s="2397" t="s">
        <v>1084</v>
      </c>
      <c r="B183" s="2398"/>
      <c r="C183" s="2398"/>
      <c r="D183" s="2398"/>
      <c r="E183" s="2398"/>
      <c r="F183" s="2398"/>
      <c r="G183" s="2398"/>
      <c r="H183" s="2398"/>
    </row>
    <row r="184" spans="1:8">
      <c r="A184" s="2400" t="s">
        <v>1085</v>
      </c>
      <c r="B184" s="2400" t="s">
        <v>316</v>
      </c>
      <c r="C184" s="2400" t="s">
        <v>317</v>
      </c>
      <c r="D184" s="2398"/>
      <c r="E184" s="2398"/>
      <c r="F184" s="2398"/>
      <c r="G184" s="2398"/>
      <c r="H184" s="2398"/>
    </row>
    <row r="185" spans="1:9">
      <c r="A185" s="2402" t="s">
        <v>1086</v>
      </c>
      <c r="B185" s="2403">
        <f>IF(未审附注之负债及权益!B185="",0,未审附注之负债及权益!B185)</f>
        <v>0</v>
      </c>
      <c r="C185" s="2403">
        <f>IF(未审附注之负债及权益!C185="",0,未审附注之负债及权益!C185)</f>
        <v>0</v>
      </c>
      <c r="D185" s="2398"/>
      <c r="E185" s="2398"/>
      <c r="F185" s="2398"/>
      <c r="G185" s="2398"/>
      <c r="H185" s="2398"/>
      <c r="I185" s="2436" t="s">
        <v>1087</v>
      </c>
    </row>
    <row r="186" spans="1:9">
      <c r="A186" s="2402" t="s">
        <v>1088</v>
      </c>
      <c r="B186" s="2403">
        <f>IF(未审附注之负债及权益!B186="",0,未审附注之负债及权益!B186)</f>
        <v>0</v>
      </c>
      <c r="C186" s="2403">
        <f>IF(未审附注之负债及权益!C186="",0,未审附注之负债及权益!C186)</f>
        <v>0</v>
      </c>
      <c r="D186" s="2398"/>
      <c r="E186" s="2398"/>
      <c r="F186" s="2398"/>
      <c r="G186" s="2398"/>
      <c r="H186" s="2398"/>
      <c r="I186" s="2436" t="s">
        <v>1089</v>
      </c>
    </row>
    <row r="187" spans="1:9">
      <c r="A187" s="2402" t="s">
        <v>1090</v>
      </c>
      <c r="B187" s="2403">
        <f>IF(未审附注之负债及权益!B187="",0,未审附注之负债及权益!B187)</f>
        <v>0</v>
      </c>
      <c r="C187" s="2403">
        <f>IF(未审附注之负债及权益!C187="",0,未审附注之负债及权益!C187)</f>
        <v>0</v>
      </c>
      <c r="D187" s="2398"/>
      <c r="E187" s="2398"/>
      <c r="F187" s="2398"/>
      <c r="G187" s="2398"/>
      <c r="H187" s="2398"/>
      <c r="I187" s="2436" t="s">
        <v>1091</v>
      </c>
    </row>
    <row r="188" spans="1:9">
      <c r="A188" s="2402" t="s">
        <v>1092</v>
      </c>
      <c r="B188" s="2403">
        <f>IF(未审附注之负债及权益!B188="",0,未审附注之负债及权益!B188)</f>
        <v>0</v>
      </c>
      <c r="C188" s="2403">
        <f>IF(未审附注之负债及权益!C188="",0,未审附注之负债及权益!C188)</f>
        <v>0</v>
      </c>
      <c r="D188" s="2398"/>
      <c r="E188" s="2398"/>
      <c r="F188" s="2398"/>
      <c r="G188" s="2398"/>
      <c r="H188" s="2398"/>
      <c r="I188" s="2436" t="s">
        <v>1093</v>
      </c>
    </row>
    <row r="189" spans="1:9">
      <c r="A189" s="2402" t="s">
        <v>1094</v>
      </c>
      <c r="B189" s="2403">
        <f>IF(未审附注之负债及权益!B189="",0,未审附注之负债及权益!B189)</f>
        <v>0</v>
      </c>
      <c r="C189" s="2403">
        <f>IF(未审附注之负债及权益!C189="",0,未审附注之负债及权益!C189)</f>
        <v>0</v>
      </c>
      <c r="D189" s="2398"/>
      <c r="E189" s="2398"/>
      <c r="F189" s="2398"/>
      <c r="G189" s="2398"/>
      <c r="H189" s="2398"/>
      <c r="I189" s="2436" t="s">
        <v>1095</v>
      </c>
    </row>
    <row r="190" spans="1:9">
      <c r="A190" s="2402" t="s">
        <v>1096</v>
      </c>
      <c r="B190" s="2403">
        <f>IF(未审附注之负债及权益!B190="",0,未审附注之负债及权益!B190)</f>
        <v>0</v>
      </c>
      <c r="C190" s="2403">
        <f>IF(未审附注之负债及权益!C190="",0,未审附注之负债及权益!C190)</f>
        <v>0</v>
      </c>
      <c r="D190" s="2398"/>
      <c r="E190" s="2398"/>
      <c r="F190" s="2398"/>
      <c r="G190" s="2398"/>
      <c r="H190" s="2398"/>
      <c r="I190" s="2436" t="s">
        <v>1097</v>
      </c>
    </row>
    <row r="191" spans="1:9">
      <c r="A191" s="2402" t="s">
        <v>1098</v>
      </c>
      <c r="B191" s="2403">
        <f>IF(未审附注之负债及权益!B191="",0,未审附注之负债及权益!B191)</f>
        <v>0</v>
      </c>
      <c r="C191" s="2403">
        <f>IF(未审附注之负债及权益!C191="",0,未审附注之负债及权益!C191)</f>
        <v>0</v>
      </c>
      <c r="D191" s="2398"/>
      <c r="E191" s="2398"/>
      <c r="F191" s="2398"/>
      <c r="G191" s="2398"/>
      <c r="H191" s="2398"/>
      <c r="I191" s="2436" t="s">
        <v>1099</v>
      </c>
    </row>
    <row r="192" spans="1:9">
      <c r="A192" s="2402" t="s">
        <v>1100</v>
      </c>
      <c r="B192" s="2403">
        <f>IF(未审附注之负债及权益!B192="",0,未审附注之负债及权益!B192)</f>
        <v>0</v>
      </c>
      <c r="C192" s="2403">
        <f>IF(未审附注之负债及权益!C192="",0,未审附注之负债及权益!C192)</f>
        <v>0</v>
      </c>
      <c r="D192" s="2398"/>
      <c r="E192" s="2398"/>
      <c r="F192" s="2398"/>
      <c r="G192" s="2398"/>
      <c r="H192" s="2398"/>
      <c r="I192" s="2436" t="s">
        <v>1101</v>
      </c>
    </row>
    <row r="193" spans="1:9">
      <c r="A193" s="2402" t="s">
        <v>1102</v>
      </c>
      <c r="B193" s="2403">
        <f>IF(未审附注之负债及权益!B193="",0,未审附注之负债及权益!B193)</f>
        <v>0</v>
      </c>
      <c r="C193" s="2403">
        <f>IF(未审附注之负债及权益!C193="",0,未审附注之负债及权益!C193)</f>
        <v>0</v>
      </c>
      <c r="D193" s="2398"/>
      <c r="E193" s="2398"/>
      <c r="F193" s="2398"/>
      <c r="G193" s="2398"/>
      <c r="H193" s="2398"/>
      <c r="I193" s="2436" t="s">
        <v>1103</v>
      </c>
    </row>
    <row r="194" spans="1:9">
      <c r="A194" s="2402" t="s">
        <v>1104</v>
      </c>
      <c r="B194" s="2403">
        <f>IF(未审附注之负债及权益!B194="",0,未审附注之负债及权益!B194)</f>
        <v>0</v>
      </c>
      <c r="C194" s="2403">
        <f>IF(未审附注之负债及权益!C194="",0,未审附注之负债及权益!C194)</f>
        <v>0</v>
      </c>
      <c r="D194" s="2398"/>
      <c r="E194" s="2398"/>
      <c r="F194" s="2398"/>
      <c r="G194" s="2398"/>
      <c r="H194" s="2398"/>
      <c r="I194" s="2436" t="s">
        <v>1105</v>
      </c>
    </row>
    <row r="195" spans="1:9">
      <c r="A195" s="2402" t="s">
        <v>1106</v>
      </c>
      <c r="B195" s="2403">
        <f>IF(未审附注之负债及权益!B195="",0,未审附注之负债及权益!B195)</f>
        <v>0</v>
      </c>
      <c r="C195" s="2403">
        <f>IF(未审附注之负债及权益!C195="",0,未审附注之负债及权益!C195)</f>
        <v>0</v>
      </c>
      <c r="D195" s="2398"/>
      <c r="E195" s="2398"/>
      <c r="F195" s="2398"/>
      <c r="G195" s="2398"/>
      <c r="H195" s="2398"/>
      <c r="I195" s="2436" t="s">
        <v>1107</v>
      </c>
    </row>
    <row r="196" spans="1:9">
      <c r="A196" s="2402" t="s">
        <v>280</v>
      </c>
      <c r="B196" s="2403">
        <f>IF(未审附注之负债及权益!B196="",0,未审附注之负债及权益!B196)</f>
        <v>0</v>
      </c>
      <c r="C196" s="2403">
        <f>IF(未审附注之负债及权益!C196="",0,未审附注之负债及权益!C196)</f>
        <v>0</v>
      </c>
      <c r="D196" s="2398"/>
      <c r="E196" s="2398"/>
      <c r="F196" s="2398"/>
      <c r="G196" s="2398"/>
      <c r="H196" s="2398"/>
      <c r="I196" s="2436" t="s">
        <v>1108</v>
      </c>
    </row>
    <row r="197" spans="1:9">
      <c r="A197" s="2400" t="s">
        <v>385</v>
      </c>
      <c r="B197" s="2369">
        <f>ROUND(SUM(B185:B196),2)</f>
        <v>0</v>
      </c>
      <c r="C197" s="2369">
        <f>ROUND(SUM(C185:C196),2)</f>
        <v>0</v>
      </c>
      <c r="D197" s="2398"/>
      <c r="E197" s="2398"/>
      <c r="F197" s="2398"/>
      <c r="G197" s="2398"/>
      <c r="H197" s="2398"/>
      <c r="I197" s="2436" t="s">
        <v>1109</v>
      </c>
    </row>
    <row r="198" spans="1:8">
      <c r="A198" s="2398"/>
      <c r="B198" s="2398"/>
      <c r="C198" s="2398"/>
      <c r="D198" s="2398"/>
      <c r="E198" s="2398"/>
      <c r="F198" s="2398"/>
      <c r="G198" s="2398"/>
      <c r="H198" s="2398"/>
    </row>
    <row r="199" spans="1:8">
      <c r="A199" s="2421"/>
      <c r="B199" s="2398"/>
      <c r="C199" s="2398"/>
      <c r="D199" s="2398"/>
      <c r="E199" s="2398"/>
      <c r="F199" s="2398"/>
      <c r="G199" s="2398"/>
      <c r="H199" s="2398"/>
    </row>
    <row r="200" spans="1:8">
      <c r="A200" s="2397" t="s">
        <v>1110</v>
      </c>
      <c r="B200" s="2398"/>
      <c r="C200" s="2398"/>
      <c r="D200" s="2398"/>
      <c r="E200" s="2398"/>
      <c r="F200" s="2398"/>
      <c r="G200" s="2398"/>
      <c r="H200" s="2398"/>
    </row>
    <row r="201" spans="1:8">
      <c r="A201" s="2400" t="s">
        <v>433</v>
      </c>
      <c r="B201" s="2400" t="s">
        <v>316</v>
      </c>
      <c r="C201" s="2400" t="s">
        <v>317</v>
      </c>
      <c r="D201" s="2400" t="s">
        <v>1111</v>
      </c>
      <c r="E201" s="2398"/>
      <c r="F201" s="2398"/>
      <c r="G201" s="2398"/>
      <c r="H201" s="2398"/>
    </row>
    <row r="202" spans="1:9">
      <c r="A202" s="2410">
        <f>IF(未审附注之负债及权益!A202="",0,未审附注之负债及权益!A202)</f>
        <v>0</v>
      </c>
      <c r="B202" s="2403">
        <f>IF(未审附注之负债及权益!B202="",0,未审附注之负债及权益!B202)</f>
        <v>0</v>
      </c>
      <c r="C202" s="2403">
        <f>IF(未审附注之负债及权益!C202="",0,未审附注之负债及权益!C202)</f>
        <v>0</v>
      </c>
      <c r="D202" s="2410">
        <f>IF(未审附注之负债及权益!D202="",0,未审附注之负债及权益!D202)</f>
        <v>0</v>
      </c>
      <c r="E202" s="2398"/>
      <c r="F202" s="2398"/>
      <c r="G202" s="2398"/>
      <c r="H202" s="2398"/>
      <c r="I202" s="2404" t="s">
        <v>211</v>
      </c>
    </row>
    <row r="203" spans="1:9">
      <c r="A203" s="2410">
        <f>IF(未审附注之负债及权益!A203="",0,未审附注之负债及权益!A203)</f>
        <v>0</v>
      </c>
      <c r="B203" s="2403">
        <f>IF(未审附注之负债及权益!B203="",0,未审附注之负债及权益!B203)</f>
        <v>0</v>
      </c>
      <c r="C203" s="2403">
        <f>IF(未审附注之负债及权益!C203="",0,未审附注之负债及权益!C203)</f>
        <v>0</v>
      </c>
      <c r="D203" s="2410">
        <f>IF(未审附注之负债及权益!D203="",0,未审附注之负债及权益!D203)</f>
        <v>0</v>
      </c>
      <c r="E203" s="2398"/>
      <c r="F203" s="2398"/>
      <c r="G203" s="2398"/>
      <c r="H203" s="2398"/>
      <c r="I203" s="2404" t="s">
        <v>211</v>
      </c>
    </row>
    <row r="204" spans="1:9">
      <c r="A204" s="2410">
        <f>IF(未审附注之负债及权益!A204="",0,未审附注之负债及权益!A204)</f>
        <v>0</v>
      </c>
      <c r="B204" s="2403">
        <f>IF(未审附注之负债及权益!B204="",0,未审附注之负债及权益!B204)</f>
        <v>0</v>
      </c>
      <c r="C204" s="2403">
        <f>IF(未审附注之负债及权益!C204="",0,未审附注之负债及权益!C204)</f>
        <v>0</v>
      </c>
      <c r="D204" s="2410">
        <f>IF(未审附注之负债及权益!D204="",0,未审附注之负债及权益!D204)</f>
        <v>0</v>
      </c>
      <c r="E204" s="2398"/>
      <c r="F204" s="2398"/>
      <c r="G204" s="2398"/>
      <c r="H204" s="2398"/>
      <c r="I204" s="2404" t="s">
        <v>211</v>
      </c>
    </row>
    <row r="205" spans="1:9">
      <c r="A205" s="2410">
        <f>IF(未审附注之负债及权益!A205="",0,未审附注之负债及权益!A205)</f>
        <v>0</v>
      </c>
      <c r="B205" s="2403">
        <f>IF(未审附注之负债及权益!B205="",0,未审附注之负债及权益!B205)</f>
        <v>0</v>
      </c>
      <c r="C205" s="2403">
        <f>IF(未审附注之负债及权益!C205="",0,未审附注之负债及权益!C205)</f>
        <v>0</v>
      </c>
      <c r="D205" s="2410">
        <f>IF(未审附注之负债及权益!D205="",0,未审附注之负债及权益!D205)</f>
        <v>0</v>
      </c>
      <c r="E205" s="2398"/>
      <c r="F205" s="2398"/>
      <c r="G205" s="2398"/>
      <c r="H205" s="2398"/>
      <c r="I205" s="2404" t="s">
        <v>211</v>
      </c>
    </row>
    <row r="206" spans="1:9">
      <c r="A206" s="2410">
        <f>IF(未审附注之负债及权益!A206="",0,未审附注之负债及权益!A206)</f>
        <v>0</v>
      </c>
      <c r="B206" s="2403">
        <f>IF(未审附注之负债及权益!B206="",0,未审附注之负债及权益!B206)</f>
        <v>0</v>
      </c>
      <c r="C206" s="2403">
        <f>IF(未审附注之负债及权益!C206="",0,未审附注之负债及权益!C206)</f>
        <v>0</v>
      </c>
      <c r="D206" s="2410">
        <f>IF(未审附注之负债及权益!D206="",0,未审附注之负债及权益!D206)</f>
        <v>0</v>
      </c>
      <c r="E206" s="2398"/>
      <c r="F206" s="2398"/>
      <c r="G206" s="2398"/>
      <c r="H206" s="2398"/>
      <c r="I206" s="2404" t="s">
        <v>211</v>
      </c>
    </row>
    <row r="207" spans="1:9">
      <c r="A207" s="2410">
        <f>IF(未审附注之负债及权益!A207="",0,未审附注之负债及权益!A207)</f>
        <v>0</v>
      </c>
      <c r="B207" s="2403">
        <f>IF(未审附注之负债及权益!B207="",0,未审附注之负债及权益!B207)</f>
        <v>0</v>
      </c>
      <c r="C207" s="2403">
        <f>IF(未审附注之负债及权益!C207="",0,未审附注之负债及权益!C207)</f>
        <v>0</v>
      </c>
      <c r="D207" s="2410">
        <f>IF(未审附注之负债及权益!D207="",0,未审附注之负债及权益!D207)</f>
        <v>0</v>
      </c>
      <c r="E207" s="2398"/>
      <c r="F207" s="2398"/>
      <c r="G207" s="2398"/>
      <c r="H207" s="2398"/>
      <c r="I207" s="2404" t="s">
        <v>211</v>
      </c>
    </row>
    <row r="208" spans="1:9">
      <c r="A208" s="2410">
        <f>IF(未审附注之负债及权益!A208="",0,未审附注之负债及权益!A208)</f>
        <v>0</v>
      </c>
      <c r="B208" s="2403">
        <f>IF(未审附注之负债及权益!B208="",0,未审附注之负债及权益!B208)</f>
        <v>0</v>
      </c>
      <c r="C208" s="2403">
        <f>IF(未审附注之负债及权益!C208="",0,未审附注之负债及权益!C208)</f>
        <v>0</v>
      </c>
      <c r="D208" s="2410">
        <f>IF(未审附注之负债及权益!D208="",0,未审附注之负债及权益!D208)</f>
        <v>0</v>
      </c>
      <c r="E208" s="2398"/>
      <c r="F208" s="2398"/>
      <c r="G208" s="2398"/>
      <c r="H208" s="2398"/>
      <c r="I208" s="2404" t="s">
        <v>211</v>
      </c>
    </row>
    <row r="209" spans="1:9">
      <c r="A209" s="2410">
        <f>IF(未审附注之负债及权益!A209="",0,未审附注之负债及权益!A209)</f>
        <v>0</v>
      </c>
      <c r="B209" s="2403">
        <f>IF(未审附注之负债及权益!B209="",0,未审附注之负债及权益!B209)</f>
        <v>0</v>
      </c>
      <c r="C209" s="2403">
        <f>IF(未审附注之负债及权益!C209="",0,未审附注之负债及权益!C209)</f>
        <v>0</v>
      </c>
      <c r="D209" s="2410">
        <f>IF(未审附注之负债及权益!D209="",0,未审附注之负债及权益!D209)</f>
        <v>0</v>
      </c>
      <c r="E209" s="2398"/>
      <c r="F209" s="2398"/>
      <c r="G209" s="2398"/>
      <c r="H209" s="2398"/>
      <c r="I209" s="2404" t="s">
        <v>211</v>
      </c>
    </row>
    <row r="210" spans="1:9">
      <c r="A210" s="2410">
        <f>IF(未审附注之负债及权益!A210="",0,未审附注之负债及权益!A210)</f>
        <v>0</v>
      </c>
      <c r="B210" s="2403">
        <f>IF(未审附注之负债及权益!B210="",0,未审附注之负债及权益!B210)</f>
        <v>0</v>
      </c>
      <c r="C210" s="2403">
        <f>IF(未审附注之负债及权益!C210="",0,未审附注之负债及权益!C210)</f>
        <v>0</v>
      </c>
      <c r="D210" s="2410">
        <f>IF(未审附注之负债及权益!D210="",0,未审附注之负债及权益!D210)</f>
        <v>0</v>
      </c>
      <c r="E210" s="2398"/>
      <c r="F210" s="2398"/>
      <c r="G210" s="2398"/>
      <c r="H210" s="2398"/>
      <c r="I210" s="2404" t="s">
        <v>211</v>
      </c>
    </row>
    <row r="211" spans="1:9">
      <c r="A211" s="2410">
        <f>IF(未审附注之负债及权益!A211="",0,未审附注之负债及权益!A211)</f>
        <v>0</v>
      </c>
      <c r="B211" s="2403">
        <f>IF(未审附注之负债及权益!B211="",0,未审附注之负债及权益!B211)</f>
        <v>0</v>
      </c>
      <c r="C211" s="2403">
        <f>IF(未审附注之负债及权益!C211="",0,未审附注之负债及权益!C211)</f>
        <v>0</v>
      </c>
      <c r="D211" s="2410">
        <f>IF(未审附注之负债及权益!D211="",0,未审附注之负债及权益!D211)</f>
        <v>0</v>
      </c>
      <c r="E211" s="2398"/>
      <c r="F211" s="2398"/>
      <c r="G211" s="2398"/>
      <c r="H211" s="2398"/>
      <c r="I211" s="2404" t="s">
        <v>211</v>
      </c>
    </row>
    <row r="212" spans="1:9">
      <c r="A212" s="2400" t="s">
        <v>385</v>
      </c>
      <c r="B212" s="2369">
        <f>ROUND(SUM(B202:B211),2)</f>
        <v>0</v>
      </c>
      <c r="C212" s="2369">
        <f>ROUND(SUM(C202:C211),2)</f>
        <v>0</v>
      </c>
      <c r="D212" s="2369"/>
      <c r="E212" s="2398"/>
      <c r="F212" s="2398"/>
      <c r="G212" s="2398"/>
      <c r="H212" s="2398"/>
      <c r="I212" s="2404" t="s">
        <v>1112</v>
      </c>
    </row>
    <row r="213" spans="1:8">
      <c r="A213" s="2398"/>
      <c r="B213" s="2398"/>
      <c r="C213" s="2398"/>
      <c r="D213" s="2398"/>
      <c r="E213" s="2398"/>
      <c r="F213" s="2398"/>
      <c r="G213" s="2398"/>
      <c r="H213" s="2398"/>
    </row>
    <row r="214" spans="1:8">
      <c r="A214" s="2421"/>
      <c r="B214" s="2398"/>
      <c r="C214" s="2398"/>
      <c r="D214" s="2398"/>
      <c r="E214" s="2398"/>
      <c r="F214" s="2398"/>
      <c r="G214" s="2398"/>
      <c r="H214" s="2398"/>
    </row>
    <row r="215" spans="1:8">
      <c r="A215" s="2397" t="s">
        <v>1113</v>
      </c>
      <c r="B215" s="2398"/>
      <c r="C215" s="2398"/>
      <c r="D215" s="2398"/>
      <c r="E215" s="2398"/>
      <c r="F215" s="2398"/>
      <c r="G215" s="2398"/>
      <c r="H215" s="2398"/>
    </row>
    <row r="216" spans="1:8">
      <c r="A216" s="2400" t="s">
        <v>1114</v>
      </c>
      <c r="B216" s="2400" t="s">
        <v>316</v>
      </c>
      <c r="C216" s="2400" t="s">
        <v>317</v>
      </c>
      <c r="D216" s="2400" t="s">
        <v>1111</v>
      </c>
      <c r="E216" s="2398"/>
      <c r="F216" s="2398"/>
      <c r="G216" s="2398"/>
      <c r="H216" s="2398"/>
    </row>
    <row r="217" spans="1:9">
      <c r="A217" s="2410">
        <f>IF(未审附注之负债及权益!A217="",0,未审附注之负债及权益!A217)</f>
        <v>0</v>
      </c>
      <c r="B217" s="2403">
        <f>IF(未审附注之负债及权益!B217="",0,未审附注之负债及权益!B217)</f>
        <v>0</v>
      </c>
      <c r="C217" s="2403">
        <f>IF(未审附注之负债及权益!C217="",0,未审附注之负债及权益!C217)</f>
        <v>0</v>
      </c>
      <c r="D217" s="2410">
        <f>IF(未审附注之负债及权益!D217="",0,未审附注之负债及权益!D217)</f>
        <v>0</v>
      </c>
      <c r="E217" s="2398"/>
      <c r="F217" s="2398"/>
      <c r="G217" s="2398"/>
      <c r="H217" s="2398"/>
      <c r="I217" s="2404" t="s">
        <v>213</v>
      </c>
    </row>
    <row r="218" spans="1:9">
      <c r="A218" s="2410">
        <f>IF(未审附注之负债及权益!A218="",0,未审附注之负债及权益!A218)</f>
        <v>0</v>
      </c>
      <c r="B218" s="2403">
        <f>IF(未审附注之负债及权益!B218="",0,未审附注之负债及权益!B218)</f>
        <v>0</v>
      </c>
      <c r="C218" s="2403">
        <f>IF(未审附注之负债及权益!C218="",0,未审附注之负债及权益!C218)</f>
        <v>0</v>
      </c>
      <c r="D218" s="2410">
        <f>IF(未审附注之负债及权益!D218="",0,未审附注之负债及权益!D218)</f>
        <v>0</v>
      </c>
      <c r="E218" s="2398"/>
      <c r="F218" s="2398"/>
      <c r="G218" s="2398"/>
      <c r="H218" s="2398"/>
      <c r="I218" s="2404" t="s">
        <v>213</v>
      </c>
    </row>
    <row r="219" spans="1:9">
      <c r="A219" s="2410">
        <f>IF(未审附注之负债及权益!A219="",0,未审附注之负债及权益!A219)</f>
        <v>0</v>
      </c>
      <c r="B219" s="2403">
        <f>IF(未审附注之负债及权益!B219="",0,未审附注之负债及权益!B219)</f>
        <v>0</v>
      </c>
      <c r="C219" s="2403">
        <f>IF(未审附注之负债及权益!C219="",0,未审附注之负债及权益!C219)</f>
        <v>0</v>
      </c>
      <c r="D219" s="2410">
        <f>IF(未审附注之负债及权益!D219="",0,未审附注之负债及权益!D219)</f>
        <v>0</v>
      </c>
      <c r="E219" s="2398"/>
      <c r="F219" s="2398"/>
      <c r="G219" s="2398"/>
      <c r="H219" s="2398"/>
      <c r="I219" s="2404" t="s">
        <v>213</v>
      </c>
    </row>
    <row r="220" spans="1:9">
      <c r="A220" s="2410">
        <f>IF(未审附注之负债及权益!A220="",0,未审附注之负债及权益!A220)</f>
        <v>0</v>
      </c>
      <c r="B220" s="2403">
        <f>IF(未审附注之负债及权益!B220="",0,未审附注之负债及权益!B220)</f>
        <v>0</v>
      </c>
      <c r="C220" s="2403">
        <f>IF(未审附注之负债及权益!C220="",0,未审附注之负债及权益!C220)</f>
        <v>0</v>
      </c>
      <c r="D220" s="2410">
        <f>IF(未审附注之负债及权益!D220="",0,未审附注之负债及权益!D220)</f>
        <v>0</v>
      </c>
      <c r="E220" s="2398"/>
      <c r="F220" s="2398"/>
      <c r="G220" s="2398"/>
      <c r="H220" s="2398"/>
      <c r="I220" s="2404" t="s">
        <v>213</v>
      </c>
    </row>
    <row r="221" spans="1:9">
      <c r="A221" s="2410">
        <f>IF(未审附注之负债及权益!A221="",0,未审附注之负债及权益!A221)</f>
        <v>0</v>
      </c>
      <c r="B221" s="2403">
        <f>IF(未审附注之负债及权益!B221="",0,未审附注之负债及权益!B221)</f>
        <v>0</v>
      </c>
      <c r="C221" s="2403">
        <f>IF(未审附注之负债及权益!C221="",0,未审附注之负债及权益!C221)</f>
        <v>0</v>
      </c>
      <c r="D221" s="2410">
        <f>IF(未审附注之负债及权益!D221="",0,未审附注之负债及权益!D221)</f>
        <v>0</v>
      </c>
      <c r="E221" s="2398"/>
      <c r="F221" s="2398"/>
      <c r="G221" s="2398"/>
      <c r="H221" s="2398"/>
      <c r="I221" s="2404" t="s">
        <v>213</v>
      </c>
    </row>
    <row r="222" spans="1:9">
      <c r="A222" s="2410">
        <f>IF(未审附注之负债及权益!A222="",0,未审附注之负债及权益!A222)</f>
        <v>0</v>
      </c>
      <c r="B222" s="2403">
        <f>IF(未审附注之负债及权益!B222="",0,未审附注之负债及权益!B222)</f>
        <v>0</v>
      </c>
      <c r="C222" s="2403">
        <f>IF(未审附注之负债及权益!C222="",0,未审附注之负债及权益!C222)</f>
        <v>0</v>
      </c>
      <c r="D222" s="2410">
        <f>IF(未审附注之负债及权益!D222="",0,未审附注之负债及权益!D222)</f>
        <v>0</v>
      </c>
      <c r="E222" s="2398"/>
      <c r="F222" s="2398"/>
      <c r="G222" s="2398"/>
      <c r="H222" s="2398"/>
      <c r="I222" s="2404" t="s">
        <v>213</v>
      </c>
    </row>
    <row r="223" spans="1:9">
      <c r="A223" s="2410">
        <f>IF(未审附注之负债及权益!A223="",0,未审附注之负债及权益!A223)</f>
        <v>0</v>
      </c>
      <c r="B223" s="2403">
        <f>IF(未审附注之负债及权益!B223="",0,未审附注之负债及权益!B223)</f>
        <v>0</v>
      </c>
      <c r="C223" s="2403">
        <f>IF(未审附注之负债及权益!C223="",0,未审附注之负债及权益!C223)</f>
        <v>0</v>
      </c>
      <c r="D223" s="2410">
        <f>IF(未审附注之负债及权益!D223="",0,未审附注之负债及权益!D223)</f>
        <v>0</v>
      </c>
      <c r="E223" s="2398"/>
      <c r="F223" s="2398"/>
      <c r="G223" s="2398"/>
      <c r="H223" s="2398"/>
      <c r="I223" s="2404" t="s">
        <v>213</v>
      </c>
    </row>
    <row r="224" spans="1:9">
      <c r="A224" s="2410">
        <f>IF(未审附注之负债及权益!A224="",0,未审附注之负债及权益!A224)</f>
        <v>0</v>
      </c>
      <c r="B224" s="2403">
        <f>IF(未审附注之负债及权益!B224="",0,未审附注之负债及权益!B224)</f>
        <v>0</v>
      </c>
      <c r="C224" s="2403">
        <f>IF(未审附注之负债及权益!C224="",0,未审附注之负债及权益!C224)</f>
        <v>0</v>
      </c>
      <c r="D224" s="2410">
        <f>IF(未审附注之负债及权益!D224="",0,未审附注之负债及权益!D224)</f>
        <v>0</v>
      </c>
      <c r="E224" s="2398"/>
      <c r="F224" s="2398"/>
      <c r="G224" s="2398"/>
      <c r="H224" s="2398"/>
      <c r="I224" s="2404" t="s">
        <v>213</v>
      </c>
    </row>
    <row r="225" spans="1:9">
      <c r="A225" s="2410">
        <f>IF(未审附注之负债及权益!A225="",0,未审附注之负债及权益!A225)</f>
        <v>0</v>
      </c>
      <c r="B225" s="2403">
        <f>IF(未审附注之负债及权益!B225="",0,未审附注之负债及权益!B225)</f>
        <v>0</v>
      </c>
      <c r="C225" s="2403">
        <f>IF(未审附注之负债及权益!C225="",0,未审附注之负债及权益!C225)</f>
        <v>0</v>
      </c>
      <c r="D225" s="2410">
        <f>IF(未审附注之负债及权益!D225="",0,未审附注之负债及权益!D225)</f>
        <v>0</v>
      </c>
      <c r="E225" s="2398"/>
      <c r="F225" s="2398"/>
      <c r="G225" s="2398"/>
      <c r="H225" s="2398"/>
      <c r="I225" s="2404" t="s">
        <v>213</v>
      </c>
    </row>
    <row r="226" spans="1:9">
      <c r="A226" s="2410">
        <f>IF(未审附注之负债及权益!A226="",0,未审附注之负债及权益!A226)</f>
        <v>0</v>
      </c>
      <c r="B226" s="2403">
        <f>IF(未审附注之负债及权益!B226="",0,未审附注之负债及权益!B226)</f>
        <v>0</v>
      </c>
      <c r="C226" s="2403">
        <f>IF(未审附注之负债及权益!C226="",0,未审附注之负债及权益!C226)</f>
        <v>0</v>
      </c>
      <c r="D226" s="2410">
        <f>IF(未审附注之负债及权益!D226="",0,未审附注之负债及权益!D226)</f>
        <v>0</v>
      </c>
      <c r="E226" s="2398"/>
      <c r="F226" s="2398"/>
      <c r="G226" s="2398"/>
      <c r="H226" s="2398"/>
      <c r="I226" s="2404" t="s">
        <v>213</v>
      </c>
    </row>
    <row r="227" spans="1:9">
      <c r="A227" s="2400" t="s">
        <v>385</v>
      </c>
      <c r="B227" s="2369">
        <f>ROUND(SUM(B217:B226),2)</f>
        <v>0</v>
      </c>
      <c r="C227" s="2369">
        <f>ROUND(SUM(C217:C226),2)</f>
        <v>0</v>
      </c>
      <c r="D227" s="2369"/>
      <c r="E227" s="2398"/>
      <c r="F227" s="2398"/>
      <c r="G227" s="2398"/>
      <c r="H227" s="2398"/>
      <c r="I227" s="2404" t="s">
        <v>1115</v>
      </c>
    </row>
    <row r="228" spans="1:8">
      <c r="A228" s="2421"/>
      <c r="B228" s="2398"/>
      <c r="C228" s="2398"/>
      <c r="D228" s="2398"/>
      <c r="E228" s="2398"/>
      <c r="F228" s="2398"/>
      <c r="G228" s="2398"/>
      <c r="H228" s="2398"/>
    </row>
    <row r="229" spans="1:8">
      <c r="A229" s="2421"/>
      <c r="B229" s="2398"/>
      <c r="C229" s="2398"/>
      <c r="D229" s="2398"/>
      <c r="E229" s="2398"/>
      <c r="F229" s="2398"/>
      <c r="G229" s="2398"/>
      <c r="H229" s="2398"/>
    </row>
    <row r="230" spans="1:8">
      <c r="A230" s="2397" t="s">
        <v>1116</v>
      </c>
      <c r="B230" s="2398"/>
      <c r="C230" s="2398"/>
      <c r="D230" s="2398"/>
      <c r="E230" s="2398"/>
      <c r="F230" s="2398"/>
      <c r="G230" s="2398"/>
      <c r="H230" s="2398"/>
    </row>
    <row r="231" spans="1:8">
      <c r="A231" s="2399" t="s">
        <v>1117</v>
      </c>
      <c r="B231" s="2398"/>
      <c r="C231" s="2398"/>
      <c r="D231" s="2398"/>
      <c r="E231" s="2398"/>
      <c r="F231" s="2398"/>
      <c r="G231" s="2398"/>
      <c r="H231" s="2398"/>
    </row>
    <row r="232" spans="1:8">
      <c r="A232" s="2407" t="s">
        <v>443</v>
      </c>
      <c r="B232" s="2432" t="s">
        <v>316</v>
      </c>
      <c r="C232" s="2433"/>
      <c r="D232" s="2400" t="s">
        <v>317</v>
      </c>
      <c r="E232" s="2401"/>
      <c r="F232" s="2398"/>
      <c r="G232" s="2398"/>
      <c r="H232" s="2398"/>
    </row>
    <row r="233" spans="1:8">
      <c r="A233" s="2434"/>
      <c r="B233" s="2400" t="s">
        <v>444</v>
      </c>
      <c r="C233" s="2400" t="s">
        <v>445</v>
      </c>
      <c r="D233" s="2400" t="s">
        <v>444</v>
      </c>
      <c r="E233" s="2400" t="s">
        <v>445</v>
      </c>
      <c r="F233" s="2398"/>
      <c r="G233" s="2398"/>
      <c r="H233" s="2398"/>
    </row>
    <row r="234" spans="1:9">
      <c r="A234" s="2405" t="s">
        <v>448</v>
      </c>
      <c r="B234" s="2403">
        <f>IF(未审附注之负债及权益!B234="",0,未审附注之负债及权益!B234)</f>
        <v>0</v>
      </c>
      <c r="C234" s="2435">
        <f>IF(B234=0,0,1-C235-C236-C237)</f>
        <v>0</v>
      </c>
      <c r="D234" s="2403">
        <f>IF(未审附注之负债及权益!D234="",0,未审附注之负债及权益!D234)</f>
        <v>0</v>
      </c>
      <c r="E234" s="2435">
        <f>IF(D234=0,0,1-E235-E236-E237)</f>
        <v>0</v>
      </c>
      <c r="F234" s="2398"/>
      <c r="G234" s="2398"/>
      <c r="H234" s="2398"/>
      <c r="I234" s="2436" t="s">
        <v>1118</v>
      </c>
    </row>
    <row r="235" spans="1:9">
      <c r="A235" s="2405" t="s">
        <v>450</v>
      </c>
      <c r="B235" s="2403">
        <f>IF(未审附注之负债及权益!B235="",0,未审附注之负债及权益!B235)</f>
        <v>0</v>
      </c>
      <c r="C235" s="2435">
        <f>IF(B235=0,0,IF(B234=0,ROUND(1-C236-C237,4),ROUND(B235/B238,4)))</f>
        <v>0</v>
      </c>
      <c r="D235" s="2403">
        <f>IF(未审附注之负债及权益!D235="",0,未审附注之负债及权益!D235)</f>
        <v>0</v>
      </c>
      <c r="E235" s="2435">
        <f>IF(D235=0,0,IF(D234=0,ROUND(1-E236-E237,4),ROUND(D235/D238,4)))</f>
        <v>0</v>
      </c>
      <c r="F235" s="2398"/>
      <c r="G235" s="2398"/>
      <c r="H235" s="2398"/>
      <c r="I235" s="2436" t="s">
        <v>1119</v>
      </c>
    </row>
    <row r="236" spans="1:9">
      <c r="A236" s="2405" t="s">
        <v>452</v>
      </c>
      <c r="B236" s="2403">
        <f>IF(未审附注之负债及权益!B236="",0,未审附注之负债及权益!B236)</f>
        <v>0</v>
      </c>
      <c r="C236" s="2435">
        <f>IF(B236=0,0,IF(AND(B234=0,B235=0),ROUND(1-C237,4),ROUND(B236/B238,4)))</f>
        <v>0</v>
      </c>
      <c r="D236" s="2403">
        <f>IF(未审附注之负债及权益!D236="",0,未审附注之负债及权益!D236)</f>
        <v>0</v>
      </c>
      <c r="E236" s="2435">
        <f>IF(D236=0,0,IF(AND(D234=0,D235=0),ROUND(1-E237,4),ROUND(D236/D238,4)))</f>
        <v>0</v>
      </c>
      <c r="F236" s="2398"/>
      <c r="G236" s="2398"/>
      <c r="H236" s="2398"/>
      <c r="I236" s="2436" t="s">
        <v>1120</v>
      </c>
    </row>
    <row r="237" spans="1:9">
      <c r="A237" s="2405" t="s">
        <v>557</v>
      </c>
      <c r="B237" s="2403">
        <f>IF(未审附注之负债及权益!B237="",0,未审附注之负债及权益!B237)</f>
        <v>0</v>
      </c>
      <c r="C237" s="2435">
        <f>IF(B237=0,0,ROUND(B237/B238,4))</f>
        <v>0</v>
      </c>
      <c r="D237" s="2403">
        <f>IF(未审附注之负债及权益!D237="",0,未审附注之负债及权益!D237)</f>
        <v>0</v>
      </c>
      <c r="E237" s="2435">
        <f>IF(D237=0,0,ROUND(D237/D238,4))</f>
        <v>0</v>
      </c>
      <c r="F237" s="2398"/>
      <c r="G237" s="2398"/>
      <c r="H237" s="2398"/>
      <c r="I237" s="2436" t="s">
        <v>1121</v>
      </c>
    </row>
    <row r="238" spans="1:9">
      <c r="A238" s="2400" t="s">
        <v>385</v>
      </c>
      <c r="B238" s="2369">
        <f>ROUND(SUM(B234:B237),2)</f>
        <v>0</v>
      </c>
      <c r="C238" s="2411">
        <f>IF(B238=0,0,1)</f>
        <v>0</v>
      </c>
      <c r="D238" s="2369">
        <f>ROUND(SUM(D234:D237),2)</f>
        <v>0</v>
      </c>
      <c r="E238" s="2411">
        <f>IF(D238=0,0,1)</f>
        <v>0</v>
      </c>
      <c r="F238" s="2398"/>
      <c r="G238" s="2398"/>
      <c r="H238" s="2398"/>
      <c r="I238" s="2436" t="s">
        <v>1122</v>
      </c>
    </row>
    <row r="239" spans="1:8">
      <c r="A239" s="2421"/>
      <c r="B239" s="2398"/>
      <c r="C239" s="2398"/>
      <c r="D239" s="2398"/>
      <c r="E239" s="2398"/>
      <c r="F239" s="2398"/>
      <c r="G239" s="2398"/>
      <c r="H239" s="2398"/>
    </row>
    <row r="240" spans="1:8">
      <c r="A240" s="2399" t="s">
        <v>1123</v>
      </c>
      <c r="B240" s="2398"/>
      <c r="C240" s="2398"/>
      <c r="D240" s="2398"/>
      <c r="E240" s="2398"/>
      <c r="F240" s="2398"/>
      <c r="G240" s="2398"/>
      <c r="H240" s="2398"/>
    </row>
    <row r="241" spans="1:8">
      <c r="A241" s="2400" t="s">
        <v>373</v>
      </c>
      <c r="B241" s="2400" t="s">
        <v>316</v>
      </c>
      <c r="C241" s="2400" t="s">
        <v>496</v>
      </c>
      <c r="D241" s="2400" t="s">
        <v>1028</v>
      </c>
      <c r="E241" s="2398"/>
      <c r="F241" s="2398"/>
      <c r="G241" s="2398"/>
      <c r="H241" s="2398"/>
    </row>
    <row r="242" spans="1:9">
      <c r="A242" s="2410">
        <f>IF(未审附注之负债及权益!A242="",0,未审附注之负债及权益!A242)</f>
        <v>0</v>
      </c>
      <c r="B242" s="2403">
        <f>IF(未审附注之负债及权益!B242="",0,未审附注之负债及权益!B242)</f>
        <v>0</v>
      </c>
      <c r="C242" s="2403">
        <f>IF(未审附注之负债及权益!C242="",0,未审附注之负债及权益!C242)</f>
        <v>0</v>
      </c>
      <c r="D242" s="2410">
        <f>IF(未审附注之负债及权益!D242="",0,未审附注之负债及权益!D242)</f>
        <v>0</v>
      </c>
      <c r="E242" s="2398"/>
      <c r="F242" s="2398"/>
      <c r="G242" s="2398"/>
      <c r="H242" s="2398"/>
      <c r="I242" s="2436" t="s">
        <v>1124</v>
      </c>
    </row>
    <row r="243" spans="1:9">
      <c r="A243" s="2410">
        <f>IF(未审附注之负债及权益!A243="",0,未审附注之负债及权益!A243)</f>
        <v>0</v>
      </c>
      <c r="B243" s="2403">
        <f>IF(未审附注之负债及权益!B243="",0,未审附注之负债及权益!B243)</f>
        <v>0</v>
      </c>
      <c r="C243" s="2403">
        <f>IF(未审附注之负债及权益!C243="",0,未审附注之负债及权益!C243)</f>
        <v>0</v>
      </c>
      <c r="D243" s="2410">
        <f>IF(未审附注之负债及权益!D243="",0,未审附注之负债及权益!D243)</f>
        <v>0</v>
      </c>
      <c r="E243" s="2398"/>
      <c r="F243" s="2398"/>
      <c r="G243" s="2398"/>
      <c r="H243" s="2398"/>
      <c r="I243" s="2436" t="s">
        <v>1124</v>
      </c>
    </row>
    <row r="244" spans="1:9">
      <c r="A244" s="2410">
        <f>IF(未审附注之负债及权益!A244="",0,未审附注之负债及权益!A244)</f>
        <v>0</v>
      </c>
      <c r="B244" s="2403">
        <f>IF(未审附注之负债及权益!B244="",0,未审附注之负债及权益!B244)</f>
        <v>0</v>
      </c>
      <c r="C244" s="2403">
        <f>IF(未审附注之负债及权益!C244="",0,未审附注之负债及权益!C244)</f>
        <v>0</v>
      </c>
      <c r="D244" s="2410">
        <f>IF(未审附注之负债及权益!D244="",0,未审附注之负债及权益!D244)</f>
        <v>0</v>
      </c>
      <c r="E244" s="2398"/>
      <c r="F244" s="2398"/>
      <c r="G244" s="2398"/>
      <c r="H244" s="2398"/>
      <c r="I244" s="2436" t="s">
        <v>1124</v>
      </c>
    </row>
    <row r="245" spans="1:9">
      <c r="A245" s="2410">
        <f>IF(未审附注之负债及权益!A245="",0,未审附注之负债及权益!A245)</f>
        <v>0</v>
      </c>
      <c r="B245" s="2403">
        <f>IF(未审附注之负债及权益!B245="",0,未审附注之负债及权益!B245)</f>
        <v>0</v>
      </c>
      <c r="C245" s="2403">
        <f>IF(未审附注之负债及权益!C245="",0,未审附注之负债及权益!C245)</f>
        <v>0</v>
      </c>
      <c r="D245" s="2410">
        <f>IF(未审附注之负债及权益!D245="",0,未审附注之负债及权益!D245)</f>
        <v>0</v>
      </c>
      <c r="E245" s="2398"/>
      <c r="F245" s="2398"/>
      <c r="G245" s="2398"/>
      <c r="H245" s="2398"/>
      <c r="I245" s="2436" t="s">
        <v>1124</v>
      </c>
    </row>
    <row r="246" spans="1:9">
      <c r="A246" s="2410">
        <f>IF(未审附注之负债及权益!A246="",0,未审附注之负债及权益!A246)</f>
        <v>0</v>
      </c>
      <c r="B246" s="2403">
        <f>IF(未审附注之负债及权益!B246="",0,未审附注之负债及权益!B246)</f>
        <v>0</v>
      </c>
      <c r="C246" s="2403">
        <f>IF(未审附注之负债及权益!C246="",0,未审附注之负债及权益!C246)</f>
        <v>0</v>
      </c>
      <c r="D246" s="2410">
        <f>IF(未审附注之负债及权益!D246="",0,未审附注之负债及权益!D246)</f>
        <v>0</v>
      </c>
      <c r="E246" s="2398"/>
      <c r="F246" s="2398"/>
      <c r="G246" s="2398"/>
      <c r="H246" s="2398"/>
      <c r="I246" s="2436" t="s">
        <v>1124</v>
      </c>
    </row>
    <row r="247" spans="1:9">
      <c r="A247" s="2410">
        <f>IF(未审附注之负债及权益!A247="",0,未审附注之负债及权益!A247)</f>
        <v>0</v>
      </c>
      <c r="B247" s="2403">
        <f>IF(未审附注之负债及权益!B247="",0,未审附注之负债及权益!B247)</f>
        <v>0</v>
      </c>
      <c r="C247" s="2403">
        <f>IF(未审附注之负债及权益!C247="",0,未审附注之负债及权益!C247)</f>
        <v>0</v>
      </c>
      <c r="D247" s="2410">
        <f>IF(未审附注之负债及权益!D247="",0,未审附注之负债及权益!D247)</f>
        <v>0</v>
      </c>
      <c r="E247" s="2398"/>
      <c r="F247" s="2398"/>
      <c r="G247" s="2398"/>
      <c r="H247" s="2398"/>
      <c r="I247" s="2436" t="s">
        <v>1124</v>
      </c>
    </row>
    <row r="248" spans="1:9">
      <c r="A248" s="2410">
        <f>IF(未审附注之负债及权益!A248="",0,未审附注之负债及权益!A248)</f>
        <v>0</v>
      </c>
      <c r="B248" s="2403">
        <f>IF(未审附注之负债及权益!B248="",0,未审附注之负债及权益!B248)</f>
        <v>0</v>
      </c>
      <c r="C248" s="2403">
        <f>IF(未审附注之负债及权益!C248="",0,未审附注之负债及权益!C248)</f>
        <v>0</v>
      </c>
      <c r="D248" s="2410">
        <f>IF(未审附注之负债及权益!D248="",0,未审附注之负债及权益!D248)</f>
        <v>0</v>
      </c>
      <c r="E248" s="2398"/>
      <c r="F248" s="2398"/>
      <c r="G248" s="2398"/>
      <c r="H248" s="2398"/>
      <c r="I248" s="2436" t="s">
        <v>1124</v>
      </c>
    </row>
    <row r="249" spans="1:9">
      <c r="A249" s="2410">
        <f>IF(未审附注之负债及权益!A249="",0,未审附注之负债及权益!A249)</f>
        <v>0</v>
      </c>
      <c r="B249" s="2403">
        <f>IF(未审附注之负债及权益!B249="",0,未审附注之负债及权益!B249)</f>
        <v>0</v>
      </c>
      <c r="C249" s="2403">
        <f>IF(未审附注之负债及权益!C249="",0,未审附注之负债及权益!C249)</f>
        <v>0</v>
      </c>
      <c r="D249" s="2410">
        <f>IF(未审附注之负债及权益!D249="",0,未审附注之负债及权益!D249)</f>
        <v>0</v>
      </c>
      <c r="E249" s="2398"/>
      <c r="F249" s="2398"/>
      <c r="G249" s="2398"/>
      <c r="H249" s="2398"/>
      <c r="I249" s="2436" t="s">
        <v>1124</v>
      </c>
    </row>
    <row r="250" spans="1:9">
      <c r="A250" s="2410">
        <f>IF(未审附注之负债及权益!A250="",0,未审附注之负债及权益!A250)</f>
        <v>0</v>
      </c>
      <c r="B250" s="2403">
        <f>IF(未审附注之负债及权益!B250="",0,未审附注之负债及权益!B250)</f>
        <v>0</v>
      </c>
      <c r="C250" s="2403">
        <f>IF(未审附注之负债及权益!C250="",0,未审附注之负债及权益!C250)</f>
        <v>0</v>
      </c>
      <c r="D250" s="2410">
        <f>IF(未审附注之负债及权益!D250="",0,未审附注之负债及权益!D250)</f>
        <v>0</v>
      </c>
      <c r="E250" s="2398"/>
      <c r="F250" s="2398"/>
      <c r="G250" s="2398"/>
      <c r="H250" s="2398"/>
      <c r="I250" s="2436" t="s">
        <v>1124</v>
      </c>
    </row>
    <row r="251" spans="1:9">
      <c r="A251" s="2410">
        <f>IF(未审附注之负债及权益!A251="",0,未审附注之负债及权益!A251)</f>
        <v>0</v>
      </c>
      <c r="B251" s="2403">
        <f>IF(未审附注之负债及权益!B251="",0,未审附注之负债及权益!B251)</f>
        <v>0</v>
      </c>
      <c r="C251" s="2403">
        <f>IF(未审附注之负债及权益!C251="",0,未审附注之负债及权益!C251)</f>
        <v>0</v>
      </c>
      <c r="D251" s="2410">
        <f>IF(未审附注之负债及权益!D251="",0,未审附注之负债及权益!D251)</f>
        <v>0</v>
      </c>
      <c r="E251" s="2398"/>
      <c r="F251" s="2398"/>
      <c r="G251" s="2398"/>
      <c r="H251" s="2398"/>
      <c r="I251" s="2436" t="s">
        <v>1124</v>
      </c>
    </row>
    <row r="252" spans="1:9">
      <c r="A252" s="2400" t="s">
        <v>347</v>
      </c>
      <c r="B252" s="2369">
        <f>ROUND(SUM(B242:B251),2)</f>
        <v>0</v>
      </c>
      <c r="C252" s="2369"/>
      <c r="D252" s="2369"/>
      <c r="E252" s="2398"/>
      <c r="F252" s="2398"/>
      <c r="G252" s="2398"/>
      <c r="H252" s="2398"/>
      <c r="I252" s="2436" t="s">
        <v>1125</v>
      </c>
    </row>
    <row r="253" spans="1:8">
      <c r="A253" s="2421"/>
      <c r="B253" s="2398"/>
      <c r="C253" s="2398"/>
      <c r="D253" s="2398"/>
      <c r="E253" s="2398"/>
      <c r="F253" s="2398"/>
      <c r="G253" s="2398"/>
      <c r="H253" s="2398"/>
    </row>
    <row r="254" spans="1:8">
      <c r="A254" s="2414" t="s">
        <v>1031</v>
      </c>
      <c r="B254" s="2398"/>
      <c r="C254" s="2398"/>
      <c r="D254" s="2398"/>
      <c r="E254" s="2398"/>
      <c r="F254" s="2398"/>
      <c r="G254" s="2398"/>
      <c r="H254" s="2398"/>
    </row>
    <row r="255" spans="1:8">
      <c r="A255" s="2400" t="s">
        <v>495</v>
      </c>
      <c r="B255" s="2400" t="s">
        <v>316</v>
      </c>
      <c r="C255" s="2400" t="s">
        <v>317</v>
      </c>
      <c r="D255" s="2400" t="s">
        <v>496</v>
      </c>
      <c r="E255" s="2398"/>
      <c r="F255" s="2398"/>
      <c r="G255" s="2398"/>
      <c r="H255" s="2398"/>
    </row>
    <row r="256" spans="1:9">
      <c r="A256" s="2410">
        <f>IF(未审附注之负债及权益!A256="",0,未审附注之负债及权益!A256)</f>
        <v>0</v>
      </c>
      <c r="B256" s="2403">
        <f>IF(未审附注之负债及权益!B256="",0,未审附注之负债及权益!B256)</f>
        <v>0</v>
      </c>
      <c r="C256" s="2403">
        <f>IF(未审附注之负债及权益!C256="",0,未审附注之负债及权益!C256)</f>
        <v>0</v>
      </c>
      <c r="D256" s="2410">
        <f>IF(未审附注之负债及权益!D256="",0,未审附注之负债及权益!D256)</f>
        <v>0</v>
      </c>
      <c r="E256" s="2398"/>
      <c r="F256" s="2398"/>
      <c r="G256" s="2398"/>
      <c r="H256" s="2398"/>
      <c r="I256" s="2436" t="s">
        <v>1126</v>
      </c>
    </row>
    <row r="257" spans="1:9">
      <c r="A257" s="2410">
        <f>IF(未审附注之负债及权益!A257="",0,未审附注之负债及权益!A257)</f>
        <v>0</v>
      </c>
      <c r="B257" s="2403">
        <f>IF(未审附注之负债及权益!B257="",0,未审附注之负债及权益!B257)</f>
        <v>0</v>
      </c>
      <c r="C257" s="2403">
        <f>IF(未审附注之负债及权益!C257="",0,未审附注之负债及权益!C257)</f>
        <v>0</v>
      </c>
      <c r="D257" s="2410">
        <f>IF(未审附注之负债及权益!D257="",0,未审附注之负债及权益!D257)</f>
        <v>0</v>
      </c>
      <c r="E257" s="2398"/>
      <c r="F257" s="2398"/>
      <c r="G257" s="2398"/>
      <c r="H257" s="2398"/>
      <c r="I257" s="2436" t="s">
        <v>1126</v>
      </c>
    </row>
    <row r="258" spans="1:9">
      <c r="A258" s="2410">
        <f>IF(未审附注之负债及权益!A258="",0,未审附注之负债及权益!A258)</f>
        <v>0</v>
      </c>
      <c r="B258" s="2403">
        <f>IF(未审附注之负债及权益!B258="",0,未审附注之负债及权益!B258)</f>
        <v>0</v>
      </c>
      <c r="C258" s="2403">
        <f>IF(未审附注之负债及权益!C258="",0,未审附注之负债及权益!C258)</f>
        <v>0</v>
      </c>
      <c r="D258" s="2410">
        <f>IF(未审附注之负债及权益!D258="",0,未审附注之负债及权益!D258)</f>
        <v>0</v>
      </c>
      <c r="E258" s="2398"/>
      <c r="F258" s="2398"/>
      <c r="G258" s="2398"/>
      <c r="H258" s="2398"/>
      <c r="I258" s="2436" t="s">
        <v>1126</v>
      </c>
    </row>
    <row r="259" spans="1:9">
      <c r="A259" s="2410">
        <f>IF(未审附注之负债及权益!A259="",0,未审附注之负债及权益!A259)</f>
        <v>0</v>
      </c>
      <c r="B259" s="2403">
        <f>IF(未审附注之负债及权益!B259="",0,未审附注之负债及权益!B259)</f>
        <v>0</v>
      </c>
      <c r="C259" s="2403">
        <f>IF(未审附注之负债及权益!C259="",0,未审附注之负债及权益!C259)</f>
        <v>0</v>
      </c>
      <c r="D259" s="2410">
        <f>IF(未审附注之负债及权益!D259="",0,未审附注之负债及权益!D259)</f>
        <v>0</v>
      </c>
      <c r="E259" s="2398"/>
      <c r="F259" s="2398"/>
      <c r="G259" s="2398"/>
      <c r="H259" s="2398"/>
      <c r="I259" s="2436" t="s">
        <v>1126</v>
      </c>
    </row>
    <row r="260" spans="1:9">
      <c r="A260" s="2410">
        <f>IF(未审附注之负债及权益!A260="",0,未审附注之负债及权益!A260)</f>
        <v>0</v>
      </c>
      <c r="B260" s="2403">
        <f>IF(未审附注之负债及权益!B260="",0,未审附注之负债及权益!B260)</f>
        <v>0</v>
      </c>
      <c r="C260" s="2403">
        <f>IF(未审附注之负债及权益!C260="",0,未审附注之负债及权益!C260)</f>
        <v>0</v>
      </c>
      <c r="D260" s="2410">
        <f>IF(未审附注之负债及权益!D260="",0,未审附注之负债及权益!D260)</f>
        <v>0</v>
      </c>
      <c r="E260" s="2398"/>
      <c r="F260" s="2398"/>
      <c r="G260" s="2398"/>
      <c r="H260" s="2398"/>
      <c r="I260" s="2436" t="s">
        <v>1126</v>
      </c>
    </row>
    <row r="261" spans="1:9">
      <c r="A261" s="2410">
        <f>IF(未审附注之负债及权益!A261="",0,未审附注之负债及权益!A261)</f>
        <v>0</v>
      </c>
      <c r="B261" s="2403">
        <f>IF(未审附注之负债及权益!B261="",0,未审附注之负债及权益!B261)</f>
        <v>0</v>
      </c>
      <c r="C261" s="2403">
        <f>IF(未审附注之负债及权益!C261="",0,未审附注之负债及权益!C261)</f>
        <v>0</v>
      </c>
      <c r="D261" s="2410">
        <f>IF(未审附注之负债及权益!D261="",0,未审附注之负债及权益!D261)</f>
        <v>0</v>
      </c>
      <c r="E261" s="2398"/>
      <c r="F261" s="2398"/>
      <c r="G261" s="2398"/>
      <c r="H261" s="2398"/>
      <c r="I261" s="2436" t="s">
        <v>1126</v>
      </c>
    </row>
    <row r="262" spans="1:9">
      <c r="A262" s="2410">
        <f>IF(未审附注之负债及权益!A262="",0,未审附注之负债及权益!A262)</f>
        <v>0</v>
      </c>
      <c r="B262" s="2403">
        <f>IF(未审附注之负债及权益!B262="",0,未审附注之负债及权益!B262)</f>
        <v>0</v>
      </c>
      <c r="C262" s="2403">
        <f>IF(未审附注之负债及权益!C262="",0,未审附注之负债及权益!C262)</f>
        <v>0</v>
      </c>
      <c r="D262" s="2410">
        <f>IF(未审附注之负债及权益!D262="",0,未审附注之负债及权益!D262)</f>
        <v>0</v>
      </c>
      <c r="E262" s="2398"/>
      <c r="F262" s="2398"/>
      <c r="G262" s="2398"/>
      <c r="H262" s="2398"/>
      <c r="I262" s="2436" t="s">
        <v>1126</v>
      </c>
    </row>
    <row r="263" spans="1:9">
      <c r="A263" s="2410">
        <f>IF(未审附注之负债及权益!A263="",0,未审附注之负债及权益!A263)</f>
        <v>0</v>
      </c>
      <c r="B263" s="2403">
        <f>IF(未审附注之负债及权益!B263="",0,未审附注之负债及权益!B263)</f>
        <v>0</v>
      </c>
      <c r="C263" s="2403">
        <f>IF(未审附注之负债及权益!C263="",0,未审附注之负债及权益!C263)</f>
        <v>0</v>
      </c>
      <c r="D263" s="2410">
        <f>IF(未审附注之负债及权益!D263="",0,未审附注之负债及权益!D263)</f>
        <v>0</v>
      </c>
      <c r="E263" s="2398"/>
      <c r="F263" s="2398"/>
      <c r="G263" s="2398"/>
      <c r="H263" s="2398"/>
      <c r="I263" s="2436" t="s">
        <v>1126</v>
      </c>
    </row>
    <row r="264" spans="1:9">
      <c r="A264" s="2410">
        <f>IF(未审附注之负债及权益!A264="",0,未审附注之负债及权益!A264)</f>
        <v>0</v>
      </c>
      <c r="B264" s="2403">
        <f>IF(未审附注之负债及权益!B264="",0,未审附注之负债及权益!B264)</f>
        <v>0</v>
      </c>
      <c r="C264" s="2403">
        <f>IF(未审附注之负债及权益!C264="",0,未审附注之负债及权益!C264)</f>
        <v>0</v>
      </c>
      <c r="D264" s="2410">
        <f>IF(未审附注之负债及权益!D264="",0,未审附注之负债及权益!D264)</f>
        <v>0</v>
      </c>
      <c r="E264" s="2398"/>
      <c r="F264" s="2398"/>
      <c r="G264" s="2398"/>
      <c r="H264" s="2398"/>
      <c r="I264" s="2436" t="s">
        <v>1126</v>
      </c>
    </row>
    <row r="265" spans="1:9">
      <c r="A265" s="2410">
        <f>IF(未审附注之负债及权益!A265="",0,未审附注之负债及权益!A265)</f>
        <v>0</v>
      </c>
      <c r="B265" s="2403">
        <f>IF(未审附注之负债及权益!B265="",0,未审附注之负债及权益!B265)</f>
        <v>0</v>
      </c>
      <c r="C265" s="2403">
        <f>IF(未审附注之负债及权益!C265="",0,未审附注之负债及权益!C265)</f>
        <v>0</v>
      </c>
      <c r="D265" s="2410">
        <f>IF(未审附注之负债及权益!D265="",0,未审附注之负债及权益!D265)</f>
        <v>0</v>
      </c>
      <c r="E265" s="2398"/>
      <c r="F265" s="2398"/>
      <c r="G265" s="2398"/>
      <c r="H265" s="2398"/>
      <c r="I265" s="2436" t="s">
        <v>1126</v>
      </c>
    </row>
    <row r="266" spans="1:9">
      <c r="A266" s="2400" t="s">
        <v>385</v>
      </c>
      <c r="B266" s="2369">
        <f>ROUND(SUM(B256:B265),2)</f>
        <v>0</v>
      </c>
      <c r="C266" s="2369">
        <f>ROUND(SUM(C256:C265),2)</f>
        <v>0</v>
      </c>
      <c r="D266" s="2369"/>
      <c r="E266" s="2398"/>
      <c r="F266" s="2398"/>
      <c r="G266" s="2398"/>
      <c r="H266" s="2398"/>
      <c r="I266" s="2436" t="s">
        <v>1127</v>
      </c>
    </row>
    <row r="267" spans="1:8">
      <c r="A267" s="2421"/>
      <c r="B267" s="2398"/>
      <c r="C267" s="2398"/>
      <c r="D267" s="2398"/>
      <c r="E267" s="2398"/>
      <c r="F267" s="2398"/>
      <c r="G267" s="2398"/>
      <c r="H267" s="2398"/>
    </row>
    <row r="268" spans="1:8">
      <c r="A268" s="2399" t="s">
        <v>1034</v>
      </c>
      <c r="B268" s="2398"/>
      <c r="C268" s="2398"/>
      <c r="D268" s="2398"/>
      <c r="E268" s="2398"/>
      <c r="F268" s="2398"/>
      <c r="G268" s="2398"/>
      <c r="H268" s="2398"/>
    </row>
    <row r="269" spans="1:8">
      <c r="A269" s="2400" t="s">
        <v>569</v>
      </c>
      <c r="B269" s="2400" t="s">
        <v>316</v>
      </c>
      <c r="C269" s="2400" t="s">
        <v>317</v>
      </c>
      <c r="D269" s="2400" t="s">
        <v>496</v>
      </c>
      <c r="E269" s="2398"/>
      <c r="F269" s="2398"/>
      <c r="G269" s="2398"/>
      <c r="H269" s="2398"/>
    </row>
    <row r="270" spans="1:9">
      <c r="A270" s="2410">
        <f>IF(未审附注之负债及权益!A270="",0,未审附注之负债及权益!A270)</f>
        <v>0</v>
      </c>
      <c r="B270" s="2403">
        <f>IF(未审附注之负债及权益!B270="",0,未审附注之负债及权益!B270)</f>
        <v>0</v>
      </c>
      <c r="C270" s="2403">
        <f>IF(未审附注之负债及权益!C270="",0,未审附注之负债及权益!C270)</f>
        <v>0</v>
      </c>
      <c r="D270" s="2410">
        <f>IF(未审附注之负债及权益!D270="",0,未审附注之负债及权益!D270)</f>
        <v>0</v>
      </c>
      <c r="E270" s="2398"/>
      <c r="F270" s="2398"/>
      <c r="G270" s="2398"/>
      <c r="H270" s="2398"/>
      <c r="I270" s="2436" t="s">
        <v>1128</v>
      </c>
    </row>
    <row r="271" spans="1:9">
      <c r="A271" s="2410">
        <f>IF(未审附注之负债及权益!A271="",0,未审附注之负债及权益!A271)</f>
        <v>0</v>
      </c>
      <c r="B271" s="2403">
        <f>IF(未审附注之负债及权益!B271="",0,未审附注之负债及权益!B271)</f>
        <v>0</v>
      </c>
      <c r="C271" s="2403">
        <f>IF(未审附注之负债及权益!C271="",0,未审附注之负债及权益!C271)</f>
        <v>0</v>
      </c>
      <c r="D271" s="2410">
        <f>IF(未审附注之负债及权益!D271="",0,未审附注之负债及权益!D271)</f>
        <v>0</v>
      </c>
      <c r="E271" s="2398"/>
      <c r="F271" s="2398"/>
      <c r="G271" s="2398"/>
      <c r="H271" s="2398"/>
      <c r="I271" s="2436" t="s">
        <v>1128</v>
      </c>
    </row>
    <row r="272" spans="1:9">
      <c r="A272" s="2410">
        <f>IF(未审附注之负债及权益!A272="",0,未审附注之负债及权益!A272)</f>
        <v>0</v>
      </c>
      <c r="B272" s="2403">
        <f>IF(未审附注之负债及权益!B272="",0,未审附注之负债及权益!B272)</f>
        <v>0</v>
      </c>
      <c r="C272" s="2403">
        <f>IF(未审附注之负债及权益!C272="",0,未审附注之负债及权益!C272)</f>
        <v>0</v>
      </c>
      <c r="D272" s="2410">
        <f>IF(未审附注之负债及权益!D272="",0,未审附注之负债及权益!D272)</f>
        <v>0</v>
      </c>
      <c r="E272" s="2398"/>
      <c r="F272" s="2398"/>
      <c r="G272" s="2398"/>
      <c r="H272" s="2398"/>
      <c r="I272" s="2436" t="s">
        <v>1128</v>
      </c>
    </row>
    <row r="273" spans="1:9">
      <c r="A273" s="2410">
        <f>IF(未审附注之负债及权益!A273="",0,未审附注之负债及权益!A273)</f>
        <v>0</v>
      </c>
      <c r="B273" s="2403">
        <f>IF(未审附注之负债及权益!B273="",0,未审附注之负债及权益!B273)</f>
        <v>0</v>
      </c>
      <c r="C273" s="2403">
        <f>IF(未审附注之负债及权益!C273="",0,未审附注之负债及权益!C273)</f>
        <v>0</v>
      </c>
      <c r="D273" s="2410">
        <f>IF(未审附注之负债及权益!D273="",0,未审附注之负债及权益!D273)</f>
        <v>0</v>
      </c>
      <c r="E273" s="2398"/>
      <c r="F273" s="2398"/>
      <c r="G273" s="2398"/>
      <c r="H273" s="2398"/>
      <c r="I273" s="2436" t="s">
        <v>1128</v>
      </c>
    </row>
    <row r="274" spans="1:9">
      <c r="A274" s="2410">
        <f>IF(未审附注之负债及权益!A274="",0,未审附注之负债及权益!A274)</f>
        <v>0</v>
      </c>
      <c r="B274" s="2403">
        <f>IF(未审附注之负债及权益!B274="",0,未审附注之负债及权益!B274)</f>
        <v>0</v>
      </c>
      <c r="C274" s="2403">
        <f>IF(未审附注之负债及权益!C274="",0,未审附注之负债及权益!C274)</f>
        <v>0</v>
      </c>
      <c r="D274" s="2410">
        <f>IF(未审附注之负债及权益!D274="",0,未审附注之负债及权益!D274)</f>
        <v>0</v>
      </c>
      <c r="E274" s="2398"/>
      <c r="F274" s="2398"/>
      <c r="G274" s="2398"/>
      <c r="H274" s="2398"/>
      <c r="I274" s="2436" t="s">
        <v>1128</v>
      </c>
    </row>
    <row r="275" spans="1:9">
      <c r="A275" s="2410">
        <f>IF(未审附注之负债及权益!A275="",0,未审附注之负债及权益!A275)</f>
        <v>0</v>
      </c>
      <c r="B275" s="2403">
        <f>IF(未审附注之负债及权益!B275="",0,未审附注之负债及权益!B275)</f>
        <v>0</v>
      </c>
      <c r="C275" s="2403">
        <f>IF(未审附注之负债及权益!C275="",0,未审附注之负债及权益!C275)</f>
        <v>0</v>
      </c>
      <c r="D275" s="2410">
        <f>IF(未审附注之负债及权益!D275="",0,未审附注之负债及权益!D275)</f>
        <v>0</v>
      </c>
      <c r="E275" s="2398"/>
      <c r="F275" s="2398"/>
      <c r="G275" s="2398"/>
      <c r="H275" s="2398"/>
      <c r="I275" s="2436" t="s">
        <v>1128</v>
      </c>
    </row>
    <row r="276" spans="1:9">
      <c r="A276" s="2410">
        <f>IF(未审附注之负债及权益!A276="",0,未审附注之负债及权益!A276)</f>
        <v>0</v>
      </c>
      <c r="B276" s="2403">
        <f>IF(未审附注之负债及权益!B276="",0,未审附注之负债及权益!B276)</f>
        <v>0</v>
      </c>
      <c r="C276" s="2403">
        <f>IF(未审附注之负债及权益!C276="",0,未审附注之负债及权益!C276)</f>
        <v>0</v>
      </c>
      <c r="D276" s="2410">
        <f>IF(未审附注之负债及权益!D276="",0,未审附注之负债及权益!D276)</f>
        <v>0</v>
      </c>
      <c r="E276" s="2398"/>
      <c r="F276" s="2398"/>
      <c r="G276" s="2398"/>
      <c r="H276" s="2398"/>
      <c r="I276" s="2436" t="s">
        <v>1128</v>
      </c>
    </row>
    <row r="277" spans="1:9">
      <c r="A277" s="2410">
        <f>IF(未审附注之负债及权益!A277="",0,未审附注之负债及权益!A277)</f>
        <v>0</v>
      </c>
      <c r="B277" s="2403">
        <f>IF(未审附注之负债及权益!B277="",0,未审附注之负债及权益!B277)</f>
        <v>0</v>
      </c>
      <c r="C277" s="2403">
        <f>IF(未审附注之负债及权益!C277="",0,未审附注之负债及权益!C277)</f>
        <v>0</v>
      </c>
      <c r="D277" s="2410">
        <f>IF(未审附注之负债及权益!D277="",0,未审附注之负债及权益!D277)</f>
        <v>0</v>
      </c>
      <c r="E277" s="2398"/>
      <c r="F277" s="2398"/>
      <c r="G277" s="2398"/>
      <c r="H277" s="2398"/>
      <c r="I277" s="2436" t="s">
        <v>1128</v>
      </c>
    </row>
    <row r="278" spans="1:9">
      <c r="A278" s="2410">
        <f>IF(未审附注之负债及权益!A278="",0,未审附注之负债及权益!A278)</f>
        <v>0</v>
      </c>
      <c r="B278" s="2403">
        <f>IF(未审附注之负债及权益!B278="",0,未审附注之负债及权益!B278)</f>
        <v>0</v>
      </c>
      <c r="C278" s="2403">
        <f>IF(未审附注之负债及权益!C278="",0,未审附注之负债及权益!C278)</f>
        <v>0</v>
      </c>
      <c r="D278" s="2410">
        <f>IF(未审附注之负债及权益!D278="",0,未审附注之负债及权益!D278)</f>
        <v>0</v>
      </c>
      <c r="E278" s="2398"/>
      <c r="F278" s="2398"/>
      <c r="G278" s="2398"/>
      <c r="H278" s="2398"/>
      <c r="I278" s="2436" t="s">
        <v>1128</v>
      </c>
    </row>
    <row r="279" spans="1:9">
      <c r="A279" s="2410">
        <f>IF(未审附注之负债及权益!A279="",0,未审附注之负债及权益!A279)</f>
        <v>0</v>
      </c>
      <c r="B279" s="2403">
        <f>IF(未审附注之负债及权益!B279="",0,未审附注之负债及权益!B279)</f>
        <v>0</v>
      </c>
      <c r="C279" s="2403">
        <f>IF(未审附注之负债及权益!C279="",0,未审附注之负债及权益!C279)</f>
        <v>0</v>
      </c>
      <c r="D279" s="2410">
        <f>IF(未审附注之负债及权益!D279="",0,未审附注之负债及权益!D279)</f>
        <v>0</v>
      </c>
      <c r="E279" s="2398"/>
      <c r="F279" s="2398"/>
      <c r="G279" s="2398"/>
      <c r="H279" s="2398"/>
      <c r="I279" s="2436" t="s">
        <v>1128</v>
      </c>
    </row>
    <row r="280" spans="1:9">
      <c r="A280" s="2400" t="s">
        <v>385</v>
      </c>
      <c r="B280" s="2369">
        <f>ROUND(SUM(B270:B279),2)</f>
        <v>0</v>
      </c>
      <c r="C280" s="2369">
        <f>ROUND(SUM(C270:C279),2)</f>
        <v>0</v>
      </c>
      <c r="D280" s="2369"/>
      <c r="E280" s="2398"/>
      <c r="F280" s="2398"/>
      <c r="G280" s="2398"/>
      <c r="H280" s="2398"/>
      <c r="I280" s="2436" t="s">
        <v>1129</v>
      </c>
    </row>
    <row r="281" spans="1:8">
      <c r="A281" s="2412"/>
      <c r="B281" s="2418"/>
      <c r="C281" s="2418"/>
      <c r="D281" s="2418"/>
      <c r="E281" s="2398"/>
      <c r="F281" s="2398"/>
      <c r="G281" s="2398"/>
      <c r="H281" s="2398"/>
    </row>
    <row r="282" spans="1:8">
      <c r="A282" s="2421"/>
      <c r="B282" s="2398"/>
      <c r="C282" s="2398"/>
      <c r="D282" s="2398"/>
      <c r="E282" s="2398"/>
      <c r="F282" s="2398"/>
      <c r="G282" s="2398"/>
      <c r="H282" s="2398"/>
    </row>
    <row r="283" spans="1:8">
      <c r="A283" s="2397" t="s">
        <v>1130</v>
      </c>
      <c r="B283" s="2398"/>
      <c r="C283" s="2398"/>
      <c r="D283" s="2398"/>
      <c r="E283" s="2398"/>
      <c r="F283" s="2398"/>
      <c r="G283" s="2398"/>
      <c r="H283" s="2398"/>
    </row>
    <row r="284" spans="1:8">
      <c r="A284" s="2399" t="s">
        <v>1131</v>
      </c>
      <c r="B284" s="2398"/>
      <c r="C284" s="2398"/>
      <c r="D284" s="2398"/>
      <c r="E284" s="2398"/>
      <c r="F284" s="2398"/>
      <c r="G284" s="2398"/>
      <c r="H284" s="2398"/>
    </row>
    <row r="285" spans="1:8">
      <c r="A285" s="2400" t="s">
        <v>373</v>
      </c>
      <c r="B285" s="2400" t="s">
        <v>316</v>
      </c>
      <c r="C285" s="2400" t="s">
        <v>317</v>
      </c>
      <c r="D285" s="2398"/>
      <c r="E285" s="2398"/>
      <c r="F285" s="2398"/>
      <c r="G285" s="2398"/>
      <c r="H285" s="2398"/>
    </row>
    <row r="286" spans="1:9">
      <c r="A286" s="2402" t="s">
        <v>227</v>
      </c>
      <c r="B286" s="2403">
        <f>IF(未审附注之负债及权益!B286="",0,未审附注之负债及权益!B286)</f>
        <v>0</v>
      </c>
      <c r="C286" s="2403">
        <f>IF(未审附注之负债及权益!C286="",0,未审附注之负债及权益!C286)</f>
        <v>0</v>
      </c>
      <c r="D286" s="2398"/>
      <c r="E286" s="2398"/>
      <c r="F286" s="2398"/>
      <c r="G286" s="2398"/>
      <c r="H286" s="2398"/>
      <c r="I286" s="2404" t="s">
        <v>1132</v>
      </c>
    </row>
    <row r="287" spans="1:9">
      <c r="A287" s="2402" t="s">
        <v>229</v>
      </c>
      <c r="B287" s="2403">
        <f>IF(未审附注之负债及权益!B287="",0,未审附注之负债及权益!B287)</f>
        <v>0</v>
      </c>
      <c r="C287" s="2403">
        <f>IF(未审附注之负债及权益!C287="",0,未审附注之负债及权益!C287)</f>
        <v>0</v>
      </c>
      <c r="D287" s="2398"/>
      <c r="E287" s="2398"/>
      <c r="F287" s="2398"/>
      <c r="G287" s="2398"/>
      <c r="H287" s="2398"/>
      <c r="I287" s="2404" t="s">
        <v>1133</v>
      </c>
    </row>
    <row r="288" spans="1:9">
      <c r="A288" s="2402" t="s">
        <v>231</v>
      </c>
      <c r="B288" s="2403">
        <f>IF(未审附注之负债及权益!B288="",0,未审附注之负债及权益!B288)</f>
        <v>0</v>
      </c>
      <c r="C288" s="2403">
        <f>IF(未审附注之负债及权益!C288="",0,未审附注之负债及权益!C288)</f>
        <v>0</v>
      </c>
      <c r="D288" s="2398"/>
      <c r="E288" s="2398"/>
      <c r="F288" s="2398"/>
      <c r="G288" s="2398"/>
      <c r="H288" s="2398"/>
      <c r="I288" s="2404" t="s">
        <v>1134</v>
      </c>
    </row>
    <row r="289" spans="1:9">
      <c r="A289" s="2400" t="s">
        <v>385</v>
      </c>
      <c r="B289" s="2369">
        <f>ROUND(SUM(B286:B288),2)</f>
        <v>0</v>
      </c>
      <c r="C289" s="2369">
        <f>ROUND(SUM(C286:C288),2)</f>
        <v>0</v>
      </c>
      <c r="D289" s="2398"/>
      <c r="E289" s="2398"/>
      <c r="F289" s="2398"/>
      <c r="G289" s="2398"/>
      <c r="H289" s="2398"/>
      <c r="I289" s="2404" t="s">
        <v>1135</v>
      </c>
    </row>
    <row r="290" spans="1:8">
      <c r="A290" s="2412"/>
      <c r="B290" s="2418"/>
      <c r="C290" s="2418"/>
      <c r="D290" s="2418"/>
      <c r="E290" s="2398"/>
      <c r="F290" s="2398"/>
      <c r="G290" s="2398"/>
      <c r="H290" s="2398"/>
    </row>
    <row r="291" spans="1:8">
      <c r="A291" s="2399" t="s">
        <v>1136</v>
      </c>
      <c r="B291" s="2398"/>
      <c r="C291" s="2398"/>
      <c r="D291" s="2398"/>
      <c r="E291" s="2398"/>
      <c r="F291" s="2398"/>
      <c r="G291" s="2398"/>
      <c r="H291" s="2398"/>
    </row>
    <row r="292" spans="1:8">
      <c r="A292" s="2400" t="s">
        <v>373</v>
      </c>
      <c r="B292" s="2400" t="s">
        <v>316</v>
      </c>
      <c r="C292" s="2400" t="s">
        <v>317</v>
      </c>
      <c r="D292" s="2398"/>
      <c r="E292" s="2398"/>
      <c r="F292" s="2398"/>
      <c r="G292" s="2398"/>
      <c r="H292" s="2398"/>
    </row>
    <row r="293" spans="1:9">
      <c r="A293" s="2402" t="s">
        <v>983</v>
      </c>
      <c r="B293" s="2403">
        <f>IF(未审附注之负债及权益!B293="",0,未审附注之负债及权益!B293)</f>
        <v>0</v>
      </c>
      <c r="C293" s="2403">
        <f>IF(未审附注之负债及权益!C293="",0,未审附注之负债及权益!C293)</f>
        <v>0</v>
      </c>
      <c r="D293" s="2398"/>
      <c r="E293" s="2398"/>
      <c r="F293" s="2398"/>
      <c r="G293" s="2398"/>
      <c r="H293" s="2398"/>
      <c r="I293" s="2404" t="s">
        <v>1137</v>
      </c>
    </row>
    <row r="294" spans="1:9">
      <c r="A294" s="2402" t="s">
        <v>985</v>
      </c>
      <c r="B294" s="2403">
        <f>IF(未审附注之负债及权益!B294="",0,未审附注之负债及权益!B294)</f>
        <v>0</v>
      </c>
      <c r="C294" s="2403">
        <f>IF(未审附注之负债及权益!C294="",0,未审附注之负债及权益!C294)</f>
        <v>0</v>
      </c>
      <c r="D294" s="2398"/>
      <c r="E294" s="2398"/>
      <c r="F294" s="2398"/>
      <c r="G294" s="2398"/>
      <c r="H294" s="2398"/>
      <c r="I294" s="2404" t="s">
        <v>1138</v>
      </c>
    </row>
    <row r="295" spans="1:9">
      <c r="A295" s="2402" t="s">
        <v>987</v>
      </c>
      <c r="B295" s="2403">
        <f>IF(未审附注之负债及权益!B295="",0,未审附注之负债及权益!B295)</f>
        <v>0</v>
      </c>
      <c r="C295" s="2403">
        <f>IF(未审附注之负债及权益!C295="",0,未审附注之负债及权益!C295)</f>
        <v>0</v>
      </c>
      <c r="D295" s="2398"/>
      <c r="E295" s="2398"/>
      <c r="F295" s="2398"/>
      <c r="G295" s="2398"/>
      <c r="H295" s="2398"/>
      <c r="I295" s="2404" t="s">
        <v>1139</v>
      </c>
    </row>
    <row r="296" spans="1:9">
      <c r="A296" s="2402" t="s">
        <v>989</v>
      </c>
      <c r="B296" s="2438">
        <f>ROUND(B297-B293-B294-B295,2)</f>
        <v>0</v>
      </c>
      <c r="C296" s="2438">
        <f>ROUND(C297-C293-C294-C295,2)</f>
        <v>0</v>
      </c>
      <c r="D296" s="2398"/>
      <c r="E296" s="2398"/>
      <c r="F296" s="2398"/>
      <c r="G296" s="2398"/>
      <c r="H296" s="2398"/>
      <c r="I296" s="2404" t="s">
        <v>1140</v>
      </c>
    </row>
    <row r="297" spans="1:9">
      <c r="A297" s="2400" t="s">
        <v>385</v>
      </c>
      <c r="B297" s="2369">
        <f>ROUND(B286,2)</f>
        <v>0</v>
      </c>
      <c r="C297" s="2369">
        <f>ROUND(C286,2)</f>
        <v>0</v>
      </c>
      <c r="D297" s="2398"/>
      <c r="E297" s="2398"/>
      <c r="F297" s="2398"/>
      <c r="G297" s="2398"/>
      <c r="H297" s="2398"/>
      <c r="I297" s="2404" t="s">
        <v>1141</v>
      </c>
    </row>
    <row r="298" spans="1:8">
      <c r="A298" s="2398"/>
      <c r="B298" s="2398"/>
      <c r="C298" s="2398"/>
      <c r="D298" s="2398"/>
      <c r="E298" s="2398"/>
      <c r="F298" s="2398"/>
      <c r="G298" s="2398"/>
      <c r="H298" s="2398"/>
    </row>
    <row r="299" spans="1:8">
      <c r="A299" s="2406" t="s">
        <v>1142</v>
      </c>
      <c r="B299" s="2398"/>
      <c r="C299" s="2398"/>
      <c r="D299" s="2398"/>
      <c r="E299" s="2398"/>
      <c r="F299" s="2398"/>
      <c r="G299" s="2398"/>
      <c r="H299" s="2398"/>
    </row>
    <row r="300" spans="1:8">
      <c r="A300" s="2426" t="s">
        <v>993</v>
      </c>
      <c r="B300" s="2426" t="s">
        <v>994</v>
      </c>
      <c r="C300" s="2426" t="s">
        <v>995</v>
      </c>
      <c r="D300" s="2426" t="s">
        <v>1143</v>
      </c>
      <c r="E300" s="2426" t="s">
        <v>1028</v>
      </c>
      <c r="F300" s="2426" t="s">
        <v>1144</v>
      </c>
      <c r="G300" s="2426" t="s">
        <v>1002</v>
      </c>
      <c r="H300" s="2426" t="s">
        <v>1145</v>
      </c>
    </row>
    <row r="301" spans="1:9">
      <c r="A301" s="2410">
        <f>IF(未审附注之负债及权益!A301="",0,未审附注之负债及权益!A301)</f>
        <v>0</v>
      </c>
      <c r="B301" s="2403">
        <f>IF(未审附注之负债及权益!B301="",0,未审附注之负债及权益!B301)</f>
        <v>0</v>
      </c>
      <c r="C301" s="2429">
        <f>IF(未审附注之负债及权益!C301="",0,未审附注之负债及权益!C301)</f>
        <v>0</v>
      </c>
      <c r="D301" s="2410">
        <f>IF(未审附注之负债及权益!D301="",0,未审附注之负债及权益!D301)</f>
        <v>0</v>
      </c>
      <c r="E301" s="2410">
        <f>IF(未审附注之负债及权益!E301="",0,未审附注之负债及权益!E301)</f>
        <v>0</v>
      </c>
      <c r="F301" s="2410">
        <f>IF(未审附注之负债及权益!F301="",0,未审附注之负债及权益!F301)</f>
        <v>0</v>
      </c>
      <c r="G301" s="2410">
        <f>IF(未审附注之负债及权益!G301="",0,未审附注之负债及权益!G301)</f>
        <v>0</v>
      </c>
      <c r="H301" s="2431">
        <f>IF(未审附注之负债及权益!H301="",0,未审附注之负债及权益!H301)</f>
        <v>0</v>
      </c>
      <c r="I301" s="2404" t="s">
        <v>1146</v>
      </c>
    </row>
    <row r="302" spans="1:9">
      <c r="A302" s="2410">
        <f>IF(未审附注之负债及权益!A302="",0,未审附注之负债及权益!A302)</f>
        <v>0</v>
      </c>
      <c r="B302" s="2403">
        <f>IF(未审附注之负债及权益!B302="",0,未审附注之负债及权益!B302)</f>
        <v>0</v>
      </c>
      <c r="C302" s="2429">
        <f>IF(未审附注之负债及权益!C302="",0,未审附注之负债及权益!C302)</f>
        <v>0</v>
      </c>
      <c r="D302" s="2410">
        <f>IF(未审附注之负债及权益!D302="",0,未审附注之负债及权益!D302)</f>
        <v>0</v>
      </c>
      <c r="E302" s="2410">
        <f>IF(未审附注之负债及权益!E302="",0,未审附注之负债及权益!E302)</f>
        <v>0</v>
      </c>
      <c r="F302" s="2410">
        <f>IF(未审附注之负债及权益!F302="",0,未审附注之负债及权益!F302)</f>
        <v>0</v>
      </c>
      <c r="G302" s="2410">
        <f>IF(未审附注之负债及权益!G302="",0,未审附注之负债及权益!G302)</f>
        <v>0</v>
      </c>
      <c r="H302" s="2431">
        <f>IF(未审附注之负债及权益!H302="",0,未审附注之负债及权益!H302)</f>
        <v>0</v>
      </c>
      <c r="I302" s="2404" t="s">
        <v>1146</v>
      </c>
    </row>
    <row r="303" spans="1:9">
      <c r="A303" s="2410">
        <f>IF(未审附注之负债及权益!A303="",0,未审附注之负债及权益!A303)</f>
        <v>0</v>
      </c>
      <c r="B303" s="2403">
        <f>IF(未审附注之负债及权益!B303="",0,未审附注之负债及权益!B303)</f>
        <v>0</v>
      </c>
      <c r="C303" s="2429">
        <f>IF(未审附注之负债及权益!C303="",0,未审附注之负债及权益!C303)</f>
        <v>0</v>
      </c>
      <c r="D303" s="2410">
        <f>IF(未审附注之负债及权益!D303="",0,未审附注之负债及权益!D303)</f>
        <v>0</v>
      </c>
      <c r="E303" s="2410">
        <f>IF(未审附注之负债及权益!E303="",0,未审附注之负债及权益!E303)</f>
        <v>0</v>
      </c>
      <c r="F303" s="2410">
        <f>IF(未审附注之负债及权益!F303="",0,未审附注之负债及权益!F303)</f>
        <v>0</v>
      </c>
      <c r="G303" s="2410">
        <f>IF(未审附注之负债及权益!G303="",0,未审附注之负债及权益!G303)</f>
        <v>0</v>
      </c>
      <c r="H303" s="2431">
        <f>IF(未审附注之负债及权益!H303="",0,未审附注之负债及权益!H303)</f>
        <v>0</v>
      </c>
      <c r="I303" s="2404" t="s">
        <v>1146</v>
      </c>
    </row>
    <row r="304" spans="1:9">
      <c r="A304" s="2410">
        <f>IF(未审附注之负债及权益!A304="",0,未审附注之负债及权益!A304)</f>
        <v>0</v>
      </c>
      <c r="B304" s="2403">
        <f>IF(未审附注之负债及权益!B304="",0,未审附注之负债及权益!B304)</f>
        <v>0</v>
      </c>
      <c r="C304" s="2429">
        <f>IF(未审附注之负债及权益!C304="",0,未审附注之负债及权益!C304)</f>
        <v>0</v>
      </c>
      <c r="D304" s="2410">
        <f>IF(未审附注之负债及权益!D304="",0,未审附注之负债及权益!D304)</f>
        <v>0</v>
      </c>
      <c r="E304" s="2410">
        <f>IF(未审附注之负债及权益!E304="",0,未审附注之负债及权益!E304)</f>
        <v>0</v>
      </c>
      <c r="F304" s="2410">
        <f>IF(未审附注之负债及权益!F304="",0,未审附注之负债及权益!F304)</f>
        <v>0</v>
      </c>
      <c r="G304" s="2410">
        <f>IF(未审附注之负债及权益!G304="",0,未审附注之负债及权益!G304)</f>
        <v>0</v>
      </c>
      <c r="H304" s="2431">
        <f>IF(未审附注之负债及权益!H304="",0,未审附注之负债及权益!H304)</f>
        <v>0</v>
      </c>
      <c r="I304" s="2404" t="s">
        <v>1146</v>
      </c>
    </row>
    <row r="305" spans="1:9">
      <c r="A305" s="2410">
        <f>IF(未审附注之负债及权益!A305="",0,未审附注之负债及权益!A305)</f>
        <v>0</v>
      </c>
      <c r="B305" s="2403">
        <f>IF(未审附注之负债及权益!B305="",0,未审附注之负债及权益!B305)</f>
        <v>0</v>
      </c>
      <c r="C305" s="2429">
        <f>IF(未审附注之负债及权益!C305="",0,未审附注之负债及权益!C305)</f>
        <v>0</v>
      </c>
      <c r="D305" s="2410">
        <f>IF(未审附注之负债及权益!D305="",0,未审附注之负债及权益!D305)</f>
        <v>0</v>
      </c>
      <c r="E305" s="2410">
        <f>IF(未审附注之负债及权益!E305="",0,未审附注之负债及权益!E305)</f>
        <v>0</v>
      </c>
      <c r="F305" s="2410">
        <f>IF(未审附注之负债及权益!F305="",0,未审附注之负债及权益!F305)</f>
        <v>0</v>
      </c>
      <c r="G305" s="2410">
        <f>IF(未审附注之负债及权益!G305="",0,未审附注之负债及权益!G305)</f>
        <v>0</v>
      </c>
      <c r="H305" s="2431">
        <f>IF(未审附注之负债及权益!H305="",0,未审附注之负债及权益!H305)</f>
        <v>0</v>
      </c>
      <c r="I305" s="2404" t="s">
        <v>1146</v>
      </c>
    </row>
    <row r="306" spans="1:9">
      <c r="A306" s="2410">
        <f>IF(未审附注之负债及权益!A306="",0,未审附注之负债及权益!A306)</f>
        <v>0</v>
      </c>
      <c r="B306" s="2403">
        <f>IF(未审附注之负债及权益!B306="",0,未审附注之负债及权益!B306)</f>
        <v>0</v>
      </c>
      <c r="C306" s="2429">
        <f>IF(未审附注之负债及权益!C306="",0,未审附注之负债及权益!C306)</f>
        <v>0</v>
      </c>
      <c r="D306" s="2410">
        <f>IF(未审附注之负债及权益!D306="",0,未审附注之负债及权益!D306)</f>
        <v>0</v>
      </c>
      <c r="E306" s="2410">
        <f>IF(未审附注之负债及权益!E306="",0,未审附注之负债及权益!E306)</f>
        <v>0</v>
      </c>
      <c r="F306" s="2410">
        <f>IF(未审附注之负债及权益!F306="",0,未审附注之负债及权益!F306)</f>
        <v>0</v>
      </c>
      <c r="G306" s="2410">
        <f>IF(未审附注之负债及权益!G306="",0,未审附注之负债及权益!G306)</f>
        <v>0</v>
      </c>
      <c r="H306" s="2431">
        <f>IF(未审附注之负债及权益!H306="",0,未审附注之负债及权益!H306)</f>
        <v>0</v>
      </c>
      <c r="I306" s="2404" t="s">
        <v>1146</v>
      </c>
    </row>
    <row r="307" spans="1:9">
      <c r="A307" s="2410">
        <f>IF(未审附注之负债及权益!A307="",0,未审附注之负债及权益!A307)</f>
        <v>0</v>
      </c>
      <c r="B307" s="2403">
        <f>IF(未审附注之负债及权益!B307="",0,未审附注之负债及权益!B307)</f>
        <v>0</v>
      </c>
      <c r="C307" s="2429">
        <f>IF(未审附注之负债及权益!C307="",0,未审附注之负债及权益!C307)</f>
        <v>0</v>
      </c>
      <c r="D307" s="2410">
        <f>IF(未审附注之负债及权益!D307="",0,未审附注之负债及权益!D307)</f>
        <v>0</v>
      </c>
      <c r="E307" s="2410">
        <f>IF(未审附注之负债及权益!E307="",0,未审附注之负债及权益!E307)</f>
        <v>0</v>
      </c>
      <c r="F307" s="2410">
        <f>IF(未审附注之负债及权益!F307="",0,未审附注之负债及权益!F307)</f>
        <v>0</v>
      </c>
      <c r="G307" s="2410">
        <f>IF(未审附注之负债及权益!G307="",0,未审附注之负债及权益!G307)</f>
        <v>0</v>
      </c>
      <c r="H307" s="2431">
        <f>IF(未审附注之负债及权益!H307="",0,未审附注之负债及权益!H307)</f>
        <v>0</v>
      </c>
      <c r="I307" s="2404" t="s">
        <v>1146</v>
      </c>
    </row>
    <row r="308" spans="1:9">
      <c r="A308" s="2410">
        <f>IF(未审附注之负债及权益!A308="",0,未审附注之负债及权益!A308)</f>
        <v>0</v>
      </c>
      <c r="B308" s="2403">
        <f>IF(未审附注之负债及权益!B308="",0,未审附注之负债及权益!B308)</f>
        <v>0</v>
      </c>
      <c r="C308" s="2429">
        <f>IF(未审附注之负债及权益!C308="",0,未审附注之负债及权益!C308)</f>
        <v>0</v>
      </c>
      <c r="D308" s="2410">
        <f>IF(未审附注之负债及权益!D308="",0,未审附注之负债及权益!D308)</f>
        <v>0</v>
      </c>
      <c r="E308" s="2410">
        <f>IF(未审附注之负债及权益!E308="",0,未审附注之负债及权益!E308)</f>
        <v>0</v>
      </c>
      <c r="F308" s="2410">
        <f>IF(未审附注之负债及权益!F308="",0,未审附注之负债及权益!F308)</f>
        <v>0</v>
      </c>
      <c r="G308" s="2410">
        <f>IF(未审附注之负债及权益!G308="",0,未审附注之负债及权益!G308)</f>
        <v>0</v>
      </c>
      <c r="H308" s="2431">
        <f>IF(未审附注之负债及权益!H308="",0,未审附注之负债及权益!H308)</f>
        <v>0</v>
      </c>
      <c r="I308" s="2404" t="s">
        <v>1146</v>
      </c>
    </row>
    <row r="309" spans="1:9">
      <c r="A309" s="2410">
        <f>IF(未审附注之负债及权益!A309="",0,未审附注之负债及权益!A309)</f>
        <v>0</v>
      </c>
      <c r="B309" s="2403">
        <f>IF(未审附注之负债及权益!B309="",0,未审附注之负债及权益!B309)</f>
        <v>0</v>
      </c>
      <c r="C309" s="2429">
        <f>IF(未审附注之负债及权益!C309="",0,未审附注之负债及权益!C309)</f>
        <v>0</v>
      </c>
      <c r="D309" s="2410">
        <f>IF(未审附注之负债及权益!D309="",0,未审附注之负债及权益!D309)</f>
        <v>0</v>
      </c>
      <c r="E309" s="2410">
        <f>IF(未审附注之负债及权益!E309="",0,未审附注之负债及权益!E309)</f>
        <v>0</v>
      </c>
      <c r="F309" s="2410">
        <f>IF(未审附注之负债及权益!F309="",0,未审附注之负债及权益!F309)</f>
        <v>0</v>
      </c>
      <c r="G309" s="2410">
        <f>IF(未审附注之负债及权益!G309="",0,未审附注之负债及权益!G309)</f>
        <v>0</v>
      </c>
      <c r="H309" s="2431">
        <f>IF(未审附注之负债及权益!H309="",0,未审附注之负债及权益!H309)</f>
        <v>0</v>
      </c>
      <c r="I309" s="2404" t="s">
        <v>1146</v>
      </c>
    </row>
    <row r="310" spans="1:9">
      <c r="A310" s="2410">
        <f>IF(未审附注之负债及权益!A310="",0,未审附注之负债及权益!A310)</f>
        <v>0</v>
      </c>
      <c r="B310" s="2403">
        <f>IF(未审附注之负债及权益!B310="",0,未审附注之负债及权益!B310)</f>
        <v>0</v>
      </c>
      <c r="C310" s="2429">
        <f>IF(未审附注之负债及权益!C310="",0,未审附注之负债及权益!C310)</f>
        <v>0</v>
      </c>
      <c r="D310" s="2410">
        <f>IF(未审附注之负债及权益!D310="",0,未审附注之负债及权益!D310)</f>
        <v>0</v>
      </c>
      <c r="E310" s="2410">
        <f>IF(未审附注之负债及权益!E310="",0,未审附注之负债及权益!E310)</f>
        <v>0</v>
      </c>
      <c r="F310" s="2410">
        <f>IF(未审附注之负债及权益!F310="",0,未审附注之负债及权益!F310)</f>
        <v>0</v>
      </c>
      <c r="G310" s="2410">
        <f>IF(未审附注之负债及权益!G310="",0,未审附注之负债及权益!G310)</f>
        <v>0</v>
      </c>
      <c r="H310" s="2431">
        <f>IF(未审附注之负债及权益!H310="",0,未审附注之负债及权益!H310)</f>
        <v>0</v>
      </c>
      <c r="I310" s="2404" t="s">
        <v>1146</v>
      </c>
    </row>
    <row r="311" spans="1:9">
      <c r="A311" s="2400" t="s">
        <v>385</v>
      </c>
      <c r="B311" s="2369">
        <f>ROUND(SUM(B301:B310),2)</f>
        <v>0</v>
      </c>
      <c r="C311" s="2416"/>
      <c r="D311" s="2416"/>
      <c r="E311" s="2416"/>
      <c r="F311" s="2416"/>
      <c r="G311" s="2416"/>
      <c r="H311" s="2416"/>
      <c r="I311" s="2404" t="s">
        <v>1147</v>
      </c>
    </row>
    <row r="312" spans="1:8">
      <c r="A312" s="2421"/>
      <c r="B312" s="2398"/>
      <c r="C312" s="2398"/>
      <c r="D312" s="2398"/>
      <c r="E312" s="2398"/>
      <c r="F312" s="2398"/>
      <c r="G312" s="2398"/>
      <c r="H312" s="2398"/>
    </row>
    <row r="313" spans="1:8">
      <c r="A313" s="2399" t="s">
        <v>1148</v>
      </c>
      <c r="B313" s="2398"/>
      <c r="C313" s="2398"/>
      <c r="D313" s="2398"/>
      <c r="E313" s="2398"/>
      <c r="F313" s="2398"/>
      <c r="G313" s="2398"/>
      <c r="H313" s="2398"/>
    </row>
    <row r="314" spans="1:8">
      <c r="A314" s="2400" t="s">
        <v>373</v>
      </c>
      <c r="B314" s="2426" t="s">
        <v>1149</v>
      </c>
      <c r="C314" s="2426" t="s">
        <v>1150</v>
      </c>
      <c r="D314" s="2426" t="s">
        <v>1151</v>
      </c>
      <c r="E314" s="2426" t="s">
        <v>1152</v>
      </c>
      <c r="F314" s="2426" t="s">
        <v>1153</v>
      </c>
      <c r="G314" s="2426" t="s">
        <v>1154</v>
      </c>
      <c r="H314" s="2426" t="s">
        <v>516</v>
      </c>
    </row>
    <row r="315" spans="1:9">
      <c r="A315" s="2410">
        <f>IF(未审附注之负债及权益!A315="",0,未审附注之负债及权益!A315)</f>
        <v>0</v>
      </c>
      <c r="B315" s="2410">
        <f>IF(未审附注之负债及权益!B315="",0,未审附注之负债及权益!B315)</f>
        <v>0</v>
      </c>
      <c r="C315" s="2410">
        <f>IF(未审附注之负债及权益!C315="",0,未审附注之负债及权益!C315)</f>
        <v>0</v>
      </c>
      <c r="D315" s="2431">
        <f>IF(未审附注之负债及权益!D315="",0,未审附注之负债及权益!D315)</f>
        <v>0</v>
      </c>
      <c r="E315" s="2403">
        <f>IF(未审附注之负债及权益!E315="",0,未审附注之负债及权益!E315)</f>
        <v>0</v>
      </c>
      <c r="F315" s="2403">
        <f>IF(未审附注之负债及权益!F315="",0,未审附注之负债及权益!F315)</f>
        <v>0</v>
      </c>
      <c r="G315" s="2403">
        <f>IF(未审附注之负债及权益!G315="",0,未审附注之负债及权益!G315)</f>
        <v>0</v>
      </c>
      <c r="H315" s="2403">
        <f>IF(未审附注之负债及权益!H315="",0,未审附注之负债及权益!H315)</f>
        <v>0</v>
      </c>
      <c r="I315" s="2404" t="s">
        <v>1155</v>
      </c>
    </row>
    <row r="316" spans="1:9">
      <c r="A316" s="2410">
        <f>IF(未审附注之负债及权益!A316="",0,未审附注之负债及权益!A316)</f>
        <v>0</v>
      </c>
      <c r="B316" s="2410">
        <f>IF(未审附注之负债及权益!B316="",0,未审附注之负债及权益!B316)</f>
        <v>0</v>
      </c>
      <c r="C316" s="2410">
        <f>IF(未审附注之负债及权益!C316="",0,未审附注之负债及权益!C316)</f>
        <v>0</v>
      </c>
      <c r="D316" s="2431">
        <f>IF(未审附注之负债及权益!D316="",0,未审附注之负债及权益!D316)</f>
        <v>0</v>
      </c>
      <c r="E316" s="2403">
        <f>IF(未审附注之负债及权益!E316="",0,未审附注之负债及权益!E316)</f>
        <v>0</v>
      </c>
      <c r="F316" s="2403">
        <f>IF(未审附注之负债及权益!F316="",0,未审附注之负债及权益!F316)</f>
        <v>0</v>
      </c>
      <c r="G316" s="2403">
        <f>IF(未审附注之负债及权益!G316="",0,未审附注之负债及权益!G316)</f>
        <v>0</v>
      </c>
      <c r="H316" s="2403">
        <f>IF(未审附注之负债及权益!H316="",0,未审附注之负债及权益!H316)</f>
        <v>0</v>
      </c>
      <c r="I316" s="2404" t="s">
        <v>1155</v>
      </c>
    </row>
    <row r="317" spans="1:9">
      <c r="A317" s="2410">
        <f>IF(未审附注之负债及权益!A317="",0,未审附注之负债及权益!A317)</f>
        <v>0</v>
      </c>
      <c r="B317" s="2410">
        <f>IF(未审附注之负债及权益!B317="",0,未审附注之负债及权益!B317)</f>
        <v>0</v>
      </c>
      <c r="C317" s="2410">
        <f>IF(未审附注之负债及权益!C317="",0,未审附注之负债及权益!C317)</f>
        <v>0</v>
      </c>
      <c r="D317" s="2431">
        <f>IF(未审附注之负债及权益!D317="",0,未审附注之负债及权益!D317)</f>
        <v>0</v>
      </c>
      <c r="E317" s="2403">
        <f>IF(未审附注之负债及权益!E317="",0,未审附注之负债及权益!E317)</f>
        <v>0</v>
      </c>
      <c r="F317" s="2403">
        <f>IF(未审附注之负债及权益!F317="",0,未审附注之负债及权益!F317)</f>
        <v>0</v>
      </c>
      <c r="G317" s="2403">
        <f>IF(未审附注之负债及权益!G317="",0,未审附注之负债及权益!G317)</f>
        <v>0</v>
      </c>
      <c r="H317" s="2403">
        <f>IF(未审附注之负债及权益!H317="",0,未审附注之负债及权益!H317)</f>
        <v>0</v>
      </c>
      <c r="I317" s="2404" t="s">
        <v>1155</v>
      </c>
    </row>
    <row r="318" spans="1:9">
      <c r="A318" s="2410">
        <f>IF(未审附注之负债及权益!A318="",0,未审附注之负债及权益!A318)</f>
        <v>0</v>
      </c>
      <c r="B318" s="2410">
        <f>IF(未审附注之负债及权益!B318="",0,未审附注之负债及权益!B318)</f>
        <v>0</v>
      </c>
      <c r="C318" s="2410">
        <f>IF(未审附注之负债及权益!C318="",0,未审附注之负债及权益!C318)</f>
        <v>0</v>
      </c>
      <c r="D318" s="2431">
        <f>IF(未审附注之负债及权益!D318="",0,未审附注之负债及权益!D318)</f>
        <v>0</v>
      </c>
      <c r="E318" s="2403">
        <f>IF(未审附注之负债及权益!E318="",0,未审附注之负债及权益!E318)</f>
        <v>0</v>
      </c>
      <c r="F318" s="2403">
        <f>IF(未审附注之负债及权益!F318="",0,未审附注之负债及权益!F318)</f>
        <v>0</v>
      </c>
      <c r="G318" s="2403">
        <f>IF(未审附注之负债及权益!G318="",0,未审附注之负债及权益!G318)</f>
        <v>0</v>
      </c>
      <c r="H318" s="2403">
        <f>IF(未审附注之负债及权益!H318="",0,未审附注之负债及权益!H318)</f>
        <v>0</v>
      </c>
      <c r="I318" s="2404" t="s">
        <v>1155</v>
      </c>
    </row>
    <row r="319" spans="1:9">
      <c r="A319" s="2410">
        <f>IF(未审附注之负债及权益!A319="",0,未审附注之负债及权益!A319)</f>
        <v>0</v>
      </c>
      <c r="B319" s="2410">
        <f>IF(未审附注之负债及权益!B319="",0,未审附注之负债及权益!B319)</f>
        <v>0</v>
      </c>
      <c r="C319" s="2410">
        <f>IF(未审附注之负债及权益!C319="",0,未审附注之负债及权益!C319)</f>
        <v>0</v>
      </c>
      <c r="D319" s="2431">
        <f>IF(未审附注之负债及权益!D319="",0,未审附注之负债及权益!D319)</f>
        <v>0</v>
      </c>
      <c r="E319" s="2403">
        <f>IF(未审附注之负债及权益!E319="",0,未审附注之负债及权益!E319)</f>
        <v>0</v>
      </c>
      <c r="F319" s="2403">
        <f>IF(未审附注之负债及权益!F319="",0,未审附注之负债及权益!F319)</f>
        <v>0</v>
      </c>
      <c r="G319" s="2403">
        <f>IF(未审附注之负债及权益!G319="",0,未审附注之负债及权益!G319)</f>
        <v>0</v>
      </c>
      <c r="H319" s="2403">
        <f>IF(未审附注之负债及权益!H319="",0,未审附注之负债及权益!H319)</f>
        <v>0</v>
      </c>
      <c r="I319" s="2404" t="s">
        <v>1155</v>
      </c>
    </row>
    <row r="320" spans="1:9">
      <c r="A320" s="2410">
        <f>IF(未审附注之负债及权益!A320="",0,未审附注之负债及权益!A320)</f>
        <v>0</v>
      </c>
      <c r="B320" s="2410">
        <f>IF(未审附注之负债及权益!B320="",0,未审附注之负债及权益!B320)</f>
        <v>0</v>
      </c>
      <c r="C320" s="2410">
        <f>IF(未审附注之负债及权益!C320="",0,未审附注之负债及权益!C320)</f>
        <v>0</v>
      </c>
      <c r="D320" s="2431">
        <f>IF(未审附注之负债及权益!D320="",0,未审附注之负债及权益!D320)</f>
        <v>0</v>
      </c>
      <c r="E320" s="2403">
        <f>IF(未审附注之负债及权益!E320="",0,未审附注之负债及权益!E320)</f>
        <v>0</v>
      </c>
      <c r="F320" s="2403">
        <f>IF(未审附注之负债及权益!F320="",0,未审附注之负债及权益!F320)</f>
        <v>0</v>
      </c>
      <c r="G320" s="2403">
        <f>IF(未审附注之负债及权益!G320="",0,未审附注之负债及权益!G320)</f>
        <v>0</v>
      </c>
      <c r="H320" s="2403">
        <f>IF(未审附注之负债及权益!H320="",0,未审附注之负债及权益!H320)</f>
        <v>0</v>
      </c>
      <c r="I320" s="2404" t="s">
        <v>1155</v>
      </c>
    </row>
    <row r="321" spans="1:9">
      <c r="A321" s="2410">
        <f>IF(未审附注之负债及权益!A321="",0,未审附注之负债及权益!A321)</f>
        <v>0</v>
      </c>
      <c r="B321" s="2410">
        <f>IF(未审附注之负债及权益!B321="",0,未审附注之负债及权益!B321)</f>
        <v>0</v>
      </c>
      <c r="C321" s="2410">
        <f>IF(未审附注之负债及权益!C321="",0,未审附注之负债及权益!C321)</f>
        <v>0</v>
      </c>
      <c r="D321" s="2431">
        <f>IF(未审附注之负债及权益!D321="",0,未审附注之负债及权益!D321)</f>
        <v>0</v>
      </c>
      <c r="E321" s="2403">
        <f>IF(未审附注之负债及权益!E321="",0,未审附注之负债及权益!E321)</f>
        <v>0</v>
      </c>
      <c r="F321" s="2403">
        <f>IF(未审附注之负债及权益!F321="",0,未审附注之负债及权益!F321)</f>
        <v>0</v>
      </c>
      <c r="G321" s="2403">
        <f>IF(未审附注之负债及权益!G321="",0,未审附注之负债及权益!G321)</f>
        <v>0</v>
      </c>
      <c r="H321" s="2403">
        <f>IF(未审附注之负债及权益!H321="",0,未审附注之负债及权益!H321)</f>
        <v>0</v>
      </c>
      <c r="I321" s="2404" t="s">
        <v>1155</v>
      </c>
    </row>
    <row r="322" spans="1:9">
      <c r="A322" s="2410">
        <f>IF(未审附注之负债及权益!A322="",0,未审附注之负债及权益!A322)</f>
        <v>0</v>
      </c>
      <c r="B322" s="2410">
        <f>IF(未审附注之负债及权益!B322="",0,未审附注之负债及权益!B322)</f>
        <v>0</v>
      </c>
      <c r="C322" s="2410">
        <f>IF(未审附注之负债及权益!C322="",0,未审附注之负债及权益!C322)</f>
        <v>0</v>
      </c>
      <c r="D322" s="2431">
        <f>IF(未审附注之负债及权益!D322="",0,未审附注之负债及权益!D322)</f>
        <v>0</v>
      </c>
      <c r="E322" s="2403">
        <f>IF(未审附注之负债及权益!E322="",0,未审附注之负债及权益!E322)</f>
        <v>0</v>
      </c>
      <c r="F322" s="2403">
        <f>IF(未审附注之负债及权益!F322="",0,未审附注之负债及权益!F322)</f>
        <v>0</v>
      </c>
      <c r="G322" s="2403">
        <f>IF(未审附注之负债及权益!G322="",0,未审附注之负债及权益!G322)</f>
        <v>0</v>
      </c>
      <c r="H322" s="2403">
        <f>IF(未审附注之负债及权益!H322="",0,未审附注之负债及权益!H322)</f>
        <v>0</v>
      </c>
      <c r="I322" s="2404" t="s">
        <v>1155</v>
      </c>
    </row>
    <row r="323" spans="1:9">
      <c r="A323" s="2410">
        <f>IF(未审附注之负债及权益!A323="",0,未审附注之负债及权益!A323)</f>
        <v>0</v>
      </c>
      <c r="B323" s="2410">
        <f>IF(未审附注之负债及权益!B323="",0,未审附注之负债及权益!B323)</f>
        <v>0</v>
      </c>
      <c r="C323" s="2410">
        <f>IF(未审附注之负债及权益!C323="",0,未审附注之负债及权益!C323)</f>
        <v>0</v>
      </c>
      <c r="D323" s="2431">
        <f>IF(未审附注之负债及权益!D323="",0,未审附注之负债及权益!D323)</f>
        <v>0</v>
      </c>
      <c r="E323" s="2403">
        <f>IF(未审附注之负债及权益!E323="",0,未审附注之负债及权益!E323)</f>
        <v>0</v>
      </c>
      <c r="F323" s="2403">
        <f>IF(未审附注之负债及权益!F323="",0,未审附注之负债及权益!F323)</f>
        <v>0</v>
      </c>
      <c r="G323" s="2403">
        <f>IF(未审附注之负债及权益!G323="",0,未审附注之负债及权益!G323)</f>
        <v>0</v>
      </c>
      <c r="H323" s="2403">
        <f>IF(未审附注之负债及权益!H323="",0,未审附注之负债及权益!H323)</f>
        <v>0</v>
      </c>
      <c r="I323" s="2404" t="s">
        <v>1155</v>
      </c>
    </row>
    <row r="324" spans="1:9">
      <c r="A324" s="2410">
        <f>IF(未审附注之负债及权益!A324="",0,未审附注之负债及权益!A324)</f>
        <v>0</v>
      </c>
      <c r="B324" s="2410">
        <f>IF(未审附注之负债及权益!B324="",0,未审附注之负债及权益!B324)</f>
        <v>0</v>
      </c>
      <c r="C324" s="2410">
        <f>IF(未审附注之负债及权益!C324="",0,未审附注之负债及权益!C324)</f>
        <v>0</v>
      </c>
      <c r="D324" s="2431">
        <f>IF(未审附注之负债及权益!D324="",0,未审附注之负债及权益!D324)</f>
        <v>0</v>
      </c>
      <c r="E324" s="2403">
        <f>IF(未审附注之负债及权益!E324="",0,未审附注之负债及权益!E324)</f>
        <v>0</v>
      </c>
      <c r="F324" s="2403">
        <f>IF(未审附注之负债及权益!F324="",0,未审附注之负债及权益!F324)</f>
        <v>0</v>
      </c>
      <c r="G324" s="2403">
        <f>IF(未审附注之负债及权益!G324="",0,未审附注之负债及权益!G324)</f>
        <v>0</v>
      </c>
      <c r="H324" s="2403">
        <f>IF(未审附注之负债及权益!H324="",0,未审附注之负债及权益!H324)</f>
        <v>0</v>
      </c>
      <c r="I324" s="2404" t="s">
        <v>1155</v>
      </c>
    </row>
    <row r="325" spans="1:9">
      <c r="A325" s="2400" t="s">
        <v>385</v>
      </c>
      <c r="B325" s="2416"/>
      <c r="C325" s="2416"/>
      <c r="D325" s="2416"/>
      <c r="E325" s="2369">
        <f>ROUND(SUM(E315:E324),2)</f>
        <v>0</v>
      </c>
      <c r="F325" s="2369">
        <f>ROUND(SUM(F315:F324),2)</f>
        <v>0</v>
      </c>
      <c r="G325" s="2369">
        <f>ROUND(SUM(G315:G324),2)</f>
        <v>0</v>
      </c>
      <c r="H325" s="2369">
        <f>ROUND(SUM(H315:H324),2)</f>
        <v>0</v>
      </c>
      <c r="I325" s="2404" t="s">
        <v>1156</v>
      </c>
    </row>
    <row r="326" spans="1:8">
      <c r="A326" s="2412"/>
      <c r="B326" s="2413"/>
      <c r="C326" s="2413"/>
      <c r="D326" s="2413"/>
      <c r="E326" s="2413"/>
      <c r="F326" s="2413"/>
      <c r="G326" s="2398"/>
      <c r="H326" s="2398"/>
    </row>
    <row r="327" spans="1:8">
      <c r="A327" s="2399" t="s">
        <v>1157</v>
      </c>
      <c r="B327" s="2398"/>
      <c r="C327" s="2398"/>
      <c r="D327" s="2398"/>
      <c r="E327" s="2398"/>
      <c r="F327" s="2398"/>
      <c r="G327" s="2398"/>
      <c r="H327" s="2398"/>
    </row>
    <row r="328" spans="1:8">
      <c r="A328" s="2400" t="s">
        <v>373</v>
      </c>
      <c r="B328" s="2402" t="s">
        <v>627</v>
      </c>
      <c r="C328" s="2402" t="s">
        <v>628</v>
      </c>
      <c r="D328" s="2426" t="s">
        <v>1150</v>
      </c>
      <c r="E328" s="2398"/>
      <c r="F328" s="2398"/>
      <c r="G328" s="2398"/>
      <c r="H328" s="2398"/>
    </row>
    <row r="329" spans="1:9">
      <c r="A329" s="2410">
        <f>IF(未审附注之负债及权益!A329="",0,未审附注之负债及权益!A329)</f>
        <v>0</v>
      </c>
      <c r="B329" s="2403">
        <f>IF(未审附注之负债及权益!B329="",0,未审附注之负债及权益!B329)</f>
        <v>0</v>
      </c>
      <c r="C329" s="2403">
        <f>IF(未审附注之负债及权益!C329="",0,未审附注之负债及权益!C329)</f>
        <v>0</v>
      </c>
      <c r="D329" s="2410">
        <f>IF(未审附注之负债及权益!D329="",0,未审附注之负债及权益!D329)</f>
        <v>0</v>
      </c>
      <c r="E329" s="2398"/>
      <c r="F329" s="2398"/>
      <c r="G329" s="2398"/>
      <c r="H329" s="2398"/>
      <c r="I329" s="2404" t="s">
        <v>1158</v>
      </c>
    </row>
    <row r="330" spans="1:9">
      <c r="A330" s="2410">
        <f>IF(未审附注之负债及权益!A330="",0,未审附注之负债及权益!A330)</f>
        <v>0</v>
      </c>
      <c r="B330" s="2403">
        <f>IF(未审附注之负债及权益!B330="",0,未审附注之负债及权益!B330)</f>
        <v>0</v>
      </c>
      <c r="C330" s="2403">
        <f>IF(未审附注之负债及权益!C330="",0,未审附注之负债及权益!C330)</f>
        <v>0</v>
      </c>
      <c r="D330" s="2410">
        <f>IF(未审附注之负债及权益!D330="",0,未审附注之负债及权益!D330)</f>
        <v>0</v>
      </c>
      <c r="E330" s="2398"/>
      <c r="F330" s="2398"/>
      <c r="G330" s="2398"/>
      <c r="H330" s="2398"/>
      <c r="I330" s="2404" t="s">
        <v>1158</v>
      </c>
    </row>
    <row r="331" spans="1:9">
      <c r="A331" s="2410">
        <f>IF(未审附注之负债及权益!A331="",0,未审附注之负债及权益!A331)</f>
        <v>0</v>
      </c>
      <c r="B331" s="2403">
        <f>IF(未审附注之负债及权益!B331="",0,未审附注之负债及权益!B331)</f>
        <v>0</v>
      </c>
      <c r="C331" s="2403">
        <f>IF(未审附注之负债及权益!C331="",0,未审附注之负债及权益!C331)</f>
        <v>0</v>
      </c>
      <c r="D331" s="2410">
        <f>IF(未审附注之负债及权益!D331="",0,未审附注之负债及权益!D331)</f>
        <v>0</v>
      </c>
      <c r="E331" s="2398"/>
      <c r="F331" s="2398"/>
      <c r="G331" s="2398"/>
      <c r="H331" s="2398"/>
      <c r="I331" s="2404" t="s">
        <v>1158</v>
      </c>
    </row>
    <row r="332" spans="1:9">
      <c r="A332" s="2410">
        <f>IF(未审附注之负债及权益!A332="",0,未审附注之负债及权益!A332)</f>
        <v>0</v>
      </c>
      <c r="B332" s="2403">
        <f>IF(未审附注之负债及权益!B332="",0,未审附注之负债及权益!B332)</f>
        <v>0</v>
      </c>
      <c r="C332" s="2403">
        <f>IF(未审附注之负债及权益!C332="",0,未审附注之负债及权益!C332)</f>
        <v>0</v>
      </c>
      <c r="D332" s="2410">
        <f>IF(未审附注之负债及权益!D332="",0,未审附注之负债及权益!D332)</f>
        <v>0</v>
      </c>
      <c r="E332" s="2398"/>
      <c r="F332" s="2398"/>
      <c r="G332" s="2398"/>
      <c r="H332" s="2398"/>
      <c r="I332" s="2404" t="s">
        <v>1158</v>
      </c>
    </row>
    <row r="333" spans="1:9">
      <c r="A333" s="2410">
        <f>IF(未审附注之负债及权益!A333="",0,未审附注之负债及权益!A333)</f>
        <v>0</v>
      </c>
      <c r="B333" s="2403">
        <f>IF(未审附注之负债及权益!B333="",0,未审附注之负债及权益!B333)</f>
        <v>0</v>
      </c>
      <c r="C333" s="2403">
        <f>IF(未审附注之负债及权益!C333="",0,未审附注之负债及权益!C333)</f>
        <v>0</v>
      </c>
      <c r="D333" s="2410">
        <f>IF(未审附注之负债及权益!D333="",0,未审附注之负债及权益!D333)</f>
        <v>0</v>
      </c>
      <c r="E333" s="2398"/>
      <c r="F333" s="2398"/>
      <c r="G333" s="2398"/>
      <c r="H333" s="2398"/>
      <c r="I333" s="2404" t="s">
        <v>1158</v>
      </c>
    </row>
    <row r="334" spans="1:9">
      <c r="A334" s="2410">
        <f>IF(未审附注之负债及权益!A334="",0,未审附注之负债及权益!A334)</f>
        <v>0</v>
      </c>
      <c r="B334" s="2403">
        <f>IF(未审附注之负债及权益!B334="",0,未审附注之负债及权益!B334)</f>
        <v>0</v>
      </c>
      <c r="C334" s="2403">
        <f>IF(未审附注之负债及权益!C334="",0,未审附注之负债及权益!C334)</f>
        <v>0</v>
      </c>
      <c r="D334" s="2410">
        <f>IF(未审附注之负债及权益!D334="",0,未审附注之负债及权益!D334)</f>
        <v>0</v>
      </c>
      <c r="E334" s="2398"/>
      <c r="F334" s="2398"/>
      <c r="G334" s="2398"/>
      <c r="H334" s="2398"/>
      <c r="I334" s="2404" t="s">
        <v>1158</v>
      </c>
    </row>
    <row r="335" spans="1:9">
      <c r="A335" s="2410">
        <f>IF(未审附注之负债及权益!A335="",0,未审附注之负债及权益!A335)</f>
        <v>0</v>
      </c>
      <c r="B335" s="2403">
        <f>IF(未审附注之负债及权益!B335="",0,未审附注之负债及权益!B335)</f>
        <v>0</v>
      </c>
      <c r="C335" s="2403">
        <f>IF(未审附注之负债及权益!C335="",0,未审附注之负债及权益!C335)</f>
        <v>0</v>
      </c>
      <c r="D335" s="2410">
        <f>IF(未审附注之负债及权益!D335="",0,未审附注之负债及权益!D335)</f>
        <v>0</v>
      </c>
      <c r="E335" s="2398"/>
      <c r="F335" s="2398"/>
      <c r="G335" s="2398"/>
      <c r="H335" s="2398"/>
      <c r="I335" s="2404" t="s">
        <v>1158</v>
      </c>
    </row>
    <row r="336" spans="1:9">
      <c r="A336" s="2410">
        <f>IF(未审附注之负债及权益!A336="",0,未审附注之负债及权益!A336)</f>
        <v>0</v>
      </c>
      <c r="B336" s="2403">
        <f>IF(未审附注之负债及权益!B336="",0,未审附注之负债及权益!B336)</f>
        <v>0</v>
      </c>
      <c r="C336" s="2403">
        <f>IF(未审附注之负债及权益!C336="",0,未审附注之负债及权益!C336)</f>
        <v>0</v>
      </c>
      <c r="D336" s="2410">
        <f>IF(未审附注之负债及权益!D336="",0,未审附注之负债及权益!D336)</f>
        <v>0</v>
      </c>
      <c r="E336" s="2398"/>
      <c r="F336" s="2398"/>
      <c r="G336" s="2398"/>
      <c r="H336" s="2398"/>
      <c r="I336" s="2404" t="s">
        <v>1158</v>
      </c>
    </row>
    <row r="337" spans="1:9">
      <c r="A337" s="2410">
        <f>IF(未审附注之负债及权益!A337="",0,未审附注之负债及权益!A337)</f>
        <v>0</v>
      </c>
      <c r="B337" s="2403">
        <f>IF(未审附注之负债及权益!B337="",0,未审附注之负债及权益!B337)</f>
        <v>0</v>
      </c>
      <c r="C337" s="2403">
        <f>IF(未审附注之负债及权益!C337="",0,未审附注之负债及权益!C337)</f>
        <v>0</v>
      </c>
      <c r="D337" s="2410">
        <f>IF(未审附注之负债及权益!D337="",0,未审附注之负债及权益!D337)</f>
        <v>0</v>
      </c>
      <c r="E337" s="2398"/>
      <c r="F337" s="2398"/>
      <c r="G337" s="2398"/>
      <c r="H337" s="2398"/>
      <c r="I337" s="2404" t="s">
        <v>1158</v>
      </c>
    </row>
    <row r="338" spans="1:9">
      <c r="A338" s="2410">
        <f>IF(未审附注之负债及权益!A338="",0,未审附注之负债及权益!A338)</f>
        <v>0</v>
      </c>
      <c r="B338" s="2403">
        <f>IF(未审附注之负债及权益!B338="",0,未审附注之负债及权益!B338)</f>
        <v>0</v>
      </c>
      <c r="C338" s="2403">
        <f>IF(未审附注之负债及权益!C338="",0,未审附注之负债及权益!C338)</f>
        <v>0</v>
      </c>
      <c r="D338" s="2410">
        <f>IF(未审附注之负债及权益!D338="",0,未审附注之负债及权益!D338)</f>
        <v>0</v>
      </c>
      <c r="E338" s="2398"/>
      <c r="F338" s="2398"/>
      <c r="G338" s="2398"/>
      <c r="H338" s="2398"/>
      <c r="I338" s="2404" t="s">
        <v>1158</v>
      </c>
    </row>
    <row r="339" spans="1:9">
      <c r="A339" s="2400" t="s">
        <v>385</v>
      </c>
      <c r="B339" s="2369">
        <f>ROUND(SUM(B329:B338),2)</f>
        <v>0</v>
      </c>
      <c r="C339" s="2369">
        <f>ROUND(SUM(C329:C338),2)</f>
        <v>0</v>
      </c>
      <c r="D339" s="2416"/>
      <c r="E339" s="2398"/>
      <c r="F339" s="2398"/>
      <c r="G339" s="2398"/>
      <c r="H339" s="2398"/>
      <c r="I339" s="2404" t="s">
        <v>1159</v>
      </c>
    </row>
    <row r="340" spans="1:9">
      <c r="A340" s="2417"/>
      <c r="B340" s="2418"/>
      <c r="C340" s="2418"/>
      <c r="D340" s="2413"/>
      <c r="E340" s="2398"/>
      <c r="F340" s="2398"/>
      <c r="G340" s="2398"/>
      <c r="H340" s="2398"/>
      <c r="I340" s="2404"/>
    </row>
    <row r="341" spans="1:8">
      <c r="A341" s="2421"/>
      <c r="B341" s="2398"/>
      <c r="C341" s="2398"/>
      <c r="D341" s="2398"/>
      <c r="E341" s="2398"/>
      <c r="F341" s="2398"/>
      <c r="G341" s="2398"/>
      <c r="H341" s="2398"/>
    </row>
    <row r="342" spans="1:8">
      <c r="A342" s="2397" t="s">
        <v>1160</v>
      </c>
      <c r="B342" s="2398"/>
      <c r="C342" s="2398"/>
      <c r="D342" s="2398"/>
      <c r="E342" s="2398"/>
      <c r="F342" s="2398"/>
      <c r="G342" s="2398"/>
      <c r="H342" s="2398"/>
    </row>
    <row r="343" spans="1:8">
      <c r="A343" s="2400" t="s">
        <v>373</v>
      </c>
      <c r="B343" s="2400" t="s">
        <v>316</v>
      </c>
      <c r="C343" s="2400" t="s">
        <v>317</v>
      </c>
      <c r="D343" s="2398"/>
      <c r="E343" s="2398"/>
      <c r="F343" s="2398"/>
      <c r="G343" s="2398"/>
      <c r="H343" s="2398"/>
    </row>
    <row r="344" spans="1:9">
      <c r="A344" s="2410">
        <f>IF(未审附注之负债及权益!A344="",0,未审附注之负债及权益!A344)</f>
        <v>0</v>
      </c>
      <c r="B344" s="2403">
        <f>IF(未审附注之负债及权益!B344="",0,未审附注之负债及权益!B344)</f>
        <v>0</v>
      </c>
      <c r="C344" s="2403">
        <f>IF(未审附注之负债及权益!C344="",0,未审附注之负债及权益!C344)</f>
        <v>0</v>
      </c>
      <c r="D344" s="2398"/>
      <c r="E344" s="2398"/>
      <c r="F344" s="2398"/>
      <c r="G344" s="2398"/>
      <c r="H344" s="2398"/>
      <c r="I344" s="2404" t="s">
        <v>219</v>
      </c>
    </row>
    <row r="345" spans="1:9">
      <c r="A345" s="2410">
        <f>IF(未审附注之负债及权益!A345="",0,未审附注之负债及权益!A345)</f>
        <v>0</v>
      </c>
      <c r="B345" s="2403">
        <f>IF(未审附注之负债及权益!B345="",0,未审附注之负债及权益!B345)</f>
        <v>0</v>
      </c>
      <c r="C345" s="2403">
        <f>IF(未审附注之负债及权益!C345="",0,未审附注之负债及权益!C345)</f>
        <v>0</v>
      </c>
      <c r="D345" s="2398"/>
      <c r="E345" s="2398"/>
      <c r="F345" s="2398"/>
      <c r="G345" s="2398"/>
      <c r="H345" s="2398"/>
      <c r="I345" s="2404" t="s">
        <v>219</v>
      </c>
    </row>
    <row r="346" spans="1:9">
      <c r="A346" s="2410">
        <f>IF(未审附注之负债及权益!A346="",0,未审附注之负债及权益!A346)</f>
        <v>0</v>
      </c>
      <c r="B346" s="2403">
        <f>IF(未审附注之负债及权益!B346="",0,未审附注之负债及权益!B346)</f>
        <v>0</v>
      </c>
      <c r="C346" s="2403">
        <f>IF(未审附注之负债及权益!C346="",0,未审附注之负债及权益!C346)</f>
        <v>0</v>
      </c>
      <c r="D346" s="2398"/>
      <c r="E346" s="2398"/>
      <c r="F346" s="2398"/>
      <c r="G346" s="2398"/>
      <c r="H346" s="2398"/>
      <c r="I346" s="2404" t="s">
        <v>219</v>
      </c>
    </row>
    <row r="347" spans="1:9">
      <c r="A347" s="2410">
        <f>IF(未审附注之负债及权益!A347="",0,未审附注之负债及权益!A347)</f>
        <v>0</v>
      </c>
      <c r="B347" s="2403">
        <f>IF(未审附注之负债及权益!B347="",0,未审附注之负债及权益!B347)</f>
        <v>0</v>
      </c>
      <c r="C347" s="2403">
        <f>IF(未审附注之负债及权益!C347="",0,未审附注之负债及权益!C347)</f>
        <v>0</v>
      </c>
      <c r="D347" s="2398"/>
      <c r="E347" s="2398"/>
      <c r="F347" s="2398"/>
      <c r="G347" s="2398"/>
      <c r="H347" s="2398"/>
      <c r="I347" s="2404" t="s">
        <v>219</v>
      </c>
    </row>
    <row r="348" spans="1:9">
      <c r="A348" s="2410">
        <f>IF(未审附注之负债及权益!A348="",0,未审附注之负债及权益!A348)</f>
        <v>0</v>
      </c>
      <c r="B348" s="2403">
        <f>IF(未审附注之负债及权益!B348="",0,未审附注之负债及权益!B348)</f>
        <v>0</v>
      </c>
      <c r="C348" s="2403">
        <f>IF(未审附注之负债及权益!C348="",0,未审附注之负债及权益!C348)</f>
        <v>0</v>
      </c>
      <c r="D348" s="2398"/>
      <c r="E348" s="2398"/>
      <c r="F348" s="2398"/>
      <c r="G348" s="2398"/>
      <c r="H348" s="2398"/>
      <c r="I348" s="2404" t="s">
        <v>219</v>
      </c>
    </row>
    <row r="349" spans="1:9">
      <c r="A349" s="2410">
        <f>IF(未审附注之负债及权益!A349="",0,未审附注之负债及权益!A349)</f>
        <v>0</v>
      </c>
      <c r="B349" s="2403">
        <f>IF(未审附注之负债及权益!B349="",0,未审附注之负债及权益!B349)</f>
        <v>0</v>
      </c>
      <c r="C349" s="2403">
        <f>IF(未审附注之负债及权益!C349="",0,未审附注之负债及权益!C349)</f>
        <v>0</v>
      </c>
      <c r="D349" s="2398"/>
      <c r="E349" s="2398"/>
      <c r="F349" s="2398"/>
      <c r="G349" s="2398"/>
      <c r="H349" s="2398"/>
      <c r="I349" s="2404" t="s">
        <v>219</v>
      </c>
    </row>
    <row r="350" spans="1:9">
      <c r="A350" s="2410">
        <f>IF(未审附注之负债及权益!A350="",0,未审附注之负债及权益!A350)</f>
        <v>0</v>
      </c>
      <c r="B350" s="2403">
        <f>IF(未审附注之负债及权益!B350="",0,未审附注之负债及权益!B350)</f>
        <v>0</v>
      </c>
      <c r="C350" s="2403">
        <f>IF(未审附注之负债及权益!C350="",0,未审附注之负债及权益!C350)</f>
        <v>0</v>
      </c>
      <c r="D350" s="2398"/>
      <c r="E350" s="2398"/>
      <c r="F350" s="2398"/>
      <c r="G350" s="2398"/>
      <c r="H350" s="2398"/>
      <c r="I350" s="2404" t="s">
        <v>219</v>
      </c>
    </row>
    <row r="351" spans="1:9">
      <c r="A351" s="2410">
        <f>IF(未审附注之负债及权益!A351="",0,未审附注之负债及权益!A351)</f>
        <v>0</v>
      </c>
      <c r="B351" s="2403">
        <f>IF(未审附注之负债及权益!B351="",0,未审附注之负债及权益!B351)</f>
        <v>0</v>
      </c>
      <c r="C351" s="2403">
        <f>IF(未审附注之负债及权益!C351="",0,未审附注之负债及权益!C351)</f>
        <v>0</v>
      </c>
      <c r="D351" s="2398"/>
      <c r="E351" s="2398"/>
      <c r="F351" s="2398"/>
      <c r="G351" s="2398"/>
      <c r="H351" s="2398"/>
      <c r="I351" s="2404" t="s">
        <v>219</v>
      </c>
    </row>
    <row r="352" spans="1:9">
      <c r="A352" s="2410">
        <f>IF(未审附注之负债及权益!A352="",0,未审附注之负债及权益!A352)</f>
        <v>0</v>
      </c>
      <c r="B352" s="2403">
        <f>IF(未审附注之负债及权益!B352="",0,未审附注之负债及权益!B352)</f>
        <v>0</v>
      </c>
      <c r="C352" s="2403">
        <f>IF(未审附注之负债及权益!C352="",0,未审附注之负债及权益!C352)</f>
        <v>0</v>
      </c>
      <c r="D352" s="2398"/>
      <c r="E352" s="2398"/>
      <c r="F352" s="2398"/>
      <c r="G352" s="2398"/>
      <c r="H352" s="2398"/>
      <c r="I352" s="2404" t="s">
        <v>219</v>
      </c>
    </row>
    <row r="353" spans="1:9">
      <c r="A353" s="2410">
        <f>IF(未审附注之负债及权益!A353="",0,未审附注之负债及权益!A353)</f>
        <v>0</v>
      </c>
      <c r="B353" s="2403">
        <f>IF(未审附注之负债及权益!B353="",0,未审附注之负债及权益!B353)</f>
        <v>0</v>
      </c>
      <c r="C353" s="2403">
        <f>IF(未审附注之负债及权益!C353="",0,未审附注之负债及权益!C353)</f>
        <v>0</v>
      </c>
      <c r="D353" s="2398"/>
      <c r="E353" s="2398"/>
      <c r="F353" s="2398"/>
      <c r="G353" s="2398"/>
      <c r="H353" s="2398"/>
      <c r="I353" s="2404" t="s">
        <v>219</v>
      </c>
    </row>
    <row r="354" spans="1:9">
      <c r="A354" s="2400" t="s">
        <v>385</v>
      </c>
      <c r="B354" s="2369">
        <f>ROUND(SUM(B344:B353),2)</f>
        <v>0</v>
      </c>
      <c r="C354" s="2369">
        <f>ROUND(SUM(C344:C353),2)</f>
        <v>0</v>
      </c>
      <c r="D354" s="2398"/>
      <c r="E354" s="2398"/>
      <c r="F354" s="2398"/>
      <c r="G354" s="2398"/>
      <c r="H354" s="2398"/>
      <c r="I354" s="2404" t="s">
        <v>1161</v>
      </c>
    </row>
    <row r="355" spans="1:8">
      <c r="A355" s="2421"/>
      <c r="B355" s="2398"/>
      <c r="C355" s="2398"/>
      <c r="D355" s="2398"/>
      <c r="E355" s="2398"/>
      <c r="F355" s="2398"/>
      <c r="G355" s="2398"/>
      <c r="H355" s="2398"/>
    </row>
    <row r="356" spans="1:8">
      <c r="A356" s="2421"/>
      <c r="B356" s="2398"/>
      <c r="C356" s="2398"/>
      <c r="D356" s="2398"/>
      <c r="E356" s="2398"/>
      <c r="F356" s="2398"/>
      <c r="G356" s="2398"/>
      <c r="H356" s="2398"/>
    </row>
    <row r="357" spans="1:8">
      <c r="A357" s="2397" t="s">
        <v>1162</v>
      </c>
      <c r="B357" s="2398"/>
      <c r="C357" s="2398"/>
      <c r="D357" s="2398"/>
      <c r="E357" s="2398"/>
      <c r="F357" s="2398"/>
      <c r="G357" s="2398"/>
      <c r="H357" s="2398"/>
    </row>
    <row r="358" spans="1:8">
      <c r="A358" s="2399" t="s">
        <v>314</v>
      </c>
      <c r="B358" s="2398"/>
      <c r="C358" s="2398"/>
      <c r="D358" s="2398"/>
      <c r="E358" s="2398"/>
      <c r="F358" s="2398"/>
      <c r="G358" s="2398"/>
      <c r="H358" s="2398"/>
    </row>
    <row r="359" spans="1:8">
      <c r="A359" s="2400" t="s">
        <v>373</v>
      </c>
      <c r="B359" s="2400" t="s">
        <v>316</v>
      </c>
      <c r="C359" s="2400" t="s">
        <v>317</v>
      </c>
      <c r="D359" s="2398"/>
      <c r="E359" s="2398"/>
      <c r="F359" s="2398"/>
      <c r="G359" s="2398"/>
      <c r="H359" s="2398"/>
    </row>
    <row r="360" spans="1:9">
      <c r="A360" s="2402" t="s">
        <v>983</v>
      </c>
      <c r="B360" s="2403">
        <f>IF(未审附注之负债及权益!B360="",0,未审附注之负债及权益!B360)</f>
        <v>0</v>
      </c>
      <c r="C360" s="2403">
        <f>IF(未审附注之负债及权益!C360="",0,未审附注之负债及权益!C360)</f>
        <v>0</v>
      </c>
      <c r="D360" s="2398"/>
      <c r="E360" s="2398"/>
      <c r="F360" s="2398"/>
      <c r="G360" s="2398"/>
      <c r="H360" s="2398"/>
      <c r="I360" s="2404" t="s">
        <v>1163</v>
      </c>
    </row>
    <row r="361" spans="1:9">
      <c r="A361" s="2402" t="s">
        <v>985</v>
      </c>
      <c r="B361" s="2403">
        <f>IF(未审附注之负债及权益!B361="",0,未审附注之负债及权益!B361)</f>
        <v>0</v>
      </c>
      <c r="C361" s="2403">
        <f>IF(未审附注之负债及权益!C361="",0,未审附注之负债及权益!C361)</f>
        <v>0</v>
      </c>
      <c r="D361" s="2398"/>
      <c r="E361" s="2398"/>
      <c r="F361" s="2398"/>
      <c r="G361" s="2398"/>
      <c r="H361" s="2398"/>
      <c r="I361" s="2404" t="s">
        <v>1164</v>
      </c>
    </row>
    <row r="362" spans="1:9">
      <c r="A362" s="2402" t="s">
        <v>987</v>
      </c>
      <c r="B362" s="2403">
        <f>IF(未审附注之负债及权益!B362="",0,未审附注之负债及权益!B362)</f>
        <v>0</v>
      </c>
      <c r="C362" s="2403">
        <f>IF(未审附注之负债及权益!C362="",0,未审附注之负债及权益!C362)</f>
        <v>0</v>
      </c>
      <c r="D362" s="2398"/>
      <c r="E362" s="2398"/>
      <c r="F362" s="2398"/>
      <c r="G362" s="2398"/>
      <c r="H362" s="2398"/>
      <c r="I362" s="2404" t="s">
        <v>1165</v>
      </c>
    </row>
    <row r="363" spans="1:9">
      <c r="A363" s="2402" t="s">
        <v>989</v>
      </c>
      <c r="B363" s="2403">
        <f>IF(未审附注之负债及权益!B363="",0,未审附注之负债及权益!B363)</f>
        <v>0</v>
      </c>
      <c r="C363" s="2403">
        <f>IF(未审附注之负债及权益!C363="",0,未审附注之负债及权益!C363)</f>
        <v>0</v>
      </c>
      <c r="D363" s="2398"/>
      <c r="E363" s="2398"/>
      <c r="F363" s="2398"/>
      <c r="G363" s="2398"/>
      <c r="H363" s="2398"/>
      <c r="I363" s="2404" t="s">
        <v>1166</v>
      </c>
    </row>
    <row r="364" spans="1:9">
      <c r="A364" s="2400" t="s">
        <v>385</v>
      </c>
      <c r="B364" s="2369">
        <f>ROUND(SUM(B360:B363),2)</f>
        <v>0</v>
      </c>
      <c r="C364" s="2369">
        <f>ROUND(SUM(C360:C363),2)</f>
        <v>0</v>
      </c>
      <c r="D364" s="2398"/>
      <c r="E364" s="2398"/>
      <c r="F364" s="2398"/>
      <c r="G364" s="2398"/>
      <c r="H364" s="2398"/>
      <c r="I364" s="2404" t="s">
        <v>1167</v>
      </c>
    </row>
    <row r="365" spans="1:8">
      <c r="A365" s="2398"/>
      <c r="B365" s="2398"/>
      <c r="C365" s="2398"/>
      <c r="D365" s="2398"/>
      <c r="E365" s="2398"/>
      <c r="F365" s="2398"/>
      <c r="G365" s="2398"/>
      <c r="H365" s="2398"/>
    </row>
    <row r="366" spans="1:8">
      <c r="A366" s="2406" t="s">
        <v>1168</v>
      </c>
      <c r="B366" s="2398"/>
      <c r="C366" s="2398"/>
      <c r="D366" s="2398"/>
      <c r="E366" s="2398"/>
      <c r="F366" s="2398"/>
      <c r="G366" s="2398"/>
      <c r="H366" s="2398"/>
    </row>
    <row r="367" spans="1:8">
      <c r="A367" s="2426" t="s">
        <v>993</v>
      </c>
      <c r="B367" s="2426" t="s">
        <v>994</v>
      </c>
      <c r="C367" s="2426" t="s">
        <v>995</v>
      </c>
      <c r="D367" s="2426" t="s">
        <v>996</v>
      </c>
      <c r="E367" s="2426" t="s">
        <v>1169</v>
      </c>
      <c r="F367" s="2426" t="s">
        <v>1170</v>
      </c>
      <c r="G367" s="2398"/>
      <c r="H367" s="2398"/>
    </row>
    <row r="368" spans="1:9">
      <c r="A368" s="2410">
        <f>IF(未审附注之负债及权益!A368="",0,未审附注之负债及权益!A368)</f>
        <v>0</v>
      </c>
      <c r="B368" s="2403">
        <f>IF(未审附注之负债及权益!B368="",0,未审附注之负债及权益!B368)</f>
        <v>0</v>
      </c>
      <c r="C368" s="2429">
        <f>IF(未审附注之负债及权益!C368="",0,未审附注之负债及权益!C368)</f>
        <v>0</v>
      </c>
      <c r="D368" s="2410">
        <f>IF(未审附注之负债及权益!D368="",0,未审附注之负债及权益!D368)</f>
        <v>0</v>
      </c>
      <c r="E368" s="2431">
        <f>IF(未审附注之负债及权益!E368="",0,未审附注之负债及权益!E368)</f>
        <v>0</v>
      </c>
      <c r="F368" s="2431">
        <f>IF(未审附注之负债及权益!F368="",0,未审附注之负债及权益!F368)</f>
        <v>0</v>
      </c>
      <c r="G368" s="2398"/>
      <c r="H368" s="2398"/>
      <c r="I368" s="2404" t="s">
        <v>1171</v>
      </c>
    </row>
    <row r="369" spans="1:9">
      <c r="A369" s="2410">
        <f>IF(未审附注之负债及权益!A369="",0,未审附注之负债及权益!A369)</f>
        <v>0</v>
      </c>
      <c r="B369" s="2403">
        <f>IF(未审附注之负债及权益!B369="",0,未审附注之负债及权益!B369)</f>
        <v>0</v>
      </c>
      <c r="C369" s="2429">
        <f>IF(未审附注之负债及权益!C369="",0,未审附注之负债及权益!C369)</f>
        <v>0</v>
      </c>
      <c r="D369" s="2410">
        <f>IF(未审附注之负债及权益!D369="",0,未审附注之负债及权益!D369)</f>
        <v>0</v>
      </c>
      <c r="E369" s="2431">
        <f>IF(未审附注之负债及权益!E369="",0,未审附注之负债及权益!E369)</f>
        <v>0</v>
      </c>
      <c r="F369" s="2431">
        <f>IF(未审附注之负债及权益!F369="",0,未审附注之负债及权益!F369)</f>
        <v>0</v>
      </c>
      <c r="G369" s="2398"/>
      <c r="H369" s="2398"/>
      <c r="I369" s="2404" t="s">
        <v>1171</v>
      </c>
    </row>
    <row r="370" spans="1:9">
      <c r="A370" s="2410">
        <f>IF(未审附注之负债及权益!A370="",0,未审附注之负债及权益!A370)</f>
        <v>0</v>
      </c>
      <c r="B370" s="2403">
        <f>IF(未审附注之负债及权益!B370="",0,未审附注之负债及权益!B370)</f>
        <v>0</v>
      </c>
      <c r="C370" s="2429">
        <f>IF(未审附注之负债及权益!C370="",0,未审附注之负债及权益!C370)</f>
        <v>0</v>
      </c>
      <c r="D370" s="2410">
        <f>IF(未审附注之负债及权益!D370="",0,未审附注之负债及权益!D370)</f>
        <v>0</v>
      </c>
      <c r="E370" s="2431">
        <f>IF(未审附注之负债及权益!E370="",0,未审附注之负债及权益!E370)</f>
        <v>0</v>
      </c>
      <c r="F370" s="2431">
        <f>IF(未审附注之负债及权益!F370="",0,未审附注之负债及权益!F370)</f>
        <v>0</v>
      </c>
      <c r="G370" s="2398"/>
      <c r="H370" s="2398"/>
      <c r="I370" s="2404" t="s">
        <v>1171</v>
      </c>
    </row>
    <row r="371" spans="1:9">
      <c r="A371" s="2410">
        <f>IF(未审附注之负债及权益!A371="",0,未审附注之负债及权益!A371)</f>
        <v>0</v>
      </c>
      <c r="B371" s="2403">
        <f>IF(未审附注之负债及权益!B371="",0,未审附注之负债及权益!B371)</f>
        <v>0</v>
      </c>
      <c r="C371" s="2429">
        <f>IF(未审附注之负债及权益!C371="",0,未审附注之负债及权益!C371)</f>
        <v>0</v>
      </c>
      <c r="D371" s="2410">
        <f>IF(未审附注之负债及权益!D371="",0,未审附注之负债及权益!D371)</f>
        <v>0</v>
      </c>
      <c r="E371" s="2431">
        <f>IF(未审附注之负债及权益!E371="",0,未审附注之负债及权益!E371)</f>
        <v>0</v>
      </c>
      <c r="F371" s="2431">
        <f>IF(未审附注之负债及权益!F371="",0,未审附注之负债及权益!F371)</f>
        <v>0</v>
      </c>
      <c r="G371" s="2398"/>
      <c r="H371" s="2398"/>
      <c r="I371" s="2404" t="s">
        <v>1171</v>
      </c>
    </row>
    <row r="372" spans="1:9">
      <c r="A372" s="2410">
        <f>IF(未审附注之负债及权益!A372="",0,未审附注之负债及权益!A372)</f>
        <v>0</v>
      </c>
      <c r="B372" s="2403">
        <f>IF(未审附注之负债及权益!B372="",0,未审附注之负债及权益!B372)</f>
        <v>0</v>
      </c>
      <c r="C372" s="2429">
        <f>IF(未审附注之负债及权益!C372="",0,未审附注之负债及权益!C372)</f>
        <v>0</v>
      </c>
      <c r="D372" s="2410">
        <f>IF(未审附注之负债及权益!D372="",0,未审附注之负债及权益!D372)</f>
        <v>0</v>
      </c>
      <c r="E372" s="2431">
        <f>IF(未审附注之负债及权益!E372="",0,未审附注之负债及权益!E372)</f>
        <v>0</v>
      </c>
      <c r="F372" s="2431">
        <f>IF(未审附注之负债及权益!F372="",0,未审附注之负债及权益!F372)</f>
        <v>0</v>
      </c>
      <c r="G372" s="2398"/>
      <c r="H372" s="2398"/>
      <c r="I372" s="2404" t="s">
        <v>1171</v>
      </c>
    </row>
    <row r="373" spans="1:9">
      <c r="A373" s="2410">
        <f>IF(未审附注之负债及权益!A373="",0,未审附注之负债及权益!A373)</f>
        <v>0</v>
      </c>
      <c r="B373" s="2403">
        <f>IF(未审附注之负债及权益!B373="",0,未审附注之负债及权益!B373)</f>
        <v>0</v>
      </c>
      <c r="C373" s="2429">
        <f>IF(未审附注之负债及权益!C373="",0,未审附注之负债及权益!C373)</f>
        <v>0</v>
      </c>
      <c r="D373" s="2410">
        <f>IF(未审附注之负债及权益!D373="",0,未审附注之负债及权益!D373)</f>
        <v>0</v>
      </c>
      <c r="E373" s="2431">
        <f>IF(未审附注之负债及权益!E373="",0,未审附注之负债及权益!E373)</f>
        <v>0</v>
      </c>
      <c r="F373" s="2431">
        <f>IF(未审附注之负债及权益!F373="",0,未审附注之负债及权益!F373)</f>
        <v>0</v>
      </c>
      <c r="G373" s="2398"/>
      <c r="H373" s="2398"/>
      <c r="I373" s="2404" t="s">
        <v>1171</v>
      </c>
    </row>
    <row r="374" spans="1:9">
      <c r="A374" s="2410">
        <f>IF(未审附注之负债及权益!A374="",0,未审附注之负债及权益!A374)</f>
        <v>0</v>
      </c>
      <c r="B374" s="2403">
        <f>IF(未审附注之负债及权益!B374="",0,未审附注之负债及权益!B374)</f>
        <v>0</v>
      </c>
      <c r="C374" s="2429">
        <f>IF(未审附注之负债及权益!C374="",0,未审附注之负债及权益!C374)</f>
        <v>0</v>
      </c>
      <c r="D374" s="2410">
        <f>IF(未审附注之负债及权益!D374="",0,未审附注之负债及权益!D374)</f>
        <v>0</v>
      </c>
      <c r="E374" s="2431">
        <f>IF(未审附注之负债及权益!E374="",0,未审附注之负债及权益!E374)</f>
        <v>0</v>
      </c>
      <c r="F374" s="2431">
        <f>IF(未审附注之负债及权益!F374="",0,未审附注之负债及权益!F374)</f>
        <v>0</v>
      </c>
      <c r="G374" s="2398"/>
      <c r="H374" s="2398"/>
      <c r="I374" s="2404" t="s">
        <v>1171</v>
      </c>
    </row>
    <row r="375" spans="1:9">
      <c r="A375" s="2410">
        <f>IF(未审附注之负债及权益!A375="",0,未审附注之负债及权益!A375)</f>
        <v>0</v>
      </c>
      <c r="B375" s="2403">
        <f>IF(未审附注之负债及权益!B375="",0,未审附注之负债及权益!B375)</f>
        <v>0</v>
      </c>
      <c r="C375" s="2429">
        <f>IF(未审附注之负债及权益!C375="",0,未审附注之负债及权益!C375)</f>
        <v>0</v>
      </c>
      <c r="D375" s="2410">
        <f>IF(未审附注之负债及权益!D375="",0,未审附注之负债及权益!D375)</f>
        <v>0</v>
      </c>
      <c r="E375" s="2431">
        <f>IF(未审附注之负债及权益!E375="",0,未审附注之负债及权益!E375)</f>
        <v>0</v>
      </c>
      <c r="F375" s="2431">
        <f>IF(未审附注之负债及权益!F375="",0,未审附注之负债及权益!F375)</f>
        <v>0</v>
      </c>
      <c r="G375" s="2398"/>
      <c r="H375" s="2398"/>
      <c r="I375" s="2404" t="s">
        <v>1171</v>
      </c>
    </row>
    <row r="376" spans="1:9">
      <c r="A376" s="2410">
        <f>IF(未审附注之负债及权益!A376="",0,未审附注之负债及权益!A376)</f>
        <v>0</v>
      </c>
      <c r="B376" s="2403">
        <f>IF(未审附注之负债及权益!B376="",0,未审附注之负债及权益!B376)</f>
        <v>0</v>
      </c>
      <c r="C376" s="2429">
        <f>IF(未审附注之负债及权益!C376="",0,未审附注之负债及权益!C376)</f>
        <v>0</v>
      </c>
      <c r="D376" s="2410">
        <f>IF(未审附注之负债及权益!D376="",0,未审附注之负债及权益!D376)</f>
        <v>0</v>
      </c>
      <c r="E376" s="2431">
        <f>IF(未审附注之负债及权益!E376="",0,未审附注之负债及权益!E376)</f>
        <v>0</v>
      </c>
      <c r="F376" s="2431">
        <f>IF(未审附注之负债及权益!F376="",0,未审附注之负债及权益!F376)</f>
        <v>0</v>
      </c>
      <c r="G376" s="2398"/>
      <c r="H376" s="2398"/>
      <c r="I376" s="2404" t="s">
        <v>1171</v>
      </c>
    </row>
    <row r="377" spans="1:9">
      <c r="A377" s="2410">
        <f>IF(未审附注之负债及权益!A377="",0,未审附注之负债及权益!A377)</f>
        <v>0</v>
      </c>
      <c r="B377" s="2403">
        <f>IF(未审附注之负债及权益!B377="",0,未审附注之负债及权益!B377)</f>
        <v>0</v>
      </c>
      <c r="C377" s="2429">
        <f>IF(未审附注之负债及权益!C377="",0,未审附注之负债及权益!C377)</f>
        <v>0</v>
      </c>
      <c r="D377" s="2410">
        <f>IF(未审附注之负债及权益!D377="",0,未审附注之负债及权益!D377)</f>
        <v>0</v>
      </c>
      <c r="E377" s="2431">
        <f>IF(未审附注之负债及权益!E377="",0,未审附注之负债及权益!E377)</f>
        <v>0</v>
      </c>
      <c r="F377" s="2431">
        <f>IF(未审附注之负债及权益!F377="",0,未审附注之负债及权益!F377)</f>
        <v>0</v>
      </c>
      <c r="G377" s="2398"/>
      <c r="H377" s="2398"/>
      <c r="I377" s="2404" t="s">
        <v>1171</v>
      </c>
    </row>
    <row r="378" spans="1:9">
      <c r="A378" s="2400" t="s">
        <v>385</v>
      </c>
      <c r="B378" s="2369">
        <f>ROUND(SUM(B368:B377),2)</f>
        <v>0</v>
      </c>
      <c r="C378" s="2416"/>
      <c r="D378" s="2416"/>
      <c r="E378" s="2416"/>
      <c r="F378" s="2416"/>
      <c r="G378" s="2398"/>
      <c r="H378" s="2398"/>
      <c r="I378" s="2404" t="s">
        <v>1172</v>
      </c>
    </row>
    <row r="379" spans="1:8">
      <c r="A379" s="2412"/>
      <c r="B379" s="2413"/>
      <c r="C379" s="2413"/>
      <c r="D379" s="2413"/>
      <c r="E379" s="2413"/>
      <c r="F379" s="2413"/>
      <c r="G379" s="2398"/>
      <c r="H379" s="2398"/>
    </row>
    <row r="380" spans="1:8">
      <c r="A380" s="2421"/>
      <c r="B380" s="2398"/>
      <c r="C380" s="2398"/>
      <c r="D380" s="2398"/>
      <c r="E380" s="2398"/>
      <c r="F380" s="2398"/>
      <c r="G380" s="2398"/>
      <c r="H380" s="2398"/>
    </row>
    <row r="381" spans="1:8">
      <c r="A381" s="2397" t="s">
        <v>1173</v>
      </c>
      <c r="B381" s="2398"/>
      <c r="C381" s="2398"/>
      <c r="D381" s="2398"/>
      <c r="E381" s="2398"/>
      <c r="F381" s="2398"/>
      <c r="G381" s="2398"/>
      <c r="H381" s="2398"/>
    </row>
    <row r="382" spans="1:8">
      <c r="A382" s="2400" t="s">
        <v>373</v>
      </c>
      <c r="B382" s="2426" t="s">
        <v>1149</v>
      </c>
      <c r="C382" s="2426" t="s">
        <v>1150</v>
      </c>
      <c r="D382" s="2426" t="s">
        <v>1151</v>
      </c>
      <c r="E382" s="2426" t="s">
        <v>1152</v>
      </c>
      <c r="F382" s="2426" t="s">
        <v>1153</v>
      </c>
      <c r="G382" s="2426" t="s">
        <v>1154</v>
      </c>
      <c r="H382" s="2426" t="s">
        <v>516</v>
      </c>
    </row>
    <row r="383" spans="1:9">
      <c r="A383" s="2410">
        <f>IF(未审附注之负债及权益!A383="",0,未审附注之负债及权益!A383)</f>
        <v>0</v>
      </c>
      <c r="B383" s="2410">
        <f>IF(未审附注之负债及权益!B383="",0,未审附注之负债及权益!B383)</f>
        <v>0</v>
      </c>
      <c r="C383" s="2410">
        <f>IF(未审附注之负债及权益!C383="",0,未审附注之负债及权益!C383)</f>
        <v>0</v>
      </c>
      <c r="D383" s="2431">
        <f>IF(未审附注之负债及权益!D383="",0,未审附注之负债及权益!D383)</f>
        <v>0</v>
      </c>
      <c r="E383" s="2403">
        <f>IF(未审附注之负债及权益!E383="",0,未审附注之负债及权益!E383)</f>
        <v>0</v>
      </c>
      <c r="F383" s="2403">
        <f>IF(未审附注之负债及权益!F383="",0,未审附注之负债及权益!F383)</f>
        <v>0</v>
      </c>
      <c r="G383" s="2403">
        <f>IF(未审附注之负债及权益!G383="",0,未审附注之负债及权益!G383)</f>
        <v>0</v>
      </c>
      <c r="H383" s="2403">
        <f>IF(未审附注之负债及权益!H383="",0,未审附注之负债及权益!H383)</f>
        <v>0</v>
      </c>
      <c r="I383" s="2404" t="s">
        <v>229</v>
      </c>
    </row>
    <row r="384" spans="1:9">
      <c r="A384" s="2410">
        <f>IF(未审附注之负债及权益!A384="",0,未审附注之负债及权益!A384)</f>
        <v>0</v>
      </c>
      <c r="B384" s="2410">
        <f>IF(未审附注之负债及权益!B384="",0,未审附注之负债及权益!B384)</f>
        <v>0</v>
      </c>
      <c r="C384" s="2410">
        <f>IF(未审附注之负债及权益!C384="",0,未审附注之负债及权益!C384)</f>
        <v>0</v>
      </c>
      <c r="D384" s="2431">
        <f>IF(未审附注之负债及权益!D384="",0,未审附注之负债及权益!D384)</f>
        <v>0</v>
      </c>
      <c r="E384" s="2403">
        <f>IF(未审附注之负债及权益!E384="",0,未审附注之负债及权益!E384)</f>
        <v>0</v>
      </c>
      <c r="F384" s="2403">
        <f>IF(未审附注之负债及权益!F384="",0,未审附注之负债及权益!F384)</f>
        <v>0</v>
      </c>
      <c r="G384" s="2403">
        <f>IF(未审附注之负债及权益!G384="",0,未审附注之负债及权益!G384)</f>
        <v>0</v>
      </c>
      <c r="H384" s="2403">
        <f>IF(未审附注之负债及权益!H384="",0,未审附注之负债及权益!H384)</f>
        <v>0</v>
      </c>
      <c r="I384" s="2404" t="s">
        <v>229</v>
      </c>
    </row>
    <row r="385" spans="1:9">
      <c r="A385" s="2410">
        <f>IF(未审附注之负债及权益!A385="",0,未审附注之负债及权益!A385)</f>
        <v>0</v>
      </c>
      <c r="B385" s="2410">
        <f>IF(未审附注之负债及权益!B385="",0,未审附注之负债及权益!B385)</f>
        <v>0</v>
      </c>
      <c r="C385" s="2410">
        <f>IF(未审附注之负债及权益!C385="",0,未审附注之负债及权益!C385)</f>
        <v>0</v>
      </c>
      <c r="D385" s="2431">
        <f>IF(未审附注之负债及权益!D385="",0,未审附注之负债及权益!D385)</f>
        <v>0</v>
      </c>
      <c r="E385" s="2403">
        <f>IF(未审附注之负债及权益!E385="",0,未审附注之负债及权益!E385)</f>
        <v>0</v>
      </c>
      <c r="F385" s="2403">
        <f>IF(未审附注之负债及权益!F385="",0,未审附注之负债及权益!F385)</f>
        <v>0</v>
      </c>
      <c r="G385" s="2403">
        <f>IF(未审附注之负债及权益!G385="",0,未审附注之负债及权益!G385)</f>
        <v>0</v>
      </c>
      <c r="H385" s="2403">
        <f>IF(未审附注之负债及权益!H385="",0,未审附注之负债及权益!H385)</f>
        <v>0</v>
      </c>
      <c r="I385" s="2404" t="s">
        <v>229</v>
      </c>
    </row>
    <row r="386" spans="1:9">
      <c r="A386" s="2410">
        <f>IF(未审附注之负债及权益!A386="",0,未审附注之负债及权益!A386)</f>
        <v>0</v>
      </c>
      <c r="B386" s="2410">
        <f>IF(未审附注之负债及权益!B386="",0,未审附注之负债及权益!B386)</f>
        <v>0</v>
      </c>
      <c r="C386" s="2410">
        <f>IF(未审附注之负债及权益!C386="",0,未审附注之负债及权益!C386)</f>
        <v>0</v>
      </c>
      <c r="D386" s="2431">
        <f>IF(未审附注之负债及权益!D386="",0,未审附注之负债及权益!D386)</f>
        <v>0</v>
      </c>
      <c r="E386" s="2403">
        <f>IF(未审附注之负债及权益!E386="",0,未审附注之负债及权益!E386)</f>
        <v>0</v>
      </c>
      <c r="F386" s="2403">
        <f>IF(未审附注之负债及权益!F386="",0,未审附注之负债及权益!F386)</f>
        <v>0</v>
      </c>
      <c r="G386" s="2403">
        <f>IF(未审附注之负债及权益!G386="",0,未审附注之负债及权益!G386)</f>
        <v>0</v>
      </c>
      <c r="H386" s="2403">
        <f>IF(未审附注之负债及权益!H386="",0,未审附注之负债及权益!H386)</f>
        <v>0</v>
      </c>
      <c r="I386" s="2404" t="s">
        <v>229</v>
      </c>
    </row>
    <row r="387" spans="1:9">
      <c r="A387" s="2410">
        <f>IF(未审附注之负债及权益!A387="",0,未审附注之负债及权益!A387)</f>
        <v>0</v>
      </c>
      <c r="B387" s="2410">
        <f>IF(未审附注之负债及权益!B387="",0,未审附注之负债及权益!B387)</f>
        <v>0</v>
      </c>
      <c r="C387" s="2410">
        <f>IF(未审附注之负债及权益!C387="",0,未审附注之负债及权益!C387)</f>
        <v>0</v>
      </c>
      <c r="D387" s="2431">
        <f>IF(未审附注之负债及权益!D387="",0,未审附注之负债及权益!D387)</f>
        <v>0</v>
      </c>
      <c r="E387" s="2403">
        <f>IF(未审附注之负债及权益!E387="",0,未审附注之负债及权益!E387)</f>
        <v>0</v>
      </c>
      <c r="F387" s="2403">
        <f>IF(未审附注之负债及权益!F387="",0,未审附注之负债及权益!F387)</f>
        <v>0</v>
      </c>
      <c r="G387" s="2403">
        <f>IF(未审附注之负债及权益!G387="",0,未审附注之负债及权益!G387)</f>
        <v>0</v>
      </c>
      <c r="H387" s="2403">
        <f>IF(未审附注之负债及权益!H387="",0,未审附注之负债及权益!H387)</f>
        <v>0</v>
      </c>
      <c r="I387" s="2404" t="s">
        <v>229</v>
      </c>
    </row>
    <row r="388" spans="1:9">
      <c r="A388" s="2410">
        <f>IF(未审附注之负债及权益!A388="",0,未审附注之负债及权益!A388)</f>
        <v>0</v>
      </c>
      <c r="B388" s="2410">
        <f>IF(未审附注之负债及权益!B388="",0,未审附注之负债及权益!B388)</f>
        <v>0</v>
      </c>
      <c r="C388" s="2410">
        <f>IF(未审附注之负债及权益!C388="",0,未审附注之负债及权益!C388)</f>
        <v>0</v>
      </c>
      <c r="D388" s="2431">
        <f>IF(未审附注之负债及权益!D388="",0,未审附注之负债及权益!D388)</f>
        <v>0</v>
      </c>
      <c r="E388" s="2403">
        <f>IF(未审附注之负债及权益!E388="",0,未审附注之负债及权益!E388)</f>
        <v>0</v>
      </c>
      <c r="F388" s="2403">
        <f>IF(未审附注之负债及权益!F388="",0,未审附注之负债及权益!F388)</f>
        <v>0</v>
      </c>
      <c r="G388" s="2403">
        <f>IF(未审附注之负债及权益!G388="",0,未审附注之负债及权益!G388)</f>
        <v>0</v>
      </c>
      <c r="H388" s="2403">
        <f>IF(未审附注之负债及权益!H388="",0,未审附注之负债及权益!H388)</f>
        <v>0</v>
      </c>
      <c r="I388" s="2404" t="s">
        <v>229</v>
      </c>
    </row>
    <row r="389" spans="1:9">
      <c r="A389" s="2410">
        <f>IF(未审附注之负债及权益!A389="",0,未审附注之负债及权益!A389)</f>
        <v>0</v>
      </c>
      <c r="B389" s="2410">
        <f>IF(未审附注之负债及权益!B389="",0,未审附注之负债及权益!B389)</f>
        <v>0</v>
      </c>
      <c r="C389" s="2410">
        <f>IF(未审附注之负债及权益!C389="",0,未审附注之负债及权益!C389)</f>
        <v>0</v>
      </c>
      <c r="D389" s="2431">
        <f>IF(未审附注之负债及权益!D389="",0,未审附注之负债及权益!D389)</f>
        <v>0</v>
      </c>
      <c r="E389" s="2403">
        <f>IF(未审附注之负债及权益!E389="",0,未审附注之负债及权益!E389)</f>
        <v>0</v>
      </c>
      <c r="F389" s="2403">
        <f>IF(未审附注之负债及权益!F389="",0,未审附注之负债及权益!F389)</f>
        <v>0</v>
      </c>
      <c r="G389" s="2403">
        <f>IF(未审附注之负债及权益!G389="",0,未审附注之负债及权益!G389)</f>
        <v>0</v>
      </c>
      <c r="H389" s="2403">
        <f>IF(未审附注之负债及权益!H389="",0,未审附注之负债及权益!H389)</f>
        <v>0</v>
      </c>
      <c r="I389" s="2404" t="s">
        <v>229</v>
      </c>
    </row>
    <row r="390" spans="1:9">
      <c r="A390" s="2410">
        <f>IF(未审附注之负债及权益!A390="",0,未审附注之负债及权益!A390)</f>
        <v>0</v>
      </c>
      <c r="B390" s="2410">
        <f>IF(未审附注之负债及权益!B390="",0,未审附注之负债及权益!B390)</f>
        <v>0</v>
      </c>
      <c r="C390" s="2410">
        <f>IF(未审附注之负债及权益!C390="",0,未审附注之负债及权益!C390)</f>
        <v>0</v>
      </c>
      <c r="D390" s="2431">
        <f>IF(未审附注之负债及权益!D390="",0,未审附注之负债及权益!D390)</f>
        <v>0</v>
      </c>
      <c r="E390" s="2403">
        <f>IF(未审附注之负债及权益!E390="",0,未审附注之负债及权益!E390)</f>
        <v>0</v>
      </c>
      <c r="F390" s="2403">
        <f>IF(未审附注之负债及权益!F390="",0,未审附注之负债及权益!F390)</f>
        <v>0</v>
      </c>
      <c r="G390" s="2403">
        <f>IF(未审附注之负债及权益!G390="",0,未审附注之负债及权益!G390)</f>
        <v>0</v>
      </c>
      <c r="H390" s="2403">
        <f>IF(未审附注之负债及权益!H390="",0,未审附注之负债及权益!H390)</f>
        <v>0</v>
      </c>
      <c r="I390" s="2404" t="s">
        <v>229</v>
      </c>
    </row>
    <row r="391" spans="1:9">
      <c r="A391" s="2410">
        <f>IF(未审附注之负债及权益!A391="",0,未审附注之负债及权益!A391)</f>
        <v>0</v>
      </c>
      <c r="B391" s="2410">
        <f>IF(未审附注之负债及权益!B391="",0,未审附注之负债及权益!B391)</f>
        <v>0</v>
      </c>
      <c r="C391" s="2410">
        <f>IF(未审附注之负债及权益!C391="",0,未审附注之负债及权益!C391)</f>
        <v>0</v>
      </c>
      <c r="D391" s="2431">
        <f>IF(未审附注之负债及权益!D391="",0,未审附注之负债及权益!D391)</f>
        <v>0</v>
      </c>
      <c r="E391" s="2403">
        <f>IF(未审附注之负债及权益!E391="",0,未审附注之负债及权益!E391)</f>
        <v>0</v>
      </c>
      <c r="F391" s="2403">
        <f>IF(未审附注之负债及权益!F391="",0,未审附注之负债及权益!F391)</f>
        <v>0</v>
      </c>
      <c r="G391" s="2403">
        <f>IF(未审附注之负债及权益!G391="",0,未审附注之负债及权益!G391)</f>
        <v>0</v>
      </c>
      <c r="H391" s="2403">
        <f>IF(未审附注之负债及权益!H391="",0,未审附注之负债及权益!H391)</f>
        <v>0</v>
      </c>
      <c r="I391" s="2404" t="s">
        <v>229</v>
      </c>
    </row>
    <row r="392" spans="1:9">
      <c r="A392" s="2410">
        <f>IF(未审附注之负债及权益!A392="",0,未审附注之负债及权益!A392)</f>
        <v>0</v>
      </c>
      <c r="B392" s="2410">
        <f>IF(未审附注之负债及权益!B392="",0,未审附注之负债及权益!B392)</f>
        <v>0</v>
      </c>
      <c r="C392" s="2410">
        <f>IF(未审附注之负债及权益!C392="",0,未审附注之负债及权益!C392)</f>
        <v>0</v>
      </c>
      <c r="D392" s="2431">
        <f>IF(未审附注之负债及权益!D392="",0,未审附注之负债及权益!D392)</f>
        <v>0</v>
      </c>
      <c r="E392" s="2403">
        <f>IF(未审附注之负债及权益!E392="",0,未审附注之负债及权益!E392)</f>
        <v>0</v>
      </c>
      <c r="F392" s="2403">
        <f>IF(未审附注之负债及权益!F392="",0,未审附注之负债及权益!F392)</f>
        <v>0</v>
      </c>
      <c r="G392" s="2403">
        <f>IF(未审附注之负债及权益!G392="",0,未审附注之负债及权益!G392)</f>
        <v>0</v>
      </c>
      <c r="H392" s="2403">
        <f>IF(未审附注之负债及权益!H392="",0,未审附注之负债及权益!H392)</f>
        <v>0</v>
      </c>
      <c r="I392" s="2404" t="s">
        <v>229</v>
      </c>
    </row>
    <row r="393" spans="1:9">
      <c r="A393" s="2400" t="s">
        <v>385</v>
      </c>
      <c r="B393" s="2416"/>
      <c r="C393" s="2416"/>
      <c r="D393" s="2416"/>
      <c r="E393" s="2369">
        <f>ROUND(SUM(E383:E392),2)</f>
        <v>0</v>
      </c>
      <c r="F393" s="2369">
        <f>ROUND(SUM(F383:F392),2)</f>
        <v>0</v>
      </c>
      <c r="G393" s="2369">
        <f>ROUND(SUM(G383:G392),2)</f>
        <v>0</v>
      </c>
      <c r="H393" s="2369">
        <f>ROUND(SUM(H383:H392),2)</f>
        <v>0</v>
      </c>
      <c r="I393" s="2404" t="s">
        <v>1174</v>
      </c>
    </row>
    <row r="394" spans="1:8">
      <c r="A394" s="2412"/>
      <c r="B394" s="2413"/>
      <c r="C394" s="2413"/>
      <c r="D394" s="2413"/>
      <c r="E394" s="2413"/>
      <c r="F394" s="2413"/>
      <c r="G394" s="2398"/>
      <c r="H394" s="2398"/>
    </row>
    <row r="395" spans="1:8">
      <c r="A395" s="2412"/>
      <c r="B395" s="2413"/>
      <c r="C395" s="2413"/>
      <c r="D395" s="2413"/>
      <c r="E395" s="2413"/>
      <c r="F395" s="2413"/>
      <c r="G395" s="2398"/>
      <c r="H395" s="2398"/>
    </row>
    <row r="396" spans="1:8">
      <c r="A396" s="2397" t="s">
        <v>1175</v>
      </c>
      <c r="B396" s="2398"/>
      <c r="C396" s="2398"/>
      <c r="D396" s="2398"/>
      <c r="E396" s="2398"/>
      <c r="F396" s="2398"/>
      <c r="G396" s="2398"/>
      <c r="H396" s="2398"/>
    </row>
    <row r="397" spans="1:8">
      <c r="A397" s="2400" t="s">
        <v>373</v>
      </c>
      <c r="B397" s="2402" t="s">
        <v>627</v>
      </c>
      <c r="C397" s="2402" t="s">
        <v>628</v>
      </c>
      <c r="D397" s="2426" t="s">
        <v>1150</v>
      </c>
      <c r="E397" s="2398"/>
      <c r="F397" s="2398"/>
      <c r="G397" s="2398"/>
      <c r="H397" s="2398"/>
    </row>
    <row r="398" spans="1:9">
      <c r="A398" s="2410">
        <f>IF(未审附注之负债及权益!A398="",0,未审附注之负债及权益!A398)</f>
        <v>0</v>
      </c>
      <c r="B398" s="2403">
        <f>IF(未审附注之负债及权益!B398="",0,未审附注之负债及权益!B398)</f>
        <v>0</v>
      </c>
      <c r="C398" s="2403">
        <f>IF(未审附注之负债及权益!C398="",0,未审附注之负债及权益!C398)</f>
        <v>0</v>
      </c>
      <c r="D398" s="2410">
        <f>IF(未审附注之负债及权益!D398="",0,未审附注之负债及权益!D398)</f>
        <v>0</v>
      </c>
      <c r="E398" s="2398"/>
      <c r="F398" s="2398"/>
      <c r="G398" s="2398"/>
      <c r="H398" s="2398"/>
      <c r="I398" s="2404" t="s">
        <v>231</v>
      </c>
    </row>
    <row r="399" spans="1:9">
      <c r="A399" s="2410">
        <f>IF(未审附注之负债及权益!A399="",0,未审附注之负债及权益!A399)</f>
        <v>0</v>
      </c>
      <c r="B399" s="2403">
        <f>IF(未审附注之负债及权益!B399="",0,未审附注之负债及权益!B399)</f>
        <v>0</v>
      </c>
      <c r="C399" s="2403">
        <f>IF(未审附注之负债及权益!C399="",0,未审附注之负债及权益!C399)</f>
        <v>0</v>
      </c>
      <c r="D399" s="2410">
        <f>IF(未审附注之负债及权益!D399="",0,未审附注之负债及权益!D399)</f>
        <v>0</v>
      </c>
      <c r="E399" s="2398"/>
      <c r="F399" s="2398"/>
      <c r="G399" s="2398"/>
      <c r="H399" s="2398"/>
      <c r="I399" s="2404" t="s">
        <v>231</v>
      </c>
    </row>
    <row r="400" spans="1:9">
      <c r="A400" s="2410">
        <f>IF(未审附注之负债及权益!A400="",0,未审附注之负债及权益!A400)</f>
        <v>0</v>
      </c>
      <c r="B400" s="2403">
        <f>IF(未审附注之负债及权益!B400="",0,未审附注之负债及权益!B400)</f>
        <v>0</v>
      </c>
      <c r="C400" s="2403">
        <f>IF(未审附注之负债及权益!C400="",0,未审附注之负债及权益!C400)</f>
        <v>0</v>
      </c>
      <c r="D400" s="2410">
        <f>IF(未审附注之负债及权益!D400="",0,未审附注之负债及权益!D400)</f>
        <v>0</v>
      </c>
      <c r="E400" s="2398"/>
      <c r="F400" s="2398"/>
      <c r="G400" s="2398"/>
      <c r="H400" s="2398"/>
      <c r="I400" s="2404" t="s">
        <v>231</v>
      </c>
    </row>
    <row r="401" spans="1:9">
      <c r="A401" s="2410">
        <f>IF(未审附注之负债及权益!A401="",0,未审附注之负债及权益!A401)</f>
        <v>0</v>
      </c>
      <c r="B401" s="2403">
        <f>IF(未审附注之负债及权益!B401="",0,未审附注之负债及权益!B401)</f>
        <v>0</v>
      </c>
      <c r="C401" s="2403">
        <f>IF(未审附注之负债及权益!C401="",0,未审附注之负债及权益!C401)</f>
        <v>0</v>
      </c>
      <c r="D401" s="2410">
        <f>IF(未审附注之负债及权益!D401="",0,未审附注之负债及权益!D401)</f>
        <v>0</v>
      </c>
      <c r="E401" s="2398"/>
      <c r="F401" s="2398"/>
      <c r="G401" s="2398"/>
      <c r="H401" s="2398"/>
      <c r="I401" s="2404" t="s">
        <v>231</v>
      </c>
    </row>
    <row r="402" spans="1:9">
      <c r="A402" s="2410">
        <f>IF(未审附注之负债及权益!A402="",0,未审附注之负债及权益!A402)</f>
        <v>0</v>
      </c>
      <c r="B402" s="2403">
        <f>IF(未审附注之负债及权益!B402="",0,未审附注之负债及权益!B402)</f>
        <v>0</v>
      </c>
      <c r="C402" s="2403">
        <f>IF(未审附注之负债及权益!C402="",0,未审附注之负债及权益!C402)</f>
        <v>0</v>
      </c>
      <c r="D402" s="2410">
        <f>IF(未审附注之负债及权益!D402="",0,未审附注之负债及权益!D402)</f>
        <v>0</v>
      </c>
      <c r="E402" s="2398"/>
      <c r="F402" s="2398"/>
      <c r="G402" s="2398"/>
      <c r="H402" s="2398"/>
      <c r="I402" s="2404" t="s">
        <v>231</v>
      </c>
    </row>
    <row r="403" spans="1:9">
      <c r="A403" s="2410">
        <f>IF(未审附注之负债及权益!A403="",0,未审附注之负债及权益!A403)</f>
        <v>0</v>
      </c>
      <c r="B403" s="2403">
        <f>IF(未审附注之负债及权益!B403="",0,未审附注之负债及权益!B403)</f>
        <v>0</v>
      </c>
      <c r="C403" s="2403">
        <f>IF(未审附注之负债及权益!C403="",0,未审附注之负债及权益!C403)</f>
        <v>0</v>
      </c>
      <c r="D403" s="2410">
        <f>IF(未审附注之负债及权益!D403="",0,未审附注之负债及权益!D403)</f>
        <v>0</v>
      </c>
      <c r="E403" s="2398"/>
      <c r="F403" s="2398"/>
      <c r="G403" s="2398"/>
      <c r="H403" s="2398"/>
      <c r="I403" s="2404" t="s">
        <v>231</v>
      </c>
    </row>
    <row r="404" spans="1:9">
      <c r="A404" s="2410">
        <f>IF(未审附注之负债及权益!A404="",0,未审附注之负债及权益!A404)</f>
        <v>0</v>
      </c>
      <c r="B404" s="2403">
        <f>IF(未审附注之负债及权益!B404="",0,未审附注之负债及权益!B404)</f>
        <v>0</v>
      </c>
      <c r="C404" s="2403">
        <f>IF(未审附注之负债及权益!C404="",0,未审附注之负债及权益!C404)</f>
        <v>0</v>
      </c>
      <c r="D404" s="2410">
        <f>IF(未审附注之负债及权益!D404="",0,未审附注之负债及权益!D404)</f>
        <v>0</v>
      </c>
      <c r="E404" s="2398"/>
      <c r="F404" s="2398"/>
      <c r="G404" s="2398"/>
      <c r="H404" s="2398"/>
      <c r="I404" s="2404" t="s">
        <v>231</v>
      </c>
    </row>
    <row r="405" spans="1:9">
      <c r="A405" s="2410">
        <f>IF(未审附注之负债及权益!A405="",0,未审附注之负债及权益!A405)</f>
        <v>0</v>
      </c>
      <c r="B405" s="2403">
        <f>IF(未审附注之负债及权益!B405="",0,未审附注之负债及权益!B405)</f>
        <v>0</v>
      </c>
      <c r="C405" s="2403">
        <f>IF(未审附注之负债及权益!C405="",0,未审附注之负债及权益!C405)</f>
        <v>0</v>
      </c>
      <c r="D405" s="2410">
        <f>IF(未审附注之负债及权益!D405="",0,未审附注之负债及权益!D405)</f>
        <v>0</v>
      </c>
      <c r="E405" s="2398"/>
      <c r="F405" s="2398"/>
      <c r="G405" s="2398"/>
      <c r="H405" s="2398"/>
      <c r="I405" s="2404" t="s">
        <v>231</v>
      </c>
    </row>
    <row r="406" spans="1:9">
      <c r="A406" s="2410">
        <f>IF(未审附注之负债及权益!A406="",0,未审附注之负债及权益!A406)</f>
        <v>0</v>
      </c>
      <c r="B406" s="2403">
        <f>IF(未审附注之负债及权益!B406="",0,未审附注之负债及权益!B406)</f>
        <v>0</v>
      </c>
      <c r="C406" s="2403">
        <f>IF(未审附注之负债及权益!C406="",0,未审附注之负债及权益!C406)</f>
        <v>0</v>
      </c>
      <c r="D406" s="2410">
        <f>IF(未审附注之负债及权益!D406="",0,未审附注之负债及权益!D406)</f>
        <v>0</v>
      </c>
      <c r="E406" s="2398"/>
      <c r="F406" s="2398"/>
      <c r="G406" s="2398"/>
      <c r="H406" s="2398"/>
      <c r="I406" s="2404" t="s">
        <v>231</v>
      </c>
    </row>
    <row r="407" spans="1:9">
      <c r="A407" s="2410">
        <f>IF(未审附注之负债及权益!A407="",0,未审附注之负债及权益!A407)</f>
        <v>0</v>
      </c>
      <c r="B407" s="2403">
        <f>IF(未审附注之负债及权益!B407="",0,未审附注之负债及权益!B407)</f>
        <v>0</v>
      </c>
      <c r="C407" s="2403">
        <f>IF(未审附注之负债及权益!C407="",0,未审附注之负债及权益!C407)</f>
        <v>0</v>
      </c>
      <c r="D407" s="2410">
        <f>IF(未审附注之负债及权益!D407="",0,未审附注之负债及权益!D407)</f>
        <v>0</v>
      </c>
      <c r="E407" s="2398"/>
      <c r="F407" s="2398"/>
      <c r="G407" s="2398"/>
      <c r="H407" s="2398"/>
      <c r="I407" s="2404" t="s">
        <v>231</v>
      </c>
    </row>
    <row r="408" spans="1:9">
      <c r="A408" s="2400" t="s">
        <v>385</v>
      </c>
      <c r="B408" s="2369">
        <f>ROUND(SUM(B398:B407),2)</f>
        <v>0</v>
      </c>
      <c r="C408" s="2369">
        <f>ROUND(SUM(C398:C407),2)</f>
        <v>0</v>
      </c>
      <c r="D408" s="2416"/>
      <c r="E408" s="2398"/>
      <c r="F408" s="2398"/>
      <c r="G408" s="2398"/>
      <c r="H408" s="2398"/>
      <c r="I408" s="2404" t="s">
        <v>1176</v>
      </c>
    </row>
    <row r="409" spans="1:8">
      <c r="A409" s="2412"/>
      <c r="B409" s="2413"/>
      <c r="C409" s="2413"/>
      <c r="D409" s="2413"/>
      <c r="E409" s="2413"/>
      <c r="F409" s="2413"/>
      <c r="G409" s="2398"/>
      <c r="H409" s="2398"/>
    </row>
    <row r="410" spans="1:8">
      <c r="A410" s="2421"/>
      <c r="B410" s="2398"/>
      <c r="C410" s="2398"/>
      <c r="D410" s="2398"/>
      <c r="E410" s="2398"/>
      <c r="F410" s="2398"/>
      <c r="G410" s="2398"/>
      <c r="H410" s="2398"/>
    </row>
    <row r="411" spans="1:8">
      <c r="A411" s="2397" t="s">
        <v>1177</v>
      </c>
      <c r="B411" s="2398"/>
      <c r="C411" s="2398"/>
      <c r="D411" s="2398"/>
      <c r="E411" s="2398"/>
      <c r="F411" s="2398"/>
      <c r="G411" s="2398"/>
      <c r="H411" s="2398"/>
    </row>
    <row r="412" spans="1:8">
      <c r="A412" s="2400" t="s">
        <v>373</v>
      </c>
      <c r="B412" s="2426" t="s">
        <v>1149</v>
      </c>
      <c r="C412" s="2402" t="s">
        <v>628</v>
      </c>
      <c r="D412" s="2426" t="s">
        <v>582</v>
      </c>
      <c r="E412" s="2426" t="s">
        <v>583</v>
      </c>
      <c r="F412" s="2402" t="s">
        <v>627</v>
      </c>
      <c r="G412" s="2398"/>
      <c r="H412" s="2398"/>
    </row>
    <row r="413" spans="1:9">
      <c r="A413" s="2410">
        <f>IF(未审附注之负债及权益!A413="",0,未审附注之负债及权益!A413)</f>
        <v>0</v>
      </c>
      <c r="B413" s="2410">
        <f>IF(未审附注之负债及权益!B413="",0,未审附注之负债及权益!B413)</f>
        <v>0</v>
      </c>
      <c r="C413" s="2403">
        <f>IF(未审附注之负债及权益!C413="",0,未审附注之负债及权益!C413)</f>
        <v>0</v>
      </c>
      <c r="D413" s="2403">
        <f>IF(未审附注之负债及权益!D413="",0,未审附注之负债及权益!D413)</f>
        <v>0</v>
      </c>
      <c r="E413" s="2403">
        <f>IF(未审附注之负债及权益!E413="",0,未审附注之负债及权益!E413)</f>
        <v>0</v>
      </c>
      <c r="F413" s="2369">
        <f>ROUND(C413+D413-E413,2)</f>
        <v>0</v>
      </c>
      <c r="G413" s="2398"/>
      <c r="H413" s="2398"/>
      <c r="I413" s="2404" t="s">
        <v>233</v>
      </c>
    </row>
    <row r="414" spans="1:9">
      <c r="A414" s="2410">
        <f>IF(未审附注之负债及权益!A414="",0,未审附注之负债及权益!A414)</f>
        <v>0</v>
      </c>
      <c r="B414" s="2410">
        <f>IF(未审附注之负债及权益!B414="",0,未审附注之负债及权益!B414)</f>
        <v>0</v>
      </c>
      <c r="C414" s="2403">
        <f>IF(未审附注之负债及权益!C414="",0,未审附注之负债及权益!C414)</f>
        <v>0</v>
      </c>
      <c r="D414" s="2403">
        <f>IF(未审附注之负债及权益!D414="",0,未审附注之负债及权益!D414)</f>
        <v>0</v>
      </c>
      <c r="E414" s="2403">
        <f>IF(未审附注之负债及权益!E414="",0,未审附注之负债及权益!E414)</f>
        <v>0</v>
      </c>
      <c r="F414" s="2369">
        <f t="shared" ref="F414:F422" si="1">ROUND(C414+D414-E414,2)</f>
        <v>0</v>
      </c>
      <c r="G414" s="2398"/>
      <c r="H414" s="2398"/>
      <c r="I414" s="2404" t="s">
        <v>233</v>
      </c>
    </row>
    <row r="415" spans="1:9">
      <c r="A415" s="2410">
        <f>IF(未审附注之负债及权益!A415="",0,未审附注之负债及权益!A415)</f>
        <v>0</v>
      </c>
      <c r="B415" s="2410">
        <f>IF(未审附注之负债及权益!B415="",0,未审附注之负债及权益!B415)</f>
        <v>0</v>
      </c>
      <c r="C415" s="2403">
        <f>IF(未审附注之负债及权益!C415="",0,未审附注之负债及权益!C415)</f>
        <v>0</v>
      </c>
      <c r="D415" s="2403">
        <f>IF(未审附注之负债及权益!D415="",0,未审附注之负债及权益!D415)</f>
        <v>0</v>
      </c>
      <c r="E415" s="2403">
        <f>IF(未审附注之负债及权益!E415="",0,未审附注之负债及权益!E415)</f>
        <v>0</v>
      </c>
      <c r="F415" s="2369">
        <f t="shared" si="1"/>
        <v>0</v>
      </c>
      <c r="G415" s="2398"/>
      <c r="H415" s="2398"/>
      <c r="I415" s="2404" t="s">
        <v>233</v>
      </c>
    </row>
    <row r="416" spans="1:9">
      <c r="A416" s="2410">
        <f>IF(未审附注之负债及权益!A416="",0,未审附注之负债及权益!A416)</f>
        <v>0</v>
      </c>
      <c r="B416" s="2410">
        <f>IF(未审附注之负债及权益!B416="",0,未审附注之负债及权益!B416)</f>
        <v>0</v>
      </c>
      <c r="C416" s="2403">
        <f>IF(未审附注之负债及权益!C416="",0,未审附注之负债及权益!C416)</f>
        <v>0</v>
      </c>
      <c r="D416" s="2403">
        <f>IF(未审附注之负债及权益!D416="",0,未审附注之负债及权益!D416)</f>
        <v>0</v>
      </c>
      <c r="E416" s="2403">
        <f>IF(未审附注之负债及权益!E416="",0,未审附注之负债及权益!E416)</f>
        <v>0</v>
      </c>
      <c r="F416" s="2369">
        <f t="shared" si="1"/>
        <v>0</v>
      </c>
      <c r="G416" s="2398"/>
      <c r="H416" s="2398"/>
      <c r="I416" s="2404" t="s">
        <v>233</v>
      </c>
    </row>
    <row r="417" spans="1:9">
      <c r="A417" s="2410">
        <f>IF(未审附注之负债及权益!A417="",0,未审附注之负债及权益!A417)</f>
        <v>0</v>
      </c>
      <c r="B417" s="2410">
        <f>IF(未审附注之负债及权益!B417="",0,未审附注之负债及权益!B417)</f>
        <v>0</v>
      </c>
      <c r="C417" s="2403">
        <f>IF(未审附注之负债及权益!C417="",0,未审附注之负债及权益!C417)</f>
        <v>0</v>
      </c>
      <c r="D417" s="2403">
        <f>IF(未审附注之负债及权益!D417="",0,未审附注之负债及权益!D417)</f>
        <v>0</v>
      </c>
      <c r="E417" s="2403">
        <f>IF(未审附注之负债及权益!E417="",0,未审附注之负债及权益!E417)</f>
        <v>0</v>
      </c>
      <c r="F417" s="2369">
        <f t="shared" si="1"/>
        <v>0</v>
      </c>
      <c r="G417" s="2398"/>
      <c r="H417" s="2398"/>
      <c r="I417" s="2404" t="s">
        <v>233</v>
      </c>
    </row>
    <row r="418" spans="1:9">
      <c r="A418" s="2410">
        <f>IF(未审附注之负债及权益!A418="",0,未审附注之负债及权益!A418)</f>
        <v>0</v>
      </c>
      <c r="B418" s="2410">
        <f>IF(未审附注之负债及权益!B418="",0,未审附注之负债及权益!B418)</f>
        <v>0</v>
      </c>
      <c r="C418" s="2403">
        <f>IF(未审附注之负债及权益!C418="",0,未审附注之负债及权益!C418)</f>
        <v>0</v>
      </c>
      <c r="D418" s="2403">
        <f>IF(未审附注之负债及权益!D418="",0,未审附注之负债及权益!D418)</f>
        <v>0</v>
      </c>
      <c r="E418" s="2403">
        <f>IF(未审附注之负债及权益!E418="",0,未审附注之负债及权益!E418)</f>
        <v>0</v>
      </c>
      <c r="F418" s="2369">
        <f t="shared" si="1"/>
        <v>0</v>
      </c>
      <c r="G418" s="2398"/>
      <c r="H418" s="2398"/>
      <c r="I418" s="2404" t="s">
        <v>233</v>
      </c>
    </row>
    <row r="419" spans="1:9">
      <c r="A419" s="2410">
        <f>IF(未审附注之负债及权益!A419="",0,未审附注之负债及权益!A419)</f>
        <v>0</v>
      </c>
      <c r="B419" s="2410">
        <f>IF(未审附注之负债及权益!B419="",0,未审附注之负债及权益!B419)</f>
        <v>0</v>
      </c>
      <c r="C419" s="2403">
        <f>IF(未审附注之负债及权益!C419="",0,未审附注之负债及权益!C419)</f>
        <v>0</v>
      </c>
      <c r="D419" s="2403">
        <f>IF(未审附注之负债及权益!D419="",0,未审附注之负债及权益!D419)</f>
        <v>0</v>
      </c>
      <c r="E419" s="2403">
        <f>IF(未审附注之负债及权益!E419="",0,未审附注之负债及权益!E419)</f>
        <v>0</v>
      </c>
      <c r="F419" s="2369">
        <f t="shared" si="1"/>
        <v>0</v>
      </c>
      <c r="G419" s="2398"/>
      <c r="H419" s="2398"/>
      <c r="I419" s="2404" t="s">
        <v>233</v>
      </c>
    </row>
    <row r="420" spans="1:9">
      <c r="A420" s="2410">
        <f>IF(未审附注之负债及权益!A420="",0,未审附注之负债及权益!A420)</f>
        <v>0</v>
      </c>
      <c r="B420" s="2410">
        <f>IF(未审附注之负债及权益!B420="",0,未审附注之负债及权益!B420)</f>
        <v>0</v>
      </c>
      <c r="C420" s="2403">
        <f>IF(未审附注之负债及权益!C420="",0,未审附注之负债及权益!C420)</f>
        <v>0</v>
      </c>
      <c r="D420" s="2403">
        <f>IF(未审附注之负债及权益!D420="",0,未审附注之负债及权益!D420)</f>
        <v>0</v>
      </c>
      <c r="E420" s="2403">
        <f>IF(未审附注之负债及权益!E420="",0,未审附注之负债及权益!E420)</f>
        <v>0</v>
      </c>
      <c r="F420" s="2369">
        <f t="shared" si="1"/>
        <v>0</v>
      </c>
      <c r="G420" s="2398"/>
      <c r="H420" s="2398"/>
      <c r="I420" s="2404" t="s">
        <v>233</v>
      </c>
    </row>
    <row r="421" spans="1:9">
      <c r="A421" s="2410">
        <f>IF(未审附注之负债及权益!A421="",0,未审附注之负债及权益!A421)</f>
        <v>0</v>
      </c>
      <c r="B421" s="2410">
        <f>IF(未审附注之负债及权益!B421="",0,未审附注之负债及权益!B421)</f>
        <v>0</v>
      </c>
      <c r="C421" s="2403">
        <f>IF(未审附注之负债及权益!C421="",0,未审附注之负债及权益!C421)</f>
        <v>0</v>
      </c>
      <c r="D421" s="2403">
        <f>IF(未审附注之负债及权益!D421="",0,未审附注之负债及权益!D421)</f>
        <v>0</v>
      </c>
      <c r="E421" s="2403">
        <f>IF(未审附注之负债及权益!E421="",0,未审附注之负债及权益!E421)</f>
        <v>0</v>
      </c>
      <c r="F421" s="2369">
        <f t="shared" si="1"/>
        <v>0</v>
      </c>
      <c r="G421" s="2398"/>
      <c r="H421" s="2398"/>
      <c r="I421" s="2404" t="s">
        <v>233</v>
      </c>
    </row>
    <row r="422" spans="1:9">
      <c r="A422" s="2410">
        <f>IF(未审附注之负债及权益!A422="",0,未审附注之负债及权益!A422)</f>
        <v>0</v>
      </c>
      <c r="B422" s="2410">
        <f>IF(未审附注之负债及权益!B422="",0,未审附注之负债及权益!B422)</f>
        <v>0</v>
      </c>
      <c r="C422" s="2403">
        <f>IF(未审附注之负债及权益!C422="",0,未审附注之负债及权益!C422)</f>
        <v>0</v>
      </c>
      <c r="D422" s="2403">
        <f>IF(未审附注之负债及权益!D422="",0,未审附注之负债及权益!D422)</f>
        <v>0</v>
      </c>
      <c r="E422" s="2403">
        <f>IF(未审附注之负债及权益!E422="",0,未审附注之负债及权益!E422)</f>
        <v>0</v>
      </c>
      <c r="F422" s="2369">
        <f t="shared" si="1"/>
        <v>0</v>
      </c>
      <c r="G422" s="2398"/>
      <c r="H422" s="2398"/>
      <c r="I422" s="2404" t="s">
        <v>233</v>
      </c>
    </row>
    <row r="423" spans="1:9">
      <c r="A423" s="2400" t="s">
        <v>385</v>
      </c>
      <c r="B423" s="2416"/>
      <c r="C423" s="2369">
        <f>ROUND(SUM(C413:C422),2)</f>
        <v>0</v>
      </c>
      <c r="D423" s="2369">
        <f>ROUND(SUM(D413:D422),2)</f>
        <v>0</v>
      </c>
      <c r="E423" s="2369">
        <f>ROUND(SUM(E413:E422),2)</f>
        <v>0</v>
      </c>
      <c r="F423" s="2369">
        <f>ROUND(SUM(F413:F422),2)</f>
        <v>0</v>
      </c>
      <c r="G423" s="2398"/>
      <c r="H423" s="2398"/>
      <c r="I423" s="2404" t="s">
        <v>1178</v>
      </c>
    </row>
    <row r="424" spans="1:8">
      <c r="A424" s="2412"/>
      <c r="B424" s="2413"/>
      <c r="C424" s="2413"/>
      <c r="D424" s="2413"/>
      <c r="E424" s="2413"/>
      <c r="F424" s="2413"/>
      <c r="G424" s="2398"/>
      <c r="H424" s="2398"/>
    </row>
    <row r="425" spans="1:8">
      <c r="A425" s="2421"/>
      <c r="B425" s="2398"/>
      <c r="C425" s="2398"/>
      <c r="D425" s="2398"/>
      <c r="E425" s="2398"/>
      <c r="F425" s="2398"/>
      <c r="G425" s="2398"/>
      <c r="H425" s="2398"/>
    </row>
    <row r="426" spans="1:8">
      <c r="A426" s="2397" t="s">
        <v>1179</v>
      </c>
      <c r="B426" s="2398"/>
      <c r="C426" s="2398"/>
      <c r="D426" s="2398"/>
      <c r="E426" s="2398"/>
      <c r="F426" s="2398"/>
      <c r="G426" s="2398"/>
      <c r="H426" s="2398"/>
    </row>
    <row r="427" spans="1:8">
      <c r="A427" s="2400" t="s">
        <v>373</v>
      </c>
      <c r="B427" s="2426" t="s">
        <v>1149</v>
      </c>
      <c r="C427" s="2400" t="s">
        <v>1180</v>
      </c>
      <c r="D427" s="2402" t="s">
        <v>628</v>
      </c>
      <c r="E427" s="2426" t="s">
        <v>582</v>
      </c>
      <c r="F427" s="2426" t="s">
        <v>583</v>
      </c>
      <c r="G427" s="2402" t="s">
        <v>627</v>
      </c>
      <c r="H427" s="2398"/>
    </row>
    <row r="428" spans="1:9">
      <c r="A428" s="2410">
        <f>IF(未审附注之负债及权益!A428="",0,未审附注之负债及权益!A428)</f>
        <v>0</v>
      </c>
      <c r="B428" s="2410">
        <f>IF(未审附注之负债及权益!B428="",0,未审附注之负债及权益!B428)</f>
        <v>0</v>
      </c>
      <c r="C428" s="2410">
        <f>IF(未审附注之负债及权益!C428="",0,未审附注之负债及权益!C428)</f>
        <v>0</v>
      </c>
      <c r="D428" s="2403">
        <f>IF(未审附注之负债及权益!D428="",0,未审附注之负债及权益!D428)</f>
        <v>0</v>
      </c>
      <c r="E428" s="2403">
        <f>IF(未审附注之负债及权益!E428="",0,未审附注之负债及权益!E428)</f>
        <v>0</v>
      </c>
      <c r="F428" s="2403">
        <f>IF(未审附注之负债及权益!F428="",0,未审附注之负债及权益!F428)</f>
        <v>0</v>
      </c>
      <c r="G428" s="2369">
        <f>ROUND(D428+E428-F428,2)</f>
        <v>0</v>
      </c>
      <c r="H428" s="2398"/>
      <c r="I428" s="2404" t="s">
        <v>235</v>
      </c>
    </row>
    <row r="429" spans="1:9">
      <c r="A429" s="2410">
        <f>IF(未审附注之负债及权益!A429="",0,未审附注之负债及权益!A429)</f>
        <v>0</v>
      </c>
      <c r="B429" s="2410">
        <f>IF(未审附注之负债及权益!B429="",0,未审附注之负债及权益!B429)</f>
        <v>0</v>
      </c>
      <c r="C429" s="2410">
        <f>IF(未审附注之负债及权益!C429="",0,未审附注之负债及权益!C429)</f>
        <v>0</v>
      </c>
      <c r="D429" s="2403">
        <f>IF(未审附注之负债及权益!D429="",0,未审附注之负债及权益!D429)</f>
        <v>0</v>
      </c>
      <c r="E429" s="2403">
        <f>IF(未审附注之负债及权益!E429="",0,未审附注之负债及权益!E429)</f>
        <v>0</v>
      </c>
      <c r="F429" s="2403">
        <f>IF(未审附注之负债及权益!F429="",0,未审附注之负债及权益!F429)</f>
        <v>0</v>
      </c>
      <c r="G429" s="2369">
        <f t="shared" ref="G429:G437" si="2">ROUND(D429+E429-F429,2)</f>
        <v>0</v>
      </c>
      <c r="H429" s="2398"/>
      <c r="I429" s="2404" t="s">
        <v>235</v>
      </c>
    </row>
    <row r="430" spans="1:9">
      <c r="A430" s="2410">
        <f>IF(未审附注之负债及权益!A430="",0,未审附注之负债及权益!A430)</f>
        <v>0</v>
      </c>
      <c r="B430" s="2410">
        <f>IF(未审附注之负债及权益!B430="",0,未审附注之负债及权益!B430)</f>
        <v>0</v>
      </c>
      <c r="C430" s="2410">
        <f>IF(未审附注之负债及权益!C430="",0,未审附注之负债及权益!C430)</f>
        <v>0</v>
      </c>
      <c r="D430" s="2403">
        <f>IF(未审附注之负债及权益!D430="",0,未审附注之负债及权益!D430)</f>
        <v>0</v>
      </c>
      <c r="E430" s="2403">
        <f>IF(未审附注之负债及权益!E430="",0,未审附注之负债及权益!E430)</f>
        <v>0</v>
      </c>
      <c r="F430" s="2403">
        <f>IF(未审附注之负债及权益!F430="",0,未审附注之负债及权益!F430)</f>
        <v>0</v>
      </c>
      <c r="G430" s="2369">
        <f t="shared" si="2"/>
        <v>0</v>
      </c>
      <c r="H430" s="2398"/>
      <c r="I430" s="2404" t="s">
        <v>235</v>
      </c>
    </row>
    <row r="431" spans="1:9">
      <c r="A431" s="2410">
        <f>IF(未审附注之负债及权益!A431="",0,未审附注之负债及权益!A431)</f>
        <v>0</v>
      </c>
      <c r="B431" s="2410">
        <f>IF(未审附注之负债及权益!B431="",0,未审附注之负债及权益!B431)</f>
        <v>0</v>
      </c>
      <c r="C431" s="2410">
        <f>IF(未审附注之负债及权益!C431="",0,未审附注之负债及权益!C431)</f>
        <v>0</v>
      </c>
      <c r="D431" s="2403">
        <f>IF(未审附注之负债及权益!D431="",0,未审附注之负债及权益!D431)</f>
        <v>0</v>
      </c>
      <c r="E431" s="2403">
        <f>IF(未审附注之负债及权益!E431="",0,未审附注之负债及权益!E431)</f>
        <v>0</v>
      </c>
      <c r="F431" s="2403">
        <f>IF(未审附注之负债及权益!F431="",0,未审附注之负债及权益!F431)</f>
        <v>0</v>
      </c>
      <c r="G431" s="2369">
        <f t="shared" si="2"/>
        <v>0</v>
      </c>
      <c r="H431" s="2398"/>
      <c r="I431" s="2404" t="s">
        <v>235</v>
      </c>
    </row>
    <row r="432" spans="1:9">
      <c r="A432" s="2410">
        <f>IF(未审附注之负债及权益!A432="",0,未审附注之负债及权益!A432)</f>
        <v>0</v>
      </c>
      <c r="B432" s="2410">
        <f>IF(未审附注之负债及权益!B432="",0,未审附注之负债及权益!B432)</f>
        <v>0</v>
      </c>
      <c r="C432" s="2410">
        <f>IF(未审附注之负债及权益!C432="",0,未审附注之负债及权益!C432)</f>
        <v>0</v>
      </c>
      <c r="D432" s="2403">
        <f>IF(未审附注之负债及权益!D432="",0,未审附注之负债及权益!D432)</f>
        <v>0</v>
      </c>
      <c r="E432" s="2403">
        <f>IF(未审附注之负债及权益!E432="",0,未审附注之负债及权益!E432)</f>
        <v>0</v>
      </c>
      <c r="F432" s="2403">
        <f>IF(未审附注之负债及权益!F432="",0,未审附注之负债及权益!F432)</f>
        <v>0</v>
      </c>
      <c r="G432" s="2369">
        <f t="shared" si="2"/>
        <v>0</v>
      </c>
      <c r="H432" s="2398"/>
      <c r="I432" s="2404" t="s">
        <v>235</v>
      </c>
    </row>
    <row r="433" spans="1:9">
      <c r="A433" s="2410">
        <f>IF(未审附注之负债及权益!A433="",0,未审附注之负债及权益!A433)</f>
        <v>0</v>
      </c>
      <c r="B433" s="2410">
        <f>IF(未审附注之负债及权益!B433="",0,未审附注之负债及权益!B433)</f>
        <v>0</v>
      </c>
      <c r="C433" s="2410">
        <f>IF(未审附注之负债及权益!C433="",0,未审附注之负债及权益!C433)</f>
        <v>0</v>
      </c>
      <c r="D433" s="2403">
        <f>IF(未审附注之负债及权益!D433="",0,未审附注之负债及权益!D433)</f>
        <v>0</v>
      </c>
      <c r="E433" s="2403">
        <f>IF(未审附注之负债及权益!E433="",0,未审附注之负债及权益!E433)</f>
        <v>0</v>
      </c>
      <c r="F433" s="2403">
        <f>IF(未审附注之负债及权益!F433="",0,未审附注之负债及权益!F433)</f>
        <v>0</v>
      </c>
      <c r="G433" s="2369">
        <f t="shared" si="2"/>
        <v>0</v>
      </c>
      <c r="H433" s="2398"/>
      <c r="I433" s="2404" t="s">
        <v>235</v>
      </c>
    </row>
    <row r="434" spans="1:9">
      <c r="A434" s="2410">
        <f>IF(未审附注之负债及权益!A434="",0,未审附注之负债及权益!A434)</f>
        <v>0</v>
      </c>
      <c r="B434" s="2410">
        <f>IF(未审附注之负债及权益!B434="",0,未审附注之负债及权益!B434)</f>
        <v>0</v>
      </c>
      <c r="C434" s="2410">
        <f>IF(未审附注之负债及权益!C434="",0,未审附注之负债及权益!C434)</f>
        <v>0</v>
      </c>
      <c r="D434" s="2403">
        <f>IF(未审附注之负债及权益!D434="",0,未审附注之负债及权益!D434)</f>
        <v>0</v>
      </c>
      <c r="E434" s="2403">
        <f>IF(未审附注之负债及权益!E434="",0,未审附注之负债及权益!E434)</f>
        <v>0</v>
      </c>
      <c r="F434" s="2403">
        <f>IF(未审附注之负债及权益!F434="",0,未审附注之负债及权益!F434)</f>
        <v>0</v>
      </c>
      <c r="G434" s="2369">
        <f t="shared" si="2"/>
        <v>0</v>
      </c>
      <c r="H434" s="2398"/>
      <c r="I434" s="2404" t="s">
        <v>235</v>
      </c>
    </row>
    <row r="435" spans="1:9">
      <c r="A435" s="2410">
        <f>IF(未审附注之负债及权益!A435="",0,未审附注之负债及权益!A435)</f>
        <v>0</v>
      </c>
      <c r="B435" s="2410">
        <f>IF(未审附注之负债及权益!B435="",0,未审附注之负债及权益!B435)</f>
        <v>0</v>
      </c>
      <c r="C435" s="2410">
        <f>IF(未审附注之负债及权益!C435="",0,未审附注之负债及权益!C435)</f>
        <v>0</v>
      </c>
      <c r="D435" s="2403">
        <f>IF(未审附注之负债及权益!D435="",0,未审附注之负债及权益!D435)</f>
        <v>0</v>
      </c>
      <c r="E435" s="2403">
        <f>IF(未审附注之负债及权益!E435="",0,未审附注之负债及权益!E435)</f>
        <v>0</v>
      </c>
      <c r="F435" s="2403">
        <f>IF(未审附注之负债及权益!F435="",0,未审附注之负债及权益!F435)</f>
        <v>0</v>
      </c>
      <c r="G435" s="2369">
        <f t="shared" si="2"/>
        <v>0</v>
      </c>
      <c r="H435" s="2398"/>
      <c r="I435" s="2404" t="s">
        <v>235</v>
      </c>
    </row>
    <row r="436" spans="1:9">
      <c r="A436" s="2410">
        <f>IF(未审附注之负债及权益!A436="",0,未审附注之负债及权益!A436)</f>
        <v>0</v>
      </c>
      <c r="B436" s="2410">
        <f>IF(未审附注之负债及权益!B436="",0,未审附注之负债及权益!B436)</f>
        <v>0</v>
      </c>
      <c r="C436" s="2410">
        <f>IF(未审附注之负债及权益!C436="",0,未审附注之负债及权益!C436)</f>
        <v>0</v>
      </c>
      <c r="D436" s="2403">
        <f>IF(未审附注之负债及权益!D436="",0,未审附注之负债及权益!D436)</f>
        <v>0</v>
      </c>
      <c r="E436" s="2403">
        <f>IF(未审附注之负债及权益!E436="",0,未审附注之负债及权益!E436)</f>
        <v>0</v>
      </c>
      <c r="F436" s="2403">
        <f>IF(未审附注之负债及权益!F436="",0,未审附注之负债及权益!F436)</f>
        <v>0</v>
      </c>
      <c r="G436" s="2369">
        <f t="shared" si="2"/>
        <v>0</v>
      </c>
      <c r="H436" s="2398"/>
      <c r="I436" s="2404" t="s">
        <v>235</v>
      </c>
    </row>
    <row r="437" spans="1:9">
      <c r="A437" s="2410">
        <f>IF(未审附注之负债及权益!A437="",0,未审附注之负债及权益!A437)</f>
        <v>0</v>
      </c>
      <c r="B437" s="2410">
        <f>IF(未审附注之负债及权益!B437="",0,未审附注之负债及权益!B437)</f>
        <v>0</v>
      </c>
      <c r="C437" s="2410">
        <f>IF(未审附注之负债及权益!C437="",0,未审附注之负债及权益!C437)</f>
        <v>0</v>
      </c>
      <c r="D437" s="2403">
        <f>IF(未审附注之负债及权益!D437="",0,未审附注之负债及权益!D437)</f>
        <v>0</v>
      </c>
      <c r="E437" s="2403">
        <f>IF(未审附注之负债及权益!E437="",0,未审附注之负债及权益!E437)</f>
        <v>0</v>
      </c>
      <c r="F437" s="2403">
        <f>IF(未审附注之负债及权益!F437="",0,未审附注之负债及权益!F437)</f>
        <v>0</v>
      </c>
      <c r="G437" s="2369">
        <f t="shared" si="2"/>
        <v>0</v>
      </c>
      <c r="H437" s="2398"/>
      <c r="I437" s="2404" t="s">
        <v>235</v>
      </c>
    </row>
    <row r="438" spans="1:9">
      <c r="A438" s="2400" t="s">
        <v>385</v>
      </c>
      <c r="B438" s="2416"/>
      <c r="C438" s="2369"/>
      <c r="D438" s="2369">
        <f>ROUND(SUM(D428:D437),2)</f>
        <v>0</v>
      </c>
      <c r="E438" s="2369">
        <f>ROUND(SUM(E428:E437),2)</f>
        <v>0</v>
      </c>
      <c r="F438" s="2369">
        <f>ROUND(SUM(F428:F437),2)</f>
        <v>0</v>
      </c>
      <c r="G438" s="2369">
        <f>ROUND(SUM(G428:G437),2)</f>
        <v>0</v>
      </c>
      <c r="H438" s="2398"/>
      <c r="I438" s="2404" t="s">
        <v>1181</v>
      </c>
    </row>
    <row r="439" spans="1:9">
      <c r="A439" s="2417"/>
      <c r="B439" s="2418"/>
      <c r="C439" s="2418"/>
      <c r="D439" s="2413"/>
      <c r="E439" s="2398"/>
      <c r="F439" s="2398"/>
      <c r="G439" s="2398"/>
      <c r="H439" s="2398"/>
      <c r="I439" s="2404"/>
    </row>
    <row r="440" spans="1:8">
      <c r="A440" s="2421"/>
      <c r="B440" s="2398"/>
      <c r="C440" s="2398"/>
      <c r="D440" s="2398"/>
      <c r="E440" s="2398"/>
      <c r="F440" s="2398"/>
      <c r="G440" s="2398"/>
      <c r="H440" s="2398"/>
    </row>
    <row r="441" spans="1:8">
      <c r="A441" s="2397" t="s">
        <v>1182</v>
      </c>
      <c r="B441" s="2398"/>
      <c r="C441" s="2398"/>
      <c r="D441" s="2398"/>
      <c r="E441" s="2398"/>
      <c r="F441" s="2398"/>
      <c r="G441" s="2398"/>
      <c r="H441" s="2398"/>
    </row>
    <row r="442" spans="1:8">
      <c r="A442" s="2400" t="s">
        <v>373</v>
      </c>
      <c r="B442" s="2400" t="s">
        <v>316</v>
      </c>
      <c r="C442" s="2400" t="s">
        <v>317</v>
      </c>
      <c r="D442" s="2398"/>
      <c r="E442" s="2398"/>
      <c r="F442" s="2398"/>
      <c r="G442" s="2398"/>
      <c r="H442" s="2398"/>
    </row>
    <row r="443" spans="1:9">
      <c r="A443" s="2410">
        <f>IF(未审附注之负债及权益!A443="",0,未审附注之负债及权益!A443)</f>
        <v>0</v>
      </c>
      <c r="B443" s="2403">
        <f>IF(未审附注之负债及权益!B443="",0,未审附注之负债及权益!B443)</f>
        <v>0</v>
      </c>
      <c r="C443" s="2403">
        <f>IF(未审附注之负债及权益!C443="",0,未审附注之负债及权益!C443)</f>
        <v>0</v>
      </c>
      <c r="D443" s="2398"/>
      <c r="E443" s="2398"/>
      <c r="F443" s="2398"/>
      <c r="G443" s="2398"/>
      <c r="H443" s="2398"/>
      <c r="I443" s="2404" t="s">
        <v>239</v>
      </c>
    </row>
    <row r="444" spans="1:9">
      <c r="A444" s="2410">
        <f>IF(未审附注之负债及权益!A444="",0,未审附注之负债及权益!A444)</f>
        <v>0</v>
      </c>
      <c r="B444" s="2403">
        <f>IF(未审附注之负债及权益!B444="",0,未审附注之负债及权益!B444)</f>
        <v>0</v>
      </c>
      <c r="C444" s="2403">
        <f>IF(未审附注之负债及权益!C444="",0,未审附注之负债及权益!C444)</f>
        <v>0</v>
      </c>
      <c r="D444" s="2398"/>
      <c r="E444" s="2398"/>
      <c r="F444" s="2398"/>
      <c r="G444" s="2398"/>
      <c r="H444" s="2398"/>
      <c r="I444" s="2404" t="s">
        <v>239</v>
      </c>
    </row>
    <row r="445" spans="1:9">
      <c r="A445" s="2410">
        <f>IF(未审附注之负债及权益!A445="",0,未审附注之负债及权益!A445)</f>
        <v>0</v>
      </c>
      <c r="B445" s="2403">
        <f>IF(未审附注之负债及权益!B445="",0,未审附注之负债及权益!B445)</f>
        <v>0</v>
      </c>
      <c r="C445" s="2403">
        <f>IF(未审附注之负债及权益!C445="",0,未审附注之负债及权益!C445)</f>
        <v>0</v>
      </c>
      <c r="D445" s="2398"/>
      <c r="E445" s="2398"/>
      <c r="F445" s="2398"/>
      <c r="G445" s="2398"/>
      <c r="H445" s="2398"/>
      <c r="I445" s="2404" t="s">
        <v>239</v>
      </c>
    </row>
    <row r="446" spans="1:9">
      <c r="A446" s="2410">
        <f>IF(未审附注之负债及权益!A446="",0,未审附注之负债及权益!A446)</f>
        <v>0</v>
      </c>
      <c r="B446" s="2403">
        <f>IF(未审附注之负债及权益!B446="",0,未审附注之负债及权益!B446)</f>
        <v>0</v>
      </c>
      <c r="C446" s="2403">
        <f>IF(未审附注之负债及权益!C446="",0,未审附注之负债及权益!C446)</f>
        <v>0</v>
      </c>
      <c r="D446" s="2398"/>
      <c r="E446" s="2398"/>
      <c r="F446" s="2398"/>
      <c r="G446" s="2398"/>
      <c r="H446" s="2398"/>
      <c r="I446" s="2404" t="s">
        <v>239</v>
      </c>
    </row>
    <row r="447" spans="1:9">
      <c r="A447" s="2410">
        <f>IF(未审附注之负债及权益!A447="",0,未审附注之负债及权益!A447)</f>
        <v>0</v>
      </c>
      <c r="B447" s="2403">
        <f>IF(未审附注之负债及权益!B447="",0,未审附注之负债及权益!B447)</f>
        <v>0</v>
      </c>
      <c r="C447" s="2403">
        <f>IF(未审附注之负债及权益!C447="",0,未审附注之负债及权益!C447)</f>
        <v>0</v>
      </c>
      <c r="D447" s="2398"/>
      <c r="E447" s="2398"/>
      <c r="F447" s="2398"/>
      <c r="G447" s="2398"/>
      <c r="H447" s="2398"/>
      <c r="I447" s="2404" t="s">
        <v>239</v>
      </c>
    </row>
    <row r="448" spans="1:9">
      <c r="A448" s="2410">
        <f>IF(未审附注之负债及权益!A448="",0,未审附注之负债及权益!A448)</f>
        <v>0</v>
      </c>
      <c r="B448" s="2403">
        <f>IF(未审附注之负债及权益!B448="",0,未审附注之负债及权益!B448)</f>
        <v>0</v>
      </c>
      <c r="C448" s="2403">
        <f>IF(未审附注之负债及权益!C448="",0,未审附注之负债及权益!C448)</f>
        <v>0</v>
      </c>
      <c r="D448" s="2398"/>
      <c r="E448" s="2398"/>
      <c r="F448" s="2398"/>
      <c r="G448" s="2398"/>
      <c r="H448" s="2398"/>
      <c r="I448" s="2404" t="s">
        <v>239</v>
      </c>
    </row>
    <row r="449" spans="1:9">
      <c r="A449" s="2410">
        <f>IF(未审附注之负债及权益!A449="",0,未审附注之负债及权益!A449)</f>
        <v>0</v>
      </c>
      <c r="B449" s="2403">
        <f>IF(未审附注之负债及权益!B449="",0,未审附注之负债及权益!B449)</f>
        <v>0</v>
      </c>
      <c r="C449" s="2403">
        <f>IF(未审附注之负债及权益!C449="",0,未审附注之负债及权益!C449)</f>
        <v>0</v>
      </c>
      <c r="D449" s="2398"/>
      <c r="E449" s="2398"/>
      <c r="F449" s="2398"/>
      <c r="G449" s="2398"/>
      <c r="H449" s="2398"/>
      <c r="I449" s="2404" t="s">
        <v>239</v>
      </c>
    </row>
    <row r="450" spans="1:9">
      <c r="A450" s="2410">
        <f>IF(未审附注之负债及权益!A450="",0,未审附注之负债及权益!A450)</f>
        <v>0</v>
      </c>
      <c r="B450" s="2403">
        <f>IF(未审附注之负债及权益!B450="",0,未审附注之负债及权益!B450)</f>
        <v>0</v>
      </c>
      <c r="C450" s="2403">
        <f>IF(未审附注之负债及权益!C450="",0,未审附注之负债及权益!C450)</f>
        <v>0</v>
      </c>
      <c r="D450" s="2398"/>
      <c r="E450" s="2398"/>
      <c r="F450" s="2398"/>
      <c r="G450" s="2398"/>
      <c r="H450" s="2398"/>
      <c r="I450" s="2404" t="s">
        <v>239</v>
      </c>
    </row>
    <row r="451" spans="1:9">
      <c r="A451" s="2410">
        <f>IF(未审附注之负债及权益!A451="",0,未审附注之负债及权益!A451)</f>
        <v>0</v>
      </c>
      <c r="B451" s="2403">
        <f>IF(未审附注之负债及权益!B451="",0,未审附注之负债及权益!B451)</f>
        <v>0</v>
      </c>
      <c r="C451" s="2403">
        <f>IF(未审附注之负债及权益!C451="",0,未审附注之负债及权益!C451)</f>
        <v>0</v>
      </c>
      <c r="D451" s="2398"/>
      <c r="E451" s="2398"/>
      <c r="F451" s="2398"/>
      <c r="G451" s="2398"/>
      <c r="H451" s="2398"/>
      <c r="I451" s="2404" t="s">
        <v>239</v>
      </c>
    </row>
    <row r="452" spans="1:9">
      <c r="A452" s="2410">
        <f>IF(未审附注之负债及权益!A452="",0,未审附注之负债及权益!A452)</f>
        <v>0</v>
      </c>
      <c r="B452" s="2403">
        <f>IF(未审附注之负债及权益!B452="",0,未审附注之负债及权益!B452)</f>
        <v>0</v>
      </c>
      <c r="C452" s="2403">
        <f>IF(未审附注之负债及权益!C452="",0,未审附注之负债及权益!C452)</f>
        <v>0</v>
      </c>
      <c r="D452" s="2398"/>
      <c r="E452" s="2398"/>
      <c r="F452" s="2398"/>
      <c r="G452" s="2398"/>
      <c r="H452" s="2398"/>
      <c r="I452" s="2404" t="s">
        <v>239</v>
      </c>
    </row>
    <row r="453" spans="1:9">
      <c r="A453" s="2400" t="s">
        <v>385</v>
      </c>
      <c r="B453" s="2369">
        <f>ROUND(SUM(B443:B452),2)</f>
        <v>0</v>
      </c>
      <c r="C453" s="2369">
        <f>ROUND(SUM(C443:C452),2)</f>
        <v>0</v>
      </c>
      <c r="D453" s="2398"/>
      <c r="E453" s="2398"/>
      <c r="F453" s="2398"/>
      <c r="G453" s="2398"/>
      <c r="H453" s="2398"/>
      <c r="I453" s="2404" t="s">
        <v>1183</v>
      </c>
    </row>
    <row r="454" spans="1:8">
      <c r="A454" s="2398"/>
      <c r="B454" s="2398"/>
      <c r="C454" s="2398"/>
      <c r="D454" s="2398"/>
      <c r="E454" s="2398"/>
      <c r="F454" s="2398"/>
      <c r="G454" s="2398"/>
      <c r="H454" s="2398"/>
    </row>
    <row r="455" spans="1:8">
      <c r="A455" s="2398"/>
      <c r="B455" s="2398"/>
      <c r="C455" s="2398"/>
      <c r="D455" s="2398"/>
      <c r="E455" s="2398"/>
      <c r="F455" s="2398"/>
      <c r="G455" s="2398"/>
      <c r="H455" s="2398"/>
    </row>
    <row r="456" spans="1:8">
      <c r="A456" s="2397" t="s">
        <v>1184</v>
      </c>
      <c r="B456" s="2398"/>
      <c r="C456" s="2398"/>
      <c r="D456" s="2398"/>
      <c r="E456" s="2398"/>
      <c r="F456" s="2398"/>
      <c r="G456" s="2398"/>
      <c r="H456" s="2398"/>
    </row>
    <row r="457" spans="1:8">
      <c r="A457" s="2400" t="s">
        <v>1114</v>
      </c>
      <c r="B457" s="2400" t="s">
        <v>628</v>
      </c>
      <c r="C457" s="2400" t="s">
        <v>445</v>
      </c>
      <c r="D457" s="2426" t="s">
        <v>582</v>
      </c>
      <c r="E457" s="2426" t="s">
        <v>583</v>
      </c>
      <c r="F457" s="2400" t="s">
        <v>627</v>
      </c>
      <c r="G457" s="2426" t="s">
        <v>445</v>
      </c>
      <c r="H457" s="2398"/>
    </row>
    <row r="458" spans="1:9">
      <c r="A458" s="2410">
        <f>IF(未审附注之负债及权益!A458="",0,未审附注之负债及权益!A458)</f>
        <v>0</v>
      </c>
      <c r="B458" s="2403">
        <f>IF(未审附注之负债及权益!B458="",0,未审附注之负债及权益!B458)</f>
        <v>0</v>
      </c>
      <c r="C458" s="2439">
        <f>IF(B468=0,0,IF(B459=B460=B461=B462=B463=B464=B465=B466=B467=0,B458/B468,ROUND(1-C459-C460-C461-C462-C463-C464-C465-C466-C467,4)))</f>
        <v>0</v>
      </c>
      <c r="D458" s="2403">
        <f>IF(未审附注之负债及权益!D458="",0,未审附注之负债及权益!D458)</f>
        <v>0</v>
      </c>
      <c r="E458" s="2403">
        <f>IF(未审附注之负债及权益!E458="",0,未审附注之负债及权益!E458)</f>
        <v>0</v>
      </c>
      <c r="F458" s="2369">
        <f>ROUND(B458+D458-E458,2)</f>
        <v>0</v>
      </c>
      <c r="G458" s="2439">
        <f>IF(F468=0,0,IF(F459=F460=F461=F462=F463=F464=F465=F466=F467=0,F458/F468,ROUND(1-G459-G460-G461-G462-G463-G464-G465-G466-G467,4)))</f>
        <v>0</v>
      </c>
      <c r="H458" s="2398"/>
      <c r="I458" s="2404" t="s">
        <v>1185</v>
      </c>
    </row>
    <row r="459" spans="1:9">
      <c r="A459" s="2410">
        <f>IF(未审附注之负债及权益!A459="",0,未审附注之负债及权益!A459)</f>
        <v>0</v>
      </c>
      <c r="B459" s="2403">
        <f>IF(未审附注之负债及权益!B459="",0,未审附注之负债及权益!B459)</f>
        <v>0</v>
      </c>
      <c r="C459" s="2439">
        <f>IF(B$468=0,0,B459/B$468)</f>
        <v>0</v>
      </c>
      <c r="D459" s="2403">
        <f>IF(未审附注之负债及权益!D459="",0,未审附注之负债及权益!D459)</f>
        <v>0</v>
      </c>
      <c r="E459" s="2403">
        <f>IF(未审附注之负债及权益!E459="",0,未审附注之负债及权益!E459)</f>
        <v>0</v>
      </c>
      <c r="F459" s="2369">
        <f t="shared" ref="F459:F467" si="3">ROUND(B459+D459-E459,2)</f>
        <v>0</v>
      </c>
      <c r="G459" s="2439">
        <f>IF(F$468=0,0,F459/F$468)</f>
        <v>0</v>
      </c>
      <c r="H459" s="2398"/>
      <c r="I459" s="2404" t="s">
        <v>1185</v>
      </c>
    </row>
    <row r="460" spans="1:9">
      <c r="A460" s="2410">
        <f>IF(未审附注之负债及权益!A460="",0,未审附注之负债及权益!A460)</f>
        <v>0</v>
      </c>
      <c r="B460" s="2403">
        <f>IF(未审附注之负债及权益!B460="",0,未审附注之负债及权益!B460)</f>
        <v>0</v>
      </c>
      <c r="C460" s="2439">
        <f t="shared" ref="C460:C467" si="4">IF(B$468=0,0,B460/B$468)</f>
        <v>0</v>
      </c>
      <c r="D460" s="2403">
        <f>IF(未审附注之负债及权益!D460="",0,未审附注之负债及权益!D460)</f>
        <v>0</v>
      </c>
      <c r="E460" s="2403">
        <f>IF(未审附注之负债及权益!E460="",0,未审附注之负债及权益!E460)</f>
        <v>0</v>
      </c>
      <c r="F460" s="2369">
        <f t="shared" si="3"/>
        <v>0</v>
      </c>
      <c r="G460" s="2439">
        <f t="shared" ref="G460:G467" si="5">IF(F$468=0,0,F460/F$468)</f>
        <v>0</v>
      </c>
      <c r="H460" s="2398"/>
      <c r="I460" s="2404" t="s">
        <v>1185</v>
      </c>
    </row>
    <row r="461" spans="1:9">
      <c r="A461" s="2410">
        <f>IF(未审附注之负债及权益!A461="",0,未审附注之负债及权益!A461)</f>
        <v>0</v>
      </c>
      <c r="B461" s="2403">
        <f>IF(未审附注之负债及权益!B461="",0,未审附注之负债及权益!B461)</f>
        <v>0</v>
      </c>
      <c r="C461" s="2439">
        <f t="shared" si="4"/>
        <v>0</v>
      </c>
      <c r="D461" s="2403">
        <f>IF(未审附注之负债及权益!D461="",0,未审附注之负债及权益!D461)</f>
        <v>0</v>
      </c>
      <c r="E461" s="2403">
        <f>IF(未审附注之负债及权益!E461="",0,未审附注之负债及权益!E461)</f>
        <v>0</v>
      </c>
      <c r="F461" s="2369">
        <f t="shared" si="3"/>
        <v>0</v>
      </c>
      <c r="G461" s="2439">
        <f t="shared" si="5"/>
        <v>0</v>
      </c>
      <c r="H461" s="2398"/>
      <c r="I461" s="2404" t="s">
        <v>1185</v>
      </c>
    </row>
    <row r="462" spans="1:9">
      <c r="A462" s="2410">
        <f>IF(未审附注之负债及权益!A462="",0,未审附注之负债及权益!A462)</f>
        <v>0</v>
      </c>
      <c r="B462" s="2403">
        <f>IF(未审附注之负债及权益!B462="",0,未审附注之负债及权益!B462)</f>
        <v>0</v>
      </c>
      <c r="C462" s="2439">
        <f t="shared" si="4"/>
        <v>0</v>
      </c>
      <c r="D462" s="2403">
        <f>IF(未审附注之负债及权益!D462="",0,未审附注之负债及权益!D462)</f>
        <v>0</v>
      </c>
      <c r="E462" s="2403">
        <f>IF(未审附注之负债及权益!E462="",0,未审附注之负债及权益!E462)</f>
        <v>0</v>
      </c>
      <c r="F462" s="2369">
        <f t="shared" si="3"/>
        <v>0</v>
      </c>
      <c r="G462" s="2439">
        <f t="shared" si="5"/>
        <v>0</v>
      </c>
      <c r="H462" s="2398"/>
      <c r="I462" s="2404" t="s">
        <v>1185</v>
      </c>
    </row>
    <row r="463" spans="1:9">
      <c r="A463" s="2410">
        <f>IF(未审附注之负债及权益!A463="",0,未审附注之负债及权益!A463)</f>
        <v>0</v>
      </c>
      <c r="B463" s="2403">
        <f>IF(未审附注之负债及权益!B463="",0,未审附注之负债及权益!B463)</f>
        <v>0</v>
      </c>
      <c r="C463" s="2439">
        <f t="shared" si="4"/>
        <v>0</v>
      </c>
      <c r="D463" s="2403">
        <f>IF(未审附注之负债及权益!D463="",0,未审附注之负债及权益!D463)</f>
        <v>0</v>
      </c>
      <c r="E463" s="2403">
        <f>IF(未审附注之负债及权益!E463="",0,未审附注之负债及权益!E463)</f>
        <v>0</v>
      </c>
      <c r="F463" s="2369">
        <f t="shared" si="3"/>
        <v>0</v>
      </c>
      <c r="G463" s="2439">
        <f t="shared" si="5"/>
        <v>0</v>
      </c>
      <c r="H463" s="2398"/>
      <c r="I463" s="2404" t="s">
        <v>1185</v>
      </c>
    </row>
    <row r="464" spans="1:9">
      <c r="A464" s="2410">
        <f>IF(未审附注之负债及权益!A464="",0,未审附注之负债及权益!A464)</f>
        <v>0</v>
      </c>
      <c r="B464" s="2403">
        <f>IF(未审附注之负债及权益!B464="",0,未审附注之负债及权益!B464)</f>
        <v>0</v>
      </c>
      <c r="C464" s="2439">
        <f t="shared" si="4"/>
        <v>0</v>
      </c>
      <c r="D464" s="2403">
        <f>IF(未审附注之负债及权益!D464="",0,未审附注之负债及权益!D464)</f>
        <v>0</v>
      </c>
      <c r="E464" s="2403">
        <f>IF(未审附注之负债及权益!E464="",0,未审附注之负债及权益!E464)</f>
        <v>0</v>
      </c>
      <c r="F464" s="2369">
        <f t="shared" si="3"/>
        <v>0</v>
      </c>
      <c r="G464" s="2439">
        <f t="shared" si="5"/>
        <v>0</v>
      </c>
      <c r="H464" s="2398"/>
      <c r="I464" s="2404" t="s">
        <v>1185</v>
      </c>
    </row>
    <row r="465" spans="1:9">
      <c r="A465" s="2410">
        <f>IF(未审附注之负债及权益!A465="",0,未审附注之负债及权益!A465)</f>
        <v>0</v>
      </c>
      <c r="B465" s="2403">
        <f>IF(未审附注之负债及权益!B465="",0,未审附注之负债及权益!B465)</f>
        <v>0</v>
      </c>
      <c r="C465" s="2439">
        <f t="shared" si="4"/>
        <v>0</v>
      </c>
      <c r="D465" s="2403">
        <f>IF(未审附注之负债及权益!D465="",0,未审附注之负债及权益!D465)</f>
        <v>0</v>
      </c>
      <c r="E465" s="2403">
        <f>IF(未审附注之负债及权益!E465="",0,未审附注之负债及权益!E465)</f>
        <v>0</v>
      </c>
      <c r="F465" s="2369">
        <f t="shared" si="3"/>
        <v>0</v>
      </c>
      <c r="G465" s="2439">
        <f t="shared" si="5"/>
        <v>0</v>
      </c>
      <c r="H465" s="2398"/>
      <c r="I465" s="2404" t="s">
        <v>1185</v>
      </c>
    </row>
    <row r="466" spans="1:9">
      <c r="A466" s="2410">
        <f>IF(未审附注之负债及权益!A466="",0,未审附注之负债及权益!A466)</f>
        <v>0</v>
      </c>
      <c r="B466" s="2403">
        <f>IF(未审附注之负债及权益!B466="",0,未审附注之负债及权益!B466)</f>
        <v>0</v>
      </c>
      <c r="C466" s="2439">
        <f t="shared" si="4"/>
        <v>0</v>
      </c>
      <c r="D466" s="2403">
        <f>IF(未审附注之负债及权益!D466="",0,未审附注之负债及权益!D466)</f>
        <v>0</v>
      </c>
      <c r="E466" s="2403">
        <f>IF(未审附注之负债及权益!E466="",0,未审附注之负债及权益!E466)</f>
        <v>0</v>
      </c>
      <c r="F466" s="2369">
        <f t="shared" si="3"/>
        <v>0</v>
      </c>
      <c r="G466" s="2439">
        <f t="shared" si="5"/>
        <v>0</v>
      </c>
      <c r="H466" s="2398"/>
      <c r="I466" s="2404" t="s">
        <v>1185</v>
      </c>
    </row>
    <row r="467" spans="1:9">
      <c r="A467" s="2410">
        <f>IF(未审附注之负债及权益!A467="",0,未审附注之负债及权益!A467)</f>
        <v>0</v>
      </c>
      <c r="B467" s="2403">
        <f>IF(未审附注之负债及权益!B467="",0,未审附注之负债及权益!B467)</f>
        <v>0</v>
      </c>
      <c r="C467" s="2439">
        <f t="shared" si="4"/>
        <v>0</v>
      </c>
      <c r="D467" s="2403">
        <f>IF(未审附注之负债及权益!D467="",0,未审附注之负债及权益!D467)</f>
        <v>0</v>
      </c>
      <c r="E467" s="2403">
        <f>IF(未审附注之负债及权益!E467="",0,未审附注之负债及权益!E467)</f>
        <v>0</v>
      </c>
      <c r="F467" s="2369">
        <f t="shared" si="3"/>
        <v>0</v>
      </c>
      <c r="G467" s="2439">
        <f t="shared" si="5"/>
        <v>0</v>
      </c>
      <c r="H467" s="2398"/>
      <c r="I467" s="2404" t="s">
        <v>1185</v>
      </c>
    </row>
    <row r="468" spans="1:9">
      <c r="A468" s="2400" t="s">
        <v>385</v>
      </c>
      <c r="B468" s="2369">
        <f>ROUND(SUM(B458:B467),2)</f>
        <v>0</v>
      </c>
      <c r="C468" s="2411">
        <f>IF(B$468=0,0,1)</f>
        <v>0</v>
      </c>
      <c r="D468" s="2369">
        <f>ROUND(SUM(D458:D467),2)</f>
        <v>0</v>
      </c>
      <c r="E468" s="2369">
        <f>ROUND(SUM(E458:E467),2)</f>
        <v>0</v>
      </c>
      <c r="F468" s="2369">
        <f>ROUND(SUM(F458:F467),2)</f>
        <v>0</v>
      </c>
      <c r="G468" s="2411">
        <f>IF(F$468=0,0,1)</f>
        <v>0</v>
      </c>
      <c r="H468" s="2398"/>
      <c r="I468" s="2404" t="s">
        <v>1186</v>
      </c>
    </row>
    <row r="469" spans="1:8">
      <c r="A469" s="2417"/>
      <c r="B469" s="2418"/>
      <c r="C469" s="2440"/>
      <c r="D469" s="2418"/>
      <c r="E469" s="2418"/>
      <c r="F469" s="2418"/>
      <c r="G469" s="2440"/>
      <c r="H469" s="2398"/>
    </row>
    <row r="470" spans="1:8">
      <c r="A470" s="2398"/>
      <c r="B470" s="2398"/>
      <c r="C470" s="2398"/>
      <c r="D470" s="2398"/>
      <c r="E470" s="2398"/>
      <c r="F470" s="2398"/>
      <c r="G470" s="2398"/>
      <c r="H470" s="2398"/>
    </row>
    <row r="471" spans="1:8">
      <c r="A471" s="2397" t="s">
        <v>1187</v>
      </c>
      <c r="B471" s="2398"/>
      <c r="C471" s="2398"/>
      <c r="D471" s="2398"/>
      <c r="E471" s="2398"/>
      <c r="F471" s="2398"/>
      <c r="G471" s="2398"/>
      <c r="H471" s="2398"/>
    </row>
    <row r="472" spans="1:8">
      <c r="A472" s="2400" t="s">
        <v>373</v>
      </c>
      <c r="B472" s="2402" t="s">
        <v>628</v>
      </c>
      <c r="C472" s="2426" t="s">
        <v>582</v>
      </c>
      <c r="D472" s="2426" t="s">
        <v>583</v>
      </c>
      <c r="E472" s="2402" t="s">
        <v>627</v>
      </c>
      <c r="F472" s="2398"/>
      <c r="G472" s="2398"/>
      <c r="H472" s="2398"/>
    </row>
    <row r="473" spans="1:9">
      <c r="A473" s="2410">
        <f>IF(未审附注之负债及权益!A473="",0,未审附注之负债及权益!A473)</f>
        <v>0</v>
      </c>
      <c r="B473" s="2403">
        <f>IF(未审附注之负债及权益!B473="",0,未审附注之负债及权益!B473)</f>
        <v>0</v>
      </c>
      <c r="C473" s="2403">
        <f>IF(未审附注之负债及权益!C473="",0,未审附注之负债及权益!C473)</f>
        <v>0</v>
      </c>
      <c r="D473" s="2403">
        <f>IF(未审附注之负债及权益!D473="",0,未审附注之负债及权益!D473)</f>
        <v>0</v>
      </c>
      <c r="E473" s="2369">
        <f>ROUND(B473+C473-D473,2)</f>
        <v>0</v>
      </c>
      <c r="F473" s="2398"/>
      <c r="G473" s="2398"/>
      <c r="H473" s="2398"/>
      <c r="I473" s="2404" t="s">
        <v>253</v>
      </c>
    </row>
    <row r="474" spans="1:9">
      <c r="A474" s="2410">
        <f>IF(未审附注之负债及权益!A474="",0,未审附注之负债及权益!A474)</f>
        <v>0</v>
      </c>
      <c r="B474" s="2403">
        <f>IF(未审附注之负债及权益!B474="",0,未审附注之负债及权益!B474)</f>
        <v>0</v>
      </c>
      <c r="C474" s="2403">
        <f>IF(未审附注之负债及权益!C474="",0,未审附注之负债及权益!C474)</f>
        <v>0</v>
      </c>
      <c r="D474" s="2403">
        <f>IF(未审附注之负债及权益!D474="",0,未审附注之负债及权益!D474)</f>
        <v>0</v>
      </c>
      <c r="E474" s="2369">
        <f t="shared" ref="E474:E482" si="6">ROUND(B474+C474-D474,2)</f>
        <v>0</v>
      </c>
      <c r="F474" s="2398"/>
      <c r="G474" s="2398"/>
      <c r="H474" s="2398"/>
      <c r="I474" s="2404" t="s">
        <v>253</v>
      </c>
    </row>
    <row r="475" spans="1:9">
      <c r="A475" s="2410">
        <f>IF(未审附注之负债及权益!A475="",0,未审附注之负债及权益!A475)</f>
        <v>0</v>
      </c>
      <c r="B475" s="2403">
        <f>IF(未审附注之负债及权益!B475="",0,未审附注之负债及权益!B475)</f>
        <v>0</v>
      </c>
      <c r="C475" s="2403">
        <f>IF(未审附注之负债及权益!C475="",0,未审附注之负债及权益!C475)</f>
        <v>0</v>
      </c>
      <c r="D475" s="2403">
        <f>IF(未审附注之负债及权益!D475="",0,未审附注之负债及权益!D475)</f>
        <v>0</v>
      </c>
      <c r="E475" s="2369">
        <f t="shared" si="6"/>
        <v>0</v>
      </c>
      <c r="F475" s="2398"/>
      <c r="G475" s="2398"/>
      <c r="H475" s="2398"/>
      <c r="I475" s="2404" t="s">
        <v>253</v>
      </c>
    </row>
    <row r="476" spans="1:9">
      <c r="A476" s="2410">
        <f>IF(未审附注之负债及权益!A476="",0,未审附注之负债及权益!A476)</f>
        <v>0</v>
      </c>
      <c r="B476" s="2403">
        <f>IF(未审附注之负债及权益!B476="",0,未审附注之负债及权益!B476)</f>
        <v>0</v>
      </c>
      <c r="C476" s="2403">
        <f>IF(未审附注之负债及权益!C476="",0,未审附注之负债及权益!C476)</f>
        <v>0</v>
      </c>
      <c r="D476" s="2403">
        <f>IF(未审附注之负债及权益!D476="",0,未审附注之负债及权益!D476)</f>
        <v>0</v>
      </c>
      <c r="E476" s="2369">
        <f t="shared" si="6"/>
        <v>0</v>
      </c>
      <c r="F476" s="2398"/>
      <c r="G476" s="2398"/>
      <c r="H476" s="2398"/>
      <c r="I476" s="2404" t="s">
        <v>253</v>
      </c>
    </row>
    <row r="477" spans="1:9">
      <c r="A477" s="2410">
        <f>IF(未审附注之负债及权益!A477="",0,未审附注之负债及权益!A477)</f>
        <v>0</v>
      </c>
      <c r="B477" s="2403">
        <f>IF(未审附注之负债及权益!B477="",0,未审附注之负债及权益!B477)</f>
        <v>0</v>
      </c>
      <c r="C477" s="2403">
        <f>IF(未审附注之负债及权益!C477="",0,未审附注之负债及权益!C477)</f>
        <v>0</v>
      </c>
      <c r="D477" s="2403">
        <f>IF(未审附注之负债及权益!D477="",0,未审附注之负债及权益!D477)</f>
        <v>0</v>
      </c>
      <c r="E477" s="2369">
        <f t="shared" si="6"/>
        <v>0</v>
      </c>
      <c r="F477" s="2398"/>
      <c r="G477" s="2398"/>
      <c r="H477" s="2398"/>
      <c r="I477" s="2404" t="s">
        <v>253</v>
      </c>
    </row>
    <row r="478" spans="1:9">
      <c r="A478" s="2410">
        <f>IF(未审附注之负债及权益!A478="",0,未审附注之负债及权益!A478)</f>
        <v>0</v>
      </c>
      <c r="B478" s="2403">
        <f>IF(未审附注之负债及权益!B478="",0,未审附注之负债及权益!B478)</f>
        <v>0</v>
      </c>
      <c r="C478" s="2403">
        <f>IF(未审附注之负债及权益!C478="",0,未审附注之负债及权益!C478)</f>
        <v>0</v>
      </c>
      <c r="D478" s="2403">
        <f>IF(未审附注之负债及权益!D478="",0,未审附注之负债及权益!D478)</f>
        <v>0</v>
      </c>
      <c r="E478" s="2369">
        <f t="shared" si="6"/>
        <v>0</v>
      </c>
      <c r="F478" s="2398"/>
      <c r="G478" s="2398"/>
      <c r="H478" s="2398"/>
      <c r="I478" s="2404" t="s">
        <v>253</v>
      </c>
    </row>
    <row r="479" spans="1:9">
      <c r="A479" s="2410">
        <f>IF(未审附注之负债及权益!A479="",0,未审附注之负债及权益!A479)</f>
        <v>0</v>
      </c>
      <c r="B479" s="2403">
        <f>IF(未审附注之负债及权益!B479="",0,未审附注之负债及权益!B479)</f>
        <v>0</v>
      </c>
      <c r="C479" s="2403">
        <f>IF(未审附注之负债及权益!C479="",0,未审附注之负债及权益!C479)</f>
        <v>0</v>
      </c>
      <c r="D479" s="2403">
        <f>IF(未审附注之负债及权益!D479="",0,未审附注之负债及权益!D479)</f>
        <v>0</v>
      </c>
      <c r="E479" s="2369">
        <f t="shared" si="6"/>
        <v>0</v>
      </c>
      <c r="F479" s="2398"/>
      <c r="G479" s="2398"/>
      <c r="H479" s="2398"/>
      <c r="I479" s="2404" t="s">
        <v>253</v>
      </c>
    </row>
    <row r="480" spans="1:9">
      <c r="A480" s="2410">
        <f>IF(未审附注之负债及权益!A480="",0,未审附注之负债及权益!A480)</f>
        <v>0</v>
      </c>
      <c r="B480" s="2403">
        <f>IF(未审附注之负债及权益!B480="",0,未审附注之负债及权益!B480)</f>
        <v>0</v>
      </c>
      <c r="C480" s="2403">
        <f>IF(未审附注之负债及权益!C480="",0,未审附注之负债及权益!C480)</f>
        <v>0</v>
      </c>
      <c r="D480" s="2403">
        <f>IF(未审附注之负债及权益!D480="",0,未审附注之负债及权益!D480)</f>
        <v>0</v>
      </c>
      <c r="E480" s="2369">
        <f t="shared" si="6"/>
        <v>0</v>
      </c>
      <c r="F480" s="2398"/>
      <c r="G480" s="2398"/>
      <c r="H480" s="2398"/>
      <c r="I480" s="2404" t="s">
        <v>253</v>
      </c>
    </row>
    <row r="481" spans="1:9">
      <c r="A481" s="2410">
        <f>IF(未审附注之负债及权益!A481="",0,未审附注之负债及权益!A481)</f>
        <v>0</v>
      </c>
      <c r="B481" s="2403">
        <f>IF(未审附注之负债及权益!B481="",0,未审附注之负债及权益!B481)</f>
        <v>0</v>
      </c>
      <c r="C481" s="2403">
        <f>IF(未审附注之负债及权益!C481="",0,未审附注之负债及权益!C481)</f>
        <v>0</v>
      </c>
      <c r="D481" s="2403">
        <f>IF(未审附注之负债及权益!D481="",0,未审附注之负债及权益!D481)</f>
        <v>0</v>
      </c>
      <c r="E481" s="2369">
        <f t="shared" si="6"/>
        <v>0</v>
      </c>
      <c r="F481" s="2398"/>
      <c r="G481" s="2398"/>
      <c r="H481" s="2398"/>
      <c r="I481" s="2404" t="s">
        <v>253</v>
      </c>
    </row>
    <row r="482" spans="1:9">
      <c r="A482" s="2410">
        <f>IF(未审附注之负债及权益!A482="",0,未审附注之负债及权益!A482)</f>
        <v>0</v>
      </c>
      <c r="B482" s="2403">
        <f>IF(未审附注之负债及权益!B482="",0,未审附注之负债及权益!B482)</f>
        <v>0</v>
      </c>
      <c r="C482" s="2403">
        <f>IF(未审附注之负债及权益!C482="",0,未审附注之负债及权益!C482)</f>
        <v>0</v>
      </c>
      <c r="D482" s="2403">
        <f>IF(未审附注之负债及权益!D482="",0,未审附注之负债及权益!D482)</f>
        <v>0</v>
      </c>
      <c r="E482" s="2369">
        <f t="shared" si="6"/>
        <v>0</v>
      </c>
      <c r="F482" s="2398"/>
      <c r="G482" s="2398"/>
      <c r="H482" s="2398"/>
      <c r="I482" s="2404" t="s">
        <v>253</v>
      </c>
    </row>
    <row r="483" spans="1:9">
      <c r="A483" s="2400" t="s">
        <v>385</v>
      </c>
      <c r="B483" s="2369">
        <f>ROUND(SUM(B473:B482),2)</f>
        <v>0</v>
      </c>
      <c r="C483" s="2369">
        <f>ROUND(SUM(C473:C482),2)</f>
        <v>0</v>
      </c>
      <c r="D483" s="2369">
        <f>ROUND(SUM(D473:D482),2)</f>
        <v>0</v>
      </c>
      <c r="E483" s="2369">
        <f>ROUND(SUM(E473:E482),2)</f>
        <v>0</v>
      </c>
      <c r="F483" s="2398"/>
      <c r="G483" s="2398"/>
      <c r="H483" s="2398"/>
      <c r="I483" s="2404" t="s">
        <v>1188</v>
      </c>
    </row>
    <row r="484" spans="1:8">
      <c r="A484" s="2417"/>
      <c r="B484" s="2418"/>
      <c r="C484" s="2418"/>
      <c r="D484" s="2418"/>
      <c r="E484" s="2418"/>
      <c r="F484" s="2398"/>
      <c r="G484" s="2398"/>
      <c r="H484" s="2398"/>
    </row>
    <row r="485" spans="1:8">
      <c r="A485" s="2398"/>
      <c r="B485" s="2398"/>
      <c r="C485" s="2398"/>
      <c r="D485" s="2398"/>
      <c r="E485" s="2398"/>
      <c r="F485" s="2398"/>
      <c r="G485" s="2398"/>
      <c r="H485" s="2398"/>
    </row>
    <row r="486" spans="1:8">
      <c r="A486" s="2441" t="s">
        <v>1189</v>
      </c>
      <c r="B486" s="2398"/>
      <c r="C486" s="2398"/>
      <c r="D486" s="2398"/>
      <c r="E486" s="2398"/>
      <c r="F486" s="2398"/>
      <c r="G486" s="2398"/>
      <c r="H486" s="2398"/>
    </row>
    <row r="487" spans="1:8">
      <c r="A487" s="2430" t="s">
        <v>1190</v>
      </c>
      <c r="B487" s="2398"/>
      <c r="C487" s="2398"/>
      <c r="D487" s="2398"/>
      <c r="E487" s="2398"/>
      <c r="F487" s="2398"/>
      <c r="G487" s="2398"/>
      <c r="H487" s="2398"/>
    </row>
    <row r="488" spans="1:8">
      <c r="A488" s="2430" t="s">
        <v>1191</v>
      </c>
      <c r="B488" s="2398"/>
      <c r="C488" s="2398"/>
      <c r="D488" s="2398"/>
      <c r="E488" s="2398"/>
      <c r="F488" s="2398"/>
      <c r="G488" s="2398"/>
      <c r="H488" s="2398"/>
    </row>
    <row r="489" spans="1:8">
      <c r="A489" s="2430" t="s">
        <v>1192</v>
      </c>
      <c r="B489" s="2398"/>
      <c r="C489" s="2398"/>
      <c r="D489" s="2398"/>
      <c r="E489" s="2398"/>
      <c r="F489" s="2398"/>
      <c r="G489" s="2398"/>
      <c r="H489" s="2398"/>
    </row>
    <row r="490" spans="1:8">
      <c r="A490" s="2430" t="s">
        <v>1193</v>
      </c>
      <c r="B490" s="2398"/>
      <c r="C490" s="2398"/>
      <c r="D490" s="2398"/>
      <c r="E490" s="2398"/>
      <c r="F490" s="2398"/>
      <c r="G490" s="2398"/>
      <c r="H490" s="2398"/>
    </row>
    <row r="491" spans="1:8">
      <c r="A491" s="2430" t="s">
        <v>1194</v>
      </c>
      <c r="B491" s="2398"/>
      <c r="C491" s="2398"/>
      <c r="D491" s="2398"/>
      <c r="E491" s="2398"/>
      <c r="F491" s="2398"/>
      <c r="G491" s="2398"/>
      <c r="H491" s="2398"/>
    </row>
    <row r="492" spans="1:8">
      <c r="A492" s="2430"/>
      <c r="B492" s="2398"/>
      <c r="C492" s="2398"/>
      <c r="D492" s="2398"/>
      <c r="E492" s="2398"/>
      <c r="F492" s="2398"/>
      <c r="G492" s="2398"/>
      <c r="H492" s="2398"/>
    </row>
    <row r="493" spans="1:8">
      <c r="A493" s="2398"/>
      <c r="B493" s="2398"/>
      <c r="C493" s="2398"/>
      <c r="D493" s="2398"/>
      <c r="E493" s="2398"/>
      <c r="F493" s="2398"/>
      <c r="G493" s="2398"/>
      <c r="H493" s="2398"/>
    </row>
    <row r="494" spans="1:8">
      <c r="A494" s="2415" t="s">
        <v>1195</v>
      </c>
      <c r="B494" s="2398"/>
      <c r="C494" s="2398"/>
      <c r="D494" s="2398"/>
      <c r="E494" s="2398"/>
      <c r="F494" s="2398"/>
      <c r="G494" s="2398"/>
      <c r="H494" s="2398"/>
    </row>
    <row r="495" spans="1:8">
      <c r="A495" s="2442" t="s">
        <v>1196</v>
      </c>
      <c r="B495" s="2402" t="s">
        <v>628</v>
      </c>
      <c r="C495" s="2426" t="s">
        <v>582</v>
      </c>
      <c r="D495" s="2426" t="s">
        <v>583</v>
      </c>
      <c r="E495" s="2402" t="s">
        <v>627</v>
      </c>
      <c r="F495" s="2416" t="s">
        <v>1197</v>
      </c>
      <c r="G495" s="2398"/>
      <c r="H495" s="2398"/>
    </row>
    <row r="496" spans="1:9">
      <c r="A496" s="2416" t="s">
        <v>1198</v>
      </c>
      <c r="B496" s="2403">
        <f>IF(未审附注之负债及权益!B496="",0,未审附注之负债及权益!B496)</f>
        <v>0</v>
      </c>
      <c r="C496" s="2403">
        <f>IF(未审附注之负债及权益!C496="",0,未审附注之负债及权益!C496)</f>
        <v>0</v>
      </c>
      <c r="D496" s="2403">
        <f>IF(未审附注之负债及权益!D496="",0,未审附注之负债及权益!D496)</f>
        <v>0</v>
      </c>
      <c r="E496" s="2369">
        <f>ROUND(B496+C496-D496,2)</f>
        <v>0</v>
      </c>
      <c r="F496" s="2410">
        <f>IF(未审附注之负债及权益!F496="",0,未审附注之负债及权益!F496)</f>
        <v>0</v>
      </c>
      <c r="G496" s="2398"/>
      <c r="H496" s="2398"/>
      <c r="I496" s="2404" t="s">
        <v>1199</v>
      </c>
    </row>
    <row r="497" spans="1:9">
      <c r="A497" s="2416" t="s">
        <v>1200</v>
      </c>
      <c r="B497" s="2403">
        <f>IF(未审附注之负债及权益!B497="",0,未审附注之负债及权益!B497)</f>
        <v>0</v>
      </c>
      <c r="C497" s="2403">
        <f>IF(未审附注之负债及权益!C497="",0,未审附注之负债及权益!C497)</f>
        <v>0</v>
      </c>
      <c r="D497" s="2403">
        <f>IF(未审附注之负债及权益!D497="",0,未审附注之负债及权益!D497)</f>
        <v>0</v>
      </c>
      <c r="E497" s="2369">
        <f>ROUND(B497+C497-D497,2)</f>
        <v>0</v>
      </c>
      <c r="F497" s="2410">
        <f>IF(未审附注之负债及权益!F497="",0,未审附注之负债及权益!F497)</f>
        <v>0</v>
      </c>
      <c r="G497" s="2398"/>
      <c r="H497" s="2398"/>
      <c r="I497" s="2404" t="s">
        <v>1201</v>
      </c>
    </row>
    <row r="498" spans="1:9">
      <c r="A498" s="2416" t="s">
        <v>1202</v>
      </c>
      <c r="B498" s="2403">
        <f>IF(未审附注之负债及权益!B498="",0,未审附注之负债及权益!B498)</f>
        <v>0</v>
      </c>
      <c r="C498" s="2403">
        <f>IF(未审附注之负债及权益!C498="",0,未审附注之负债及权益!C498)</f>
        <v>0</v>
      </c>
      <c r="D498" s="2403">
        <f>IF(未审附注之负债及权益!D498="",0,未审附注之负债及权益!D498)</f>
        <v>0</v>
      </c>
      <c r="E498" s="2369">
        <f>ROUND(B498+C498-D498,2)</f>
        <v>0</v>
      </c>
      <c r="F498" s="2410">
        <f>IF(未审附注之负债及权益!F498="",0,未审附注之负债及权益!F498)</f>
        <v>0</v>
      </c>
      <c r="G498" s="2398"/>
      <c r="H498" s="2398"/>
      <c r="I498" s="2404" t="s">
        <v>1203</v>
      </c>
    </row>
    <row r="499" spans="1:9">
      <c r="A499" s="2416" t="s">
        <v>1204</v>
      </c>
      <c r="B499" s="2403">
        <f>IF(未审附注之负债及权益!B499="",0,未审附注之负债及权益!B499)</f>
        <v>0</v>
      </c>
      <c r="C499" s="2403">
        <f>IF(未审附注之负债及权益!C499="",0,未审附注之负债及权益!C499)</f>
        <v>0</v>
      </c>
      <c r="D499" s="2403">
        <f>IF(未审附注之负债及权益!D499="",0,未审附注之负债及权益!D499)</f>
        <v>0</v>
      </c>
      <c r="E499" s="2369">
        <f>ROUND(B499+C499-D499,2)</f>
        <v>0</v>
      </c>
      <c r="F499" s="2410">
        <f>IF(未审附注之负债及权益!F499="",0,未审附注之负债及权益!F499)</f>
        <v>0</v>
      </c>
      <c r="G499" s="2398"/>
      <c r="H499" s="2398"/>
      <c r="I499" s="2404" t="s">
        <v>1205</v>
      </c>
    </row>
    <row r="500" spans="1:9">
      <c r="A500" s="2416" t="s">
        <v>280</v>
      </c>
      <c r="B500" s="2403">
        <f>IF(未审附注之负债及权益!B500="",0,未审附注之负债及权益!B500)</f>
        <v>0</v>
      </c>
      <c r="C500" s="2403">
        <f>IF(未审附注之负债及权益!C500="",0,未审附注之负债及权益!C500)</f>
        <v>0</v>
      </c>
      <c r="D500" s="2403">
        <f>IF(未审附注之负债及权益!D500="",0,未审附注之负债及权益!D500)</f>
        <v>0</v>
      </c>
      <c r="E500" s="2369">
        <f>ROUND(B500+C500-D500,2)</f>
        <v>0</v>
      </c>
      <c r="F500" s="2410">
        <f>IF(未审附注之负债及权益!F500="",0,未审附注之负债及权益!F500)</f>
        <v>0</v>
      </c>
      <c r="G500" s="2398"/>
      <c r="H500" s="2398"/>
      <c r="I500" s="2404" t="s">
        <v>1206</v>
      </c>
    </row>
    <row r="501" spans="1:9">
      <c r="A501" s="2442" t="s">
        <v>1207</v>
      </c>
      <c r="B501" s="2369">
        <f>ROUND(SUM(B496:B500),2)</f>
        <v>0</v>
      </c>
      <c r="C501" s="2369">
        <f>ROUND(SUM(C496:C500),2)</f>
        <v>0</v>
      </c>
      <c r="D501" s="2369">
        <f>ROUND(SUM(D496:D500),2)</f>
        <v>0</v>
      </c>
      <c r="E501" s="2369">
        <f>ROUND(SUM(E496:E500),2)</f>
        <v>0</v>
      </c>
      <c r="F501" s="2416"/>
      <c r="G501" s="2398"/>
      <c r="H501" s="2398"/>
      <c r="I501" s="2404" t="s">
        <v>1208</v>
      </c>
    </row>
    <row r="502" spans="1:8">
      <c r="A502" s="2420"/>
      <c r="B502" s="2418"/>
      <c r="C502" s="2418"/>
      <c r="D502" s="2418"/>
      <c r="E502" s="2418"/>
      <c r="F502" s="2413"/>
      <c r="G502" s="2398"/>
      <c r="H502" s="2398"/>
    </row>
    <row r="503" spans="1:8">
      <c r="A503" s="2398"/>
      <c r="B503" s="2398"/>
      <c r="C503" s="2398"/>
      <c r="D503" s="2398"/>
      <c r="E503" s="2398"/>
      <c r="F503" s="2398"/>
      <c r="G503" s="2398"/>
      <c r="H503" s="2398"/>
    </row>
    <row r="504" spans="1:8">
      <c r="A504" s="2415" t="s">
        <v>1209</v>
      </c>
      <c r="B504" s="2398"/>
      <c r="C504" s="2398"/>
      <c r="D504" s="2398"/>
      <c r="E504" s="2398"/>
      <c r="F504" s="2398"/>
      <c r="G504" s="2398"/>
      <c r="H504" s="2398"/>
    </row>
    <row r="505" spans="1:8">
      <c r="A505" s="2442" t="s">
        <v>61</v>
      </c>
      <c r="B505" s="2442" t="s">
        <v>366</v>
      </c>
      <c r="C505" s="2398"/>
      <c r="D505" s="2398"/>
      <c r="E505" s="2398"/>
      <c r="F505" s="2398"/>
      <c r="G505" s="2398"/>
      <c r="H505" s="2398"/>
    </row>
    <row r="506" spans="1:9">
      <c r="A506" s="2424" t="s">
        <v>1210</v>
      </c>
      <c r="B506" s="2403">
        <f>IF(未审附注之负债及权益!B506="",0,未审附注之负债及权益!B506)</f>
        <v>0</v>
      </c>
      <c r="C506" s="2398"/>
      <c r="D506" s="2398"/>
      <c r="E506" s="2398"/>
      <c r="F506" s="2398"/>
      <c r="G506" s="2398"/>
      <c r="H506" s="2398"/>
      <c r="I506" s="2404" t="s">
        <v>1211</v>
      </c>
    </row>
    <row r="507" spans="1:9">
      <c r="A507" s="2424" t="s">
        <v>1212</v>
      </c>
      <c r="B507" s="2369">
        <f>ROUND(B508+B509,2)</f>
        <v>0</v>
      </c>
      <c r="C507" s="2398"/>
      <c r="D507" s="2398"/>
      <c r="E507" s="2398"/>
      <c r="F507" s="2398"/>
      <c r="G507" s="2398"/>
      <c r="H507" s="2398"/>
      <c r="I507" s="2404" t="s">
        <v>1213</v>
      </c>
    </row>
    <row r="508" spans="1:9">
      <c r="A508" s="2424" t="s">
        <v>1214</v>
      </c>
      <c r="B508" s="2403">
        <f>IF(未审附注之负债及权益!B508="",0,未审附注之负债及权益!B508)</f>
        <v>0</v>
      </c>
      <c r="C508" s="2398"/>
      <c r="D508" s="2398"/>
      <c r="E508" s="2398"/>
      <c r="F508" s="2398"/>
      <c r="G508" s="2398"/>
      <c r="H508" s="2398"/>
      <c r="I508" s="2404" t="s">
        <v>1215</v>
      </c>
    </row>
    <row r="509" spans="1:9">
      <c r="A509" s="2416" t="s">
        <v>1216</v>
      </c>
      <c r="B509" s="2403">
        <f>IF(未审附注之负债及权益!B509="",0,未审附注之负债及权益!B509)</f>
        <v>0</v>
      </c>
      <c r="C509" s="2398"/>
      <c r="D509" s="2398"/>
      <c r="E509" s="2398"/>
      <c r="F509" s="2398"/>
      <c r="G509" s="2398"/>
      <c r="H509" s="2398"/>
      <c r="I509" s="2404" t="s">
        <v>1217</v>
      </c>
    </row>
    <row r="510" spans="1:9">
      <c r="A510" s="2424" t="s">
        <v>1218</v>
      </c>
      <c r="B510" s="2369">
        <f>ROUND(B506+B507,2)</f>
        <v>0</v>
      </c>
      <c r="C510" s="2398"/>
      <c r="D510" s="2398"/>
      <c r="E510" s="2398"/>
      <c r="F510" s="2398"/>
      <c r="G510" s="2398"/>
      <c r="H510" s="2398"/>
      <c r="I510" s="2404" t="s">
        <v>1219</v>
      </c>
    </row>
    <row r="511" spans="1:9">
      <c r="A511" s="2424" t="s">
        <v>1220</v>
      </c>
      <c r="B511" s="2369">
        <f>ROUND(B512+B513,2)</f>
        <v>0</v>
      </c>
      <c r="C511" s="2398"/>
      <c r="D511" s="2398"/>
      <c r="E511" s="2398"/>
      <c r="F511" s="2398"/>
      <c r="G511" s="2398"/>
      <c r="H511" s="2398"/>
      <c r="I511" s="2404" t="s">
        <v>1221</v>
      </c>
    </row>
    <row r="512" spans="1:9">
      <c r="A512" s="2424" t="s">
        <v>1222</v>
      </c>
      <c r="B512" s="2403">
        <f>IF(未审附注之负债及权益!B512="",0,未审附注之负债及权益!B512)</f>
        <v>0</v>
      </c>
      <c r="C512" s="2398"/>
      <c r="D512" s="2398"/>
      <c r="E512" s="2398"/>
      <c r="F512" s="2398"/>
      <c r="G512" s="2398"/>
      <c r="H512" s="2398"/>
      <c r="I512" s="2404" t="s">
        <v>1223</v>
      </c>
    </row>
    <row r="513" spans="1:9">
      <c r="A513" s="2416" t="s">
        <v>1224</v>
      </c>
      <c r="B513" s="2403">
        <f>IF(未审附注之负债及权益!B513="",0,未审附注之负债及权益!B513)</f>
        <v>0</v>
      </c>
      <c r="C513" s="2398"/>
      <c r="D513" s="2398"/>
      <c r="E513" s="2398"/>
      <c r="F513" s="2398"/>
      <c r="G513" s="2398"/>
      <c r="H513" s="2398"/>
      <c r="I513" s="2404" t="s">
        <v>1225</v>
      </c>
    </row>
    <row r="514" spans="1:9">
      <c r="A514" s="2424" t="s">
        <v>1226</v>
      </c>
      <c r="B514" s="2369">
        <f>ROUND(B515+B516+B517+B518,2)</f>
        <v>0</v>
      </c>
      <c r="C514" s="2398"/>
      <c r="D514" s="2398"/>
      <c r="E514" s="2398"/>
      <c r="F514" s="2398"/>
      <c r="G514" s="2398"/>
      <c r="H514" s="2398"/>
      <c r="I514" s="2404" t="s">
        <v>1227</v>
      </c>
    </row>
    <row r="515" spans="1:9">
      <c r="A515" s="2424" t="s">
        <v>1228</v>
      </c>
      <c r="B515" s="2403">
        <f>IF(未审附注之负债及权益!B515="",0,未审附注之负债及权益!B515)</f>
        <v>0</v>
      </c>
      <c r="C515" s="2398"/>
      <c r="D515" s="2398"/>
      <c r="E515" s="2398"/>
      <c r="F515" s="2398"/>
      <c r="G515" s="2398"/>
      <c r="H515" s="2398"/>
      <c r="I515" s="2404" t="s">
        <v>1229</v>
      </c>
    </row>
    <row r="516" spans="1:9">
      <c r="A516" s="2416" t="s">
        <v>1230</v>
      </c>
      <c r="B516" s="2403">
        <f>IF(未审附注之负债及权益!B516="",0,未审附注之负债及权益!B516)</f>
        <v>0</v>
      </c>
      <c r="C516" s="2398"/>
      <c r="D516" s="2398"/>
      <c r="E516" s="2398"/>
      <c r="F516" s="2398"/>
      <c r="G516" s="2398"/>
      <c r="H516" s="2398"/>
      <c r="I516" s="2404" t="s">
        <v>1231</v>
      </c>
    </row>
    <row r="517" spans="1:9">
      <c r="A517" s="2416" t="s">
        <v>1232</v>
      </c>
      <c r="B517" s="2403">
        <f>IF(未审附注之负债及权益!B517="",0,未审附注之负债及权益!B517)</f>
        <v>0</v>
      </c>
      <c r="C517" s="2398"/>
      <c r="D517" s="2398"/>
      <c r="E517" s="2398"/>
      <c r="F517" s="2398"/>
      <c r="G517" s="2398"/>
      <c r="H517" s="2398"/>
      <c r="I517" s="2404" t="s">
        <v>1233</v>
      </c>
    </row>
    <row r="518" spans="1:9">
      <c r="A518" s="2416" t="s">
        <v>1234</v>
      </c>
      <c r="B518" s="2403">
        <f>IF(未审附注之负债及权益!B518="",0,未审附注之负债及权益!B518)</f>
        <v>0</v>
      </c>
      <c r="C518" s="2398"/>
      <c r="D518" s="2398"/>
      <c r="E518" s="2398"/>
      <c r="F518" s="2398"/>
      <c r="G518" s="2398"/>
      <c r="H518" s="2398"/>
      <c r="I518" s="2404" t="s">
        <v>1235</v>
      </c>
    </row>
    <row r="519" spans="1:9">
      <c r="A519" s="2424" t="s">
        <v>1236</v>
      </c>
      <c r="B519" s="2369">
        <f>ROUND(B510+B511-B514,2)</f>
        <v>0</v>
      </c>
      <c r="C519" s="2398"/>
      <c r="D519" s="2398"/>
      <c r="E519" s="2398"/>
      <c r="F519" s="2398"/>
      <c r="G519" s="2398"/>
      <c r="H519" s="2398"/>
      <c r="I519" s="2404" t="s">
        <v>1237</v>
      </c>
    </row>
    <row r="520" spans="1:9">
      <c r="A520" s="2424" t="s">
        <v>1238</v>
      </c>
      <c r="B520" s="2403">
        <f>IF(未审附注之负债及权益!B520="",0,未审附注之负债及权益!B520)</f>
        <v>0</v>
      </c>
      <c r="C520" s="2398"/>
      <c r="D520" s="2398"/>
      <c r="E520" s="2398"/>
      <c r="F520" s="2398"/>
      <c r="G520" s="2398"/>
      <c r="H520" s="2398"/>
      <c r="I520" s="2404" t="s">
        <v>1239</v>
      </c>
    </row>
    <row r="521" spans="1:9">
      <c r="A521" s="2398"/>
      <c r="B521" s="2398"/>
      <c r="C521" s="2398"/>
      <c r="D521" s="2398"/>
      <c r="E521" s="2398"/>
      <c r="F521" s="2398"/>
      <c r="G521" s="2398"/>
      <c r="H521" s="2398"/>
      <c r="I521" s="2404" t="s">
        <v>630</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4.25"/>
  <cols>
    <col min="1" max="1" width="37.75" customWidth="1"/>
    <col min="2" max="7" width="12.25" customWidth="1"/>
    <col min="8" max="8" width="35.25" hidden="1" customWidth="1"/>
  </cols>
  <sheetData>
    <row r="1" ht="25.5" spans="1:10">
      <c r="A1" s="2395" t="s">
        <v>1974</v>
      </c>
      <c r="B1" s="2395"/>
      <c r="C1" s="2395"/>
      <c r="D1" s="2395"/>
      <c r="E1" s="2395"/>
      <c r="F1" s="2395"/>
      <c r="G1" s="2395"/>
      <c r="H1" s="2396"/>
      <c r="I1" s="2396"/>
      <c r="J1" s="2396"/>
    </row>
    <row r="2" spans="1:7">
      <c r="A2" s="2397" t="s">
        <v>1240</v>
      </c>
      <c r="B2" s="2398"/>
      <c r="C2" s="2398"/>
      <c r="D2" s="2398"/>
      <c r="E2" s="2398"/>
      <c r="F2" s="2398"/>
      <c r="G2" s="2398"/>
    </row>
    <row r="3" spans="1:7">
      <c r="A3" s="2399" t="s">
        <v>1241</v>
      </c>
      <c r="B3" s="2398"/>
      <c r="C3" s="2398"/>
      <c r="D3" s="2398"/>
      <c r="E3" s="2398"/>
      <c r="F3" s="2398"/>
      <c r="G3" s="2398"/>
    </row>
    <row r="4" ht="12.75" customHeight="1" spans="1:7">
      <c r="A4" s="2400" t="s">
        <v>373</v>
      </c>
      <c r="B4" s="2400" t="s">
        <v>1242</v>
      </c>
      <c r="C4" s="2401"/>
      <c r="D4" s="2401"/>
      <c r="E4" s="2400" t="s">
        <v>1243</v>
      </c>
      <c r="F4" s="2401"/>
      <c r="G4" s="2401"/>
    </row>
    <row r="5" ht="12.75" customHeight="1" spans="1:7">
      <c r="A5" s="2401"/>
      <c r="B5" s="2400" t="s">
        <v>1244</v>
      </c>
      <c r="C5" s="2400" t="s">
        <v>1245</v>
      </c>
      <c r="D5" s="2400" t="s">
        <v>1246</v>
      </c>
      <c r="E5" s="2400" t="s">
        <v>1244</v>
      </c>
      <c r="F5" s="2400" t="s">
        <v>1245</v>
      </c>
      <c r="G5" s="2400" t="s">
        <v>1246</v>
      </c>
    </row>
    <row r="6" spans="1:8">
      <c r="A6" s="2402" t="s">
        <v>1247</v>
      </c>
      <c r="B6" s="2403">
        <f>IF(未审附注之利润及利润分配!B6="",0,未审附注之利润及利润分配!B6)</f>
        <v>0</v>
      </c>
      <c r="C6" s="2403">
        <f>IF(未审附注之利润及利润分配!C6="",0,未审附注之利润及利润分配!C6)</f>
        <v>0</v>
      </c>
      <c r="D6" s="2369">
        <f>ROUND(B6-C6,2)</f>
        <v>0</v>
      </c>
      <c r="E6" s="2403">
        <f>IF(未审附注之利润及利润分配!E6="",0,未审附注之利润及利润分配!E6)</f>
        <v>0</v>
      </c>
      <c r="F6" s="2403">
        <f>IF(未审附注之利润及利润分配!F6="",0,未审附注之利润及利润分配!F6)</f>
        <v>0</v>
      </c>
      <c r="G6" s="2369">
        <f>ROUND(E6-F6,2)</f>
        <v>0</v>
      </c>
      <c r="H6" s="2404" t="s">
        <v>1248</v>
      </c>
    </row>
    <row r="7" spans="1:8">
      <c r="A7" s="2402" t="s">
        <v>1249</v>
      </c>
      <c r="B7" s="2403">
        <f>IF(未审附注之利润及利润分配!B7="",0,未审附注之利润及利润分配!B7)</f>
        <v>0</v>
      </c>
      <c r="C7" s="2403">
        <f>IF(未审附注之利润及利润分配!C7="",0,未审附注之利润及利润分配!C7)</f>
        <v>0</v>
      </c>
      <c r="D7" s="2369">
        <f>ROUND(B7-C7,2)</f>
        <v>0</v>
      </c>
      <c r="E7" s="2403">
        <f>IF(未审附注之利润及利润分配!E7="",0,未审附注之利润及利润分配!E7)</f>
        <v>0</v>
      </c>
      <c r="F7" s="2403">
        <f>IF(未审附注之利润及利润分配!F7="",0,未审附注之利润及利润分配!F7)</f>
        <v>0</v>
      </c>
      <c r="G7" s="2369">
        <f>ROUND(E7-F7,2)</f>
        <v>0</v>
      </c>
      <c r="H7" s="2404" t="s">
        <v>1250</v>
      </c>
    </row>
    <row r="8" spans="1:8">
      <c r="A8" s="2402" t="s">
        <v>385</v>
      </c>
      <c r="B8" s="2405">
        <f>ROUND(B6+B7,2)</f>
        <v>0</v>
      </c>
      <c r="C8" s="2405">
        <f>ROUND(C6+C7,2)</f>
        <v>0</v>
      </c>
      <c r="D8" s="2369">
        <f>ROUND(B8-C8,2)</f>
        <v>0</v>
      </c>
      <c r="E8" s="2405">
        <f>ROUND(E6+E7,2)</f>
        <v>0</v>
      </c>
      <c r="F8" s="2405">
        <f>ROUND(F6+F7,2)</f>
        <v>0</v>
      </c>
      <c r="G8" s="2369">
        <f>ROUND(E8-F8,2)</f>
        <v>0</v>
      </c>
      <c r="H8" s="2404" t="s">
        <v>1251</v>
      </c>
    </row>
    <row r="9" spans="1:7">
      <c r="A9" s="2398"/>
      <c r="B9" s="2398"/>
      <c r="C9" s="2398"/>
      <c r="D9" s="2398"/>
      <c r="E9" s="2398"/>
      <c r="F9" s="2398"/>
      <c r="G9" s="2398"/>
    </row>
    <row r="10" spans="1:7">
      <c r="A10" s="2406" t="s">
        <v>1252</v>
      </c>
      <c r="B10" s="2398"/>
      <c r="C10" s="2398"/>
      <c r="D10" s="2398"/>
      <c r="E10" s="2398"/>
      <c r="F10" s="2398"/>
      <c r="G10" s="2398"/>
    </row>
    <row r="11" spans="1:7">
      <c r="A11" s="2407" t="s">
        <v>373</v>
      </c>
      <c r="B11" s="2400" t="s">
        <v>1242</v>
      </c>
      <c r="C11" s="2401"/>
      <c r="D11" s="2401"/>
      <c r="E11" s="2400" t="s">
        <v>1243</v>
      </c>
      <c r="F11" s="2401"/>
      <c r="G11" s="2401"/>
    </row>
    <row r="12" spans="1:7">
      <c r="A12" s="2408"/>
      <c r="B12" s="2400" t="s">
        <v>1244</v>
      </c>
      <c r="C12" s="2400" t="s">
        <v>1245</v>
      </c>
      <c r="D12" s="2400" t="s">
        <v>1246</v>
      </c>
      <c r="E12" s="2400" t="s">
        <v>1244</v>
      </c>
      <c r="F12" s="2400" t="s">
        <v>1245</v>
      </c>
      <c r="G12" s="2400" t="s">
        <v>1246</v>
      </c>
    </row>
    <row r="13" spans="1:7">
      <c r="A13" s="2409" t="s">
        <v>1253</v>
      </c>
      <c r="B13" s="2400"/>
      <c r="C13" s="2400"/>
      <c r="D13" s="2400"/>
      <c r="E13" s="2400"/>
      <c r="F13" s="2400"/>
      <c r="G13" s="2400"/>
    </row>
    <row r="14" spans="1:8">
      <c r="A14" s="2410">
        <f>IF(未审附注之利润及利润分配!A14="",0,未审附注之利润及利润分配!A14)</f>
        <v>0</v>
      </c>
      <c r="B14" s="2403">
        <f>IF(未审附注之利润及利润分配!B14="",0,未审附注之利润及利润分配!B14)</f>
        <v>0</v>
      </c>
      <c r="C14" s="2403">
        <f>IF(未审附注之利润及利润分配!C14="",0,未审附注之利润及利润分配!C14)</f>
        <v>0</v>
      </c>
      <c r="D14" s="2369">
        <f t="shared" ref="D14:D23" si="0">ROUND(B14-C14,2)</f>
        <v>0</v>
      </c>
      <c r="E14" s="2403">
        <f>IF(未审附注之利润及利润分配!E14="",0,未审附注之利润及利润分配!E14)</f>
        <v>0</v>
      </c>
      <c r="F14" s="2403">
        <f>IF(未审附注之利润及利润分配!F14="",0,未审附注之利润及利润分配!F14)</f>
        <v>0</v>
      </c>
      <c r="G14" s="2369">
        <f t="shared" ref="G14:G23" si="1">ROUND(E14-F14,2)</f>
        <v>0</v>
      </c>
      <c r="H14" s="2404" t="s">
        <v>1254</v>
      </c>
    </row>
    <row r="15" spans="1:8">
      <c r="A15" s="2410">
        <f>IF(未审附注之利润及利润分配!A15="",0,未审附注之利润及利润分配!A15)</f>
        <v>0</v>
      </c>
      <c r="B15" s="2403">
        <f>IF(未审附注之利润及利润分配!B15="",0,未审附注之利润及利润分配!B15)</f>
        <v>0</v>
      </c>
      <c r="C15" s="2403">
        <f>IF(未审附注之利润及利润分配!C15="",0,未审附注之利润及利润分配!C15)</f>
        <v>0</v>
      </c>
      <c r="D15" s="2369">
        <f t="shared" si="0"/>
        <v>0</v>
      </c>
      <c r="E15" s="2403">
        <f>IF(未审附注之利润及利润分配!E15="",0,未审附注之利润及利润分配!E15)</f>
        <v>0</v>
      </c>
      <c r="F15" s="2403">
        <f>IF(未审附注之利润及利润分配!F15="",0,未审附注之利润及利润分配!F15)</f>
        <v>0</v>
      </c>
      <c r="G15" s="2369">
        <f t="shared" si="1"/>
        <v>0</v>
      </c>
      <c r="H15" s="2404" t="s">
        <v>1254</v>
      </c>
    </row>
    <row r="16" spans="1:8">
      <c r="A16" s="2410">
        <f>IF(未审附注之利润及利润分配!A16="",0,未审附注之利润及利润分配!A16)</f>
        <v>0</v>
      </c>
      <c r="B16" s="2403">
        <f>IF(未审附注之利润及利润分配!B16="",0,未审附注之利润及利润分配!B16)</f>
        <v>0</v>
      </c>
      <c r="C16" s="2403">
        <f>IF(未审附注之利润及利润分配!C16="",0,未审附注之利润及利润分配!C16)</f>
        <v>0</v>
      </c>
      <c r="D16" s="2369">
        <f t="shared" si="0"/>
        <v>0</v>
      </c>
      <c r="E16" s="2403">
        <f>IF(未审附注之利润及利润分配!E16="",0,未审附注之利润及利润分配!E16)</f>
        <v>0</v>
      </c>
      <c r="F16" s="2403">
        <f>IF(未审附注之利润及利润分配!F16="",0,未审附注之利润及利润分配!F16)</f>
        <v>0</v>
      </c>
      <c r="G16" s="2369">
        <f t="shared" si="1"/>
        <v>0</v>
      </c>
      <c r="H16" s="2404" t="s">
        <v>1254</v>
      </c>
    </row>
    <row r="17" spans="1:8">
      <c r="A17" s="2410">
        <f>IF(未审附注之利润及利润分配!A17="",0,未审附注之利润及利润分配!A17)</f>
        <v>0</v>
      </c>
      <c r="B17" s="2403">
        <f>IF(未审附注之利润及利润分配!B17="",0,未审附注之利润及利润分配!B17)</f>
        <v>0</v>
      </c>
      <c r="C17" s="2403">
        <f>IF(未审附注之利润及利润分配!C17="",0,未审附注之利润及利润分配!C17)</f>
        <v>0</v>
      </c>
      <c r="D17" s="2369">
        <f t="shared" si="0"/>
        <v>0</v>
      </c>
      <c r="E17" s="2403">
        <f>IF(未审附注之利润及利润分配!E17="",0,未审附注之利润及利润分配!E17)</f>
        <v>0</v>
      </c>
      <c r="F17" s="2403">
        <f>IF(未审附注之利润及利润分配!F17="",0,未审附注之利润及利润分配!F17)</f>
        <v>0</v>
      </c>
      <c r="G17" s="2369">
        <f t="shared" si="1"/>
        <v>0</v>
      </c>
      <c r="H17" s="2404" t="s">
        <v>1254</v>
      </c>
    </row>
    <row r="18" spans="1:8">
      <c r="A18" s="2410">
        <f>IF(未审附注之利润及利润分配!A18="",0,未审附注之利润及利润分配!A18)</f>
        <v>0</v>
      </c>
      <c r="B18" s="2403">
        <f>IF(未审附注之利润及利润分配!B18="",0,未审附注之利润及利润分配!B18)</f>
        <v>0</v>
      </c>
      <c r="C18" s="2403">
        <f>IF(未审附注之利润及利润分配!C18="",0,未审附注之利润及利润分配!C18)</f>
        <v>0</v>
      </c>
      <c r="D18" s="2369">
        <f t="shared" si="0"/>
        <v>0</v>
      </c>
      <c r="E18" s="2403">
        <f>IF(未审附注之利润及利润分配!E18="",0,未审附注之利润及利润分配!E18)</f>
        <v>0</v>
      </c>
      <c r="F18" s="2403">
        <f>IF(未审附注之利润及利润分配!F18="",0,未审附注之利润及利润分配!F18)</f>
        <v>0</v>
      </c>
      <c r="G18" s="2369">
        <f t="shared" si="1"/>
        <v>0</v>
      </c>
      <c r="H18" s="2404" t="s">
        <v>1254</v>
      </c>
    </row>
    <row r="19" spans="1:8">
      <c r="A19" s="2410">
        <f>IF(未审附注之利润及利润分配!A19="",0,未审附注之利润及利润分配!A19)</f>
        <v>0</v>
      </c>
      <c r="B19" s="2403">
        <f>IF(未审附注之利润及利润分配!B19="",0,未审附注之利润及利润分配!B19)</f>
        <v>0</v>
      </c>
      <c r="C19" s="2403">
        <f>IF(未审附注之利润及利润分配!C19="",0,未审附注之利润及利润分配!C19)</f>
        <v>0</v>
      </c>
      <c r="D19" s="2369">
        <f t="shared" si="0"/>
        <v>0</v>
      </c>
      <c r="E19" s="2403">
        <f>IF(未审附注之利润及利润分配!E19="",0,未审附注之利润及利润分配!E19)</f>
        <v>0</v>
      </c>
      <c r="F19" s="2403">
        <f>IF(未审附注之利润及利润分配!F19="",0,未审附注之利润及利润分配!F19)</f>
        <v>0</v>
      </c>
      <c r="G19" s="2369">
        <f t="shared" si="1"/>
        <v>0</v>
      </c>
      <c r="H19" s="2404" t="s">
        <v>1254</v>
      </c>
    </row>
    <row r="20" spans="1:8">
      <c r="A20" s="2410">
        <f>IF(未审附注之利润及利润分配!A20="",0,未审附注之利润及利润分配!A20)</f>
        <v>0</v>
      </c>
      <c r="B20" s="2403">
        <f>IF(未审附注之利润及利润分配!B20="",0,未审附注之利润及利润分配!B20)</f>
        <v>0</v>
      </c>
      <c r="C20" s="2403">
        <f>IF(未审附注之利润及利润分配!C20="",0,未审附注之利润及利润分配!C20)</f>
        <v>0</v>
      </c>
      <c r="D20" s="2369">
        <f t="shared" si="0"/>
        <v>0</v>
      </c>
      <c r="E20" s="2403">
        <f>IF(未审附注之利润及利润分配!E20="",0,未审附注之利润及利润分配!E20)</f>
        <v>0</v>
      </c>
      <c r="F20" s="2403">
        <f>IF(未审附注之利润及利润分配!F20="",0,未审附注之利润及利润分配!F20)</f>
        <v>0</v>
      </c>
      <c r="G20" s="2369">
        <f t="shared" si="1"/>
        <v>0</v>
      </c>
      <c r="H20" s="2404" t="s">
        <v>1254</v>
      </c>
    </row>
    <row r="21" spans="1:8">
      <c r="A21" s="2410">
        <f>IF(未审附注之利润及利润分配!A21="",0,未审附注之利润及利润分配!A21)</f>
        <v>0</v>
      </c>
      <c r="B21" s="2403">
        <f>IF(未审附注之利润及利润分配!B21="",0,未审附注之利润及利润分配!B21)</f>
        <v>0</v>
      </c>
      <c r="C21" s="2403">
        <f>IF(未审附注之利润及利润分配!C21="",0,未审附注之利润及利润分配!C21)</f>
        <v>0</v>
      </c>
      <c r="D21" s="2369">
        <f t="shared" si="0"/>
        <v>0</v>
      </c>
      <c r="E21" s="2403">
        <f>IF(未审附注之利润及利润分配!E21="",0,未审附注之利润及利润分配!E21)</f>
        <v>0</v>
      </c>
      <c r="F21" s="2403">
        <f>IF(未审附注之利润及利润分配!F21="",0,未审附注之利润及利润分配!F21)</f>
        <v>0</v>
      </c>
      <c r="G21" s="2369">
        <f t="shared" si="1"/>
        <v>0</v>
      </c>
      <c r="H21" s="2404" t="s">
        <v>1254</v>
      </c>
    </row>
    <row r="22" spans="1:8">
      <c r="A22" s="2410">
        <f>IF(未审附注之利润及利润分配!A22="",0,未审附注之利润及利润分配!A22)</f>
        <v>0</v>
      </c>
      <c r="B22" s="2403">
        <f>IF(未审附注之利润及利润分配!B22="",0,未审附注之利润及利润分配!B22)</f>
        <v>0</v>
      </c>
      <c r="C22" s="2403">
        <f>IF(未审附注之利润及利润分配!C22="",0,未审附注之利润及利润分配!C22)</f>
        <v>0</v>
      </c>
      <c r="D22" s="2369">
        <f t="shared" si="0"/>
        <v>0</v>
      </c>
      <c r="E22" s="2403">
        <f>IF(未审附注之利润及利润分配!E22="",0,未审附注之利润及利润分配!E22)</f>
        <v>0</v>
      </c>
      <c r="F22" s="2403">
        <f>IF(未审附注之利润及利润分配!F22="",0,未审附注之利润及利润分配!F22)</f>
        <v>0</v>
      </c>
      <c r="G22" s="2369">
        <f t="shared" si="1"/>
        <v>0</v>
      </c>
      <c r="H22" s="2404" t="s">
        <v>1254</v>
      </c>
    </row>
    <row r="23" spans="1:8">
      <c r="A23" s="2410">
        <f>IF(未审附注之利润及利润分配!A23="",0,未审附注之利润及利润分配!A23)</f>
        <v>0</v>
      </c>
      <c r="B23" s="2403">
        <f>IF(未审附注之利润及利润分配!B23="",0,未审附注之利润及利润分配!B23)</f>
        <v>0</v>
      </c>
      <c r="C23" s="2403">
        <f>IF(未审附注之利润及利润分配!C23="",0,未审附注之利润及利润分配!C23)</f>
        <v>0</v>
      </c>
      <c r="D23" s="2369">
        <f t="shared" si="0"/>
        <v>0</v>
      </c>
      <c r="E23" s="2403">
        <f>IF(未审附注之利润及利润分配!E23="",0,未审附注之利润及利润分配!E23)</f>
        <v>0</v>
      </c>
      <c r="F23" s="2403">
        <f>IF(未审附注之利润及利润分配!F23="",0,未审附注之利润及利润分配!F23)</f>
        <v>0</v>
      </c>
      <c r="G23" s="2369">
        <f t="shared" si="1"/>
        <v>0</v>
      </c>
      <c r="H23" s="2404" t="s">
        <v>1254</v>
      </c>
    </row>
    <row r="24" spans="1:8">
      <c r="A24" s="2400" t="s">
        <v>385</v>
      </c>
      <c r="B24" s="2369">
        <f t="shared" ref="B24:G24" si="2">ROUND(SUM(B14:B23),2)</f>
        <v>0</v>
      </c>
      <c r="C24" s="2369">
        <f t="shared" si="2"/>
        <v>0</v>
      </c>
      <c r="D24" s="2369">
        <f t="shared" si="2"/>
        <v>0</v>
      </c>
      <c r="E24" s="2369">
        <f t="shared" si="2"/>
        <v>0</v>
      </c>
      <c r="F24" s="2369">
        <f t="shared" si="2"/>
        <v>0</v>
      </c>
      <c r="G24" s="2369">
        <f t="shared" si="2"/>
        <v>0</v>
      </c>
      <c r="H24" s="2404" t="s">
        <v>1255</v>
      </c>
    </row>
    <row r="25" spans="1:8">
      <c r="A25" s="2408"/>
      <c r="B25" s="2369"/>
      <c r="C25" s="2369"/>
      <c r="D25" s="2369"/>
      <c r="E25" s="2369"/>
      <c r="F25" s="2369"/>
      <c r="G25" s="2369"/>
      <c r="H25" s="2404"/>
    </row>
    <row r="26" spans="1:7">
      <c r="A26" s="2409" t="s">
        <v>1256</v>
      </c>
      <c r="B26" s="2400"/>
      <c r="C26" s="2400"/>
      <c r="D26" s="2400"/>
      <c r="E26" s="2400"/>
      <c r="F26" s="2400"/>
      <c r="G26" s="2400"/>
    </row>
    <row r="27" spans="1:8">
      <c r="A27" s="2410">
        <f>IF(未审附注之利润及利润分配!A27="",0,未审附注之利润及利润分配!A27)</f>
        <v>0</v>
      </c>
      <c r="B27" s="2403">
        <f>IF(未审附注之利润及利润分配!B27="",0,未审附注之利润及利润分配!B27)</f>
        <v>0</v>
      </c>
      <c r="C27" s="2403">
        <f>IF(未审附注之利润及利润分配!C27="",0,未审附注之利润及利润分配!C27)</f>
        <v>0</v>
      </c>
      <c r="D27" s="2369">
        <f t="shared" ref="D27:D36" si="3">ROUND(B27-C27,2)</f>
        <v>0</v>
      </c>
      <c r="E27" s="2403">
        <f>IF(未审附注之利润及利润分配!E27="",0,未审附注之利润及利润分配!E27)</f>
        <v>0</v>
      </c>
      <c r="F27" s="2403">
        <f>IF(未审附注之利润及利润分配!F27="",0,未审附注之利润及利润分配!F27)</f>
        <v>0</v>
      </c>
      <c r="G27" s="2369">
        <f t="shared" ref="G27:G36" si="4">ROUND(E27-F27,2)</f>
        <v>0</v>
      </c>
      <c r="H27" s="2404" t="s">
        <v>1257</v>
      </c>
    </row>
    <row r="28" spans="1:8">
      <c r="A28" s="2410">
        <f>IF(未审附注之利润及利润分配!A28="",0,未审附注之利润及利润分配!A28)</f>
        <v>0</v>
      </c>
      <c r="B28" s="2403">
        <f>IF(未审附注之利润及利润分配!B28="",0,未审附注之利润及利润分配!B28)</f>
        <v>0</v>
      </c>
      <c r="C28" s="2403">
        <f>IF(未审附注之利润及利润分配!C28="",0,未审附注之利润及利润分配!C28)</f>
        <v>0</v>
      </c>
      <c r="D28" s="2369">
        <f t="shared" si="3"/>
        <v>0</v>
      </c>
      <c r="E28" s="2403">
        <f>IF(未审附注之利润及利润分配!E28="",0,未审附注之利润及利润分配!E28)</f>
        <v>0</v>
      </c>
      <c r="F28" s="2403">
        <f>IF(未审附注之利润及利润分配!F28="",0,未审附注之利润及利润分配!F28)</f>
        <v>0</v>
      </c>
      <c r="G28" s="2369">
        <f t="shared" si="4"/>
        <v>0</v>
      </c>
      <c r="H28" s="2404" t="s">
        <v>1257</v>
      </c>
    </row>
    <row r="29" spans="1:8">
      <c r="A29" s="2410">
        <f>IF(未审附注之利润及利润分配!A29="",0,未审附注之利润及利润分配!A29)</f>
        <v>0</v>
      </c>
      <c r="B29" s="2403">
        <f>IF(未审附注之利润及利润分配!B29="",0,未审附注之利润及利润分配!B29)</f>
        <v>0</v>
      </c>
      <c r="C29" s="2403">
        <f>IF(未审附注之利润及利润分配!C29="",0,未审附注之利润及利润分配!C29)</f>
        <v>0</v>
      </c>
      <c r="D29" s="2369">
        <f t="shared" si="3"/>
        <v>0</v>
      </c>
      <c r="E29" s="2403">
        <f>IF(未审附注之利润及利润分配!E29="",0,未审附注之利润及利润分配!E29)</f>
        <v>0</v>
      </c>
      <c r="F29" s="2403">
        <f>IF(未审附注之利润及利润分配!F29="",0,未审附注之利润及利润分配!F29)</f>
        <v>0</v>
      </c>
      <c r="G29" s="2369">
        <f t="shared" si="4"/>
        <v>0</v>
      </c>
      <c r="H29" s="2404" t="s">
        <v>1257</v>
      </c>
    </row>
    <row r="30" spans="1:8">
      <c r="A30" s="2410">
        <f>IF(未审附注之利润及利润分配!A30="",0,未审附注之利润及利润分配!A30)</f>
        <v>0</v>
      </c>
      <c r="B30" s="2403">
        <f>IF(未审附注之利润及利润分配!B30="",0,未审附注之利润及利润分配!B30)</f>
        <v>0</v>
      </c>
      <c r="C30" s="2403">
        <f>IF(未审附注之利润及利润分配!C30="",0,未审附注之利润及利润分配!C30)</f>
        <v>0</v>
      </c>
      <c r="D30" s="2369">
        <f t="shared" si="3"/>
        <v>0</v>
      </c>
      <c r="E30" s="2403">
        <f>IF(未审附注之利润及利润分配!E30="",0,未审附注之利润及利润分配!E30)</f>
        <v>0</v>
      </c>
      <c r="F30" s="2403">
        <f>IF(未审附注之利润及利润分配!F30="",0,未审附注之利润及利润分配!F30)</f>
        <v>0</v>
      </c>
      <c r="G30" s="2369">
        <f t="shared" si="4"/>
        <v>0</v>
      </c>
      <c r="H30" s="2404" t="s">
        <v>1257</v>
      </c>
    </row>
    <row r="31" spans="1:8">
      <c r="A31" s="2410">
        <f>IF(未审附注之利润及利润分配!A31="",0,未审附注之利润及利润分配!A31)</f>
        <v>0</v>
      </c>
      <c r="B31" s="2403">
        <f>IF(未审附注之利润及利润分配!B31="",0,未审附注之利润及利润分配!B31)</f>
        <v>0</v>
      </c>
      <c r="C31" s="2403">
        <f>IF(未审附注之利润及利润分配!C31="",0,未审附注之利润及利润分配!C31)</f>
        <v>0</v>
      </c>
      <c r="D31" s="2369">
        <f t="shared" si="3"/>
        <v>0</v>
      </c>
      <c r="E31" s="2403">
        <f>IF(未审附注之利润及利润分配!E31="",0,未审附注之利润及利润分配!E31)</f>
        <v>0</v>
      </c>
      <c r="F31" s="2403">
        <f>IF(未审附注之利润及利润分配!F31="",0,未审附注之利润及利润分配!F31)</f>
        <v>0</v>
      </c>
      <c r="G31" s="2369">
        <f t="shared" si="4"/>
        <v>0</v>
      </c>
      <c r="H31" s="2404" t="s">
        <v>1257</v>
      </c>
    </row>
    <row r="32" spans="1:8">
      <c r="A32" s="2410">
        <f>IF(未审附注之利润及利润分配!A32="",0,未审附注之利润及利润分配!A32)</f>
        <v>0</v>
      </c>
      <c r="B32" s="2403">
        <f>IF(未审附注之利润及利润分配!B32="",0,未审附注之利润及利润分配!B32)</f>
        <v>0</v>
      </c>
      <c r="C32" s="2403">
        <f>IF(未审附注之利润及利润分配!C32="",0,未审附注之利润及利润分配!C32)</f>
        <v>0</v>
      </c>
      <c r="D32" s="2369">
        <f t="shared" si="3"/>
        <v>0</v>
      </c>
      <c r="E32" s="2403">
        <f>IF(未审附注之利润及利润分配!E32="",0,未审附注之利润及利润分配!E32)</f>
        <v>0</v>
      </c>
      <c r="F32" s="2403">
        <f>IF(未审附注之利润及利润分配!F32="",0,未审附注之利润及利润分配!F32)</f>
        <v>0</v>
      </c>
      <c r="G32" s="2369">
        <f t="shared" si="4"/>
        <v>0</v>
      </c>
      <c r="H32" s="2404" t="s">
        <v>1257</v>
      </c>
    </row>
    <row r="33" spans="1:8">
      <c r="A33" s="2410">
        <f>IF(未审附注之利润及利润分配!A33="",0,未审附注之利润及利润分配!A33)</f>
        <v>0</v>
      </c>
      <c r="B33" s="2403">
        <f>IF(未审附注之利润及利润分配!B33="",0,未审附注之利润及利润分配!B33)</f>
        <v>0</v>
      </c>
      <c r="C33" s="2403">
        <f>IF(未审附注之利润及利润分配!C33="",0,未审附注之利润及利润分配!C33)</f>
        <v>0</v>
      </c>
      <c r="D33" s="2369">
        <f t="shared" si="3"/>
        <v>0</v>
      </c>
      <c r="E33" s="2403">
        <f>IF(未审附注之利润及利润分配!E33="",0,未审附注之利润及利润分配!E33)</f>
        <v>0</v>
      </c>
      <c r="F33" s="2403">
        <f>IF(未审附注之利润及利润分配!F33="",0,未审附注之利润及利润分配!F33)</f>
        <v>0</v>
      </c>
      <c r="G33" s="2369">
        <f t="shared" si="4"/>
        <v>0</v>
      </c>
      <c r="H33" s="2404" t="s">
        <v>1257</v>
      </c>
    </row>
    <row r="34" spans="1:8">
      <c r="A34" s="2410">
        <f>IF(未审附注之利润及利润分配!A34="",0,未审附注之利润及利润分配!A34)</f>
        <v>0</v>
      </c>
      <c r="B34" s="2403">
        <f>IF(未审附注之利润及利润分配!B34="",0,未审附注之利润及利润分配!B34)</f>
        <v>0</v>
      </c>
      <c r="C34" s="2403">
        <f>IF(未审附注之利润及利润分配!C34="",0,未审附注之利润及利润分配!C34)</f>
        <v>0</v>
      </c>
      <c r="D34" s="2369">
        <f t="shared" si="3"/>
        <v>0</v>
      </c>
      <c r="E34" s="2403">
        <f>IF(未审附注之利润及利润分配!E34="",0,未审附注之利润及利润分配!E34)</f>
        <v>0</v>
      </c>
      <c r="F34" s="2403">
        <f>IF(未审附注之利润及利润分配!F34="",0,未审附注之利润及利润分配!F34)</f>
        <v>0</v>
      </c>
      <c r="G34" s="2369">
        <f t="shared" si="4"/>
        <v>0</v>
      </c>
      <c r="H34" s="2404" t="s">
        <v>1257</v>
      </c>
    </row>
    <row r="35" spans="1:8">
      <c r="A35" s="2410">
        <f>IF(未审附注之利润及利润分配!A35="",0,未审附注之利润及利润分配!A35)</f>
        <v>0</v>
      </c>
      <c r="B35" s="2403">
        <f>IF(未审附注之利润及利润分配!B35="",0,未审附注之利润及利润分配!B35)</f>
        <v>0</v>
      </c>
      <c r="C35" s="2403">
        <f>IF(未审附注之利润及利润分配!C35="",0,未审附注之利润及利润分配!C35)</f>
        <v>0</v>
      </c>
      <c r="D35" s="2369">
        <f t="shared" si="3"/>
        <v>0</v>
      </c>
      <c r="E35" s="2403">
        <f>IF(未审附注之利润及利润分配!E35="",0,未审附注之利润及利润分配!E35)</f>
        <v>0</v>
      </c>
      <c r="F35" s="2403">
        <f>IF(未审附注之利润及利润分配!F35="",0,未审附注之利润及利润分配!F35)</f>
        <v>0</v>
      </c>
      <c r="G35" s="2369">
        <f t="shared" si="4"/>
        <v>0</v>
      </c>
      <c r="H35" s="2404" t="s">
        <v>1257</v>
      </c>
    </row>
    <row r="36" spans="1:8">
      <c r="A36" s="2410">
        <f>IF(未审附注之利润及利润分配!A36="",0,未审附注之利润及利润分配!A36)</f>
        <v>0</v>
      </c>
      <c r="B36" s="2403">
        <f>IF(未审附注之利润及利润分配!B36="",0,未审附注之利润及利润分配!B36)</f>
        <v>0</v>
      </c>
      <c r="C36" s="2403">
        <f>IF(未审附注之利润及利润分配!C36="",0,未审附注之利润及利润分配!C36)</f>
        <v>0</v>
      </c>
      <c r="D36" s="2369">
        <f t="shared" si="3"/>
        <v>0</v>
      </c>
      <c r="E36" s="2403">
        <f>IF(未审附注之利润及利润分配!E36="",0,未审附注之利润及利润分配!E36)</f>
        <v>0</v>
      </c>
      <c r="F36" s="2403">
        <f>IF(未审附注之利润及利润分配!F36="",0,未审附注之利润及利润分配!F36)</f>
        <v>0</v>
      </c>
      <c r="G36" s="2369">
        <f t="shared" si="4"/>
        <v>0</v>
      </c>
      <c r="H36" s="2404" t="s">
        <v>1257</v>
      </c>
    </row>
    <row r="37" spans="1:8">
      <c r="A37" s="2400" t="s">
        <v>385</v>
      </c>
      <c r="B37" s="2369">
        <f t="shared" ref="B37:G37" si="5">ROUND(SUM(B27:B36),2)</f>
        <v>0</v>
      </c>
      <c r="C37" s="2369">
        <f t="shared" si="5"/>
        <v>0</v>
      </c>
      <c r="D37" s="2369">
        <f t="shared" si="5"/>
        <v>0</v>
      </c>
      <c r="E37" s="2369">
        <f t="shared" si="5"/>
        <v>0</v>
      </c>
      <c r="F37" s="2369">
        <f t="shared" si="5"/>
        <v>0</v>
      </c>
      <c r="G37" s="2369">
        <f t="shared" si="5"/>
        <v>0</v>
      </c>
      <c r="H37" s="2404" t="s">
        <v>1258</v>
      </c>
    </row>
    <row r="38" spans="1:7">
      <c r="A38" s="2398"/>
      <c r="B38" s="2398"/>
      <c r="C38" s="2398"/>
      <c r="D38" s="2398"/>
      <c r="E38" s="2398"/>
      <c r="F38" s="2398"/>
      <c r="G38" s="2398"/>
    </row>
    <row r="39" spans="1:7">
      <c r="A39" s="2406" t="s">
        <v>1259</v>
      </c>
      <c r="B39" s="2398"/>
      <c r="C39" s="2398"/>
      <c r="D39" s="2398"/>
      <c r="E39" s="2398"/>
      <c r="F39" s="2398"/>
      <c r="G39" s="2398"/>
    </row>
    <row r="40" spans="1:7">
      <c r="A40" s="2400" t="s">
        <v>1260</v>
      </c>
      <c r="B40" s="2400" t="s">
        <v>1261</v>
      </c>
      <c r="C40" s="2400" t="s">
        <v>1262</v>
      </c>
      <c r="D40" s="2398"/>
      <c r="E40" s="2398"/>
      <c r="F40" s="2398"/>
      <c r="G40" s="2398"/>
    </row>
    <row r="41" spans="1:8">
      <c r="A41" s="2410">
        <f>IF(未审附注之利润及利润分配!A41="",0,未审附注之利润及利润分配!A41)</f>
        <v>0</v>
      </c>
      <c r="B41" s="2403">
        <f>IF(未审附注之利润及利润分配!B41="",0,未审附注之利润及利润分配!B41)</f>
        <v>0</v>
      </c>
      <c r="C41" s="2411">
        <f t="shared" ref="C41:C46" si="6">IF(B$8=0,0,ROUND(B41/B$8,4))</f>
        <v>0</v>
      </c>
      <c r="D41" s="2398"/>
      <c r="E41" s="2398"/>
      <c r="F41" s="2398"/>
      <c r="G41" s="2398"/>
      <c r="H41" s="2404" t="s">
        <v>1263</v>
      </c>
    </row>
    <row r="42" spans="1:8">
      <c r="A42" s="2410">
        <f>IF(未审附注之利润及利润分配!A42="",0,未审附注之利润及利润分配!A42)</f>
        <v>0</v>
      </c>
      <c r="B42" s="2403">
        <f>IF(未审附注之利润及利润分配!B42="",0,未审附注之利润及利润分配!B42)</f>
        <v>0</v>
      </c>
      <c r="C42" s="2411">
        <f t="shared" si="6"/>
        <v>0</v>
      </c>
      <c r="D42" s="2398"/>
      <c r="E42" s="2398"/>
      <c r="F42" s="2398"/>
      <c r="G42" s="2398"/>
      <c r="H42" s="2404" t="s">
        <v>1263</v>
      </c>
    </row>
    <row r="43" spans="1:8">
      <c r="A43" s="2410">
        <f>IF(未审附注之利润及利润分配!A43="",0,未审附注之利润及利润分配!A43)</f>
        <v>0</v>
      </c>
      <c r="B43" s="2403">
        <f>IF(未审附注之利润及利润分配!B43="",0,未审附注之利润及利润分配!B43)</f>
        <v>0</v>
      </c>
      <c r="C43" s="2411">
        <f t="shared" si="6"/>
        <v>0</v>
      </c>
      <c r="D43" s="2398"/>
      <c r="E43" s="2398"/>
      <c r="F43" s="2398"/>
      <c r="G43" s="2398"/>
      <c r="H43" s="2404" t="s">
        <v>1263</v>
      </c>
    </row>
    <row r="44" spans="1:8">
      <c r="A44" s="2410">
        <f>IF(未审附注之利润及利润分配!A44="",0,未审附注之利润及利润分配!A44)</f>
        <v>0</v>
      </c>
      <c r="B44" s="2403">
        <f>IF(未审附注之利润及利润分配!B44="",0,未审附注之利润及利润分配!B44)</f>
        <v>0</v>
      </c>
      <c r="C44" s="2411">
        <f t="shared" si="6"/>
        <v>0</v>
      </c>
      <c r="D44" s="2398"/>
      <c r="E44" s="2398"/>
      <c r="F44" s="2398"/>
      <c r="G44" s="2398"/>
      <c r="H44" s="2404" t="s">
        <v>1263</v>
      </c>
    </row>
    <row r="45" spans="1:8">
      <c r="A45" s="2410">
        <f>IF(未审附注之利润及利润分配!A45="",0,未审附注之利润及利润分配!A45)</f>
        <v>0</v>
      </c>
      <c r="B45" s="2403">
        <f>IF(未审附注之利润及利润分配!B45="",0,未审附注之利润及利润分配!B45)</f>
        <v>0</v>
      </c>
      <c r="C45" s="2411">
        <f t="shared" si="6"/>
        <v>0</v>
      </c>
      <c r="D45" s="2398"/>
      <c r="E45" s="2398"/>
      <c r="F45" s="2398"/>
      <c r="G45" s="2398"/>
      <c r="H45" s="2404" t="s">
        <v>1263</v>
      </c>
    </row>
    <row r="46" spans="1:8">
      <c r="A46" s="2400" t="s">
        <v>385</v>
      </c>
      <c r="B46" s="2369">
        <f>ROUND(SUM(B41:B45),2)</f>
        <v>0</v>
      </c>
      <c r="C46" s="2411">
        <f t="shared" si="6"/>
        <v>0</v>
      </c>
      <c r="D46" s="2398"/>
      <c r="E46" s="2398"/>
      <c r="F46" s="2398"/>
      <c r="G46" s="2398"/>
      <c r="H46" s="2404" t="s">
        <v>1264</v>
      </c>
    </row>
    <row r="47" spans="1:7">
      <c r="A47" s="2412"/>
      <c r="B47" s="2413"/>
      <c r="C47" s="2413"/>
      <c r="D47" s="2398"/>
      <c r="E47" s="2398"/>
      <c r="F47" s="2398"/>
      <c r="G47" s="2398"/>
    </row>
    <row r="48" spans="1:7">
      <c r="A48" s="2414" t="s">
        <v>1265</v>
      </c>
      <c r="B48" s="2398"/>
      <c r="C48" s="2398"/>
      <c r="D48" s="2398"/>
      <c r="E48" s="2398"/>
      <c r="F48" s="2398"/>
      <c r="G48" s="2398"/>
    </row>
    <row r="49" spans="1:7">
      <c r="A49" s="2400" t="s">
        <v>1266</v>
      </c>
      <c r="B49" s="2400" t="s">
        <v>1267</v>
      </c>
      <c r="C49" s="2400" t="s">
        <v>1268</v>
      </c>
      <c r="D49" s="2400" t="s">
        <v>1269</v>
      </c>
      <c r="E49" s="2400" t="s">
        <v>1270</v>
      </c>
      <c r="F49" s="2398"/>
      <c r="G49" s="2398"/>
    </row>
    <row r="50" spans="1:7">
      <c r="A50" s="2402" t="s">
        <v>1271</v>
      </c>
      <c r="B50" s="2405"/>
      <c r="C50" s="2405"/>
      <c r="D50" s="2405"/>
      <c r="E50" s="2405"/>
      <c r="F50" s="2398"/>
      <c r="G50" s="2398"/>
    </row>
    <row r="51" spans="1:8">
      <c r="A51" s="2410">
        <f>IF(未审附注之利润及利润分配!A51="",0,未审附注之利润及利润分配!A51)</f>
        <v>0</v>
      </c>
      <c r="B51" s="2403">
        <f>IF(未审附注之利润及利润分配!B51="",0,未审附注之利润及利润分配!B51)</f>
        <v>0</v>
      </c>
      <c r="C51" s="2403">
        <f>IF(未审附注之利润及利润分配!C51="",0,未审附注之利润及利润分配!C51)</f>
        <v>0</v>
      </c>
      <c r="D51" s="2403">
        <f>IF(未审附注之利润及利润分配!D51="",0,未审附注之利润及利润分配!D51)</f>
        <v>0</v>
      </c>
      <c r="E51" s="2403">
        <f>IF(未审附注之利润及利润分配!E51="",0,未审附注之利润及利润分配!E51)</f>
        <v>0</v>
      </c>
      <c r="F51" s="2398"/>
      <c r="G51" s="2398"/>
      <c r="H51" s="2404" t="s">
        <v>1272</v>
      </c>
    </row>
    <row r="52" spans="1:8">
      <c r="A52" s="2410">
        <f>IF(未审附注之利润及利润分配!A52="",0,未审附注之利润及利润分配!A52)</f>
        <v>0</v>
      </c>
      <c r="B52" s="2403">
        <f>IF(未审附注之利润及利润分配!B52="",0,未审附注之利润及利润分配!B52)</f>
        <v>0</v>
      </c>
      <c r="C52" s="2403">
        <f>IF(未审附注之利润及利润分配!C52="",0,未审附注之利润及利润分配!C52)</f>
        <v>0</v>
      </c>
      <c r="D52" s="2403">
        <f>IF(未审附注之利润及利润分配!D52="",0,未审附注之利润及利润分配!D52)</f>
        <v>0</v>
      </c>
      <c r="E52" s="2403">
        <f>IF(未审附注之利润及利润分配!E52="",0,未审附注之利润及利润分配!E52)</f>
        <v>0</v>
      </c>
      <c r="F52" s="2398"/>
      <c r="G52" s="2398"/>
      <c r="H52" s="2404" t="s">
        <v>1272</v>
      </c>
    </row>
    <row r="53" spans="1:8">
      <c r="A53" s="2410">
        <f>IF(未审附注之利润及利润分配!A53="",0,未审附注之利润及利润分配!A53)</f>
        <v>0</v>
      </c>
      <c r="B53" s="2403">
        <f>IF(未审附注之利润及利润分配!B53="",0,未审附注之利润及利润分配!B53)</f>
        <v>0</v>
      </c>
      <c r="C53" s="2403">
        <f>IF(未审附注之利润及利润分配!C53="",0,未审附注之利润及利润分配!C53)</f>
        <v>0</v>
      </c>
      <c r="D53" s="2403">
        <f>IF(未审附注之利润及利润分配!D53="",0,未审附注之利润及利润分配!D53)</f>
        <v>0</v>
      </c>
      <c r="E53" s="2403">
        <f>IF(未审附注之利润及利润分配!E53="",0,未审附注之利润及利润分配!E53)</f>
        <v>0</v>
      </c>
      <c r="F53" s="2398"/>
      <c r="G53" s="2398"/>
      <c r="H53" s="2404" t="s">
        <v>1272</v>
      </c>
    </row>
    <row r="54" spans="1:8">
      <c r="A54" s="2410">
        <f>IF(未审附注之利润及利润分配!A54="",0,未审附注之利润及利润分配!A54)</f>
        <v>0</v>
      </c>
      <c r="B54" s="2403">
        <f>IF(未审附注之利润及利润分配!B54="",0,未审附注之利润及利润分配!B54)</f>
        <v>0</v>
      </c>
      <c r="C54" s="2403">
        <f>IF(未审附注之利润及利润分配!C54="",0,未审附注之利润及利润分配!C54)</f>
        <v>0</v>
      </c>
      <c r="D54" s="2403">
        <f>IF(未审附注之利润及利润分配!D54="",0,未审附注之利润及利润分配!D54)</f>
        <v>0</v>
      </c>
      <c r="E54" s="2403">
        <f>IF(未审附注之利润及利润分配!E54="",0,未审附注之利润及利润分配!E54)</f>
        <v>0</v>
      </c>
      <c r="F54" s="2398"/>
      <c r="G54" s="2398"/>
      <c r="H54" s="2404" t="s">
        <v>1272</v>
      </c>
    </row>
    <row r="55" spans="1:8">
      <c r="A55" s="2410">
        <f>IF(未审附注之利润及利润分配!A55="",0,未审附注之利润及利润分配!A55)</f>
        <v>0</v>
      </c>
      <c r="B55" s="2403">
        <f>IF(未审附注之利润及利润分配!B55="",0,未审附注之利润及利润分配!B55)</f>
        <v>0</v>
      </c>
      <c r="C55" s="2403">
        <f>IF(未审附注之利润及利润分配!C55="",0,未审附注之利润及利润分配!C55)</f>
        <v>0</v>
      </c>
      <c r="D55" s="2403">
        <f>IF(未审附注之利润及利润分配!D55="",0,未审附注之利润及利润分配!D55)</f>
        <v>0</v>
      </c>
      <c r="E55" s="2403">
        <f>IF(未审附注之利润及利润分配!E55="",0,未审附注之利润及利润分配!E55)</f>
        <v>0</v>
      </c>
      <c r="F55" s="2398"/>
      <c r="G55" s="2398"/>
      <c r="H55" s="2404" t="s">
        <v>1272</v>
      </c>
    </row>
    <row r="56" spans="1:8">
      <c r="A56" s="2410">
        <f>IF(未审附注之利润及利润分配!A56="",0,未审附注之利润及利润分配!A56)</f>
        <v>0</v>
      </c>
      <c r="B56" s="2403">
        <f>IF(未审附注之利润及利润分配!B56="",0,未审附注之利润及利润分配!B56)</f>
        <v>0</v>
      </c>
      <c r="C56" s="2403">
        <f>IF(未审附注之利润及利润分配!C56="",0,未审附注之利润及利润分配!C56)</f>
        <v>0</v>
      </c>
      <c r="D56" s="2403">
        <f>IF(未审附注之利润及利润分配!D56="",0,未审附注之利润及利润分配!D56)</f>
        <v>0</v>
      </c>
      <c r="E56" s="2403">
        <f>IF(未审附注之利润及利润分配!E56="",0,未审附注之利润及利润分配!E56)</f>
        <v>0</v>
      </c>
      <c r="F56" s="2398"/>
      <c r="G56" s="2398"/>
      <c r="H56" s="2404" t="s">
        <v>1272</v>
      </c>
    </row>
    <row r="57" spans="1:8">
      <c r="A57" s="2410">
        <f>IF(未审附注之利润及利润分配!A57="",0,未审附注之利润及利润分配!A57)</f>
        <v>0</v>
      </c>
      <c r="B57" s="2403">
        <f>IF(未审附注之利润及利润分配!B57="",0,未审附注之利润及利润分配!B57)</f>
        <v>0</v>
      </c>
      <c r="C57" s="2403">
        <f>IF(未审附注之利润及利润分配!C57="",0,未审附注之利润及利润分配!C57)</f>
        <v>0</v>
      </c>
      <c r="D57" s="2403">
        <f>IF(未审附注之利润及利润分配!D57="",0,未审附注之利润及利润分配!D57)</f>
        <v>0</v>
      </c>
      <c r="E57" s="2403">
        <f>IF(未审附注之利润及利润分配!E57="",0,未审附注之利润及利润分配!E57)</f>
        <v>0</v>
      </c>
      <c r="F57" s="2398"/>
      <c r="G57" s="2398"/>
      <c r="H57" s="2404" t="s">
        <v>1272</v>
      </c>
    </row>
    <row r="58" spans="1:8">
      <c r="A58" s="2410">
        <f>IF(未审附注之利润及利润分配!A58="",0,未审附注之利润及利润分配!A58)</f>
        <v>0</v>
      </c>
      <c r="B58" s="2403">
        <f>IF(未审附注之利润及利润分配!B58="",0,未审附注之利润及利润分配!B58)</f>
        <v>0</v>
      </c>
      <c r="C58" s="2403">
        <f>IF(未审附注之利润及利润分配!C58="",0,未审附注之利润及利润分配!C58)</f>
        <v>0</v>
      </c>
      <c r="D58" s="2403">
        <f>IF(未审附注之利润及利润分配!D58="",0,未审附注之利润及利润分配!D58)</f>
        <v>0</v>
      </c>
      <c r="E58" s="2403">
        <f>IF(未审附注之利润及利润分配!E58="",0,未审附注之利润及利润分配!E58)</f>
        <v>0</v>
      </c>
      <c r="F58" s="2398"/>
      <c r="G58" s="2398"/>
      <c r="H58" s="2404" t="s">
        <v>1272</v>
      </c>
    </row>
    <row r="59" spans="1:8">
      <c r="A59" s="2410">
        <f>IF(未审附注之利润及利润分配!A59="",0,未审附注之利润及利润分配!A59)</f>
        <v>0</v>
      </c>
      <c r="B59" s="2403">
        <f>IF(未审附注之利润及利润分配!B59="",0,未审附注之利润及利润分配!B59)</f>
        <v>0</v>
      </c>
      <c r="C59" s="2403">
        <f>IF(未审附注之利润及利润分配!C59="",0,未审附注之利润及利润分配!C59)</f>
        <v>0</v>
      </c>
      <c r="D59" s="2403">
        <f>IF(未审附注之利润及利润分配!D59="",0,未审附注之利润及利润分配!D59)</f>
        <v>0</v>
      </c>
      <c r="E59" s="2403">
        <f>IF(未审附注之利润及利润分配!E59="",0,未审附注之利润及利润分配!E59)</f>
        <v>0</v>
      </c>
      <c r="F59" s="2398"/>
      <c r="G59" s="2398"/>
      <c r="H59" s="2404" t="s">
        <v>1272</v>
      </c>
    </row>
    <row r="60" spans="1:8">
      <c r="A60" s="2410">
        <f>IF(未审附注之利润及利润分配!A60="",0,未审附注之利润及利润分配!A60)</f>
        <v>0</v>
      </c>
      <c r="B60" s="2403">
        <f>IF(未审附注之利润及利润分配!B60="",0,未审附注之利润及利润分配!B60)</f>
        <v>0</v>
      </c>
      <c r="C60" s="2403">
        <f>IF(未审附注之利润及利润分配!C60="",0,未审附注之利润及利润分配!C60)</f>
        <v>0</v>
      </c>
      <c r="D60" s="2403">
        <f>IF(未审附注之利润及利润分配!D60="",0,未审附注之利润及利润分配!D60)</f>
        <v>0</v>
      </c>
      <c r="E60" s="2403">
        <f>IF(未审附注之利润及利润分配!E60="",0,未审附注之利润及利润分配!E60)</f>
        <v>0</v>
      </c>
      <c r="F60" s="2398"/>
      <c r="G60" s="2398"/>
      <c r="H60" s="2404" t="s">
        <v>1272</v>
      </c>
    </row>
    <row r="61" spans="1:8">
      <c r="A61" s="2400" t="s">
        <v>677</v>
      </c>
      <c r="B61" s="2369">
        <f>ROUND(SUM(B51:B60),2)</f>
        <v>0</v>
      </c>
      <c r="C61" s="2369">
        <f>ROUND(SUM(C51:C60),2)</f>
        <v>0</v>
      </c>
      <c r="D61" s="2369">
        <f>ROUND(SUM(D51:D60),2)</f>
        <v>0</v>
      </c>
      <c r="E61" s="2369">
        <f>ROUND(SUM(E51:E60),2)</f>
        <v>0</v>
      </c>
      <c r="F61" s="2398"/>
      <c r="G61" s="2398"/>
      <c r="H61" s="2404" t="s">
        <v>1273</v>
      </c>
    </row>
    <row r="62" spans="1:7">
      <c r="A62" s="2400"/>
      <c r="B62" s="2405"/>
      <c r="C62" s="2405"/>
      <c r="D62" s="2405"/>
      <c r="E62" s="2405"/>
      <c r="F62" s="2398"/>
      <c r="G62" s="2398"/>
    </row>
    <row r="63" spans="1:7">
      <c r="A63" s="2402" t="s">
        <v>1274</v>
      </c>
      <c r="B63" s="2405"/>
      <c r="C63" s="2405"/>
      <c r="D63" s="2405"/>
      <c r="E63" s="2405"/>
      <c r="F63" s="2398"/>
      <c r="G63" s="2398"/>
    </row>
    <row r="64" spans="1:8">
      <c r="A64" s="2410">
        <f>IF(未审附注之利润及利润分配!A64="",0,未审附注之利润及利润分配!A64)</f>
        <v>0</v>
      </c>
      <c r="B64" s="2403">
        <f>IF(未审附注之利润及利润分配!B64="",0,未审附注之利润及利润分配!B64)</f>
        <v>0</v>
      </c>
      <c r="C64" s="2403">
        <f>IF(未审附注之利润及利润分配!C64="",0,未审附注之利润及利润分配!C64)</f>
        <v>0</v>
      </c>
      <c r="D64" s="2403">
        <f>IF(未审附注之利润及利润分配!D64="",0,未审附注之利润及利润分配!D64)</f>
        <v>0</v>
      </c>
      <c r="E64" s="2403">
        <f>IF(未审附注之利润及利润分配!E64="",0,未审附注之利润及利润分配!E64)</f>
        <v>0</v>
      </c>
      <c r="F64" s="2398"/>
      <c r="G64" s="2398"/>
      <c r="H64" s="2404" t="s">
        <v>1275</v>
      </c>
    </row>
    <row r="65" spans="1:8">
      <c r="A65" s="2410">
        <f>IF(未审附注之利润及利润分配!A65="",0,未审附注之利润及利润分配!A65)</f>
        <v>0</v>
      </c>
      <c r="B65" s="2403">
        <f>IF(未审附注之利润及利润分配!B65="",0,未审附注之利润及利润分配!B65)</f>
        <v>0</v>
      </c>
      <c r="C65" s="2403">
        <f>IF(未审附注之利润及利润分配!C65="",0,未审附注之利润及利润分配!C65)</f>
        <v>0</v>
      </c>
      <c r="D65" s="2403">
        <f>IF(未审附注之利润及利润分配!D65="",0,未审附注之利润及利润分配!D65)</f>
        <v>0</v>
      </c>
      <c r="E65" s="2403">
        <f>IF(未审附注之利润及利润分配!E65="",0,未审附注之利润及利润分配!E65)</f>
        <v>0</v>
      </c>
      <c r="F65" s="2398"/>
      <c r="G65" s="2398"/>
      <c r="H65" s="2404" t="s">
        <v>1275</v>
      </c>
    </row>
    <row r="66" spans="1:8">
      <c r="A66" s="2410">
        <f>IF(未审附注之利润及利润分配!A66="",0,未审附注之利润及利润分配!A66)</f>
        <v>0</v>
      </c>
      <c r="B66" s="2403">
        <f>IF(未审附注之利润及利润分配!B66="",0,未审附注之利润及利润分配!B66)</f>
        <v>0</v>
      </c>
      <c r="C66" s="2403">
        <f>IF(未审附注之利润及利润分配!C66="",0,未审附注之利润及利润分配!C66)</f>
        <v>0</v>
      </c>
      <c r="D66" s="2403">
        <f>IF(未审附注之利润及利润分配!D66="",0,未审附注之利润及利润分配!D66)</f>
        <v>0</v>
      </c>
      <c r="E66" s="2403">
        <f>IF(未审附注之利润及利润分配!E66="",0,未审附注之利润及利润分配!E66)</f>
        <v>0</v>
      </c>
      <c r="F66" s="2398"/>
      <c r="G66" s="2398"/>
      <c r="H66" s="2404" t="s">
        <v>1275</v>
      </c>
    </row>
    <row r="67" spans="1:8">
      <c r="A67" s="2410">
        <f>IF(未审附注之利润及利润分配!A67="",0,未审附注之利润及利润分配!A67)</f>
        <v>0</v>
      </c>
      <c r="B67" s="2403">
        <f>IF(未审附注之利润及利润分配!B67="",0,未审附注之利润及利润分配!B67)</f>
        <v>0</v>
      </c>
      <c r="C67" s="2403">
        <f>IF(未审附注之利润及利润分配!C67="",0,未审附注之利润及利润分配!C67)</f>
        <v>0</v>
      </c>
      <c r="D67" s="2403">
        <f>IF(未审附注之利润及利润分配!D67="",0,未审附注之利润及利润分配!D67)</f>
        <v>0</v>
      </c>
      <c r="E67" s="2403">
        <f>IF(未审附注之利润及利润分配!E67="",0,未审附注之利润及利润分配!E67)</f>
        <v>0</v>
      </c>
      <c r="F67" s="2398"/>
      <c r="G67" s="2398"/>
      <c r="H67" s="2404" t="s">
        <v>1275</v>
      </c>
    </row>
    <row r="68" spans="1:8">
      <c r="A68" s="2410">
        <f>IF(未审附注之利润及利润分配!A68="",0,未审附注之利润及利润分配!A68)</f>
        <v>0</v>
      </c>
      <c r="B68" s="2403">
        <f>IF(未审附注之利润及利润分配!B68="",0,未审附注之利润及利润分配!B68)</f>
        <v>0</v>
      </c>
      <c r="C68" s="2403">
        <f>IF(未审附注之利润及利润分配!C68="",0,未审附注之利润及利润分配!C68)</f>
        <v>0</v>
      </c>
      <c r="D68" s="2403">
        <f>IF(未审附注之利润及利润分配!D68="",0,未审附注之利润及利润分配!D68)</f>
        <v>0</v>
      </c>
      <c r="E68" s="2403">
        <f>IF(未审附注之利润及利润分配!E68="",0,未审附注之利润及利润分配!E68)</f>
        <v>0</v>
      </c>
      <c r="F68" s="2398"/>
      <c r="G68" s="2398"/>
      <c r="H68" s="2404" t="s">
        <v>1275</v>
      </c>
    </row>
    <row r="69" spans="1:8">
      <c r="A69" s="2410">
        <f>IF(未审附注之利润及利润分配!A69="",0,未审附注之利润及利润分配!A69)</f>
        <v>0</v>
      </c>
      <c r="B69" s="2403">
        <f>IF(未审附注之利润及利润分配!B69="",0,未审附注之利润及利润分配!B69)</f>
        <v>0</v>
      </c>
      <c r="C69" s="2403">
        <f>IF(未审附注之利润及利润分配!C69="",0,未审附注之利润及利润分配!C69)</f>
        <v>0</v>
      </c>
      <c r="D69" s="2403">
        <f>IF(未审附注之利润及利润分配!D69="",0,未审附注之利润及利润分配!D69)</f>
        <v>0</v>
      </c>
      <c r="E69" s="2403">
        <f>IF(未审附注之利润及利润分配!E69="",0,未审附注之利润及利润分配!E69)</f>
        <v>0</v>
      </c>
      <c r="F69" s="2398"/>
      <c r="G69" s="2398"/>
      <c r="H69" s="2404" t="s">
        <v>1275</v>
      </c>
    </row>
    <row r="70" spans="1:8">
      <c r="A70" s="2410">
        <f>IF(未审附注之利润及利润分配!A70="",0,未审附注之利润及利润分配!A70)</f>
        <v>0</v>
      </c>
      <c r="B70" s="2403">
        <f>IF(未审附注之利润及利润分配!B70="",0,未审附注之利润及利润分配!B70)</f>
        <v>0</v>
      </c>
      <c r="C70" s="2403">
        <f>IF(未审附注之利润及利润分配!C70="",0,未审附注之利润及利润分配!C70)</f>
        <v>0</v>
      </c>
      <c r="D70" s="2403">
        <f>IF(未审附注之利润及利润分配!D70="",0,未审附注之利润及利润分配!D70)</f>
        <v>0</v>
      </c>
      <c r="E70" s="2403">
        <f>IF(未审附注之利润及利润分配!E70="",0,未审附注之利润及利润分配!E70)</f>
        <v>0</v>
      </c>
      <c r="F70" s="2398"/>
      <c r="G70" s="2398"/>
      <c r="H70" s="2404" t="s">
        <v>1275</v>
      </c>
    </row>
    <row r="71" spans="1:8">
      <c r="A71" s="2410">
        <f>IF(未审附注之利润及利润分配!A71="",0,未审附注之利润及利润分配!A71)</f>
        <v>0</v>
      </c>
      <c r="B71" s="2403">
        <f>IF(未审附注之利润及利润分配!B71="",0,未审附注之利润及利润分配!B71)</f>
        <v>0</v>
      </c>
      <c r="C71" s="2403">
        <f>IF(未审附注之利润及利润分配!C71="",0,未审附注之利润及利润分配!C71)</f>
        <v>0</v>
      </c>
      <c r="D71" s="2403">
        <f>IF(未审附注之利润及利润分配!D71="",0,未审附注之利润及利润分配!D71)</f>
        <v>0</v>
      </c>
      <c r="E71" s="2403">
        <f>IF(未审附注之利润及利润分配!E71="",0,未审附注之利润及利润分配!E71)</f>
        <v>0</v>
      </c>
      <c r="F71" s="2398"/>
      <c r="G71" s="2398"/>
      <c r="H71" s="2404" t="s">
        <v>1275</v>
      </c>
    </row>
    <row r="72" spans="1:8">
      <c r="A72" s="2410">
        <f>IF(未审附注之利润及利润分配!A72="",0,未审附注之利润及利润分配!A72)</f>
        <v>0</v>
      </c>
      <c r="B72" s="2403">
        <f>IF(未审附注之利润及利润分配!B72="",0,未审附注之利润及利润分配!B72)</f>
        <v>0</v>
      </c>
      <c r="C72" s="2403">
        <f>IF(未审附注之利润及利润分配!C72="",0,未审附注之利润及利润分配!C72)</f>
        <v>0</v>
      </c>
      <c r="D72" s="2403">
        <f>IF(未审附注之利润及利润分配!D72="",0,未审附注之利润及利润分配!D72)</f>
        <v>0</v>
      </c>
      <c r="E72" s="2403">
        <f>IF(未审附注之利润及利润分配!E72="",0,未审附注之利润及利润分配!E72)</f>
        <v>0</v>
      </c>
      <c r="F72" s="2398"/>
      <c r="G72" s="2398"/>
      <c r="H72" s="2404" t="s">
        <v>1275</v>
      </c>
    </row>
    <row r="73" spans="1:8">
      <c r="A73" s="2410">
        <f>IF(未审附注之利润及利润分配!A73="",0,未审附注之利润及利润分配!A73)</f>
        <v>0</v>
      </c>
      <c r="B73" s="2403">
        <f>IF(未审附注之利润及利润分配!B73="",0,未审附注之利润及利润分配!B73)</f>
        <v>0</v>
      </c>
      <c r="C73" s="2403">
        <f>IF(未审附注之利润及利润分配!C73="",0,未审附注之利润及利润分配!C73)</f>
        <v>0</v>
      </c>
      <c r="D73" s="2403">
        <f>IF(未审附注之利润及利润分配!D73="",0,未审附注之利润及利润分配!D73)</f>
        <v>0</v>
      </c>
      <c r="E73" s="2403">
        <f>IF(未审附注之利润及利润分配!E73="",0,未审附注之利润及利润分配!E73)</f>
        <v>0</v>
      </c>
      <c r="F73" s="2398"/>
      <c r="G73" s="2398"/>
      <c r="H73" s="2404" t="s">
        <v>1275</v>
      </c>
    </row>
    <row r="74" spans="1:8">
      <c r="A74" s="2400" t="s">
        <v>677</v>
      </c>
      <c r="B74" s="2369">
        <f>ROUND(SUM(B64:B73),2)</f>
        <v>0</v>
      </c>
      <c r="C74" s="2369">
        <f>ROUND(SUM(C64:C73),2)</f>
        <v>0</v>
      </c>
      <c r="D74" s="2369">
        <f>ROUND(SUM(D64:D73),2)</f>
        <v>0</v>
      </c>
      <c r="E74" s="2369">
        <f>ROUND(SUM(E64:E73),2)</f>
        <v>0</v>
      </c>
      <c r="F74" s="2398"/>
      <c r="G74" s="2398"/>
      <c r="H74" s="2404" t="s">
        <v>1276</v>
      </c>
    </row>
    <row r="75" spans="1:7">
      <c r="A75" s="2405"/>
      <c r="B75" s="2405"/>
      <c r="C75" s="2405"/>
      <c r="D75" s="2405"/>
      <c r="E75" s="2405"/>
      <c r="F75" s="2398"/>
      <c r="G75" s="2398"/>
    </row>
    <row r="76" spans="1:8">
      <c r="A76" s="2400" t="s">
        <v>385</v>
      </c>
      <c r="B76" s="2369">
        <f>ROUND(B61+B74,2)</f>
        <v>0</v>
      </c>
      <c r="C76" s="2369">
        <f>ROUND(C61+C74,2)</f>
        <v>0</v>
      </c>
      <c r="D76" s="2369">
        <f>ROUND(D61+D74,2)</f>
        <v>0</v>
      </c>
      <c r="E76" s="2369">
        <f>ROUND(E61+E74,2)</f>
        <v>0</v>
      </c>
      <c r="F76" s="2398"/>
      <c r="G76" s="2398"/>
      <c r="H76" s="2404" t="s">
        <v>1277</v>
      </c>
    </row>
    <row r="77" spans="1:7">
      <c r="A77" s="2398"/>
      <c r="B77" s="2398"/>
      <c r="C77" s="2398"/>
      <c r="D77" s="2398"/>
      <c r="E77" s="2398"/>
      <c r="F77" s="2398"/>
      <c r="G77" s="2398"/>
    </row>
    <row r="78" spans="1:7">
      <c r="A78" s="2398"/>
      <c r="B78" s="2398"/>
      <c r="C78" s="2398" t="s">
        <v>1278</v>
      </c>
      <c r="D78" s="2398"/>
      <c r="E78" s="2398"/>
      <c r="F78" s="2398"/>
      <c r="G78" s="2398"/>
    </row>
    <row r="79" spans="1:7">
      <c r="A79" s="2415" t="s">
        <v>1279</v>
      </c>
      <c r="B79" s="2398"/>
      <c r="C79" s="2398"/>
      <c r="D79" s="2398"/>
      <c r="E79" s="2398"/>
      <c r="F79" s="2398"/>
      <c r="G79" s="2398"/>
    </row>
    <row r="80" spans="1:7">
      <c r="A80" s="2400" t="s">
        <v>373</v>
      </c>
      <c r="B80" s="2400" t="s">
        <v>1280</v>
      </c>
      <c r="C80" s="2400" t="s">
        <v>1242</v>
      </c>
      <c r="D80" s="2400" t="s">
        <v>1243</v>
      </c>
      <c r="E80" s="2398"/>
      <c r="F80" s="2398"/>
      <c r="G80" s="2398"/>
    </row>
    <row r="81" spans="1:8">
      <c r="A81" s="2410">
        <f>IF(未审附注之利润及利润分配!A81="",0,未审附注之利润及利润分配!A81)</f>
        <v>0</v>
      </c>
      <c r="B81" s="2410">
        <f>IF(未审附注之利润及利润分配!B81="",0,未审附注之利润及利润分配!B81)</f>
        <v>0</v>
      </c>
      <c r="C81" s="2403">
        <f>IF(未审附注之利润及利润分配!C81="",0,未审附注之利润及利润分配!C81)</f>
        <v>0</v>
      </c>
      <c r="D81" s="2403">
        <f>IF(未审附注之利润及利润分配!D81="",0,未审附注之利润及利润分配!D81)</f>
        <v>0</v>
      </c>
      <c r="E81" s="2398"/>
      <c r="F81" s="2398"/>
      <c r="G81" s="2398"/>
      <c r="H81" s="2404" t="s">
        <v>1281</v>
      </c>
    </row>
    <row r="82" spans="1:8">
      <c r="A82" s="2410">
        <f>IF(未审附注之利润及利润分配!A82="",0,未审附注之利润及利润分配!A82)</f>
        <v>0</v>
      </c>
      <c r="B82" s="2410">
        <f>IF(未审附注之利润及利润分配!B82="",0,未审附注之利润及利润分配!B82)</f>
        <v>0</v>
      </c>
      <c r="C82" s="2403">
        <f>IF(未审附注之利润及利润分配!C82="",0,未审附注之利润及利润分配!C82)</f>
        <v>0</v>
      </c>
      <c r="D82" s="2403">
        <f>IF(未审附注之利润及利润分配!D82="",0,未审附注之利润及利润分配!D82)</f>
        <v>0</v>
      </c>
      <c r="E82" s="2398"/>
      <c r="F82" s="2398"/>
      <c r="G82" s="2398"/>
      <c r="H82" s="2404" t="s">
        <v>1281</v>
      </c>
    </row>
    <row r="83" spans="1:8">
      <c r="A83" s="2410">
        <f>IF(未审附注之利润及利润分配!A83="",0,未审附注之利润及利润分配!A83)</f>
        <v>0</v>
      </c>
      <c r="B83" s="2410">
        <f>IF(未审附注之利润及利润分配!B83="",0,未审附注之利润及利润分配!B83)</f>
        <v>0</v>
      </c>
      <c r="C83" s="2403">
        <f>IF(未审附注之利润及利润分配!C83="",0,未审附注之利润及利润分配!C83)</f>
        <v>0</v>
      </c>
      <c r="D83" s="2403">
        <f>IF(未审附注之利润及利润分配!D83="",0,未审附注之利润及利润分配!D83)</f>
        <v>0</v>
      </c>
      <c r="E83" s="2398"/>
      <c r="F83" s="2398"/>
      <c r="G83" s="2398"/>
      <c r="H83" s="2404" t="s">
        <v>1281</v>
      </c>
    </row>
    <row r="84" spans="1:8">
      <c r="A84" s="2410">
        <f>IF(未审附注之利润及利润分配!A84="",0,未审附注之利润及利润分配!A84)</f>
        <v>0</v>
      </c>
      <c r="B84" s="2410">
        <f>IF(未审附注之利润及利润分配!B84="",0,未审附注之利润及利润分配!B84)</f>
        <v>0</v>
      </c>
      <c r="C84" s="2403">
        <f>IF(未审附注之利润及利润分配!C84="",0,未审附注之利润及利润分配!C84)</f>
        <v>0</v>
      </c>
      <c r="D84" s="2403">
        <f>IF(未审附注之利润及利润分配!D84="",0,未审附注之利润及利润分配!D84)</f>
        <v>0</v>
      </c>
      <c r="E84" s="2398"/>
      <c r="F84" s="2398"/>
      <c r="G84" s="2398"/>
      <c r="H84" s="2404" t="s">
        <v>1281</v>
      </c>
    </row>
    <row r="85" spans="1:8">
      <c r="A85" s="2410">
        <f>IF(未审附注之利润及利润分配!A85="",0,未审附注之利润及利润分配!A85)</f>
        <v>0</v>
      </c>
      <c r="B85" s="2410">
        <f>IF(未审附注之利润及利润分配!B85="",0,未审附注之利润及利润分配!B85)</f>
        <v>0</v>
      </c>
      <c r="C85" s="2403">
        <f>IF(未审附注之利润及利润分配!C85="",0,未审附注之利润及利润分配!C85)</f>
        <v>0</v>
      </c>
      <c r="D85" s="2403">
        <f>IF(未审附注之利润及利润分配!D85="",0,未审附注之利润及利润分配!D85)</f>
        <v>0</v>
      </c>
      <c r="E85" s="2398"/>
      <c r="F85" s="2398"/>
      <c r="G85" s="2398"/>
      <c r="H85" s="2404" t="s">
        <v>1281</v>
      </c>
    </row>
    <row r="86" spans="1:8">
      <c r="A86" s="2410">
        <f>IF(未审附注之利润及利润分配!A86="",0,未审附注之利润及利润分配!A86)</f>
        <v>0</v>
      </c>
      <c r="B86" s="2410">
        <f>IF(未审附注之利润及利润分配!B86="",0,未审附注之利润及利润分配!B86)</f>
        <v>0</v>
      </c>
      <c r="C86" s="2403">
        <f>IF(未审附注之利润及利润分配!C86="",0,未审附注之利润及利润分配!C86)</f>
        <v>0</v>
      </c>
      <c r="D86" s="2403">
        <f>IF(未审附注之利润及利润分配!D86="",0,未审附注之利润及利润分配!D86)</f>
        <v>0</v>
      </c>
      <c r="E86" s="2398"/>
      <c r="F86" s="2398"/>
      <c r="G86" s="2398"/>
      <c r="H86" s="2404" t="s">
        <v>1281</v>
      </c>
    </row>
    <row r="87" spans="1:8">
      <c r="A87" s="2410">
        <f>IF(未审附注之利润及利润分配!A87="",0,未审附注之利润及利润分配!A87)</f>
        <v>0</v>
      </c>
      <c r="B87" s="2410">
        <f>IF(未审附注之利润及利润分配!B87="",0,未审附注之利润及利润分配!B87)</f>
        <v>0</v>
      </c>
      <c r="C87" s="2403">
        <f>IF(未审附注之利润及利润分配!C87="",0,未审附注之利润及利润分配!C87)</f>
        <v>0</v>
      </c>
      <c r="D87" s="2403">
        <f>IF(未审附注之利润及利润分配!D87="",0,未审附注之利润及利润分配!D87)</f>
        <v>0</v>
      </c>
      <c r="E87" s="2398"/>
      <c r="F87" s="2398"/>
      <c r="G87" s="2398"/>
      <c r="H87" s="2404" t="s">
        <v>1281</v>
      </c>
    </row>
    <row r="88" spans="1:8">
      <c r="A88" s="2410">
        <f>IF(未审附注之利润及利润分配!A88="",0,未审附注之利润及利润分配!A88)</f>
        <v>0</v>
      </c>
      <c r="B88" s="2410">
        <f>IF(未审附注之利润及利润分配!B88="",0,未审附注之利润及利润分配!B88)</f>
        <v>0</v>
      </c>
      <c r="C88" s="2403">
        <f>IF(未审附注之利润及利润分配!C88="",0,未审附注之利润及利润分配!C88)</f>
        <v>0</v>
      </c>
      <c r="D88" s="2403">
        <f>IF(未审附注之利润及利润分配!D88="",0,未审附注之利润及利润分配!D88)</f>
        <v>0</v>
      </c>
      <c r="E88" s="2398"/>
      <c r="F88" s="2398"/>
      <c r="G88" s="2398"/>
      <c r="H88" s="2404" t="s">
        <v>1281</v>
      </c>
    </row>
    <row r="89" spans="1:8">
      <c r="A89" s="2410">
        <f>IF(未审附注之利润及利润分配!A89="",0,未审附注之利润及利润分配!A89)</f>
        <v>0</v>
      </c>
      <c r="B89" s="2410">
        <f>IF(未审附注之利润及利润分配!B89="",0,未审附注之利润及利润分配!B89)</f>
        <v>0</v>
      </c>
      <c r="C89" s="2403">
        <f>IF(未审附注之利润及利润分配!C89="",0,未审附注之利润及利润分配!C89)</f>
        <v>0</v>
      </c>
      <c r="D89" s="2403">
        <f>IF(未审附注之利润及利润分配!D89="",0,未审附注之利润及利润分配!D89)</f>
        <v>0</v>
      </c>
      <c r="E89" s="2398"/>
      <c r="F89" s="2398"/>
      <c r="G89" s="2398"/>
      <c r="H89" s="2404" t="s">
        <v>1281</v>
      </c>
    </row>
    <row r="90" spans="1:8">
      <c r="A90" s="2410">
        <f>IF(未审附注之利润及利润分配!A90="",0,未审附注之利润及利润分配!A90)</f>
        <v>0</v>
      </c>
      <c r="B90" s="2410">
        <f>IF(未审附注之利润及利润分配!B90="",0,未审附注之利润及利润分配!B90)</f>
        <v>0</v>
      </c>
      <c r="C90" s="2403">
        <f>IF(未审附注之利润及利润分配!C90="",0,未审附注之利润及利润分配!C90)</f>
        <v>0</v>
      </c>
      <c r="D90" s="2403">
        <f>IF(未审附注之利润及利润分配!D90="",0,未审附注之利润及利润分配!D90)</f>
        <v>0</v>
      </c>
      <c r="E90" s="2398"/>
      <c r="F90" s="2398"/>
      <c r="G90" s="2398"/>
      <c r="H90" s="2404" t="s">
        <v>1281</v>
      </c>
    </row>
    <row r="91" spans="1:8">
      <c r="A91" s="2400" t="s">
        <v>385</v>
      </c>
      <c r="B91" s="2416"/>
      <c r="C91" s="2369">
        <f>ROUND(SUM(C81:C90),2)</f>
        <v>0</v>
      </c>
      <c r="D91" s="2369">
        <f>ROUND(SUM(D81:D90),2)</f>
        <v>0</v>
      </c>
      <c r="E91" s="2398"/>
      <c r="F91" s="2398"/>
      <c r="G91" s="2398"/>
      <c r="H91" s="2404" t="s">
        <v>1282</v>
      </c>
    </row>
    <row r="92" spans="1:8">
      <c r="A92" s="2417"/>
      <c r="B92" s="2418"/>
      <c r="C92" s="2419"/>
      <c r="D92" s="2419"/>
      <c r="E92" s="2419"/>
      <c r="F92" s="2419"/>
      <c r="G92" s="2420"/>
      <c r="H92" s="2404"/>
    </row>
    <row r="93" spans="1:7">
      <c r="A93" s="2421"/>
      <c r="B93" s="2398"/>
      <c r="C93" s="2398"/>
      <c r="D93" s="2398"/>
      <c r="E93" s="2398"/>
      <c r="F93" s="2398"/>
      <c r="G93" s="2398"/>
    </row>
    <row r="94" spans="1:7">
      <c r="A94" s="2397" t="s">
        <v>1283</v>
      </c>
      <c r="B94" s="2398"/>
      <c r="C94" s="2398"/>
      <c r="D94" s="2398"/>
      <c r="E94" s="2398"/>
      <c r="F94" s="2398"/>
      <c r="G94" s="2398"/>
    </row>
    <row r="95" spans="1:7">
      <c r="A95" s="2400" t="s">
        <v>373</v>
      </c>
      <c r="B95" s="2400" t="s">
        <v>1242</v>
      </c>
      <c r="C95" s="2400" t="s">
        <v>1243</v>
      </c>
      <c r="D95" s="2398"/>
      <c r="E95" s="2398"/>
      <c r="F95" s="2398"/>
      <c r="G95" s="2398"/>
    </row>
    <row r="96" spans="1:8">
      <c r="A96" s="2402" t="s">
        <v>1284</v>
      </c>
      <c r="B96" s="2403">
        <f>IF(未审附注之利润及利润分配!B96="",0,未审附注之利润及利润分配!B96)</f>
        <v>0</v>
      </c>
      <c r="C96" s="2403">
        <f>IF(未审附注之利润及利润分配!C96="",0,未审附注之利润及利润分配!C96)</f>
        <v>0</v>
      </c>
      <c r="D96" s="2398"/>
      <c r="E96" s="2398"/>
      <c r="F96" s="2398"/>
      <c r="G96" s="2398"/>
      <c r="H96" s="2404" t="s">
        <v>1285</v>
      </c>
    </row>
    <row r="97" spans="1:8">
      <c r="A97" s="2402" t="s">
        <v>1286</v>
      </c>
      <c r="B97" s="2403">
        <f>IF(未审附注之利润及利润分配!B97="",0,未审附注之利润及利润分配!B97)</f>
        <v>0</v>
      </c>
      <c r="C97" s="2403">
        <f>IF(未审附注之利润及利润分配!C97="",0,未审附注之利润及利润分配!C97)</f>
        <v>0</v>
      </c>
      <c r="D97" s="2398"/>
      <c r="E97" s="2398"/>
      <c r="F97" s="2398"/>
      <c r="G97" s="2398"/>
      <c r="H97" s="2404" t="s">
        <v>1287</v>
      </c>
    </row>
    <row r="98" spans="1:8">
      <c r="A98" s="2402" t="s">
        <v>1288</v>
      </c>
      <c r="B98" s="2403">
        <f>IF(未审附注之利润及利润分配!B98="",0,未审附注之利润及利润分配!B98)</f>
        <v>0</v>
      </c>
      <c r="C98" s="2403">
        <f>IF(未审附注之利润及利润分配!C98="",0,未审附注之利润及利润分配!C98)</f>
        <v>0</v>
      </c>
      <c r="D98" s="2398"/>
      <c r="E98" s="2398"/>
      <c r="F98" s="2398"/>
      <c r="G98" s="2398"/>
      <c r="H98" s="2404" t="s">
        <v>1289</v>
      </c>
    </row>
    <row r="99" spans="1:8">
      <c r="A99" s="2402" t="s">
        <v>280</v>
      </c>
      <c r="B99" s="2403">
        <f>IF(未审附注之利润及利润分配!B99="",0,未审附注之利润及利润分配!B99)</f>
        <v>0</v>
      </c>
      <c r="C99" s="2403">
        <f>IF(未审附注之利润及利润分配!C99="",0,未审附注之利润及利润分配!C99)</f>
        <v>0</v>
      </c>
      <c r="D99" s="2398"/>
      <c r="E99" s="2398"/>
      <c r="F99" s="2398"/>
      <c r="G99" s="2398"/>
      <c r="H99" s="2404" t="s">
        <v>1290</v>
      </c>
    </row>
    <row r="100" spans="1:8">
      <c r="A100" s="2400" t="s">
        <v>385</v>
      </c>
      <c r="B100" s="2369">
        <f>ROUND(SUM(B96:B99),2)</f>
        <v>0</v>
      </c>
      <c r="C100" s="2369">
        <f>ROUND(SUM(C96:C99),2)</f>
        <v>0</v>
      </c>
      <c r="D100" s="2398"/>
      <c r="E100" s="2398"/>
      <c r="F100" s="2398"/>
      <c r="G100" s="2398"/>
      <c r="H100" s="2404" t="s">
        <v>1291</v>
      </c>
    </row>
    <row r="101" spans="1:7">
      <c r="A101" s="2417"/>
      <c r="B101" s="2418"/>
      <c r="C101" s="2419"/>
      <c r="D101" s="2419"/>
      <c r="E101" s="2419"/>
      <c r="F101" s="2419"/>
      <c r="G101" s="2420"/>
    </row>
    <row r="102" spans="1:7">
      <c r="A102" s="2421"/>
      <c r="B102" s="2398"/>
      <c r="C102" s="2398"/>
      <c r="D102" s="2398"/>
      <c r="E102" s="2398"/>
      <c r="F102" s="2398"/>
      <c r="G102" s="2398"/>
    </row>
    <row r="103" spans="1:7">
      <c r="A103" s="2397" t="s">
        <v>1292</v>
      </c>
      <c r="B103" s="2398"/>
      <c r="C103" s="2398"/>
      <c r="D103" s="2398"/>
      <c r="E103" s="2398"/>
      <c r="F103" s="2398"/>
      <c r="G103" s="2398"/>
    </row>
    <row r="104" spans="1:7">
      <c r="A104" s="2400" t="s">
        <v>373</v>
      </c>
      <c r="B104" s="2400" t="s">
        <v>1242</v>
      </c>
      <c r="C104" s="2400" t="s">
        <v>1243</v>
      </c>
      <c r="D104" s="2398"/>
      <c r="E104" s="2398"/>
      <c r="F104" s="2398"/>
      <c r="G104" s="2398"/>
    </row>
    <row r="105" spans="1:8">
      <c r="A105" s="2402" t="s">
        <v>1293</v>
      </c>
      <c r="B105" s="2403">
        <f>IF(未审附注之利润及利润分配!B105="",0,未审附注之利润及利润分配!B105)</f>
        <v>0</v>
      </c>
      <c r="C105" s="2403">
        <f>IF(未审附注之利润及利润分配!C105="",0,未审附注之利润及利润分配!C105)</f>
        <v>0</v>
      </c>
      <c r="D105" s="2398"/>
      <c r="E105" s="2398"/>
      <c r="F105" s="2398"/>
      <c r="G105" s="2398"/>
      <c r="H105" s="2404" t="s">
        <v>1294</v>
      </c>
    </row>
    <row r="106" spans="1:8">
      <c r="A106" s="2402" t="s">
        <v>1295</v>
      </c>
      <c r="B106" s="2403">
        <f>IF(未审附注之利润及利润分配!B106="",0,未审附注之利润及利润分配!B106)</f>
        <v>0</v>
      </c>
      <c r="C106" s="2403">
        <f>IF(未审附注之利润及利润分配!C106="",0,未审附注之利润及利润分配!C106)</f>
        <v>0</v>
      </c>
      <c r="D106" s="2398"/>
      <c r="E106" s="2398"/>
      <c r="F106" s="2398"/>
      <c r="G106" s="2398"/>
      <c r="H106" s="2404" t="s">
        <v>1296</v>
      </c>
    </row>
    <row r="107" spans="1:8">
      <c r="A107" s="2402" t="s">
        <v>1297</v>
      </c>
      <c r="B107" s="2403">
        <f>IF(未审附注之利润及利润分配!B107="",0,未审附注之利润及利润分配!B107)</f>
        <v>0</v>
      </c>
      <c r="C107" s="2403">
        <f>IF(未审附注之利润及利润分配!C107="",0,未审附注之利润及利润分配!C107)</f>
        <v>0</v>
      </c>
      <c r="D107" s="2398"/>
      <c r="E107" s="2398"/>
      <c r="F107" s="2398"/>
      <c r="G107" s="2398"/>
      <c r="H107" s="2404" t="s">
        <v>1298</v>
      </c>
    </row>
    <row r="108" spans="1:8">
      <c r="A108" s="2402" t="s">
        <v>1299</v>
      </c>
      <c r="B108" s="2403">
        <f>IF(未审附注之利润及利润分配!B108="",0,未审附注之利润及利润分配!B108)</f>
        <v>0</v>
      </c>
      <c r="C108" s="2403">
        <f>IF(未审附注之利润及利润分配!C108="",0,未审附注之利润及利润分配!C108)</f>
        <v>0</v>
      </c>
      <c r="D108" s="2398"/>
      <c r="E108" s="2398"/>
      <c r="F108" s="2398"/>
      <c r="G108" s="2398"/>
      <c r="H108" s="2404" t="s">
        <v>1300</v>
      </c>
    </row>
    <row r="109" spans="1:8">
      <c r="A109" s="2402" t="s">
        <v>1301</v>
      </c>
      <c r="B109" s="2403">
        <f>IF(未审附注之利润及利润分配!B109="",0,未审附注之利润及利润分配!B109)</f>
        <v>0</v>
      </c>
      <c r="C109" s="2403">
        <f>IF(未审附注之利润及利润分配!C109="",0,未审附注之利润及利润分配!C109)</f>
        <v>0</v>
      </c>
      <c r="D109" s="2398"/>
      <c r="E109" s="2398"/>
      <c r="F109" s="2398"/>
      <c r="G109" s="2398"/>
      <c r="H109" s="2404" t="s">
        <v>1302</v>
      </c>
    </row>
    <row r="110" spans="1:8">
      <c r="A110" s="2402" t="s">
        <v>1303</v>
      </c>
      <c r="B110" s="2403">
        <f>IF(未审附注之利润及利润分配!B110="",0,未审附注之利润及利润分配!B110)</f>
        <v>0</v>
      </c>
      <c r="C110" s="2403">
        <f>IF(未审附注之利润及利润分配!C110="",0,未审附注之利润及利润分配!C110)</f>
        <v>0</v>
      </c>
      <c r="D110" s="2398"/>
      <c r="E110" s="2398"/>
      <c r="F110" s="2398"/>
      <c r="G110" s="2398"/>
      <c r="H110" s="2404" t="s">
        <v>1304</v>
      </c>
    </row>
    <row r="111" spans="1:8">
      <c r="A111" s="2402" t="s">
        <v>1305</v>
      </c>
      <c r="B111" s="2403">
        <f>IF(未审附注之利润及利润分配!B111="",0,未审附注之利润及利润分配!B111)</f>
        <v>0</v>
      </c>
      <c r="C111" s="2403">
        <f>IF(未审附注之利润及利润分配!C111="",0,未审附注之利润及利润分配!C111)</f>
        <v>0</v>
      </c>
      <c r="D111" s="2398"/>
      <c r="E111" s="2398"/>
      <c r="F111" s="2398"/>
      <c r="G111" s="2398"/>
      <c r="H111" s="2404" t="s">
        <v>1306</v>
      </c>
    </row>
    <row r="112" spans="1:8">
      <c r="A112" s="2402" t="s">
        <v>1307</v>
      </c>
      <c r="B112" s="2403">
        <f>IF(未审附注之利润及利润分配!B112="",0,未审附注之利润及利润分配!B112)</f>
        <v>0</v>
      </c>
      <c r="C112" s="2403">
        <f>IF(未审附注之利润及利润分配!C112="",0,未审附注之利润及利润分配!C112)</f>
        <v>0</v>
      </c>
      <c r="D112" s="2398"/>
      <c r="E112" s="2398"/>
      <c r="F112" s="2398"/>
      <c r="G112" s="2398"/>
      <c r="H112" s="2404" t="s">
        <v>1308</v>
      </c>
    </row>
    <row r="113" spans="1:8">
      <c r="A113" s="2402" t="s">
        <v>1309</v>
      </c>
      <c r="B113" s="2403">
        <f>IF(未审附注之利润及利润分配!B113="",0,未审附注之利润及利润分配!B113)</f>
        <v>0</v>
      </c>
      <c r="C113" s="2403">
        <f>IF(未审附注之利润及利润分配!C113="",0,未审附注之利润及利润分配!C113)</f>
        <v>0</v>
      </c>
      <c r="D113" s="2398"/>
      <c r="E113" s="2398"/>
      <c r="F113" s="2398"/>
      <c r="G113" s="2398"/>
      <c r="H113" s="2404" t="s">
        <v>1310</v>
      </c>
    </row>
    <row r="114" spans="1:8">
      <c r="A114" s="2402" t="s">
        <v>1311</v>
      </c>
      <c r="B114" s="2403">
        <f>IF(未审附注之利润及利润分配!B114="",0,未审附注之利润及利润分配!B114)</f>
        <v>0</v>
      </c>
      <c r="C114" s="2403">
        <f>IF(未审附注之利润及利润分配!C114="",0,未审附注之利润及利润分配!C114)</f>
        <v>0</v>
      </c>
      <c r="D114" s="2398"/>
      <c r="E114" s="2398"/>
      <c r="F114" s="2398"/>
      <c r="G114" s="2398"/>
      <c r="H114" s="2404" t="s">
        <v>1312</v>
      </c>
    </row>
    <row r="115" spans="1:8">
      <c r="A115" s="2402" t="s">
        <v>1313</v>
      </c>
      <c r="B115" s="2403">
        <f>IF(未审附注之利润及利润分配!B115="",0,未审附注之利润及利润分配!B115)</f>
        <v>0</v>
      </c>
      <c r="C115" s="2403">
        <f>IF(未审附注之利润及利润分配!C115="",0,未审附注之利润及利润分配!C115)</f>
        <v>0</v>
      </c>
      <c r="D115" s="2398"/>
      <c r="E115" s="2398"/>
      <c r="F115" s="2398"/>
      <c r="G115" s="2398"/>
      <c r="H115" s="2404" t="s">
        <v>1314</v>
      </c>
    </row>
    <row r="116" spans="1:8">
      <c r="A116" s="2402" t="s">
        <v>1315</v>
      </c>
      <c r="B116" s="2403">
        <f>IF(未审附注之利润及利润分配!B116="",0,未审附注之利润及利润分配!B116)</f>
        <v>0</v>
      </c>
      <c r="C116" s="2403">
        <f>IF(未审附注之利润及利润分配!C116="",0,未审附注之利润及利润分配!C116)</f>
        <v>0</v>
      </c>
      <c r="D116" s="2398"/>
      <c r="E116" s="2398"/>
      <c r="F116" s="2398"/>
      <c r="G116" s="2398"/>
      <c r="H116" s="2404" t="s">
        <v>1316</v>
      </c>
    </row>
    <row r="117" spans="1:8">
      <c r="A117" s="2402" t="s">
        <v>1317</v>
      </c>
      <c r="B117" s="2403">
        <f>IF(未审附注之利润及利润分配!B117="",0,未审附注之利润及利润分配!B117)</f>
        <v>0</v>
      </c>
      <c r="C117" s="2403">
        <f>IF(未审附注之利润及利润分配!C117="",0,未审附注之利润及利润分配!C117)</f>
        <v>0</v>
      </c>
      <c r="D117" s="2398"/>
      <c r="E117" s="2398"/>
      <c r="F117" s="2398"/>
      <c r="G117" s="2398"/>
      <c r="H117" s="2404" t="s">
        <v>1318</v>
      </c>
    </row>
    <row r="118" spans="1:8">
      <c r="A118" s="2402" t="s">
        <v>968</v>
      </c>
      <c r="B118" s="2403">
        <f>IF(未审附注之利润及利润分配!B118="",0,未审附注之利润及利润分配!B118)</f>
        <v>0</v>
      </c>
      <c r="C118" s="2403">
        <f>IF(未审附注之利润及利润分配!C118="",0,未审附注之利润及利润分配!C118)</f>
        <v>0</v>
      </c>
      <c r="D118" s="2398"/>
      <c r="E118" s="2398"/>
      <c r="F118" s="2398"/>
      <c r="G118" s="2398"/>
      <c r="H118" s="2404" t="s">
        <v>1319</v>
      </c>
    </row>
    <row r="119" spans="1:8">
      <c r="A119" s="2402" t="s">
        <v>385</v>
      </c>
      <c r="B119" s="2369">
        <f>ROUND(SUM(B105:B118),2)</f>
        <v>0</v>
      </c>
      <c r="C119" s="2369">
        <f>ROUND(SUM(C105:C118),2)</f>
        <v>0</v>
      </c>
      <c r="D119" s="2398"/>
      <c r="E119" s="2398"/>
      <c r="F119" s="2398"/>
      <c r="G119" s="2398"/>
      <c r="H119" s="2404" t="s">
        <v>1320</v>
      </c>
    </row>
    <row r="120" spans="1:7">
      <c r="A120" s="2417"/>
      <c r="B120" s="2413"/>
      <c r="C120" s="2418"/>
      <c r="D120" s="2418"/>
      <c r="E120" s="2398"/>
      <c r="F120" s="2398"/>
      <c r="G120" s="2398"/>
    </row>
    <row r="121" spans="1:7">
      <c r="A121" s="2421"/>
      <c r="B121" s="2398"/>
      <c r="C121" s="2398"/>
      <c r="D121" s="2398"/>
      <c r="E121" s="2398"/>
      <c r="F121" s="2398"/>
      <c r="G121" s="2398"/>
    </row>
    <row r="122" spans="1:7">
      <c r="A122" s="2397" t="s">
        <v>1321</v>
      </c>
      <c r="B122" s="2398"/>
      <c r="C122" s="2398"/>
      <c r="D122" s="2398"/>
      <c r="E122" s="2398"/>
      <c r="F122" s="2398"/>
      <c r="G122" s="2398"/>
    </row>
    <row r="123" spans="1:7">
      <c r="A123" s="2400" t="s">
        <v>1322</v>
      </c>
      <c r="B123" s="2400" t="s">
        <v>1242</v>
      </c>
      <c r="C123" s="2400" t="s">
        <v>1243</v>
      </c>
      <c r="D123" s="2398"/>
      <c r="E123" s="2398"/>
      <c r="F123" s="2398"/>
      <c r="G123" s="2398"/>
    </row>
    <row r="124" spans="1:8">
      <c r="A124" s="2410">
        <f>IF(未审附注之利润及利润分配!A124="",0,未审附注之利润及利润分配!A124)</f>
        <v>0</v>
      </c>
      <c r="B124" s="2403">
        <f>IF(未审附注之利润及利润分配!B124="",0,未审附注之利润及利润分配!B124)</f>
        <v>0</v>
      </c>
      <c r="C124" s="2403">
        <f>IF(未审附注之利润及利润分配!C124="",0,未审附注之利润及利润分配!C124)</f>
        <v>0</v>
      </c>
      <c r="D124" s="2398"/>
      <c r="E124" s="2398"/>
      <c r="F124" s="2398"/>
      <c r="G124" s="2398"/>
      <c r="H124" s="2404" t="s">
        <v>1323</v>
      </c>
    </row>
    <row r="125" spans="1:8">
      <c r="A125" s="2410">
        <f>IF(未审附注之利润及利润分配!A125="",0,未审附注之利润及利润分配!A125)</f>
        <v>0</v>
      </c>
      <c r="B125" s="2403">
        <f>IF(未审附注之利润及利润分配!B125="",0,未审附注之利润及利润分配!B125)</f>
        <v>0</v>
      </c>
      <c r="C125" s="2403">
        <f>IF(未审附注之利润及利润分配!C125="",0,未审附注之利润及利润分配!C125)</f>
        <v>0</v>
      </c>
      <c r="D125" s="2398"/>
      <c r="E125" s="2398"/>
      <c r="F125" s="2398"/>
      <c r="G125" s="2398"/>
      <c r="H125" s="2404" t="s">
        <v>1323</v>
      </c>
    </row>
    <row r="126" spans="1:8">
      <c r="A126" s="2410">
        <f>IF(未审附注之利润及利润分配!A126="",0,未审附注之利润及利润分配!A126)</f>
        <v>0</v>
      </c>
      <c r="B126" s="2403">
        <f>IF(未审附注之利润及利润分配!B126="",0,未审附注之利润及利润分配!B126)</f>
        <v>0</v>
      </c>
      <c r="C126" s="2403">
        <f>IF(未审附注之利润及利润分配!C126="",0,未审附注之利润及利润分配!C126)</f>
        <v>0</v>
      </c>
      <c r="D126" s="2398"/>
      <c r="E126" s="2398"/>
      <c r="F126" s="2398"/>
      <c r="G126" s="2398"/>
      <c r="H126" s="2404" t="s">
        <v>1323</v>
      </c>
    </row>
    <row r="127" spans="1:8">
      <c r="A127" s="2410">
        <f>IF(未审附注之利润及利润分配!A127="",0,未审附注之利润及利润分配!A127)</f>
        <v>0</v>
      </c>
      <c r="B127" s="2403">
        <f>IF(未审附注之利润及利润分配!B127="",0,未审附注之利润及利润分配!B127)</f>
        <v>0</v>
      </c>
      <c r="C127" s="2403">
        <f>IF(未审附注之利润及利润分配!C127="",0,未审附注之利润及利润分配!C127)</f>
        <v>0</v>
      </c>
      <c r="D127" s="2398"/>
      <c r="E127" s="2398"/>
      <c r="F127" s="2398"/>
      <c r="G127" s="2398"/>
      <c r="H127" s="2404" t="s">
        <v>1323</v>
      </c>
    </row>
    <row r="128" spans="1:8">
      <c r="A128" s="2410">
        <f>IF(未审附注之利润及利润分配!A128="",0,未审附注之利润及利润分配!A128)</f>
        <v>0</v>
      </c>
      <c r="B128" s="2403">
        <f>IF(未审附注之利润及利润分配!B128="",0,未审附注之利润及利润分配!B128)</f>
        <v>0</v>
      </c>
      <c r="C128" s="2403">
        <f>IF(未审附注之利润及利润分配!C128="",0,未审附注之利润及利润分配!C128)</f>
        <v>0</v>
      </c>
      <c r="D128" s="2398"/>
      <c r="E128" s="2398"/>
      <c r="F128" s="2398"/>
      <c r="G128" s="2398"/>
      <c r="H128" s="2404" t="s">
        <v>1323</v>
      </c>
    </row>
    <row r="129" spans="1:8">
      <c r="A129" s="2410">
        <f>IF(未审附注之利润及利润分配!A129="",0,未审附注之利润及利润分配!A129)</f>
        <v>0</v>
      </c>
      <c r="B129" s="2403">
        <f>IF(未审附注之利润及利润分配!B129="",0,未审附注之利润及利润分配!B129)</f>
        <v>0</v>
      </c>
      <c r="C129" s="2403">
        <f>IF(未审附注之利润及利润分配!C129="",0,未审附注之利润及利润分配!C129)</f>
        <v>0</v>
      </c>
      <c r="D129" s="2398"/>
      <c r="E129" s="2398"/>
      <c r="F129" s="2398"/>
      <c r="G129" s="2398"/>
      <c r="H129" s="2404" t="s">
        <v>1323</v>
      </c>
    </row>
    <row r="130" spans="1:8">
      <c r="A130" s="2410">
        <f>IF(未审附注之利润及利润分配!A130="",0,未审附注之利润及利润分配!A130)</f>
        <v>0</v>
      </c>
      <c r="B130" s="2403">
        <f>IF(未审附注之利润及利润分配!B130="",0,未审附注之利润及利润分配!B130)</f>
        <v>0</v>
      </c>
      <c r="C130" s="2403">
        <f>IF(未审附注之利润及利润分配!C130="",0,未审附注之利润及利润分配!C130)</f>
        <v>0</v>
      </c>
      <c r="D130" s="2398"/>
      <c r="E130" s="2398"/>
      <c r="F130" s="2398"/>
      <c r="G130" s="2398"/>
      <c r="H130" s="2404" t="s">
        <v>1323</v>
      </c>
    </row>
    <row r="131" spans="1:8">
      <c r="A131" s="2410">
        <f>IF(未审附注之利润及利润分配!A131="",0,未审附注之利润及利润分配!A131)</f>
        <v>0</v>
      </c>
      <c r="B131" s="2403">
        <f>IF(未审附注之利润及利润分配!B131="",0,未审附注之利润及利润分配!B131)</f>
        <v>0</v>
      </c>
      <c r="C131" s="2403">
        <f>IF(未审附注之利润及利润分配!C131="",0,未审附注之利润及利润分配!C131)</f>
        <v>0</v>
      </c>
      <c r="D131" s="2398"/>
      <c r="E131" s="2398"/>
      <c r="F131" s="2398"/>
      <c r="G131" s="2398"/>
      <c r="H131" s="2404" t="s">
        <v>1323</v>
      </c>
    </row>
    <row r="132" spans="1:8">
      <c r="A132" s="2410">
        <f>IF(未审附注之利润及利润分配!A132="",0,未审附注之利润及利润分配!A132)</f>
        <v>0</v>
      </c>
      <c r="B132" s="2403">
        <f>IF(未审附注之利润及利润分配!B132="",0,未审附注之利润及利润分配!B132)</f>
        <v>0</v>
      </c>
      <c r="C132" s="2403">
        <f>IF(未审附注之利润及利润分配!C132="",0,未审附注之利润及利润分配!C132)</f>
        <v>0</v>
      </c>
      <c r="D132" s="2398"/>
      <c r="E132" s="2398"/>
      <c r="F132" s="2398"/>
      <c r="G132" s="2398"/>
      <c r="H132" s="2404" t="s">
        <v>1323</v>
      </c>
    </row>
    <row r="133" spans="1:8">
      <c r="A133" s="2410">
        <f>IF(未审附注之利润及利润分配!A133="",0,未审附注之利润及利润分配!A133)</f>
        <v>0</v>
      </c>
      <c r="B133" s="2403">
        <f>IF(未审附注之利润及利润分配!B133="",0,未审附注之利润及利润分配!B133)</f>
        <v>0</v>
      </c>
      <c r="C133" s="2403">
        <f>IF(未审附注之利润及利润分配!C133="",0,未审附注之利润及利润分配!C133)</f>
        <v>0</v>
      </c>
      <c r="D133" s="2398"/>
      <c r="E133" s="2398"/>
      <c r="F133" s="2398"/>
      <c r="G133" s="2398"/>
      <c r="H133" s="2404" t="s">
        <v>1323</v>
      </c>
    </row>
    <row r="134" spans="1:8">
      <c r="A134" s="2400" t="s">
        <v>385</v>
      </c>
      <c r="B134" s="2369">
        <f>ROUND(SUM(B124:B133),2)</f>
        <v>0</v>
      </c>
      <c r="C134" s="2369">
        <f>ROUND(SUM(C124:C133),2)</f>
        <v>0</v>
      </c>
      <c r="D134" s="2398"/>
      <c r="E134" s="2398"/>
      <c r="F134" s="2398"/>
      <c r="G134" s="2398"/>
      <c r="H134" s="2404" t="s">
        <v>1324</v>
      </c>
    </row>
    <row r="135" spans="1:7">
      <c r="A135" s="2421"/>
      <c r="B135" s="2398"/>
      <c r="C135" s="2398"/>
      <c r="D135" s="2398"/>
      <c r="E135" s="2398"/>
      <c r="F135" s="2398"/>
      <c r="G135" s="2398"/>
    </row>
    <row r="136" spans="1:7">
      <c r="A136" s="2397" t="s">
        <v>1325</v>
      </c>
      <c r="B136" s="2398"/>
      <c r="C136" s="2398"/>
      <c r="D136" s="2398"/>
      <c r="E136" s="2398"/>
      <c r="F136" s="2398"/>
      <c r="G136" s="2398"/>
    </row>
    <row r="137" spans="1:7">
      <c r="A137" s="2399" t="s">
        <v>1326</v>
      </c>
      <c r="B137" s="2398"/>
      <c r="C137" s="2398"/>
      <c r="D137" s="2398"/>
      <c r="E137" s="2398"/>
      <c r="F137" s="2398"/>
      <c r="G137" s="2398"/>
    </row>
    <row r="138" spans="1:7">
      <c r="A138" s="2400" t="s">
        <v>1327</v>
      </c>
      <c r="B138" s="2400" t="s">
        <v>1242</v>
      </c>
      <c r="C138" s="2400" t="s">
        <v>1243</v>
      </c>
      <c r="D138" s="2398"/>
      <c r="E138" s="2398"/>
      <c r="F138" s="2398"/>
      <c r="G138" s="2398"/>
    </row>
    <row r="139" spans="1:8">
      <c r="A139" s="2410">
        <f>IF(未审附注之利润及利润分配!A139="",0,未审附注之利润及利润分配!A139)</f>
        <v>0</v>
      </c>
      <c r="B139" s="2403">
        <f>IF(未审附注之利润及利润分配!B139="",0,未审附注之利润及利润分配!B139)</f>
        <v>0</v>
      </c>
      <c r="C139" s="2403">
        <f>IF(未审附注之利润及利润分配!C139="",0,未审附注之利润及利润分配!C139)</f>
        <v>0</v>
      </c>
      <c r="D139" s="2398"/>
      <c r="E139" s="2398"/>
      <c r="F139" s="2398"/>
      <c r="G139" s="2398"/>
      <c r="H139" s="2404" t="s">
        <v>1328</v>
      </c>
    </row>
    <row r="140" spans="1:8">
      <c r="A140" s="2410">
        <f>IF(未审附注之利润及利润分配!A140="",0,未审附注之利润及利润分配!A140)</f>
        <v>0</v>
      </c>
      <c r="B140" s="2403">
        <f>IF(未审附注之利润及利润分配!B140="",0,未审附注之利润及利润分配!B140)</f>
        <v>0</v>
      </c>
      <c r="C140" s="2403">
        <f>IF(未审附注之利润及利润分配!C140="",0,未审附注之利润及利润分配!C140)</f>
        <v>0</v>
      </c>
      <c r="D140" s="2398"/>
      <c r="E140" s="2398"/>
      <c r="F140" s="2398"/>
      <c r="G140" s="2398"/>
      <c r="H140" s="2404" t="s">
        <v>1328</v>
      </c>
    </row>
    <row r="141" spans="1:8">
      <c r="A141" s="2410">
        <f>IF(未审附注之利润及利润分配!A141="",0,未审附注之利润及利润分配!A141)</f>
        <v>0</v>
      </c>
      <c r="B141" s="2403">
        <f>IF(未审附注之利润及利润分配!B141="",0,未审附注之利润及利润分配!B141)</f>
        <v>0</v>
      </c>
      <c r="C141" s="2403">
        <f>IF(未审附注之利润及利润分配!C141="",0,未审附注之利润及利润分配!C141)</f>
        <v>0</v>
      </c>
      <c r="D141" s="2398"/>
      <c r="E141" s="2398"/>
      <c r="F141" s="2398"/>
      <c r="G141" s="2398"/>
      <c r="H141" s="2404" t="s">
        <v>1328</v>
      </c>
    </row>
    <row r="142" spans="1:8">
      <c r="A142" s="2410">
        <f>IF(未审附注之利润及利润分配!A142="",0,未审附注之利润及利润分配!A142)</f>
        <v>0</v>
      </c>
      <c r="B142" s="2403">
        <f>IF(未审附注之利润及利润分配!B142="",0,未审附注之利润及利润分配!B142)</f>
        <v>0</v>
      </c>
      <c r="C142" s="2403">
        <f>IF(未审附注之利润及利润分配!C142="",0,未审附注之利润及利润分配!C142)</f>
        <v>0</v>
      </c>
      <c r="D142" s="2398"/>
      <c r="E142" s="2398"/>
      <c r="F142" s="2398"/>
      <c r="G142" s="2398"/>
      <c r="H142" s="2404" t="s">
        <v>1328</v>
      </c>
    </row>
    <row r="143" spans="1:8">
      <c r="A143" s="2410">
        <f>IF(未审附注之利润及利润分配!A143="",0,未审附注之利润及利润分配!A143)</f>
        <v>0</v>
      </c>
      <c r="B143" s="2403">
        <f>IF(未审附注之利润及利润分配!B143="",0,未审附注之利润及利润分配!B143)</f>
        <v>0</v>
      </c>
      <c r="C143" s="2403">
        <f>IF(未审附注之利润及利润分配!C143="",0,未审附注之利润及利润分配!C143)</f>
        <v>0</v>
      </c>
      <c r="D143" s="2398"/>
      <c r="E143" s="2398"/>
      <c r="F143" s="2398"/>
      <c r="G143" s="2398"/>
      <c r="H143" s="2404" t="s">
        <v>1328</v>
      </c>
    </row>
    <row r="144" spans="1:8">
      <c r="A144" s="2410">
        <f>IF(未审附注之利润及利润分配!A144="",0,未审附注之利润及利润分配!A144)</f>
        <v>0</v>
      </c>
      <c r="B144" s="2403">
        <f>IF(未审附注之利润及利润分配!B144="",0,未审附注之利润及利润分配!B144)</f>
        <v>0</v>
      </c>
      <c r="C144" s="2403">
        <f>IF(未审附注之利润及利润分配!C144="",0,未审附注之利润及利润分配!C144)</f>
        <v>0</v>
      </c>
      <c r="D144" s="2398"/>
      <c r="E144" s="2398"/>
      <c r="F144" s="2398"/>
      <c r="G144" s="2398"/>
      <c r="H144" s="2404" t="s">
        <v>1328</v>
      </c>
    </row>
    <row r="145" spans="1:8">
      <c r="A145" s="2410">
        <f>IF(未审附注之利润及利润分配!A145="",0,未审附注之利润及利润分配!A145)</f>
        <v>0</v>
      </c>
      <c r="B145" s="2403">
        <f>IF(未审附注之利润及利润分配!B145="",0,未审附注之利润及利润分配!B145)</f>
        <v>0</v>
      </c>
      <c r="C145" s="2403">
        <f>IF(未审附注之利润及利润分配!C145="",0,未审附注之利润及利润分配!C145)</f>
        <v>0</v>
      </c>
      <c r="D145" s="2398"/>
      <c r="E145" s="2398"/>
      <c r="F145" s="2398"/>
      <c r="G145" s="2398"/>
      <c r="H145" s="2404" t="s">
        <v>1328</v>
      </c>
    </row>
    <row r="146" spans="1:8">
      <c r="A146" s="2410">
        <f>IF(未审附注之利润及利润分配!A146="",0,未审附注之利润及利润分配!A146)</f>
        <v>0</v>
      </c>
      <c r="B146" s="2403">
        <f>IF(未审附注之利润及利润分配!B146="",0,未审附注之利润及利润分配!B146)</f>
        <v>0</v>
      </c>
      <c r="C146" s="2403">
        <f>IF(未审附注之利润及利润分配!C146="",0,未审附注之利润及利润分配!C146)</f>
        <v>0</v>
      </c>
      <c r="D146" s="2398"/>
      <c r="E146" s="2398"/>
      <c r="F146" s="2398"/>
      <c r="G146" s="2398"/>
      <c r="H146" s="2404" t="s">
        <v>1328</v>
      </c>
    </row>
    <row r="147" spans="1:8">
      <c r="A147" s="2410">
        <f>IF(未审附注之利润及利润分配!A147="",0,未审附注之利润及利润分配!A147)</f>
        <v>0</v>
      </c>
      <c r="B147" s="2403">
        <f>IF(未审附注之利润及利润分配!B147="",0,未审附注之利润及利润分配!B147)</f>
        <v>0</v>
      </c>
      <c r="C147" s="2403">
        <f>IF(未审附注之利润及利润分配!C147="",0,未审附注之利润及利润分配!C147)</f>
        <v>0</v>
      </c>
      <c r="D147" s="2398"/>
      <c r="E147" s="2398"/>
      <c r="F147" s="2398"/>
      <c r="G147" s="2398"/>
      <c r="H147" s="2404" t="s">
        <v>1328</v>
      </c>
    </row>
    <row r="148" spans="1:8">
      <c r="A148" s="2410">
        <f>IF(未审附注之利润及利润分配!A148="",0,未审附注之利润及利润分配!A148)</f>
        <v>0</v>
      </c>
      <c r="B148" s="2403">
        <f>IF(未审附注之利润及利润分配!B148="",0,未审附注之利润及利润分配!B148)</f>
        <v>0</v>
      </c>
      <c r="C148" s="2403">
        <f>IF(未审附注之利润及利润分配!C148="",0,未审附注之利润及利润分配!C148)</f>
        <v>0</v>
      </c>
      <c r="D148" s="2398"/>
      <c r="E148" s="2398"/>
      <c r="F148" s="2398"/>
      <c r="G148" s="2398"/>
      <c r="H148" s="2404" t="s">
        <v>1328</v>
      </c>
    </row>
    <row r="149" spans="1:8">
      <c r="A149" s="2400" t="s">
        <v>385</v>
      </c>
      <c r="B149" s="2369">
        <f>ROUND(SUM(B139:B148),2)</f>
        <v>0</v>
      </c>
      <c r="C149" s="2369">
        <f>ROUND(SUM(C139:C148),2)</f>
        <v>0</v>
      </c>
      <c r="D149" s="2398"/>
      <c r="E149" s="2398"/>
      <c r="F149" s="2398"/>
      <c r="G149" s="2398"/>
      <c r="H149" s="2404" t="s">
        <v>1329</v>
      </c>
    </row>
    <row r="150" spans="1:7">
      <c r="A150" s="2398"/>
      <c r="B150" s="2398"/>
      <c r="C150" s="2398"/>
      <c r="D150" s="2398"/>
      <c r="E150" s="2398"/>
      <c r="F150" s="2398"/>
      <c r="G150" s="2398"/>
    </row>
    <row r="151" spans="1:7">
      <c r="A151" s="2422" t="s">
        <v>1330</v>
      </c>
      <c r="B151" s="2419"/>
      <c r="C151" s="2419"/>
      <c r="D151" s="2419"/>
      <c r="E151" s="2419"/>
      <c r="F151" s="2419"/>
      <c r="G151" s="2419"/>
    </row>
    <row r="152" spans="1:7">
      <c r="A152" s="2400" t="s">
        <v>1327</v>
      </c>
      <c r="B152" s="2400" t="s">
        <v>1331</v>
      </c>
      <c r="C152" s="2419"/>
      <c r="D152" s="2419"/>
      <c r="E152" s="2419"/>
      <c r="F152" s="2419"/>
      <c r="G152" s="2420"/>
    </row>
    <row r="153" spans="1:8">
      <c r="A153" s="2410">
        <f>IF(未审附注之利润及利润分配!A153="",0,未审附注之利润及利润分配!A153)</f>
        <v>0</v>
      </c>
      <c r="B153" s="2410">
        <f>IF(未审附注之利润及利润分配!B153="",0,未审附注之利润及利润分配!B153)</f>
        <v>0</v>
      </c>
      <c r="C153" s="2419"/>
      <c r="D153" s="2419"/>
      <c r="E153" s="2419"/>
      <c r="F153" s="2419"/>
      <c r="G153" s="2420"/>
      <c r="H153" s="2404" t="s">
        <v>1332</v>
      </c>
    </row>
    <row r="154" spans="1:8">
      <c r="A154" s="2410">
        <f>IF(未审附注之利润及利润分配!A154="",0,未审附注之利润及利润分配!A154)</f>
        <v>0</v>
      </c>
      <c r="B154" s="2410">
        <f>IF(未审附注之利润及利润分配!B154="",0,未审附注之利润及利润分配!B154)</f>
        <v>0</v>
      </c>
      <c r="C154" s="2419"/>
      <c r="D154" s="2419"/>
      <c r="E154" s="2419"/>
      <c r="F154" s="2419"/>
      <c r="G154" s="2420"/>
      <c r="H154" s="2404" t="s">
        <v>1332</v>
      </c>
    </row>
    <row r="155" spans="1:8">
      <c r="A155" s="2410">
        <f>IF(未审附注之利润及利润分配!A155="",0,未审附注之利润及利润分配!A155)</f>
        <v>0</v>
      </c>
      <c r="B155" s="2410">
        <f>IF(未审附注之利润及利润分配!B155="",0,未审附注之利润及利润分配!B155)</f>
        <v>0</v>
      </c>
      <c r="C155" s="2419"/>
      <c r="D155" s="2419"/>
      <c r="E155" s="2419"/>
      <c r="F155" s="2419"/>
      <c r="G155" s="2420"/>
      <c r="H155" s="2404" t="s">
        <v>1332</v>
      </c>
    </row>
    <row r="156" spans="1:8">
      <c r="A156" s="2410">
        <f>IF(未审附注之利润及利润分配!A156="",0,未审附注之利润及利润分配!A156)</f>
        <v>0</v>
      </c>
      <c r="B156" s="2410">
        <f>IF(未审附注之利润及利润分配!B156="",0,未审附注之利润及利润分配!B156)</f>
        <v>0</v>
      </c>
      <c r="C156" s="2419"/>
      <c r="D156" s="2419"/>
      <c r="E156" s="2419"/>
      <c r="F156" s="2419"/>
      <c r="G156" s="2420"/>
      <c r="H156" s="2404" t="s">
        <v>1332</v>
      </c>
    </row>
    <row r="157" spans="1:8">
      <c r="A157" s="2410">
        <f>IF(未审附注之利润及利润分配!A157="",0,未审附注之利润及利润分配!A157)</f>
        <v>0</v>
      </c>
      <c r="B157" s="2410">
        <f>IF(未审附注之利润及利润分配!B157="",0,未审附注之利润及利润分配!B157)</f>
        <v>0</v>
      </c>
      <c r="C157" s="2419"/>
      <c r="D157" s="2419"/>
      <c r="E157" s="2419"/>
      <c r="F157" s="2419"/>
      <c r="G157" s="2420"/>
      <c r="H157" s="2404" t="s">
        <v>1332</v>
      </c>
    </row>
    <row r="158" spans="1:8">
      <c r="A158" s="2410">
        <f>IF(未审附注之利润及利润分配!A158="",0,未审附注之利润及利润分配!A158)</f>
        <v>0</v>
      </c>
      <c r="B158" s="2410">
        <f>IF(未审附注之利润及利润分配!B158="",0,未审附注之利润及利润分配!B158)</f>
        <v>0</v>
      </c>
      <c r="C158" s="2419"/>
      <c r="D158" s="2419"/>
      <c r="E158" s="2419"/>
      <c r="F158" s="2419"/>
      <c r="G158" s="2420"/>
      <c r="H158" s="2404" t="s">
        <v>1332</v>
      </c>
    </row>
    <row r="159" spans="1:8">
      <c r="A159" s="2410">
        <f>IF(未审附注之利润及利润分配!A159="",0,未审附注之利润及利润分配!A159)</f>
        <v>0</v>
      </c>
      <c r="B159" s="2410">
        <f>IF(未审附注之利润及利润分配!B159="",0,未审附注之利润及利润分配!B159)</f>
        <v>0</v>
      </c>
      <c r="C159" s="2419"/>
      <c r="D159" s="2419"/>
      <c r="E159" s="2419"/>
      <c r="F159" s="2419"/>
      <c r="G159" s="2420"/>
      <c r="H159" s="2404" t="s">
        <v>1332</v>
      </c>
    </row>
    <row r="160" spans="1:8">
      <c r="A160" s="2410">
        <f>IF(未审附注之利润及利润分配!A160="",0,未审附注之利润及利润分配!A160)</f>
        <v>0</v>
      </c>
      <c r="B160" s="2410">
        <f>IF(未审附注之利润及利润分配!B160="",0,未审附注之利润及利润分配!B160)</f>
        <v>0</v>
      </c>
      <c r="C160" s="2419"/>
      <c r="D160" s="2419"/>
      <c r="E160" s="2419"/>
      <c r="F160" s="2419"/>
      <c r="G160" s="2420"/>
      <c r="H160" s="2404" t="s">
        <v>1332</v>
      </c>
    </row>
    <row r="161" spans="1:8">
      <c r="A161" s="2410">
        <f>IF(未审附注之利润及利润分配!A161="",0,未审附注之利润及利润分配!A161)</f>
        <v>0</v>
      </c>
      <c r="B161" s="2410">
        <f>IF(未审附注之利润及利润分配!B161="",0,未审附注之利润及利润分配!B161)</f>
        <v>0</v>
      </c>
      <c r="C161" s="2419"/>
      <c r="D161" s="2419"/>
      <c r="E161" s="2419"/>
      <c r="F161" s="2419"/>
      <c r="G161" s="2420"/>
      <c r="H161" s="2404" t="s">
        <v>1332</v>
      </c>
    </row>
    <row r="162" spans="1:8">
      <c r="A162" s="2410">
        <f>IF(未审附注之利润及利润分配!A162="",0,未审附注之利润及利润分配!A162)</f>
        <v>0</v>
      </c>
      <c r="B162" s="2410">
        <f>IF(未审附注之利润及利润分配!B162="",0,未审附注之利润及利润分配!B162)</f>
        <v>0</v>
      </c>
      <c r="C162" s="2419"/>
      <c r="D162" s="2419"/>
      <c r="E162" s="2419"/>
      <c r="F162" s="2419"/>
      <c r="G162" s="2420"/>
      <c r="H162" s="2404" t="s">
        <v>1332</v>
      </c>
    </row>
    <row r="163" spans="1:7">
      <c r="A163" s="2423"/>
      <c r="B163" s="2418"/>
      <c r="C163" s="2418"/>
      <c r="D163" s="2398"/>
      <c r="E163" s="2398"/>
      <c r="F163" s="2398"/>
      <c r="G163" s="2398"/>
    </row>
    <row r="164" spans="1:7">
      <c r="A164" s="2421"/>
      <c r="B164" s="2398"/>
      <c r="C164" s="2398"/>
      <c r="D164" s="2398"/>
      <c r="E164" s="2398"/>
      <c r="F164" s="2398"/>
      <c r="G164" s="2398"/>
    </row>
    <row r="165" spans="1:7">
      <c r="A165" s="2397" t="s">
        <v>1333</v>
      </c>
      <c r="B165" s="2398"/>
      <c r="C165" s="2398"/>
      <c r="D165" s="2398"/>
      <c r="E165" s="2398"/>
      <c r="F165" s="2398"/>
      <c r="G165" s="2398"/>
    </row>
    <row r="166" spans="1:7">
      <c r="A166" s="2400" t="s">
        <v>373</v>
      </c>
      <c r="B166" s="2400" t="s">
        <v>1242</v>
      </c>
      <c r="C166" s="2400" t="s">
        <v>1243</v>
      </c>
      <c r="D166" s="2398"/>
      <c r="E166" s="2398"/>
      <c r="F166" s="2398"/>
      <c r="G166" s="2398"/>
    </row>
    <row r="167" spans="1:8">
      <c r="A167" s="2410">
        <f>IF(未审附注之利润及利润分配!A167="",0,未审附注之利润及利润分配!A167)</f>
        <v>0</v>
      </c>
      <c r="B167" s="2403">
        <f>IF(未审附注之利润及利润分配!B167="",0,未审附注之利润及利润分配!B167)</f>
        <v>0</v>
      </c>
      <c r="C167" s="2403">
        <f>IF(未审附注之利润及利润分配!C167="",0,未审附注之利润及利润分配!C167)</f>
        <v>0</v>
      </c>
      <c r="D167" s="2398"/>
      <c r="E167" s="2398"/>
      <c r="F167" s="2398"/>
      <c r="G167" s="2398"/>
      <c r="H167" s="2404" t="s">
        <v>1334</v>
      </c>
    </row>
    <row r="168" spans="1:8">
      <c r="A168" s="2410">
        <f>IF(未审附注之利润及利润分配!A168="",0,未审附注之利润及利润分配!A168)</f>
        <v>0</v>
      </c>
      <c r="B168" s="2403">
        <f>IF(未审附注之利润及利润分配!B168="",0,未审附注之利润及利润分配!B168)</f>
        <v>0</v>
      </c>
      <c r="C168" s="2403">
        <f>IF(未审附注之利润及利润分配!C168="",0,未审附注之利润及利润分配!C168)</f>
        <v>0</v>
      </c>
      <c r="D168" s="2398"/>
      <c r="E168" s="2398"/>
      <c r="F168" s="2398"/>
      <c r="G168" s="2398"/>
      <c r="H168" s="2404" t="s">
        <v>1334</v>
      </c>
    </row>
    <row r="169" spans="1:8">
      <c r="A169" s="2410">
        <f>IF(未审附注之利润及利润分配!A169="",0,未审附注之利润及利润分配!A169)</f>
        <v>0</v>
      </c>
      <c r="B169" s="2403">
        <f>IF(未审附注之利润及利润分配!B169="",0,未审附注之利润及利润分配!B169)</f>
        <v>0</v>
      </c>
      <c r="C169" s="2403">
        <f>IF(未审附注之利润及利润分配!C169="",0,未审附注之利润及利润分配!C169)</f>
        <v>0</v>
      </c>
      <c r="D169" s="2398"/>
      <c r="E169" s="2398"/>
      <c r="F169" s="2398"/>
      <c r="G169" s="2398"/>
      <c r="H169" s="2404" t="s">
        <v>1334</v>
      </c>
    </row>
    <row r="170" spans="1:8">
      <c r="A170" s="2410">
        <f>IF(未审附注之利润及利润分配!A170="",0,未审附注之利润及利润分配!A170)</f>
        <v>0</v>
      </c>
      <c r="B170" s="2403">
        <f>IF(未审附注之利润及利润分配!B170="",0,未审附注之利润及利润分配!B170)</f>
        <v>0</v>
      </c>
      <c r="C170" s="2403">
        <f>IF(未审附注之利润及利润分配!C170="",0,未审附注之利润及利润分配!C170)</f>
        <v>0</v>
      </c>
      <c r="D170" s="2398"/>
      <c r="E170" s="2398"/>
      <c r="F170" s="2398"/>
      <c r="G170" s="2398"/>
      <c r="H170" s="2404" t="s">
        <v>1334</v>
      </c>
    </row>
    <row r="171" spans="1:8">
      <c r="A171" s="2410">
        <f>IF(未审附注之利润及利润分配!A171="",0,未审附注之利润及利润分配!A171)</f>
        <v>0</v>
      </c>
      <c r="B171" s="2403">
        <f>IF(未审附注之利润及利润分配!B171="",0,未审附注之利润及利润分配!B171)</f>
        <v>0</v>
      </c>
      <c r="C171" s="2403">
        <f>IF(未审附注之利润及利润分配!C171="",0,未审附注之利润及利润分配!C171)</f>
        <v>0</v>
      </c>
      <c r="D171" s="2398"/>
      <c r="E171" s="2398"/>
      <c r="F171" s="2398"/>
      <c r="G171" s="2398"/>
      <c r="H171" s="2404" t="s">
        <v>1334</v>
      </c>
    </row>
    <row r="172" spans="1:8">
      <c r="A172" s="2410">
        <f>IF(未审附注之利润及利润分配!A172="",0,未审附注之利润及利润分配!A172)</f>
        <v>0</v>
      </c>
      <c r="B172" s="2403">
        <f>IF(未审附注之利润及利润分配!B172="",0,未审附注之利润及利润分配!B172)</f>
        <v>0</v>
      </c>
      <c r="C172" s="2403">
        <f>IF(未审附注之利润及利润分配!C172="",0,未审附注之利润及利润分配!C172)</f>
        <v>0</v>
      </c>
      <c r="D172" s="2398"/>
      <c r="E172" s="2398"/>
      <c r="F172" s="2398"/>
      <c r="G172" s="2398"/>
      <c r="H172" s="2404" t="s">
        <v>1334</v>
      </c>
    </row>
    <row r="173" spans="1:8">
      <c r="A173" s="2410">
        <f>IF(未审附注之利润及利润分配!A173="",0,未审附注之利润及利润分配!A173)</f>
        <v>0</v>
      </c>
      <c r="B173" s="2403">
        <f>IF(未审附注之利润及利润分配!B173="",0,未审附注之利润及利润分配!B173)</f>
        <v>0</v>
      </c>
      <c r="C173" s="2403">
        <f>IF(未审附注之利润及利润分配!C173="",0,未审附注之利润及利润分配!C173)</f>
        <v>0</v>
      </c>
      <c r="D173" s="2398"/>
      <c r="E173" s="2398"/>
      <c r="F173" s="2398"/>
      <c r="G173" s="2398"/>
      <c r="H173" s="2404" t="s">
        <v>1334</v>
      </c>
    </row>
    <row r="174" spans="1:8">
      <c r="A174" s="2410">
        <f>IF(未审附注之利润及利润分配!A174="",0,未审附注之利润及利润分配!A174)</f>
        <v>0</v>
      </c>
      <c r="B174" s="2403">
        <f>IF(未审附注之利润及利润分配!B174="",0,未审附注之利润及利润分配!B174)</f>
        <v>0</v>
      </c>
      <c r="C174" s="2403">
        <f>IF(未审附注之利润及利润分配!C174="",0,未审附注之利润及利润分配!C174)</f>
        <v>0</v>
      </c>
      <c r="D174" s="2398"/>
      <c r="E174" s="2398"/>
      <c r="F174" s="2398"/>
      <c r="G174" s="2398"/>
      <c r="H174" s="2404" t="s">
        <v>1334</v>
      </c>
    </row>
    <row r="175" spans="1:8">
      <c r="A175" s="2410">
        <f>IF(未审附注之利润及利润分配!A175="",0,未审附注之利润及利润分配!A175)</f>
        <v>0</v>
      </c>
      <c r="B175" s="2403">
        <f>IF(未审附注之利润及利润分配!B175="",0,未审附注之利润及利润分配!B175)</f>
        <v>0</v>
      </c>
      <c r="C175" s="2403">
        <f>IF(未审附注之利润及利润分配!C175="",0,未审附注之利润及利润分配!C175)</f>
        <v>0</v>
      </c>
      <c r="D175" s="2398"/>
      <c r="E175" s="2398"/>
      <c r="F175" s="2398"/>
      <c r="G175" s="2398"/>
      <c r="H175" s="2404" t="s">
        <v>1334</v>
      </c>
    </row>
    <row r="176" spans="1:8">
      <c r="A176" s="2410">
        <f>IF(未审附注之利润及利润分配!A176="",0,未审附注之利润及利润分配!A176)</f>
        <v>0</v>
      </c>
      <c r="B176" s="2403">
        <f>IF(未审附注之利润及利润分配!B176="",0,未审附注之利润及利润分配!B176)</f>
        <v>0</v>
      </c>
      <c r="C176" s="2403">
        <f>IF(未审附注之利润及利润分配!C176="",0,未审附注之利润及利润分配!C176)</f>
        <v>0</v>
      </c>
      <c r="D176" s="2398"/>
      <c r="E176" s="2398"/>
      <c r="F176" s="2398"/>
      <c r="G176" s="2398"/>
      <c r="H176" s="2404" t="s">
        <v>1334</v>
      </c>
    </row>
    <row r="177" spans="1:8">
      <c r="A177" s="2400" t="s">
        <v>385</v>
      </c>
      <c r="B177" s="2369">
        <f>ROUND(SUM(B167:B176),2)</f>
        <v>0</v>
      </c>
      <c r="C177" s="2369">
        <f>ROUND(SUM(C167:C176),2)</f>
        <v>0</v>
      </c>
      <c r="D177" s="2398"/>
      <c r="E177" s="2398"/>
      <c r="F177" s="2398"/>
      <c r="G177" s="2398"/>
      <c r="H177" s="2404" t="s">
        <v>1335</v>
      </c>
    </row>
    <row r="178" spans="1:7">
      <c r="A178" s="2417"/>
      <c r="B178" s="2418"/>
      <c r="C178" s="2418"/>
      <c r="D178" s="2398"/>
      <c r="E178" s="2398"/>
      <c r="F178" s="2398"/>
      <c r="G178" s="2398"/>
    </row>
    <row r="179" spans="1:7">
      <c r="A179" s="2421"/>
      <c r="B179" s="2398"/>
      <c r="C179" s="2398"/>
      <c r="D179" s="2398"/>
      <c r="E179" s="2398"/>
      <c r="F179" s="2398"/>
      <c r="G179" s="2398"/>
    </row>
    <row r="180" spans="1:7">
      <c r="A180" s="2397" t="s">
        <v>1336</v>
      </c>
      <c r="B180" s="2398"/>
      <c r="C180" s="2398"/>
      <c r="D180" s="2398"/>
      <c r="E180" s="2398"/>
      <c r="F180" s="2398"/>
      <c r="G180" s="2398"/>
    </row>
    <row r="181" spans="1:7">
      <c r="A181" s="2400" t="s">
        <v>373</v>
      </c>
      <c r="B181" s="2400" t="s">
        <v>1242</v>
      </c>
      <c r="C181" s="2400" t="s">
        <v>1243</v>
      </c>
      <c r="D181" s="2398"/>
      <c r="E181" s="2398"/>
      <c r="F181" s="2398"/>
      <c r="G181" s="2398"/>
    </row>
    <row r="182" spans="1:8">
      <c r="A182" s="2410">
        <f>IF(未审附注之利润及利润分配!A182="",0,未审附注之利润及利润分配!A182)</f>
        <v>0</v>
      </c>
      <c r="B182" s="2403">
        <f>IF(未审附注之利润及利润分配!B182="",0,未审附注之利润及利润分配!B182)</f>
        <v>0</v>
      </c>
      <c r="C182" s="2403">
        <f>IF(未审附注之利润及利润分配!C182="",0,未审附注之利润及利润分配!C182)</f>
        <v>0</v>
      </c>
      <c r="D182" s="2398"/>
      <c r="E182" s="2398"/>
      <c r="F182" s="2398"/>
      <c r="G182" s="2398"/>
      <c r="H182" s="2404" t="s">
        <v>1337</v>
      </c>
    </row>
    <row r="183" spans="1:8">
      <c r="A183" s="2410">
        <f>IF(未审附注之利润及利润分配!A183="",0,未审附注之利润及利润分配!A183)</f>
        <v>0</v>
      </c>
      <c r="B183" s="2403">
        <f>IF(未审附注之利润及利润分配!B183="",0,未审附注之利润及利润分配!B183)</f>
        <v>0</v>
      </c>
      <c r="C183" s="2403">
        <f>IF(未审附注之利润及利润分配!C183="",0,未审附注之利润及利润分配!C183)</f>
        <v>0</v>
      </c>
      <c r="D183" s="2398"/>
      <c r="E183" s="2398"/>
      <c r="F183" s="2398"/>
      <c r="G183" s="2398"/>
      <c r="H183" s="2404" t="s">
        <v>1337</v>
      </c>
    </row>
    <row r="184" spans="1:8">
      <c r="A184" s="2410">
        <f>IF(未审附注之利润及利润分配!A184="",0,未审附注之利润及利润分配!A184)</f>
        <v>0</v>
      </c>
      <c r="B184" s="2403">
        <f>IF(未审附注之利润及利润分配!B184="",0,未审附注之利润及利润分配!B184)</f>
        <v>0</v>
      </c>
      <c r="C184" s="2403">
        <f>IF(未审附注之利润及利润分配!C184="",0,未审附注之利润及利润分配!C184)</f>
        <v>0</v>
      </c>
      <c r="D184" s="2398"/>
      <c r="E184" s="2398"/>
      <c r="F184" s="2398"/>
      <c r="G184" s="2398"/>
      <c r="H184" s="2404" t="s">
        <v>1337</v>
      </c>
    </row>
    <row r="185" spans="1:8">
      <c r="A185" s="2410">
        <f>IF(未审附注之利润及利润分配!A185="",0,未审附注之利润及利润分配!A185)</f>
        <v>0</v>
      </c>
      <c r="B185" s="2403">
        <f>IF(未审附注之利润及利润分配!B185="",0,未审附注之利润及利润分配!B185)</f>
        <v>0</v>
      </c>
      <c r="C185" s="2403">
        <f>IF(未审附注之利润及利润分配!C185="",0,未审附注之利润及利润分配!C185)</f>
        <v>0</v>
      </c>
      <c r="D185" s="2398"/>
      <c r="E185" s="2398"/>
      <c r="F185" s="2398"/>
      <c r="G185" s="2398"/>
      <c r="H185" s="2404" t="s">
        <v>1337</v>
      </c>
    </row>
    <row r="186" spans="1:8">
      <c r="A186" s="2410">
        <f>IF(未审附注之利润及利润分配!A186="",0,未审附注之利润及利润分配!A186)</f>
        <v>0</v>
      </c>
      <c r="B186" s="2403">
        <f>IF(未审附注之利润及利润分配!B186="",0,未审附注之利润及利润分配!B186)</f>
        <v>0</v>
      </c>
      <c r="C186" s="2403">
        <f>IF(未审附注之利润及利润分配!C186="",0,未审附注之利润及利润分配!C186)</f>
        <v>0</v>
      </c>
      <c r="D186" s="2398"/>
      <c r="E186" s="2398"/>
      <c r="F186" s="2398"/>
      <c r="G186" s="2398"/>
      <c r="H186" s="2404" t="s">
        <v>1337</v>
      </c>
    </row>
    <row r="187" spans="1:8">
      <c r="A187" s="2410">
        <f>IF(未审附注之利润及利润分配!A187="",0,未审附注之利润及利润分配!A187)</f>
        <v>0</v>
      </c>
      <c r="B187" s="2403">
        <f>IF(未审附注之利润及利润分配!B187="",0,未审附注之利润及利润分配!B187)</f>
        <v>0</v>
      </c>
      <c r="C187" s="2403">
        <f>IF(未审附注之利润及利润分配!C187="",0,未审附注之利润及利润分配!C187)</f>
        <v>0</v>
      </c>
      <c r="D187" s="2398"/>
      <c r="E187" s="2398"/>
      <c r="F187" s="2398"/>
      <c r="G187" s="2398"/>
      <c r="H187" s="2404" t="s">
        <v>1337</v>
      </c>
    </row>
    <row r="188" spans="1:8">
      <c r="A188" s="2410">
        <f>IF(未审附注之利润及利润分配!A188="",0,未审附注之利润及利润分配!A188)</f>
        <v>0</v>
      </c>
      <c r="B188" s="2403">
        <f>IF(未审附注之利润及利润分配!B188="",0,未审附注之利润及利润分配!B188)</f>
        <v>0</v>
      </c>
      <c r="C188" s="2403">
        <f>IF(未审附注之利润及利润分配!C188="",0,未审附注之利润及利润分配!C188)</f>
        <v>0</v>
      </c>
      <c r="D188" s="2398"/>
      <c r="E188" s="2398"/>
      <c r="F188" s="2398"/>
      <c r="G188" s="2398"/>
      <c r="H188" s="2404" t="s">
        <v>1337</v>
      </c>
    </row>
    <row r="189" spans="1:8">
      <c r="A189" s="2410">
        <f>IF(未审附注之利润及利润分配!A189="",0,未审附注之利润及利润分配!A189)</f>
        <v>0</v>
      </c>
      <c r="B189" s="2403">
        <f>IF(未审附注之利润及利润分配!B189="",0,未审附注之利润及利润分配!B189)</f>
        <v>0</v>
      </c>
      <c r="C189" s="2403">
        <f>IF(未审附注之利润及利润分配!C189="",0,未审附注之利润及利润分配!C189)</f>
        <v>0</v>
      </c>
      <c r="D189" s="2398"/>
      <c r="E189" s="2398"/>
      <c r="F189" s="2398"/>
      <c r="G189" s="2398"/>
      <c r="H189" s="2404" t="s">
        <v>1337</v>
      </c>
    </row>
    <row r="190" spans="1:8">
      <c r="A190" s="2410">
        <f>IF(未审附注之利润及利润分配!A190="",0,未审附注之利润及利润分配!A190)</f>
        <v>0</v>
      </c>
      <c r="B190" s="2403">
        <f>IF(未审附注之利润及利润分配!B190="",0,未审附注之利润及利润分配!B190)</f>
        <v>0</v>
      </c>
      <c r="C190" s="2403">
        <f>IF(未审附注之利润及利润分配!C190="",0,未审附注之利润及利润分配!C190)</f>
        <v>0</v>
      </c>
      <c r="D190" s="2398"/>
      <c r="E190" s="2398"/>
      <c r="F190" s="2398"/>
      <c r="G190" s="2398"/>
      <c r="H190" s="2404" t="s">
        <v>1337</v>
      </c>
    </row>
    <row r="191" spans="1:8">
      <c r="A191" s="2410">
        <f>IF(未审附注之利润及利润分配!A191="",0,未审附注之利润及利润分配!A191)</f>
        <v>0</v>
      </c>
      <c r="B191" s="2403">
        <f>IF(未审附注之利润及利润分配!B191="",0,未审附注之利润及利润分配!B191)</f>
        <v>0</v>
      </c>
      <c r="C191" s="2403">
        <f>IF(未审附注之利润及利润分配!C191="",0,未审附注之利润及利润分配!C191)</f>
        <v>0</v>
      </c>
      <c r="D191" s="2398"/>
      <c r="E191" s="2398"/>
      <c r="F191" s="2398"/>
      <c r="G191" s="2398"/>
      <c r="H191" s="2404" t="s">
        <v>1337</v>
      </c>
    </row>
    <row r="192" spans="1:8">
      <c r="A192" s="2400" t="s">
        <v>385</v>
      </c>
      <c r="B192" s="2369">
        <f>ROUND(SUM(B182:B191),2)</f>
        <v>0</v>
      </c>
      <c r="C192" s="2369">
        <f>ROUND(SUM(C182:C191),2)</f>
        <v>0</v>
      </c>
      <c r="D192" s="2398"/>
      <c r="E192" s="2398"/>
      <c r="F192" s="2398"/>
      <c r="G192" s="2398"/>
      <c r="H192" s="2404" t="s">
        <v>1338</v>
      </c>
    </row>
    <row r="193" spans="1:7">
      <c r="A193" s="2417"/>
      <c r="B193" s="2418"/>
      <c r="C193" s="2418"/>
      <c r="D193" s="2398"/>
      <c r="E193" s="2398"/>
      <c r="F193" s="2398"/>
      <c r="G193" s="2398"/>
    </row>
    <row r="194" spans="1:7">
      <c r="A194" s="2412"/>
      <c r="B194" s="2413"/>
      <c r="C194" s="2413"/>
      <c r="D194" s="2398"/>
      <c r="E194" s="2398"/>
      <c r="F194" s="2398"/>
      <c r="G194" s="2398"/>
    </row>
    <row r="195" spans="1:7">
      <c r="A195" s="2397" t="s">
        <v>1339</v>
      </c>
      <c r="B195" s="2398"/>
      <c r="C195" s="2398"/>
      <c r="D195" s="2398"/>
      <c r="E195" s="2398"/>
      <c r="F195" s="2398"/>
      <c r="G195" s="2398"/>
    </row>
    <row r="196" spans="1:7">
      <c r="A196" s="2400" t="s">
        <v>373</v>
      </c>
      <c r="B196" s="2402" t="s">
        <v>1242</v>
      </c>
      <c r="C196" s="2402" t="s">
        <v>1243</v>
      </c>
      <c r="D196" s="2398"/>
      <c r="E196" s="2398"/>
      <c r="F196" s="2398"/>
      <c r="G196" s="2398"/>
    </row>
    <row r="197" spans="1:8">
      <c r="A197" s="2424" t="s">
        <v>1340</v>
      </c>
      <c r="B197" s="2403">
        <f>IF(未审附注之利润及利润分配!B197="",0,未审附注之利润及利润分配!B197)</f>
        <v>0</v>
      </c>
      <c r="C197" s="2403">
        <f>IF(未审附注之利润及利润分配!C197="",0,未审附注之利润及利润分配!C197)</f>
        <v>0</v>
      </c>
      <c r="D197" s="2398"/>
      <c r="E197" s="2398"/>
      <c r="F197" s="2398"/>
      <c r="G197" s="2398"/>
      <c r="H197" s="2404" t="s">
        <v>1341</v>
      </c>
    </row>
    <row r="198" spans="1:8">
      <c r="A198" s="2424" t="s">
        <v>1342</v>
      </c>
      <c r="B198" s="2403">
        <f>IF(未审附注之利润及利润分配!B198="",0,未审附注之利润及利润分配!B198)</f>
        <v>0</v>
      </c>
      <c r="C198" s="2403">
        <f>IF(未审附注之利润及利润分配!C198="",0,未审附注之利润及利润分配!C198)</f>
        <v>0</v>
      </c>
      <c r="D198" s="2398"/>
      <c r="E198" s="2398"/>
      <c r="F198" s="2398"/>
      <c r="G198" s="2398"/>
      <c r="H198" s="2404" t="s">
        <v>1343</v>
      </c>
    </row>
    <row r="199" spans="1:8">
      <c r="A199" s="2400" t="s">
        <v>385</v>
      </c>
      <c r="B199" s="2369">
        <f>ROUND(SUM(B197:B198),2)</f>
        <v>0</v>
      </c>
      <c r="C199" s="2369">
        <f>ROUND(SUM(C197:C198),2)</f>
        <v>0</v>
      </c>
      <c r="D199" s="2398"/>
      <c r="E199" s="2398"/>
      <c r="F199" s="2398"/>
      <c r="G199" s="2398"/>
      <c r="H199" s="2404" t="s">
        <v>1344</v>
      </c>
    </row>
    <row r="200" spans="1:7">
      <c r="A200" s="2417"/>
      <c r="B200" s="2418"/>
      <c r="C200" s="2418"/>
      <c r="D200" s="2398"/>
      <c r="E200" s="2398"/>
      <c r="F200" s="2398"/>
      <c r="G200" s="2398"/>
    </row>
    <row r="201" spans="1:7">
      <c r="A201" s="2421"/>
      <c r="B201" s="2398"/>
      <c r="C201" s="2398"/>
      <c r="D201" s="2398"/>
      <c r="E201" s="2398"/>
      <c r="F201" s="2398"/>
      <c r="G201" s="2398"/>
    </row>
    <row r="202" spans="1:7">
      <c r="A202" s="2425" t="s">
        <v>1345</v>
      </c>
      <c r="B202" s="2398"/>
      <c r="C202" s="2398"/>
      <c r="D202" s="2398"/>
      <c r="E202" s="2398"/>
      <c r="F202" s="2398"/>
      <c r="G202" s="2398"/>
    </row>
    <row r="203" spans="1:7">
      <c r="A203" s="2400" t="s">
        <v>373</v>
      </c>
      <c r="B203" s="2400" t="s">
        <v>1242</v>
      </c>
      <c r="C203" s="2400" t="s">
        <v>1243</v>
      </c>
      <c r="D203" s="2398"/>
      <c r="E203" s="2398"/>
      <c r="F203" s="2398"/>
      <c r="G203" s="2398"/>
    </row>
    <row r="204" spans="1:8">
      <c r="A204" s="2410">
        <f>IF(未审附注之利润及利润分配!A204="",0,未审附注之利润及利润分配!A204)</f>
        <v>0</v>
      </c>
      <c r="B204" s="2403">
        <f>IF(未审附注之利润及利润分配!B204="",0,未审附注之利润及利润分配!B204)</f>
        <v>0</v>
      </c>
      <c r="C204" s="2403">
        <f>IF(未审附注之利润及利润分配!C204="",0,未审附注之利润及利润分配!C204)</f>
        <v>0</v>
      </c>
      <c r="D204" s="2398"/>
      <c r="E204" s="2398"/>
      <c r="F204" s="2398"/>
      <c r="G204" s="2398"/>
      <c r="H204" s="2404" t="s">
        <v>1346</v>
      </c>
    </row>
    <row r="205" spans="1:8">
      <c r="A205" s="2410">
        <f>IF(未审附注之利润及利润分配!A205="",0,未审附注之利润及利润分配!A205)</f>
        <v>0</v>
      </c>
      <c r="B205" s="2403">
        <f>IF(未审附注之利润及利润分配!B205="",0,未审附注之利润及利润分配!B205)</f>
        <v>0</v>
      </c>
      <c r="C205" s="2403">
        <f>IF(未审附注之利润及利润分配!C205="",0,未审附注之利润及利润分配!C205)</f>
        <v>0</v>
      </c>
      <c r="D205" s="2398"/>
      <c r="E205" s="2398"/>
      <c r="F205" s="2398"/>
      <c r="G205" s="2398"/>
      <c r="H205" s="2404" t="s">
        <v>1346</v>
      </c>
    </row>
    <row r="206" spans="1:8">
      <c r="A206" s="2410">
        <f>IF(未审附注之利润及利润分配!A206="",0,未审附注之利润及利润分配!A206)</f>
        <v>0</v>
      </c>
      <c r="B206" s="2403">
        <f>IF(未审附注之利润及利润分配!B206="",0,未审附注之利润及利润分配!B206)</f>
        <v>0</v>
      </c>
      <c r="C206" s="2403">
        <f>IF(未审附注之利润及利润分配!C206="",0,未审附注之利润及利润分配!C206)</f>
        <v>0</v>
      </c>
      <c r="D206" s="2398"/>
      <c r="E206" s="2398"/>
      <c r="F206" s="2398"/>
      <c r="G206" s="2398"/>
      <c r="H206" s="2404" t="s">
        <v>1346</v>
      </c>
    </row>
    <row r="207" spans="1:8">
      <c r="A207" s="2410">
        <f>IF(未审附注之利润及利润分配!A207="",0,未审附注之利润及利润分配!A207)</f>
        <v>0</v>
      </c>
      <c r="B207" s="2403">
        <f>IF(未审附注之利润及利润分配!B207="",0,未审附注之利润及利润分配!B207)</f>
        <v>0</v>
      </c>
      <c r="C207" s="2403">
        <f>IF(未审附注之利润及利润分配!C207="",0,未审附注之利润及利润分配!C207)</f>
        <v>0</v>
      </c>
      <c r="D207" s="2398"/>
      <c r="E207" s="2398"/>
      <c r="F207" s="2398"/>
      <c r="G207" s="2398"/>
      <c r="H207" s="2404" t="s">
        <v>1346</v>
      </c>
    </row>
    <row r="208" spans="1:8">
      <c r="A208" s="2410">
        <f>IF(未审附注之利润及利润分配!A208="",0,未审附注之利润及利润分配!A208)</f>
        <v>0</v>
      </c>
      <c r="B208" s="2403">
        <f>IF(未审附注之利润及利润分配!B208="",0,未审附注之利润及利润分配!B208)</f>
        <v>0</v>
      </c>
      <c r="C208" s="2403">
        <f>IF(未审附注之利润及利润分配!C208="",0,未审附注之利润及利润分配!C208)</f>
        <v>0</v>
      </c>
      <c r="D208" s="2398"/>
      <c r="E208" s="2398"/>
      <c r="F208" s="2398"/>
      <c r="G208" s="2398"/>
      <c r="H208" s="2404" t="s">
        <v>1346</v>
      </c>
    </row>
    <row r="209" spans="1:8">
      <c r="A209" s="2410">
        <f>IF(未审附注之利润及利润分配!A209="",0,未审附注之利润及利润分配!A209)</f>
        <v>0</v>
      </c>
      <c r="B209" s="2403">
        <f>IF(未审附注之利润及利润分配!B209="",0,未审附注之利润及利润分配!B209)</f>
        <v>0</v>
      </c>
      <c r="C209" s="2403">
        <f>IF(未审附注之利润及利润分配!C209="",0,未审附注之利润及利润分配!C209)</f>
        <v>0</v>
      </c>
      <c r="D209" s="2398"/>
      <c r="E209" s="2398"/>
      <c r="F209" s="2398"/>
      <c r="G209" s="2398"/>
      <c r="H209" s="2404" t="s">
        <v>1346</v>
      </c>
    </row>
    <row r="210" spans="1:8">
      <c r="A210" s="2410">
        <f>IF(未审附注之利润及利润分配!A210="",0,未审附注之利润及利润分配!A210)</f>
        <v>0</v>
      </c>
      <c r="B210" s="2403">
        <f>IF(未审附注之利润及利润分配!B210="",0,未审附注之利润及利润分配!B210)</f>
        <v>0</v>
      </c>
      <c r="C210" s="2403">
        <f>IF(未审附注之利润及利润分配!C210="",0,未审附注之利润及利润分配!C210)</f>
        <v>0</v>
      </c>
      <c r="D210" s="2398"/>
      <c r="E210" s="2398"/>
      <c r="F210" s="2398"/>
      <c r="G210" s="2398"/>
      <c r="H210" s="2404" t="s">
        <v>1346</v>
      </c>
    </row>
    <row r="211" spans="1:8">
      <c r="A211" s="2410">
        <f>IF(未审附注之利润及利润分配!A211="",0,未审附注之利润及利润分配!A211)</f>
        <v>0</v>
      </c>
      <c r="B211" s="2403">
        <f>IF(未审附注之利润及利润分配!B211="",0,未审附注之利润及利润分配!B211)</f>
        <v>0</v>
      </c>
      <c r="C211" s="2403">
        <f>IF(未审附注之利润及利润分配!C211="",0,未审附注之利润及利润分配!C211)</f>
        <v>0</v>
      </c>
      <c r="D211" s="2398"/>
      <c r="E211" s="2398"/>
      <c r="F211" s="2398"/>
      <c r="G211" s="2398"/>
      <c r="H211" s="2404" t="s">
        <v>1346</v>
      </c>
    </row>
    <row r="212" spans="1:8">
      <c r="A212" s="2410">
        <f>IF(未审附注之利润及利润分配!A212="",0,未审附注之利润及利润分配!A212)</f>
        <v>0</v>
      </c>
      <c r="B212" s="2403">
        <f>IF(未审附注之利润及利润分配!B212="",0,未审附注之利润及利润分配!B212)</f>
        <v>0</v>
      </c>
      <c r="C212" s="2403">
        <f>IF(未审附注之利润及利润分配!C212="",0,未审附注之利润及利润分配!C212)</f>
        <v>0</v>
      </c>
      <c r="D212" s="2398"/>
      <c r="E212" s="2398"/>
      <c r="F212" s="2398"/>
      <c r="G212" s="2398"/>
      <c r="H212" s="2404" t="s">
        <v>1346</v>
      </c>
    </row>
    <row r="213" spans="1:8">
      <c r="A213" s="2410">
        <f>IF(未审附注之利润及利润分配!A213="",0,未审附注之利润及利润分配!A213)</f>
        <v>0</v>
      </c>
      <c r="B213" s="2403">
        <f>IF(未审附注之利润及利润分配!B213="",0,未审附注之利润及利润分配!B213)</f>
        <v>0</v>
      </c>
      <c r="C213" s="2403">
        <f>IF(未审附注之利润及利润分配!C213="",0,未审附注之利润及利润分配!C213)</f>
        <v>0</v>
      </c>
      <c r="D213" s="2398"/>
      <c r="E213" s="2398"/>
      <c r="F213" s="2398"/>
      <c r="G213" s="2398"/>
      <c r="H213" s="2404" t="s">
        <v>1346</v>
      </c>
    </row>
    <row r="214" spans="1:8">
      <c r="A214" s="2400" t="s">
        <v>385</v>
      </c>
      <c r="B214" s="2369">
        <f>ROUND(SUM(B204:B213),2)</f>
        <v>0</v>
      </c>
      <c r="C214" s="2369">
        <f>ROUND(SUM(C204:C213),2)</f>
        <v>0</v>
      </c>
      <c r="D214" s="2398"/>
      <c r="E214" s="2398"/>
      <c r="F214" s="2398"/>
      <c r="G214" s="2398"/>
      <c r="H214" s="2404" t="s">
        <v>1347</v>
      </c>
    </row>
    <row r="215" spans="1:8">
      <c r="A215" s="2417"/>
      <c r="B215" s="2418"/>
      <c r="C215" s="2418"/>
      <c r="D215" s="2398"/>
      <c r="E215" s="2398"/>
      <c r="F215" s="2398"/>
      <c r="G215" s="2398"/>
      <c r="H215" s="2404"/>
    </row>
    <row r="216" spans="1:7">
      <c r="A216" s="2421"/>
      <c r="B216" s="2398"/>
      <c r="C216" s="2398"/>
      <c r="D216" s="2398"/>
      <c r="E216" s="2398"/>
      <c r="F216" s="2398"/>
      <c r="G216" s="2398"/>
    </row>
    <row r="217" spans="1:7">
      <c r="A217" s="2415" t="s">
        <v>1348</v>
      </c>
      <c r="B217" s="2398"/>
      <c r="C217" s="2398"/>
      <c r="D217" s="2398"/>
      <c r="E217" s="2398"/>
      <c r="F217" s="2398"/>
      <c r="G217" s="2398"/>
    </row>
    <row r="218" spans="1:7">
      <c r="A218" s="2426" t="s">
        <v>161</v>
      </c>
      <c r="B218" s="2400" t="s">
        <v>1242</v>
      </c>
      <c r="C218" s="2400" t="s">
        <v>1243</v>
      </c>
      <c r="D218" s="2398"/>
      <c r="E218" s="2398"/>
      <c r="F218" s="2398"/>
      <c r="G218" s="2398"/>
    </row>
    <row r="219" spans="1:7">
      <c r="A219" s="2427" t="s">
        <v>164</v>
      </c>
      <c r="B219" s="2426"/>
      <c r="C219" s="2426"/>
      <c r="D219" s="2398"/>
      <c r="E219" s="2398"/>
      <c r="F219" s="2398"/>
      <c r="G219" s="2398"/>
    </row>
    <row r="220" spans="1:8">
      <c r="A220" s="2424" t="s">
        <v>110</v>
      </c>
      <c r="B220" s="2403">
        <f>IF(未审附注之利润及利润分配!B220="",0,未审附注之利润及利润分配!B220)</f>
        <v>0</v>
      </c>
      <c r="C220" s="2403">
        <f>IF(未审附注之利润及利润分配!C220="",0,未审附注之利润及利润分配!C220)</f>
        <v>0</v>
      </c>
      <c r="D220" s="2398"/>
      <c r="E220" s="2398"/>
      <c r="F220" s="2398"/>
      <c r="G220" s="2398"/>
      <c r="H220" s="2404" t="s">
        <v>1349</v>
      </c>
    </row>
    <row r="221" spans="1:8">
      <c r="A221" s="2424" t="s">
        <v>165</v>
      </c>
      <c r="B221" s="2403">
        <f>IF(未审附注之利润及利润分配!B221="",0,未审附注之利润及利润分配!B221)</f>
        <v>0</v>
      </c>
      <c r="C221" s="2403">
        <f>IF(未审附注之利润及利润分配!C221="",0,未审附注之利润及利润分配!C221)</f>
        <v>0</v>
      </c>
      <c r="D221" s="2398"/>
      <c r="E221" s="2398"/>
      <c r="F221" s="2398"/>
      <c r="G221" s="2398"/>
      <c r="H221" s="2404" t="s">
        <v>1350</v>
      </c>
    </row>
    <row r="222" spans="1:8">
      <c r="A222" s="2424" t="s">
        <v>166</v>
      </c>
      <c r="B222" s="2403">
        <f>IF(未审附注之利润及利润分配!B222="",0,未审附注之利润及利润分配!B222)</f>
        <v>0</v>
      </c>
      <c r="C222" s="2403">
        <f>IF(未审附注之利润及利润分配!C222="",0,未审附注之利润及利润分配!C222)</f>
        <v>0</v>
      </c>
      <c r="D222" s="2398"/>
      <c r="E222" s="2398"/>
      <c r="F222" s="2398"/>
      <c r="G222" s="2398"/>
      <c r="H222" s="2404" t="s">
        <v>1351</v>
      </c>
    </row>
    <row r="223" spans="1:8">
      <c r="A223" s="2424" t="s">
        <v>167</v>
      </c>
      <c r="B223" s="2403">
        <f>IF(未审附注之利润及利润分配!B223="",0,未审附注之利润及利润分配!B223)</f>
        <v>0</v>
      </c>
      <c r="C223" s="2403">
        <f>IF(未审附注之利润及利润分配!C223="",0,未审附注之利润及利润分配!C223)</f>
        <v>0</v>
      </c>
      <c r="D223" s="2398"/>
      <c r="E223" s="2398"/>
      <c r="F223" s="2398"/>
      <c r="G223" s="2398"/>
      <c r="H223" s="2404" t="s">
        <v>1352</v>
      </c>
    </row>
    <row r="224" spans="1:8">
      <c r="A224" s="2424" t="s">
        <v>168</v>
      </c>
      <c r="B224" s="2403">
        <f>IF(未审附注之利润及利润分配!B224="",0,未审附注之利润及利润分配!B224)</f>
        <v>0</v>
      </c>
      <c r="C224" s="2403">
        <f>IF(未审附注之利润及利润分配!C224="",0,未审附注之利润及利润分配!C224)</f>
        <v>0</v>
      </c>
      <c r="D224" s="2398"/>
      <c r="E224" s="2398"/>
      <c r="F224" s="2398"/>
      <c r="G224" s="2398"/>
      <c r="H224" s="2404" t="s">
        <v>1353</v>
      </c>
    </row>
    <row r="225" spans="1:8">
      <c r="A225" s="2424" t="s">
        <v>169</v>
      </c>
      <c r="B225" s="2403">
        <f>IF(未审附注之利润及利润分配!B225="",0,未审附注之利润及利润分配!B225)</f>
        <v>0</v>
      </c>
      <c r="C225" s="2403">
        <f>IF(未审附注之利润及利润分配!C225="",0,未审附注之利润及利润分配!C225)</f>
        <v>0</v>
      </c>
      <c r="D225" s="2398"/>
      <c r="E225" s="2398"/>
      <c r="F225" s="2398"/>
      <c r="G225" s="2398"/>
      <c r="H225" s="2404" t="s">
        <v>1354</v>
      </c>
    </row>
    <row r="226" spans="1:8">
      <c r="A226" s="2424" t="s">
        <v>170</v>
      </c>
      <c r="B226" s="2403">
        <f>IF(未审附注之利润及利润分配!B226="",0,未审附注之利润及利润分配!B226)</f>
        <v>0</v>
      </c>
      <c r="C226" s="2403">
        <f>IF(未审附注之利润及利润分配!C226="",0,未审附注之利润及利润分配!C226)</f>
        <v>0</v>
      </c>
      <c r="D226" s="2398"/>
      <c r="E226" s="2398"/>
      <c r="F226" s="2398"/>
      <c r="G226" s="2398"/>
      <c r="H226" s="2404" t="s">
        <v>1355</v>
      </c>
    </row>
    <row r="227" spans="1:8">
      <c r="A227" s="2424" t="s">
        <v>171</v>
      </c>
      <c r="B227" s="2403">
        <f>IF(未审附注之利润及利润分配!B227="",0,未审附注之利润及利润分配!B227)</f>
        <v>0</v>
      </c>
      <c r="C227" s="2403">
        <f>IF(未审附注之利润及利润分配!C227="",0,未审附注之利润及利润分配!C227)</f>
        <v>0</v>
      </c>
      <c r="D227" s="2398"/>
      <c r="E227" s="2398"/>
      <c r="F227" s="2398"/>
      <c r="G227" s="2398"/>
      <c r="H227" s="2404" t="s">
        <v>1356</v>
      </c>
    </row>
    <row r="228" spans="1:8">
      <c r="A228" s="2424" t="s">
        <v>85</v>
      </c>
      <c r="B228" s="2403">
        <f>IF(未审附注之利润及利润分配!B228="",0,未审附注之利润及利润分配!B228)</f>
        <v>0</v>
      </c>
      <c r="C228" s="2403">
        <f>IF(未审附注之利润及利润分配!C228="",0,未审附注之利润及利润分配!C228)</f>
        <v>0</v>
      </c>
      <c r="D228" s="2398"/>
      <c r="E228" s="2398"/>
      <c r="F228" s="2398"/>
      <c r="G228" s="2398"/>
      <c r="H228" s="2404" t="s">
        <v>1357</v>
      </c>
    </row>
    <row r="229" spans="1:8">
      <c r="A229" s="2424" t="s">
        <v>172</v>
      </c>
      <c r="B229" s="2403">
        <f>IF(未审附注之利润及利润分配!B229="",0,未审附注之利润及利润分配!B229)</f>
        <v>0</v>
      </c>
      <c r="C229" s="2403">
        <f>IF(未审附注之利润及利润分配!C229="",0,未审附注之利润及利润分配!C229)</f>
        <v>0</v>
      </c>
      <c r="D229" s="2398"/>
      <c r="E229" s="2398"/>
      <c r="F229" s="2398"/>
      <c r="G229" s="2398"/>
      <c r="H229" s="2404" t="s">
        <v>1358</v>
      </c>
    </row>
    <row r="230" spans="1:8">
      <c r="A230" s="2424" t="s">
        <v>173</v>
      </c>
      <c r="B230" s="2403">
        <f>IF(未审附注之利润及利润分配!B230="",0,未审附注之利润及利润分配!B230)</f>
        <v>0</v>
      </c>
      <c r="C230" s="2403">
        <f>IF(未审附注之利润及利润分配!C230="",0,未审附注之利润及利润分配!C230)</f>
        <v>0</v>
      </c>
      <c r="D230" s="2398"/>
      <c r="E230" s="2398"/>
      <c r="F230" s="2398"/>
      <c r="G230" s="2398"/>
      <c r="H230" s="2404" t="s">
        <v>1359</v>
      </c>
    </row>
    <row r="231" spans="1:8">
      <c r="A231" s="2424" t="s">
        <v>174</v>
      </c>
      <c r="B231" s="2403">
        <f>IF(未审附注之利润及利润分配!B231="",0,未审附注之利润及利润分配!B231)</f>
        <v>0</v>
      </c>
      <c r="C231" s="2403">
        <f>IF(未审附注之利润及利润分配!C231="",0,未审附注之利润及利润分配!C231)</f>
        <v>0</v>
      </c>
      <c r="D231" s="2398"/>
      <c r="E231" s="2398"/>
      <c r="F231" s="2398"/>
      <c r="G231" s="2398"/>
      <c r="H231" s="2404" t="s">
        <v>1360</v>
      </c>
    </row>
    <row r="232" spans="1:8">
      <c r="A232" s="2424" t="s">
        <v>175</v>
      </c>
      <c r="B232" s="2403">
        <f>IF(未审附注之利润及利润分配!B232="",0,未审附注之利润及利润分配!B232)</f>
        <v>0</v>
      </c>
      <c r="C232" s="2403">
        <f>IF(未审附注之利润及利润分配!C232="",0,未审附注之利润及利润分配!C232)</f>
        <v>0</v>
      </c>
      <c r="D232" s="2398"/>
      <c r="E232" s="2398"/>
      <c r="F232" s="2398"/>
      <c r="G232" s="2398"/>
      <c r="H232" s="2404" t="s">
        <v>1361</v>
      </c>
    </row>
    <row r="233" spans="1:8">
      <c r="A233" s="2424" t="s">
        <v>176</v>
      </c>
      <c r="B233" s="2403">
        <f>IF(未审附注之利润及利润分配!B233="",0,未审附注之利润及利润分配!B233)</f>
        <v>0</v>
      </c>
      <c r="C233" s="2403">
        <f>IF(未审附注之利润及利润分配!C233="",0,未审附注之利润及利润分配!C233)</f>
        <v>0</v>
      </c>
      <c r="D233" s="2398"/>
      <c r="E233" s="2398"/>
      <c r="F233" s="2398"/>
      <c r="G233" s="2398"/>
      <c r="H233" s="2404" t="s">
        <v>1362</v>
      </c>
    </row>
    <row r="234" spans="1:8">
      <c r="A234" s="2424" t="s">
        <v>177</v>
      </c>
      <c r="B234" s="2403">
        <f>IF(未审附注之利润及利润分配!B234="",0,未审附注之利润及利润分配!B234)</f>
        <v>0</v>
      </c>
      <c r="C234" s="2403">
        <f>IF(未审附注之利润及利润分配!C234="",0,未审附注之利润及利润分配!C234)</f>
        <v>0</v>
      </c>
      <c r="D234" s="2398"/>
      <c r="E234" s="2398"/>
      <c r="F234" s="2398"/>
      <c r="G234" s="2398"/>
      <c r="H234" s="2404" t="s">
        <v>1363</v>
      </c>
    </row>
    <row r="235" spans="1:8">
      <c r="A235" s="2424" t="s">
        <v>178</v>
      </c>
      <c r="B235" s="2403">
        <f>IF(未审附注之利润及利润分配!B235="",0,未审附注之利润及利润分配!B235)</f>
        <v>0</v>
      </c>
      <c r="C235" s="2403">
        <f>IF(未审附注之利润及利润分配!C235="",0,未审附注之利润及利润分配!C235)</f>
        <v>0</v>
      </c>
      <c r="D235" s="2398"/>
      <c r="E235" s="2398"/>
      <c r="F235" s="2398"/>
      <c r="G235" s="2398"/>
      <c r="H235" s="2404" t="s">
        <v>1364</v>
      </c>
    </row>
    <row r="236" spans="1:8">
      <c r="A236" s="2424" t="s">
        <v>179</v>
      </c>
      <c r="B236" s="2369">
        <f>ROUND(SUM(B220:B235),2)</f>
        <v>0</v>
      </c>
      <c r="C236" s="2369">
        <f>ROUND(SUM(C220:C235),2)</f>
        <v>0</v>
      </c>
      <c r="D236" s="2398"/>
      <c r="E236" s="2398"/>
      <c r="F236" s="2398"/>
      <c r="G236" s="2398"/>
      <c r="H236" s="2404" t="s">
        <v>1365</v>
      </c>
    </row>
    <row r="237" spans="1:8">
      <c r="A237" s="2424"/>
      <c r="B237" s="2416"/>
      <c r="C237" s="2416"/>
      <c r="D237" s="2398"/>
      <c r="E237" s="2398"/>
      <c r="F237" s="2398"/>
      <c r="G237" s="2398"/>
      <c r="H237" s="2404"/>
    </row>
    <row r="238" spans="1:8">
      <c r="A238" s="2424" t="s">
        <v>180</v>
      </c>
      <c r="B238" s="2416"/>
      <c r="C238" s="2416"/>
      <c r="D238" s="2398"/>
      <c r="E238" s="2398"/>
      <c r="F238" s="2398"/>
      <c r="G238" s="2398"/>
      <c r="H238" s="2404"/>
    </row>
    <row r="239" spans="1:8">
      <c r="A239" s="2424" t="s">
        <v>181</v>
      </c>
      <c r="B239" s="2403">
        <f>IF(未审附注之利润及利润分配!B239="",0,未审附注之利润及利润分配!B239)</f>
        <v>0</v>
      </c>
      <c r="C239" s="2403">
        <f>IF(未审附注之利润及利润分配!C239="",0,未审附注之利润及利润分配!C239)</f>
        <v>0</v>
      </c>
      <c r="D239" s="2398"/>
      <c r="E239" s="2398"/>
      <c r="F239" s="2398"/>
      <c r="G239" s="2398"/>
      <c r="H239" s="2404" t="s">
        <v>1366</v>
      </c>
    </row>
    <row r="240" spans="1:8">
      <c r="A240" s="2424" t="s">
        <v>182</v>
      </c>
      <c r="B240" s="2403">
        <f>IF(未审附注之利润及利润分配!B240="",0,未审附注之利润及利润分配!B240)</f>
        <v>0</v>
      </c>
      <c r="C240" s="2403">
        <f>IF(未审附注之利润及利润分配!C240="",0,未审附注之利润及利润分配!C240)</f>
        <v>0</v>
      </c>
      <c r="D240" s="2398"/>
      <c r="E240" s="2398"/>
      <c r="F240" s="2398"/>
      <c r="G240" s="2398"/>
      <c r="H240" s="2404" t="s">
        <v>1367</v>
      </c>
    </row>
    <row r="241" spans="1:8">
      <c r="A241" s="2424" t="s">
        <v>183</v>
      </c>
      <c r="B241" s="2403">
        <f>IF(未审附注之利润及利润分配!B241="",0,未审附注之利润及利润分配!B241)</f>
        <v>0</v>
      </c>
      <c r="C241" s="2403">
        <f>IF(未审附注之利润及利润分配!C241="",0,未审附注之利润及利润分配!C241)</f>
        <v>0</v>
      </c>
      <c r="D241" s="2398"/>
      <c r="E241" s="2398"/>
      <c r="F241" s="2398"/>
      <c r="G241" s="2398"/>
      <c r="H241" s="2404" t="s">
        <v>1368</v>
      </c>
    </row>
    <row r="242" spans="1:8">
      <c r="A242" s="2424"/>
      <c r="B242" s="2416"/>
      <c r="C242" s="2416"/>
      <c r="D242" s="2398"/>
      <c r="E242" s="2398"/>
      <c r="F242" s="2398"/>
      <c r="G242" s="2398"/>
      <c r="H242" s="2404"/>
    </row>
    <row r="243" spans="1:8">
      <c r="A243" s="2424" t="s">
        <v>184</v>
      </c>
      <c r="B243" s="2416"/>
      <c r="C243" s="2416"/>
      <c r="D243" s="2398"/>
      <c r="E243" s="2398"/>
      <c r="F243" s="2398"/>
      <c r="G243" s="2398"/>
      <c r="H243" s="2404"/>
    </row>
    <row r="244" spans="1:8">
      <c r="A244" s="2424" t="s">
        <v>185</v>
      </c>
      <c r="B244" s="2403">
        <f>IF(未审附注之利润及利润分配!B244="",0,未审附注之利润及利润分配!B244)</f>
        <v>0</v>
      </c>
      <c r="C244" s="2403">
        <f>IF(未审附注之利润及利润分配!C244="",0,未审附注之利润及利润分配!C244)</f>
        <v>0</v>
      </c>
      <c r="D244" s="2398"/>
      <c r="E244" s="2398"/>
      <c r="F244" s="2398"/>
      <c r="G244" s="2398"/>
      <c r="H244" s="2404" t="s">
        <v>1369</v>
      </c>
    </row>
    <row r="245" spans="1:8">
      <c r="A245" s="2424" t="s">
        <v>186</v>
      </c>
      <c r="B245" s="2403">
        <f>IF(未审附注之利润及利润分配!B245="",0,未审附注之利润及利润分配!B245)</f>
        <v>0</v>
      </c>
      <c r="C245" s="2403">
        <f>IF(未审附注之利润及利润分配!C245="",0,未审附注之利润及利润分配!C245)</f>
        <v>0</v>
      </c>
      <c r="D245" s="2398"/>
      <c r="E245" s="2398"/>
      <c r="F245" s="2398"/>
      <c r="G245" s="2398"/>
      <c r="H245" s="2404" t="s">
        <v>1370</v>
      </c>
    </row>
    <row r="246" spans="1:8">
      <c r="A246" s="2424" t="s">
        <v>187</v>
      </c>
      <c r="B246" s="2403">
        <f>IF(未审附注之利润及利润分配!B246="",0,未审附注之利润及利润分配!B246)</f>
        <v>0</v>
      </c>
      <c r="C246" s="2403">
        <f>IF(未审附注之利润及利润分配!C246="",0,未审附注之利润及利润分配!C246)</f>
        <v>0</v>
      </c>
      <c r="D246" s="2398"/>
      <c r="E246" s="2398"/>
      <c r="F246" s="2398"/>
      <c r="G246" s="2398"/>
      <c r="H246" s="2404" t="s">
        <v>1371</v>
      </c>
    </row>
    <row r="247" spans="1:8">
      <c r="A247" s="2424" t="s">
        <v>188</v>
      </c>
      <c r="B247" s="2403">
        <f>IF(未审附注之利润及利润分配!B247="",0,未审附注之利润及利润分配!B247)</f>
        <v>0</v>
      </c>
      <c r="C247" s="2403">
        <f>IF(未审附注之利润及利润分配!C247="",0,未审附注之利润及利润分配!C247)</f>
        <v>0</v>
      </c>
      <c r="D247" s="2398"/>
      <c r="E247" s="2398"/>
      <c r="F247" s="2398"/>
      <c r="G247" s="2398"/>
      <c r="H247" s="2404" t="s">
        <v>1372</v>
      </c>
    </row>
    <row r="248" spans="1:8">
      <c r="A248" s="2424" t="s">
        <v>189</v>
      </c>
      <c r="B248" s="2369">
        <f>ROUND(B244-B245+B246-B247,2)</f>
        <v>0</v>
      </c>
      <c r="C248" s="2369">
        <f>ROUND(C244-C245+C246-C247,2)</f>
        <v>0</v>
      </c>
      <c r="D248" s="2398"/>
      <c r="E248" s="2398"/>
      <c r="F248" s="2398"/>
      <c r="G248" s="2398"/>
      <c r="H248" s="2404" t="s">
        <v>1373</v>
      </c>
    </row>
    <row r="249" spans="1:7">
      <c r="A249" s="2398"/>
      <c r="B249" s="2398"/>
      <c r="C249" s="2398"/>
      <c r="D249" s="2398"/>
      <c r="E249" s="2398"/>
      <c r="F249" s="2398"/>
      <c r="G249" s="2398"/>
    </row>
    <row r="250" spans="1:7">
      <c r="A250" s="2398"/>
      <c r="B250" s="2398"/>
      <c r="C250" s="2398"/>
      <c r="D250" s="2398"/>
      <c r="E250" s="2398"/>
      <c r="F250" s="2398"/>
      <c r="G250" s="2398"/>
    </row>
    <row r="251" spans="1:7">
      <c r="A251" s="2415" t="s">
        <v>1374</v>
      </c>
      <c r="B251" s="2428"/>
      <c r="C251" s="2398"/>
      <c r="D251" s="2398"/>
      <c r="E251" s="2398"/>
      <c r="F251" s="2398"/>
      <c r="G251" s="2398"/>
    </row>
    <row r="252" spans="1:7">
      <c r="A252" s="2406" t="s">
        <v>1375</v>
      </c>
      <c r="B252" s="2398"/>
      <c r="C252" s="2398"/>
      <c r="D252" s="2398"/>
      <c r="E252" s="2398"/>
      <c r="F252" s="2398"/>
      <c r="G252" s="2398"/>
    </row>
    <row r="253" spans="1:7">
      <c r="A253" s="2400" t="s">
        <v>1376</v>
      </c>
      <c r="B253" s="2400" t="s">
        <v>1377</v>
      </c>
      <c r="C253" s="2400" t="s">
        <v>1378</v>
      </c>
      <c r="D253" s="2400" t="s">
        <v>1379</v>
      </c>
      <c r="E253" s="2400" t="s">
        <v>1378</v>
      </c>
      <c r="F253" s="2398"/>
      <c r="G253" s="2398"/>
    </row>
    <row r="254" spans="1:8">
      <c r="A254" s="2410">
        <f>IF(未审附注之利润及利润分配!A254="",0,未审附注之利润及利润分配!A254)</f>
        <v>0</v>
      </c>
      <c r="B254" s="2403">
        <f>IF(未审附注之利润及利润分配!B254="",0,未审附注之利润及利润分配!B254)</f>
        <v>0</v>
      </c>
      <c r="C254" s="2429">
        <f>IF(未审附注之利润及利润分配!C254="",0,未审附注之利润及利润分配!C254)</f>
        <v>0</v>
      </c>
      <c r="D254" s="2403">
        <f>IF(未审附注之利润及利润分配!D254="",0,未审附注之利润及利润分配!D254)</f>
        <v>0</v>
      </c>
      <c r="E254" s="2429">
        <f>IF(未审附注之利润及利润分配!E254="",0,未审附注之利润及利润分配!E254)</f>
        <v>0</v>
      </c>
      <c r="F254" s="2398"/>
      <c r="G254" s="2398"/>
      <c r="H254" s="2404" t="s">
        <v>1380</v>
      </c>
    </row>
    <row r="255" spans="1:8">
      <c r="A255" s="2410">
        <f>IF(未审附注之利润及利润分配!A255="",0,未审附注之利润及利润分配!A255)</f>
        <v>0</v>
      </c>
      <c r="B255" s="2403">
        <f>IF(未审附注之利润及利润分配!B255="",0,未审附注之利润及利润分配!B255)</f>
        <v>0</v>
      </c>
      <c r="C255" s="2429">
        <f>IF(未审附注之利润及利润分配!C255="",0,未审附注之利润及利润分配!C255)</f>
        <v>0</v>
      </c>
      <c r="D255" s="2403">
        <f>IF(未审附注之利润及利润分配!D255="",0,未审附注之利润及利润分配!D255)</f>
        <v>0</v>
      </c>
      <c r="E255" s="2429">
        <f>IF(未审附注之利润及利润分配!E255="",0,未审附注之利润及利润分配!E255)</f>
        <v>0</v>
      </c>
      <c r="F255" s="2398"/>
      <c r="G255" s="2398"/>
      <c r="H255" s="2404" t="s">
        <v>1380</v>
      </c>
    </row>
    <row r="256" spans="1:8">
      <c r="A256" s="2410">
        <f>IF(未审附注之利润及利润分配!A256="",0,未审附注之利润及利润分配!A256)</f>
        <v>0</v>
      </c>
      <c r="B256" s="2403">
        <f>IF(未审附注之利润及利润分配!B256="",0,未审附注之利润及利润分配!B256)</f>
        <v>0</v>
      </c>
      <c r="C256" s="2429">
        <f>IF(未审附注之利润及利润分配!C256="",0,未审附注之利润及利润分配!C256)</f>
        <v>0</v>
      </c>
      <c r="D256" s="2403">
        <f>IF(未审附注之利润及利润分配!D256="",0,未审附注之利润及利润分配!D256)</f>
        <v>0</v>
      </c>
      <c r="E256" s="2429">
        <f>IF(未审附注之利润及利润分配!E256="",0,未审附注之利润及利润分配!E256)</f>
        <v>0</v>
      </c>
      <c r="F256" s="2398"/>
      <c r="G256" s="2398"/>
      <c r="H256" s="2404" t="s">
        <v>1380</v>
      </c>
    </row>
    <row r="257" spans="1:8">
      <c r="A257" s="2410">
        <f>IF(未审附注之利润及利润分配!A257="",0,未审附注之利润及利润分配!A257)</f>
        <v>0</v>
      </c>
      <c r="B257" s="2403">
        <f>IF(未审附注之利润及利润分配!B257="",0,未审附注之利润及利润分配!B257)</f>
        <v>0</v>
      </c>
      <c r="C257" s="2429">
        <f>IF(未审附注之利润及利润分配!C257="",0,未审附注之利润及利润分配!C257)</f>
        <v>0</v>
      </c>
      <c r="D257" s="2403">
        <f>IF(未审附注之利润及利润分配!D257="",0,未审附注之利润及利润分配!D257)</f>
        <v>0</v>
      </c>
      <c r="E257" s="2429">
        <f>IF(未审附注之利润及利润分配!E257="",0,未审附注之利润及利润分配!E257)</f>
        <v>0</v>
      </c>
      <c r="F257" s="2398"/>
      <c r="G257" s="2398"/>
      <c r="H257" s="2404" t="s">
        <v>1380</v>
      </c>
    </row>
    <row r="258" spans="1:8">
      <c r="A258" s="2410">
        <f>IF(未审附注之利润及利润分配!A258="",0,未审附注之利润及利润分配!A258)</f>
        <v>0</v>
      </c>
      <c r="B258" s="2403">
        <f>IF(未审附注之利润及利润分配!B258="",0,未审附注之利润及利润分配!B258)</f>
        <v>0</v>
      </c>
      <c r="C258" s="2429">
        <f>IF(未审附注之利润及利润分配!C258="",0,未审附注之利润及利润分配!C258)</f>
        <v>0</v>
      </c>
      <c r="D258" s="2403">
        <f>IF(未审附注之利润及利润分配!D258="",0,未审附注之利润及利润分配!D258)</f>
        <v>0</v>
      </c>
      <c r="E258" s="2429">
        <f>IF(未审附注之利润及利润分配!E258="",0,未审附注之利润及利润分配!E258)</f>
        <v>0</v>
      </c>
      <c r="F258" s="2398"/>
      <c r="G258" s="2398"/>
      <c r="H258" s="2404" t="s">
        <v>1380</v>
      </c>
    </row>
    <row r="259" spans="1:8">
      <c r="A259" s="2410">
        <f>IF(未审附注之利润及利润分配!A259="",0,未审附注之利润及利润分配!A259)</f>
        <v>0</v>
      </c>
      <c r="B259" s="2403">
        <f>IF(未审附注之利润及利润分配!B259="",0,未审附注之利润及利润分配!B259)</f>
        <v>0</v>
      </c>
      <c r="C259" s="2429">
        <f>IF(未审附注之利润及利润分配!C259="",0,未审附注之利润及利润分配!C259)</f>
        <v>0</v>
      </c>
      <c r="D259" s="2403">
        <f>IF(未审附注之利润及利润分配!D259="",0,未审附注之利润及利润分配!D259)</f>
        <v>0</v>
      </c>
      <c r="E259" s="2429">
        <f>IF(未审附注之利润及利润分配!E259="",0,未审附注之利润及利润分配!E259)</f>
        <v>0</v>
      </c>
      <c r="F259" s="2398"/>
      <c r="G259" s="2398"/>
      <c r="H259" s="2404" t="s">
        <v>1380</v>
      </c>
    </row>
    <row r="260" spans="1:8">
      <c r="A260" s="2410">
        <f>IF(未审附注之利润及利润分配!A260="",0,未审附注之利润及利润分配!A260)</f>
        <v>0</v>
      </c>
      <c r="B260" s="2403">
        <f>IF(未审附注之利润及利润分配!B260="",0,未审附注之利润及利润分配!B260)</f>
        <v>0</v>
      </c>
      <c r="C260" s="2429">
        <f>IF(未审附注之利润及利润分配!C260="",0,未审附注之利润及利润分配!C260)</f>
        <v>0</v>
      </c>
      <c r="D260" s="2403">
        <f>IF(未审附注之利润及利润分配!D260="",0,未审附注之利润及利润分配!D260)</f>
        <v>0</v>
      </c>
      <c r="E260" s="2429">
        <f>IF(未审附注之利润及利润分配!E260="",0,未审附注之利润及利润分配!E260)</f>
        <v>0</v>
      </c>
      <c r="F260" s="2398"/>
      <c r="G260" s="2398"/>
      <c r="H260" s="2404" t="s">
        <v>1380</v>
      </c>
    </row>
    <row r="261" spans="1:8">
      <c r="A261" s="2410">
        <f>IF(未审附注之利润及利润分配!A261="",0,未审附注之利润及利润分配!A261)</f>
        <v>0</v>
      </c>
      <c r="B261" s="2403">
        <f>IF(未审附注之利润及利润分配!B261="",0,未审附注之利润及利润分配!B261)</f>
        <v>0</v>
      </c>
      <c r="C261" s="2429">
        <f>IF(未审附注之利润及利润分配!C261="",0,未审附注之利润及利润分配!C261)</f>
        <v>0</v>
      </c>
      <c r="D261" s="2403">
        <f>IF(未审附注之利润及利润分配!D261="",0,未审附注之利润及利润分配!D261)</f>
        <v>0</v>
      </c>
      <c r="E261" s="2429">
        <f>IF(未审附注之利润及利润分配!E261="",0,未审附注之利润及利润分配!E261)</f>
        <v>0</v>
      </c>
      <c r="F261" s="2398"/>
      <c r="G261" s="2398"/>
      <c r="H261" s="2404" t="s">
        <v>1380</v>
      </c>
    </row>
    <row r="262" spans="1:8">
      <c r="A262" s="2410">
        <f>IF(未审附注之利润及利润分配!A262="",0,未审附注之利润及利润分配!A262)</f>
        <v>0</v>
      </c>
      <c r="B262" s="2403">
        <f>IF(未审附注之利润及利润分配!B262="",0,未审附注之利润及利润分配!B262)</f>
        <v>0</v>
      </c>
      <c r="C262" s="2429">
        <f>IF(未审附注之利润及利润分配!C262="",0,未审附注之利润及利润分配!C262)</f>
        <v>0</v>
      </c>
      <c r="D262" s="2403">
        <f>IF(未审附注之利润及利润分配!D262="",0,未审附注之利润及利润分配!D262)</f>
        <v>0</v>
      </c>
      <c r="E262" s="2429">
        <f>IF(未审附注之利润及利润分配!E262="",0,未审附注之利润及利润分配!E262)</f>
        <v>0</v>
      </c>
      <c r="F262" s="2398"/>
      <c r="G262" s="2398"/>
      <c r="H262" s="2404" t="s">
        <v>1380</v>
      </c>
    </row>
    <row r="263" spans="1:8">
      <c r="A263" s="2410">
        <f>IF(未审附注之利润及利润分配!A263="",0,未审附注之利润及利润分配!A263)</f>
        <v>0</v>
      </c>
      <c r="B263" s="2403">
        <f>IF(未审附注之利润及利润分配!B263="",0,未审附注之利润及利润分配!B263)</f>
        <v>0</v>
      </c>
      <c r="C263" s="2429">
        <f>IF(未审附注之利润及利润分配!C263="",0,未审附注之利润及利润分配!C263)</f>
        <v>0</v>
      </c>
      <c r="D263" s="2403">
        <f>IF(未审附注之利润及利润分配!D263="",0,未审附注之利润及利润分配!D263)</f>
        <v>0</v>
      </c>
      <c r="E263" s="2429">
        <f>IF(未审附注之利润及利润分配!E263="",0,未审附注之利润及利润分配!E263)</f>
        <v>0</v>
      </c>
      <c r="F263" s="2398"/>
      <c r="G263" s="2398"/>
      <c r="H263" s="2404" t="s">
        <v>1380</v>
      </c>
    </row>
    <row r="264" spans="1:8">
      <c r="A264" s="2400" t="s">
        <v>385</v>
      </c>
      <c r="B264" s="2369">
        <f>ROUND(SUM(B254:B263),2)</f>
        <v>0</v>
      </c>
      <c r="C264" s="2429">
        <f>IF(未审附注之利润及利润分配!C264="",0,未审附注之利润及利润分配!C264)</f>
        <v>0</v>
      </c>
      <c r="D264" s="2369">
        <f>ROUND(SUM(D254:D263),2)</f>
        <v>0</v>
      </c>
      <c r="E264" s="2429">
        <f>IF(未审附注之利润及利润分配!E264="",0,未审附注之利润及利润分配!E264)</f>
        <v>0</v>
      </c>
      <c r="F264" s="2398"/>
      <c r="G264" s="2398"/>
      <c r="H264" s="2404" t="s">
        <v>1381</v>
      </c>
    </row>
    <row r="265" spans="1:7">
      <c r="A265" s="2398"/>
      <c r="B265" s="2398"/>
      <c r="C265" s="2398"/>
      <c r="D265" s="2398"/>
      <c r="E265" s="2398"/>
      <c r="F265" s="2398"/>
      <c r="G265" s="2398"/>
    </row>
    <row r="266" spans="1:7">
      <c r="A266" s="2430" t="s">
        <v>1382</v>
      </c>
      <c r="B266" s="2398"/>
      <c r="C266" s="2398"/>
      <c r="D266" s="2398"/>
      <c r="E266" s="2398"/>
      <c r="F266" s="2398"/>
      <c r="G266" s="2398"/>
    </row>
    <row r="267" spans="1:7">
      <c r="A267" s="2400" t="s">
        <v>1376</v>
      </c>
      <c r="B267" s="2400" t="s">
        <v>1377</v>
      </c>
      <c r="C267" s="2400" t="s">
        <v>1378</v>
      </c>
      <c r="D267" s="2400" t="s">
        <v>1379</v>
      </c>
      <c r="E267" s="2400" t="s">
        <v>1378</v>
      </c>
      <c r="F267" s="2398"/>
      <c r="G267" s="2398"/>
    </row>
    <row r="268" spans="1:8">
      <c r="A268" s="2410">
        <f>IF(未审附注之利润及利润分配!A268="",0,未审附注之利润及利润分配!A268)</f>
        <v>0</v>
      </c>
      <c r="B268" s="2403">
        <f>IF(未审附注之利润及利润分配!B268="",0,未审附注之利润及利润分配!B268)</f>
        <v>0</v>
      </c>
      <c r="C268" s="2429">
        <f>IF(未审附注之利润及利润分配!C268="",0,未审附注之利润及利润分配!C268)</f>
        <v>0</v>
      </c>
      <c r="D268" s="2403">
        <f>IF(未审附注之利润及利润分配!D268="",0,未审附注之利润及利润分配!D268)</f>
        <v>0</v>
      </c>
      <c r="E268" s="2429">
        <f>IF(未审附注之利润及利润分配!E268="",0,未审附注之利润及利润分配!E268)</f>
        <v>0</v>
      </c>
      <c r="F268" s="2398"/>
      <c r="G268" s="2398"/>
      <c r="H268" s="2404" t="s">
        <v>1383</v>
      </c>
    </row>
    <row r="269" spans="1:8">
      <c r="A269" s="2410">
        <f>IF(未审附注之利润及利润分配!A269="",0,未审附注之利润及利润分配!A269)</f>
        <v>0</v>
      </c>
      <c r="B269" s="2403">
        <f>IF(未审附注之利润及利润分配!B269="",0,未审附注之利润及利润分配!B269)</f>
        <v>0</v>
      </c>
      <c r="C269" s="2429">
        <f>IF(未审附注之利润及利润分配!C269="",0,未审附注之利润及利润分配!C269)</f>
        <v>0</v>
      </c>
      <c r="D269" s="2403">
        <f>IF(未审附注之利润及利润分配!D269="",0,未审附注之利润及利润分配!D269)</f>
        <v>0</v>
      </c>
      <c r="E269" s="2429">
        <f>IF(未审附注之利润及利润分配!E269="",0,未审附注之利润及利润分配!E269)</f>
        <v>0</v>
      </c>
      <c r="F269" s="2398"/>
      <c r="G269" s="2398"/>
      <c r="H269" s="2404" t="s">
        <v>1383</v>
      </c>
    </row>
    <row r="270" spans="1:8">
      <c r="A270" s="2410">
        <f>IF(未审附注之利润及利润分配!A270="",0,未审附注之利润及利润分配!A270)</f>
        <v>0</v>
      </c>
      <c r="B270" s="2403">
        <f>IF(未审附注之利润及利润分配!B270="",0,未审附注之利润及利润分配!B270)</f>
        <v>0</v>
      </c>
      <c r="C270" s="2429">
        <f>IF(未审附注之利润及利润分配!C270="",0,未审附注之利润及利润分配!C270)</f>
        <v>0</v>
      </c>
      <c r="D270" s="2403">
        <f>IF(未审附注之利润及利润分配!D270="",0,未审附注之利润及利润分配!D270)</f>
        <v>0</v>
      </c>
      <c r="E270" s="2429">
        <f>IF(未审附注之利润及利润分配!E270="",0,未审附注之利润及利润分配!E270)</f>
        <v>0</v>
      </c>
      <c r="F270" s="2398"/>
      <c r="G270" s="2398"/>
      <c r="H270" s="2404" t="s">
        <v>1383</v>
      </c>
    </row>
    <row r="271" spans="1:8">
      <c r="A271" s="2410">
        <f>IF(未审附注之利润及利润分配!A271="",0,未审附注之利润及利润分配!A271)</f>
        <v>0</v>
      </c>
      <c r="B271" s="2403">
        <f>IF(未审附注之利润及利润分配!B271="",0,未审附注之利润及利润分配!B271)</f>
        <v>0</v>
      </c>
      <c r="C271" s="2429">
        <f>IF(未审附注之利润及利润分配!C271="",0,未审附注之利润及利润分配!C271)</f>
        <v>0</v>
      </c>
      <c r="D271" s="2403">
        <f>IF(未审附注之利润及利润分配!D271="",0,未审附注之利润及利润分配!D271)</f>
        <v>0</v>
      </c>
      <c r="E271" s="2429">
        <f>IF(未审附注之利润及利润分配!E271="",0,未审附注之利润及利润分配!E271)</f>
        <v>0</v>
      </c>
      <c r="F271" s="2398"/>
      <c r="G271" s="2398"/>
      <c r="H271" s="2404" t="s">
        <v>1383</v>
      </c>
    </row>
    <row r="272" spans="1:8">
      <c r="A272" s="2410">
        <f>IF(未审附注之利润及利润分配!A272="",0,未审附注之利润及利润分配!A272)</f>
        <v>0</v>
      </c>
      <c r="B272" s="2403">
        <f>IF(未审附注之利润及利润分配!B272="",0,未审附注之利润及利润分配!B272)</f>
        <v>0</v>
      </c>
      <c r="C272" s="2429">
        <f>IF(未审附注之利润及利润分配!C272="",0,未审附注之利润及利润分配!C272)</f>
        <v>0</v>
      </c>
      <c r="D272" s="2403">
        <f>IF(未审附注之利润及利润分配!D272="",0,未审附注之利润及利润分配!D272)</f>
        <v>0</v>
      </c>
      <c r="E272" s="2429">
        <f>IF(未审附注之利润及利润分配!E272="",0,未审附注之利润及利润分配!E272)</f>
        <v>0</v>
      </c>
      <c r="F272" s="2398"/>
      <c r="G272" s="2398"/>
      <c r="H272" s="2404" t="s">
        <v>1383</v>
      </c>
    </row>
    <row r="273" spans="1:8">
      <c r="A273" s="2410">
        <f>IF(未审附注之利润及利润分配!A273="",0,未审附注之利润及利润分配!A273)</f>
        <v>0</v>
      </c>
      <c r="B273" s="2403">
        <f>IF(未审附注之利润及利润分配!B273="",0,未审附注之利润及利润分配!B273)</f>
        <v>0</v>
      </c>
      <c r="C273" s="2429">
        <f>IF(未审附注之利润及利润分配!C273="",0,未审附注之利润及利润分配!C273)</f>
        <v>0</v>
      </c>
      <c r="D273" s="2403">
        <f>IF(未审附注之利润及利润分配!D273="",0,未审附注之利润及利润分配!D273)</f>
        <v>0</v>
      </c>
      <c r="E273" s="2429">
        <f>IF(未审附注之利润及利润分配!E273="",0,未审附注之利润及利润分配!E273)</f>
        <v>0</v>
      </c>
      <c r="F273" s="2398"/>
      <c r="G273" s="2398"/>
      <c r="H273" s="2404" t="s">
        <v>1383</v>
      </c>
    </row>
    <row r="274" spans="1:8">
      <c r="A274" s="2410">
        <f>IF(未审附注之利润及利润分配!A274="",0,未审附注之利润及利润分配!A274)</f>
        <v>0</v>
      </c>
      <c r="B274" s="2403">
        <f>IF(未审附注之利润及利润分配!B274="",0,未审附注之利润及利润分配!B274)</f>
        <v>0</v>
      </c>
      <c r="C274" s="2429">
        <f>IF(未审附注之利润及利润分配!C274="",0,未审附注之利润及利润分配!C274)</f>
        <v>0</v>
      </c>
      <c r="D274" s="2403">
        <f>IF(未审附注之利润及利润分配!D274="",0,未审附注之利润及利润分配!D274)</f>
        <v>0</v>
      </c>
      <c r="E274" s="2429">
        <f>IF(未审附注之利润及利润分配!E274="",0,未审附注之利润及利润分配!E274)</f>
        <v>0</v>
      </c>
      <c r="F274" s="2398"/>
      <c r="G274" s="2398"/>
      <c r="H274" s="2404" t="s">
        <v>1383</v>
      </c>
    </row>
    <row r="275" spans="1:8">
      <c r="A275" s="2410">
        <f>IF(未审附注之利润及利润分配!A275="",0,未审附注之利润及利润分配!A275)</f>
        <v>0</v>
      </c>
      <c r="B275" s="2403">
        <f>IF(未审附注之利润及利润分配!B275="",0,未审附注之利润及利润分配!B275)</f>
        <v>0</v>
      </c>
      <c r="C275" s="2429">
        <f>IF(未审附注之利润及利润分配!C275="",0,未审附注之利润及利润分配!C275)</f>
        <v>0</v>
      </c>
      <c r="D275" s="2403">
        <f>IF(未审附注之利润及利润分配!D275="",0,未审附注之利润及利润分配!D275)</f>
        <v>0</v>
      </c>
      <c r="E275" s="2429">
        <f>IF(未审附注之利润及利润分配!E275="",0,未审附注之利润及利润分配!E275)</f>
        <v>0</v>
      </c>
      <c r="F275" s="2398"/>
      <c r="G275" s="2398"/>
      <c r="H275" s="2404" t="s">
        <v>1383</v>
      </c>
    </row>
    <row r="276" spans="1:8">
      <c r="A276" s="2410">
        <f>IF(未审附注之利润及利润分配!A276="",0,未审附注之利润及利润分配!A276)</f>
        <v>0</v>
      </c>
      <c r="B276" s="2403">
        <f>IF(未审附注之利润及利润分配!B276="",0,未审附注之利润及利润分配!B276)</f>
        <v>0</v>
      </c>
      <c r="C276" s="2429">
        <f>IF(未审附注之利润及利润分配!C276="",0,未审附注之利润及利润分配!C276)</f>
        <v>0</v>
      </c>
      <c r="D276" s="2403">
        <f>IF(未审附注之利润及利润分配!D276="",0,未审附注之利润及利润分配!D276)</f>
        <v>0</v>
      </c>
      <c r="E276" s="2429">
        <f>IF(未审附注之利润及利润分配!E276="",0,未审附注之利润及利润分配!E276)</f>
        <v>0</v>
      </c>
      <c r="F276" s="2398"/>
      <c r="G276" s="2398"/>
      <c r="H276" s="2404" t="s">
        <v>1383</v>
      </c>
    </row>
    <row r="277" spans="1:8">
      <c r="A277" s="2410">
        <f>IF(未审附注之利润及利润分配!A277="",0,未审附注之利润及利润分配!A277)</f>
        <v>0</v>
      </c>
      <c r="B277" s="2403">
        <f>IF(未审附注之利润及利润分配!B277="",0,未审附注之利润及利润分配!B277)</f>
        <v>0</v>
      </c>
      <c r="C277" s="2429">
        <f>IF(未审附注之利润及利润分配!C277="",0,未审附注之利润及利润分配!C277)</f>
        <v>0</v>
      </c>
      <c r="D277" s="2403">
        <f>IF(未审附注之利润及利润分配!D277="",0,未审附注之利润及利润分配!D277)</f>
        <v>0</v>
      </c>
      <c r="E277" s="2429">
        <f>IF(未审附注之利润及利润分配!E277="",0,未审附注之利润及利润分配!E277)</f>
        <v>0</v>
      </c>
      <c r="F277" s="2398"/>
      <c r="G277" s="2398"/>
      <c r="H277" s="2404" t="s">
        <v>1383</v>
      </c>
    </row>
    <row r="278" spans="1:8">
      <c r="A278" s="2400" t="s">
        <v>385</v>
      </c>
      <c r="B278" s="2369">
        <f>ROUND(SUM(B268:B277),2)</f>
        <v>0</v>
      </c>
      <c r="C278" s="2429">
        <f>IF(未审附注之利润及利润分配!C278="",0,未审附注之利润及利润分配!C278)</f>
        <v>0</v>
      </c>
      <c r="D278" s="2369">
        <f>ROUND(SUM(D268:D277),2)</f>
        <v>0</v>
      </c>
      <c r="E278" s="2429">
        <f>IF(未审附注之利润及利润分配!E278="",0,未审附注之利润及利润分配!E278)</f>
        <v>0</v>
      </c>
      <c r="F278" s="2398"/>
      <c r="G278" s="2398"/>
      <c r="H278" s="2404" t="s">
        <v>1384</v>
      </c>
    </row>
    <row r="279" spans="1:7">
      <c r="A279" s="2398"/>
      <c r="B279" s="2398"/>
      <c r="C279" s="2398"/>
      <c r="D279" s="2398"/>
      <c r="E279" s="2398"/>
      <c r="F279" s="2398"/>
      <c r="G279" s="2398"/>
    </row>
    <row r="280" spans="1:7">
      <c r="A280" s="2406" t="s">
        <v>1385</v>
      </c>
      <c r="B280" s="2398"/>
      <c r="C280" s="2398"/>
      <c r="D280" s="2398"/>
      <c r="E280" s="2398"/>
      <c r="F280" s="2398"/>
      <c r="G280" s="2398"/>
    </row>
    <row r="281" spans="1:7">
      <c r="A281" s="2400" t="s">
        <v>569</v>
      </c>
      <c r="B281" s="2400" t="s">
        <v>1386</v>
      </c>
      <c r="C281" s="2400" t="s">
        <v>1387</v>
      </c>
      <c r="D281" s="2400" t="s">
        <v>316</v>
      </c>
      <c r="E281" s="2400" t="s">
        <v>1388</v>
      </c>
      <c r="F281" s="2400" t="s">
        <v>317</v>
      </c>
      <c r="G281" s="2400" t="s">
        <v>1388</v>
      </c>
    </row>
    <row r="282" spans="1:8">
      <c r="A282" s="2410">
        <f>IF(未审附注之利润及利润分配!A282="",0,未审附注之利润及利润分配!A282)</f>
        <v>0</v>
      </c>
      <c r="B282" s="2410">
        <f>IF(未审附注之利润及利润分配!B282="",0,未审附注之利润及利润分配!B282)</f>
        <v>0</v>
      </c>
      <c r="C282" s="2410">
        <f>IF(未审附注之利润及利润分配!C282="",0,未审附注之利润及利润分配!C282)</f>
        <v>0</v>
      </c>
      <c r="D282" s="2403">
        <f>IF(未审附注之利润及利润分配!D282="",0,未审附注之利润及利润分配!D282)</f>
        <v>0</v>
      </c>
      <c r="E282" s="2429">
        <f>IF(未审附注之利润及利润分配!E282="",0,未审附注之利润及利润分配!E282)</f>
        <v>0</v>
      </c>
      <c r="F282" s="2403">
        <f>IF(未审附注之利润及利润分配!F282="",0,未审附注之利润及利润分配!F282)</f>
        <v>0</v>
      </c>
      <c r="G282" s="2429">
        <f>IF(未审附注之利润及利润分配!G282="",0,未审附注之利润及利润分配!G282)</f>
        <v>0</v>
      </c>
      <c r="H282" s="2404" t="s">
        <v>1389</v>
      </c>
    </row>
    <row r="283" spans="1:8">
      <c r="A283" s="2410">
        <f>IF(未审附注之利润及利润分配!A283="",0,未审附注之利润及利润分配!A283)</f>
        <v>0</v>
      </c>
      <c r="B283" s="2410">
        <f>IF(未审附注之利润及利润分配!B283="",0,未审附注之利润及利润分配!B283)</f>
        <v>0</v>
      </c>
      <c r="C283" s="2410">
        <f>IF(未审附注之利润及利润分配!C283="",0,未审附注之利润及利润分配!C283)</f>
        <v>0</v>
      </c>
      <c r="D283" s="2403">
        <f>IF(未审附注之利润及利润分配!D283="",0,未审附注之利润及利润分配!D283)</f>
        <v>0</v>
      </c>
      <c r="E283" s="2429">
        <f>IF(未审附注之利润及利润分配!E283="",0,未审附注之利润及利润分配!E283)</f>
        <v>0</v>
      </c>
      <c r="F283" s="2403">
        <f>IF(未审附注之利润及利润分配!F283="",0,未审附注之利润及利润分配!F283)</f>
        <v>0</v>
      </c>
      <c r="G283" s="2429">
        <f>IF(未审附注之利润及利润分配!G283="",0,未审附注之利润及利润分配!G283)</f>
        <v>0</v>
      </c>
      <c r="H283" s="2404" t="s">
        <v>1389</v>
      </c>
    </row>
    <row r="284" spans="1:8">
      <c r="A284" s="2410">
        <f>IF(未审附注之利润及利润分配!A284="",0,未审附注之利润及利润分配!A284)</f>
        <v>0</v>
      </c>
      <c r="B284" s="2410">
        <f>IF(未审附注之利润及利润分配!B284="",0,未审附注之利润及利润分配!B284)</f>
        <v>0</v>
      </c>
      <c r="C284" s="2410">
        <f>IF(未审附注之利润及利润分配!C284="",0,未审附注之利润及利润分配!C284)</f>
        <v>0</v>
      </c>
      <c r="D284" s="2403">
        <f>IF(未审附注之利润及利润分配!D284="",0,未审附注之利润及利润分配!D284)</f>
        <v>0</v>
      </c>
      <c r="E284" s="2429">
        <f>IF(未审附注之利润及利润分配!E284="",0,未审附注之利润及利润分配!E284)</f>
        <v>0</v>
      </c>
      <c r="F284" s="2403">
        <f>IF(未审附注之利润及利润分配!F284="",0,未审附注之利润及利润分配!F284)</f>
        <v>0</v>
      </c>
      <c r="G284" s="2429">
        <f>IF(未审附注之利润及利润分配!G284="",0,未审附注之利润及利润分配!G284)</f>
        <v>0</v>
      </c>
      <c r="H284" s="2404" t="s">
        <v>1389</v>
      </c>
    </row>
    <row r="285" spans="1:8">
      <c r="A285" s="2410">
        <f>IF(未审附注之利润及利润分配!A285="",0,未审附注之利润及利润分配!A285)</f>
        <v>0</v>
      </c>
      <c r="B285" s="2410">
        <f>IF(未审附注之利润及利润分配!B285="",0,未审附注之利润及利润分配!B285)</f>
        <v>0</v>
      </c>
      <c r="C285" s="2410">
        <f>IF(未审附注之利润及利润分配!C285="",0,未审附注之利润及利润分配!C285)</f>
        <v>0</v>
      </c>
      <c r="D285" s="2403">
        <f>IF(未审附注之利润及利润分配!D285="",0,未审附注之利润及利润分配!D285)</f>
        <v>0</v>
      </c>
      <c r="E285" s="2429">
        <f>IF(未审附注之利润及利润分配!E285="",0,未审附注之利润及利润分配!E285)</f>
        <v>0</v>
      </c>
      <c r="F285" s="2403">
        <f>IF(未审附注之利润及利润分配!F285="",0,未审附注之利润及利润分配!F285)</f>
        <v>0</v>
      </c>
      <c r="G285" s="2429">
        <f>IF(未审附注之利润及利润分配!G285="",0,未审附注之利润及利润分配!G285)</f>
        <v>0</v>
      </c>
      <c r="H285" s="2404" t="s">
        <v>1389</v>
      </c>
    </row>
    <row r="286" spans="1:8">
      <c r="A286" s="2410">
        <f>IF(未审附注之利润及利润分配!A286="",0,未审附注之利润及利润分配!A286)</f>
        <v>0</v>
      </c>
      <c r="B286" s="2410">
        <f>IF(未审附注之利润及利润分配!B286="",0,未审附注之利润及利润分配!B286)</f>
        <v>0</v>
      </c>
      <c r="C286" s="2410">
        <f>IF(未审附注之利润及利润分配!C286="",0,未审附注之利润及利润分配!C286)</f>
        <v>0</v>
      </c>
      <c r="D286" s="2403">
        <f>IF(未审附注之利润及利润分配!D286="",0,未审附注之利润及利润分配!D286)</f>
        <v>0</v>
      </c>
      <c r="E286" s="2429">
        <f>IF(未审附注之利润及利润分配!E286="",0,未审附注之利润及利润分配!E286)</f>
        <v>0</v>
      </c>
      <c r="F286" s="2403">
        <f>IF(未审附注之利润及利润分配!F286="",0,未审附注之利润及利润分配!F286)</f>
        <v>0</v>
      </c>
      <c r="G286" s="2429">
        <f>IF(未审附注之利润及利润分配!G286="",0,未审附注之利润及利润分配!G286)</f>
        <v>0</v>
      </c>
      <c r="H286" s="2404" t="s">
        <v>1389</v>
      </c>
    </row>
    <row r="287" spans="1:8">
      <c r="A287" s="2410">
        <f>IF(未审附注之利润及利润分配!A287="",0,未审附注之利润及利润分配!A287)</f>
        <v>0</v>
      </c>
      <c r="B287" s="2410">
        <f>IF(未审附注之利润及利润分配!B287="",0,未审附注之利润及利润分配!B287)</f>
        <v>0</v>
      </c>
      <c r="C287" s="2410">
        <f>IF(未审附注之利润及利润分配!C287="",0,未审附注之利润及利润分配!C287)</f>
        <v>0</v>
      </c>
      <c r="D287" s="2403">
        <f>IF(未审附注之利润及利润分配!D287="",0,未审附注之利润及利润分配!D287)</f>
        <v>0</v>
      </c>
      <c r="E287" s="2429">
        <f>IF(未审附注之利润及利润分配!E287="",0,未审附注之利润及利润分配!E287)</f>
        <v>0</v>
      </c>
      <c r="F287" s="2403">
        <f>IF(未审附注之利润及利润分配!F287="",0,未审附注之利润及利润分配!F287)</f>
        <v>0</v>
      </c>
      <c r="G287" s="2429">
        <f>IF(未审附注之利润及利润分配!G287="",0,未审附注之利润及利润分配!G287)</f>
        <v>0</v>
      </c>
      <c r="H287" s="2404" t="s">
        <v>1389</v>
      </c>
    </row>
    <row r="288" spans="1:8">
      <c r="A288" s="2410">
        <f>IF(未审附注之利润及利润分配!A288="",0,未审附注之利润及利润分配!A288)</f>
        <v>0</v>
      </c>
      <c r="B288" s="2410">
        <f>IF(未审附注之利润及利润分配!B288="",0,未审附注之利润及利润分配!B288)</f>
        <v>0</v>
      </c>
      <c r="C288" s="2410">
        <f>IF(未审附注之利润及利润分配!C288="",0,未审附注之利润及利润分配!C288)</f>
        <v>0</v>
      </c>
      <c r="D288" s="2403">
        <f>IF(未审附注之利润及利润分配!D288="",0,未审附注之利润及利润分配!D288)</f>
        <v>0</v>
      </c>
      <c r="E288" s="2429">
        <f>IF(未审附注之利润及利润分配!E288="",0,未审附注之利润及利润分配!E288)</f>
        <v>0</v>
      </c>
      <c r="F288" s="2403">
        <f>IF(未审附注之利润及利润分配!F288="",0,未审附注之利润及利润分配!F288)</f>
        <v>0</v>
      </c>
      <c r="G288" s="2429">
        <f>IF(未审附注之利润及利润分配!G288="",0,未审附注之利润及利润分配!G288)</f>
        <v>0</v>
      </c>
      <c r="H288" s="2404" t="s">
        <v>1389</v>
      </c>
    </row>
    <row r="289" spans="1:8">
      <c r="A289" s="2410">
        <f>IF(未审附注之利润及利润分配!A289="",0,未审附注之利润及利润分配!A289)</f>
        <v>0</v>
      </c>
      <c r="B289" s="2410">
        <f>IF(未审附注之利润及利润分配!B289="",0,未审附注之利润及利润分配!B289)</f>
        <v>0</v>
      </c>
      <c r="C289" s="2410">
        <f>IF(未审附注之利润及利润分配!C289="",0,未审附注之利润及利润分配!C289)</f>
        <v>0</v>
      </c>
      <c r="D289" s="2403">
        <f>IF(未审附注之利润及利润分配!D289="",0,未审附注之利润及利润分配!D289)</f>
        <v>0</v>
      </c>
      <c r="E289" s="2429">
        <f>IF(未审附注之利润及利润分配!E289="",0,未审附注之利润及利润分配!E289)</f>
        <v>0</v>
      </c>
      <c r="F289" s="2403">
        <f>IF(未审附注之利润及利润分配!F289="",0,未审附注之利润及利润分配!F289)</f>
        <v>0</v>
      </c>
      <c r="G289" s="2429">
        <f>IF(未审附注之利润及利润分配!G289="",0,未审附注之利润及利润分配!G289)</f>
        <v>0</v>
      </c>
      <c r="H289" s="2404" t="s">
        <v>1389</v>
      </c>
    </row>
    <row r="290" spans="1:8">
      <c r="A290" s="2410">
        <f>IF(未审附注之利润及利润分配!A290="",0,未审附注之利润及利润分配!A290)</f>
        <v>0</v>
      </c>
      <c r="B290" s="2410">
        <f>IF(未审附注之利润及利润分配!B290="",0,未审附注之利润及利润分配!B290)</f>
        <v>0</v>
      </c>
      <c r="C290" s="2410">
        <f>IF(未审附注之利润及利润分配!C290="",0,未审附注之利润及利润分配!C290)</f>
        <v>0</v>
      </c>
      <c r="D290" s="2403">
        <f>IF(未审附注之利润及利润分配!D290="",0,未审附注之利润及利润分配!D290)</f>
        <v>0</v>
      </c>
      <c r="E290" s="2429">
        <f>IF(未审附注之利润及利润分配!E290="",0,未审附注之利润及利润分配!E290)</f>
        <v>0</v>
      </c>
      <c r="F290" s="2403">
        <f>IF(未审附注之利润及利润分配!F290="",0,未审附注之利润及利润分配!F290)</f>
        <v>0</v>
      </c>
      <c r="G290" s="2429">
        <f>IF(未审附注之利润及利润分配!G290="",0,未审附注之利润及利润分配!G290)</f>
        <v>0</v>
      </c>
      <c r="H290" s="2404" t="s">
        <v>1389</v>
      </c>
    </row>
    <row r="291" spans="1:8">
      <c r="A291" s="2410">
        <f>IF(未审附注之利润及利润分配!A291="",0,未审附注之利润及利润分配!A291)</f>
        <v>0</v>
      </c>
      <c r="B291" s="2410">
        <f>IF(未审附注之利润及利润分配!B291="",0,未审附注之利润及利润分配!B291)</f>
        <v>0</v>
      </c>
      <c r="C291" s="2410">
        <f>IF(未审附注之利润及利润分配!C291="",0,未审附注之利润及利润分配!C291)</f>
        <v>0</v>
      </c>
      <c r="D291" s="2403">
        <f>IF(未审附注之利润及利润分配!D291="",0,未审附注之利润及利润分配!D291)</f>
        <v>0</v>
      </c>
      <c r="E291" s="2429">
        <f>IF(未审附注之利润及利润分配!E291="",0,未审附注之利润及利润分配!E291)</f>
        <v>0</v>
      </c>
      <c r="F291" s="2403">
        <f>IF(未审附注之利润及利润分配!F291="",0,未审附注之利润及利润分配!F291)</f>
        <v>0</v>
      </c>
      <c r="G291" s="2429">
        <f>IF(未审附注之利润及利润分配!G291="",0,未审附注之利润及利润分配!G291)</f>
        <v>0</v>
      </c>
      <c r="H291" s="2404" t="s">
        <v>1389</v>
      </c>
    </row>
    <row r="292" spans="1:8">
      <c r="A292" s="2400" t="s">
        <v>385</v>
      </c>
      <c r="B292" s="2369"/>
      <c r="C292" s="2369"/>
      <c r="D292" s="2369">
        <f>ROUND(SUM(D282:D291),2)</f>
        <v>0</v>
      </c>
      <c r="E292" s="2429">
        <f>IF(未审附注之利润及利润分配!E292="",0,未审附注之利润及利润分配!E292)</f>
        <v>0</v>
      </c>
      <c r="F292" s="2369">
        <f>ROUND(SUM(F282:F291),2)</f>
        <v>0</v>
      </c>
      <c r="G292" s="2429">
        <f>IF(未审附注之利润及利润分配!G292="",0,未审附注之利润及利润分配!G292)</f>
        <v>0</v>
      </c>
      <c r="H292" s="2404" t="s">
        <v>1390</v>
      </c>
    </row>
    <row r="293" spans="1:8">
      <c r="A293" s="2398"/>
      <c r="B293" s="2398"/>
      <c r="C293" s="2398"/>
      <c r="D293" s="2398"/>
      <c r="E293" s="2398"/>
      <c r="F293" s="2398"/>
      <c r="G293" s="2398"/>
      <c r="H293" s="2404" t="s">
        <v>630</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C7" sqref="C7"/>
    </sheetView>
  </sheetViews>
  <sheetFormatPr defaultColWidth="9" defaultRowHeight="14.25"/>
  <cols>
    <col min="1" max="1" width="21.875" customWidth="1"/>
    <col min="2" max="2" width="4.5" customWidth="1"/>
    <col min="3" max="8" width="10.875" customWidth="1"/>
  </cols>
  <sheetData>
    <row r="1" ht="27.75" customHeight="1" spans="1:8">
      <c r="A1" s="2103" t="s">
        <v>1975</v>
      </c>
      <c r="B1" s="2103"/>
      <c r="C1" s="2103"/>
      <c r="D1" s="2103"/>
      <c r="E1" s="2103"/>
      <c r="F1" s="2103"/>
      <c r="G1" s="2103"/>
      <c r="H1" s="2103"/>
    </row>
    <row r="2" ht="15" customHeight="1" spans="1:9">
      <c r="A2" s="2205" t="str">
        <f>IF(OR(C2&lt;&gt;0,D2&lt;&gt;0,F2&lt;&gt;0,G2&lt;&gt;0),"对应期间报表数不平，相差：","")</f>
        <v/>
      </c>
      <c r="B2" s="2205"/>
      <c r="C2" s="2105">
        <f>ROUND(C48-C96,2)</f>
        <v>0</v>
      </c>
      <c r="D2" s="2105"/>
      <c r="E2" s="2105"/>
      <c r="F2" s="2105">
        <f>ROUND(F48-F96,2)</f>
        <v>0</v>
      </c>
      <c r="G2" s="2105"/>
      <c r="H2" s="2105"/>
      <c r="I2" s="2351"/>
    </row>
    <row r="3" ht="15" customHeight="1" spans="1:9">
      <c r="A3" s="2337" t="str">
        <f>"编制单位："&amp;参数表!C3</f>
        <v>编制单位：深圳新阳蓝光能源管理科技股份有限公司</v>
      </c>
      <c r="B3" s="2338"/>
      <c r="C3" s="2137"/>
      <c r="D3" s="2378"/>
      <c r="E3" s="2379">
        <f>参数表!G7</f>
        <v>42735</v>
      </c>
      <c r="F3" s="2206"/>
      <c r="G3" s="2207"/>
      <c r="H3" s="2137" t="s">
        <v>1392</v>
      </c>
      <c r="I3" s="2351"/>
    </row>
    <row r="4" customHeight="1" spans="1:9">
      <c r="A4" s="2211" t="s">
        <v>192</v>
      </c>
      <c r="B4" s="2212" t="s">
        <v>62</v>
      </c>
      <c r="C4" s="2213" t="str">
        <f>IF(参数表!$C$12="本期间为特定年","年末余额","期末余额")</f>
        <v>年末余额</v>
      </c>
      <c r="D4" s="2213"/>
      <c r="E4" s="2213"/>
      <c r="F4" s="2213" t="str">
        <f>IF(参数表!$C$12="本期间为特定年","年初余额","期初余额")</f>
        <v>年初余额</v>
      </c>
      <c r="G4" s="2213"/>
      <c r="H4" s="2214"/>
      <c r="I4" s="2351"/>
    </row>
    <row r="5" customHeight="1" spans="1:9">
      <c r="A5" s="2215"/>
      <c r="B5" s="2216"/>
      <c r="C5" s="2217" t="s">
        <v>1976</v>
      </c>
      <c r="D5" s="2217" t="s">
        <v>1977</v>
      </c>
      <c r="E5" s="2217" t="s">
        <v>1395</v>
      </c>
      <c r="F5" s="2217" t="s">
        <v>1976</v>
      </c>
      <c r="G5" s="2217" t="s">
        <v>1977</v>
      </c>
      <c r="H5" s="2218" t="s">
        <v>1395</v>
      </c>
      <c r="I5" s="2351"/>
    </row>
    <row r="6" customHeight="1" spans="1:9">
      <c r="A6" s="2219" t="s">
        <v>194</v>
      </c>
      <c r="B6" s="2380"/>
      <c r="C6" s="2343"/>
      <c r="D6" s="2221"/>
      <c r="E6" s="2222"/>
      <c r="F6" s="2221"/>
      <c r="G6" s="2222"/>
      <c r="H6" s="2229"/>
      <c r="I6" s="2355"/>
    </row>
    <row r="7" customHeight="1" spans="1:8">
      <c r="A7" s="2226" t="s">
        <v>196</v>
      </c>
      <c r="B7" s="2381"/>
      <c r="C7" s="2222">
        <f>ROUND(审定资负表!C7,2)</f>
        <v>203715132.36</v>
      </c>
      <c r="D7" s="2222">
        <f>审定附注之流动资产!D24</f>
        <v>0</v>
      </c>
      <c r="E7" s="2222">
        <f t="shared" ref="E7:E18" si="0">IF(D7="",0,ROUND(D7-C7,2))</f>
        <v>-203715132.36</v>
      </c>
      <c r="F7" s="2222">
        <f>ROUND(审定资负表!D7,2)</f>
        <v>76914775.62</v>
      </c>
      <c r="G7" s="2222">
        <f>审定附注之流动资产!G24</f>
        <v>0</v>
      </c>
      <c r="H7" s="2229">
        <f>IF(G7="",0,ROUND(G7-F7,2))</f>
        <v>-76914775.62</v>
      </c>
    </row>
    <row r="8" customHeight="1" spans="1:8">
      <c r="A8" s="2226" t="s">
        <v>1396</v>
      </c>
      <c r="B8" s="2381"/>
      <c r="C8" s="2222">
        <f>ROUND(审定资负表!C8,2)</f>
        <v>0</v>
      </c>
      <c r="D8" s="2222">
        <f>审定附注之流动资产!B77</f>
        <v>0</v>
      </c>
      <c r="E8" s="2222">
        <f t="shared" si="0"/>
        <v>0</v>
      </c>
      <c r="F8" s="2222">
        <f>ROUND(审定资负表!D8,2)</f>
        <v>0</v>
      </c>
      <c r="G8" s="2222">
        <f>审定附注之流动资产!C77</f>
        <v>0</v>
      </c>
      <c r="H8" s="2229">
        <f t="shared" ref="H8:H18" si="1">IF(G8="",0,ROUND(G8-F8,2))</f>
        <v>0</v>
      </c>
    </row>
    <row r="9" customHeight="1" spans="1:8">
      <c r="A9" s="2226" t="s">
        <v>200</v>
      </c>
      <c r="B9" s="2381"/>
      <c r="C9" s="2222">
        <f>ROUND(审定资负表!C9,2)</f>
        <v>0</v>
      </c>
      <c r="D9" s="2222">
        <f>审定附注之流动资产!B99</f>
        <v>0</v>
      </c>
      <c r="E9" s="2222">
        <f t="shared" si="0"/>
        <v>0</v>
      </c>
      <c r="F9" s="2222">
        <f>ROUND(审定资负表!D9,2)</f>
        <v>0</v>
      </c>
      <c r="G9" s="2222">
        <f>审定附注之流动资产!C99</f>
        <v>0</v>
      </c>
      <c r="H9" s="2229">
        <f t="shared" si="1"/>
        <v>0</v>
      </c>
    </row>
    <row r="10" customHeight="1" spans="1:8">
      <c r="A10" s="2226" t="s">
        <v>202</v>
      </c>
      <c r="B10" s="2381"/>
      <c r="C10" s="2222">
        <f>ROUND(审定资负表!C10,2)</f>
        <v>21581677.38</v>
      </c>
      <c r="D10" s="2222">
        <f>审定附注之流动资产!B244-审定附注之流动资产!D244</f>
        <v>0</v>
      </c>
      <c r="E10" s="2222">
        <f t="shared" si="0"/>
        <v>-21581677.38</v>
      </c>
      <c r="F10" s="2222">
        <f>ROUND(审定资负表!D10,2)</f>
        <v>26136913.6</v>
      </c>
      <c r="G10" s="2222">
        <f>审定附注之流动资产!F244-审定附注之流动资产!H244</f>
        <v>0</v>
      </c>
      <c r="H10" s="2229">
        <f t="shared" si="1"/>
        <v>-26136913.6</v>
      </c>
    </row>
    <row r="11" customHeight="1" spans="1:8">
      <c r="A11" s="2226" t="s">
        <v>204</v>
      </c>
      <c r="B11" s="2381"/>
      <c r="C11" s="2222">
        <f>ROUND(审定资负表!C11,2)</f>
        <v>1579739.99</v>
      </c>
      <c r="D11" s="2222">
        <f>审定附注之流动资产!B526</f>
        <v>0</v>
      </c>
      <c r="E11" s="2222">
        <f t="shared" si="0"/>
        <v>-1579739.99</v>
      </c>
      <c r="F11" s="2222">
        <f>ROUND(审定资负表!D11,2)</f>
        <v>2096781.42</v>
      </c>
      <c r="G11" s="2222">
        <f>审定附注之流动资产!D526</f>
        <v>0</v>
      </c>
      <c r="H11" s="2229">
        <f t="shared" si="1"/>
        <v>-2096781.42</v>
      </c>
    </row>
    <row r="12" customHeight="1" spans="1:8">
      <c r="A12" s="2226" t="s">
        <v>206</v>
      </c>
      <c r="B12" s="2381"/>
      <c r="C12" s="2222">
        <f>ROUND(审定资负表!C12,2)</f>
        <v>5230925.94</v>
      </c>
      <c r="D12" s="2222">
        <f>审定附注之流动资产!B231</f>
        <v>0</v>
      </c>
      <c r="E12" s="2222">
        <f t="shared" si="0"/>
        <v>-5230925.94</v>
      </c>
      <c r="F12" s="2222">
        <f>ROUND(审定资负表!D12,2)</f>
        <v>5230925.94</v>
      </c>
      <c r="G12" s="2222">
        <f>审定附注之流动资产!C231</f>
        <v>0</v>
      </c>
      <c r="H12" s="2229">
        <f t="shared" si="1"/>
        <v>-5230925.94</v>
      </c>
    </row>
    <row r="13" customHeight="1" spans="1:8">
      <c r="A13" s="2226" t="s">
        <v>208</v>
      </c>
      <c r="B13" s="2381"/>
      <c r="C13" s="2222">
        <f>ROUND(审定资负表!C13,2)</f>
        <v>0</v>
      </c>
      <c r="D13" s="2222">
        <f>审定附注之流动资产!B200</f>
        <v>0</v>
      </c>
      <c r="E13" s="2222">
        <f t="shared" si="0"/>
        <v>0</v>
      </c>
      <c r="F13" s="2222">
        <f>ROUND(审定资负表!D13,2)</f>
        <v>0</v>
      </c>
      <c r="G13" s="2222">
        <f>审定附注之流动资产!C200</f>
        <v>0</v>
      </c>
      <c r="H13" s="2229">
        <f t="shared" si="1"/>
        <v>0</v>
      </c>
    </row>
    <row r="14" customHeight="1" spans="1:8">
      <c r="A14" s="2226" t="s">
        <v>210</v>
      </c>
      <c r="B14" s="2381"/>
      <c r="C14" s="2222">
        <f>ROUND(审定资负表!C14,2)</f>
        <v>17472054.83</v>
      </c>
      <c r="D14" s="2222">
        <f>审定附注之流动资产!B386-审定附注之流动资产!D386</f>
        <v>0</v>
      </c>
      <c r="E14" s="2222">
        <f t="shared" si="0"/>
        <v>-17472054.83</v>
      </c>
      <c r="F14" s="2222">
        <f>ROUND(审定资负表!D14,2)</f>
        <v>16982264.67</v>
      </c>
      <c r="G14" s="2222">
        <f>审定附注之流动资产!F386-审定附注之流动资产!H386</f>
        <v>0</v>
      </c>
      <c r="H14" s="2229">
        <f t="shared" si="1"/>
        <v>-16982264.67</v>
      </c>
    </row>
    <row r="15" customHeight="1" spans="1:8">
      <c r="A15" s="2226" t="s">
        <v>212</v>
      </c>
      <c r="B15" s="2381"/>
      <c r="C15" s="2222">
        <f>ROUND(审定资负表!C15,2)</f>
        <v>31962413.89</v>
      </c>
      <c r="D15" s="2222">
        <f>审定附注之流动资产!F604-审定附注之流动资产!F620</f>
        <v>0</v>
      </c>
      <c r="E15" s="2222">
        <f t="shared" si="0"/>
        <v>-31962413.89</v>
      </c>
      <c r="F15" s="2222">
        <f>ROUND(审定资负表!D15,2)</f>
        <v>9826768.95</v>
      </c>
      <c r="G15" s="2222">
        <f>审定附注之流动资产!B604-审定附注之流动资产!B620</f>
        <v>0</v>
      </c>
      <c r="H15" s="2229">
        <f t="shared" si="1"/>
        <v>-9826768.95</v>
      </c>
    </row>
    <row r="16" customHeight="1" spans="1:8">
      <c r="A16" s="2226" t="s">
        <v>214</v>
      </c>
      <c r="B16" s="2381"/>
      <c r="C16" s="2222">
        <f>ROUND(审定资负表!C16,2)</f>
        <v>10231163.73</v>
      </c>
      <c r="D16" s="2222"/>
      <c r="E16" s="2222">
        <f t="shared" si="0"/>
        <v>0</v>
      </c>
      <c r="F16" s="2222">
        <f>ROUND(审定资负表!D16,2)</f>
        <v>2192971</v>
      </c>
      <c r="G16" s="2222"/>
      <c r="H16" s="2229">
        <f t="shared" si="1"/>
        <v>0</v>
      </c>
    </row>
    <row r="17" customHeight="1" spans="1:8">
      <c r="A17" s="2226" t="s">
        <v>216</v>
      </c>
      <c r="B17" s="2381"/>
      <c r="C17" s="2222">
        <f>ROUND(审定资负表!C17,2)</f>
        <v>2044868.72</v>
      </c>
      <c r="D17" s="2222">
        <f>审定附注之流动资产!B635</f>
        <v>0</v>
      </c>
      <c r="E17" s="2222">
        <f t="shared" si="0"/>
        <v>-2044868.72</v>
      </c>
      <c r="F17" s="2222">
        <f>ROUND(审定资负表!D17,2)</f>
        <v>893168.56</v>
      </c>
      <c r="G17" s="2222">
        <f>审定附注之流动资产!C635</f>
        <v>0</v>
      </c>
      <c r="H17" s="2229">
        <f t="shared" si="1"/>
        <v>-893168.56</v>
      </c>
    </row>
    <row r="18" customHeight="1" spans="1:8">
      <c r="A18" s="2226" t="str">
        <f>IF(未审资负表!A18="","",未审资负表!A18)</f>
        <v>持有待售资产</v>
      </c>
      <c r="B18" s="2381"/>
      <c r="C18" s="2222">
        <f>ROUND(审定资负表!C18,2)</f>
        <v>0</v>
      </c>
      <c r="D18" s="2222"/>
      <c r="E18" s="2222">
        <f t="shared" si="0"/>
        <v>0</v>
      </c>
      <c r="F18" s="2222">
        <f>ROUND(审定资负表!D18,2)</f>
        <v>0</v>
      </c>
      <c r="G18" s="2222"/>
      <c r="H18" s="2229">
        <f t="shared" si="1"/>
        <v>0</v>
      </c>
    </row>
    <row r="19" customHeight="1" spans="1:8">
      <c r="A19" s="2231" t="s">
        <v>220</v>
      </c>
      <c r="B19" s="2232"/>
      <c r="C19" s="2344">
        <f>ROUND(SUM(C7:C18),2)</f>
        <v>293817976.84</v>
      </c>
      <c r="D19" s="2344"/>
      <c r="E19" s="2344"/>
      <c r="F19" s="2344">
        <f>ROUND(SUM(F7:F18),2)</f>
        <v>140274569.76</v>
      </c>
      <c r="G19" s="2344"/>
      <c r="H19" s="2357"/>
    </row>
    <row r="20" customHeight="1" spans="1:8">
      <c r="A20" s="2233"/>
      <c r="B20" s="2381"/>
      <c r="C20" s="2222"/>
      <c r="D20" s="2222"/>
      <c r="E20" s="2222"/>
      <c r="F20" s="2222"/>
      <c r="G20" s="2222"/>
      <c r="H20" s="2229"/>
    </row>
    <row r="21" customHeight="1" spans="1:8">
      <c r="A21" s="2219" t="s">
        <v>223</v>
      </c>
      <c r="B21" s="2380"/>
      <c r="C21" s="2222"/>
      <c r="D21" s="2222"/>
      <c r="E21" s="2222"/>
      <c r="F21" s="2222"/>
      <c r="G21" s="2222"/>
      <c r="H21" s="2229"/>
    </row>
    <row r="22" customHeight="1" spans="1:8">
      <c r="A22" s="2226" t="s">
        <v>224</v>
      </c>
      <c r="B22" s="2381"/>
      <c r="C22" s="2222">
        <f>ROUND(审定资负表!C22,2)</f>
        <v>0</v>
      </c>
      <c r="D22" s="2222">
        <f>审定附注之非流动资产!B9</f>
        <v>0</v>
      </c>
      <c r="E22" s="2222">
        <f t="shared" ref="E22:E39" si="2">IF(D22="",0,ROUND(D22-C22,2))</f>
        <v>0</v>
      </c>
      <c r="F22" s="2222">
        <f>ROUND(审定资负表!D22,2)</f>
        <v>0</v>
      </c>
      <c r="G22" s="2222">
        <f>审定附注之非流动资产!E9</f>
        <v>0</v>
      </c>
      <c r="H22" s="2229">
        <f t="shared" ref="H22:H39" si="3">IF(G22="",0,ROUND(G22-F22,2))</f>
        <v>0</v>
      </c>
    </row>
    <row r="23" customHeight="1" spans="1:8">
      <c r="A23" s="2226" t="s">
        <v>226</v>
      </c>
      <c r="B23" s="2381"/>
      <c r="C23" s="2222">
        <f>ROUND(审定资负表!C23,2)</f>
        <v>0</v>
      </c>
      <c r="D23" s="2222">
        <f>审定附注之非流动资产!B39</f>
        <v>0</v>
      </c>
      <c r="E23" s="2222">
        <f t="shared" si="2"/>
        <v>0</v>
      </c>
      <c r="F23" s="2222">
        <f>ROUND(审定资负表!D23,2)</f>
        <v>0</v>
      </c>
      <c r="G23" s="2222">
        <f>审定附注之非流动资产!C39</f>
        <v>0</v>
      </c>
      <c r="H23" s="2229">
        <f t="shared" si="3"/>
        <v>0</v>
      </c>
    </row>
    <row r="24" customHeight="1" spans="1:8">
      <c r="A24" s="2226" t="s">
        <v>228</v>
      </c>
      <c r="B24" s="2381"/>
      <c r="C24" s="2222">
        <f>ROUND(审定资负表!C24,2)</f>
        <v>71889420.62</v>
      </c>
      <c r="D24" s="2222">
        <f>审定附注之非流动资产!B62</f>
        <v>0</v>
      </c>
      <c r="E24" s="2222">
        <f t="shared" si="2"/>
        <v>-71889420.62</v>
      </c>
      <c r="F24" s="2222">
        <f>ROUND(审定资负表!D24,2)</f>
        <v>9658781.06</v>
      </c>
      <c r="G24" s="2222">
        <f>审定附注之非流动资产!C62</f>
        <v>0</v>
      </c>
      <c r="H24" s="2229">
        <f t="shared" si="3"/>
        <v>-9658781.06</v>
      </c>
    </row>
    <row r="25" customHeight="1" spans="1:8">
      <c r="A25" s="2226" t="s">
        <v>230</v>
      </c>
      <c r="B25" s="2381"/>
      <c r="C25" s="2222">
        <f>ROUND(审定资负表!C25,2)</f>
        <v>4000000</v>
      </c>
      <c r="D25" s="2222">
        <f>审定附注之非流动资产!F94-审定附注之非流动资产!F124</f>
        <v>0</v>
      </c>
      <c r="E25" s="2222">
        <f t="shared" si="2"/>
        <v>-4000000</v>
      </c>
      <c r="F25" s="2222">
        <f>ROUND(审定资负表!D25,2)</f>
        <v>4000000</v>
      </c>
      <c r="G25" s="2222">
        <f>审定附注之非流动资产!C94-审定附注之非流动资产!C124</f>
        <v>0</v>
      </c>
      <c r="H25" s="2229">
        <f t="shared" si="3"/>
        <v>-4000000</v>
      </c>
    </row>
    <row r="26" customHeight="1" spans="1:8">
      <c r="A26" s="2226" t="s">
        <v>232</v>
      </c>
      <c r="B26" s="2381"/>
      <c r="C26" s="2222">
        <f>ROUND(审定资负表!C26,2)</f>
        <v>0</v>
      </c>
      <c r="D26" s="2222">
        <f>审定附注之非流动资产!E199+审定附注之非流动资产!E217</f>
        <v>0</v>
      </c>
      <c r="E26" s="2222">
        <f t="shared" si="2"/>
        <v>0</v>
      </c>
      <c r="F26" s="2222">
        <f>ROUND(审定资负表!D26,2)</f>
        <v>0</v>
      </c>
      <c r="G26" s="2222">
        <f>审定附注之非流动资产!B199+审定附注之非流动资产!B217</f>
        <v>0</v>
      </c>
      <c r="H26" s="2229">
        <f t="shared" si="3"/>
        <v>0</v>
      </c>
    </row>
    <row r="27" customHeight="1" spans="1:8">
      <c r="A27" s="2226" t="s">
        <v>234</v>
      </c>
      <c r="B27" s="2381"/>
      <c r="C27" s="2222">
        <f>ROUND(审定资负表!C27,2)</f>
        <v>63138192.37</v>
      </c>
      <c r="D27" s="2222">
        <f>审定附注之非流动资产!E257</f>
        <v>0</v>
      </c>
      <c r="E27" s="2222">
        <f t="shared" si="2"/>
        <v>-63138192.37</v>
      </c>
      <c r="F27" s="2222">
        <f>ROUND(审定资负表!D27,2)</f>
        <v>67613790.3</v>
      </c>
      <c r="G27" s="2222">
        <f>审定附注之非流动资产!B257</f>
        <v>0</v>
      </c>
      <c r="H27" s="2229">
        <f t="shared" si="3"/>
        <v>-67613790.3</v>
      </c>
    </row>
    <row r="28" customHeight="1" spans="1:8">
      <c r="A28" s="2226" t="s">
        <v>236</v>
      </c>
      <c r="B28" s="2381"/>
      <c r="C28" s="2222">
        <f>ROUND(审定资负表!C28,2)</f>
        <v>50697993.93</v>
      </c>
      <c r="D28" s="2222">
        <f>审定附注之非流动资产!G331-审定附注之非流动资产!F359</f>
        <v>0</v>
      </c>
      <c r="E28" s="2222">
        <f t="shared" si="2"/>
        <v>-50697993.93</v>
      </c>
      <c r="F28" s="2222">
        <f>ROUND(审定资负表!D28,2)</f>
        <v>2327419.91</v>
      </c>
      <c r="G28" s="2222">
        <f>审定附注之非流动资产!C331-审定附注之非流动资产!B359</f>
        <v>0</v>
      </c>
      <c r="H28" s="2229">
        <f t="shared" si="3"/>
        <v>-2327419.91</v>
      </c>
    </row>
    <row r="29" customHeight="1" spans="1:8">
      <c r="A29" s="2226" t="s">
        <v>238</v>
      </c>
      <c r="B29" s="2381"/>
      <c r="C29" s="2222">
        <f>ROUND(审定资负表!C29,2)</f>
        <v>0</v>
      </c>
      <c r="D29" s="2222">
        <f>审定附注之非流动资产!B374</f>
        <v>0</v>
      </c>
      <c r="E29" s="2222">
        <f t="shared" si="2"/>
        <v>0</v>
      </c>
      <c r="F29" s="2222">
        <f>ROUND(审定资负表!D29,2)</f>
        <v>0</v>
      </c>
      <c r="G29" s="2222">
        <f>审定附注之非流动资产!C374</f>
        <v>0</v>
      </c>
      <c r="H29" s="2229">
        <f t="shared" si="3"/>
        <v>0</v>
      </c>
    </row>
    <row r="30" customHeight="1" spans="1:8">
      <c r="A30" s="2226" t="s">
        <v>240</v>
      </c>
      <c r="B30" s="2381"/>
      <c r="C30" s="2222">
        <f>ROUND(审定资负表!C30,2)</f>
        <v>0</v>
      </c>
      <c r="D30" s="2222">
        <f>审定附注之非流动资产!B389</f>
        <v>0</v>
      </c>
      <c r="E30" s="2222">
        <f t="shared" si="2"/>
        <v>0</v>
      </c>
      <c r="F30" s="2222">
        <f>ROUND(审定资负表!D30,2)</f>
        <v>0</v>
      </c>
      <c r="G30" s="2222">
        <f>审定附注之非流动资产!C389</f>
        <v>0</v>
      </c>
      <c r="H30" s="2229">
        <f t="shared" si="3"/>
        <v>0</v>
      </c>
    </row>
    <row r="31" customHeight="1" spans="1:8">
      <c r="A31" s="2226" t="s">
        <v>242</v>
      </c>
      <c r="B31" s="2381"/>
      <c r="C31" s="2222">
        <f>ROUND(审定资负表!C31,2)</f>
        <v>0</v>
      </c>
      <c r="D31" s="2222">
        <f>审定附注之非流动资产!E447</f>
        <v>0</v>
      </c>
      <c r="E31" s="2222">
        <f t="shared" si="2"/>
        <v>0</v>
      </c>
      <c r="F31" s="2222">
        <f>ROUND(审定资负表!D31,2)</f>
        <v>0</v>
      </c>
      <c r="G31" s="2222">
        <f>审定附注之非流动资产!B447</f>
        <v>0</v>
      </c>
      <c r="H31" s="2229">
        <f t="shared" si="3"/>
        <v>0</v>
      </c>
    </row>
    <row r="32" customHeight="1" spans="1:8">
      <c r="A32" s="2226" t="s">
        <v>244</v>
      </c>
      <c r="B32" s="2381"/>
      <c r="C32" s="2222">
        <f>ROUND(审定资负表!C32,2)</f>
        <v>0</v>
      </c>
      <c r="D32" s="2222">
        <f>审定附注之非流动资产!E516</f>
        <v>0</v>
      </c>
      <c r="E32" s="2222">
        <f t="shared" si="2"/>
        <v>0</v>
      </c>
      <c r="F32" s="2222">
        <f>ROUND(审定资负表!D32,2)</f>
        <v>0</v>
      </c>
      <c r="G32" s="2222">
        <f>审定附注之非流动资产!B516</f>
        <v>0</v>
      </c>
      <c r="H32" s="2229">
        <f t="shared" si="3"/>
        <v>0</v>
      </c>
    </row>
    <row r="33" customHeight="1" spans="1:8">
      <c r="A33" s="2226" t="s">
        <v>245</v>
      </c>
      <c r="B33" s="2381"/>
      <c r="C33" s="2222">
        <f>ROUND(审定资负表!C33,2)</f>
        <v>10000</v>
      </c>
      <c r="D33" s="2222">
        <f>审定附注之非流动资产!E561</f>
        <v>0</v>
      </c>
      <c r="E33" s="2222">
        <f t="shared" si="2"/>
        <v>-10000</v>
      </c>
      <c r="F33" s="2222">
        <f>ROUND(审定资负表!D33,2)</f>
        <v>16000</v>
      </c>
      <c r="G33" s="2222">
        <f>审定附注之非流动资产!B561</f>
        <v>0</v>
      </c>
      <c r="H33" s="2229">
        <f t="shared" si="3"/>
        <v>-16000</v>
      </c>
    </row>
    <row r="34" customHeight="1" spans="1:8">
      <c r="A34" s="2226" t="s">
        <v>247</v>
      </c>
      <c r="B34" s="2381"/>
      <c r="C34" s="2222">
        <f>ROUND(审定资负表!C34,2)</f>
        <v>0</v>
      </c>
      <c r="D34" s="2222"/>
      <c r="E34" s="2222">
        <f t="shared" si="2"/>
        <v>0</v>
      </c>
      <c r="F34" s="2222">
        <f>ROUND(审定资负表!D34,2)</f>
        <v>0</v>
      </c>
      <c r="G34" s="2222"/>
      <c r="H34" s="2229">
        <f t="shared" si="3"/>
        <v>0</v>
      </c>
    </row>
    <row r="35" customHeight="1" spans="1:8">
      <c r="A35" s="2226" t="s">
        <v>248</v>
      </c>
      <c r="B35" s="2381"/>
      <c r="C35" s="2222">
        <f>ROUND(审定资负表!C35,2)</f>
        <v>0</v>
      </c>
      <c r="D35" s="2222">
        <f>审定附注之非流动资产!E614</f>
        <v>0</v>
      </c>
      <c r="E35" s="2222">
        <f t="shared" si="2"/>
        <v>0</v>
      </c>
      <c r="F35" s="2222">
        <f>ROUND(审定资负表!D35,2)</f>
        <v>0</v>
      </c>
      <c r="G35" s="2222">
        <f>审定附注之非流动资产!B614</f>
        <v>0</v>
      </c>
      <c r="H35" s="2229">
        <f t="shared" si="3"/>
        <v>0</v>
      </c>
    </row>
    <row r="36" customHeight="1" spans="1:8">
      <c r="A36" s="2226" t="s">
        <v>250</v>
      </c>
      <c r="B36" s="2381"/>
      <c r="C36" s="2222">
        <f>ROUND(审定资负表!C36,2)</f>
        <v>170458.45</v>
      </c>
      <c r="D36" s="2222">
        <f>审定附注之非流动资产!F629</f>
        <v>0</v>
      </c>
      <c r="E36" s="2222">
        <f t="shared" si="2"/>
        <v>-170458.45</v>
      </c>
      <c r="F36" s="2222">
        <f>ROUND(审定资负表!D36,2)</f>
        <v>378415.02</v>
      </c>
      <c r="G36" s="2222">
        <f>审定附注之非流动资产!C629</f>
        <v>0</v>
      </c>
      <c r="H36" s="2229">
        <f t="shared" si="3"/>
        <v>-378415.02</v>
      </c>
    </row>
    <row r="37" customHeight="1" spans="1:8">
      <c r="A37" s="2226" t="s">
        <v>252</v>
      </c>
      <c r="B37" s="2381"/>
      <c r="C37" s="2222">
        <f>ROUND(审定资负表!C37,2)</f>
        <v>1554610.58</v>
      </c>
      <c r="D37" s="2222">
        <f>审定附注之非流动资产!B660</f>
        <v>0</v>
      </c>
      <c r="E37" s="2222">
        <f t="shared" si="2"/>
        <v>-1554610.58</v>
      </c>
      <c r="F37" s="2222">
        <f>ROUND(审定资负表!D37,2)</f>
        <v>810692.23</v>
      </c>
      <c r="G37" s="2222">
        <f>审定附注之非流动资产!C660</f>
        <v>0</v>
      </c>
      <c r="H37" s="2229">
        <f t="shared" si="3"/>
        <v>-810692.23</v>
      </c>
    </row>
    <row r="38" customHeight="1" spans="1:8">
      <c r="A38" s="2226" t="s">
        <v>254</v>
      </c>
      <c r="B38" s="2381"/>
      <c r="C38" s="2222">
        <f>ROUND(审定资负表!C38,2)</f>
        <v>0</v>
      </c>
      <c r="D38" s="2222">
        <f>审定附注之非流动资产!B644</f>
        <v>0</v>
      </c>
      <c r="E38" s="2222">
        <f t="shared" si="2"/>
        <v>0</v>
      </c>
      <c r="F38" s="2222">
        <f>ROUND(审定资负表!D38,2)</f>
        <v>0</v>
      </c>
      <c r="G38" s="2222">
        <f>审定附注之非流动资产!C644</f>
        <v>0</v>
      </c>
      <c r="H38" s="2229">
        <f t="shared" si="3"/>
        <v>0</v>
      </c>
    </row>
    <row r="39" customHeight="1" spans="1:8">
      <c r="A39" s="2226" t="str">
        <f>IF(未审资负表!A39="","",未审资负表!A39)</f>
        <v/>
      </c>
      <c r="B39" s="2381"/>
      <c r="C39" s="2222">
        <f>ROUND(审定资负表!C39,2)</f>
        <v>0</v>
      </c>
      <c r="D39" s="2222"/>
      <c r="E39" s="2222">
        <f t="shared" si="2"/>
        <v>0</v>
      </c>
      <c r="F39" s="2222">
        <f>ROUND(审定资负表!D39,2)</f>
        <v>0</v>
      </c>
      <c r="G39" s="2222"/>
      <c r="H39" s="2229">
        <f t="shared" si="3"/>
        <v>0</v>
      </c>
    </row>
    <row r="40" customHeight="1" spans="1:8">
      <c r="A40" s="2231" t="s">
        <v>257</v>
      </c>
      <c r="B40" s="2381"/>
      <c r="C40" s="2344">
        <f>ROUND(SUM(C22:C39),2)</f>
        <v>191460675.95</v>
      </c>
      <c r="D40" s="2344"/>
      <c r="E40" s="2344"/>
      <c r="F40" s="2344">
        <f>ROUND(SUM(F22:F39),2)</f>
        <v>84805098.52</v>
      </c>
      <c r="G40" s="2344"/>
      <c r="H40" s="2357"/>
    </row>
    <row r="41" customHeight="1" spans="1:8">
      <c r="A41" s="2243"/>
      <c r="B41" s="2381"/>
      <c r="C41" s="2222"/>
      <c r="D41" s="2222"/>
      <c r="E41" s="2222"/>
      <c r="F41" s="2222"/>
      <c r="G41" s="2222"/>
      <c r="H41" s="2229"/>
    </row>
    <row r="42" customHeight="1" spans="1:8">
      <c r="A42" s="2243"/>
      <c r="B42" s="2381"/>
      <c r="C42" s="2222"/>
      <c r="D42" s="2222"/>
      <c r="E42" s="2222"/>
      <c r="F42" s="2222"/>
      <c r="G42" s="2222"/>
      <c r="H42" s="2229"/>
    </row>
    <row r="43" customHeight="1" spans="1:8">
      <c r="A43" s="2243"/>
      <c r="B43" s="2232"/>
      <c r="C43" s="2222"/>
      <c r="D43" s="2222"/>
      <c r="E43" s="2222"/>
      <c r="F43" s="2222"/>
      <c r="G43" s="2222"/>
      <c r="H43" s="2229"/>
    </row>
    <row r="44" customHeight="1" spans="1:8">
      <c r="A44" s="2243"/>
      <c r="B44" s="2381"/>
      <c r="C44" s="2222"/>
      <c r="D44" s="2222"/>
      <c r="E44" s="2222"/>
      <c r="F44" s="2222"/>
      <c r="G44" s="2222"/>
      <c r="H44" s="2229"/>
    </row>
    <row r="45" customHeight="1" spans="1:8">
      <c r="A45" s="2243"/>
      <c r="B45" s="2381"/>
      <c r="C45" s="2222"/>
      <c r="D45" s="2222"/>
      <c r="E45" s="2222"/>
      <c r="F45" s="2222"/>
      <c r="G45" s="2222"/>
      <c r="H45" s="2229"/>
    </row>
    <row r="46" customHeight="1" spans="1:8">
      <c r="A46" s="2243"/>
      <c r="B46" s="2381"/>
      <c r="C46" s="2222"/>
      <c r="D46" s="2222"/>
      <c r="E46" s="2222"/>
      <c r="F46" s="2222"/>
      <c r="G46" s="2222"/>
      <c r="H46" s="2229"/>
    </row>
    <row r="47" customHeight="1" spans="1:8">
      <c r="A47" s="2243"/>
      <c r="B47" s="2381"/>
      <c r="C47" s="2222"/>
      <c r="D47" s="2222"/>
      <c r="E47" s="2222"/>
      <c r="F47" s="2222"/>
      <c r="G47" s="2222"/>
      <c r="H47" s="2229"/>
    </row>
    <row r="48" customHeight="1" spans="1:8">
      <c r="A48" s="2247" t="s">
        <v>264</v>
      </c>
      <c r="B48" s="2248"/>
      <c r="C48" s="2345">
        <f>ROUND(C19+C40,2)</f>
        <v>485278652.79</v>
      </c>
      <c r="D48" s="2345"/>
      <c r="E48" s="2345"/>
      <c r="F48" s="2345">
        <f>ROUND(F19+F40,2)</f>
        <v>225079668.28</v>
      </c>
      <c r="G48" s="2345"/>
      <c r="H48" s="2382"/>
    </row>
    <row r="49" ht="27.75" customHeight="1" spans="1:8">
      <c r="A49" s="2383" t="s">
        <v>1978</v>
      </c>
      <c r="B49" s="2383"/>
      <c r="C49" s="2383"/>
      <c r="D49" s="2383"/>
      <c r="E49" s="2383"/>
      <c r="F49" s="2383"/>
      <c r="G49" s="2383"/>
      <c r="H49" s="2383"/>
    </row>
    <row r="50" ht="15" customHeight="1" spans="1:9">
      <c r="A50" s="2205"/>
      <c r="B50" s="2205"/>
      <c r="C50" s="2105"/>
      <c r="D50" s="2105"/>
      <c r="E50" s="2105"/>
      <c r="F50" s="2206"/>
      <c r="G50" s="2207"/>
      <c r="H50" s="2105"/>
      <c r="I50" s="2351"/>
    </row>
    <row r="51" ht="15" customHeight="1" spans="1:9">
      <c r="A51" s="2337" t="str">
        <f>"编制单位："&amp;参数表!C3</f>
        <v>编制单位：深圳新阳蓝光能源管理科技股份有限公司</v>
      </c>
      <c r="B51" s="2338"/>
      <c r="C51" s="2206"/>
      <c r="D51" s="2206"/>
      <c r="E51" s="2379">
        <f>参数表!G7</f>
        <v>42735</v>
      </c>
      <c r="F51" s="2206"/>
      <c r="G51" s="2207"/>
      <c r="H51" s="2207" t="s">
        <v>1392</v>
      </c>
      <c r="I51" s="2351"/>
    </row>
    <row r="52" customHeight="1" spans="1:9">
      <c r="A52" s="2211" t="s">
        <v>193</v>
      </c>
      <c r="B52" s="2212" t="s">
        <v>62</v>
      </c>
      <c r="C52" s="2213" t="str">
        <f>IF(参数表!$C$12="本期间为特定年","年末余额","期末余额")</f>
        <v>年末余额</v>
      </c>
      <c r="D52" s="2213"/>
      <c r="E52" s="2213"/>
      <c r="F52" s="2213" t="str">
        <f>IF(参数表!$C$12="本期间为特定年","年初余额","期初余额")</f>
        <v>年初余额</v>
      </c>
      <c r="G52" s="2213"/>
      <c r="H52" s="2214"/>
      <c r="I52" s="2351"/>
    </row>
    <row r="53" customHeight="1" spans="1:9">
      <c r="A53" s="2215"/>
      <c r="B53" s="2216"/>
      <c r="C53" s="2217" t="s">
        <v>1976</v>
      </c>
      <c r="D53" s="2217" t="s">
        <v>1977</v>
      </c>
      <c r="E53" s="2217" t="s">
        <v>1395</v>
      </c>
      <c r="F53" s="2217" t="s">
        <v>1976</v>
      </c>
      <c r="G53" s="2217" t="s">
        <v>1977</v>
      </c>
      <c r="H53" s="2218" t="s">
        <v>1395</v>
      </c>
      <c r="I53" s="2351"/>
    </row>
    <row r="54" customHeight="1" spans="1:9">
      <c r="A54" s="2347" t="s">
        <v>195</v>
      </c>
      <c r="B54" s="2384"/>
      <c r="C54" s="2343"/>
      <c r="D54" s="2221"/>
      <c r="E54" s="2221"/>
      <c r="F54" s="2343"/>
      <c r="G54" s="2221"/>
      <c r="H54" s="2354"/>
      <c r="I54" s="2355"/>
    </row>
    <row r="55" customHeight="1" spans="1:8">
      <c r="A55" s="2226" t="s">
        <v>197</v>
      </c>
      <c r="B55" s="2385"/>
      <c r="C55" s="2222">
        <f>ROUND(审定资负表!G7,2)</f>
        <v>4850000</v>
      </c>
      <c r="D55" s="2222">
        <f>审定附注之负债及权益!B9</f>
        <v>0</v>
      </c>
      <c r="E55" s="2222">
        <f t="shared" ref="E55:E67" si="4">IF(D55="",0,ROUND(D55-C55,2))</f>
        <v>-4850000</v>
      </c>
      <c r="F55" s="2222">
        <f>ROUND(审定资负表!H7,2)</f>
        <v>0</v>
      </c>
      <c r="G55" s="2222">
        <f>审定附注之负债及权益!C9</f>
        <v>0</v>
      </c>
      <c r="H55" s="2229">
        <f t="shared" ref="H55:H67" si="5">IF(G55="",0,ROUND(G55-F55,2))</f>
        <v>0</v>
      </c>
    </row>
    <row r="56" customHeight="1" spans="1:8">
      <c r="A56" s="2226" t="s">
        <v>1398</v>
      </c>
      <c r="B56" s="2385"/>
      <c r="C56" s="2222">
        <f>ROUND(审定资负表!G8,2)</f>
        <v>0</v>
      </c>
      <c r="D56" s="2222">
        <f>审定附注之负债及权益!B46</f>
        <v>0</v>
      </c>
      <c r="E56" s="2222">
        <f t="shared" si="4"/>
        <v>0</v>
      </c>
      <c r="F56" s="2222">
        <f>ROUND(审定资负表!H8,2)</f>
        <v>0</v>
      </c>
      <c r="G56" s="2222">
        <f>审定附注之负债及权益!C46</f>
        <v>0</v>
      </c>
      <c r="H56" s="2229">
        <f t="shared" si="5"/>
        <v>0</v>
      </c>
    </row>
    <row r="57" customHeight="1" spans="1:8">
      <c r="A57" s="2226" t="s">
        <v>201</v>
      </c>
      <c r="B57" s="2385"/>
      <c r="C57" s="2222">
        <f>ROUND(审定资负表!G9,2)</f>
        <v>4117111</v>
      </c>
      <c r="D57" s="2222">
        <f>审定附注之负债及权益!B54</f>
        <v>0</v>
      </c>
      <c r="E57" s="2222">
        <f t="shared" si="4"/>
        <v>-4117111</v>
      </c>
      <c r="F57" s="2222">
        <f>ROUND(审定资负表!H9,2)</f>
        <v>7000000</v>
      </c>
      <c r="G57" s="2222">
        <f>审定附注之负债及权益!C54</f>
        <v>0</v>
      </c>
      <c r="H57" s="2229">
        <f t="shared" si="5"/>
        <v>-7000000</v>
      </c>
    </row>
    <row r="58" customHeight="1" spans="1:8">
      <c r="A58" s="2226" t="s">
        <v>203</v>
      </c>
      <c r="B58" s="2385"/>
      <c r="C58" s="2222">
        <f>ROUND(审定资负表!G10,2)</f>
        <v>41707145.22</v>
      </c>
      <c r="D58" s="2222">
        <f>审定附注之负债及权益!B65</f>
        <v>0</v>
      </c>
      <c r="E58" s="2222">
        <f t="shared" si="4"/>
        <v>-41707145.22</v>
      </c>
      <c r="F58" s="2222">
        <f>ROUND(审定资负表!H10,2)</f>
        <v>16368470.98</v>
      </c>
      <c r="G58" s="2222">
        <f>审定附注之负债及权益!D65</f>
        <v>0</v>
      </c>
      <c r="H58" s="2229">
        <f t="shared" si="5"/>
        <v>-16368470.98</v>
      </c>
    </row>
    <row r="59" customHeight="1" spans="1:8">
      <c r="A59" s="2226" t="s">
        <v>205</v>
      </c>
      <c r="B59" s="2385"/>
      <c r="C59" s="2222">
        <f>ROUND(审定资负表!G11,2)</f>
        <v>0</v>
      </c>
      <c r="D59" s="2222">
        <f>审定附注之负债及权益!B118</f>
        <v>0</v>
      </c>
      <c r="E59" s="2222">
        <f t="shared" si="4"/>
        <v>0</v>
      </c>
      <c r="F59" s="2222">
        <f>ROUND(审定资负表!H11,2)</f>
        <v>4711102.57</v>
      </c>
      <c r="G59" s="2222">
        <f>审定附注之负债及权益!D118</f>
        <v>0</v>
      </c>
      <c r="H59" s="2229">
        <f t="shared" si="5"/>
        <v>-4711102.57</v>
      </c>
    </row>
    <row r="60" customHeight="1" spans="1:8">
      <c r="A60" s="2226" t="s">
        <v>207</v>
      </c>
      <c r="B60" s="2385"/>
      <c r="C60" s="2222">
        <f>ROUND(审定资负表!G12,2)</f>
        <v>1416018.5</v>
      </c>
      <c r="D60" s="2222">
        <f>审定附注之负债及权益!E180</f>
        <v>0</v>
      </c>
      <c r="E60" s="2222">
        <f t="shared" si="4"/>
        <v>-1416018.5</v>
      </c>
      <c r="F60" s="2222">
        <f>ROUND(审定资负表!H12,2)</f>
        <v>1116508.51</v>
      </c>
      <c r="G60" s="2222">
        <f>审定附注之负债及权益!B180</f>
        <v>0</v>
      </c>
      <c r="H60" s="2229">
        <f t="shared" si="5"/>
        <v>-1116508.51</v>
      </c>
    </row>
    <row r="61" customHeight="1" spans="1:8">
      <c r="A61" s="2226" t="s">
        <v>209</v>
      </c>
      <c r="B61" s="2385"/>
      <c r="C61" s="2222">
        <f>ROUND(审定资负表!G13,2)</f>
        <v>431322.26</v>
      </c>
      <c r="D61" s="2222">
        <f>审定附注之负债及权益!B197</f>
        <v>0</v>
      </c>
      <c r="E61" s="2222">
        <f t="shared" si="4"/>
        <v>-431322.26</v>
      </c>
      <c r="F61" s="2222">
        <f>ROUND(审定资负表!H13,2)</f>
        <v>5639504.07</v>
      </c>
      <c r="G61" s="2222">
        <f>审定附注之负债及权益!C197</f>
        <v>0</v>
      </c>
      <c r="H61" s="2229">
        <f t="shared" si="5"/>
        <v>-5639504.07</v>
      </c>
    </row>
    <row r="62" customHeight="1" spans="1:8">
      <c r="A62" s="2226" t="s">
        <v>211</v>
      </c>
      <c r="B62" s="2385"/>
      <c r="C62" s="2222">
        <f>ROUND(审定资负表!G14,2)</f>
        <v>120815.96</v>
      </c>
      <c r="D62" s="2222">
        <f>审定附注之负债及权益!B212</f>
        <v>0</v>
      </c>
      <c r="E62" s="2222">
        <f t="shared" si="4"/>
        <v>-120815.96</v>
      </c>
      <c r="F62" s="2222">
        <f>ROUND(审定资负表!H14,2)</f>
        <v>151896.35</v>
      </c>
      <c r="G62" s="2222">
        <f>审定附注之负债及权益!C212</f>
        <v>0</v>
      </c>
      <c r="H62" s="2229">
        <f t="shared" si="5"/>
        <v>-151896.35</v>
      </c>
    </row>
    <row r="63" customHeight="1" spans="1:8">
      <c r="A63" s="2226" t="s">
        <v>213</v>
      </c>
      <c r="B63" s="2385"/>
      <c r="C63" s="2222">
        <f>ROUND(审定资负表!G15,2)</f>
        <v>0</v>
      </c>
      <c r="D63" s="2222">
        <f>审定附注之负债及权益!B227</f>
        <v>0</v>
      </c>
      <c r="E63" s="2222">
        <f t="shared" si="4"/>
        <v>0</v>
      </c>
      <c r="F63" s="2222">
        <f>ROUND(审定资负表!H15,2)</f>
        <v>0</v>
      </c>
      <c r="G63" s="2222">
        <f>审定附注之负债及权益!C227</f>
        <v>0</v>
      </c>
      <c r="H63" s="2229">
        <f t="shared" si="5"/>
        <v>0</v>
      </c>
    </row>
    <row r="64" customHeight="1" spans="1:8">
      <c r="A64" s="2226" t="s">
        <v>215</v>
      </c>
      <c r="B64" s="2385"/>
      <c r="C64" s="2222">
        <f>ROUND(审定资负表!G16,2)</f>
        <v>19669739.82</v>
      </c>
      <c r="D64" s="2222">
        <f>审定附注之负债及权益!B238</f>
        <v>0</v>
      </c>
      <c r="E64" s="2222">
        <f t="shared" si="4"/>
        <v>-19669739.82</v>
      </c>
      <c r="F64" s="2222">
        <f>ROUND(审定资负表!H16,2)</f>
        <v>7123460.48</v>
      </c>
      <c r="G64" s="2222">
        <f>审定附注之负债及权益!D238</f>
        <v>0</v>
      </c>
      <c r="H64" s="2229">
        <f t="shared" si="5"/>
        <v>-7123460.48</v>
      </c>
    </row>
    <row r="65" customHeight="1" spans="1:8">
      <c r="A65" s="2226" t="s">
        <v>217</v>
      </c>
      <c r="B65" s="2385"/>
      <c r="C65" s="2222">
        <f>ROUND(审定资负表!G17,2)</f>
        <v>23891640.51</v>
      </c>
      <c r="D65" s="2222">
        <f>审定附注之负债及权益!B289</f>
        <v>0</v>
      </c>
      <c r="E65" s="2222">
        <f t="shared" si="4"/>
        <v>-23891640.51</v>
      </c>
      <c r="F65" s="2222">
        <f>ROUND(审定资负表!H17,2)</f>
        <v>24230483.68</v>
      </c>
      <c r="G65" s="2222">
        <f>审定附注之负债及权益!C289</f>
        <v>0</v>
      </c>
      <c r="H65" s="2229">
        <f t="shared" si="5"/>
        <v>-24230483.68</v>
      </c>
    </row>
    <row r="66" customHeight="1" spans="1:8">
      <c r="A66" s="2226" t="s">
        <v>219</v>
      </c>
      <c r="B66" s="2385"/>
      <c r="C66" s="2222">
        <f>ROUND(审定资负表!G18,2)</f>
        <v>8287528.07</v>
      </c>
      <c r="D66" s="2222">
        <f>审定附注之负债及权益!B354</f>
        <v>0</v>
      </c>
      <c r="E66" s="2222">
        <f t="shared" si="4"/>
        <v>-8287528.07</v>
      </c>
      <c r="F66" s="2222">
        <f>ROUND(审定资负表!H18,2)</f>
        <v>0</v>
      </c>
      <c r="G66" s="2222">
        <f>审定附注之负债及权益!C354</f>
        <v>0</v>
      </c>
      <c r="H66" s="2229">
        <f t="shared" si="5"/>
        <v>0</v>
      </c>
    </row>
    <row r="67" customHeight="1" spans="1:8">
      <c r="A67" s="2226" t="str">
        <f>IF(未审资负表!E19="","",未审资负表!E19)</f>
        <v>持有待售负债</v>
      </c>
      <c r="B67" s="2385"/>
      <c r="C67" s="2222">
        <f>ROUND(审定资负表!G19,2)</f>
        <v>0</v>
      </c>
      <c r="D67" s="2222"/>
      <c r="E67" s="2222">
        <f t="shared" si="4"/>
        <v>0</v>
      </c>
      <c r="F67" s="2222">
        <f>ROUND(审定资负表!H19,2)</f>
        <v>0</v>
      </c>
      <c r="G67" s="2222"/>
      <c r="H67" s="2229">
        <f t="shared" si="5"/>
        <v>0</v>
      </c>
    </row>
    <row r="68" customHeight="1" spans="1:8">
      <c r="A68" s="2231" t="s">
        <v>222</v>
      </c>
      <c r="B68" s="2232"/>
      <c r="C68" s="2344">
        <f>ROUND(SUM(C55:C67),2)</f>
        <v>104491321.34</v>
      </c>
      <c r="D68" s="2344"/>
      <c r="E68" s="2344"/>
      <c r="F68" s="2344">
        <f>ROUND(SUM(F55:F67),2)</f>
        <v>66341426.64</v>
      </c>
      <c r="G68" s="2344"/>
      <c r="H68" s="2357"/>
    </row>
    <row r="69" customHeight="1" spans="1:8">
      <c r="A69" s="2359"/>
      <c r="B69" s="2385"/>
      <c r="C69" s="2239"/>
      <c r="D69" s="2222"/>
      <c r="E69" s="2222"/>
      <c r="F69" s="2239"/>
      <c r="G69" s="2222"/>
      <c r="H69" s="2229"/>
    </row>
    <row r="70" customHeight="1" spans="1:8">
      <c r="A70" s="2347" t="s">
        <v>225</v>
      </c>
      <c r="B70" s="2385"/>
      <c r="C70" s="2240"/>
      <c r="D70" s="2222"/>
      <c r="E70" s="2222"/>
      <c r="F70" s="2240"/>
      <c r="G70" s="2222"/>
      <c r="H70" s="2229"/>
    </row>
    <row r="71" customHeight="1" spans="1:8">
      <c r="A71" s="2226" t="s">
        <v>227</v>
      </c>
      <c r="B71" s="2385"/>
      <c r="C71" s="2222">
        <f>ROUND(审定资负表!G23,2)</f>
        <v>30498148.16</v>
      </c>
      <c r="D71" s="2222">
        <f>审定附注之负债及权益!B364</f>
        <v>0</v>
      </c>
      <c r="E71" s="2222">
        <f t="shared" ref="E71:E78" si="6">IF(D71="",0,ROUND(D71-C71,2))</f>
        <v>-30498148.16</v>
      </c>
      <c r="F71" s="2222">
        <f>ROUND(审定资负表!H23,2)</f>
        <v>48202962.97</v>
      </c>
      <c r="G71" s="2222">
        <f>审定附注之负债及权益!C364</f>
        <v>0</v>
      </c>
      <c r="H71" s="2229">
        <f t="shared" ref="H71:H78" si="7">IF(G71="",0,ROUND(G71-F71,2))</f>
        <v>-48202962.97</v>
      </c>
    </row>
    <row r="72" customHeight="1" spans="1:8">
      <c r="A72" s="2226" t="s">
        <v>229</v>
      </c>
      <c r="B72" s="2385"/>
      <c r="C72" s="2222">
        <f>ROUND(审定资负表!G24,2)</f>
        <v>0</v>
      </c>
      <c r="D72" s="2222">
        <f>审定附注之负债及权益!H393</f>
        <v>0</v>
      </c>
      <c r="E72" s="2222">
        <f t="shared" si="6"/>
        <v>0</v>
      </c>
      <c r="F72" s="2222">
        <f>ROUND(审定资负表!H24,2)</f>
        <v>0</v>
      </c>
      <c r="G72" s="2222"/>
      <c r="H72" s="2229">
        <f t="shared" si="7"/>
        <v>0</v>
      </c>
    </row>
    <row r="73" customHeight="1" spans="1:8">
      <c r="A73" s="2226" t="s">
        <v>231</v>
      </c>
      <c r="B73" s="2385"/>
      <c r="C73" s="2222">
        <f>ROUND(审定资负表!G25,2)</f>
        <v>12375398.73</v>
      </c>
      <c r="D73" s="2222">
        <f>审定附注之负债及权益!B408</f>
        <v>0</v>
      </c>
      <c r="E73" s="2222">
        <f t="shared" si="6"/>
        <v>-12375398.73</v>
      </c>
      <c r="F73" s="2222">
        <f>ROUND(审定资负表!H25,2)</f>
        <v>18932594.8</v>
      </c>
      <c r="G73" s="2222">
        <f>审定附注之负债及权益!C408</f>
        <v>0</v>
      </c>
      <c r="H73" s="2229">
        <f t="shared" si="7"/>
        <v>-18932594.8</v>
      </c>
    </row>
    <row r="74" customHeight="1" spans="1:8">
      <c r="A74" s="2226" t="s">
        <v>233</v>
      </c>
      <c r="B74" s="2385"/>
      <c r="C74" s="2222">
        <f>ROUND(审定资负表!G26,2)</f>
        <v>0</v>
      </c>
      <c r="D74" s="2222">
        <f>审定附注之负债及权益!F423</f>
        <v>0</v>
      </c>
      <c r="E74" s="2222">
        <f t="shared" si="6"/>
        <v>0</v>
      </c>
      <c r="F74" s="2222">
        <f>ROUND(审定资负表!H26,2)</f>
        <v>0</v>
      </c>
      <c r="G74" s="2222">
        <f>审定附注之负债及权益!C423</f>
        <v>0</v>
      </c>
      <c r="H74" s="2229">
        <f t="shared" si="7"/>
        <v>0</v>
      </c>
    </row>
    <row r="75" customHeight="1" spans="1:8">
      <c r="A75" s="2226" t="s">
        <v>235</v>
      </c>
      <c r="B75" s="2385"/>
      <c r="C75" s="2222">
        <f>ROUND(审定资负表!G27,2)</f>
        <v>5395983.26</v>
      </c>
      <c r="D75" s="2222">
        <f>审定附注之负债及权益!G438</f>
        <v>0</v>
      </c>
      <c r="E75" s="2222">
        <f t="shared" si="6"/>
        <v>-5395983.26</v>
      </c>
      <c r="F75" s="2222">
        <f>ROUND(审定资负表!H27,2)</f>
        <v>450190.65</v>
      </c>
      <c r="G75" s="2222">
        <f>审定附注之负债及权益!D438</f>
        <v>0</v>
      </c>
      <c r="H75" s="2229">
        <f t="shared" si="7"/>
        <v>-450190.65</v>
      </c>
    </row>
    <row r="76" customHeight="1" spans="1:8">
      <c r="A76" s="2226" t="s">
        <v>237</v>
      </c>
      <c r="B76" s="2385"/>
      <c r="C76" s="2222">
        <f>ROUND(审定资负表!G28,2)</f>
        <v>0</v>
      </c>
      <c r="D76" s="2222">
        <f>审定附注之非流动资产!B673</f>
        <v>0</v>
      </c>
      <c r="E76" s="2222">
        <f t="shared" si="6"/>
        <v>0</v>
      </c>
      <c r="F76" s="2222">
        <f>ROUND(审定资负表!H28,2)</f>
        <v>0</v>
      </c>
      <c r="G76" s="2222">
        <f>审定附注之非流动资产!C673</f>
        <v>0</v>
      </c>
      <c r="H76" s="2229">
        <f t="shared" si="7"/>
        <v>0</v>
      </c>
    </row>
    <row r="77" customHeight="1" spans="1:8">
      <c r="A77" s="2226" t="s">
        <v>239</v>
      </c>
      <c r="B77" s="2385"/>
      <c r="C77" s="2222">
        <f>ROUND(审定资负表!G29,2)</f>
        <v>0</v>
      </c>
      <c r="D77" s="2222">
        <f>审定附注之负债及权益!B453</f>
        <v>0</v>
      </c>
      <c r="E77" s="2222">
        <f t="shared" si="6"/>
        <v>0</v>
      </c>
      <c r="F77" s="2222">
        <f>ROUND(审定资负表!H29,2)</f>
        <v>0</v>
      </c>
      <c r="G77" s="2222">
        <f>审定附注之负债及权益!C453</f>
        <v>0</v>
      </c>
      <c r="H77" s="2229">
        <f t="shared" si="7"/>
        <v>0</v>
      </c>
    </row>
    <row r="78" customHeight="1" spans="1:8">
      <c r="A78" s="2226" t="str">
        <f>IF(未审资负表!E30="","",未审资负表!E30)</f>
        <v>递延收益</v>
      </c>
      <c r="B78" s="2385"/>
      <c r="C78" s="2222">
        <f>ROUND(审定资负表!G30,2)</f>
        <v>3973515.53</v>
      </c>
      <c r="D78" s="2222"/>
      <c r="E78" s="2222">
        <f t="shared" si="6"/>
        <v>0</v>
      </c>
      <c r="F78" s="2222">
        <f>ROUND(审定资负表!H30,2)</f>
        <v>2082524</v>
      </c>
      <c r="G78" s="2222"/>
      <c r="H78" s="2229">
        <f t="shared" si="7"/>
        <v>0</v>
      </c>
    </row>
    <row r="79" customHeight="1" spans="1:8">
      <c r="A79" s="2362" t="s">
        <v>243</v>
      </c>
      <c r="B79" s="2385"/>
      <c r="C79" s="2344">
        <f>ROUND(SUM(C71:C78),2)</f>
        <v>52243045.68</v>
      </c>
      <c r="D79" s="2344"/>
      <c r="E79" s="2344"/>
      <c r="F79" s="2344">
        <f>ROUND(SUM(F71:F78),2)</f>
        <v>69668272.42</v>
      </c>
      <c r="G79" s="2344"/>
      <c r="H79" s="2357"/>
    </row>
    <row r="80" customHeight="1" spans="1:8">
      <c r="A80" s="2359"/>
      <c r="B80" s="2385"/>
      <c r="C80" s="2239"/>
      <c r="D80" s="2222"/>
      <c r="E80" s="2222"/>
      <c r="F80" s="2239"/>
      <c r="G80" s="2222"/>
      <c r="H80" s="2229"/>
    </row>
    <row r="81" customHeight="1" spans="1:8">
      <c r="A81" s="2362" t="s">
        <v>246</v>
      </c>
      <c r="B81" s="2385"/>
      <c r="C81" s="2344">
        <f>ROUND(C68+C79,2)</f>
        <v>156734367.02</v>
      </c>
      <c r="D81" s="2344"/>
      <c r="E81" s="2344"/>
      <c r="F81" s="2344">
        <f>ROUND(F68+F79,2)</f>
        <v>136009699.06</v>
      </c>
      <c r="G81" s="2344"/>
      <c r="H81" s="2357"/>
    </row>
    <row r="82" customHeight="1" spans="1:8">
      <c r="A82" s="2359"/>
      <c r="B82" s="2385"/>
      <c r="C82" s="2222"/>
      <c r="D82" s="2222"/>
      <c r="E82" s="2222"/>
      <c r="F82" s="2222"/>
      <c r="G82" s="2222"/>
      <c r="H82" s="2229"/>
    </row>
    <row r="83" customHeight="1" spans="1:8">
      <c r="A83" s="2363" t="s">
        <v>249</v>
      </c>
      <c r="B83" s="2385"/>
      <c r="C83" s="2222"/>
      <c r="D83" s="2222"/>
      <c r="E83" s="2222"/>
      <c r="F83" s="2222"/>
      <c r="G83" s="2222"/>
      <c r="H83" s="2229"/>
    </row>
    <row r="84" customHeight="1" spans="1:8">
      <c r="A84" s="2226" t="s">
        <v>251</v>
      </c>
      <c r="B84" s="2385"/>
      <c r="C84" s="2222">
        <f>ROUND(审定资负表!G36,2)</f>
        <v>137800000</v>
      </c>
      <c r="D84" s="2222">
        <f>审定附注之负债及权益!F468</f>
        <v>0</v>
      </c>
      <c r="E84" s="2222">
        <f t="shared" ref="E84:E90" si="8">IF(D84="",0,ROUND(D84-C84,2))</f>
        <v>-137800000</v>
      </c>
      <c r="F84" s="2222">
        <f>ROUND(审定资负表!H36,2)</f>
        <v>120000000</v>
      </c>
      <c r="G84" s="2222">
        <f>审定附注之负债及权益!B468</f>
        <v>0</v>
      </c>
      <c r="H84" s="2229">
        <f t="shared" ref="H84:H90" si="9">IF(G84="",0,ROUND(G84-F84,2))</f>
        <v>-120000000</v>
      </c>
    </row>
    <row r="85" customHeight="1" spans="1:8">
      <c r="A85" s="2226" t="s">
        <v>253</v>
      </c>
      <c r="B85" s="2385"/>
      <c r="C85" s="2222">
        <f>ROUND(审定资负表!G37,2)</f>
        <v>218598931.26</v>
      </c>
      <c r="D85" s="2222">
        <f>审定附注之负债及权益!E483</f>
        <v>0</v>
      </c>
      <c r="E85" s="2222">
        <f t="shared" si="8"/>
        <v>-218598931.26</v>
      </c>
      <c r="F85" s="2222">
        <f>ROUND(审定资负表!H37,2)</f>
        <v>5756259.26</v>
      </c>
      <c r="G85" s="2222">
        <f>审定附注之负债及权益!B483</f>
        <v>0</v>
      </c>
      <c r="H85" s="2229">
        <f t="shared" si="9"/>
        <v>-5756259.26</v>
      </c>
    </row>
    <row r="86" customHeight="1" spans="1:8">
      <c r="A86" s="2226" t="s">
        <v>255</v>
      </c>
      <c r="B86" s="2385"/>
      <c r="C86" s="2222">
        <f>ROUND(审定资负表!G38,2)</f>
        <v>0</v>
      </c>
      <c r="D86" s="2222"/>
      <c r="E86" s="2222">
        <f t="shared" si="8"/>
        <v>0</v>
      </c>
      <c r="F86" s="2222">
        <f>ROUND(审定资负表!H38,2)</f>
        <v>0</v>
      </c>
      <c r="G86" s="2222"/>
      <c r="H86" s="2229">
        <f t="shared" si="9"/>
        <v>0</v>
      </c>
    </row>
    <row r="87" customHeight="1" spans="1:8">
      <c r="A87" s="2226" t="s">
        <v>256</v>
      </c>
      <c r="B87" s="2385"/>
      <c r="C87" s="2222">
        <f>ROUND(审定资负表!G39,2)</f>
        <v>0</v>
      </c>
      <c r="D87" s="2222">
        <f>审定附注之负债及权益!E501</f>
        <v>0</v>
      </c>
      <c r="E87" s="2222">
        <f t="shared" si="8"/>
        <v>0</v>
      </c>
      <c r="F87" s="2222">
        <f>ROUND(审定资负表!H39,2)</f>
        <v>0</v>
      </c>
      <c r="G87" s="2222">
        <f>审定附注之负债及权益!B501</f>
        <v>0</v>
      </c>
      <c r="H87" s="2229">
        <f t="shared" si="9"/>
        <v>0</v>
      </c>
    </row>
    <row r="88" customHeight="1" spans="1:8">
      <c r="A88" s="2226" t="s">
        <v>258</v>
      </c>
      <c r="B88" s="2385"/>
      <c r="C88" s="2222">
        <f>ROUND(审定资负表!G40,2)</f>
        <v>-27854645.49</v>
      </c>
      <c r="D88" s="2222">
        <f>审定附注之负债及权益!B519</f>
        <v>0</v>
      </c>
      <c r="E88" s="2222">
        <f t="shared" si="8"/>
        <v>27854645.49</v>
      </c>
      <c r="F88" s="2222">
        <f>ROUND(审定资负表!H40,2)</f>
        <v>-36686290.04</v>
      </c>
      <c r="G88" s="2222">
        <f>审定附注之负债及权益!B510</f>
        <v>0</v>
      </c>
      <c r="H88" s="2229">
        <f t="shared" si="9"/>
        <v>36686290.04</v>
      </c>
    </row>
    <row r="89" customHeight="1" spans="1:8">
      <c r="A89" s="2226" t="s">
        <v>259</v>
      </c>
      <c r="B89" s="2385"/>
      <c r="C89" s="2222">
        <f>ROUND(审定资负表!G41,2)</f>
        <v>0</v>
      </c>
      <c r="D89" s="2222"/>
      <c r="E89" s="2222">
        <f t="shared" si="8"/>
        <v>0</v>
      </c>
      <c r="F89" s="2222">
        <f>ROUND(审定资负表!H41,2)</f>
        <v>0</v>
      </c>
      <c r="G89" s="2222"/>
      <c r="H89" s="2229">
        <f t="shared" si="9"/>
        <v>0</v>
      </c>
    </row>
    <row r="90" customHeight="1" spans="1:8">
      <c r="A90" s="2226" t="str">
        <f>IF(未审资负表!E42="","",未审资负表!E42)</f>
        <v>其他综合收益</v>
      </c>
      <c r="B90" s="2385"/>
      <c r="C90" s="2222">
        <f>ROUND(审定资负表!G42,2)</f>
        <v>0</v>
      </c>
      <c r="D90" s="2222"/>
      <c r="E90" s="2222">
        <f t="shared" si="8"/>
        <v>0</v>
      </c>
      <c r="F90" s="2222">
        <f>ROUND(审定资负表!H42,2)</f>
        <v>0</v>
      </c>
      <c r="G90" s="2222"/>
      <c r="H90" s="2229">
        <f t="shared" si="9"/>
        <v>0</v>
      </c>
    </row>
    <row r="91" customHeight="1" spans="1:8">
      <c r="A91" s="2362" t="s">
        <v>261</v>
      </c>
      <c r="B91" s="2241"/>
      <c r="C91" s="2344">
        <f>ROUND(SUM(C84:C90)-2*C86,2)</f>
        <v>328544285.77</v>
      </c>
      <c r="D91" s="2344"/>
      <c r="E91" s="2344"/>
      <c r="F91" s="2344">
        <f>ROUND(SUM(F84:F90)-2*F86,2)</f>
        <v>89069969.22</v>
      </c>
      <c r="G91" s="2344"/>
      <c r="H91" s="2357"/>
    </row>
    <row r="92" customHeight="1" spans="1:8">
      <c r="A92" s="2359"/>
      <c r="B92" s="2385"/>
      <c r="C92" s="2239"/>
      <c r="D92" s="2222"/>
      <c r="E92" s="2222"/>
      <c r="F92" s="2239"/>
      <c r="G92" s="2222"/>
      <c r="H92" s="2229"/>
    </row>
    <row r="93" customHeight="1" spans="1:8">
      <c r="A93" s="2226" t="s">
        <v>262</v>
      </c>
      <c r="B93" s="2385"/>
      <c r="C93" s="2222">
        <f>ROUND(审定资负表!G45,2)</f>
        <v>0</v>
      </c>
      <c r="D93" s="2222"/>
      <c r="E93" s="2222">
        <f>IF(D93="",0,ROUND(D93-C93,2))</f>
        <v>0</v>
      </c>
      <c r="F93" s="2222">
        <f>ROUND(审定资负表!H45,2)</f>
        <v>0</v>
      </c>
      <c r="G93" s="2222"/>
      <c r="H93" s="2229">
        <f>IF(G93="",0,ROUND(G93-F93,2))</f>
        <v>0</v>
      </c>
    </row>
    <row r="94" customHeight="1" spans="1:8">
      <c r="A94" s="2362" t="s">
        <v>263</v>
      </c>
      <c r="B94" s="2241"/>
      <c r="C94" s="2344">
        <f>ROUND(C91+C93,2)</f>
        <v>328544285.77</v>
      </c>
      <c r="D94" s="2344"/>
      <c r="E94" s="2344"/>
      <c r="F94" s="2344">
        <f>ROUND(F91+F93,2)</f>
        <v>89069969.22</v>
      </c>
      <c r="G94" s="2344"/>
      <c r="H94" s="2357"/>
    </row>
    <row r="95" customHeight="1" spans="1:8">
      <c r="A95" s="2359"/>
      <c r="B95" s="2385"/>
      <c r="C95" s="2222"/>
      <c r="D95" s="2222"/>
      <c r="E95" s="2222"/>
      <c r="F95" s="2222"/>
      <c r="G95" s="2222"/>
      <c r="H95" s="2229"/>
    </row>
    <row r="96" customHeight="1" spans="1:8">
      <c r="A96" s="2365" t="s">
        <v>265</v>
      </c>
      <c r="B96" s="2250"/>
      <c r="C96" s="2345">
        <f>ROUND(C81+C94,2)</f>
        <v>485278652.79</v>
      </c>
      <c r="D96" s="2345"/>
      <c r="E96" s="2345"/>
      <c r="F96" s="2345">
        <f>ROUND(F81+F94,2)</f>
        <v>225079668.28</v>
      </c>
      <c r="G96" s="2345"/>
      <c r="H96" s="2382"/>
    </row>
    <row r="97" ht="26.25" spans="1:8">
      <c r="A97" s="2103" t="s">
        <v>1979</v>
      </c>
      <c r="B97" s="2103"/>
      <c r="C97" s="2103"/>
      <c r="D97" s="2103"/>
      <c r="E97" s="2103"/>
      <c r="F97" s="2103"/>
      <c r="G97" s="2103"/>
      <c r="H97" s="2103"/>
    </row>
    <row r="98" ht="21" customHeight="1" spans="1:8">
      <c r="A98" s="2107"/>
      <c r="B98" s="2136"/>
      <c r="C98" s="2136"/>
      <c r="D98" s="2136"/>
      <c r="E98" s="2136"/>
      <c r="F98" s="2386"/>
      <c r="G98" s="2386"/>
      <c r="H98" s="2386"/>
    </row>
    <row r="99" ht="21" customHeight="1" spans="1:8">
      <c r="A99" s="2107" t="str">
        <f>"编制单位："&amp;参数表!C3</f>
        <v>编制单位：深圳新阳蓝光能源管理科技股份有限公司</v>
      </c>
      <c r="B99" s="2108"/>
      <c r="C99" s="2136"/>
      <c r="D99" s="2136"/>
      <c r="E99" s="2378" t="str">
        <f>参数表!D7</f>
        <v>2016年度</v>
      </c>
      <c r="F99" s="2387"/>
      <c r="G99" s="2387"/>
      <c r="H99" s="2387" t="s">
        <v>1400</v>
      </c>
    </row>
    <row r="100" ht="15" spans="1:8">
      <c r="A100" s="2141" t="s">
        <v>61</v>
      </c>
      <c r="B100" s="2142" t="s">
        <v>62</v>
      </c>
      <c r="C100" s="2142" t="str">
        <f>IF(参数表!$C$12="本期间为特定年","本年金额","本期金额")</f>
        <v>本年金额</v>
      </c>
      <c r="D100" s="2142"/>
      <c r="E100" s="2142"/>
      <c r="F100" s="2142" t="str">
        <f>IF(参数表!$C$12="本期间为特定年","上年金额","上期金额")</f>
        <v>上年金额</v>
      </c>
      <c r="G100" s="2142"/>
      <c r="H100" s="2388"/>
    </row>
    <row r="101" spans="1:8">
      <c r="A101" s="2145"/>
      <c r="B101" s="2146"/>
      <c r="C101" s="2217" t="s">
        <v>1976</v>
      </c>
      <c r="D101" s="2217" t="s">
        <v>1977</v>
      </c>
      <c r="E101" s="2217" t="s">
        <v>1395</v>
      </c>
      <c r="F101" s="2217" t="s">
        <v>1976</v>
      </c>
      <c r="G101" s="2217" t="s">
        <v>1977</v>
      </c>
      <c r="H101" s="2218" t="s">
        <v>1395</v>
      </c>
    </row>
    <row r="102" ht="21" customHeight="1" spans="1:8">
      <c r="A102" s="2119" t="s">
        <v>77</v>
      </c>
      <c r="B102" s="2389"/>
      <c r="C102" s="2151">
        <f>ROUND(审定利润表!C6,2)</f>
        <v>120097563.96</v>
      </c>
      <c r="D102" s="2151">
        <f>审定附注之利润及利润分配!B8</f>
        <v>0</v>
      </c>
      <c r="E102" s="2222">
        <f t="shared" ref="E102:E113" si="10">IF(D102="",0,ROUND(D102-C102,2))</f>
        <v>-120097563.96</v>
      </c>
      <c r="F102" s="2151">
        <f>ROUND(审定利润表!D6,2)</f>
        <v>54865717.44</v>
      </c>
      <c r="G102" s="2151">
        <f>审定附注之利润及利润分配!E8</f>
        <v>0</v>
      </c>
      <c r="H102" s="2229">
        <f t="shared" ref="H102:H113" si="11">IF(G102="",0,ROUND(G102-F102,2))</f>
        <v>-54865717.44</v>
      </c>
    </row>
    <row r="103" ht="21" customHeight="1" spans="1:8">
      <c r="A103" s="2122" t="s">
        <v>79</v>
      </c>
      <c r="B103" s="2389"/>
      <c r="C103" s="2151">
        <f>ROUND(审定利润表!C7,2)</f>
        <v>65501451.94</v>
      </c>
      <c r="D103" s="2151">
        <f>审定附注之利润及利润分配!C8</f>
        <v>0</v>
      </c>
      <c r="E103" s="2222">
        <f t="shared" si="10"/>
        <v>-65501451.94</v>
      </c>
      <c r="F103" s="2151">
        <f>ROUND(审定利润表!D7,2)</f>
        <v>29364509.85</v>
      </c>
      <c r="G103" s="2151">
        <f>审定附注之利润及利润分配!F8</f>
        <v>0</v>
      </c>
      <c r="H103" s="2229">
        <f t="shared" si="11"/>
        <v>-29364509.85</v>
      </c>
    </row>
    <row r="104" ht="21" customHeight="1" spans="1:8">
      <c r="A104" s="2122" t="s">
        <v>80</v>
      </c>
      <c r="B104" s="2389"/>
      <c r="C104" s="2151">
        <f>ROUND(审定利润表!C8,2)</f>
        <v>373643.83</v>
      </c>
      <c r="D104" s="2151">
        <f>审定附注之利润及利润分配!C91</f>
        <v>0</v>
      </c>
      <c r="E104" s="2222">
        <f t="shared" si="10"/>
        <v>-373643.83</v>
      </c>
      <c r="F104" s="2151">
        <f>ROUND(审定利润表!D8,2)</f>
        <v>242593.74</v>
      </c>
      <c r="G104" s="2151">
        <f>审定附注之利润及利润分配!D91</f>
        <v>0</v>
      </c>
      <c r="H104" s="2229">
        <f t="shared" si="11"/>
        <v>-242593.74</v>
      </c>
    </row>
    <row r="105" ht="21" customHeight="1" spans="1:8">
      <c r="A105" s="2122" t="s">
        <v>82</v>
      </c>
      <c r="B105" s="2389"/>
      <c r="C105" s="2151">
        <f>ROUND(审定利润表!C9,2)</f>
        <v>11918966.31</v>
      </c>
      <c r="D105" s="2151"/>
      <c r="E105" s="2222">
        <f t="shared" si="10"/>
        <v>0</v>
      </c>
      <c r="F105" s="2151">
        <f>ROUND(审定利润表!D9,2)</f>
        <v>11911652.27</v>
      </c>
      <c r="G105" s="2151"/>
      <c r="H105" s="2229">
        <f t="shared" si="11"/>
        <v>0</v>
      </c>
    </row>
    <row r="106" ht="21" customHeight="1" spans="1:8">
      <c r="A106" s="2122" t="s">
        <v>84</v>
      </c>
      <c r="B106" s="2389"/>
      <c r="C106" s="2151">
        <f>ROUND(审定利润表!C10,2)</f>
        <v>13092697.23</v>
      </c>
      <c r="D106" s="2151"/>
      <c r="E106" s="2222">
        <f t="shared" si="10"/>
        <v>0</v>
      </c>
      <c r="F106" s="2151">
        <f>ROUND(审定利润表!D10,2)</f>
        <v>18616301.28</v>
      </c>
      <c r="G106" s="2151"/>
      <c r="H106" s="2229">
        <f t="shared" si="11"/>
        <v>0</v>
      </c>
    </row>
    <row r="107" ht="21" customHeight="1" spans="1:8">
      <c r="A107" s="2122" t="s">
        <v>85</v>
      </c>
      <c r="B107" s="2389"/>
      <c r="C107" s="2151">
        <f>ROUND(审定利润表!C11,2)</f>
        <v>17583927.65</v>
      </c>
      <c r="D107" s="2151">
        <f>审定附注之利润及利润分配!B100</f>
        <v>0</v>
      </c>
      <c r="E107" s="2222">
        <f t="shared" si="10"/>
        <v>-17583927.65</v>
      </c>
      <c r="F107" s="2151">
        <f>ROUND(审定利润表!D11,2)</f>
        <v>-174505.14</v>
      </c>
      <c r="G107" s="2151">
        <f>审定附注之利润及利润分配!C100</f>
        <v>0</v>
      </c>
      <c r="H107" s="2229">
        <f t="shared" si="11"/>
        <v>174505.14</v>
      </c>
    </row>
    <row r="108" ht="21" customHeight="1" spans="1:8">
      <c r="A108" s="2122" t="s">
        <v>86</v>
      </c>
      <c r="B108" s="2389"/>
      <c r="C108" s="2151">
        <f>ROUND(审定利润表!C12,2)</f>
        <v>1792140.07</v>
      </c>
      <c r="D108" s="2151">
        <f>审定附注之利润及利润分配!B119</f>
        <v>0</v>
      </c>
      <c r="E108" s="2222">
        <f t="shared" si="10"/>
        <v>-1792140.07</v>
      </c>
      <c r="F108" s="2151">
        <f>ROUND(审定利润表!D12,2)</f>
        <v>4990869.42</v>
      </c>
      <c r="G108" s="2151">
        <f>审定附注之利润及利润分配!C119</f>
        <v>0</v>
      </c>
      <c r="H108" s="2229">
        <f t="shared" si="11"/>
        <v>-4990869.42</v>
      </c>
    </row>
    <row r="109" ht="21" customHeight="1" spans="1:8">
      <c r="A109" s="2122" t="s">
        <v>88</v>
      </c>
      <c r="B109" s="2389"/>
      <c r="C109" s="2151">
        <f>ROUND(审定利润表!C13,2)</f>
        <v>0</v>
      </c>
      <c r="D109" s="2151">
        <f>审定附注之利润及利润分配!B134</f>
        <v>0</v>
      </c>
      <c r="E109" s="2222">
        <f t="shared" si="10"/>
        <v>0</v>
      </c>
      <c r="F109" s="2151">
        <f>ROUND(审定利润表!D13,2)</f>
        <v>0</v>
      </c>
      <c r="G109" s="2151">
        <f>审定附注之利润及利润分配!C134</f>
        <v>0</v>
      </c>
      <c r="H109" s="2229">
        <f t="shared" si="11"/>
        <v>0</v>
      </c>
    </row>
    <row r="110" ht="21" customHeight="1" spans="1:8">
      <c r="A110" s="2122" t="s">
        <v>90</v>
      </c>
      <c r="B110" s="2389"/>
      <c r="C110" s="2151">
        <f>ROUND(审定利润表!C14,2)</f>
        <v>0</v>
      </c>
      <c r="D110" s="2151">
        <f>审定附注之利润及利润分配!B149</f>
        <v>0</v>
      </c>
      <c r="E110" s="2222">
        <f t="shared" si="10"/>
        <v>0</v>
      </c>
      <c r="F110" s="2151">
        <f>ROUND(审定利润表!D14,2)</f>
        <v>0</v>
      </c>
      <c r="G110" s="2151">
        <f>审定附注之利润及利润分配!C149</f>
        <v>0</v>
      </c>
      <c r="H110" s="2229">
        <f t="shared" si="11"/>
        <v>0</v>
      </c>
    </row>
    <row r="111" ht="21" customHeight="1" spans="1:8">
      <c r="A111" s="2122" t="s">
        <v>92</v>
      </c>
      <c r="B111" s="2389"/>
      <c r="C111" s="2151">
        <f>ROUND(审定利润表!C15,2)</f>
        <v>0</v>
      </c>
      <c r="D111" s="2151"/>
      <c r="E111" s="2222">
        <f t="shared" si="10"/>
        <v>0</v>
      </c>
      <c r="F111" s="2151">
        <f>ROUND(审定利润表!D15,2)</f>
        <v>0</v>
      </c>
      <c r="G111" s="2151"/>
      <c r="H111" s="2229">
        <f t="shared" si="11"/>
        <v>0</v>
      </c>
    </row>
    <row r="112" ht="21" customHeight="1" spans="1:8">
      <c r="A112" s="2122" t="s">
        <v>93</v>
      </c>
      <c r="B112" s="2389"/>
      <c r="C112" s="2151">
        <f>ROUND(审定利润表!C17,2)</f>
        <v>0</v>
      </c>
      <c r="D112" s="2151"/>
      <c r="E112" s="2222">
        <f t="shared" si="10"/>
        <v>0</v>
      </c>
      <c r="F112" s="2151">
        <f>ROUND(审定利润表!D17,2)</f>
        <v>0</v>
      </c>
      <c r="G112" s="2151"/>
      <c r="H112" s="2229">
        <f t="shared" si="11"/>
        <v>0</v>
      </c>
    </row>
    <row r="113" ht="21" customHeight="1" spans="1:8">
      <c r="A113" s="2122" t="str">
        <f>未审利润表!A18</f>
        <v>    其他收益</v>
      </c>
      <c r="B113" s="2389"/>
      <c r="C113" s="2151">
        <f>ROUND(审定利润表!C18,2)</f>
        <v>0</v>
      </c>
      <c r="D113" s="2151"/>
      <c r="E113" s="2222">
        <f t="shared" si="10"/>
        <v>0</v>
      </c>
      <c r="F113" s="2151">
        <f>ROUND(审定利润表!D18,2)</f>
        <v>0</v>
      </c>
      <c r="G113" s="2151"/>
      <c r="H113" s="2229">
        <f t="shared" si="11"/>
        <v>0</v>
      </c>
    </row>
    <row r="114" ht="21" customHeight="1" spans="1:8">
      <c r="A114" s="2119" t="s">
        <v>94</v>
      </c>
      <c r="B114" s="2389"/>
      <c r="C114" s="2369">
        <f>ROUND(C102-SUM(C103:C108)+SUM(C109:C110)+C112+C113,2)</f>
        <v>9834736.93</v>
      </c>
      <c r="D114" s="2369"/>
      <c r="E114" s="2369"/>
      <c r="F114" s="2369">
        <f>ROUND(F102-SUM(F103:F108)+SUM(F109:F110)+F112+F113,2)</f>
        <v>-10085703.98</v>
      </c>
      <c r="G114" s="2369"/>
      <c r="H114" s="2390"/>
    </row>
    <row r="115" ht="21" customHeight="1" spans="1:8">
      <c r="A115" s="2122" t="s">
        <v>95</v>
      </c>
      <c r="B115" s="2389"/>
      <c r="C115" s="2151">
        <f>ROUND(审定利润表!C20,2)</f>
        <v>853546.58</v>
      </c>
      <c r="D115" s="2151">
        <f>审定附注之利润及利润分配!B177</f>
        <v>0</v>
      </c>
      <c r="E115" s="2222">
        <f>IF(D115="",0,ROUND(D115-C115,2))</f>
        <v>-853546.58</v>
      </c>
      <c r="F115" s="2151">
        <f>ROUND(审定利润表!D20,2)</f>
        <v>362052.92</v>
      </c>
      <c r="G115" s="2151">
        <f>审定附注之利润及利润分配!C177</f>
        <v>0</v>
      </c>
      <c r="H115" s="2229">
        <f>IF(G115="",0,ROUND(G115-F115,2))</f>
        <v>-362052.92</v>
      </c>
    </row>
    <row r="116" ht="21" customHeight="1" spans="1:8">
      <c r="A116" s="2122" t="s">
        <v>97</v>
      </c>
      <c r="B116" s="2389"/>
      <c r="C116" s="2151">
        <f>ROUND(审定利润表!C21,2)</f>
        <v>2139962.48</v>
      </c>
      <c r="D116" s="2151">
        <f>审定附注之利润及利润分配!B192</f>
        <v>0</v>
      </c>
      <c r="E116" s="2222">
        <f>IF(D116="",0,ROUND(D116-C116,2))</f>
        <v>-2139962.48</v>
      </c>
      <c r="F116" s="2151">
        <f>ROUND(审定利润表!D21,2)</f>
        <v>24281.65</v>
      </c>
      <c r="G116" s="2151">
        <f>审定附注之利润及利润分配!C192</f>
        <v>0</v>
      </c>
      <c r="H116" s="2229">
        <f>IF(G116="",0,ROUND(G116-F116,2))</f>
        <v>-24281.65</v>
      </c>
    </row>
    <row r="117" ht="21" customHeight="1" spans="1:8">
      <c r="A117" s="2122" t="s">
        <v>99</v>
      </c>
      <c r="B117" s="2389"/>
      <c r="C117" s="2151">
        <f>ROUND(审定利润表!C27,2)</f>
        <v>8831644.55</v>
      </c>
      <c r="D117" s="2151"/>
      <c r="E117" s="2222">
        <f>IF(D117="",0,ROUND(D117-C117,2))</f>
        <v>0</v>
      </c>
      <c r="F117" s="2151">
        <f>ROUND(审定利润表!D27,2)</f>
        <v>-10590731.64</v>
      </c>
      <c r="G117" s="2151"/>
      <c r="H117" s="2229">
        <f>IF(G117="",0,ROUND(G117-F117,2))</f>
        <v>0</v>
      </c>
    </row>
    <row r="118" ht="21" customHeight="1" spans="1:8">
      <c r="A118" s="2122" t="str">
        <f>未审利润表!A28</f>
        <v>   （二）终止经营净利润（净亏损以“－”号填列）</v>
      </c>
      <c r="B118" s="2389"/>
      <c r="C118" s="2151">
        <f>ROUND(审定利润表!C28,2)</f>
        <v>0</v>
      </c>
      <c r="D118" s="2151"/>
      <c r="E118" s="2222">
        <f>IF(D118="",0,ROUND(D118-C118,2))</f>
        <v>0</v>
      </c>
      <c r="F118" s="2151">
        <f>ROUND(审定利润表!D28,2)</f>
        <v>0</v>
      </c>
      <c r="G118" s="2151"/>
      <c r="H118" s="2229">
        <f>IF(G118="",0,ROUND(G118-F118,2))</f>
        <v>0</v>
      </c>
    </row>
    <row r="119" ht="21" customHeight="1" spans="1:8">
      <c r="A119" s="2119" t="s">
        <v>100</v>
      </c>
      <c r="B119" s="2389"/>
      <c r="C119" s="2369">
        <f>ROUND(C114+C115-C116-C118,2)</f>
        <v>8548321.03</v>
      </c>
      <c r="D119" s="2369"/>
      <c r="E119" s="2369"/>
      <c r="F119" s="2369">
        <f>ROUND(F114+F115-F116-F118,2)</f>
        <v>-9747932.71</v>
      </c>
      <c r="G119" s="2369"/>
      <c r="H119" s="2390"/>
    </row>
    <row r="120" ht="21" customHeight="1" spans="1:8">
      <c r="A120" s="2122" t="s">
        <v>101</v>
      </c>
      <c r="B120" s="2389"/>
      <c r="C120" s="2151">
        <f>ROUND(审定利润表!C23,2)</f>
        <v>-283323.52</v>
      </c>
      <c r="D120" s="2151">
        <f>审定附注之利润及利润分配!B199</f>
        <v>0</v>
      </c>
      <c r="E120" s="2222">
        <f>IF(D120="",0,ROUND(D120-C120,2))</f>
        <v>283323.52</v>
      </c>
      <c r="F120" s="2151">
        <f>ROUND(审定利润表!D23,2)</f>
        <v>842798.93</v>
      </c>
      <c r="G120" s="2151">
        <f>审定附注之利润及利润分配!C199</f>
        <v>0</v>
      </c>
      <c r="H120" s="2229">
        <f>IF(G120="",0,ROUND(G120-F120,2))</f>
        <v>-842798.93</v>
      </c>
    </row>
    <row r="121" ht="21" customHeight="1" spans="1:8">
      <c r="A121" s="2122" t="str">
        <f>未审利润表!A30</f>
        <v>六、综合收益总额</v>
      </c>
      <c r="B121" s="2389"/>
      <c r="C121" s="2151">
        <f>ROUND(审定利润表!C29,2)</f>
        <v>0</v>
      </c>
      <c r="D121" s="2151"/>
      <c r="E121" s="2222">
        <f>IF(D121="",0,ROUND(D121-C121,2))</f>
        <v>0</v>
      </c>
      <c r="F121" s="2151">
        <f>ROUND(审定利润表!D29,2)</f>
        <v>0</v>
      </c>
      <c r="G121" s="2151"/>
      <c r="H121" s="2229">
        <f>IF(G121="",0,ROUND(G121-F121,2))</f>
        <v>0</v>
      </c>
    </row>
    <row r="122" ht="21" customHeight="1" spans="1:8">
      <c r="A122" s="2119" t="s">
        <v>103</v>
      </c>
      <c r="B122" s="2389"/>
      <c r="C122" s="2369">
        <f>ROUND(C119-C120-C121,2)</f>
        <v>8831644.55</v>
      </c>
      <c r="D122" s="2369"/>
      <c r="E122" s="2369"/>
      <c r="F122" s="2369">
        <f>ROUND(F119-F120-F121,2)</f>
        <v>-10590731.64</v>
      </c>
      <c r="G122" s="2369"/>
      <c r="H122" s="2390"/>
    </row>
    <row r="123" ht="21" customHeight="1" spans="1:8">
      <c r="A123" s="2122" t="s">
        <v>104</v>
      </c>
      <c r="B123" s="2389"/>
      <c r="C123" s="2156">
        <f>ROUND(C122-C124,2)</f>
        <v>8831644.55</v>
      </c>
      <c r="D123" s="2156"/>
      <c r="E123" s="2156"/>
      <c r="F123" s="2156">
        <f>ROUND(F122-F124,2)</f>
        <v>-10590731.64</v>
      </c>
      <c r="G123" s="2156"/>
      <c r="H123" s="2157"/>
    </row>
    <row r="124" ht="21" customHeight="1" spans="1:8">
      <c r="A124" s="2391" t="s">
        <v>105</v>
      </c>
      <c r="B124" s="2392"/>
      <c r="C124" s="2393">
        <f>ROUND(审定利润表!C26,2)</f>
        <v>0</v>
      </c>
      <c r="D124" s="2393"/>
      <c r="E124" s="2393"/>
      <c r="F124" s="2393">
        <f>ROUND(审定利润表!D26,2)</f>
        <v>0</v>
      </c>
      <c r="G124" s="2393"/>
      <c r="H124" s="2394"/>
    </row>
    <row r="125" ht="1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3" right="0.27" top="0.73" bottom="0.78" header="0.511811023622047" footer="0.511811023622047"/>
  <pageSetup paperSize="9" orientation="portrait" blackAndWhite="1"/>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K124"/>
  <sheetViews>
    <sheetView showGridLines="0" showZeros="0" workbookViewId="0">
      <pane xSplit="9" ySplit="1" topLeftCell="J109" activePane="bottomRight" state="frozen"/>
      <selection/>
      <selection pane="topRight"/>
      <selection pane="bottomLeft"/>
      <selection pane="bottomRight" activeCell="C119" sqref="C119"/>
    </sheetView>
  </sheetViews>
  <sheetFormatPr defaultColWidth="9" defaultRowHeight="14.25"/>
  <cols>
    <col min="1" max="1" width="40.75" customWidth="1"/>
    <col min="2" max="2" width="5.375" customWidth="1"/>
    <col min="3" max="8" width="9.75" customWidth="1"/>
    <col min="9" max="9" width="10" customWidth="1"/>
  </cols>
  <sheetData>
    <row r="1" ht="27.75" customHeight="1" spans="1:9">
      <c r="A1" s="2103" t="s">
        <v>46</v>
      </c>
      <c r="B1" s="2204"/>
      <c r="C1" s="2204"/>
      <c r="D1" s="2204"/>
      <c r="E1" s="2204"/>
      <c r="F1" s="2204"/>
      <c r="G1" s="2204"/>
      <c r="H1" s="2204"/>
      <c r="I1" s="2204"/>
    </row>
    <row r="2" ht="15" customHeight="1" spans="1:11">
      <c r="A2" s="2335" t="s">
        <v>1980</v>
      </c>
      <c r="B2" s="2205"/>
      <c r="C2" s="2105"/>
      <c r="D2" s="2206" t="s">
        <v>1981</v>
      </c>
      <c r="E2" s="2336">
        <f>参数表!$F$10</f>
        <v>0</v>
      </c>
      <c r="F2" s="2336"/>
      <c r="G2" s="2336"/>
      <c r="H2" s="2206"/>
      <c r="I2" s="2206" t="s">
        <v>1982</v>
      </c>
      <c r="K2" s="2351"/>
    </row>
    <row r="3" ht="15" customHeight="1" spans="1:11">
      <c r="A3" s="2337" t="str">
        <f>"被审计单位："&amp;参数表!C3</f>
        <v>被审计单位：深圳新阳蓝光能源管理科技股份有限公司</v>
      </c>
      <c r="B3" s="2338"/>
      <c r="C3" s="2206"/>
      <c r="D3" s="2206" t="s">
        <v>1983</v>
      </c>
      <c r="E3" s="2336">
        <f>参数表!C11</f>
        <v>0</v>
      </c>
      <c r="F3" s="2336"/>
      <c r="G3" s="2336"/>
      <c r="H3" s="2206"/>
      <c r="I3" s="2207" t="s">
        <v>1392</v>
      </c>
      <c r="K3" s="2351"/>
    </row>
    <row r="4" ht="16.5" customHeight="1" spans="1:11">
      <c r="A4" s="2211" t="s">
        <v>192</v>
      </c>
      <c r="B4" s="2212" t="s">
        <v>62</v>
      </c>
      <c r="C4" s="2339" t="s">
        <v>1984</v>
      </c>
      <c r="D4" s="2340" t="s">
        <v>1985</v>
      </c>
      <c r="E4" s="2341"/>
      <c r="F4" s="2339" t="s">
        <v>1986</v>
      </c>
      <c r="G4" s="2339" t="s">
        <v>1987</v>
      </c>
      <c r="H4" s="2339" t="s">
        <v>1988</v>
      </c>
      <c r="I4" s="2352" t="s">
        <v>1989</v>
      </c>
      <c r="K4" s="2351"/>
    </row>
    <row r="5" ht="16.5" customHeight="1" spans="1:11">
      <c r="A5" s="2215"/>
      <c r="B5" s="2216"/>
      <c r="C5" s="2342"/>
      <c r="D5" s="2217" t="s">
        <v>1990</v>
      </c>
      <c r="E5" s="2217" t="s">
        <v>1991</v>
      </c>
      <c r="F5" s="2342"/>
      <c r="G5" s="2342"/>
      <c r="H5" s="2342" t="s">
        <v>1991</v>
      </c>
      <c r="I5" s="2353"/>
      <c r="K5" s="2351"/>
    </row>
    <row r="6" ht="16.5" customHeight="1" spans="1:11">
      <c r="A6" s="2219" t="s">
        <v>194</v>
      </c>
      <c r="B6" s="2220"/>
      <c r="C6" s="2221"/>
      <c r="D6" s="2221"/>
      <c r="E6" s="2221"/>
      <c r="F6" s="2221"/>
      <c r="G6" s="2222"/>
      <c r="H6" s="2343"/>
      <c r="I6" s="2354"/>
      <c r="K6" s="2355"/>
    </row>
    <row r="7" ht="16.5" customHeight="1" spans="1:9">
      <c r="A7" s="2226" t="s">
        <v>196</v>
      </c>
      <c r="B7" s="2234"/>
      <c r="C7" s="2222">
        <f>ROUND(未审资负表!C7,2)</f>
        <v>203715132.36</v>
      </c>
      <c r="D7" s="2222">
        <f>ROUND(SUMIF(资负表及利润表调整分录!$C$175:$C$1227,试算平衡表!A7,资负表及利润表调整分录!$G$175:$G$1227),2)</f>
        <v>0</v>
      </c>
      <c r="E7" s="2222">
        <f>ROUND(SUMIF(资负表及利润表调整分录!$C$175:$C$1227,试算平衡表!A7,资负表及利润表调整分录!$H$175:$H$1227),2)</f>
        <v>0</v>
      </c>
      <c r="F7" s="2222">
        <f>ROUND(C7+D7-E7,2)</f>
        <v>203715132.36</v>
      </c>
      <c r="G7" s="2222">
        <f>ROUND(审定资负表!C7,2)</f>
        <v>203715132.36</v>
      </c>
      <c r="H7" s="2222">
        <f>ROUND(F7-G7,2)</f>
        <v>0</v>
      </c>
      <c r="I7" s="2356">
        <f>IF(F7=0,0,H7/F7)</f>
        <v>0</v>
      </c>
    </row>
    <row r="8" ht="16.5" customHeight="1" spans="1:9">
      <c r="A8" s="2226" t="s">
        <v>1396</v>
      </c>
      <c r="B8" s="2234"/>
      <c r="C8" s="2222">
        <f>ROUND(未审资负表!C8,2)</f>
        <v>0</v>
      </c>
      <c r="D8" s="2222">
        <f>ROUND(SUMIF(资负表及利润表调整分录!$C$175:$C$1227,试算平衡表!A8,资负表及利润表调整分录!$G$175:$G$1227),2)</f>
        <v>0</v>
      </c>
      <c r="E8" s="2222">
        <f>ROUND(SUMIF(资负表及利润表调整分录!$C$175:$C$1227,试算平衡表!A8,资负表及利润表调整分录!$H$175:$H$1227),2)</f>
        <v>0</v>
      </c>
      <c r="F8" s="2222">
        <f t="shared" ref="F8:F18" si="0">ROUND(C8+D8-E8,2)</f>
        <v>0</v>
      </c>
      <c r="G8" s="2222">
        <f>ROUND(审定资负表!C8,2)</f>
        <v>0</v>
      </c>
      <c r="H8" s="2222">
        <f t="shared" ref="H8:H19" si="1">ROUND(F8-G8,2)</f>
        <v>0</v>
      </c>
      <c r="I8" s="2356">
        <f t="shared" ref="I8:I19" si="2">IF(F8=0,0,H8/F8)</f>
        <v>0</v>
      </c>
    </row>
    <row r="9" ht="16.5" customHeight="1" spans="1:9">
      <c r="A9" s="2226" t="s">
        <v>200</v>
      </c>
      <c r="B9" s="2234"/>
      <c r="C9" s="2222">
        <f>ROUND(未审资负表!C9,2)</f>
        <v>0</v>
      </c>
      <c r="D9" s="2222">
        <f>ROUND(SUMIF(资负表及利润表调整分录!$C$175:$C$1227,试算平衡表!A9,资负表及利润表调整分录!$G$175:$G$1227),2)</f>
        <v>0</v>
      </c>
      <c r="E9" s="2222">
        <f>ROUND(SUMIF(资负表及利润表调整分录!$C$175:$C$1227,试算平衡表!A9,资负表及利润表调整分录!$H$175:$H$1227),2)</f>
        <v>0</v>
      </c>
      <c r="F9" s="2222">
        <f t="shared" si="0"/>
        <v>0</v>
      </c>
      <c r="G9" s="2222">
        <f>ROUND(审定资负表!C9,2)</f>
        <v>0</v>
      </c>
      <c r="H9" s="2222">
        <f t="shared" si="1"/>
        <v>0</v>
      </c>
      <c r="I9" s="2356">
        <f t="shared" si="2"/>
        <v>0</v>
      </c>
    </row>
    <row r="10" ht="16.5" customHeight="1" spans="1:9">
      <c r="A10" s="2226" t="s">
        <v>202</v>
      </c>
      <c r="B10" s="2234"/>
      <c r="C10" s="2222">
        <f>ROUND(未审资负表!C10,2)</f>
        <v>28412133.56</v>
      </c>
      <c r="D10" s="2222">
        <f>ROUND(SUMIF(资负表及利润表调整分录!$C$175:$C$1227,试算平衡表!A10,资负表及利润表调整分录!$G$175:$G$1227),2)</f>
        <v>-8598264.28</v>
      </c>
      <c r="E10" s="2222">
        <f>ROUND(SUMIF(资负表及利润表调整分录!$C$175:$C$1227,试算平衡表!A10,资负表及利润表调整分录!$H$175:$H$1227),2)</f>
        <v>86605.87</v>
      </c>
      <c r="F10" s="2222">
        <f t="shared" si="0"/>
        <v>19727263.41</v>
      </c>
      <c r="G10" s="2222">
        <f>ROUND(审定资负表!C10,2)</f>
        <v>21581677.38</v>
      </c>
      <c r="H10" s="2222">
        <f t="shared" si="1"/>
        <v>-1854413.97</v>
      </c>
      <c r="I10" s="2356">
        <f t="shared" si="2"/>
        <v>-0.0940025958724703</v>
      </c>
    </row>
    <row r="11" ht="16.5" customHeight="1" spans="1:9">
      <c r="A11" s="2226" t="s">
        <v>204</v>
      </c>
      <c r="B11" s="2234"/>
      <c r="C11" s="2222">
        <f>ROUND(未审资负表!C11,2)</f>
        <v>1579739.99</v>
      </c>
      <c r="D11" s="2222">
        <f>ROUND(SUMIF(资负表及利润表调整分录!$C$175:$C$1227,试算平衡表!A11,资负表及利润表调整分录!$G$175:$G$1227),2)</f>
        <v>0</v>
      </c>
      <c r="E11" s="2222">
        <f>ROUND(SUMIF(资负表及利润表调整分录!$C$175:$C$1227,试算平衡表!A11,资负表及利润表调整分录!$H$175:$H$1227),2)</f>
        <v>0</v>
      </c>
      <c r="F11" s="2222">
        <f t="shared" si="0"/>
        <v>1579739.99</v>
      </c>
      <c r="G11" s="2222">
        <f>ROUND(审定资负表!C11,2)</f>
        <v>1579739.99</v>
      </c>
      <c r="H11" s="2222">
        <f t="shared" si="1"/>
        <v>0</v>
      </c>
      <c r="I11" s="2356">
        <f t="shared" si="2"/>
        <v>0</v>
      </c>
    </row>
    <row r="12" ht="16.5" customHeight="1" spans="1:9">
      <c r="A12" s="2226" t="s">
        <v>206</v>
      </c>
      <c r="B12" s="2234"/>
      <c r="C12" s="2222">
        <f>ROUND(未审资负表!C12,2)</f>
        <v>5230925.94</v>
      </c>
      <c r="D12" s="2222">
        <f>ROUND(SUMIF(资负表及利润表调整分录!$C$175:$C$1227,试算平衡表!A12,资负表及利润表调整分录!$G$175:$G$1227),2)</f>
        <v>0</v>
      </c>
      <c r="E12" s="2222">
        <f>ROUND(SUMIF(资负表及利润表调整分录!$C$175:$C$1227,试算平衡表!A12,资负表及利润表调整分录!$H$175:$H$1227),2)</f>
        <v>0</v>
      </c>
      <c r="F12" s="2222">
        <f t="shared" si="0"/>
        <v>5230925.94</v>
      </c>
      <c r="G12" s="2222">
        <f>ROUND(审定资负表!C12,2)</f>
        <v>5230925.94</v>
      </c>
      <c r="H12" s="2222">
        <f t="shared" si="1"/>
        <v>0</v>
      </c>
      <c r="I12" s="2356">
        <f t="shared" si="2"/>
        <v>0</v>
      </c>
    </row>
    <row r="13" ht="16.5" customHeight="1" spans="1:9">
      <c r="A13" s="2226" t="s">
        <v>208</v>
      </c>
      <c r="B13" s="2234"/>
      <c r="C13" s="2222">
        <f>ROUND(未审资负表!C13,2)</f>
        <v>0</v>
      </c>
      <c r="D13" s="2222">
        <f>ROUND(SUMIF(资负表及利润表调整分录!$C$175:$C$1227,试算平衡表!A13,资负表及利润表调整分录!$G$175:$G$1227),2)</f>
        <v>0</v>
      </c>
      <c r="E13" s="2222">
        <f>ROUND(SUMIF(资负表及利润表调整分录!$C$175:$C$1227,试算平衡表!A13,资负表及利润表调整分录!$H$175:$H$1227),2)</f>
        <v>0</v>
      </c>
      <c r="F13" s="2222">
        <f t="shared" si="0"/>
        <v>0</v>
      </c>
      <c r="G13" s="2222">
        <f>ROUND(审定资负表!C13,2)</f>
        <v>0</v>
      </c>
      <c r="H13" s="2222">
        <f t="shared" si="1"/>
        <v>0</v>
      </c>
      <c r="I13" s="2356">
        <f t="shared" si="2"/>
        <v>0</v>
      </c>
    </row>
    <row r="14" ht="16.5" customHeight="1" spans="1:9">
      <c r="A14" s="2226" t="s">
        <v>210</v>
      </c>
      <c r="B14" s="2234"/>
      <c r="C14" s="2222">
        <f>ROUND(未审资负表!C14,2)</f>
        <v>16091622.43</v>
      </c>
      <c r="D14" s="2222">
        <f>ROUND(SUMIF(资负表及利润表调整分录!$C$175:$C$1227,试算平衡表!A14,资负表及利润表调整分录!$G$175:$G$1227),2)</f>
        <v>1085773.45</v>
      </c>
      <c r="E14" s="2222">
        <f>ROUND(SUMIF(资负表及利润表调整分录!$C$175:$C$1227,试算平衡表!A14,资负表及利润表调整分录!$H$175:$H$1227),2)</f>
        <v>-294658.95</v>
      </c>
      <c r="F14" s="2222">
        <f t="shared" si="0"/>
        <v>17472054.83</v>
      </c>
      <c r="G14" s="2222">
        <f>ROUND(审定资负表!C14,2)</f>
        <v>17472054.83</v>
      </c>
      <c r="H14" s="2222">
        <f t="shared" si="1"/>
        <v>0</v>
      </c>
      <c r="I14" s="2356">
        <f t="shared" si="2"/>
        <v>0</v>
      </c>
    </row>
    <row r="15" ht="16.5" customHeight="1" spans="1:9">
      <c r="A15" s="2226" t="s">
        <v>212</v>
      </c>
      <c r="B15" s="2234"/>
      <c r="C15" s="2222">
        <f>ROUND(未审资负表!C15,2)</f>
        <v>31962413.89</v>
      </c>
      <c r="D15" s="2222">
        <f>ROUND(SUMIF(资负表及利润表调整分录!$C$175:$C$1227,试算平衡表!A15,资负表及利润表调整分录!$G$175:$G$1227),2)</f>
        <v>-969079.38</v>
      </c>
      <c r="E15" s="2222">
        <f>ROUND(SUMIF(资负表及利润表调整分录!$C$175:$C$1227,试算平衡表!A15,资负表及利润表调整分录!$H$175:$H$1227),2)</f>
        <v>0</v>
      </c>
      <c r="F15" s="2222">
        <f t="shared" si="0"/>
        <v>30993334.51</v>
      </c>
      <c r="G15" s="2222">
        <f>ROUND(审定资负表!C15,2)</f>
        <v>31962413.89</v>
      </c>
      <c r="H15" s="2222">
        <f t="shared" si="1"/>
        <v>-969079.38</v>
      </c>
      <c r="I15" s="2356">
        <f t="shared" si="2"/>
        <v>-0.0312673481353652</v>
      </c>
    </row>
    <row r="16" ht="16.5" customHeight="1" spans="1:9">
      <c r="A16" s="2226" t="s">
        <v>214</v>
      </c>
      <c r="B16" s="2234"/>
      <c r="C16" s="2222">
        <f>ROUND(未审资负表!C16,2)</f>
        <v>10518611.64</v>
      </c>
      <c r="D16" s="2222">
        <f>ROUND(SUMIF(资负表及利润表调整分录!$C$175:$C$1227,试算平衡表!A16,资负表及利润表调整分录!$G$175:$G$1227),2)</f>
        <v>-837860.42</v>
      </c>
      <c r="E16" s="2222">
        <f>ROUND(SUMIF(资负表及利润表调整分录!$C$175:$C$1227,试算平衡表!A16,资负表及利润表调整分录!$H$175:$H$1227),2)</f>
        <v>-550412.51</v>
      </c>
      <c r="F16" s="2222">
        <f t="shared" si="0"/>
        <v>10231163.73</v>
      </c>
      <c r="G16" s="2222">
        <f>ROUND(审定资负表!C16,2)</f>
        <v>10231163.73</v>
      </c>
      <c r="H16" s="2222">
        <f t="shared" si="1"/>
        <v>0</v>
      </c>
      <c r="I16" s="2356">
        <f t="shared" si="2"/>
        <v>0</v>
      </c>
    </row>
    <row r="17" ht="16.5" customHeight="1" spans="1:9">
      <c r="A17" s="2226" t="s">
        <v>216</v>
      </c>
      <c r="B17" s="2234"/>
      <c r="C17" s="2222">
        <f>ROUND(未审资负表!C17,2)</f>
        <v>2044868.72</v>
      </c>
      <c r="D17" s="2222">
        <f>ROUND(SUMIF(资负表及利润表调整分录!$C$175:$C$1227,试算平衡表!A17,资负表及利润表调整分录!$G$175:$G$1227),2)</f>
        <v>-1833227.77</v>
      </c>
      <c r="E17" s="2222">
        <f>ROUND(SUMIF(资负表及利润表调整分录!$C$175:$C$1227,试算平衡表!A17,资负表及利润表调整分录!$H$175:$H$1227),2)</f>
        <v>0</v>
      </c>
      <c r="F17" s="2222">
        <f t="shared" si="0"/>
        <v>211640.95</v>
      </c>
      <c r="G17" s="2222">
        <f>ROUND(审定资负表!C17,2)</f>
        <v>2044868.72</v>
      </c>
      <c r="H17" s="2222">
        <f t="shared" si="1"/>
        <v>-1833227.77</v>
      </c>
      <c r="I17" s="2356">
        <f t="shared" si="2"/>
        <v>-8.6619709937987</v>
      </c>
    </row>
    <row r="18" ht="16.5" customHeight="1" spans="1:9">
      <c r="A18" s="2226" t="str">
        <f>未审资负表!A18</f>
        <v>持有待售资产</v>
      </c>
      <c r="B18" s="2234"/>
      <c r="C18" s="2222">
        <f>ROUND(未审资负表!C18,2)</f>
        <v>0</v>
      </c>
      <c r="D18" s="2222">
        <f>ROUND(SUMIF(资负表及利润表调整分录!$C$175:$C$1227,试算平衡表!A18,资负表及利润表调整分录!$G$175:$G$1227),2)</f>
        <v>0</v>
      </c>
      <c r="E18" s="2222">
        <f>ROUND(SUMIF(资负表及利润表调整分录!$C$175:$C$1227,试算平衡表!A18,资负表及利润表调整分录!$H$175:$H$1227),2)</f>
        <v>0</v>
      </c>
      <c r="F18" s="2222">
        <f t="shared" si="0"/>
        <v>0</v>
      </c>
      <c r="G18" s="2222">
        <f>ROUND(审定资负表!C18,2)</f>
        <v>0</v>
      </c>
      <c r="H18" s="2222">
        <f t="shared" si="1"/>
        <v>0</v>
      </c>
      <c r="I18" s="2356">
        <f t="shared" si="2"/>
        <v>0</v>
      </c>
    </row>
    <row r="19" ht="16.5" customHeight="1" spans="1:9">
      <c r="A19" s="2231" t="s">
        <v>220</v>
      </c>
      <c r="B19" s="2232"/>
      <c r="C19" s="2344">
        <f>ROUND(SUM(C7:C18),2)</f>
        <v>299555448.53</v>
      </c>
      <c r="D19" s="2344">
        <f>ROUND(SUM(D7:D18),2)</f>
        <v>-11152658.4</v>
      </c>
      <c r="E19" s="2344">
        <f>ROUND(SUM(E7:E18),2)</f>
        <v>-758465.59</v>
      </c>
      <c r="F19" s="2344">
        <f>ROUND(SUM(F7:F18),2)</f>
        <v>289161255.72</v>
      </c>
      <c r="G19" s="2344">
        <f>ROUND(SUM(G7:G18),2)</f>
        <v>293817976.84</v>
      </c>
      <c r="H19" s="2222">
        <f t="shared" si="1"/>
        <v>-4656721.12</v>
      </c>
      <c r="I19" s="2356">
        <f t="shared" si="2"/>
        <v>-0.0161042360547403</v>
      </c>
    </row>
    <row r="20" ht="16.5" customHeight="1" spans="1:9">
      <c r="A20" s="2233"/>
      <c r="B20" s="2234"/>
      <c r="C20" s="2222"/>
      <c r="D20" s="2222"/>
      <c r="E20" s="2222"/>
      <c r="F20" s="2222"/>
      <c r="G20" s="2222"/>
      <c r="H20" s="2344"/>
      <c r="I20" s="2357"/>
    </row>
    <row r="21" ht="16.5" customHeight="1" spans="1:9">
      <c r="A21" s="2219" t="s">
        <v>223</v>
      </c>
      <c r="B21" s="2220"/>
      <c r="C21" s="2222"/>
      <c r="D21" s="2222"/>
      <c r="E21" s="2222"/>
      <c r="F21" s="2222"/>
      <c r="G21" s="2222"/>
      <c r="H21" s="2239"/>
      <c r="I21" s="2229"/>
    </row>
    <row r="22" ht="16.5" customHeight="1" spans="1:9">
      <c r="A22" s="2226" t="s">
        <v>224</v>
      </c>
      <c r="B22" s="2234"/>
      <c r="C22" s="2222">
        <f>ROUND(未审资负表!C22,2)</f>
        <v>0</v>
      </c>
      <c r="D22" s="2222">
        <f>ROUND(SUMIF(资负表及利润表调整分录!$C$175:$C$1227,试算平衡表!A22,资负表及利润表调整分录!$G$175:$G$1227),2)</f>
        <v>0</v>
      </c>
      <c r="E22" s="2222">
        <f>ROUND(SUMIF(资负表及利润表调整分录!$C$175:$C$1227,试算平衡表!A22,资负表及利润表调整分录!$H$175:$H$1227),2)</f>
        <v>0</v>
      </c>
      <c r="F22" s="2222">
        <f t="shared" ref="F22:F39" si="3">ROUND(C22+D22-E22,2)</f>
        <v>0</v>
      </c>
      <c r="G22" s="2222">
        <f>ROUND(审定资负表!C22,2)</f>
        <v>0</v>
      </c>
      <c r="H22" s="2222">
        <f t="shared" ref="H22:H40" si="4">ROUND(F22-G22,2)</f>
        <v>0</v>
      </c>
      <c r="I22" s="2356">
        <f t="shared" ref="I22:I40" si="5">IF(F22=0,0,H22/F22)</f>
        <v>0</v>
      </c>
    </row>
    <row r="23" ht="16.5" customHeight="1" spans="1:9">
      <c r="A23" s="2226" t="s">
        <v>226</v>
      </c>
      <c r="B23" s="2234"/>
      <c r="C23" s="2222">
        <f>ROUND(未审资负表!C23,2)</f>
        <v>0</v>
      </c>
      <c r="D23" s="2222">
        <f>ROUND(SUMIF(资负表及利润表调整分录!$C$175:$C$1227,试算平衡表!A23,资负表及利润表调整分录!$G$175:$G$1227),2)</f>
        <v>0</v>
      </c>
      <c r="E23" s="2222">
        <f>ROUND(SUMIF(资负表及利润表调整分录!$C$175:$C$1227,试算平衡表!A23,资负表及利润表调整分录!$H$175:$H$1227),2)</f>
        <v>0</v>
      </c>
      <c r="F23" s="2222">
        <f t="shared" si="3"/>
        <v>0</v>
      </c>
      <c r="G23" s="2222">
        <f>ROUND(审定资负表!C23,2)</f>
        <v>0</v>
      </c>
      <c r="H23" s="2222">
        <f t="shared" si="4"/>
        <v>0</v>
      </c>
      <c r="I23" s="2356">
        <f t="shared" si="5"/>
        <v>0</v>
      </c>
    </row>
    <row r="24" ht="16.5" customHeight="1" spans="1:9">
      <c r="A24" s="2226" t="s">
        <v>228</v>
      </c>
      <c r="B24" s="2234"/>
      <c r="C24" s="2222">
        <f>ROUND(未审资负表!C24,2)</f>
        <v>77469455.73</v>
      </c>
      <c r="D24" s="2222">
        <f>ROUND(SUMIF(资负表及利润表调整分录!$C$175:$C$1227,试算平衡表!A24,资负表及利润表调整分录!$G$175:$G$1227),2)</f>
        <v>-1484639.88</v>
      </c>
      <c r="E24" s="2222">
        <f>ROUND(SUMIF(资负表及利润表调整分录!$C$175:$C$1227,试算平衡表!A24,资负表及利润表调整分录!$H$175:$H$1227),2)</f>
        <v>4095395.23</v>
      </c>
      <c r="F24" s="2222">
        <f t="shared" si="3"/>
        <v>71889420.62</v>
      </c>
      <c r="G24" s="2222">
        <f>ROUND(审定资负表!C24,2)</f>
        <v>71889420.62</v>
      </c>
      <c r="H24" s="2222">
        <f t="shared" si="4"/>
        <v>0</v>
      </c>
      <c r="I24" s="2356">
        <f t="shared" si="5"/>
        <v>0</v>
      </c>
    </row>
    <row r="25" ht="16.5" customHeight="1" spans="1:9">
      <c r="A25" s="2226" t="s">
        <v>230</v>
      </c>
      <c r="B25" s="2234"/>
      <c r="C25" s="2222">
        <f>ROUND(未审资负表!C25,2)</f>
        <v>4000000</v>
      </c>
      <c r="D25" s="2222">
        <f>ROUND(SUMIF(资负表及利润表调整分录!$C$175:$C$1227,试算平衡表!A25,资负表及利润表调整分录!$G$175:$G$1227),2)</f>
        <v>0</v>
      </c>
      <c r="E25" s="2222">
        <f>ROUND(SUMIF(资负表及利润表调整分录!$C$175:$C$1227,试算平衡表!A25,资负表及利润表调整分录!$H$175:$H$1227),2)</f>
        <v>0</v>
      </c>
      <c r="F25" s="2222">
        <f t="shared" si="3"/>
        <v>4000000</v>
      </c>
      <c r="G25" s="2222">
        <f>ROUND(审定资负表!C25,2)</f>
        <v>4000000</v>
      </c>
      <c r="H25" s="2222">
        <f t="shared" si="4"/>
        <v>0</v>
      </c>
      <c r="I25" s="2356">
        <f t="shared" si="5"/>
        <v>0</v>
      </c>
    </row>
    <row r="26" ht="16.5" customHeight="1" spans="1:9">
      <c r="A26" s="2226" t="s">
        <v>232</v>
      </c>
      <c r="B26" s="2234"/>
      <c r="C26" s="2222">
        <f>ROUND(未审资负表!C26,2)</f>
        <v>0</v>
      </c>
      <c r="D26" s="2222">
        <f>ROUND(SUMIF(资负表及利润表调整分录!$C$175:$C$1227,试算平衡表!A26,资负表及利润表调整分录!$G$175:$G$1227),2)</f>
        <v>0</v>
      </c>
      <c r="E26" s="2222">
        <f>ROUND(SUMIF(资负表及利润表调整分录!$C$175:$C$1227,试算平衡表!A26,资负表及利润表调整分录!$H$175:$H$1227),2)</f>
        <v>0</v>
      </c>
      <c r="F26" s="2222">
        <f t="shared" si="3"/>
        <v>0</v>
      </c>
      <c r="G26" s="2222">
        <f>ROUND(审定资负表!C26,2)</f>
        <v>0</v>
      </c>
      <c r="H26" s="2222">
        <f t="shared" si="4"/>
        <v>0</v>
      </c>
      <c r="I26" s="2356">
        <f t="shared" si="5"/>
        <v>0</v>
      </c>
    </row>
    <row r="27" ht="16.5" customHeight="1" spans="1:9">
      <c r="A27" s="2226" t="s">
        <v>234</v>
      </c>
      <c r="B27" s="2234"/>
      <c r="C27" s="2222">
        <f>ROUND(未审资负表!C27,2)</f>
        <v>63138192.37</v>
      </c>
      <c r="D27" s="2222">
        <f>ROUND(SUMIF(资负表及利润表调整分录!$C$175:$C$1227,试算平衡表!A27,资负表及利润表调整分录!$G$175:$G$1227),2)</f>
        <v>-8242300.32</v>
      </c>
      <c r="E27" s="2222">
        <f>ROUND(SUMIF(资负表及利润表调整分录!$C$175:$C$1227,试算平衡表!A27,资负表及利润表调整分录!$H$175:$H$1227),2)</f>
        <v>-818038.65</v>
      </c>
      <c r="F27" s="2222">
        <f t="shared" si="3"/>
        <v>55713930.7</v>
      </c>
      <c r="G27" s="2222">
        <f>ROUND(审定资负表!C27,2)</f>
        <v>63138192.37</v>
      </c>
      <c r="H27" s="2222">
        <f t="shared" si="4"/>
        <v>-7424261.67</v>
      </c>
      <c r="I27" s="2356">
        <f t="shared" si="5"/>
        <v>-0.133256827811648</v>
      </c>
    </row>
    <row r="28" ht="16.5" customHeight="1" spans="1:9">
      <c r="A28" s="2226" t="s">
        <v>236</v>
      </c>
      <c r="B28" s="2234"/>
      <c r="C28" s="2222">
        <f>ROUND(未审资负表!C28,2)</f>
        <v>50697993.93</v>
      </c>
      <c r="D28" s="2222">
        <f>ROUND(SUMIF(资负表及利润表调整分录!$C$175:$C$1227,试算平衡表!A28,资负表及利润表调整分录!$G$175:$G$1227),2)</f>
        <v>-2037334.78</v>
      </c>
      <c r="E28" s="2222">
        <f>ROUND(SUMIF(资负表及利润表调整分录!$C$175:$C$1227,试算平衡表!A28,资负表及利润表调整分录!$H$175:$H$1227),2)</f>
        <v>0</v>
      </c>
      <c r="F28" s="2222">
        <f t="shared" si="3"/>
        <v>48660659.15</v>
      </c>
      <c r="G28" s="2222">
        <f>ROUND(审定资负表!C28,2)</f>
        <v>50697993.93</v>
      </c>
      <c r="H28" s="2222">
        <f t="shared" si="4"/>
        <v>-2037334.78</v>
      </c>
      <c r="I28" s="2356">
        <f t="shared" si="5"/>
        <v>-0.0418682117256112</v>
      </c>
    </row>
    <row r="29" ht="16.5" customHeight="1" spans="1:9">
      <c r="A29" s="2226" t="s">
        <v>238</v>
      </c>
      <c r="B29" s="2234"/>
      <c r="C29" s="2222">
        <f>ROUND(未审资负表!C29,2)</f>
        <v>0</v>
      </c>
      <c r="D29" s="2222">
        <f>ROUND(SUMIF(资负表及利润表调整分录!$C$175:$C$1227,试算平衡表!A29,资负表及利润表调整分录!$G$175:$G$1227),2)</f>
        <v>0</v>
      </c>
      <c r="E29" s="2222">
        <f>ROUND(SUMIF(资负表及利润表调整分录!$C$175:$C$1227,试算平衡表!A29,资负表及利润表调整分录!$H$175:$H$1227),2)</f>
        <v>0</v>
      </c>
      <c r="F29" s="2222">
        <f t="shared" si="3"/>
        <v>0</v>
      </c>
      <c r="G29" s="2222">
        <f>ROUND(审定资负表!C29,2)</f>
        <v>0</v>
      </c>
      <c r="H29" s="2222">
        <f t="shared" si="4"/>
        <v>0</v>
      </c>
      <c r="I29" s="2356">
        <f t="shared" si="5"/>
        <v>0</v>
      </c>
    </row>
    <row r="30" ht="16.5" customHeight="1" spans="1:9">
      <c r="A30" s="2226" t="s">
        <v>240</v>
      </c>
      <c r="B30" s="2234"/>
      <c r="C30" s="2222">
        <f>ROUND(未审资负表!C30,2)</f>
        <v>0</v>
      </c>
      <c r="D30" s="2222">
        <f>ROUND(SUMIF(资负表及利润表调整分录!$C$175:$C$1227,试算平衡表!A30,资负表及利润表调整分录!$G$175:$G$1227),2)</f>
        <v>0</v>
      </c>
      <c r="E30" s="2222">
        <f>ROUND(SUMIF(资负表及利润表调整分录!$C$175:$C$1227,试算平衡表!A30,资负表及利润表调整分录!$H$175:$H$1227),2)</f>
        <v>0</v>
      </c>
      <c r="F30" s="2222">
        <f t="shared" si="3"/>
        <v>0</v>
      </c>
      <c r="G30" s="2222">
        <f>ROUND(审定资负表!C30,2)</f>
        <v>0</v>
      </c>
      <c r="H30" s="2222">
        <f t="shared" si="4"/>
        <v>0</v>
      </c>
      <c r="I30" s="2356">
        <f t="shared" si="5"/>
        <v>0</v>
      </c>
    </row>
    <row r="31" ht="16.5" customHeight="1" spans="1:9">
      <c r="A31" s="2226" t="s">
        <v>242</v>
      </c>
      <c r="B31" s="2234"/>
      <c r="C31" s="2222">
        <f>ROUND(未审资负表!C31,2)</f>
        <v>0</v>
      </c>
      <c r="D31" s="2222">
        <f>ROUND(SUMIF(资负表及利润表调整分录!$C$175:$C$1227,试算平衡表!A31,资负表及利润表调整分录!$G$175:$G$1227),2)</f>
        <v>0</v>
      </c>
      <c r="E31" s="2222">
        <f>ROUND(SUMIF(资负表及利润表调整分录!$C$175:$C$1227,试算平衡表!A31,资负表及利润表调整分录!$H$175:$H$1227),2)</f>
        <v>0</v>
      </c>
      <c r="F31" s="2222">
        <f t="shared" si="3"/>
        <v>0</v>
      </c>
      <c r="G31" s="2222">
        <f>ROUND(审定资负表!C31,2)</f>
        <v>0</v>
      </c>
      <c r="H31" s="2222">
        <f t="shared" si="4"/>
        <v>0</v>
      </c>
      <c r="I31" s="2356">
        <f t="shared" si="5"/>
        <v>0</v>
      </c>
    </row>
    <row r="32" ht="16.5" customHeight="1" spans="1:9">
      <c r="A32" s="2226" t="s">
        <v>244</v>
      </c>
      <c r="B32" s="2234"/>
      <c r="C32" s="2222">
        <f>ROUND(未审资负表!C32,2)</f>
        <v>0</v>
      </c>
      <c r="D32" s="2222">
        <f>ROUND(SUMIF(资负表及利润表调整分录!$C$175:$C$1227,试算平衡表!A32,资负表及利润表调整分录!$G$175:$G$1227),2)</f>
        <v>0</v>
      </c>
      <c r="E32" s="2222">
        <f>ROUND(SUMIF(资负表及利润表调整分录!$C$175:$C$1227,试算平衡表!A32,资负表及利润表调整分录!$H$175:$H$1227),2)</f>
        <v>0</v>
      </c>
      <c r="F32" s="2222">
        <f t="shared" si="3"/>
        <v>0</v>
      </c>
      <c r="G32" s="2222">
        <f>ROUND(审定资负表!C32,2)</f>
        <v>0</v>
      </c>
      <c r="H32" s="2222">
        <f t="shared" si="4"/>
        <v>0</v>
      </c>
      <c r="I32" s="2356">
        <f t="shared" si="5"/>
        <v>0</v>
      </c>
    </row>
    <row r="33" ht="16.5" customHeight="1" spans="1:9">
      <c r="A33" s="2226" t="s">
        <v>245</v>
      </c>
      <c r="B33" s="2234"/>
      <c r="C33" s="2222">
        <f>ROUND(未审资负表!C33,2)</f>
        <v>10000</v>
      </c>
      <c r="D33" s="2222">
        <f>ROUND(SUMIF(资负表及利润表调整分录!$C$175:$C$1227,试算平衡表!A33,资负表及利润表调整分录!$G$175:$G$1227),2)</f>
        <v>0</v>
      </c>
      <c r="E33" s="2222">
        <f>ROUND(SUMIF(资负表及利润表调整分录!$C$175:$C$1227,试算平衡表!A33,资负表及利润表调整分录!$H$175:$H$1227),2)</f>
        <v>0</v>
      </c>
      <c r="F33" s="2222">
        <f t="shared" si="3"/>
        <v>10000</v>
      </c>
      <c r="G33" s="2222">
        <f>ROUND(审定资负表!C33,2)</f>
        <v>10000</v>
      </c>
      <c r="H33" s="2222">
        <f t="shared" si="4"/>
        <v>0</v>
      </c>
      <c r="I33" s="2356">
        <f t="shared" si="5"/>
        <v>0</v>
      </c>
    </row>
    <row r="34" ht="16.5" customHeight="1" spans="1:9">
      <c r="A34" s="2226" t="s">
        <v>247</v>
      </c>
      <c r="B34" s="2234"/>
      <c r="C34" s="2222">
        <f>ROUND(未审资负表!C34,2)</f>
        <v>0</v>
      </c>
      <c r="D34" s="2222">
        <f>ROUND(SUMIF(资负表及利润表调整分录!$C$175:$C$1227,试算平衡表!A34,资负表及利润表调整分录!$G$175:$G$1227),2)</f>
        <v>0</v>
      </c>
      <c r="E34" s="2222">
        <f>ROUND(SUMIF(资负表及利润表调整分录!$C$175:$C$1227,试算平衡表!A34,资负表及利润表调整分录!$H$175:$H$1227),2)</f>
        <v>0</v>
      </c>
      <c r="F34" s="2222">
        <f t="shared" si="3"/>
        <v>0</v>
      </c>
      <c r="G34" s="2222">
        <f>ROUND(审定资负表!C34,2)</f>
        <v>0</v>
      </c>
      <c r="H34" s="2222">
        <f t="shared" si="4"/>
        <v>0</v>
      </c>
      <c r="I34" s="2356">
        <f t="shared" si="5"/>
        <v>0</v>
      </c>
    </row>
    <row r="35" ht="16.5" customHeight="1" spans="1:9">
      <c r="A35" s="2226" t="s">
        <v>248</v>
      </c>
      <c r="B35" s="2234"/>
      <c r="C35" s="2222">
        <f>ROUND(未审资负表!C35,2)</f>
        <v>0</v>
      </c>
      <c r="D35" s="2222">
        <f>ROUND(SUMIF(资负表及利润表调整分录!$C$175:$C$1227,试算平衡表!A35,资负表及利润表调整分录!$G$175:$G$1227),2)</f>
        <v>0</v>
      </c>
      <c r="E35" s="2222">
        <f>ROUND(SUMIF(资负表及利润表调整分录!$C$175:$C$1227,试算平衡表!A35,资负表及利润表调整分录!$H$175:$H$1227),2)</f>
        <v>0</v>
      </c>
      <c r="F35" s="2222">
        <f t="shared" si="3"/>
        <v>0</v>
      </c>
      <c r="G35" s="2222">
        <f>ROUND(审定资负表!C35,2)</f>
        <v>0</v>
      </c>
      <c r="H35" s="2222">
        <f t="shared" si="4"/>
        <v>0</v>
      </c>
      <c r="I35" s="2356">
        <f t="shared" si="5"/>
        <v>0</v>
      </c>
    </row>
    <row r="36" ht="16.5" customHeight="1" spans="1:9">
      <c r="A36" s="2226" t="s">
        <v>250</v>
      </c>
      <c r="B36" s="2234"/>
      <c r="C36" s="2222">
        <f>ROUND(未审资负表!C36,2)</f>
        <v>170458.45</v>
      </c>
      <c r="D36" s="2222">
        <f>ROUND(SUMIF(资负表及利润表调整分录!$C$175:$C$1227,试算平衡表!A36,资负表及利润表调整分录!$G$175:$G$1227),2)</f>
        <v>0</v>
      </c>
      <c r="E36" s="2222">
        <f>ROUND(SUMIF(资负表及利润表调整分录!$C$175:$C$1227,试算平衡表!A36,资负表及利润表调整分录!$H$175:$H$1227),2)</f>
        <v>0</v>
      </c>
      <c r="F36" s="2222">
        <f t="shared" si="3"/>
        <v>170458.45</v>
      </c>
      <c r="G36" s="2222">
        <f>ROUND(审定资负表!C36,2)</f>
        <v>170458.45</v>
      </c>
      <c r="H36" s="2222">
        <f t="shared" si="4"/>
        <v>0</v>
      </c>
      <c r="I36" s="2356">
        <f t="shared" si="5"/>
        <v>0</v>
      </c>
    </row>
    <row r="37" ht="16.5" customHeight="1" spans="1:9">
      <c r="A37" s="2226" t="s">
        <v>252</v>
      </c>
      <c r="B37" s="2234"/>
      <c r="C37" s="2222">
        <f>ROUND(未审资负表!C37,2)</f>
        <v>785866.71</v>
      </c>
      <c r="D37" s="2222">
        <f>ROUND(SUMIF(资负表及利润表调整分录!$C$175:$C$1227,试算平衡表!A37,资负表及利润表调整分录!$G$175:$G$1227),2)</f>
        <v>1585436.63</v>
      </c>
      <c r="E37" s="2222">
        <f>ROUND(SUMIF(资负表及利润表调整分录!$C$175:$C$1227,试算平衡表!A37,资负表及利润表调整分录!$H$175:$H$1227),2)</f>
        <v>0</v>
      </c>
      <c r="F37" s="2222">
        <f t="shared" si="3"/>
        <v>2371303.34</v>
      </c>
      <c r="G37" s="2222">
        <f>ROUND(审定资负表!C37,2)</f>
        <v>1554610.58</v>
      </c>
      <c r="H37" s="2222">
        <f t="shared" si="4"/>
        <v>816692.76</v>
      </c>
      <c r="I37" s="2356">
        <f t="shared" si="5"/>
        <v>0.344406700831451</v>
      </c>
    </row>
    <row r="38" ht="16.5" customHeight="1" spans="1:9">
      <c r="A38" s="2226" t="s">
        <v>254</v>
      </c>
      <c r="B38" s="2234"/>
      <c r="C38" s="2222">
        <f>ROUND(未审资负表!C38,2)</f>
        <v>0</v>
      </c>
      <c r="D38" s="2222">
        <f>ROUND(SUMIF(资负表及利润表调整分录!$C$175:$C$1227,试算平衡表!A38,资负表及利润表调整分录!$G$175:$G$1227),2)</f>
        <v>0</v>
      </c>
      <c r="E38" s="2222">
        <f>ROUND(SUMIF(资负表及利润表调整分录!$C$175:$C$1227,试算平衡表!A38,资负表及利润表调整分录!$H$175:$H$1227),2)</f>
        <v>0</v>
      </c>
      <c r="F38" s="2222">
        <f t="shared" si="3"/>
        <v>0</v>
      </c>
      <c r="G38" s="2222">
        <f>ROUND(审定资负表!C38,2)</f>
        <v>0</v>
      </c>
      <c r="H38" s="2222">
        <f t="shared" si="4"/>
        <v>0</v>
      </c>
      <c r="I38" s="2356">
        <f t="shared" si="5"/>
        <v>0</v>
      </c>
    </row>
    <row r="39" ht="16.5" customHeight="1" spans="1:9">
      <c r="A39" s="2226">
        <f>未审资负表!A39</f>
        <v>0</v>
      </c>
      <c r="B39" s="2234"/>
      <c r="C39" s="2222">
        <f>ROUND(未审资负表!C39,2)</f>
        <v>0</v>
      </c>
      <c r="D39" s="2222">
        <f>ROUND(SUMIF(资负表及利润表调整分录!$C$175:$C$1227,试算平衡表!A39,资负表及利润表调整分录!$G$175:$G$1227),2)</f>
        <v>0</v>
      </c>
      <c r="E39" s="2222">
        <f>ROUND(SUMIF(资负表及利润表调整分录!$C$175:$C$1227,试算平衡表!A39,资负表及利润表调整分录!$H$175:$H$1227),2)</f>
        <v>0</v>
      </c>
      <c r="F39" s="2222">
        <f t="shared" si="3"/>
        <v>0</v>
      </c>
      <c r="G39" s="2222">
        <f>ROUND(审定资负表!C39,2)</f>
        <v>0</v>
      </c>
      <c r="H39" s="2222">
        <f t="shared" si="4"/>
        <v>0</v>
      </c>
      <c r="I39" s="2356">
        <f t="shared" si="5"/>
        <v>0</v>
      </c>
    </row>
    <row r="40" ht="16.5" customHeight="1" spans="1:9">
      <c r="A40" s="2231" t="s">
        <v>257</v>
      </c>
      <c r="B40" s="2234"/>
      <c r="C40" s="2344">
        <f>ROUND(SUM(C22:C39),2)</f>
        <v>196271967.19</v>
      </c>
      <c r="D40" s="2344">
        <f>ROUND(SUM(D22:D39),2)</f>
        <v>-10178838.35</v>
      </c>
      <c r="E40" s="2344">
        <f>ROUND(SUM(E22:E39),2)</f>
        <v>3277356.58</v>
      </c>
      <c r="F40" s="2344">
        <f>ROUND(SUM(F22:F39),2)</f>
        <v>182815772.26</v>
      </c>
      <c r="G40" s="2344">
        <f>ROUND(SUM(G22:G39),2)</f>
        <v>191460675.95</v>
      </c>
      <c r="H40" s="2222">
        <f t="shared" si="4"/>
        <v>-8644903.69</v>
      </c>
      <c r="I40" s="2356">
        <f t="shared" si="5"/>
        <v>-0.0472875156400906</v>
      </c>
    </row>
    <row r="41" ht="16.5" customHeight="1" spans="1:9">
      <c r="A41" s="2243"/>
      <c r="B41" s="2234"/>
      <c r="C41" s="2222"/>
      <c r="D41" s="2222"/>
      <c r="E41" s="2222"/>
      <c r="F41" s="2222"/>
      <c r="G41" s="2222"/>
      <c r="H41" s="2344"/>
      <c r="I41" s="2357"/>
    </row>
    <row r="42" ht="16.5" customHeight="1" spans="1:9">
      <c r="A42" s="2243"/>
      <c r="B42" s="2234"/>
      <c r="C42" s="2222"/>
      <c r="D42" s="2222"/>
      <c r="E42" s="2222"/>
      <c r="F42" s="2222"/>
      <c r="G42" s="2222"/>
      <c r="H42" s="2344"/>
      <c r="I42" s="2357"/>
    </row>
    <row r="43" ht="17.25" hidden="1" customHeight="1" spans="1:9">
      <c r="A43" s="2243"/>
      <c r="B43" s="2232"/>
      <c r="C43" s="2222"/>
      <c r="D43" s="2222"/>
      <c r="E43" s="2222"/>
      <c r="F43" s="2222"/>
      <c r="G43" s="2222"/>
      <c r="H43" s="2344"/>
      <c r="I43" s="2357"/>
    </row>
    <row r="44" ht="17.25" hidden="1" customHeight="1" spans="1:9">
      <c r="A44" s="2243"/>
      <c r="B44" s="2234"/>
      <c r="C44" s="2222"/>
      <c r="D44" s="2222"/>
      <c r="E44" s="2222"/>
      <c r="F44" s="2222"/>
      <c r="G44" s="2222"/>
      <c r="H44" s="2344"/>
      <c r="I44" s="2357"/>
    </row>
    <row r="45" ht="17.25" hidden="1" customHeight="1" spans="1:9">
      <c r="A45" s="2243"/>
      <c r="B45" s="2234"/>
      <c r="C45" s="2222"/>
      <c r="D45" s="2222"/>
      <c r="E45" s="2222"/>
      <c r="F45" s="2222"/>
      <c r="G45" s="2222"/>
      <c r="H45" s="2344"/>
      <c r="I45" s="2357"/>
    </row>
    <row r="46" ht="16.5" customHeight="1" spans="1:9">
      <c r="A46" s="2243"/>
      <c r="B46" s="2234"/>
      <c r="C46" s="2222"/>
      <c r="D46" s="2222"/>
      <c r="E46" s="2222"/>
      <c r="F46" s="2222"/>
      <c r="G46" s="2222"/>
      <c r="H46" s="2344"/>
      <c r="I46" s="2357"/>
    </row>
    <row r="47" ht="16.5" customHeight="1" spans="1:9">
      <c r="A47" s="2243"/>
      <c r="B47" s="2234"/>
      <c r="C47" s="2222"/>
      <c r="D47" s="2222"/>
      <c r="E47" s="2222"/>
      <c r="F47" s="2222"/>
      <c r="G47" s="2222"/>
      <c r="H47" s="2222"/>
      <c r="I47" s="2229"/>
    </row>
    <row r="48" ht="16.5" customHeight="1" spans="1:9">
      <c r="A48" s="2247" t="s">
        <v>264</v>
      </c>
      <c r="B48" s="2248"/>
      <c r="C48" s="2345">
        <f>ROUND(C19+C40,2)</f>
        <v>495827415.72</v>
      </c>
      <c r="D48" s="2345">
        <f>ROUND(D19+D40,2)</f>
        <v>-21331496.75</v>
      </c>
      <c r="E48" s="2345">
        <f>ROUND(E19+E40,2)</f>
        <v>2518890.99</v>
      </c>
      <c r="F48" s="2345">
        <f>ROUND(F19+F40,2)</f>
        <v>471977027.98</v>
      </c>
      <c r="G48" s="2345">
        <f>ROUND(G19+G40,2)</f>
        <v>485278652.79</v>
      </c>
      <c r="H48" s="2346">
        <f>ROUND(F48-G48,2)</f>
        <v>-13301624.81</v>
      </c>
      <c r="I48" s="2358">
        <f>IF(F48=0,0,H48/F48)</f>
        <v>-0.028182780138536</v>
      </c>
    </row>
    <row r="49" ht="27.75" customHeight="1" spans="1:9">
      <c r="A49" s="2103" t="s">
        <v>46</v>
      </c>
      <c r="B49" s="2204"/>
      <c r="C49" s="2204"/>
      <c r="D49" s="2204"/>
      <c r="E49" s="2204"/>
      <c r="F49" s="2204"/>
      <c r="G49" s="2204"/>
      <c r="H49" s="2204"/>
      <c r="I49" s="2204"/>
    </row>
    <row r="50" ht="15" customHeight="1" spans="1:11">
      <c r="A50" s="2335" t="s">
        <v>1992</v>
      </c>
      <c r="B50" s="2205"/>
      <c r="C50" s="2105"/>
      <c r="D50" s="2105"/>
      <c r="E50" s="2105"/>
      <c r="F50" s="2206" t="s">
        <v>1981</v>
      </c>
      <c r="G50" s="2336">
        <f>参数表!$F$10</f>
        <v>0</v>
      </c>
      <c r="H50" s="2206"/>
      <c r="I50" s="2206" t="s">
        <v>1982</v>
      </c>
      <c r="K50" s="2351"/>
    </row>
    <row r="51" ht="15" customHeight="1" spans="1:11">
      <c r="A51" s="2337" t="str">
        <f>"编制单位："&amp;参数表!C51</f>
        <v>编制单位：</v>
      </c>
      <c r="B51" s="2338"/>
      <c r="C51" s="2206"/>
      <c r="D51" s="2206"/>
      <c r="E51" s="2206"/>
      <c r="F51" s="2206" t="s">
        <v>1983</v>
      </c>
      <c r="G51" s="2336">
        <f>参数表!$C$11</f>
        <v>0</v>
      </c>
      <c r="H51" s="2206"/>
      <c r="I51" s="2207" t="s">
        <v>1392</v>
      </c>
      <c r="K51" s="2351"/>
    </row>
    <row r="52" ht="16.5" customHeight="1" spans="1:11">
      <c r="A52" s="2211" t="s">
        <v>193</v>
      </c>
      <c r="B52" s="2212" t="s">
        <v>62</v>
      </c>
      <c r="C52" s="2339" t="s">
        <v>1984</v>
      </c>
      <c r="D52" s="2340" t="s">
        <v>1985</v>
      </c>
      <c r="E52" s="2341"/>
      <c r="F52" s="2339" t="s">
        <v>1986</v>
      </c>
      <c r="G52" s="2339" t="s">
        <v>1987</v>
      </c>
      <c r="H52" s="2339" t="s">
        <v>1988</v>
      </c>
      <c r="I52" s="2352" t="s">
        <v>1989</v>
      </c>
      <c r="K52" s="2351"/>
    </row>
    <row r="53" ht="16.5" customHeight="1" spans="1:11">
      <c r="A53" s="2215"/>
      <c r="B53" s="2216"/>
      <c r="C53" s="2342"/>
      <c r="D53" s="2217" t="s">
        <v>1990</v>
      </c>
      <c r="E53" s="2217" t="s">
        <v>1991</v>
      </c>
      <c r="F53" s="2342"/>
      <c r="G53" s="2342"/>
      <c r="H53" s="2342" t="s">
        <v>1991</v>
      </c>
      <c r="I53" s="2353"/>
      <c r="K53" s="2351"/>
    </row>
    <row r="54" ht="16.5" customHeight="1" spans="1:11">
      <c r="A54" s="2347" t="s">
        <v>195</v>
      </c>
      <c r="B54" s="2223"/>
      <c r="C54" s="2343"/>
      <c r="D54" s="2348"/>
      <c r="E54" s="2348"/>
      <c r="F54" s="2348"/>
      <c r="G54" s="2349"/>
      <c r="H54" s="2343"/>
      <c r="I54" s="2354"/>
      <c r="K54" s="2355"/>
    </row>
    <row r="55" ht="16.5" customHeight="1" spans="1:9">
      <c r="A55" s="2226" t="s">
        <v>197</v>
      </c>
      <c r="B55" s="2238"/>
      <c r="C55" s="2222">
        <f>ROUND(未审资负表!G7,2)</f>
        <v>4850000</v>
      </c>
      <c r="D55" s="2222">
        <f>ROUND(SUMIF(资负表及利润表调整分录!$C$175:$C$1227,试算平衡表!A55,资负表及利润表调整分录!$G$175:$G$1227),2)</f>
        <v>0</v>
      </c>
      <c r="E55" s="2222">
        <f>ROUND(SUMIF(资负表及利润表调整分录!$C$175:$C$1227,试算平衡表!A55,资负表及利润表调整分录!$H$175:$H$1227),2)</f>
        <v>0</v>
      </c>
      <c r="F55" s="2350">
        <f>ROUND(C55+E55-D55,2)</f>
        <v>4850000</v>
      </c>
      <c r="G55" s="2350">
        <f>ROUND(审定资负表!G7,2)</f>
        <v>4850000</v>
      </c>
      <c r="H55" s="2222">
        <f>ROUND(F55-G55,2)</f>
        <v>0</v>
      </c>
      <c r="I55" s="2356">
        <f>IF(F55=0,0,H55/F55)</f>
        <v>0</v>
      </c>
    </row>
    <row r="56" ht="16.5" customHeight="1" spans="1:9">
      <c r="A56" s="2226" t="s">
        <v>1398</v>
      </c>
      <c r="B56" s="2238"/>
      <c r="C56" s="2222">
        <f>ROUND(未审资负表!G8,2)</f>
        <v>0</v>
      </c>
      <c r="D56" s="2222">
        <f>ROUND(SUMIF(资负表及利润表调整分录!$C$175:$C$1227,试算平衡表!A56,资负表及利润表调整分录!$G$175:$G$1227),2)</f>
        <v>0</v>
      </c>
      <c r="E56" s="2222">
        <f>ROUND(SUMIF(资负表及利润表调整分录!$C$175:$C$1227,试算平衡表!A56,资负表及利润表调整分录!$H$175:$H$1227),2)</f>
        <v>0</v>
      </c>
      <c r="F56" s="2350">
        <f t="shared" ref="F56:F67" si="6">ROUND(C56+E56-D56,2)</f>
        <v>0</v>
      </c>
      <c r="G56" s="2350">
        <f>ROUND(审定资负表!G8,2)</f>
        <v>0</v>
      </c>
      <c r="H56" s="2222">
        <f t="shared" ref="H56:H68" si="7">ROUND(F56-G56,2)</f>
        <v>0</v>
      </c>
      <c r="I56" s="2356">
        <f t="shared" ref="I56:I68" si="8">IF(F56=0,0,H56/F56)</f>
        <v>0</v>
      </c>
    </row>
    <row r="57" ht="16.5" customHeight="1" spans="1:9">
      <c r="A57" s="2226" t="s">
        <v>201</v>
      </c>
      <c r="B57" s="2238"/>
      <c r="C57" s="2222">
        <f>ROUND(未审资负表!G9,2)</f>
        <v>4117111</v>
      </c>
      <c r="D57" s="2222">
        <f>ROUND(SUMIF(资负表及利润表调整分录!$C$175:$C$1227,试算平衡表!A57,资负表及利润表调整分录!$G$175:$G$1227),2)</f>
        <v>0</v>
      </c>
      <c r="E57" s="2222">
        <f>ROUND(SUMIF(资负表及利润表调整分录!$C$175:$C$1227,试算平衡表!A57,资负表及利润表调整分录!$H$175:$H$1227),2)</f>
        <v>0</v>
      </c>
      <c r="F57" s="2350">
        <f t="shared" si="6"/>
        <v>4117111</v>
      </c>
      <c r="G57" s="2350">
        <f>ROUND(审定资负表!G9,2)</f>
        <v>4117111</v>
      </c>
      <c r="H57" s="2222">
        <f t="shared" si="7"/>
        <v>0</v>
      </c>
      <c r="I57" s="2356">
        <f t="shared" si="8"/>
        <v>0</v>
      </c>
    </row>
    <row r="58" ht="16.5" customHeight="1" spans="1:9">
      <c r="A58" s="2226" t="s">
        <v>203</v>
      </c>
      <c r="B58" s="2238"/>
      <c r="C58" s="2222">
        <f>ROUND(未审资负表!G10,2)</f>
        <v>41707145.22</v>
      </c>
      <c r="D58" s="2222">
        <f>ROUND(SUMIF(资负表及利润表调整分录!$C$175:$C$1227,试算平衡表!A58,资负表及利润表调整分录!$G$175:$G$1227),2)</f>
        <v>0</v>
      </c>
      <c r="E58" s="2222">
        <f>ROUND(SUMIF(资负表及利润表调整分录!$C$175:$C$1227,试算平衡表!A58,资负表及利润表调整分录!$H$175:$H$1227),2)</f>
        <v>-8916998.08</v>
      </c>
      <c r="F58" s="2350">
        <f t="shared" si="6"/>
        <v>32790147.14</v>
      </c>
      <c r="G58" s="2350">
        <f>ROUND(审定资负表!G10,2)</f>
        <v>41707145.22</v>
      </c>
      <c r="H58" s="2222">
        <f t="shared" si="7"/>
        <v>-8916998.08</v>
      </c>
      <c r="I58" s="2356">
        <f t="shared" si="8"/>
        <v>-0.271941386597877</v>
      </c>
    </row>
    <row r="59" ht="16.5" customHeight="1" spans="1:9">
      <c r="A59" s="2226" t="s">
        <v>205</v>
      </c>
      <c r="B59" s="2238"/>
      <c r="C59" s="2222">
        <f>ROUND(未审资负表!G11,2)</f>
        <v>0</v>
      </c>
      <c r="D59" s="2222">
        <f>ROUND(SUMIF(资负表及利润表调整分录!$C$175:$C$1227,试算平衡表!A59,资负表及利润表调整分录!$G$175:$G$1227),2)</f>
        <v>0</v>
      </c>
      <c r="E59" s="2222">
        <f>ROUND(SUMIF(资负表及利润表调整分录!$C$175:$C$1227,试算平衡表!A59,资负表及利润表调整分录!$H$175:$H$1227),2)</f>
        <v>0</v>
      </c>
      <c r="F59" s="2350">
        <f t="shared" si="6"/>
        <v>0</v>
      </c>
      <c r="G59" s="2350">
        <f>ROUND(审定资负表!G11,2)</f>
        <v>0</v>
      </c>
      <c r="H59" s="2222">
        <f t="shared" si="7"/>
        <v>0</v>
      </c>
      <c r="I59" s="2356">
        <f t="shared" si="8"/>
        <v>0</v>
      </c>
    </row>
    <row r="60" ht="16.5" customHeight="1" spans="1:9">
      <c r="A60" s="2226" t="s">
        <v>207</v>
      </c>
      <c r="B60" s="2238"/>
      <c r="C60" s="2222">
        <f>ROUND(未审资负表!G12,2)</f>
        <v>1416018.5</v>
      </c>
      <c r="D60" s="2222">
        <f>ROUND(SUMIF(资负表及利润表调整分录!$C$175:$C$1227,试算平衡表!A60,资负表及利润表调整分录!$G$175:$G$1227),2)</f>
        <v>0</v>
      </c>
      <c r="E60" s="2222">
        <f>ROUND(SUMIF(资负表及利润表调整分录!$C$175:$C$1227,试算平衡表!A60,资负表及利润表调整分录!$H$175:$H$1227),2)</f>
        <v>0</v>
      </c>
      <c r="F60" s="2350">
        <f t="shared" si="6"/>
        <v>1416018.5</v>
      </c>
      <c r="G60" s="2350">
        <f>ROUND(审定资负表!G12,2)</f>
        <v>1416018.5</v>
      </c>
      <c r="H60" s="2222">
        <f t="shared" si="7"/>
        <v>0</v>
      </c>
      <c r="I60" s="2356">
        <f t="shared" si="8"/>
        <v>0</v>
      </c>
    </row>
    <row r="61" ht="16.5" customHeight="1" spans="1:9">
      <c r="A61" s="2226" t="s">
        <v>209</v>
      </c>
      <c r="B61" s="2238"/>
      <c r="C61" s="2222">
        <f>ROUND(未审资负表!G13,2)</f>
        <v>8795980.05</v>
      </c>
      <c r="D61" s="2222">
        <f>ROUND(SUMIF(资负表及利润表调整分录!$C$175:$C$1227,试算平衡表!A61,资负表及利润表调整分录!$G$175:$G$1227),2)</f>
        <v>18408283.91</v>
      </c>
      <c r="E61" s="2222">
        <f>ROUND(SUMIF(资负表及利润表调整分录!$C$175:$C$1227,试算平衡表!A61,资负表及利润表调整分录!$H$175:$H$1227),2)</f>
        <v>158516.4</v>
      </c>
      <c r="F61" s="2350">
        <f t="shared" si="6"/>
        <v>-9453787.46</v>
      </c>
      <c r="G61" s="2350">
        <f>ROUND(审定资负表!G13,2)</f>
        <v>431322.26</v>
      </c>
      <c r="H61" s="2222">
        <f t="shared" si="7"/>
        <v>-9885109.72</v>
      </c>
      <c r="I61" s="2356">
        <f t="shared" si="8"/>
        <v>1.04562428146655</v>
      </c>
    </row>
    <row r="62" ht="16.5" customHeight="1" spans="1:9">
      <c r="A62" s="2226" t="s">
        <v>211</v>
      </c>
      <c r="B62" s="2238"/>
      <c r="C62" s="2222">
        <f>ROUND(未审资负表!G14,2)</f>
        <v>120815.96</v>
      </c>
      <c r="D62" s="2222">
        <f>ROUND(SUMIF(资负表及利润表调整分录!$C$175:$C$1227,试算平衡表!A62,资负表及利润表调整分录!$G$175:$G$1227),2)</f>
        <v>0</v>
      </c>
      <c r="E62" s="2222">
        <f>ROUND(SUMIF(资负表及利润表调整分录!$C$175:$C$1227,试算平衡表!A62,资负表及利润表调整分录!$H$175:$H$1227),2)</f>
        <v>0</v>
      </c>
      <c r="F62" s="2350">
        <f t="shared" si="6"/>
        <v>120815.96</v>
      </c>
      <c r="G62" s="2350">
        <f>ROUND(审定资负表!G14,2)</f>
        <v>120815.96</v>
      </c>
      <c r="H62" s="2222">
        <f t="shared" si="7"/>
        <v>0</v>
      </c>
      <c r="I62" s="2356">
        <f t="shared" si="8"/>
        <v>0</v>
      </c>
    </row>
    <row r="63" ht="16.5" customHeight="1" spans="1:9">
      <c r="A63" s="2226" t="s">
        <v>213</v>
      </c>
      <c r="B63" s="2238"/>
      <c r="C63" s="2222">
        <f>ROUND(未审资负表!G15,2)</f>
        <v>0</v>
      </c>
      <c r="D63" s="2222">
        <f>ROUND(SUMIF(资负表及利润表调整分录!$C$175:$C$1227,试算平衡表!A63,资负表及利润表调整分录!$G$175:$G$1227),2)</f>
        <v>0</v>
      </c>
      <c r="E63" s="2222">
        <f>ROUND(SUMIF(资负表及利润表调整分录!$C$175:$C$1227,试算平衡表!A63,资负表及利润表调整分录!$H$175:$H$1227),2)</f>
        <v>0</v>
      </c>
      <c r="F63" s="2350">
        <f t="shared" si="6"/>
        <v>0</v>
      </c>
      <c r="G63" s="2350">
        <f>ROUND(审定资负表!G15,2)</f>
        <v>0</v>
      </c>
      <c r="H63" s="2222">
        <f t="shared" si="7"/>
        <v>0</v>
      </c>
      <c r="I63" s="2356">
        <f t="shared" si="8"/>
        <v>0</v>
      </c>
    </row>
    <row r="64" ht="16.5" customHeight="1" spans="1:9">
      <c r="A64" s="2226" t="s">
        <v>215</v>
      </c>
      <c r="B64" s="2238"/>
      <c r="C64" s="2222">
        <f>ROUND(未审资负表!G16,2)</f>
        <v>18955150.91</v>
      </c>
      <c r="D64" s="2222">
        <f>ROUND(SUMIF(资负表及利润表调整分录!$C$175:$C$1227,试算平衡表!A64,资负表及利润表调整分录!$G$175:$G$1227),2)</f>
        <v>0</v>
      </c>
      <c r="E64" s="2222">
        <f>ROUND(SUMIF(资负表及利润表调整分录!$C$175:$C$1227,试算平衡表!A64,资负表及利润表调整分录!$H$175:$H$1227),2)</f>
        <v>714588.91</v>
      </c>
      <c r="F64" s="2350">
        <f t="shared" si="6"/>
        <v>19669739.82</v>
      </c>
      <c r="G64" s="2350">
        <f>ROUND(审定资负表!G16,2)</f>
        <v>19669739.82</v>
      </c>
      <c r="H64" s="2222">
        <f t="shared" si="7"/>
        <v>0</v>
      </c>
      <c r="I64" s="2356">
        <f t="shared" si="8"/>
        <v>0</v>
      </c>
    </row>
    <row r="65" ht="16.5" customHeight="1" spans="1:9">
      <c r="A65" s="2226" t="s">
        <v>217</v>
      </c>
      <c r="B65" s="2238"/>
      <c r="C65" s="2222">
        <f>ROUND(未审资负表!G17,2)</f>
        <v>6557196.07</v>
      </c>
      <c r="D65" s="2222">
        <f>ROUND(SUMIF(资负表及利润表调整分录!$C$175:$C$1227,试算平衡表!A65,资负表及利润表调整分录!$G$175:$G$1227),2)</f>
        <v>0</v>
      </c>
      <c r="E65" s="2222">
        <f>ROUND(SUMIF(资负表及利润表调整分录!$C$175:$C$1227,试算平衡表!A65,资负表及利润表调整分录!$H$175:$H$1227),2)</f>
        <v>17334444.44</v>
      </c>
      <c r="F65" s="2350">
        <f t="shared" si="6"/>
        <v>23891640.51</v>
      </c>
      <c r="G65" s="2350">
        <f>ROUND(审定资负表!G17,2)</f>
        <v>23891640.51</v>
      </c>
      <c r="H65" s="2222">
        <f t="shared" si="7"/>
        <v>0</v>
      </c>
      <c r="I65" s="2356">
        <f t="shared" si="8"/>
        <v>0</v>
      </c>
    </row>
    <row r="66" ht="16.5" customHeight="1" spans="1:9">
      <c r="A66" s="2226" t="s">
        <v>219</v>
      </c>
      <c r="B66" s="2238"/>
      <c r="C66" s="2222">
        <f>ROUND(未审资负表!G18,2)</f>
        <v>0</v>
      </c>
      <c r="D66" s="2222">
        <f>ROUND(SUMIF(资负表及利润表调整分录!$C$175:$C$1227,试算平衡表!A66,资负表及利润表调整分录!$G$175:$G$1227),2)</f>
        <v>0</v>
      </c>
      <c r="E66" s="2222">
        <f>ROUND(SUMIF(资负表及利润表调整分录!$C$175:$C$1227,试算平衡表!A66,资负表及利润表调整分录!$H$175:$H$1227),2)</f>
        <v>16575056.14</v>
      </c>
      <c r="F66" s="2350">
        <f t="shared" si="6"/>
        <v>16575056.14</v>
      </c>
      <c r="G66" s="2350">
        <f>ROUND(审定资负表!G18,2)</f>
        <v>8287528.07</v>
      </c>
      <c r="H66" s="2222">
        <f t="shared" si="7"/>
        <v>8287528.07</v>
      </c>
      <c r="I66" s="2356">
        <f t="shared" si="8"/>
        <v>0.5</v>
      </c>
    </row>
    <row r="67" ht="16.5" customHeight="1" spans="1:9">
      <c r="A67" s="2226" t="str">
        <f>未审资负表!E19</f>
        <v>持有待售负债</v>
      </c>
      <c r="B67" s="2238"/>
      <c r="C67" s="2222">
        <f>ROUND(未审资负表!G19,2)</f>
        <v>0</v>
      </c>
      <c r="D67" s="2222">
        <f>ROUND(SUMIF(资负表及利润表调整分录!$C$175:$C$1227,试算平衡表!A67,资负表及利润表调整分录!$G$175:$G$1227),2)</f>
        <v>0</v>
      </c>
      <c r="E67" s="2222">
        <f>ROUND(SUMIF(资负表及利润表调整分录!$C$175:$C$1227,试算平衡表!A67,资负表及利润表调整分录!$H$175:$H$1227),2)</f>
        <v>0</v>
      </c>
      <c r="F67" s="2350">
        <f t="shared" si="6"/>
        <v>0</v>
      </c>
      <c r="G67" s="2350">
        <f>ROUND(审定资负表!G19,2)</f>
        <v>0</v>
      </c>
      <c r="H67" s="2222">
        <f t="shared" si="7"/>
        <v>0</v>
      </c>
      <c r="I67" s="2356">
        <f t="shared" si="8"/>
        <v>0</v>
      </c>
    </row>
    <row r="68" ht="16.5" customHeight="1" spans="1:9">
      <c r="A68" s="2231" t="s">
        <v>222</v>
      </c>
      <c r="B68" s="2232"/>
      <c r="C68" s="2344">
        <f>ROUND(SUM(C55:C67),2)</f>
        <v>86519417.71</v>
      </c>
      <c r="D68" s="2344">
        <f>ROUND(SUM(D55:D67),2)</f>
        <v>18408283.91</v>
      </c>
      <c r="E68" s="2344">
        <f>ROUND(SUM(E55:E67),2)</f>
        <v>25865607.81</v>
      </c>
      <c r="F68" s="2344">
        <f>ROUND(SUM(F55:F67),2)</f>
        <v>93976741.61</v>
      </c>
      <c r="G68" s="2344">
        <f>ROUND(SUM(G55:G67),2)</f>
        <v>104491321.34</v>
      </c>
      <c r="H68" s="2222">
        <f t="shared" si="7"/>
        <v>-10514579.73</v>
      </c>
      <c r="I68" s="2356">
        <f t="shared" si="8"/>
        <v>-0.111884914818978</v>
      </c>
    </row>
    <row r="69" ht="16.5" customHeight="1" spans="1:9">
      <c r="A69" s="2359"/>
      <c r="B69" s="2238"/>
      <c r="C69" s="2239"/>
      <c r="D69" s="2360"/>
      <c r="E69" s="2360"/>
      <c r="F69" s="2360"/>
      <c r="G69" s="2350"/>
      <c r="H69" s="2239"/>
      <c r="I69" s="2229"/>
    </row>
    <row r="70" ht="16.5" customHeight="1" spans="1:9">
      <c r="A70" s="2347" t="s">
        <v>225</v>
      </c>
      <c r="B70" s="2238"/>
      <c r="C70" s="2240"/>
      <c r="D70" s="2361"/>
      <c r="E70" s="2361"/>
      <c r="F70" s="2361"/>
      <c r="G70" s="2350"/>
      <c r="H70" s="2240"/>
      <c r="I70" s="2229"/>
    </row>
    <row r="71" ht="16.5" customHeight="1" spans="1:9">
      <c r="A71" s="2226" t="s">
        <v>227</v>
      </c>
      <c r="B71" s="2238"/>
      <c r="C71" s="2222">
        <f>ROUND(未审资负表!G23,2)</f>
        <v>47832592.6</v>
      </c>
      <c r="D71" s="2222">
        <f>ROUND(SUMIF(资负表及利润表调整分录!$C$175:$C$1227,试算平衡表!A71,资负表及利润表调整分录!$G$175:$G$1227),2)</f>
        <v>17334444.44</v>
      </c>
      <c r="E71" s="2222">
        <f>ROUND(SUMIF(资负表及利润表调整分录!$C$175:$C$1227,试算平衡表!A71,资负表及利润表调整分录!$H$175:$H$1227),2)</f>
        <v>0</v>
      </c>
      <c r="F71" s="2350">
        <f t="shared" ref="F71:F78" si="9">ROUND(C71+E71-D71,2)</f>
        <v>30498148.16</v>
      </c>
      <c r="G71" s="2350">
        <f>ROUND(审定资负表!G23,2)</f>
        <v>30498148.16</v>
      </c>
      <c r="H71" s="2222">
        <f t="shared" ref="H71:H81" si="10">ROUND(F71-G71,2)</f>
        <v>0</v>
      </c>
      <c r="I71" s="2356">
        <f t="shared" ref="I71:I81" si="11">IF(F71=0,0,H71/F71)</f>
        <v>0</v>
      </c>
    </row>
    <row r="72" ht="16.5" customHeight="1" spans="1:9">
      <c r="A72" s="2226" t="s">
        <v>229</v>
      </c>
      <c r="B72" s="2238"/>
      <c r="C72" s="2222">
        <f>ROUND(未审资负表!G24,2)</f>
        <v>0</v>
      </c>
      <c r="D72" s="2222">
        <f>ROUND(SUMIF(资负表及利润表调整分录!$C$175:$C$1227,试算平衡表!A72,资负表及利润表调整分录!$G$175:$G$1227),2)</f>
        <v>0</v>
      </c>
      <c r="E72" s="2222">
        <f>ROUND(SUMIF(资负表及利润表调整分录!$C$175:$C$1227,试算平衡表!A72,资负表及利润表调整分录!$H$175:$H$1227),2)</f>
        <v>0</v>
      </c>
      <c r="F72" s="2350">
        <f t="shared" si="9"/>
        <v>0</v>
      </c>
      <c r="G72" s="2350">
        <f>ROUND(审定资负表!G24,2)</f>
        <v>0</v>
      </c>
      <c r="H72" s="2222">
        <f t="shared" si="10"/>
        <v>0</v>
      </c>
      <c r="I72" s="2356">
        <f t="shared" si="11"/>
        <v>0</v>
      </c>
    </row>
    <row r="73" ht="16.5" customHeight="1" spans="1:9">
      <c r="A73" s="2226" t="s">
        <v>231</v>
      </c>
      <c r="B73" s="2238"/>
      <c r="C73" s="2222">
        <f>ROUND(未审资负表!G25,2)</f>
        <v>12375398.73</v>
      </c>
      <c r="D73" s="2222">
        <f>ROUND(SUMIF(资负表及利润表调整分录!$C$175:$C$1227,试算平衡表!A73,资负表及利润表调整分录!$G$175:$G$1227),2)</f>
        <v>0</v>
      </c>
      <c r="E73" s="2222">
        <f>ROUND(SUMIF(资负表及利润表调整分录!$C$175:$C$1227,试算平衡表!A73,资负表及利润表调整分录!$H$175:$H$1227),2)</f>
        <v>0</v>
      </c>
      <c r="F73" s="2350">
        <f t="shared" si="9"/>
        <v>12375398.73</v>
      </c>
      <c r="G73" s="2350">
        <f>ROUND(审定资负表!G25,2)</f>
        <v>12375398.73</v>
      </c>
      <c r="H73" s="2222">
        <f t="shared" si="10"/>
        <v>0</v>
      </c>
      <c r="I73" s="2356">
        <f t="shared" si="11"/>
        <v>0</v>
      </c>
    </row>
    <row r="74" ht="16.5" customHeight="1" spans="1:9">
      <c r="A74" s="2226" t="s">
        <v>233</v>
      </c>
      <c r="B74" s="2238"/>
      <c r="C74" s="2222">
        <f>ROUND(未审资负表!G26,2)</f>
        <v>0</v>
      </c>
      <c r="D74" s="2222">
        <f>ROUND(SUMIF(资负表及利润表调整分录!$C$175:$C$1227,试算平衡表!A74,资负表及利润表调整分录!$G$175:$G$1227),2)</f>
        <v>0</v>
      </c>
      <c r="E74" s="2222">
        <f>ROUND(SUMIF(资负表及利润表调整分录!$C$175:$C$1227,试算平衡表!A74,资负表及利润表调整分录!$H$175:$H$1227),2)</f>
        <v>0</v>
      </c>
      <c r="F74" s="2350">
        <f t="shared" si="9"/>
        <v>0</v>
      </c>
      <c r="G74" s="2350">
        <f>ROUND(审定资负表!G26,2)</f>
        <v>0</v>
      </c>
      <c r="H74" s="2222">
        <f t="shared" si="10"/>
        <v>0</v>
      </c>
      <c r="I74" s="2356">
        <f t="shared" si="11"/>
        <v>0</v>
      </c>
    </row>
    <row r="75" ht="16.5" customHeight="1" spans="1:9">
      <c r="A75" s="2226" t="s">
        <v>235</v>
      </c>
      <c r="B75" s="2238"/>
      <c r="C75" s="2222">
        <f>ROUND(未审资负表!G27,2)</f>
        <v>0</v>
      </c>
      <c r="D75" s="2222">
        <f>ROUND(SUMIF(资负表及利润表调整分录!$C$175:$C$1227,试算平衡表!A75,资负表及利润表调整分录!$G$175:$G$1227),2)</f>
        <v>0</v>
      </c>
      <c r="E75" s="2222">
        <f>ROUND(SUMIF(资负表及利润表调整分录!$C$175:$C$1227,试算平衡表!A75,资负表及利润表调整分录!$H$175:$H$1227),2)</f>
        <v>10791966.52</v>
      </c>
      <c r="F75" s="2350">
        <f t="shared" si="9"/>
        <v>10791966.52</v>
      </c>
      <c r="G75" s="2350">
        <f>ROUND(审定资负表!G27,2)</f>
        <v>5395983.26</v>
      </c>
      <c r="H75" s="2222">
        <f t="shared" si="10"/>
        <v>5395983.26</v>
      </c>
      <c r="I75" s="2356">
        <f t="shared" si="11"/>
        <v>0.5</v>
      </c>
    </row>
    <row r="76" ht="16.5" customHeight="1" spans="1:9">
      <c r="A76" s="2226" t="s">
        <v>237</v>
      </c>
      <c r="B76" s="2238"/>
      <c r="C76" s="2222">
        <f>ROUND(未审资负表!G28,2)</f>
        <v>0</v>
      </c>
      <c r="D76" s="2222">
        <f>ROUND(SUMIF(资负表及利润表调整分录!$C$175:$C$1227,试算平衡表!A76,资负表及利润表调整分录!$G$175:$G$1227),2)</f>
        <v>0</v>
      </c>
      <c r="E76" s="2222">
        <f>ROUND(SUMIF(资负表及利润表调整分录!$C$175:$C$1227,试算平衡表!A76,资负表及利润表调整分录!$H$175:$H$1227),2)</f>
        <v>0</v>
      </c>
      <c r="F76" s="2350">
        <f t="shared" si="9"/>
        <v>0</v>
      </c>
      <c r="G76" s="2350">
        <f>ROUND(审定资负表!G28,2)</f>
        <v>0</v>
      </c>
      <c r="H76" s="2222">
        <f t="shared" si="10"/>
        <v>0</v>
      </c>
      <c r="I76" s="2356">
        <f t="shared" si="11"/>
        <v>0</v>
      </c>
    </row>
    <row r="77" ht="16.5" customHeight="1" spans="1:9">
      <c r="A77" s="2226" t="s">
        <v>239</v>
      </c>
      <c r="B77" s="2238"/>
      <c r="C77" s="2222">
        <f>ROUND(未审资负表!G29,2)</f>
        <v>0</v>
      </c>
      <c r="D77" s="2222">
        <f>ROUND(SUMIF(资负表及利润表调整分录!$C$175:$C$1227,试算平衡表!A77,资负表及利润表调整分录!$G$175:$G$1227),2)</f>
        <v>0</v>
      </c>
      <c r="E77" s="2222">
        <f>ROUND(SUMIF(资负表及利润表调整分录!$C$175:$C$1227,试算平衡表!A77,资负表及利润表调整分录!$H$175:$H$1227),2)</f>
        <v>0</v>
      </c>
      <c r="F77" s="2350">
        <f t="shared" si="9"/>
        <v>0</v>
      </c>
      <c r="G77" s="2350">
        <f>ROUND(审定资负表!G29,2)</f>
        <v>0</v>
      </c>
      <c r="H77" s="2222">
        <f t="shared" si="10"/>
        <v>0</v>
      </c>
      <c r="I77" s="2356">
        <f t="shared" si="11"/>
        <v>0</v>
      </c>
    </row>
    <row r="78" ht="16.5" customHeight="1" spans="1:9">
      <c r="A78" s="2226" t="str">
        <f>未审资负表!E30</f>
        <v>递延收益</v>
      </c>
      <c r="B78" s="2238"/>
      <c r="C78" s="2222">
        <f>ROUND(未审资负表!G30,2)</f>
        <v>3973515.53</v>
      </c>
      <c r="D78" s="2222">
        <f>ROUND(SUMIF(资负表及利润表调整分录!$C$175:$C$1227,试算平衡表!A78,资负表及利润表调整分录!$G$175:$G$1227),2)</f>
        <v>0</v>
      </c>
      <c r="E78" s="2222">
        <f>ROUND(SUMIF(资负表及利润表调整分录!$C$175:$C$1227,试算平衡表!A78,资负表及利润表调整分录!$H$175:$H$1227),2)</f>
        <v>0</v>
      </c>
      <c r="F78" s="2350">
        <f t="shared" si="9"/>
        <v>3973515.53</v>
      </c>
      <c r="G78" s="2350">
        <f>ROUND(审定资负表!G30,2)</f>
        <v>3973515.53</v>
      </c>
      <c r="H78" s="2222">
        <f t="shared" si="10"/>
        <v>0</v>
      </c>
      <c r="I78" s="2356">
        <f t="shared" si="11"/>
        <v>0</v>
      </c>
    </row>
    <row r="79" ht="16.5" customHeight="1" spans="1:9">
      <c r="A79" s="2362" t="s">
        <v>243</v>
      </c>
      <c r="B79" s="2238"/>
      <c r="C79" s="2344">
        <f>ROUND(SUM(C71:C78),2)</f>
        <v>64181506.86</v>
      </c>
      <c r="D79" s="2344">
        <f>ROUND(SUM(D71:D78),2)</f>
        <v>17334444.44</v>
      </c>
      <c r="E79" s="2344">
        <f>ROUND(SUM(E71:E78),2)</f>
        <v>10791966.52</v>
      </c>
      <c r="F79" s="2344">
        <f>ROUND(SUM(F71:F78),2)</f>
        <v>57639028.94</v>
      </c>
      <c r="G79" s="2344">
        <f>ROUND(SUM(G71:G78),2)</f>
        <v>52243045.68</v>
      </c>
      <c r="H79" s="2222">
        <f t="shared" si="10"/>
        <v>5395983.26</v>
      </c>
      <c r="I79" s="2356">
        <f t="shared" si="11"/>
        <v>0.0936168314982719</v>
      </c>
    </row>
    <row r="80" ht="16.5" customHeight="1" spans="1:9">
      <c r="A80" s="2359"/>
      <c r="B80" s="2238"/>
      <c r="C80" s="2239"/>
      <c r="D80" s="2239"/>
      <c r="E80" s="2239"/>
      <c r="F80" s="2239"/>
      <c r="G80" s="2239"/>
      <c r="H80" s="2239"/>
      <c r="I80" s="2229"/>
    </row>
    <row r="81" ht="16.5" customHeight="1" spans="1:9">
      <c r="A81" s="2362" t="s">
        <v>246</v>
      </c>
      <c r="B81" s="2238"/>
      <c r="C81" s="2344">
        <f>ROUND(C68+C79,2)</f>
        <v>150700924.57</v>
      </c>
      <c r="D81" s="2344">
        <f>ROUND(D68+D79,2)</f>
        <v>35742728.35</v>
      </c>
      <c r="E81" s="2344">
        <f>ROUND(E68+E79,2)</f>
        <v>36657574.33</v>
      </c>
      <c r="F81" s="2344">
        <f>ROUND(F68+F79,2)</f>
        <v>151615770.55</v>
      </c>
      <c r="G81" s="2344">
        <f>ROUND(G68+G79,2)</f>
        <v>156734367.02</v>
      </c>
      <c r="H81" s="2222">
        <f t="shared" si="10"/>
        <v>-5118596.47</v>
      </c>
      <c r="I81" s="2356">
        <f t="shared" si="11"/>
        <v>-0.0337603169606422</v>
      </c>
    </row>
    <row r="82" ht="16.5" customHeight="1" spans="1:9">
      <c r="A82" s="2359"/>
      <c r="B82" s="2238"/>
      <c r="C82" s="2222"/>
      <c r="D82" s="2350"/>
      <c r="E82" s="2350"/>
      <c r="F82" s="2350"/>
      <c r="G82" s="2350"/>
      <c r="H82" s="2222"/>
      <c r="I82" s="2229"/>
    </row>
    <row r="83" ht="16.5" customHeight="1" spans="1:9">
      <c r="A83" s="2363" t="s">
        <v>249</v>
      </c>
      <c r="B83" s="2238"/>
      <c r="C83" s="2222"/>
      <c r="D83" s="2350"/>
      <c r="E83" s="2350"/>
      <c r="F83" s="2350"/>
      <c r="G83" s="2350"/>
      <c r="H83" s="2222"/>
      <c r="I83" s="2229"/>
    </row>
    <row r="84" ht="16.5" customHeight="1" spans="1:9">
      <c r="A84" s="2226" t="s">
        <v>251</v>
      </c>
      <c r="B84" s="2238"/>
      <c r="C84" s="2222">
        <f>ROUND(未审资负表!G36,2)</f>
        <v>137800000</v>
      </c>
      <c r="D84" s="2222">
        <f>ROUND(SUMIF(资负表及利润表调整分录!$C$175:$C$1227,试算平衡表!A84,资负表及利润表调整分录!$G$175:$G$1227),2)</f>
        <v>0</v>
      </c>
      <c r="E84" s="2222">
        <f>ROUND(SUMIF(资负表及利润表调整分录!$C$175:$C$1227,试算平衡表!A84,资负表及利润表调整分录!$H$175:$H$1227),2)</f>
        <v>0</v>
      </c>
      <c r="F84" s="2350">
        <f t="shared" ref="F84:F90" si="12">ROUND(C84+E84-D84,2)</f>
        <v>137800000</v>
      </c>
      <c r="G84" s="2350">
        <f>ROUND(审定资负表!G36,2)</f>
        <v>137800000</v>
      </c>
      <c r="H84" s="2222">
        <f t="shared" ref="H84:H90" si="13">ROUND(F84-G84,2)</f>
        <v>0</v>
      </c>
      <c r="I84" s="2356">
        <f t="shared" ref="I84:I90" si="14">IF(F84=0,0,H84/F84)</f>
        <v>0</v>
      </c>
    </row>
    <row r="85" ht="16.5" customHeight="1" spans="1:9">
      <c r="A85" s="2226" t="s">
        <v>253</v>
      </c>
      <c r="B85" s="2238"/>
      <c r="C85" s="2222">
        <f>ROUND(未审资负表!G37,2)</f>
        <v>218598931.26</v>
      </c>
      <c r="D85" s="2222">
        <f>ROUND(SUMIF(资负表及利润表调整分录!$C$175:$C$1227,试算平衡表!A85,资负表及利润表调整分录!$G$175:$G$1227),2)</f>
        <v>0</v>
      </c>
      <c r="E85" s="2222">
        <f>ROUND(SUMIF(资负表及利润表调整分录!$C$175:$C$1227,试算平衡表!A85,资负表及利润表调整分录!$H$175:$H$1227),2)</f>
        <v>0</v>
      </c>
      <c r="F85" s="2350">
        <f t="shared" si="12"/>
        <v>218598931.26</v>
      </c>
      <c r="G85" s="2350">
        <f>ROUND(审定资负表!G37,2)</f>
        <v>218598931.26</v>
      </c>
      <c r="H85" s="2222">
        <f t="shared" si="13"/>
        <v>0</v>
      </c>
      <c r="I85" s="2356">
        <f t="shared" si="14"/>
        <v>0</v>
      </c>
    </row>
    <row r="86" ht="16.5" customHeight="1" spans="1:9">
      <c r="A86" s="2226" t="s">
        <v>255</v>
      </c>
      <c r="B86" s="2238"/>
      <c r="C86" s="2222">
        <f>ROUND(未审资负表!G38,2)</f>
        <v>0</v>
      </c>
      <c r="D86" s="2222">
        <f>ROUND(SUMIF(资负表及利润表调整分录!$C$175:$C$1227,"库存股",资负表及利润表调整分录!$G$175:$G$1227),2)</f>
        <v>0</v>
      </c>
      <c r="E86" s="2222">
        <f>ROUND(SUMIF(资负表及利润表调整分录!$C$175:$C$1227,"库存股",资负表及利润表调整分录!$H$175:$H$1227),2)</f>
        <v>0</v>
      </c>
      <c r="F86" s="2222">
        <f>ROUND(C86+D86-E86,2)</f>
        <v>0</v>
      </c>
      <c r="G86" s="2350">
        <f>ROUND(审定资负表!G38,2)</f>
        <v>0</v>
      </c>
      <c r="H86" s="2222">
        <f t="shared" si="13"/>
        <v>0</v>
      </c>
      <c r="I86" s="2356">
        <f t="shared" si="14"/>
        <v>0</v>
      </c>
    </row>
    <row r="87" ht="16.5" customHeight="1" spans="1:9">
      <c r="A87" s="2226" t="s">
        <v>256</v>
      </c>
      <c r="B87" s="2238"/>
      <c r="C87" s="2222">
        <f>ROUND(未审资负表!G39,2)</f>
        <v>0</v>
      </c>
      <c r="D87" s="2222">
        <f>ROUND(SUMIF(资负表及利润表调整分录!$C$175:$C$1227,试算平衡表!A87,资负表及利润表调整分录!$G$175:$G$1227),2)</f>
        <v>790519.37</v>
      </c>
      <c r="E87" s="2222">
        <f>ROUND(SUMIF(资负表及利润表调整分录!$C$175:$C$1227,试算平衡表!A87,资负表及利润表调整分录!$H$175:$H$1227),2)</f>
        <v>0</v>
      </c>
      <c r="F87" s="2350">
        <f t="shared" si="12"/>
        <v>-790519.37</v>
      </c>
      <c r="G87" s="2350">
        <f>ROUND(审定资负表!G39,2)</f>
        <v>0</v>
      </c>
      <c r="H87" s="2222">
        <f t="shared" si="13"/>
        <v>-790519.37</v>
      </c>
      <c r="I87" s="2356">
        <f t="shared" si="14"/>
        <v>1</v>
      </c>
    </row>
    <row r="88" ht="16.5" customHeight="1" spans="1:9">
      <c r="A88" s="2226" t="s">
        <v>258</v>
      </c>
      <c r="B88" s="2238"/>
      <c r="C88" s="2222">
        <f>ROUND(未审资负表!G40,2)</f>
        <v>-11272440.11</v>
      </c>
      <c r="D88" s="2222">
        <f>ROUND(SUMIF(资负表及利润表调整分录!$C$175:$C$1227,试算平衡表!A88,资负表及利润表调整分录!$G$175:$G$1227)+D123,2)</f>
        <v>0</v>
      </c>
      <c r="E88" s="2222">
        <f>ROUND(SUMIF(资负表及利润表调整分录!$C$175:$C$1227,试算平衡表!A88,资负表及利润表调整分录!$H$175:$H$1227)+E123,2)</f>
        <v>0</v>
      </c>
      <c r="F88" s="2350">
        <f t="shared" si="12"/>
        <v>-11272440.11</v>
      </c>
      <c r="G88" s="2350">
        <f>ROUND(审定资负表!G40,2)</f>
        <v>-27854645.49</v>
      </c>
      <c r="H88" s="2222">
        <f t="shared" si="13"/>
        <v>16582205.38</v>
      </c>
      <c r="I88" s="2356">
        <f t="shared" si="14"/>
        <v>-1.47103956358922</v>
      </c>
    </row>
    <row r="89" ht="16.5" customHeight="1" spans="1:9">
      <c r="A89" s="2226" t="s">
        <v>259</v>
      </c>
      <c r="B89" s="2238"/>
      <c r="C89" s="2222">
        <f>ROUND(未审资负表!G41,2)</f>
        <v>0</v>
      </c>
      <c r="D89" s="2222">
        <f>ROUND(SUMIF(资负表及利润表调整分录!$C$175:$C$1227,试算平衡表!A89,资负表及利润表调整分录!$G$175:$G$1227),2)</f>
        <v>0</v>
      </c>
      <c r="E89" s="2222">
        <f>ROUND(SUMIF(资负表及利润表调整分录!$C$175:$C$1227,试算平衡表!A89,资负表及利润表调整分录!$H$175:$H$1227),2)</f>
        <v>0</v>
      </c>
      <c r="F89" s="2350">
        <f t="shared" si="12"/>
        <v>0</v>
      </c>
      <c r="G89" s="2350">
        <f>ROUND(审定资负表!G41,2)</f>
        <v>0</v>
      </c>
      <c r="H89" s="2222">
        <f t="shared" si="13"/>
        <v>0</v>
      </c>
      <c r="I89" s="2356">
        <f t="shared" si="14"/>
        <v>0</v>
      </c>
    </row>
    <row r="90" ht="16.5" customHeight="1" spans="1:9">
      <c r="A90" s="2226" t="str">
        <f>未审资负表!E42</f>
        <v>其他综合收益</v>
      </c>
      <c r="B90" s="2238"/>
      <c r="C90" s="2222">
        <f>ROUND(未审资负表!G42,2)</f>
        <v>0</v>
      </c>
      <c r="D90" s="2222">
        <f>ROUND(SUMIF(资负表及利润表调整分录!$C$175:$C$1227,试算平衡表!A90,资负表及利润表调整分录!$G$175:$G$1227),2)</f>
        <v>0</v>
      </c>
      <c r="E90" s="2222">
        <f>ROUND(SUMIF(资负表及利润表调整分录!$C$175:$C$1227,试算平衡表!A90,资负表及利润表调整分录!$H$175:$H$1227),2)</f>
        <v>0</v>
      </c>
      <c r="F90" s="2350">
        <f t="shared" si="12"/>
        <v>0</v>
      </c>
      <c r="G90" s="2350">
        <f>ROUND(审定资负表!G42,2)</f>
        <v>0</v>
      </c>
      <c r="H90" s="2222">
        <f t="shared" si="13"/>
        <v>0</v>
      </c>
      <c r="I90" s="2356">
        <f t="shared" si="14"/>
        <v>0</v>
      </c>
    </row>
    <row r="91" ht="17.25" hidden="1" customHeight="1" spans="1:9">
      <c r="A91" s="2362" t="s">
        <v>261</v>
      </c>
      <c r="B91" s="2241"/>
      <c r="C91" s="2344">
        <f>ROUND(SUM(C84:C90)-2*C86,2)</f>
        <v>345126491.15</v>
      </c>
      <c r="D91" s="2344">
        <f>ROUND(SUM(D84:D90),2)</f>
        <v>790519.37</v>
      </c>
      <c r="E91" s="2344">
        <f>ROUND(SUM(E84:E90),2)</f>
        <v>0</v>
      </c>
      <c r="F91" s="2344">
        <f>ROUND(SUM(F84:F90)-2*F86,2)</f>
        <v>344335971.78</v>
      </c>
      <c r="G91" s="2364">
        <f>ROUND(SUM(G84:G90)-2*G86,2)</f>
        <v>328544285.77</v>
      </c>
      <c r="H91" s="2344">
        <f>ROUND(SUM(H84:H90)-2*H86,2)</f>
        <v>15791686.01</v>
      </c>
      <c r="I91" s="2357">
        <f>ROUND(SUM(I84:I90)-2*I86,2)</f>
        <v>-0.47</v>
      </c>
    </row>
    <row r="92" ht="17.25" hidden="1" customHeight="1" spans="1:9">
      <c r="A92" s="2359"/>
      <c r="B92" s="2238"/>
      <c r="C92" s="2239"/>
      <c r="D92" s="2360"/>
      <c r="E92" s="2360"/>
      <c r="F92" s="2360"/>
      <c r="G92" s="2350"/>
      <c r="H92" s="2239"/>
      <c r="I92" s="2229"/>
    </row>
    <row r="93" ht="17.25" hidden="1" customHeight="1" spans="1:9">
      <c r="A93" s="2226" t="s">
        <v>262</v>
      </c>
      <c r="B93" s="2238"/>
      <c r="C93" s="2222"/>
      <c r="D93" s="2350"/>
      <c r="E93" s="2350"/>
      <c r="F93" s="2350"/>
      <c r="G93" s="2350"/>
      <c r="H93" s="2222"/>
      <c r="I93" s="2229"/>
    </row>
    <row r="94" ht="16.5" customHeight="1" spans="1:9">
      <c r="A94" s="2362" t="s">
        <v>263</v>
      </c>
      <c r="B94" s="2241"/>
      <c r="C94" s="2344">
        <f>ROUND(C91+C93,2)</f>
        <v>345126491.15</v>
      </c>
      <c r="D94" s="2344">
        <f>ROUND(D91+D93,2)</f>
        <v>790519.37</v>
      </c>
      <c r="E94" s="2344">
        <f>ROUND(E91+E93,2)</f>
        <v>0</v>
      </c>
      <c r="F94" s="2344">
        <f>ROUND(F91+F93,2)</f>
        <v>344335971.78</v>
      </c>
      <c r="G94" s="2344">
        <f>ROUND(G91+G93,2)</f>
        <v>328544285.77</v>
      </c>
      <c r="H94" s="2222">
        <f>ROUND(F94-G94,2)</f>
        <v>15791686.01</v>
      </c>
      <c r="I94" s="2356">
        <f>IF(F94=0,0,H94/F94)</f>
        <v>0.0458612730130022</v>
      </c>
    </row>
    <row r="95" ht="16.5" customHeight="1" spans="1:9">
      <c r="A95" s="2359"/>
      <c r="B95" s="2238"/>
      <c r="C95" s="2222"/>
      <c r="D95" s="2222"/>
      <c r="E95" s="2222"/>
      <c r="F95" s="2222"/>
      <c r="G95" s="2222"/>
      <c r="H95" s="2222"/>
      <c r="I95" s="2229"/>
    </row>
    <row r="96" ht="16.5" customHeight="1" spans="1:9">
      <c r="A96" s="2365" t="s">
        <v>265</v>
      </c>
      <c r="B96" s="2250"/>
      <c r="C96" s="2345">
        <f>ROUND(C81+C94,2)</f>
        <v>495827415.72</v>
      </c>
      <c r="D96" s="2345">
        <f>ROUND(D81+D94,2)</f>
        <v>36533247.72</v>
      </c>
      <c r="E96" s="2345">
        <f>ROUND(E81+E94,2)</f>
        <v>36657574.33</v>
      </c>
      <c r="F96" s="2345">
        <f>ROUND(F81+F94,2)</f>
        <v>495951742.33</v>
      </c>
      <c r="G96" s="2345">
        <f>ROUND(G81+G94,2)</f>
        <v>485278652.79</v>
      </c>
      <c r="H96" s="2346">
        <f>ROUND(F96-G96,2)</f>
        <v>10673089.54</v>
      </c>
      <c r="I96" s="2358">
        <f>IF(F96=0,0,H96/F96)</f>
        <v>0.0215204194864956</v>
      </c>
    </row>
    <row r="97" ht="26.25" spans="1:9">
      <c r="A97" s="2103" t="s">
        <v>46</v>
      </c>
      <c r="B97" s="2204"/>
      <c r="C97" s="2204"/>
      <c r="D97" s="2204"/>
      <c r="E97" s="2204"/>
      <c r="F97" s="2204"/>
      <c r="G97" s="2204"/>
      <c r="H97" s="2204"/>
      <c r="I97" s="2204"/>
    </row>
    <row r="98" ht="21" customHeight="1" spans="1:9">
      <c r="A98" s="2335" t="s">
        <v>1993</v>
      </c>
      <c r="B98" s="2205"/>
      <c r="C98" s="2105"/>
      <c r="D98" s="2105"/>
      <c r="E98" s="2105"/>
      <c r="F98" s="2206" t="s">
        <v>1981</v>
      </c>
      <c r="G98" s="2336">
        <f>参数表!$F$10</f>
        <v>0</v>
      </c>
      <c r="H98" s="2206"/>
      <c r="I98" s="2206" t="s">
        <v>1982</v>
      </c>
    </row>
    <row r="99" ht="21" customHeight="1" spans="1:9">
      <c r="A99" s="2337" t="str">
        <f>"编制单位："&amp;参数表!C99</f>
        <v>编制单位：</v>
      </c>
      <c r="B99" s="2338"/>
      <c r="C99" s="2206"/>
      <c r="D99" s="2206"/>
      <c r="E99" s="2206"/>
      <c r="F99" s="2206" t="s">
        <v>1983</v>
      </c>
      <c r="G99" s="2336">
        <f>参数表!$C$11</f>
        <v>0</v>
      </c>
      <c r="H99" s="2206"/>
      <c r="I99" s="2207" t="s">
        <v>1392</v>
      </c>
    </row>
    <row r="100" ht="15" spans="1:9">
      <c r="A100" s="2141" t="s">
        <v>61</v>
      </c>
      <c r="B100" s="2142" t="s">
        <v>62</v>
      </c>
      <c r="C100" s="2142" t="s">
        <v>1994</v>
      </c>
      <c r="D100" s="2366" t="s">
        <v>1985</v>
      </c>
      <c r="E100" s="2367"/>
      <c r="F100" s="2368" t="s">
        <v>1995</v>
      </c>
      <c r="G100" s="2368" t="s">
        <v>1987</v>
      </c>
      <c r="H100" s="2368" t="s">
        <v>1988</v>
      </c>
      <c r="I100" s="2375" t="s">
        <v>1989</v>
      </c>
    </row>
    <row r="101" spans="1:9">
      <c r="A101" s="2145"/>
      <c r="B101" s="2146"/>
      <c r="C101" s="2146"/>
      <c r="D101" s="2217" t="s">
        <v>1990</v>
      </c>
      <c r="E101" s="2217" t="s">
        <v>1991</v>
      </c>
      <c r="F101" s="2342"/>
      <c r="G101" s="2342"/>
      <c r="H101" s="2342" t="s">
        <v>1991</v>
      </c>
      <c r="I101" s="2353"/>
    </row>
    <row r="102" ht="21" customHeight="1" spans="1:9">
      <c r="A102" s="2119" t="s">
        <v>77</v>
      </c>
      <c r="B102" s="2150"/>
      <c r="C102" s="2151">
        <f>ROUND(未审利润表!C6,2)</f>
        <v>124397272.16</v>
      </c>
      <c r="D102" s="2222">
        <f>ROUND(SUMIF(资负表及利润表调整分录!$C$175:$C$1227,"营业收入",资负表及利润表调整分录!$G$175:$G$1227),2)</f>
        <v>371184.54</v>
      </c>
      <c r="E102" s="2222">
        <f>ROUND(SUMIF(资负表及利润表调整分录!$C$175:$C$1227,"营业收入",资负表及利润表调整分录!$H$175:$H$1227),2)</f>
        <v>-9313287.48</v>
      </c>
      <c r="F102" s="2350">
        <f>ROUND(C102+E102-D102,2)</f>
        <v>114712800.14</v>
      </c>
      <c r="G102" s="2350">
        <f>ROUND(审定利润表!C6,2)</f>
        <v>120097563.96</v>
      </c>
      <c r="H102" s="2222">
        <f>ROUND(F102-G102,2)</f>
        <v>-5384763.82</v>
      </c>
      <c r="I102" s="2356">
        <f>IF(F102=0,0,H102/F102)</f>
        <v>-0.0469412638644356</v>
      </c>
    </row>
    <row r="103" ht="21" customHeight="1" spans="1:9">
      <c r="A103" s="2122" t="s">
        <v>79</v>
      </c>
      <c r="B103" s="2150"/>
      <c r="C103" s="2151">
        <f>ROUND(未审利润表!C7,2)</f>
        <v>60105468.68</v>
      </c>
      <c r="D103" s="2222">
        <f>ROUND(SUMIF(资负表及利润表调整分录!$C$175:$C$1227,"营业成本",资负表及利润表调整分录!$G$175:$G$1227),2)</f>
        <v>5075035.54</v>
      </c>
      <c r="E103" s="2222">
        <f>ROUND(SUMIF(资负表及利润表调整分录!$C$175:$C$1227,"营业成本",资负表及利润表调整分录!$H$175:$H$1227),2)</f>
        <v>476933.16</v>
      </c>
      <c r="F103" s="2350">
        <f t="shared" ref="F103:F108" si="15">ROUND(C103-E103+D103,2)</f>
        <v>64703571.06</v>
      </c>
      <c r="G103" s="2350">
        <f>ROUND(审定利润表!C7,2)</f>
        <v>65501451.94</v>
      </c>
      <c r="H103" s="2222">
        <f t="shared" ref="H103:H115" si="16">ROUND(F103-G103,2)</f>
        <v>-797880.88</v>
      </c>
      <c r="I103" s="2356">
        <f t="shared" ref="I103:I119" si="17">IF(F103=0,0,H103/F103)</f>
        <v>-0.0123313268020419</v>
      </c>
    </row>
    <row r="104" ht="21" customHeight="1" spans="1:9">
      <c r="A104" s="2122" t="s">
        <v>80</v>
      </c>
      <c r="B104" s="2150"/>
      <c r="C104" s="2151">
        <f>ROUND(未审利润表!C8,2)</f>
        <v>373643.83</v>
      </c>
      <c r="D104" s="2222">
        <f>ROUND(SUMIF(资负表及利润表调整分录!$C$175:$C$1227,"营业税金及附加",资负表及利润表调整分录!$G$175:$G$1227),2)</f>
        <v>0</v>
      </c>
      <c r="E104" s="2222">
        <f>ROUND(SUMIF(资负表及利润表调整分录!$C$175:$C$1227,"营业税金及附加",资负表及利润表调整分录!$H$175:$H$1227),2)</f>
        <v>0</v>
      </c>
      <c r="F104" s="2350">
        <f t="shared" si="15"/>
        <v>373643.83</v>
      </c>
      <c r="G104" s="2350">
        <f>ROUND(审定利润表!C8,2)</f>
        <v>373643.83</v>
      </c>
      <c r="H104" s="2222">
        <f t="shared" si="16"/>
        <v>0</v>
      </c>
      <c r="I104" s="2356">
        <f t="shared" si="17"/>
        <v>0</v>
      </c>
    </row>
    <row r="105" ht="21" customHeight="1" spans="1:9">
      <c r="A105" s="2122" t="s">
        <v>82</v>
      </c>
      <c r="B105" s="2150"/>
      <c r="C105" s="2151">
        <f>ROUND(未审利润表!C9,2)</f>
        <v>11918966.31</v>
      </c>
      <c r="D105" s="2222">
        <f>ROUND(SUMIF(资负表及利润表调整分录!$C$175:$C$1227,"销售费用",资负表及利润表调整分录!$G$175:$G$1227),2)</f>
        <v>113549.62</v>
      </c>
      <c r="E105" s="2222">
        <f>ROUND(SUMIF(资负表及利润表调整分录!$C$175:$C$1227,"销售费用",资负表及利润表调整分录!$H$175:$H$1227),2)</f>
        <v>0</v>
      </c>
      <c r="F105" s="2350">
        <f t="shared" si="15"/>
        <v>12032515.93</v>
      </c>
      <c r="G105" s="2350">
        <f>ROUND(审定利润表!C9,2)</f>
        <v>11918966.31</v>
      </c>
      <c r="H105" s="2222">
        <f t="shared" si="16"/>
        <v>113549.62</v>
      </c>
      <c r="I105" s="2356">
        <f t="shared" si="17"/>
        <v>0.00943689754167647</v>
      </c>
    </row>
    <row r="106" ht="21" customHeight="1" spans="1:9">
      <c r="A106" s="2122" t="s">
        <v>84</v>
      </c>
      <c r="B106" s="2150"/>
      <c r="C106" s="2151">
        <f>ROUND(未审利润表!C10,2)</f>
        <v>13092697.23</v>
      </c>
      <c r="D106" s="2222">
        <f>ROUND(SUMIF(资负表及利润表调整分录!$C$175:$C$1227,"管理费用",资负表及利润表调整分录!$G$175:$G$1227),2)</f>
        <v>942722.43</v>
      </c>
      <c r="E106" s="2222">
        <f>ROUND(SUMIF(资负表及利润表调整分录!$C$175:$C$1227,"管理费用",资负表及利润表调整分录!$H$175:$H$1227),2)</f>
        <v>0</v>
      </c>
      <c r="F106" s="2350">
        <f t="shared" si="15"/>
        <v>14035419.66</v>
      </c>
      <c r="G106" s="2350">
        <f>ROUND(审定利润表!C10,2)</f>
        <v>13092697.23</v>
      </c>
      <c r="H106" s="2222">
        <f t="shared" si="16"/>
        <v>942722.43</v>
      </c>
      <c r="I106" s="2356">
        <f t="shared" si="17"/>
        <v>0.0671673845768</v>
      </c>
    </row>
    <row r="107" ht="21" customHeight="1" spans="1:9">
      <c r="A107" s="2122" t="s">
        <v>85</v>
      </c>
      <c r="B107" s="2150"/>
      <c r="C107" s="2151">
        <f>ROUND(未审利润表!C11,2)</f>
        <v>17440214.47</v>
      </c>
      <c r="D107" s="2222">
        <f>ROUND(SUMIF(资负表及利润表调整分录!$C$175:$C$1227,"财务费用",资负表及利润表调整分录!$G$175:$G$1227),2)</f>
        <v>143713.18</v>
      </c>
      <c r="E107" s="2222">
        <f>ROUND(SUMIF(资负表及利润表调整分录!$C$175:$C$1227,"财务费用",资负表及利润表调整分录!$H$175:$H$1227),2)</f>
        <v>0</v>
      </c>
      <c r="F107" s="2350">
        <f t="shared" si="15"/>
        <v>17583927.65</v>
      </c>
      <c r="G107" s="2350">
        <f>ROUND(审定利润表!C11,2)</f>
        <v>17583927.65</v>
      </c>
      <c r="H107" s="2222">
        <f t="shared" si="16"/>
        <v>0</v>
      </c>
      <c r="I107" s="2356">
        <f t="shared" si="17"/>
        <v>0</v>
      </c>
    </row>
    <row r="108" ht="21" customHeight="1" spans="1:9">
      <c r="A108" s="2122" t="s">
        <v>86</v>
      </c>
      <c r="B108" s="2150"/>
      <c r="C108" s="2151">
        <f>ROUND(未审利润表!C12,2)</f>
        <v>1895849.54</v>
      </c>
      <c r="D108" s="2222">
        <f>ROUND(SUMIF(资负表及利润表调整分录!$C$175:$C$1227,"资产减值损失",资负表及利润表调整分录!$G$175:$G$1227),2)</f>
        <v>-213626.16</v>
      </c>
      <c r="E108" s="2222">
        <f>ROUND(SUMIF(资负表及利润表调整分录!$C$175:$C$1227,"资产减值损失",资负表及利润表调整分录!$H$175:$H$1227),2)</f>
        <v>0</v>
      </c>
      <c r="F108" s="2350">
        <f t="shared" si="15"/>
        <v>1682223.38</v>
      </c>
      <c r="G108" s="2350">
        <f>ROUND(审定利润表!C12,2)</f>
        <v>1792140.07</v>
      </c>
      <c r="H108" s="2222">
        <f t="shared" si="16"/>
        <v>-109916.69</v>
      </c>
      <c r="I108" s="2356">
        <f t="shared" si="17"/>
        <v>-0.0653401274211276</v>
      </c>
    </row>
    <row r="109" ht="21" customHeight="1" spans="1:9">
      <c r="A109" s="2122" t="s">
        <v>88</v>
      </c>
      <c r="B109" s="2150"/>
      <c r="C109" s="2151">
        <f>ROUND(未审利润表!C13,2)</f>
        <v>0</v>
      </c>
      <c r="D109" s="2222">
        <f>ROUND(SUMIF(资负表及利润表调整分录!$C$175:$C$1227,"公允价值变动收益",资负表及利润表调整分录!$G$175:$G$1227),2)</f>
        <v>0</v>
      </c>
      <c r="E109" s="2222">
        <f>ROUND(SUMIF(资负表及利润表调整分录!$C$175:$C$1227,"公允价值变动收益",资负表及利润表调整分录!$H$175:$H$1227),2)</f>
        <v>0</v>
      </c>
      <c r="F109" s="2350">
        <f t="shared" ref="F109:F114" si="18">ROUND(C109+E109-D109,2)</f>
        <v>0</v>
      </c>
      <c r="G109" s="2350">
        <f>ROUND(审定利润表!C13,2)</f>
        <v>0</v>
      </c>
      <c r="H109" s="2222">
        <f t="shared" si="16"/>
        <v>0</v>
      </c>
      <c r="I109" s="2356">
        <f t="shared" si="17"/>
        <v>0</v>
      </c>
    </row>
    <row r="110" ht="21" customHeight="1" spans="1:9">
      <c r="A110" s="2122" t="s">
        <v>90</v>
      </c>
      <c r="B110" s="2150"/>
      <c r="C110" s="2151">
        <f>ROUND(未审利润表!C14,2)</f>
        <v>0</v>
      </c>
      <c r="D110" s="2222">
        <f>ROUND(SUMIF(资负表及利润表调整分录!$C$175:$C$1227,"投资收益",资负表及利润表调整分录!$G$175:$G$1227),2)</f>
        <v>0</v>
      </c>
      <c r="E110" s="2222">
        <f>ROUND(SUMIF(资负表及利润表调整分录!$C$175:$C$1227,"投资收益",资负表及利润表调整分录!$H$175:$H$1227),2)</f>
        <v>0</v>
      </c>
      <c r="F110" s="2350">
        <f t="shared" si="18"/>
        <v>0</v>
      </c>
      <c r="G110" s="2350">
        <f>ROUND(审定利润表!C14,2)</f>
        <v>0</v>
      </c>
      <c r="H110" s="2222">
        <f t="shared" si="16"/>
        <v>0</v>
      </c>
      <c r="I110" s="2356">
        <f t="shared" si="17"/>
        <v>0</v>
      </c>
    </row>
    <row r="111" ht="21" customHeight="1" spans="1:9">
      <c r="A111" s="2122" t="s">
        <v>92</v>
      </c>
      <c r="B111" s="2150"/>
      <c r="C111" s="2151">
        <f>ROUND(未审利润表!C15,2)</f>
        <v>0</v>
      </c>
      <c r="D111" s="2222"/>
      <c r="E111" s="2222"/>
      <c r="F111" s="2350">
        <f t="shared" si="18"/>
        <v>0</v>
      </c>
      <c r="G111" s="2350">
        <f>ROUND(审定利润表!C15,2)</f>
        <v>0</v>
      </c>
      <c r="H111" s="2222">
        <f t="shared" si="16"/>
        <v>0</v>
      </c>
      <c r="I111" s="2356">
        <f t="shared" si="17"/>
        <v>0</v>
      </c>
    </row>
    <row r="112" ht="21" customHeight="1" spans="1:9">
      <c r="A112" s="2122" t="s">
        <v>267</v>
      </c>
      <c r="B112" s="2150"/>
      <c r="C112" s="2151">
        <f>ROUND(未审利润表!C16,2)</f>
        <v>0</v>
      </c>
      <c r="D112" s="2222">
        <f>ROUND(SUMIF(资负表及利润表调整分录!$C$175:$C$1227,"资产处置收益（亏损以“-”号填列）",资负表及利润表调整分录!$G$175:$G$1227),2)</f>
        <v>0</v>
      </c>
      <c r="E112" s="2222">
        <f>ROUND(SUMIF(资负表及利润表调整分录!$C$175:$C$1227,"资产处置收益（亏损以“-”号填列）",资负表及利润表调整分录!$H$175:$H$1227),2)</f>
        <v>0</v>
      </c>
      <c r="F112" s="2350">
        <f t="shared" si="18"/>
        <v>0</v>
      </c>
      <c r="G112" s="2350">
        <f>ROUND(审定利润表!C16,2)</f>
        <v>0</v>
      </c>
      <c r="H112" s="2222">
        <f t="shared" si="16"/>
        <v>0</v>
      </c>
      <c r="I112" s="2356">
        <f t="shared" si="17"/>
        <v>0</v>
      </c>
    </row>
    <row r="113" ht="21" customHeight="1" spans="1:9">
      <c r="A113" s="2122" t="s">
        <v>93</v>
      </c>
      <c r="B113" s="2150"/>
      <c r="C113" s="2151">
        <f>ROUND(未审利润表!C17,2)</f>
        <v>0</v>
      </c>
      <c r="D113" s="2222">
        <f>ROUND(SUMIF(资负表及利润表调整分录!$C$175:$C$1227,"汇兑收益",资负表及利润表调整分录!$G$175:$G$1227),2)</f>
        <v>0</v>
      </c>
      <c r="E113" s="2222">
        <f>ROUND(SUMIF(资负表及利润表调整分录!$C$175:$C$1227,"汇兑收益",资负表及利润表调整分录!$H$175:$H$1227),2)</f>
        <v>0</v>
      </c>
      <c r="F113" s="2350">
        <f t="shared" si="18"/>
        <v>0</v>
      </c>
      <c r="G113" s="2350">
        <f>ROUND(审定利润表!C17,2)</f>
        <v>0</v>
      </c>
      <c r="H113" s="2222">
        <f t="shared" si="16"/>
        <v>0</v>
      </c>
      <c r="I113" s="2356">
        <f t="shared" si="17"/>
        <v>0</v>
      </c>
    </row>
    <row r="114" ht="21" customHeight="1" spans="1:9">
      <c r="A114" s="2122" t="str">
        <f>未审利润表!A18</f>
        <v>    其他收益</v>
      </c>
      <c r="B114" s="2150"/>
      <c r="C114" s="2151">
        <f>ROUND(未审利润表!C18,2)</f>
        <v>0</v>
      </c>
      <c r="D114" s="2222">
        <f>ROUND(SUMIF(资负表及利润表调整分录!$C$175:$C$1227,TRIM(A114),资负表及利润表调整分录!$G$175:$G$1227),2)</f>
        <v>0</v>
      </c>
      <c r="E114" s="2222">
        <f>ROUND(SUMIF(资负表及利润表调整分录!$C$175:$C$1227,TRIM(A114),资负表及利润表调整分录!$H$175:$H$1227),2)</f>
        <v>0</v>
      </c>
      <c r="F114" s="2350">
        <f t="shared" si="18"/>
        <v>0</v>
      </c>
      <c r="G114" s="2350">
        <f>ROUND(审定利润表!C18,2)</f>
        <v>0</v>
      </c>
      <c r="H114" s="2222">
        <f t="shared" si="16"/>
        <v>0</v>
      </c>
      <c r="I114" s="2356">
        <f t="shared" si="17"/>
        <v>0</v>
      </c>
    </row>
    <row r="115" ht="21" customHeight="1" spans="1:9">
      <c r="A115" s="2119" t="s">
        <v>94</v>
      </c>
      <c r="B115" s="2150"/>
      <c r="C115" s="2369">
        <f>ROUND(C102-SUM(C103:C108)+SUM(C109:C110)++C112+C113+C114,2)</f>
        <v>19570432.1</v>
      </c>
      <c r="D115" s="2369">
        <f>ROUND(SUM(D102:D114),2)</f>
        <v>6432579.15</v>
      </c>
      <c r="E115" s="2369">
        <f>ROUND(SUM(E102:E114),2)</f>
        <v>-8836354.32</v>
      </c>
      <c r="F115" s="2369">
        <f>ROUND(F102-SUM(F103:F108)+SUM(F109:F110)++F112+F113+F114,2)</f>
        <v>4301498.63</v>
      </c>
      <c r="G115" s="2369">
        <f>ROUND(G102-SUM(G103:G108)+SUM(G109:G110)++G112+G113+G114,2)</f>
        <v>9834736.93</v>
      </c>
      <c r="H115" s="2222">
        <f t="shared" si="16"/>
        <v>-5533238.3</v>
      </c>
      <c r="I115" s="2356">
        <f t="shared" si="17"/>
        <v>-1.28635128729542</v>
      </c>
    </row>
    <row r="116" ht="21" customHeight="1" spans="1:9">
      <c r="A116" s="2122" t="s">
        <v>95</v>
      </c>
      <c r="B116" s="2150"/>
      <c r="C116" s="2151">
        <f>ROUND(未审利润表!C20,2)</f>
        <v>853546.58</v>
      </c>
      <c r="D116" s="2222">
        <f>ROUND(SUMIF(资负表及利润表调整分录!$C$175:$C$1227,"营业外收入",资负表及利润表调整分录!$G$175:$G$1227),2)</f>
        <v>0</v>
      </c>
      <c r="E116" s="2222">
        <f>ROUND(SUMIF(资负表及利润表调整分录!$C$175:$C$1227,"营业外收入",资负表及利润表调整分录!$H$175:$H$1227),2)</f>
        <v>0</v>
      </c>
      <c r="F116" s="2350">
        <f>ROUND(C116+E116-D116,2)</f>
        <v>853546.58</v>
      </c>
      <c r="G116" s="2350">
        <f>ROUND(审定利润表!C20,2)</f>
        <v>853546.58</v>
      </c>
      <c r="H116" s="2222">
        <f t="shared" ref="H116:H119" si="19">ROUND(F116-G116,2)</f>
        <v>0</v>
      </c>
      <c r="I116" s="2356">
        <f t="shared" si="17"/>
        <v>0</v>
      </c>
    </row>
    <row r="117" ht="21" customHeight="1" spans="1:9">
      <c r="A117" s="2122" t="str">
        <f>审定利润表!A21</f>
        <v>减：营业外支出</v>
      </c>
      <c r="B117" s="2150"/>
      <c r="C117" s="2151">
        <f>ROUND(未审利润表!C21,2)</f>
        <v>2139962.48</v>
      </c>
      <c r="D117" s="2222">
        <f>ROUND(SUMIF(资负表及利润表调整分录!$C$175:$C$1227,"营业外支出",资负表及利润表调整分录!$G$175:$G$1227),2)</f>
        <v>0</v>
      </c>
      <c r="E117" s="2222">
        <f>ROUND(SUMIF(资负表及利润表调整分录!$C$175:$C$1227,"营业外支出",资负表及利润表调整分录!$H$175:$H$1227),2)</f>
        <v>0</v>
      </c>
      <c r="F117" s="2350">
        <f>ROUND(C117-E117+D117,2)</f>
        <v>2139962.48</v>
      </c>
      <c r="G117" s="2350">
        <f>ROUND(审定利润表!C21,2)</f>
        <v>2139962.48</v>
      </c>
      <c r="H117" s="2222">
        <f t="shared" si="19"/>
        <v>0</v>
      </c>
      <c r="I117" s="2356">
        <f t="shared" si="17"/>
        <v>0</v>
      </c>
    </row>
    <row r="118" ht="21" customHeight="1" spans="1:9">
      <c r="A118" s="2119" t="str">
        <f>审定利润表!A22</f>
        <v>三、利润总额</v>
      </c>
      <c r="B118" s="2150"/>
      <c r="C118" s="2370">
        <f>C115+C116-C117</f>
        <v>18284016.2</v>
      </c>
      <c r="D118" s="2370">
        <f t="shared" ref="D118:F118" si="20">D115+D116-D117</f>
        <v>6432579.15</v>
      </c>
      <c r="E118" s="2370">
        <f t="shared" si="20"/>
        <v>-8836354.32</v>
      </c>
      <c r="F118" s="2370">
        <f t="shared" si="20"/>
        <v>3015082.73</v>
      </c>
      <c r="G118" s="2371">
        <f>ROUND(审定利润表!C22,2)</f>
        <v>8548321.03</v>
      </c>
      <c r="H118" s="2372">
        <f t="shared" si="19"/>
        <v>-5533238.3</v>
      </c>
      <c r="I118" s="2376">
        <f t="shared" si="17"/>
        <v>-1.83518622721175</v>
      </c>
    </row>
    <row r="119" ht="21" customHeight="1" spans="1:9">
      <c r="A119" s="2122" t="str">
        <f>审定利润表!A23</f>
        <v>减：所得税费用</v>
      </c>
      <c r="B119" s="2150"/>
      <c r="C119" s="2151">
        <f>ROUND(未审利润表!C23,2)</f>
        <v>485420.35</v>
      </c>
      <c r="D119" s="2222">
        <f>ROUND(SUMIF(资负表及利润表调整分录!$C$175:$C$1227,TRIM(A119),资负表及利润表调整分录!$G$175:$G$1227),2)</f>
        <v>0</v>
      </c>
      <c r="E119" s="2222">
        <f>ROUND(SUMIF(资负表及利润表调整分录!$C$175:$C$1227,TRIM(A119),资负表及利润表调整分录!$H$175:$H$1227),2)</f>
        <v>0</v>
      </c>
      <c r="F119" s="2350">
        <f>ROUND(C119-E119+D119,2)</f>
        <v>485420.35</v>
      </c>
      <c r="G119" s="2350">
        <f>ROUND(审定利润表!C23,2)</f>
        <v>-283323.52</v>
      </c>
      <c r="H119" s="2222">
        <f t="shared" si="19"/>
        <v>768743.87</v>
      </c>
      <c r="I119" s="2356">
        <f t="shared" si="17"/>
        <v>1.58366634196527</v>
      </c>
    </row>
    <row r="120" ht="21" customHeight="1" spans="1:9">
      <c r="A120" s="2119" t="str">
        <f>审定利润表!A24</f>
        <v>四、净利润</v>
      </c>
      <c r="B120" s="2150"/>
      <c r="C120" s="2369">
        <f>ROUND(C118-C119,2)</f>
        <v>17798595.85</v>
      </c>
      <c r="D120" s="2369">
        <f t="shared" ref="D120:I120" si="21">ROUND(D118-D119,2)</f>
        <v>6432579.15</v>
      </c>
      <c r="E120" s="2369">
        <f t="shared" si="21"/>
        <v>-8836354.32</v>
      </c>
      <c r="F120" s="2369">
        <f t="shared" si="21"/>
        <v>2529662.38</v>
      </c>
      <c r="G120" s="2369">
        <f t="shared" si="21"/>
        <v>8831644.55</v>
      </c>
      <c r="H120" s="2369">
        <f t="shared" si="21"/>
        <v>-6301982.17</v>
      </c>
      <c r="I120" s="2376">
        <f t="shared" si="21"/>
        <v>-3.42</v>
      </c>
    </row>
    <row r="121" ht="21" customHeight="1" spans="1:9">
      <c r="A121" s="2122"/>
      <c r="B121" s="2150"/>
      <c r="C121" s="2151"/>
      <c r="D121" s="2222"/>
      <c r="E121" s="2222"/>
      <c r="F121" s="2350"/>
      <c r="G121" s="2350"/>
      <c r="H121" s="2222"/>
      <c r="I121" s="2356"/>
    </row>
    <row r="122" ht="21" customHeight="1" spans="1:9">
      <c r="A122" s="2122"/>
      <c r="B122" s="2150"/>
      <c r="C122" s="2151"/>
      <c r="D122" s="2222"/>
      <c r="E122" s="2222"/>
      <c r="F122" s="2350"/>
      <c r="G122" s="2350"/>
      <c r="H122" s="2222"/>
      <c r="I122" s="2356"/>
    </row>
    <row r="123" ht="21" customHeight="1" spans="1:9">
      <c r="A123" s="2125"/>
      <c r="B123" s="2163"/>
      <c r="C123" s="2373"/>
      <c r="D123" s="2373"/>
      <c r="E123" s="2373"/>
      <c r="F123" s="2373"/>
      <c r="G123" s="2373"/>
      <c r="H123" s="2374"/>
      <c r="I123" s="2377"/>
    </row>
    <row r="124" ht="15"/>
  </sheetData>
  <sheetProtection password="CF6E" sheet="1" objects="1" scenarios="1"/>
  <mergeCells count="30">
    <mergeCell ref="A1:I1"/>
    <mergeCell ref="A2:B2"/>
    <mergeCell ref="D4:E4"/>
    <mergeCell ref="A49:I49"/>
    <mergeCell ref="A50:B50"/>
    <mergeCell ref="D52:E52"/>
    <mergeCell ref="A97:I97"/>
    <mergeCell ref="A98:B98"/>
    <mergeCell ref="D100:E100"/>
    <mergeCell ref="A4:A5"/>
    <mergeCell ref="A52:A53"/>
    <mergeCell ref="A100:A101"/>
    <mergeCell ref="B4:B5"/>
    <mergeCell ref="B52:B53"/>
    <mergeCell ref="B100:B101"/>
    <mergeCell ref="C4:C5"/>
    <mergeCell ref="C52:C53"/>
    <mergeCell ref="C100:C101"/>
    <mergeCell ref="F4:F5"/>
    <mergeCell ref="F52:F53"/>
    <mergeCell ref="F100:F101"/>
    <mergeCell ref="G4:G5"/>
    <mergeCell ref="G52:G53"/>
    <mergeCell ref="G100:G101"/>
    <mergeCell ref="H4:H5"/>
    <mergeCell ref="H52:H53"/>
    <mergeCell ref="H100:H101"/>
    <mergeCell ref="I4:I5"/>
    <mergeCell ref="I52:I53"/>
    <mergeCell ref="I100:I101"/>
  </mergeCells>
  <printOptions horizontalCentered="1"/>
  <pageMargins left="0.23" right="0.27" top="0.45" bottom="0.44" header="0.3" footer="0.23"/>
  <pageSetup paperSize="9" orientation="portrait" blackAndWhite="1"/>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I3872"/>
  <sheetViews>
    <sheetView workbookViewId="0">
      <pane ySplit="1" topLeftCell="A2006" activePane="bottomLeft" state="frozen"/>
      <selection/>
      <selection pane="bottomLeft" activeCell="H2018" sqref="H2018"/>
    </sheetView>
  </sheetViews>
  <sheetFormatPr defaultColWidth="8.875" defaultRowHeight="14.25"/>
  <cols>
    <col min="1" max="1" width="21" hidden="1" customWidth="1"/>
    <col min="2" max="2" width="42.375" customWidth="1"/>
    <col min="3" max="3" width="16" customWidth="1"/>
    <col min="5" max="7" width="10" customWidth="1"/>
    <col min="8" max="8" width="17.5" customWidth="1"/>
    <col min="9" max="9" width="15.5" customWidth="1"/>
  </cols>
  <sheetData>
    <row r="1" spans="1:6">
      <c r="A1" s="2252" t="s">
        <v>61</v>
      </c>
      <c r="B1" s="2253" t="s">
        <v>61</v>
      </c>
      <c r="C1" s="2254" t="str">
        <f>报表附注!G1</f>
        <v>深圳新阳蓝光能源管理科技股份有限公司</v>
      </c>
      <c r="D1" s="2252"/>
      <c r="E1" s="2255" t="s">
        <v>1996</v>
      </c>
      <c r="F1" s="2256"/>
    </row>
    <row r="2" spans="4:4">
      <c r="D2" s="2252" t="s">
        <v>1997</v>
      </c>
    </row>
    <row r="3" spans="1:4">
      <c r="A3" s="2252" t="s">
        <v>1998</v>
      </c>
      <c r="B3" s="2257" t="s">
        <v>1998</v>
      </c>
      <c r="D3" s="2252" t="b">
        <f>EXACT(A3,B3)</f>
        <v>1</v>
      </c>
    </row>
    <row r="4" spans="1:4">
      <c r="A4" s="2252" t="s">
        <v>1999</v>
      </c>
      <c r="B4" s="2257" t="s">
        <v>1999</v>
      </c>
      <c r="C4" s="2258"/>
      <c r="D4" s="2252" t="b">
        <f t="shared" ref="D4:D73" si="0">EXACT(A4,B4)</f>
        <v>1</v>
      </c>
    </row>
    <row r="5" spans="1:4">
      <c r="A5" s="2252" t="s">
        <v>321</v>
      </c>
      <c r="B5" s="2259" t="str">
        <f>报表附注!E4</f>
        <v>现金</v>
      </c>
      <c r="C5" s="2260">
        <f>报表附注!F4</f>
        <v>0</v>
      </c>
      <c r="D5" s="2252" t="b">
        <f t="shared" si="0"/>
        <v>1</v>
      </c>
    </row>
    <row r="6" spans="1:4">
      <c r="A6" s="2252" t="s">
        <v>323</v>
      </c>
      <c r="B6" s="2259" t="str">
        <f>报表附注!E5</f>
        <v>其中：人民币</v>
      </c>
      <c r="C6" s="2260">
        <f>报表附注!F5</f>
        <v>1717.09</v>
      </c>
      <c r="D6" s="2252" t="b">
        <f t="shared" si="0"/>
        <v>1</v>
      </c>
    </row>
    <row r="7" spans="1:4">
      <c r="A7" s="2252" t="s">
        <v>2000</v>
      </c>
      <c r="B7" s="2259" t="str">
        <f>报表附注!E6</f>
        <v>美元</v>
      </c>
      <c r="C7" s="2260">
        <f>报表附注!F6</f>
        <v>0</v>
      </c>
      <c r="D7" s="2252" t="b">
        <f t="shared" si="0"/>
        <v>1</v>
      </c>
    </row>
    <row r="8" spans="1:4">
      <c r="A8" s="2252" t="s">
        <v>2001</v>
      </c>
      <c r="B8" s="2259" t="str">
        <f>报表附注!E7</f>
        <v>港币</v>
      </c>
      <c r="C8" s="2260">
        <f>报表附注!F7</f>
        <v>0</v>
      </c>
      <c r="D8" s="2252" t="b">
        <f t="shared" si="0"/>
        <v>1</v>
      </c>
    </row>
    <row r="9" spans="1:4">
      <c r="A9" s="2252" t="s">
        <v>2002</v>
      </c>
      <c r="B9" s="2259" t="str">
        <f>报表附注!E8</f>
        <v>欧元</v>
      </c>
      <c r="C9" s="2260">
        <f>报表附注!F8</f>
        <v>0</v>
      </c>
      <c r="D9" s="2252" t="b">
        <f t="shared" si="0"/>
        <v>1</v>
      </c>
    </row>
    <row r="10" spans="1:4">
      <c r="A10" s="2252" t="s">
        <v>2003</v>
      </c>
      <c r="B10" s="2259" t="str">
        <f>报表附注!E9</f>
        <v>日元</v>
      </c>
      <c r="C10" s="2260">
        <f>报表附注!F9</f>
        <v>0</v>
      </c>
      <c r="D10" s="2252" t="b">
        <f t="shared" si="0"/>
        <v>1</v>
      </c>
    </row>
    <row r="11" spans="1:4">
      <c r="A11" s="2252" t="s">
        <v>333</v>
      </c>
      <c r="B11" s="2259" t="str">
        <f>报表附注!E10</f>
        <v>银行存款</v>
      </c>
      <c r="C11" s="2260">
        <f>报表附注!F10</f>
        <v>0</v>
      </c>
      <c r="D11" s="2252" t="b">
        <f t="shared" si="0"/>
        <v>1</v>
      </c>
    </row>
    <row r="12" spans="1:4">
      <c r="A12" s="2252" t="s">
        <v>323</v>
      </c>
      <c r="B12" s="2259" t="str">
        <f>报表附注!E11</f>
        <v>其中：人民币</v>
      </c>
      <c r="C12" s="2260">
        <f>报表附注!F11</f>
        <v>199555199.11</v>
      </c>
      <c r="D12" s="2252" t="b">
        <f t="shared" si="0"/>
        <v>1</v>
      </c>
    </row>
    <row r="13" spans="1:4">
      <c r="A13" s="2252" t="s">
        <v>2000</v>
      </c>
      <c r="B13" s="2259" t="str">
        <f>报表附注!E12</f>
        <v>美元</v>
      </c>
      <c r="C13" s="2260">
        <f>报表附注!F12</f>
        <v>0</v>
      </c>
      <c r="D13" s="2252" t="b">
        <f t="shared" si="0"/>
        <v>1</v>
      </c>
    </row>
    <row r="14" spans="1:4">
      <c r="A14" s="2252" t="s">
        <v>2004</v>
      </c>
      <c r="B14" s="2259" t="str">
        <f>报表附注!E13</f>
        <v>     港币</v>
      </c>
      <c r="C14" s="2260">
        <f>报表附注!F13</f>
        <v>0</v>
      </c>
      <c r="D14" s="2252" t="b">
        <f t="shared" si="0"/>
        <v>1</v>
      </c>
    </row>
    <row r="15" spans="1:4">
      <c r="A15" s="2252" t="s">
        <v>2002</v>
      </c>
      <c r="B15" s="2259" t="str">
        <f>报表附注!E14</f>
        <v>欧元</v>
      </c>
      <c r="C15" s="2260">
        <f>报表附注!F14</f>
        <v>0</v>
      </c>
      <c r="D15" s="2252" t="b">
        <f t="shared" si="0"/>
        <v>1</v>
      </c>
    </row>
    <row r="16" spans="1:4">
      <c r="A16" s="2252" t="s">
        <v>2003</v>
      </c>
      <c r="B16" s="2259" t="str">
        <f>报表附注!E15</f>
        <v>日元</v>
      </c>
      <c r="C16" s="2260">
        <f>报表附注!F15</f>
        <v>0</v>
      </c>
      <c r="D16" s="2252" t="b">
        <f t="shared" si="0"/>
        <v>1</v>
      </c>
    </row>
    <row r="17" spans="1:4">
      <c r="A17" s="2252" t="s">
        <v>2005</v>
      </c>
      <c r="B17" s="2259" t="str">
        <f>报表附注!E16</f>
        <v>加拿大元</v>
      </c>
      <c r="C17" s="2260">
        <f>报表附注!F16</f>
        <v>0</v>
      </c>
      <c r="D17" s="2252" t="b">
        <f t="shared" si="0"/>
        <v>0</v>
      </c>
    </row>
    <row r="18" spans="1:4">
      <c r="A18" s="2261" t="s">
        <v>2005</v>
      </c>
      <c r="B18" s="2259" t="str">
        <f>报表附注!E17</f>
        <v>英镑</v>
      </c>
      <c r="C18" s="2260">
        <f>报表附注!F17</f>
        <v>0</v>
      </c>
      <c r="D18" s="2252" t="b">
        <f t="shared" si="0"/>
        <v>1</v>
      </c>
    </row>
    <row r="19" spans="1:4">
      <c r="A19" s="2261" t="s">
        <v>2006</v>
      </c>
      <c r="B19" s="2259" t="str">
        <f>报表附注!E18</f>
        <v>俄罗斯卢布</v>
      </c>
      <c r="C19" s="2260">
        <f>报表附注!F18</f>
        <v>0</v>
      </c>
      <c r="D19" s="2252" t="b">
        <f t="shared" si="0"/>
        <v>1</v>
      </c>
    </row>
    <row r="20" spans="1:4">
      <c r="A20" s="2252" t="s">
        <v>340</v>
      </c>
      <c r="B20" s="2259" t="str">
        <f>报表附注!E19</f>
        <v>其他货币资金</v>
      </c>
      <c r="C20" s="2260">
        <f>报表附注!F19</f>
        <v>0</v>
      </c>
      <c r="D20" s="2252" t="b">
        <f t="shared" si="0"/>
        <v>1</v>
      </c>
    </row>
    <row r="21" spans="1:4">
      <c r="A21" s="2252" t="s">
        <v>323</v>
      </c>
      <c r="B21" s="2259" t="str">
        <f>报表附注!E20</f>
        <v>其中：人民币</v>
      </c>
      <c r="C21" s="2260">
        <f>报表附注!F20</f>
        <v>4158216.16</v>
      </c>
      <c r="D21" s="2252" t="b">
        <f t="shared" si="0"/>
        <v>1</v>
      </c>
    </row>
    <row r="22" spans="1:4">
      <c r="A22" s="2252" t="s">
        <v>2000</v>
      </c>
      <c r="B22" s="2259" t="str">
        <f>报表附注!E21</f>
        <v>美元</v>
      </c>
      <c r="C22" s="2260">
        <f>报表附注!F21</f>
        <v>0</v>
      </c>
      <c r="D22" s="2252" t="b">
        <f t="shared" si="0"/>
        <v>1</v>
      </c>
    </row>
    <row r="23" spans="1:4">
      <c r="A23" s="2252" t="s">
        <v>2004</v>
      </c>
      <c r="B23" s="2259" t="str">
        <f>报表附注!E22</f>
        <v>     港币</v>
      </c>
      <c r="C23" s="2260">
        <f>报表附注!F22</f>
        <v>0</v>
      </c>
      <c r="D23" s="2252" t="b">
        <f t="shared" si="0"/>
        <v>1</v>
      </c>
    </row>
    <row r="24" spans="1:4">
      <c r="A24" s="2252" t="s">
        <v>2002</v>
      </c>
      <c r="B24" s="2259" t="str">
        <f>报表附注!E23</f>
        <v>欧元</v>
      </c>
      <c r="C24" s="2260">
        <f>报表附注!F23</f>
        <v>0</v>
      </c>
      <c r="D24" s="2252" t="b">
        <f t="shared" si="0"/>
        <v>1</v>
      </c>
    </row>
    <row r="25" spans="1:4">
      <c r="A25" s="2252" t="s">
        <v>2003</v>
      </c>
      <c r="B25" s="2259" t="str">
        <f>报表附注!E24</f>
        <v>日元</v>
      </c>
      <c r="C25" s="2260">
        <f>报表附注!F24</f>
        <v>0</v>
      </c>
      <c r="D25" s="2252" t="b">
        <f t="shared" si="0"/>
        <v>1</v>
      </c>
    </row>
    <row r="26" spans="1:4">
      <c r="A26" s="2252" t="s">
        <v>1207</v>
      </c>
      <c r="B26" s="2262" t="str">
        <f>报表附注!E25</f>
        <v>合  计</v>
      </c>
      <c r="C26" s="2260">
        <f>报表附注!F25</f>
        <v>0</v>
      </c>
      <c r="D26" s="2252" t="b">
        <f t="shared" si="0"/>
        <v>1</v>
      </c>
    </row>
    <row r="27" spans="1:4">
      <c r="A27" s="2252" t="s">
        <v>2007</v>
      </c>
      <c r="B27" s="2257" t="s">
        <v>2007</v>
      </c>
      <c r="C27" s="2258"/>
      <c r="D27" s="2252" t="b">
        <f t="shared" si="0"/>
        <v>1</v>
      </c>
    </row>
    <row r="28" spans="1:4">
      <c r="A28" s="2252" t="s">
        <v>321</v>
      </c>
      <c r="B28" s="2253" t="str">
        <f t="shared" ref="B28:B42" si="1">B5</f>
        <v>现金</v>
      </c>
      <c r="C28" s="2260">
        <f>报表附注!H4</f>
        <v>1717.09</v>
      </c>
      <c r="D28" s="2252" t="b">
        <f t="shared" si="0"/>
        <v>1</v>
      </c>
    </row>
    <row r="29" spans="1:4">
      <c r="A29" s="2252" t="s">
        <v>323</v>
      </c>
      <c r="B29" s="2253" t="str">
        <f t="shared" si="1"/>
        <v>其中：人民币</v>
      </c>
      <c r="C29" s="2260">
        <f>报表附注!H5</f>
        <v>1717.09</v>
      </c>
      <c r="D29" s="2252" t="b">
        <f t="shared" si="0"/>
        <v>1</v>
      </c>
    </row>
    <row r="30" spans="1:4">
      <c r="A30" s="2252" t="s">
        <v>2000</v>
      </c>
      <c r="B30" s="2253" t="str">
        <f t="shared" si="1"/>
        <v>美元</v>
      </c>
      <c r="C30" s="2260">
        <f>报表附注!H6</f>
        <v>0</v>
      </c>
      <c r="D30" s="2252" t="b">
        <f t="shared" si="0"/>
        <v>1</v>
      </c>
    </row>
    <row r="31" spans="1:4">
      <c r="A31" s="2252" t="s">
        <v>2001</v>
      </c>
      <c r="B31" s="2253" t="str">
        <f t="shared" si="1"/>
        <v>港币</v>
      </c>
      <c r="C31" s="2260">
        <f>报表附注!H7</f>
        <v>0</v>
      </c>
      <c r="D31" s="2252" t="b">
        <f t="shared" si="0"/>
        <v>1</v>
      </c>
    </row>
    <row r="32" spans="1:4">
      <c r="A32" s="2252" t="s">
        <v>2002</v>
      </c>
      <c r="B32" s="2253" t="str">
        <f t="shared" si="1"/>
        <v>欧元</v>
      </c>
      <c r="C32" s="2260">
        <f>报表附注!H8</f>
        <v>0</v>
      </c>
      <c r="D32" s="2252" t="b">
        <f t="shared" si="0"/>
        <v>1</v>
      </c>
    </row>
    <row r="33" spans="1:4">
      <c r="A33" s="2252" t="s">
        <v>2003</v>
      </c>
      <c r="B33" s="2253" t="str">
        <f t="shared" si="1"/>
        <v>日元</v>
      </c>
      <c r="C33" s="2260">
        <f>报表附注!H9</f>
        <v>0</v>
      </c>
      <c r="D33" s="2252" t="b">
        <f t="shared" si="0"/>
        <v>1</v>
      </c>
    </row>
    <row r="34" spans="1:4">
      <c r="A34" s="2252" t="s">
        <v>333</v>
      </c>
      <c r="B34" s="2253" t="str">
        <f t="shared" si="1"/>
        <v>银行存款</v>
      </c>
      <c r="C34" s="2260">
        <f>报表附注!H10</f>
        <v>199555199.11</v>
      </c>
      <c r="D34" s="2252" t="b">
        <f t="shared" si="0"/>
        <v>1</v>
      </c>
    </row>
    <row r="35" spans="1:4">
      <c r="A35" s="2252" t="s">
        <v>323</v>
      </c>
      <c r="B35" s="2253" t="str">
        <f t="shared" si="1"/>
        <v>其中：人民币</v>
      </c>
      <c r="C35" s="2260">
        <f>报表附注!H11</f>
        <v>199555199.11</v>
      </c>
      <c r="D35" s="2252" t="b">
        <f t="shared" si="0"/>
        <v>1</v>
      </c>
    </row>
    <row r="36" spans="1:4">
      <c r="A36" s="2252" t="s">
        <v>2000</v>
      </c>
      <c r="B36" s="2253" t="str">
        <f t="shared" si="1"/>
        <v>美元</v>
      </c>
      <c r="C36" s="2260">
        <f>报表附注!H12</f>
        <v>0</v>
      </c>
      <c r="D36" s="2252" t="b">
        <f t="shared" si="0"/>
        <v>1</v>
      </c>
    </row>
    <row r="37" spans="1:4">
      <c r="A37" s="2252" t="s">
        <v>2004</v>
      </c>
      <c r="B37" s="2253" t="str">
        <f t="shared" si="1"/>
        <v>     港币</v>
      </c>
      <c r="C37" s="2260">
        <f>报表附注!H13</f>
        <v>0</v>
      </c>
      <c r="D37" s="2252" t="b">
        <f t="shared" si="0"/>
        <v>1</v>
      </c>
    </row>
    <row r="38" spans="1:4">
      <c r="A38" s="2252" t="s">
        <v>2002</v>
      </c>
      <c r="B38" s="2253" t="str">
        <f t="shared" si="1"/>
        <v>欧元</v>
      </c>
      <c r="C38" s="2260">
        <f>报表附注!H14</f>
        <v>0</v>
      </c>
      <c r="D38" s="2252" t="b">
        <f t="shared" si="0"/>
        <v>1</v>
      </c>
    </row>
    <row r="39" spans="1:4">
      <c r="A39" s="2252" t="s">
        <v>2003</v>
      </c>
      <c r="B39" s="2253" t="str">
        <f t="shared" si="1"/>
        <v>日元</v>
      </c>
      <c r="C39" s="2260">
        <f>报表附注!H15</f>
        <v>0</v>
      </c>
      <c r="D39" s="2252" t="b">
        <f t="shared" si="0"/>
        <v>1</v>
      </c>
    </row>
    <row r="40" spans="1:4">
      <c r="A40" s="2252" t="s">
        <v>2005</v>
      </c>
      <c r="B40" s="2253" t="str">
        <f t="shared" si="1"/>
        <v>加拿大元</v>
      </c>
      <c r="C40" s="2260">
        <f>报表附注!H16</f>
        <v>0</v>
      </c>
      <c r="D40" s="2252" t="b">
        <f t="shared" si="0"/>
        <v>0</v>
      </c>
    </row>
    <row r="41" spans="1:4">
      <c r="A41" s="2261" t="s">
        <v>2005</v>
      </c>
      <c r="B41" s="2253" t="str">
        <f t="shared" si="1"/>
        <v>英镑</v>
      </c>
      <c r="C41" s="2260">
        <f>报表附注!H17</f>
        <v>0</v>
      </c>
      <c r="D41" s="2252" t="b">
        <f t="shared" ref="D41:D42" si="2">EXACT(A41,B41)</f>
        <v>1</v>
      </c>
    </row>
    <row r="42" spans="1:4">
      <c r="A42" s="2261" t="s">
        <v>2006</v>
      </c>
      <c r="B42" s="2253" t="str">
        <f t="shared" si="1"/>
        <v>俄罗斯卢布</v>
      </c>
      <c r="C42" s="2260">
        <f>报表附注!H18</f>
        <v>0</v>
      </c>
      <c r="D42" s="2252" t="b">
        <f t="shared" si="2"/>
        <v>1</v>
      </c>
    </row>
    <row r="43" spans="1:4">
      <c r="A43" s="2252" t="s">
        <v>340</v>
      </c>
      <c r="B43" s="2253" t="str">
        <f t="shared" ref="B43:B49" si="3">B20</f>
        <v>其他货币资金</v>
      </c>
      <c r="C43" s="2260">
        <f>报表附注!H19</f>
        <v>4158216.16</v>
      </c>
      <c r="D43" s="2252" t="b">
        <f t="shared" si="0"/>
        <v>1</v>
      </c>
    </row>
    <row r="44" spans="1:4">
      <c r="A44" s="2252" t="s">
        <v>323</v>
      </c>
      <c r="B44" s="2253" t="str">
        <f t="shared" si="3"/>
        <v>其中：人民币</v>
      </c>
      <c r="C44" s="2260">
        <f>报表附注!H20</f>
        <v>4158216.16</v>
      </c>
      <c r="D44" s="2252" t="b">
        <f t="shared" si="0"/>
        <v>1</v>
      </c>
    </row>
    <row r="45" spans="1:4">
      <c r="A45" s="2252" t="s">
        <v>2000</v>
      </c>
      <c r="B45" s="2253" t="str">
        <f t="shared" si="3"/>
        <v>美元</v>
      </c>
      <c r="C45" s="2260">
        <f>报表附注!H21</f>
        <v>0</v>
      </c>
      <c r="D45" s="2252" t="b">
        <f t="shared" si="0"/>
        <v>1</v>
      </c>
    </row>
    <row r="46" spans="1:4">
      <c r="A46" s="2252" t="s">
        <v>2004</v>
      </c>
      <c r="B46" s="2253" t="str">
        <f t="shared" si="3"/>
        <v>     港币</v>
      </c>
      <c r="C46" s="2260">
        <f>报表附注!H22</f>
        <v>0</v>
      </c>
      <c r="D46" s="2252" t="b">
        <f t="shared" si="0"/>
        <v>1</v>
      </c>
    </row>
    <row r="47" spans="1:4">
      <c r="A47" s="2252" t="s">
        <v>2002</v>
      </c>
      <c r="B47" s="2253" t="str">
        <f t="shared" si="3"/>
        <v>欧元</v>
      </c>
      <c r="C47" s="2260">
        <f>报表附注!H23</f>
        <v>0</v>
      </c>
      <c r="D47" s="2252" t="b">
        <f t="shared" si="0"/>
        <v>1</v>
      </c>
    </row>
    <row r="48" spans="1:4">
      <c r="A48" s="2252" t="s">
        <v>2003</v>
      </c>
      <c r="B48" s="2253" t="str">
        <f t="shared" si="3"/>
        <v>日元</v>
      </c>
      <c r="C48" s="2260">
        <f>报表附注!H24</f>
        <v>0</v>
      </c>
      <c r="D48" s="2252" t="b">
        <f t="shared" si="0"/>
        <v>1</v>
      </c>
    </row>
    <row r="49" spans="1:4">
      <c r="A49" s="2252" t="s">
        <v>1207</v>
      </c>
      <c r="B49" s="2263" t="str">
        <f t="shared" si="3"/>
        <v>合  计</v>
      </c>
      <c r="C49" s="2260">
        <f>报表附注!H25</f>
        <v>203715132.36</v>
      </c>
      <c r="D49" s="2252" t="b">
        <f t="shared" si="0"/>
        <v>1</v>
      </c>
    </row>
    <row r="50" spans="1:4">
      <c r="A50" s="2252" t="s">
        <v>2008</v>
      </c>
      <c r="B50" s="2257" t="s">
        <v>2008</v>
      </c>
      <c r="C50" s="2258"/>
      <c r="D50" s="2252" t="b">
        <f t="shared" si="0"/>
        <v>1</v>
      </c>
    </row>
    <row r="51" spans="1:4">
      <c r="A51" s="2252" t="s">
        <v>321</v>
      </c>
      <c r="B51" s="2253" t="str">
        <f>报表附注!E4</f>
        <v>现金</v>
      </c>
      <c r="C51" s="2260">
        <f>报表附注!I4</f>
        <v>0</v>
      </c>
      <c r="D51" s="2252" t="b">
        <f t="shared" si="0"/>
        <v>1</v>
      </c>
    </row>
    <row r="52" spans="1:4">
      <c r="A52" s="2252" t="s">
        <v>323</v>
      </c>
      <c r="B52" s="2253" t="str">
        <f>报表附注!E5</f>
        <v>其中：人民币</v>
      </c>
      <c r="C52" s="2260">
        <f>报表附注!I5</f>
        <v>24681.45</v>
      </c>
      <c r="D52" s="2252" t="b">
        <f t="shared" si="0"/>
        <v>1</v>
      </c>
    </row>
    <row r="53" spans="1:4">
      <c r="A53" s="2252" t="s">
        <v>2000</v>
      </c>
      <c r="B53" s="2253" t="str">
        <f>报表附注!E6</f>
        <v>美元</v>
      </c>
      <c r="C53" s="2260">
        <f>报表附注!I6</f>
        <v>0</v>
      </c>
      <c r="D53" s="2252" t="b">
        <f t="shared" si="0"/>
        <v>1</v>
      </c>
    </row>
    <row r="54" spans="1:4">
      <c r="A54" s="2252" t="s">
        <v>2001</v>
      </c>
      <c r="B54" s="2253" t="str">
        <f>报表附注!E7</f>
        <v>港币</v>
      </c>
      <c r="C54" s="2260">
        <f>报表附注!I7</f>
        <v>0</v>
      </c>
      <c r="D54" s="2252" t="b">
        <f t="shared" si="0"/>
        <v>1</v>
      </c>
    </row>
    <row r="55" spans="1:4">
      <c r="A55" s="2252" t="s">
        <v>2002</v>
      </c>
      <c r="B55" s="2253" t="str">
        <f>报表附注!E8</f>
        <v>欧元</v>
      </c>
      <c r="C55" s="2260">
        <f>报表附注!I8</f>
        <v>0</v>
      </c>
      <c r="D55" s="2252" t="b">
        <f t="shared" si="0"/>
        <v>1</v>
      </c>
    </row>
    <row r="56" spans="1:4">
      <c r="A56" s="2252" t="s">
        <v>2003</v>
      </c>
      <c r="B56" s="2253" t="str">
        <f>报表附注!E9</f>
        <v>日元</v>
      </c>
      <c r="C56" s="2260">
        <f>报表附注!I9</f>
        <v>0</v>
      </c>
      <c r="D56" s="2252" t="b">
        <f t="shared" si="0"/>
        <v>1</v>
      </c>
    </row>
    <row r="57" spans="1:4">
      <c r="A57" s="2252" t="s">
        <v>333</v>
      </c>
      <c r="B57" s="2253" t="str">
        <f>报表附注!E10</f>
        <v>银行存款</v>
      </c>
      <c r="C57" s="2260">
        <f>报表附注!I10</f>
        <v>0</v>
      </c>
      <c r="D57" s="2252" t="b">
        <f t="shared" si="0"/>
        <v>1</v>
      </c>
    </row>
    <row r="58" spans="1:4">
      <c r="A58" s="2252" t="s">
        <v>323</v>
      </c>
      <c r="B58" s="2253" t="str">
        <f>报表附注!E11</f>
        <v>其中：人民币</v>
      </c>
      <c r="C58" s="2260">
        <f>报表附注!I11</f>
        <v>66138991.03</v>
      </c>
      <c r="D58" s="2252" t="b">
        <f t="shared" si="0"/>
        <v>1</v>
      </c>
    </row>
    <row r="59" spans="1:4">
      <c r="A59" s="2252" t="s">
        <v>2000</v>
      </c>
      <c r="B59" s="2253" t="str">
        <f>报表附注!E12</f>
        <v>美元</v>
      </c>
      <c r="C59" s="2260">
        <f>报表附注!I12</f>
        <v>0</v>
      </c>
      <c r="D59" s="2252" t="b">
        <f t="shared" si="0"/>
        <v>1</v>
      </c>
    </row>
    <row r="60" spans="1:4">
      <c r="A60" s="2252" t="s">
        <v>2004</v>
      </c>
      <c r="B60" s="2253" t="str">
        <f>报表附注!E13</f>
        <v>     港币</v>
      </c>
      <c r="C60" s="2260">
        <f>报表附注!I13</f>
        <v>0</v>
      </c>
      <c r="D60" s="2252" t="b">
        <f t="shared" si="0"/>
        <v>1</v>
      </c>
    </row>
    <row r="61" spans="1:4">
      <c r="A61" s="2252" t="s">
        <v>2002</v>
      </c>
      <c r="B61" s="2253" t="str">
        <f>报表附注!E14</f>
        <v>欧元</v>
      </c>
      <c r="C61" s="2260">
        <f>报表附注!I14</f>
        <v>0</v>
      </c>
      <c r="D61" s="2252" t="b">
        <f t="shared" si="0"/>
        <v>1</v>
      </c>
    </row>
    <row r="62" spans="1:4">
      <c r="A62" s="2252" t="s">
        <v>2003</v>
      </c>
      <c r="B62" s="2253" t="str">
        <f>报表附注!E15</f>
        <v>日元</v>
      </c>
      <c r="C62" s="2260">
        <f>报表附注!I15</f>
        <v>0</v>
      </c>
      <c r="D62" s="2252" t="b">
        <f t="shared" si="0"/>
        <v>1</v>
      </c>
    </row>
    <row r="63" spans="1:4">
      <c r="A63" s="2252" t="s">
        <v>2005</v>
      </c>
      <c r="B63" s="2253" t="str">
        <f>报表附注!E16</f>
        <v>加拿大元</v>
      </c>
      <c r="C63" s="2260">
        <f>报表附注!I16</f>
        <v>0</v>
      </c>
      <c r="D63" s="2252" t="b">
        <f t="shared" si="0"/>
        <v>0</v>
      </c>
    </row>
    <row r="64" spans="1:4">
      <c r="A64" s="2261" t="s">
        <v>2005</v>
      </c>
      <c r="B64" s="2253" t="str">
        <f>报表附注!E17</f>
        <v>英镑</v>
      </c>
      <c r="C64" s="2260">
        <f>报表附注!I17</f>
        <v>0</v>
      </c>
      <c r="D64" s="2252" t="b">
        <f t="shared" ref="D64:D65" si="4">EXACT(A64,B64)</f>
        <v>1</v>
      </c>
    </row>
    <row r="65" spans="1:4">
      <c r="A65" s="2261" t="s">
        <v>2006</v>
      </c>
      <c r="B65" s="2253" t="str">
        <f>报表附注!E18</f>
        <v>俄罗斯卢布</v>
      </c>
      <c r="C65" s="2260">
        <f>报表附注!I18</f>
        <v>0</v>
      </c>
      <c r="D65" s="2252" t="b">
        <f t="shared" si="4"/>
        <v>1</v>
      </c>
    </row>
    <row r="66" spans="1:4">
      <c r="A66" s="2252" t="s">
        <v>340</v>
      </c>
      <c r="B66" s="2253" t="str">
        <f>报表附注!E19</f>
        <v>其他货币资金</v>
      </c>
      <c r="C66" s="2260">
        <f>报表附注!I19</f>
        <v>0</v>
      </c>
      <c r="D66" s="2252" t="b">
        <f t="shared" si="0"/>
        <v>1</v>
      </c>
    </row>
    <row r="67" spans="1:4">
      <c r="A67" s="2252" t="s">
        <v>323</v>
      </c>
      <c r="B67" s="2253" t="str">
        <f>报表附注!E20</f>
        <v>其中：人民币</v>
      </c>
      <c r="C67" s="2260">
        <f>报表附注!I20</f>
        <v>10750015.27</v>
      </c>
      <c r="D67" s="2252" t="b">
        <f t="shared" si="0"/>
        <v>1</v>
      </c>
    </row>
    <row r="68" spans="1:4">
      <c r="A68" s="2252" t="s">
        <v>2000</v>
      </c>
      <c r="B68" s="2253" t="str">
        <f>报表附注!E21</f>
        <v>美元</v>
      </c>
      <c r="C68" s="2260">
        <f>报表附注!I21</f>
        <v>0</v>
      </c>
      <c r="D68" s="2252" t="b">
        <f t="shared" si="0"/>
        <v>1</v>
      </c>
    </row>
    <row r="69" spans="1:4">
      <c r="A69" s="2252" t="s">
        <v>2004</v>
      </c>
      <c r="B69" s="2253" t="str">
        <f>报表附注!E22</f>
        <v>     港币</v>
      </c>
      <c r="C69" s="2260">
        <f>报表附注!I22</f>
        <v>0</v>
      </c>
      <c r="D69" s="2252" t="b">
        <f t="shared" si="0"/>
        <v>1</v>
      </c>
    </row>
    <row r="70" spans="1:4">
      <c r="A70" s="2252" t="s">
        <v>2002</v>
      </c>
      <c r="B70" s="2253" t="str">
        <f>报表附注!E23</f>
        <v>欧元</v>
      </c>
      <c r="C70" s="2260">
        <f>报表附注!I23</f>
        <v>0</v>
      </c>
      <c r="D70" s="2252" t="b">
        <f t="shared" si="0"/>
        <v>1</v>
      </c>
    </row>
    <row r="71" spans="1:4">
      <c r="A71" s="2252" t="s">
        <v>2003</v>
      </c>
      <c r="B71" s="2253" t="str">
        <f>报表附注!E24</f>
        <v>日元</v>
      </c>
      <c r="C71" s="2260">
        <f>报表附注!I24</f>
        <v>0</v>
      </c>
      <c r="D71" s="2252" t="b">
        <f t="shared" si="0"/>
        <v>1</v>
      </c>
    </row>
    <row r="72" spans="1:4">
      <c r="A72" s="2252" t="s">
        <v>1207</v>
      </c>
      <c r="B72" s="2263" t="str">
        <f>报表附注!E25</f>
        <v>合  计</v>
      </c>
      <c r="C72" s="2260">
        <f>报表附注!I25</f>
        <v>0</v>
      </c>
      <c r="D72" s="2252" t="b">
        <f t="shared" si="0"/>
        <v>1</v>
      </c>
    </row>
    <row r="73" spans="1:4">
      <c r="A73" s="2252" t="s">
        <v>2009</v>
      </c>
      <c r="B73" s="2257" t="s">
        <v>2009</v>
      </c>
      <c r="C73" s="2258"/>
      <c r="D73" s="2252" t="b">
        <f t="shared" si="0"/>
        <v>1</v>
      </c>
    </row>
    <row r="74" spans="1:4">
      <c r="A74" s="2252" t="s">
        <v>321</v>
      </c>
      <c r="B74" s="2253" t="str">
        <f>报表附注!E4</f>
        <v>现金</v>
      </c>
      <c r="C74" s="2260">
        <f>报表附注!K4</f>
        <v>25769.32</v>
      </c>
      <c r="D74" s="2252" t="b">
        <f t="shared" ref="D74:D139" si="5">EXACT(A74,B74)</f>
        <v>1</v>
      </c>
    </row>
    <row r="75" spans="1:4">
      <c r="A75" s="2252" t="s">
        <v>323</v>
      </c>
      <c r="B75" s="2253" t="str">
        <f>报表附注!E5</f>
        <v>其中：人民币</v>
      </c>
      <c r="C75" s="2260">
        <f>报表附注!K5</f>
        <v>25769.32</v>
      </c>
      <c r="D75" s="2252" t="b">
        <f t="shared" si="5"/>
        <v>1</v>
      </c>
    </row>
    <row r="76" spans="1:4">
      <c r="A76" s="2252" t="s">
        <v>2000</v>
      </c>
      <c r="B76" s="2253" t="str">
        <f>报表附注!E6</f>
        <v>美元</v>
      </c>
      <c r="C76" s="2260">
        <f>报表附注!K6</f>
        <v>0</v>
      </c>
      <c r="D76" s="2252" t="b">
        <f t="shared" si="5"/>
        <v>1</v>
      </c>
    </row>
    <row r="77" spans="1:4">
      <c r="A77" s="2252" t="s">
        <v>2001</v>
      </c>
      <c r="B77" s="2253" t="str">
        <f>报表附注!E7</f>
        <v>港币</v>
      </c>
      <c r="C77" s="2260">
        <f>报表附注!K7</f>
        <v>0</v>
      </c>
      <c r="D77" s="2252" t="b">
        <f t="shared" si="5"/>
        <v>1</v>
      </c>
    </row>
    <row r="78" spans="1:4">
      <c r="A78" s="2252" t="s">
        <v>2002</v>
      </c>
      <c r="B78" s="2253" t="str">
        <f>报表附注!E8</f>
        <v>欧元</v>
      </c>
      <c r="C78" s="2260">
        <f>报表附注!K8</f>
        <v>0</v>
      </c>
      <c r="D78" s="2252" t="b">
        <f t="shared" si="5"/>
        <v>1</v>
      </c>
    </row>
    <row r="79" spans="1:4">
      <c r="A79" s="2252" t="s">
        <v>2003</v>
      </c>
      <c r="B79" s="2253" t="str">
        <f>报表附注!E9</f>
        <v>日元</v>
      </c>
      <c r="C79" s="2260">
        <f>报表附注!K9</f>
        <v>0</v>
      </c>
      <c r="D79" s="2252" t="b">
        <f t="shared" si="5"/>
        <v>1</v>
      </c>
    </row>
    <row r="80" spans="1:4">
      <c r="A80" s="2252" t="s">
        <v>333</v>
      </c>
      <c r="B80" s="2253" t="str">
        <f>报表附注!E10</f>
        <v>银行存款</v>
      </c>
      <c r="C80" s="2260">
        <f>报表附注!K10</f>
        <v>66138991.03</v>
      </c>
      <c r="D80" s="2252" t="b">
        <f t="shared" si="5"/>
        <v>1</v>
      </c>
    </row>
    <row r="81" spans="1:4">
      <c r="A81" s="2252" t="s">
        <v>323</v>
      </c>
      <c r="B81" s="2253" t="str">
        <f>报表附注!E11</f>
        <v>其中：人民币</v>
      </c>
      <c r="C81" s="2260">
        <f>报表附注!K11</f>
        <v>66138991.03</v>
      </c>
      <c r="D81" s="2252" t="b">
        <f t="shared" si="5"/>
        <v>1</v>
      </c>
    </row>
    <row r="82" spans="1:4">
      <c r="A82" s="2252" t="s">
        <v>2000</v>
      </c>
      <c r="B82" s="2253" t="str">
        <f>报表附注!E12</f>
        <v>美元</v>
      </c>
      <c r="C82" s="2260">
        <f>报表附注!K12</f>
        <v>0</v>
      </c>
      <c r="D82" s="2252" t="b">
        <f t="shared" si="5"/>
        <v>1</v>
      </c>
    </row>
    <row r="83" spans="1:4">
      <c r="A83" s="2252" t="s">
        <v>2004</v>
      </c>
      <c r="B83" s="2253" t="str">
        <f>报表附注!E13</f>
        <v>     港币</v>
      </c>
      <c r="C83" s="2260">
        <f>报表附注!K13</f>
        <v>0</v>
      </c>
      <c r="D83" s="2252" t="b">
        <f t="shared" si="5"/>
        <v>1</v>
      </c>
    </row>
    <row r="84" spans="1:4">
      <c r="A84" s="2252" t="s">
        <v>2002</v>
      </c>
      <c r="B84" s="2253" t="str">
        <f>报表附注!E14</f>
        <v>欧元</v>
      </c>
      <c r="C84" s="2260">
        <f>报表附注!K14</f>
        <v>0</v>
      </c>
      <c r="D84" s="2252" t="b">
        <f t="shared" si="5"/>
        <v>1</v>
      </c>
    </row>
    <row r="85" spans="1:4">
      <c r="A85" s="2252" t="s">
        <v>2003</v>
      </c>
      <c r="B85" s="2253" t="str">
        <f>报表附注!E15</f>
        <v>日元</v>
      </c>
      <c r="C85" s="2260">
        <f>报表附注!K15</f>
        <v>0</v>
      </c>
      <c r="D85" s="2252" t="b">
        <f t="shared" si="5"/>
        <v>1</v>
      </c>
    </row>
    <row r="86" spans="1:4">
      <c r="A86" s="2252" t="s">
        <v>2005</v>
      </c>
      <c r="B86" s="2253" t="str">
        <f>报表附注!E16</f>
        <v>加拿大元</v>
      </c>
      <c r="C86" s="2260">
        <f>报表附注!K16</f>
        <v>0</v>
      </c>
      <c r="D86" s="2252" t="b">
        <f t="shared" si="5"/>
        <v>0</v>
      </c>
    </row>
    <row r="87" spans="1:4">
      <c r="A87" s="2261" t="s">
        <v>2005</v>
      </c>
      <c r="B87" s="2253" t="str">
        <f>报表附注!E17</f>
        <v>英镑</v>
      </c>
      <c r="C87" s="2260">
        <f>报表附注!K17</f>
        <v>0</v>
      </c>
      <c r="D87" s="2252" t="b">
        <f t="shared" ref="D87:D88" si="6">EXACT(A87,B87)</f>
        <v>1</v>
      </c>
    </row>
    <row r="88" spans="1:4">
      <c r="A88" s="2261" t="s">
        <v>2006</v>
      </c>
      <c r="B88" s="2253" t="str">
        <f>报表附注!E18</f>
        <v>俄罗斯卢布</v>
      </c>
      <c r="C88" s="2260">
        <f>报表附注!K18</f>
        <v>0</v>
      </c>
      <c r="D88" s="2252" t="b">
        <f t="shared" si="6"/>
        <v>1</v>
      </c>
    </row>
    <row r="89" spans="1:4">
      <c r="A89" s="2252" t="s">
        <v>340</v>
      </c>
      <c r="B89" s="2253" t="str">
        <f>报表附注!E19</f>
        <v>其他货币资金</v>
      </c>
      <c r="C89" s="2260">
        <f>报表附注!K19</f>
        <v>10750015.27</v>
      </c>
      <c r="D89" s="2252" t="b">
        <f t="shared" si="5"/>
        <v>1</v>
      </c>
    </row>
    <row r="90" spans="1:4">
      <c r="A90" s="2252" t="s">
        <v>323</v>
      </c>
      <c r="B90" s="2253" t="str">
        <f>报表附注!E20</f>
        <v>其中：人民币</v>
      </c>
      <c r="C90" s="2260">
        <f>报表附注!K20</f>
        <v>10750015.27</v>
      </c>
      <c r="D90" s="2252" t="b">
        <f t="shared" si="5"/>
        <v>1</v>
      </c>
    </row>
    <row r="91" spans="1:4">
      <c r="A91" s="2252" t="s">
        <v>2000</v>
      </c>
      <c r="B91" s="2253" t="str">
        <f>报表附注!E21</f>
        <v>美元</v>
      </c>
      <c r="C91" s="2260">
        <f>报表附注!K21</f>
        <v>0</v>
      </c>
      <c r="D91" s="2252" t="b">
        <f t="shared" si="5"/>
        <v>1</v>
      </c>
    </row>
    <row r="92" spans="1:4">
      <c r="A92" s="2252" t="s">
        <v>2004</v>
      </c>
      <c r="B92" s="2253" t="str">
        <f>报表附注!E22</f>
        <v>     港币</v>
      </c>
      <c r="C92" s="2260">
        <f>报表附注!K22</f>
        <v>0</v>
      </c>
      <c r="D92" s="2252" t="b">
        <f t="shared" si="5"/>
        <v>1</v>
      </c>
    </row>
    <row r="93" spans="1:4">
      <c r="A93" s="2252" t="s">
        <v>2002</v>
      </c>
      <c r="B93" s="2253" t="str">
        <f>报表附注!E23</f>
        <v>欧元</v>
      </c>
      <c r="C93" s="2260">
        <f>报表附注!K23</f>
        <v>0</v>
      </c>
      <c r="D93" s="2252" t="b">
        <f t="shared" si="5"/>
        <v>1</v>
      </c>
    </row>
    <row r="94" spans="1:4">
      <c r="A94" s="2252" t="s">
        <v>2003</v>
      </c>
      <c r="B94" s="2253" t="str">
        <f>报表附注!E24</f>
        <v>日元</v>
      </c>
      <c r="C94" s="2260">
        <f>报表附注!K24</f>
        <v>0</v>
      </c>
      <c r="D94" s="2252" t="b">
        <f t="shared" si="5"/>
        <v>1</v>
      </c>
    </row>
    <row r="95" spans="1:4">
      <c r="A95" s="2252" t="s">
        <v>1207</v>
      </c>
      <c r="B95" s="2263" t="str">
        <f>报表附注!E25</f>
        <v>合  计</v>
      </c>
      <c r="C95" s="2260">
        <f>报表附注!K25</f>
        <v>76914775.62</v>
      </c>
      <c r="D95" s="2252" t="b">
        <f t="shared" si="5"/>
        <v>1</v>
      </c>
    </row>
    <row r="96" spans="4:4">
      <c r="D96" s="2252" t="b">
        <f t="shared" si="5"/>
        <v>1</v>
      </c>
    </row>
    <row r="97" spans="1:4">
      <c r="A97" s="2252" t="s">
        <v>2010</v>
      </c>
      <c r="B97" s="2264" t="s">
        <v>2010</v>
      </c>
      <c r="D97" s="2252" t="b">
        <f t="shared" si="5"/>
        <v>1</v>
      </c>
    </row>
    <row r="98" spans="4:4">
      <c r="D98" s="2252" t="b">
        <f t="shared" si="5"/>
        <v>1</v>
      </c>
    </row>
    <row r="99" spans="1:4">
      <c r="A99" s="2252" t="s">
        <v>2011</v>
      </c>
      <c r="B99" s="2265" t="s">
        <v>2011</v>
      </c>
      <c r="D99" s="2252" t="b">
        <f t="shared" si="5"/>
        <v>1</v>
      </c>
    </row>
    <row r="100" spans="1:4">
      <c r="A100" s="2252" t="s">
        <v>2012</v>
      </c>
      <c r="B100" s="2253" t="str">
        <f>报表附注!E48</f>
        <v>1.交易性债券投资</v>
      </c>
      <c r="C100" s="2260">
        <f>报表附注!G48</f>
        <v>0</v>
      </c>
      <c r="D100" s="2252" t="b">
        <f t="shared" si="5"/>
        <v>1</v>
      </c>
    </row>
    <row r="101" spans="1:4">
      <c r="A101" s="2252" t="s">
        <v>2013</v>
      </c>
      <c r="B101" s="2253" t="str">
        <f>报表附注!E49</f>
        <v>2.交易性权益工具投资</v>
      </c>
      <c r="C101" s="2260">
        <f>报表附注!G49</f>
        <v>0</v>
      </c>
      <c r="D101" s="2252" t="b">
        <f t="shared" si="5"/>
        <v>1</v>
      </c>
    </row>
    <row r="102" spans="1:4">
      <c r="A102" s="2252" t="s">
        <v>2014</v>
      </c>
      <c r="B102" s="2253" t="str">
        <f>报表附注!E50</f>
        <v>3.指定为以公允价值计量且其变动计入当期损益的金融资产</v>
      </c>
      <c r="C102" s="2260">
        <f>报表附注!G50</f>
        <v>0</v>
      </c>
      <c r="D102" s="2252" t="b">
        <f t="shared" si="5"/>
        <v>1</v>
      </c>
    </row>
    <row r="103" spans="1:4">
      <c r="A103" s="2252" t="s">
        <v>2015</v>
      </c>
      <c r="B103" s="2253" t="str">
        <f>报表附注!E51</f>
        <v>4.衍生金融资产</v>
      </c>
      <c r="C103" s="2260">
        <f>报表附注!G51</f>
        <v>0</v>
      </c>
      <c r="D103" s="2252" t="b">
        <f t="shared" si="5"/>
        <v>1</v>
      </c>
    </row>
    <row r="104" spans="1:9">
      <c r="A104" s="2266" t="s">
        <v>2016</v>
      </c>
      <c r="B104" s="2267" t="str">
        <f>报表附注!E52</f>
        <v>5.套期工具</v>
      </c>
      <c r="C104" s="2268">
        <f>报表附注!G52</f>
        <v>0</v>
      </c>
      <c r="D104" s="2252" t="b">
        <f t="shared" si="5"/>
        <v>1</v>
      </c>
      <c r="H104" s="2269"/>
      <c r="I104" s="2269"/>
    </row>
    <row r="105" spans="1:4">
      <c r="A105" s="2252" t="s">
        <v>2017</v>
      </c>
      <c r="B105" s="2253" t="str">
        <f>报表附注!E53</f>
        <v>6.其他</v>
      </c>
      <c r="C105" s="2260">
        <f>报表附注!G53</f>
        <v>0</v>
      </c>
      <c r="D105" s="2252" t="b">
        <f t="shared" si="5"/>
        <v>1</v>
      </c>
    </row>
    <row r="106" spans="1:4">
      <c r="A106" s="2252" t="s">
        <v>2018</v>
      </c>
      <c r="B106" s="2263" t="str">
        <f>报表附注!E54</f>
        <v>合    计</v>
      </c>
      <c r="C106" s="2260">
        <f>报表附注!G54</f>
        <v>0</v>
      </c>
      <c r="D106" s="2252" t="b">
        <f t="shared" si="5"/>
        <v>1</v>
      </c>
    </row>
    <row r="107" spans="1:4">
      <c r="A107" s="2252" t="s">
        <v>374</v>
      </c>
      <c r="B107" s="2265" t="s">
        <v>374</v>
      </c>
      <c r="D107" s="2252" t="b">
        <f t="shared" si="5"/>
        <v>1</v>
      </c>
    </row>
    <row r="108" spans="1:4">
      <c r="A108" s="2252" t="s">
        <v>2012</v>
      </c>
      <c r="B108" s="2253" t="str">
        <f>报表附注!E48</f>
        <v>1.交易性债券投资</v>
      </c>
      <c r="C108" s="2260">
        <f>报表附注!F48</f>
        <v>0</v>
      </c>
      <c r="D108" s="2252" t="b">
        <f t="shared" si="5"/>
        <v>1</v>
      </c>
    </row>
    <row r="109" spans="1:4">
      <c r="A109" s="2252" t="s">
        <v>2013</v>
      </c>
      <c r="B109" s="2253" t="str">
        <f>报表附注!E49</f>
        <v>2.交易性权益工具投资</v>
      </c>
      <c r="C109" s="2260">
        <f>报表附注!F49</f>
        <v>0</v>
      </c>
      <c r="D109" s="2252" t="b">
        <f t="shared" si="5"/>
        <v>1</v>
      </c>
    </row>
    <row r="110" spans="1:4">
      <c r="A110" s="2252" t="s">
        <v>2014</v>
      </c>
      <c r="B110" s="2253" t="str">
        <f>报表附注!E50</f>
        <v>3.指定为以公允价值计量且其变动计入当期损益的金融资产</v>
      </c>
      <c r="C110" s="2260">
        <f>报表附注!F50</f>
        <v>0</v>
      </c>
      <c r="D110" s="2252" t="b">
        <f t="shared" si="5"/>
        <v>1</v>
      </c>
    </row>
    <row r="111" spans="1:4">
      <c r="A111" s="2252" t="s">
        <v>2015</v>
      </c>
      <c r="B111" s="2253" t="str">
        <f>报表附注!E51</f>
        <v>4.衍生金融资产</v>
      </c>
      <c r="C111" s="2260">
        <f>报表附注!F51</f>
        <v>0</v>
      </c>
      <c r="D111" s="2252" t="b">
        <f t="shared" si="5"/>
        <v>1</v>
      </c>
    </row>
    <row r="112" spans="1:9">
      <c r="A112" s="2266" t="s">
        <v>2016</v>
      </c>
      <c r="B112" s="2267" t="str">
        <f>报表附注!E52</f>
        <v>5.套期工具</v>
      </c>
      <c r="C112" s="2268">
        <f>报表附注!F52</f>
        <v>0</v>
      </c>
      <c r="D112" s="2252" t="b">
        <f t="shared" si="5"/>
        <v>1</v>
      </c>
      <c r="H112" s="2269"/>
      <c r="I112" s="2269"/>
    </row>
    <row r="113" spans="1:4">
      <c r="A113" s="2252" t="s">
        <v>2017</v>
      </c>
      <c r="B113" s="2253" t="str">
        <f>报表附注!E53</f>
        <v>6.其他</v>
      </c>
      <c r="C113" s="2260">
        <f>报表附注!F53</f>
        <v>0</v>
      </c>
      <c r="D113" s="2252" t="b">
        <f t="shared" si="5"/>
        <v>1</v>
      </c>
    </row>
    <row r="114" spans="1:4">
      <c r="A114" s="2252" t="s">
        <v>2018</v>
      </c>
      <c r="B114" s="2263" t="str">
        <f>报表附注!E54</f>
        <v>合    计</v>
      </c>
      <c r="C114" s="2260">
        <f>报表附注!F54</f>
        <v>0</v>
      </c>
      <c r="D114" s="2252" t="b">
        <f t="shared" si="5"/>
        <v>1</v>
      </c>
    </row>
    <row r="115" spans="4:4">
      <c r="D115" s="2252" t="b">
        <f t="shared" si="5"/>
        <v>1</v>
      </c>
    </row>
    <row r="116" spans="1:4">
      <c r="A116" s="2252" t="s">
        <v>2019</v>
      </c>
      <c r="B116" s="2270" t="s">
        <v>2019</v>
      </c>
      <c r="D116" s="2252" t="b">
        <f t="shared" si="5"/>
        <v>1</v>
      </c>
    </row>
    <row r="117" spans="4:4">
      <c r="D117" s="2252" t="b">
        <f t="shared" si="5"/>
        <v>1</v>
      </c>
    </row>
    <row r="118" spans="1:4">
      <c r="A118" s="2252" t="s">
        <v>2020</v>
      </c>
      <c r="B118" s="2271" t="s">
        <v>2020</v>
      </c>
      <c r="D118" s="2252" t="b">
        <f t="shared" si="5"/>
        <v>1</v>
      </c>
    </row>
    <row r="119" spans="1:4">
      <c r="A119" s="2252" t="s">
        <v>392</v>
      </c>
      <c r="B119" s="2253" t="str">
        <f>报表附注!E74</f>
        <v>银行承兑汇票</v>
      </c>
      <c r="C119" s="2260">
        <f>报表附注!G74</f>
        <v>0</v>
      </c>
      <c r="D119" s="2252" t="b">
        <f t="shared" si="5"/>
        <v>1</v>
      </c>
    </row>
    <row r="120" spans="1:4">
      <c r="A120" s="2252" t="s">
        <v>394</v>
      </c>
      <c r="B120" s="2253" t="str">
        <f>报表附注!E75</f>
        <v>商业承兑汇票</v>
      </c>
      <c r="C120" s="2260">
        <f>报表附注!G75</f>
        <v>0</v>
      </c>
      <c r="D120" s="2252" t="b">
        <f t="shared" si="5"/>
        <v>1</v>
      </c>
    </row>
    <row r="121" spans="1:4">
      <c r="A121" s="2252" t="s">
        <v>2021</v>
      </c>
      <c r="B121" s="2263" t="str">
        <f>报表附注!E76</f>
        <v>合计</v>
      </c>
      <c r="C121" s="2260">
        <f>报表附注!G76</f>
        <v>0</v>
      </c>
      <c r="D121" s="2252" t="b">
        <f t="shared" si="5"/>
        <v>1</v>
      </c>
    </row>
    <row r="122" spans="1:4">
      <c r="A122" s="2252" t="s">
        <v>316</v>
      </c>
      <c r="B122" s="2271" t="s">
        <v>316</v>
      </c>
      <c r="D122" s="2252" t="b">
        <f t="shared" si="5"/>
        <v>1</v>
      </c>
    </row>
    <row r="123" spans="1:4">
      <c r="A123" s="2252" t="s">
        <v>392</v>
      </c>
      <c r="B123" s="2253" t="str">
        <f>报表附注!E74</f>
        <v>银行承兑汇票</v>
      </c>
      <c r="C123" s="2260">
        <f>报表附注!F74</f>
        <v>0</v>
      </c>
      <c r="D123" s="2252" t="b">
        <f t="shared" si="5"/>
        <v>1</v>
      </c>
    </row>
    <row r="124" spans="1:4">
      <c r="A124" s="2252" t="s">
        <v>394</v>
      </c>
      <c r="B124" s="2253" t="str">
        <f>报表附注!E75</f>
        <v>商业承兑汇票</v>
      </c>
      <c r="C124" s="2260">
        <f>报表附注!F75</f>
        <v>0</v>
      </c>
      <c r="D124" s="2252" t="b">
        <f t="shared" si="5"/>
        <v>1</v>
      </c>
    </row>
    <row r="125" spans="1:4">
      <c r="A125" s="2252" t="s">
        <v>2021</v>
      </c>
      <c r="B125" s="2263" t="str">
        <f>报表附注!E76</f>
        <v>合计</v>
      </c>
      <c r="C125" s="2260">
        <f>报表附注!F76</f>
        <v>0</v>
      </c>
      <c r="D125" s="2252" t="b">
        <f t="shared" si="5"/>
        <v>1</v>
      </c>
    </row>
    <row r="126" spans="4:4">
      <c r="D126" s="2252" t="b">
        <f t="shared" si="5"/>
        <v>1</v>
      </c>
    </row>
    <row r="127" spans="1:4">
      <c r="A127" s="2252" t="s">
        <v>2022</v>
      </c>
      <c r="B127" s="2272" t="s">
        <v>2023</v>
      </c>
      <c r="D127" s="2252" t="b">
        <f t="shared" si="5"/>
        <v>1</v>
      </c>
    </row>
    <row r="128" spans="4:4">
      <c r="D128" s="2252" t="b">
        <f t="shared" si="5"/>
        <v>1</v>
      </c>
    </row>
    <row r="129" spans="4:4">
      <c r="D129" s="2252" t="b">
        <f t="shared" si="5"/>
        <v>1</v>
      </c>
    </row>
    <row r="130" spans="1:4">
      <c r="A130" s="2252" t="s">
        <v>2024</v>
      </c>
      <c r="B130" s="2272" t="s">
        <v>2024</v>
      </c>
      <c r="D130" s="2252" t="b">
        <f t="shared" si="5"/>
        <v>1</v>
      </c>
    </row>
    <row r="131" spans="4:4">
      <c r="D131" s="2252" t="b">
        <f t="shared" si="5"/>
        <v>1</v>
      </c>
    </row>
    <row r="132" spans="4:4">
      <c r="D132" s="2252" t="b">
        <f t="shared" si="5"/>
        <v>1</v>
      </c>
    </row>
    <row r="133" spans="1:4">
      <c r="A133" s="2252" t="s">
        <v>2025</v>
      </c>
      <c r="B133" s="2270" t="s">
        <v>2025</v>
      </c>
      <c r="D133" s="2252" t="b">
        <f t="shared" si="5"/>
        <v>1</v>
      </c>
    </row>
    <row r="134" spans="1:4">
      <c r="A134" s="2252" t="s">
        <v>2020</v>
      </c>
      <c r="B134" s="2271" t="s">
        <v>2020</v>
      </c>
      <c r="D134" s="2252" t="b">
        <f t="shared" si="5"/>
        <v>1</v>
      </c>
    </row>
    <row r="135" spans="1:4">
      <c r="A135" s="2252" t="s">
        <v>2026</v>
      </c>
      <c r="B135" s="2253" t="str">
        <f>报表附注!E199</f>
        <v>1年以内（含1年）</v>
      </c>
      <c r="C135" s="2260">
        <f>报表附注!J199</f>
        <v>22849121.64</v>
      </c>
      <c r="D135" s="2252" t="b">
        <f t="shared" si="5"/>
        <v>1</v>
      </c>
    </row>
    <row r="136" spans="1:4">
      <c r="A136" s="2252" t="s">
        <v>2027</v>
      </c>
      <c r="B136" s="2253" t="str">
        <f>报表附注!E200</f>
        <v>1-2年（含2年）</v>
      </c>
      <c r="C136" s="2260">
        <f>报表附注!J200</f>
        <v>2919521.8</v>
      </c>
      <c r="D136" s="2252" t="b">
        <f t="shared" si="5"/>
        <v>1</v>
      </c>
    </row>
    <row r="137" spans="1:4">
      <c r="A137" s="2252" t="s">
        <v>2028</v>
      </c>
      <c r="B137" s="2253" t="str">
        <f>报表附注!E201</f>
        <v>2-3年（含3年）</v>
      </c>
      <c r="C137" s="2260">
        <f>报表附注!J201</f>
        <v>858676.77</v>
      </c>
      <c r="D137" s="2252" t="b">
        <f t="shared" si="5"/>
        <v>1</v>
      </c>
    </row>
    <row r="138" spans="1:4">
      <c r="A138" s="2252" t="s">
        <v>2029</v>
      </c>
      <c r="B138" s="2253" t="str">
        <f>报表附注!E202</f>
        <v>3-4年（含4年）</v>
      </c>
      <c r="C138" s="2260">
        <f>报表附注!J202</f>
        <v>2231474</v>
      </c>
      <c r="D138" s="2252" t="b">
        <f t="shared" si="5"/>
        <v>1</v>
      </c>
    </row>
    <row r="139" spans="1:4">
      <c r="A139" s="2252" t="s">
        <v>2030</v>
      </c>
      <c r="B139" s="2253" t="str">
        <f>报表附注!E203</f>
        <v>4-5年（含5年）</v>
      </c>
      <c r="C139" s="2260">
        <f>报表附注!J203</f>
        <v>0</v>
      </c>
      <c r="D139" s="2252" t="b">
        <f t="shared" si="5"/>
        <v>1</v>
      </c>
    </row>
    <row r="140" spans="1:4">
      <c r="A140" s="2252" t="s">
        <v>2031</v>
      </c>
      <c r="B140" s="2253" t="str">
        <f>报表附注!E204</f>
        <v>5年以上</v>
      </c>
      <c r="C140" s="2260">
        <f>报表附注!J204</f>
        <v>0</v>
      </c>
      <c r="D140" s="2252" t="b">
        <f t="shared" ref="D140:D203" si="7">EXACT(A140,B140)</f>
        <v>1</v>
      </c>
    </row>
    <row r="141" spans="1:4">
      <c r="A141" s="2252" t="s">
        <v>2021</v>
      </c>
      <c r="B141" s="2263" t="str">
        <f>报表附注!E205</f>
        <v>合计</v>
      </c>
      <c r="C141" s="2260">
        <f>报表附注!J205</f>
        <v>28858794.21</v>
      </c>
      <c r="D141" s="2252" t="b">
        <f t="shared" si="7"/>
        <v>1</v>
      </c>
    </row>
    <row r="142" spans="1:4">
      <c r="A142" s="2252" t="s">
        <v>2032</v>
      </c>
      <c r="B142" s="2273" t="s">
        <v>2032</v>
      </c>
      <c r="D142" s="2252" t="b">
        <f t="shared" si="7"/>
        <v>1</v>
      </c>
    </row>
    <row r="143" spans="1:4">
      <c r="A143" s="2252" t="s">
        <v>2026</v>
      </c>
      <c r="B143" s="2253" t="str">
        <f>报表附注!E199</f>
        <v>1年以内（含1年）</v>
      </c>
      <c r="C143" s="2260">
        <f>报表附注!L199</f>
        <v>1142456.08</v>
      </c>
      <c r="D143" s="2252" t="b">
        <f t="shared" si="7"/>
        <v>1</v>
      </c>
    </row>
    <row r="144" spans="1:4">
      <c r="A144" s="2252" t="s">
        <v>2027</v>
      </c>
      <c r="B144" s="2253" t="str">
        <f>报表附注!E200</f>
        <v>1-2年（含2年）</v>
      </c>
      <c r="C144" s="2260">
        <f>报表附注!L200</f>
        <v>291952.18</v>
      </c>
      <c r="D144" s="2252" t="b">
        <f t="shared" si="7"/>
        <v>1</v>
      </c>
    </row>
    <row r="145" spans="1:4">
      <c r="A145" s="2252" t="s">
        <v>2028</v>
      </c>
      <c r="B145" s="2253" t="str">
        <f>报表附注!E201</f>
        <v>2-3年（含3年）</v>
      </c>
      <c r="C145" s="2260">
        <f>报表附注!L201</f>
        <v>171735.35</v>
      </c>
      <c r="D145" s="2252" t="b">
        <f t="shared" si="7"/>
        <v>1</v>
      </c>
    </row>
    <row r="146" spans="1:4">
      <c r="A146" s="2252" t="s">
        <v>2029</v>
      </c>
      <c r="B146" s="2253" t="str">
        <f>报表附注!E202</f>
        <v>3-4年（含4年）</v>
      </c>
      <c r="C146" s="2260">
        <f>报表附注!L202</f>
        <v>1115737</v>
      </c>
      <c r="D146" s="2252" t="b">
        <f t="shared" si="7"/>
        <v>1</v>
      </c>
    </row>
    <row r="147" spans="1:4">
      <c r="A147" s="2252" t="s">
        <v>2030</v>
      </c>
      <c r="B147" s="2253" t="str">
        <f>报表附注!E203</f>
        <v>4-5年（含5年）</v>
      </c>
      <c r="C147" s="2260">
        <f>报表附注!L203</f>
        <v>0</v>
      </c>
      <c r="D147" s="2252" t="b">
        <f t="shared" si="7"/>
        <v>1</v>
      </c>
    </row>
    <row r="148" spans="1:4">
      <c r="A148" s="2252" t="s">
        <v>2031</v>
      </c>
      <c r="B148" s="2253" t="str">
        <f>报表附注!E204</f>
        <v>5年以上</v>
      </c>
      <c r="C148" s="2260">
        <f>报表附注!L204</f>
        <v>0</v>
      </c>
      <c r="D148" s="2252" t="b">
        <f t="shared" si="7"/>
        <v>1</v>
      </c>
    </row>
    <row r="149" spans="1:4">
      <c r="A149" s="2252" t="s">
        <v>2021</v>
      </c>
      <c r="B149" s="2263" t="str">
        <f>报表附注!E205</f>
        <v>合计</v>
      </c>
      <c r="C149" s="2260">
        <f>报表附注!L205</f>
        <v>2721880.61</v>
      </c>
      <c r="D149" s="2252" t="b">
        <f t="shared" si="7"/>
        <v>1</v>
      </c>
    </row>
    <row r="150" spans="1:4">
      <c r="A150" s="2252" t="s">
        <v>2033</v>
      </c>
      <c r="B150" s="2263" t="s">
        <v>2033</v>
      </c>
      <c r="C150" s="2260">
        <f>C141-C149</f>
        <v>26136913.6</v>
      </c>
      <c r="D150" s="2252" t="b">
        <f t="shared" si="7"/>
        <v>1</v>
      </c>
    </row>
    <row r="151" spans="1:4">
      <c r="A151" s="2252" t="s">
        <v>316</v>
      </c>
      <c r="B151" s="2271" t="s">
        <v>316</v>
      </c>
      <c r="D151" s="2252" t="b">
        <f t="shared" si="7"/>
        <v>1</v>
      </c>
    </row>
    <row r="152" spans="1:4">
      <c r="A152" s="2252" t="s">
        <v>2026</v>
      </c>
      <c r="B152" s="2253" t="str">
        <f>报表附注!E199</f>
        <v>1年以内（含1年）</v>
      </c>
      <c r="C152" s="2260">
        <f>报表附注!F199</f>
        <v>16084404.85</v>
      </c>
      <c r="D152" s="2252" t="b">
        <f t="shared" si="7"/>
        <v>1</v>
      </c>
    </row>
    <row r="153" spans="1:4">
      <c r="A153" s="2252" t="s">
        <v>2027</v>
      </c>
      <c r="B153" s="2253" t="str">
        <f>报表附注!E200</f>
        <v>1-2年（含2年）</v>
      </c>
      <c r="C153" s="2260">
        <f>报表附注!F200</f>
        <v>5273993.5</v>
      </c>
      <c r="D153" s="2252" t="b">
        <f t="shared" si="7"/>
        <v>1</v>
      </c>
    </row>
    <row r="154" spans="1:4">
      <c r="A154" s="2252" t="s">
        <v>2028</v>
      </c>
      <c r="B154" s="2253" t="str">
        <f>报表附注!E201</f>
        <v>2-3年（含3年）</v>
      </c>
      <c r="C154" s="2260">
        <f>报表附注!F201</f>
        <v>974081.8</v>
      </c>
      <c r="D154" s="2252" t="b">
        <f t="shared" si="7"/>
        <v>1</v>
      </c>
    </row>
    <row r="155" spans="1:4">
      <c r="A155" s="2252" t="s">
        <v>2029</v>
      </c>
      <c r="B155" s="2253" t="str">
        <f>报表附注!E202</f>
        <v>3-4年（含4年）</v>
      </c>
      <c r="C155" s="2260">
        <f>报表附注!F202</f>
        <v>658676.77</v>
      </c>
      <c r="D155" s="2252" t="b">
        <f t="shared" si="7"/>
        <v>1</v>
      </c>
    </row>
    <row r="156" spans="1:4">
      <c r="A156" s="2252" t="s">
        <v>2030</v>
      </c>
      <c r="B156" s="2253" t="str">
        <f>报表附注!E203</f>
        <v>4-5年（含5年）</v>
      </c>
      <c r="C156" s="2260">
        <f>报表附注!F203</f>
        <v>2231474</v>
      </c>
      <c r="D156" s="2252" t="b">
        <f t="shared" si="7"/>
        <v>1</v>
      </c>
    </row>
    <row r="157" spans="1:4">
      <c r="A157" s="2252" t="s">
        <v>2031</v>
      </c>
      <c r="B157" s="2253" t="str">
        <f>报表附注!E204</f>
        <v>5年以上</v>
      </c>
      <c r="C157" s="2260">
        <f>报表附注!F204</f>
        <v>0</v>
      </c>
      <c r="D157" s="2252" t="b">
        <f t="shared" si="7"/>
        <v>1</v>
      </c>
    </row>
    <row r="158" spans="1:4">
      <c r="A158" s="2252" t="s">
        <v>2021</v>
      </c>
      <c r="B158" s="2263" t="str">
        <f>报表附注!E205</f>
        <v>合计</v>
      </c>
      <c r="C158" s="2260">
        <f>报表附注!F205</f>
        <v>25222630.92</v>
      </c>
      <c r="D158" s="2252" t="b">
        <f t="shared" si="7"/>
        <v>1</v>
      </c>
    </row>
    <row r="159" spans="1:4">
      <c r="A159" s="2252" t="s">
        <v>2034</v>
      </c>
      <c r="B159" s="2273" t="s">
        <v>2034</v>
      </c>
      <c r="D159" s="2252" t="b">
        <f t="shared" si="7"/>
        <v>1</v>
      </c>
    </row>
    <row r="160" spans="1:4">
      <c r="A160" s="2252" t="s">
        <v>2026</v>
      </c>
      <c r="B160" s="2253" t="str">
        <f>报表附注!E199</f>
        <v>1年以内（含1年）</v>
      </c>
      <c r="C160" s="2260">
        <f>报表附注!H199</f>
        <v>804220.24</v>
      </c>
      <c r="D160" s="2252" t="b">
        <f t="shared" si="7"/>
        <v>1</v>
      </c>
    </row>
    <row r="161" spans="1:4">
      <c r="A161" s="2252" t="s">
        <v>2027</v>
      </c>
      <c r="B161" s="2253" t="str">
        <f>报表附注!E200</f>
        <v>1-2年（含2年）</v>
      </c>
      <c r="C161" s="2260">
        <f>报表附注!H200</f>
        <v>527399.35</v>
      </c>
      <c r="D161" s="2252" t="b">
        <f t="shared" si="7"/>
        <v>1</v>
      </c>
    </row>
    <row r="162" spans="1:4">
      <c r="A162" s="2252" t="s">
        <v>2028</v>
      </c>
      <c r="B162" s="2253" t="str">
        <f>报表附注!E201</f>
        <v>2-3年（含3年）</v>
      </c>
      <c r="C162" s="2260">
        <f>报表附注!H201</f>
        <v>194816.36</v>
      </c>
      <c r="D162" s="2252" t="b">
        <f t="shared" si="7"/>
        <v>1</v>
      </c>
    </row>
    <row r="163" spans="1:4">
      <c r="A163" s="2252" t="s">
        <v>2029</v>
      </c>
      <c r="B163" s="2253" t="str">
        <f>报表附注!E202</f>
        <v>3-4年（含4年）</v>
      </c>
      <c r="C163" s="2260">
        <f>报表附注!H202</f>
        <v>329338.39</v>
      </c>
      <c r="D163" s="2252" t="b">
        <f t="shared" si="7"/>
        <v>1</v>
      </c>
    </row>
    <row r="164" spans="1:4">
      <c r="A164" s="2252" t="s">
        <v>2030</v>
      </c>
      <c r="B164" s="2253" t="str">
        <f>报表附注!E203</f>
        <v>4-5年（含5年）</v>
      </c>
      <c r="C164" s="2260">
        <f>报表附注!H203</f>
        <v>1785179.2</v>
      </c>
      <c r="D164" s="2252" t="b">
        <f t="shared" si="7"/>
        <v>1</v>
      </c>
    </row>
    <row r="165" spans="1:4">
      <c r="A165" s="2252" t="s">
        <v>2031</v>
      </c>
      <c r="B165" s="2253" t="str">
        <f>报表附注!E204</f>
        <v>5年以上</v>
      </c>
      <c r="C165" s="2260">
        <f>报表附注!H204</f>
        <v>0</v>
      </c>
      <c r="D165" s="2252" t="b">
        <f t="shared" si="7"/>
        <v>1</v>
      </c>
    </row>
    <row r="166" spans="1:4">
      <c r="A166" s="2252" t="s">
        <v>2021</v>
      </c>
      <c r="B166" s="2263" t="str">
        <f>报表附注!E205</f>
        <v>合计</v>
      </c>
      <c r="C166" s="2260">
        <f>报表附注!H205</f>
        <v>3640953.54</v>
      </c>
      <c r="D166" s="2252" t="b">
        <f t="shared" si="7"/>
        <v>1</v>
      </c>
    </row>
    <row r="167" spans="1:4">
      <c r="A167" s="2252" t="s">
        <v>2035</v>
      </c>
      <c r="B167" s="2263" t="s">
        <v>2035</v>
      </c>
      <c r="C167" s="2260">
        <f>C158-C166</f>
        <v>21581677.38</v>
      </c>
      <c r="D167" s="2252" t="b">
        <f t="shared" si="7"/>
        <v>1</v>
      </c>
    </row>
    <row r="168" spans="4:4">
      <c r="D168" s="2252" t="b">
        <f t="shared" si="7"/>
        <v>1</v>
      </c>
    </row>
    <row r="169" spans="1:4">
      <c r="A169" s="2252" t="s">
        <v>2020</v>
      </c>
      <c r="B169" s="2271" t="s">
        <v>2020</v>
      </c>
      <c r="D169" s="2252" t="b">
        <f t="shared" si="7"/>
        <v>1</v>
      </c>
    </row>
    <row r="170" spans="1:4">
      <c r="A170" s="2252" t="s">
        <v>2036</v>
      </c>
      <c r="B170" s="2253" t="str">
        <f>报表附注!E211</f>
        <v>单项金额重大并单项计提坏账准备的的应收账款</v>
      </c>
      <c r="C170" s="2260">
        <f>报表附注!J211</f>
        <v>0</v>
      </c>
      <c r="D170" s="2252" t="b">
        <f t="shared" si="7"/>
        <v>1</v>
      </c>
    </row>
    <row r="171" spans="1:4">
      <c r="A171" s="2252" t="s">
        <v>2037</v>
      </c>
      <c r="B171" s="2253" t="str">
        <f>报表附注!E212</f>
        <v>按组合（账龄分析法）计提坏账准备的应收账款</v>
      </c>
      <c r="C171" s="2260">
        <f>报表附注!J212</f>
        <v>28858794.21</v>
      </c>
      <c r="D171" s="2252" t="b">
        <f t="shared" si="7"/>
        <v>1</v>
      </c>
    </row>
    <row r="172" spans="1:4">
      <c r="A172" s="2252" t="s">
        <v>2038</v>
      </c>
      <c r="B172" s="2253" t="str">
        <f>报表附注!E213</f>
        <v>单项金额虽不重大但单项计提坏账准备的应收账款</v>
      </c>
      <c r="C172" s="2260">
        <f>报表附注!J213</f>
        <v>0</v>
      </c>
      <c r="D172" s="2252" t="b">
        <f t="shared" si="7"/>
        <v>1</v>
      </c>
    </row>
    <row r="173" spans="1:4">
      <c r="A173" s="2252" t="s">
        <v>2021</v>
      </c>
      <c r="B173" s="2263" t="str">
        <f>报表附注!E214</f>
        <v>合计</v>
      </c>
      <c r="C173" s="2260">
        <f>报表附注!J214</f>
        <v>28858794.21</v>
      </c>
      <c r="D173" s="2252" t="b">
        <f t="shared" si="7"/>
        <v>1</v>
      </c>
    </row>
    <row r="174" spans="1:4">
      <c r="A174" s="2252" t="s">
        <v>2032</v>
      </c>
      <c r="B174" s="2273" t="s">
        <v>2032</v>
      </c>
      <c r="D174" s="2252" t="b">
        <f t="shared" si="7"/>
        <v>1</v>
      </c>
    </row>
    <row r="175" spans="1:4">
      <c r="A175" s="2252" t="s">
        <v>2036</v>
      </c>
      <c r="B175" s="2253" t="str">
        <f>报表附注!E211</f>
        <v>单项金额重大并单项计提坏账准备的的应收账款</v>
      </c>
      <c r="C175" s="2260">
        <f>报表附注!L211</f>
        <v>0</v>
      </c>
      <c r="D175" s="2252" t="b">
        <f t="shared" si="7"/>
        <v>1</v>
      </c>
    </row>
    <row r="176" spans="1:4">
      <c r="A176" s="2252" t="s">
        <v>2037</v>
      </c>
      <c r="B176" s="2253" t="str">
        <f>报表附注!E212</f>
        <v>按组合（账龄分析法）计提坏账准备的应收账款</v>
      </c>
      <c r="C176" s="2260">
        <f>报表附注!L212</f>
        <v>2721880.61</v>
      </c>
      <c r="D176" s="2252" t="b">
        <f t="shared" si="7"/>
        <v>1</v>
      </c>
    </row>
    <row r="177" spans="1:4">
      <c r="A177" s="2252" t="s">
        <v>2038</v>
      </c>
      <c r="B177" s="2253" t="str">
        <f>报表附注!E213</f>
        <v>单项金额虽不重大但单项计提坏账准备的应收账款</v>
      </c>
      <c r="C177" s="2260">
        <f>报表附注!L213</f>
        <v>0</v>
      </c>
      <c r="D177" s="2252" t="b">
        <f t="shared" si="7"/>
        <v>1</v>
      </c>
    </row>
    <row r="178" spans="1:4">
      <c r="A178" s="2252" t="s">
        <v>2021</v>
      </c>
      <c r="B178" s="2263" t="str">
        <f>报表附注!E214</f>
        <v>合计</v>
      </c>
      <c r="C178" s="2260">
        <f>报表附注!L214</f>
        <v>2721880.61</v>
      </c>
      <c r="D178" s="2252" t="b">
        <f t="shared" si="7"/>
        <v>1</v>
      </c>
    </row>
    <row r="179" spans="1:4">
      <c r="A179" s="2252" t="s">
        <v>316</v>
      </c>
      <c r="B179" s="2271" t="s">
        <v>316</v>
      </c>
      <c r="D179" s="2252" t="b">
        <f t="shared" si="7"/>
        <v>1</v>
      </c>
    </row>
    <row r="180" spans="1:4">
      <c r="A180" s="2252" t="s">
        <v>2036</v>
      </c>
      <c r="B180" s="2253" t="str">
        <f>报表附注!E211</f>
        <v>单项金额重大并单项计提坏账准备的的应收账款</v>
      </c>
      <c r="C180" s="2260">
        <f>报表附注!F211</f>
        <v>0</v>
      </c>
      <c r="D180" s="2252" t="b">
        <f t="shared" si="7"/>
        <v>1</v>
      </c>
    </row>
    <row r="181" spans="1:4">
      <c r="A181" s="2252" t="s">
        <v>2037</v>
      </c>
      <c r="B181" s="2253" t="str">
        <f>报表附注!E212</f>
        <v>按组合（账龄分析法）计提坏账准备的应收账款</v>
      </c>
      <c r="C181" s="2260">
        <f>报表附注!F212</f>
        <v>25222630.92</v>
      </c>
      <c r="D181" s="2252" t="b">
        <f t="shared" si="7"/>
        <v>1</v>
      </c>
    </row>
    <row r="182" spans="1:4">
      <c r="A182" s="2252" t="s">
        <v>2038</v>
      </c>
      <c r="B182" s="2253" t="str">
        <f>报表附注!E213</f>
        <v>单项金额虽不重大但单项计提坏账准备的应收账款</v>
      </c>
      <c r="C182" s="2260">
        <f>报表附注!F213</f>
        <v>0</v>
      </c>
      <c r="D182" s="2252" t="b">
        <f t="shared" si="7"/>
        <v>1</v>
      </c>
    </row>
    <row r="183" spans="1:4">
      <c r="A183" s="2252" t="s">
        <v>2021</v>
      </c>
      <c r="B183" s="2263" t="str">
        <f>报表附注!E214</f>
        <v>合计</v>
      </c>
      <c r="C183" s="2260">
        <f>报表附注!F214</f>
        <v>25222630.92</v>
      </c>
      <c r="D183" s="2252" t="b">
        <f t="shared" si="7"/>
        <v>1</v>
      </c>
    </row>
    <row r="184" spans="1:4">
      <c r="A184" s="2252" t="s">
        <v>2034</v>
      </c>
      <c r="B184" s="2273" t="s">
        <v>2034</v>
      </c>
      <c r="D184" s="2252" t="b">
        <f t="shared" si="7"/>
        <v>1</v>
      </c>
    </row>
    <row r="185" spans="1:4">
      <c r="A185" s="2252" t="s">
        <v>2036</v>
      </c>
      <c r="B185" s="2253" t="str">
        <f>报表附注!E211</f>
        <v>单项金额重大并单项计提坏账准备的的应收账款</v>
      </c>
      <c r="C185" s="2260">
        <f>报表附注!H211</f>
        <v>0</v>
      </c>
      <c r="D185" s="2252" t="b">
        <f t="shared" si="7"/>
        <v>1</v>
      </c>
    </row>
    <row r="186" spans="1:4">
      <c r="A186" s="2252" t="s">
        <v>2037</v>
      </c>
      <c r="B186" s="2253" t="str">
        <f>报表附注!E212</f>
        <v>按组合（账龄分析法）计提坏账准备的应收账款</v>
      </c>
      <c r="C186" s="2260">
        <f>报表附注!H212</f>
        <v>3640953.54</v>
      </c>
      <c r="D186" s="2252" t="b">
        <f t="shared" si="7"/>
        <v>1</v>
      </c>
    </row>
    <row r="187" spans="1:4">
      <c r="A187" s="2252" t="s">
        <v>2038</v>
      </c>
      <c r="B187" s="2253" t="str">
        <f>报表附注!E213</f>
        <v>单项金额虽不重大但单项计提坏账准备的应收账款</v>
      </c>
      <c r="C187" s="2260">
        <f>报表附注!H213</f>
        <v>0</v>
      </c>
      <c r="D187" s="2252" t="b">
        <f t="shared" si="7"/>
        <v>1</v>
      </c>
    </row>
    <row r="188" spans="1:4">
      <c r="A188" s="2252" t="s">
        <v>2021</v>
      </c>
      <c r="B188" s="2263" t="str">
        <f>报表附注!E214</f>
        <v>合计</v>
      </c>
      <c r="C188" s="2260">
        <f>报表附注!H214</f>
        <v>3640953.54</v>
      </c>
      <c r="D188" s="2252" t="b">
        <f t="shared" si="7"/>
        <v>1</v>
      </c>
    </row>
    <row r="189" spans="2:4">
      <c r="B189" s="2274"/>
      <c r="D189" s="2252" t="b">
        <f t="shared" si="7"/>
        <v>1</v>
      </c>
    </row>
    <row r="190" spans="1:4">
      <c r="A190" s="2252" t="s">
        <v>2039</v>
      </c>
      <c r="B190" s="2275" t="s">
        <v>2039</v>
      </c>
      <c r="D190" s="2252" t="b">
        <f t="shared" si="7"/>
        <v>1</v>
      </c>
    </row>
    <row r="191" spans="1:4">
      <c r="A191" s="2252" t="s">
        <v>2020</v>
      </c>
      <c r="B191" s="2276" t="s">
        <v>2020</v>
      </c>
      <c r="D191" s="2252" t="b">
        <f t="shared" si="7"/>
        <v>1</v>
      </c>
    </row>
    <row r="192" spans="1:4">
      <c r="A192" s="2252" t="s">
        <v>2026</v>
      </c>
      <c r="B192" s="2277" t="str">
        <f>报表附注!E322</f>
        <v>1年以内（含1年）</v>
      </c>
      <c r="C192" s="2260">
        <f>报表附注!J322</f>
        <v>22849121.64</v>
      </c>
      <c r="D192" s="2252" t="b">
        <f t="shared" si="7"/>
        <v>1</v>
      </c>
    </row>
    <row r="193" spans="1:4">
      <c r="A193" s="2252" t="s">
        <v>2027</v>
      </c>
      <c r="B193" s="2277" t="str">
        <f>报表附注!E323</f>
        <v>1-2年（含2年）</v>
      </c>
      <c r="C193" s="2260">
        <f>报表附注!J323</f>
        <v>2919521.8</v>
      </c>
      <c r="D193" s="2252" t="b">
        <f t="shared" si="7"/>
        <v>1</v>
      </c>
    </row>
    <row r="194" spans="1:4">
      <c r="A194" s="2252" t="s">
        <v>2028</v>
      </c>
      <c r="B194" s="2277" t="str">
        <f>报表附注!E324</f>
        <v>2-3年（含3年）</v>
      </c>
      <c r="C194" s="2260">
        <f>报表附注!J324</f>
        <v>858676.77</v>
      </c>
      <c r="D194" s="2252" t="b">
        <f t="shared" si="7"/>
        <v>1</v>
      </c>
    </row>
    <row r="195" spans="1:4">
      <c r="A195" s="2252" t="s">
        <v>2029</v>
      </c>
      <c r="B195" s="2277" t="str">
        <f>报表附注!E325</f>
        <v>3-4年（含4年）</v>
      </c>
      <c r="C195" s="2260">
        <f>报表附注!J325</f>
        <v>2231474</v>
      </c>
      <c r="D195" s="2252" t="b">
        <f t="shared" si="7"/>
        <v>1</v>
      </c>
    </row>
    <row r="196" spans="1:4">
      <c r="A196" s="2252" t="s">
        <v>2030</v>
      </c>
      <c r="B196" s="2277" t="str">
        <f>报表附注!E326</f>
        <v>4-5年（含5年）</v>
      </c>
      <c r="C196" s="2260">
        <f>报表附注!J326</f>
        <v>0</v>
      </c>
      <c r="D196" s="2252" t="b">
        <f t="shared" si="7"/>
        <v>1</v>
      </c>
    </row>
    <row r="197" spans="1:4">
      <c r="A197" s="2252" t="s">
        <v>2031</v>
      </c>
      <c r="B197" s="2277" t="str">
        <f>报表附注!E327</f>
        <v>5年以上</v>
      </c>
      <c r="C197" s="2260">
        <f>报表附注!J327</f>
        <v>0</v>
      </c>
      <c r="D197" s="2252" t="b">
        <f t="shared" si="7"/>
        <v>1</v>
      </c>
    </row>
    <row r="198" spans="1:4">
      <c r="A198" s="2252" t="s">
        <v>2021</v>
      </c>
      <c r="B198" s="2278" t="str">
        <f>报表附注!E328</f>
        <v>合计</v>
      </c>
      <c r="C198" s="2260">
        <f>报表附注!J328</f>
        <v>28858794.21</v>
      </c>
      <c r="D198" s="2252" t="b">
        <f t="shared" si="7"/>
        <v>1</v>
      </c>
    </row>
    <row r="199" spans="1:4">
      <c r="A199" s="2252" t="s">
        <v>2032</v>
      </c>
      <c r="B199" s="2279" t="s">
        <v>2032</v>
      </c>
      <c r="D199" s="2252" t="b">
        <f t="shared" si="7"/>
        <v>1</v>
      </c>
    </row>
    <row r="200" spans="1:4">
      <c r="A200" s="2252" t="s">
        <v>2026</v>
      </c>
      <c r="B200" s="2277" t="str">
        <f>报表附注!E322</f>
        <v>1年以内（含1年）</v>
      </c>
      <c r="C200" s="2260">
        <f>报表附注!L322</f>
        <v>1142456.08</v>
      </c>
      <c r="D200" s="2252" t="b">
        <f t="shared" si="7"/>
        <v>1</v>
      </c>
    </row>
    <row r="201" spans="1:4">
      <c r="A201" s="2252" t="s">
        <v>2027</v>
      </c>
      <c r="B201" s="2277" t="str">
        <f>报表附注!E323</f>
        <v>1-2年（含2年）</v>
      </c>
      <c r="C201" s="2260">
        <f>报表附注!L323</f>
        <v>291952.18</v>
      </c>
      <c r="D201" s="2252" t="b">
        <f t="shared" si="7"/>
        <v>1</v>
      </c>
    </row>
    <row r="202" spans="1:4">
      <c r="A202" s="2252" t="s">
        <v>2028</v>
      </c>
      <c r="B202" s="2277" t="str">
        <f>报表附注!E324</f>
        <v>2-3年（含3年）</v>
      </c>
      <c r="C202" s="2260">
        <f>报表附注!L324</f>
        <v>171735.35</v>
      </c>
      <c r="D202" s="2252" t="b">
        <f t="shared" si="7"/>
        <v>1</v>
      </c>
    </row>
    <row r="203" spans="1:4">
      <c r="A203" s="2252" t="s">
        <v>2029</v>
      </c>
      <c r="B203" s="2277" t="str">
        <f>报表附注!E325</f>
        <v>3-4年（含4年）</v>
      </c>
      <c r="C203" s="2260">
        <f>报表附注!L325</f>
        <v>1115737</v>
      </c>
      <c r="D203" s="2252" t="b">
        <f t="shared" si="7"/>
        <v>1</v>
      </c>
    </row>
    <row r="204" spans="1:4">
      <c r="A204" s="2252" t="s">
        <v>2030</v>
      </c>
      <c r="B204" s="2277" t="str">
        <f>报表附注!E326</f>
        <v>4-5年（含5年）</v>
      </c>
      <c r="C204" s="2260">
        <f>报表附注!L326</f>
        <v>0</v>
      </c>
      <c r="D204" s="2252" t="b">
        <f t="shared" ref="D204:D267" si="8">EXACT(A204,B204)</f>
        <v>1</v>
      </c>
    </row>
    <row r="205" spans="1:4">
      <c r="A205" s="2252" t="s">
        <v>2031</v>
      </c>
      <c r="B205" s="2277" t="str">
        <f>报表附注!E327</f>
        <v>5年以上</v>
      </c>
      <c r="C205" s="2260">
        <f>报表附注!L327</f>
        <v>0</v>
      </c>
      <c r="D205" s="2252" t="b">
        <f t="shared" si="8"/>
        <v>1</v>
      </c>
    </row>
    <row r="206" spans="1:4">
      <c r="A206" s="2252" t="s">
        <v>2021</v>
      </c>
      <c r="B206" s="2278" t="str">
        <f>报表附注!E328</f>
        <v>合计</v>
      </c>
      <c r="C206" s="2260">
        <f>报表附注!L328</f>
        <v>2721880.61</v>
      </c>
      <c r="D206" s="2252" t="b">
        <f t="shared" si="8"/>
        <v>1</v>
      </c>
    </row>
    <row r="207" spans="1:4">
      <c r="A207" s="2252" t="s">
        <v>316</v>
      </c>
      <c r="B207" s="2276" t="s">
        <v>316</v>
      </c>
      <c r="D207" s="2252" t="b">
        <f t="shared" si="8"/>
        <v>1</v>
      </c>
    </row>
    <row r="208" spans="1:4">
      <c r="A208" s="2252" t="s">
        <v>2026</v>
      </c>
      <c r="B208" s="2277" t="str">
        <f>报表附注!E322</f>
        <v>1年以内（含1年）</v>
      </c>
      <c r="C208" s="2260">
        <f>报表附注!F322</f>
        <v>16084404.85</v>
      </c>
      <c r="D208" s="2252" t="b">
        <f t="shared" si="8"/>
        <v>1</v>
      </c>
    </row>
    <row r="209" spans="1:4">
      <c r="A209" s="2252" t="s">
        <v>2027</v>
      </c>
      <c r="B209" s="2277" t="str">
        <f>报表附注!E323</f>
        <v>1-2年（含2年）</v>
      </c>
      <c r="C209" s="2260">
        <f>报表附注!F323</f>
        <v>5273993.5</v>
      </c>
      <c r="D209" s="2252" t="b">
        <f t="shared" si="8"/>
        <v>1</v>
      </c>
    </row>
    <row r="210" spans="1:4">
      <c r="A210" s="2252" t="s">
        <v>2028</v>
      </c>
      <c r="B210" s="2277" t="str">
        <f>报表附注!E324</f>
        <v>2-3年（含3年）</v>
      </c>
      <c r="C210" s="2260">
        <f>报表附注!F324</f>
        <v>974081.8</v>
      </c>
      <c r="D210" s="2252" t="b">
        <f t="shared" si="8"/>
        <v>1</v>
      </c>
    </row>
    <row r="211" spans="1:4">
      <c r="A211" s="2252" t="s">
        <v>2029</v>
      </c>
      <c r="B211" s="2277" t="str">
        <f>报表附注!E325</f>
        <v>3-4年（含4年）</v>
      </c>
      <c r="C211" s="2260">
        <f>报表附注!F325</f>
        <v>658676.77</v>
      </c>
      <c r="D211" s="2252" t="b">
        <f t="shared" si="8"/>
        <v>1</v>
      </c>
    </row>
    <row r="212" spans="1:4">
      <c r="A212" s="2252" t="s">
        <v>2030</v>
      </c>
      <c r="B212" s="2277" t="str">
        <f>报表附注!E326</f>
        <v>4-5年（含5年）</v>
      </c>
      <c r="C212" s="2260">
        <f>报表附注!F326</f>
        <v>2231474</v>
      </c>
      <c r="D212" s="2252" t="b">
        <f t="shared" si="8"/>
        <v>1</v>
      </c>
    </row>
    <row r="213" spans="1:4">
      <c r="A213" s="2252" t="s">
        <v>2031</v>
      </c>
      <c r="B213" s="2277" t="str">
        <f>报表附注!E327</f>
        <v>5年以上</v>
      </c>
      <c r="C213" s="2260">
        <f>报表附注!F327</f>
        <v>0</v>
      </c>
      <c r="D213" s="2252" t="b">
        <f t="shared" si="8"/>
        <v>1</v>
      </c>
    </row>
    <row r="214" spans="1:4">
      <c r="A214" s="2252" t="s">
        <v>2021</v>
      </c>
      <c r="B214" s="2278" t="str">
        <f>报表附注!E328</f>
        <v>合计</v>
      </c>
      <c r="C214" s="2260">
        <f>报表附注!F328</f>
        <v>25222630.92</v>
      </c>
      <c r="D214" s="2252" t="b">
        <f t="shared" si="8"/>
        <v>1</v>
      </c>
    </row>
    <row r="215" spans="1:4">
      <c r="A215" s="2252" t="s">
        <v>2034</v>
      </c>
      <c r="B215" s="2279" t="s">
        <v>2034</v>
      </c>
      <c r="D215" s="2252" t="b">
        <f t="shared" si="8"/>
        <v>1</v>
      </c>
    </row>
    <row r="216" spans="1:4">
      <c r="A216" s="2252" t="s">
        <v>2026</v>
      </c>
      <c r="B216" s="2277" t="str">
        <f>报表附注!E322</f>
        <v>1年以内（含1年）</v>
      </c>
      <c r="C216" s="2260">
        <f>报表附注!H322</f>
        <v>804220.24</v>
      </c>
      <c r="D216" s="2252" t="b">
        <f t="shared" si="8"/>
        <v>1</v>
      </c>
    </row>
    <row r="217" spans="1:4">
      <c r="A217" s="2252" t="s">
        <v>2027</v>
      </c>
      <c r="B217" s="2277" t="str">
        <f>报表附注!E323</f>
        <v>1-2年（含2年）</v>
      </c>
      <c r="C217" s="2260">
        <f>报表附注!H323</f>
        <v>527399.35</v>
      </c>
      <c r="D217" s="2252" t="b">
        <f t="shared" si="8"/>
        <v>1</v>
      </c>
    </row>
    <row r="218" spans="1:4">
      <c r="A218" s="2252" t="s">
        <v>2028</v>
      </c>
      <c r="B218" s="2277" t="str">
        <f>报表附注!E324</f>
        <v>2-3年（含3年）</v>
      </c>
      <c r="C218" s="2260">
        <f>报表附注!H324</f>
        <v>194816.36</v>
      </c>
      <c r="D218" s="2252" t="b">
        <f t="shared" si="8"/>
        <v>1</v>
      </c>
    </row>
    <row r="219" spans="1:4">
      <c r="A219" s="2252" t="s">
        <v>2029</v>
      </c>
      <c r="B219" s="2277" t="str">
        <f>报表附注!E325</f>
        <v>3-4年（含4年）</v>
      </c>
      <c r="C219" s="2260">
        <f>报表附注!H325</f>
        <v>329338.39</v>
      </c>
      <c r="D219" s="2252" t="b">
        <f t="shared" si="8"/>
        <v>1</v>
      </c>
    </row>
    <row r="220" spans="1:4">
      <c r="A220" s="2252" t="s">
        <v>2030</v>
      </c>
      <c r="B220" s="2277" t="str">
        <f>报表附注!E326</f>
        <v>4-5年（含5年）</v>
      </c>
      <c r="C220" s="2260">
        <f>报表附注!H326</f>
        <v>1785179.2</v>
      </c>
      <c r="D220" s="2252" t="b">
        <f t="shared" si="8"/>
        <v>1</v>
      </c>
    </row>
    <row r="221" spans="1:4">
      <c r="A221" s="2252" t="s">
        <v>2031</v>
      </c>
      <c r="B221" s="2277" t="str">
        <f>报表附注!E327</f>
        <v>5年以上</v>
      </c>
      <c r="C221" s="2260">
        <f>报表附注!H327</f>
        <v>0</v>
      </c>
      <c r="D221" s="2252" t="b">
        <f t="shared" si="8"/>
        <v>1</v>
      </c>
    </row>
    <row r="222" spans="1:4">
      <c r="A222" s="2252" t="s">
        <v>2021</v>
      </c>
      <c r="B222" s="2278" t="str">
        <f>报表附注!E328</f>
        <v>合计</v>
      </c>
      <c r="C222" s="2260">
        <f>报表附注!H328</f>
        <v>3640953.54</v>
      </c>
      <c r="D222" s="2252" t="b">
        <f t="shared" si="8"/>
        <v>1</v>
      </c>
    </row>
    <row r="223" spans="2:4">
      <c r="B223" s="2274"/>
      <c r="D223" s="2252" t="b">
        <f t="shared" si="8"/>
        <v>1</v>
      </c>
    </row>
    <row r="224" spans="1:4">
      <c r="A224" s="2252" t="s">
        <v>2040</v>
      </c>
      <c r="B224" s="2270" t="s">
        <v>2040</v>
      </c>
      <c r="D224" s="2252" t="b">
        <f t="shared" si="8"/>
        <v>1</v>
      </c>
    </row>
    <row r="225" spans="1:4">
      <c r="A225" s="2252" t="s">
        <v>2020</v>
      </c>
      <c r="B225" s="2271" t="s">
        <v>2020</v>
      </c>
      <c r="D225" s="2252" t="b">
        <f t="shared" si="8"/>
        <v>1</v>
      </c>
    </row>
    <row r="226" spans="1:4">
      <c r="A226" s="2252" t="s">
        <v>2041</v>
      </c>
      <c r="B226" s="2253" t="str">
        <f>报表附注!E502</f>
        <v>1年以内(含1年)</v>
      </c>
      <c r="C226" s="2260">
        <f>报表附注!H502</f>
        <v>2076981.42</v>
      </c>
      <c r="D226" s="2252" t="b">
        <f t="shared" si="8"/>
        <v>1</v>
      </c>
    </row>
    <row r="227" spans="1:4">
      <c r="A227" s="2252" t="s">
        <v>2042</v>
      </c>
      <c r="B227" s="2253" t="str">
        <f>报表附注!E503</f>
        <v>1-2年(含2年)</v>
      </c>
      <c r="C227" s="2260">
        <f>报表附注!H503</f>
        <v>0</v>
      </c>
      <c r="D227" s="2252" t="b">
        <f t="shared" si="8"/>
        <v>1</v>
      </c>
    </row>
    <row r="228" spans="1:4">
      <c r="A228" s="2252" t="s">
        <v>2043</v>
      </c>
      <c r="B228" s="2253" t="str">
        <f>报表附注!E504</f>
        <v>2-3年(含3年)</v>
      </c>
      <c r="C228" s="2260">
        <f>报表附注!H504</f>
        <v>19800</v>
      </c>
      <c r="D228" s="2252" t="b">
        <f t="shared" si="8"/>
        <v>1</v>
      </c>
    </row>
    <row r="229" spans="1:4">
      <c r="A229" s="2252" t="s">
        <v>2044</v>
      </c>
      <c r="B229" s="2253" t="str">
        <f>报表附注!E505</f>
        <v>3年以上 </v>
      </c>
      <c r="C229" s="2260">
        <f>报表附注!H505</f>
        <v>0</v>
      </c>
      <c r="D229" s="2252" t="b">
        <f t="shared" si="8"/>
        <v>1</v>
      </c>
    </row>
    <row r="230" spans="1:4">
      <c r="A230" s="2252" t="s">
        <v>2021</v>
      </c>
      <c r="B230" s="2263" t="str">
        <f>报表附注!E506</f>
        <v>合计</v>
      </c>
      <c r="C230" s="2260">
        <f>报表附注!H506</f>
        <v>2096781.42</v>
      </c>
      <c r="D230" s="2252" t="b">
        <f t="shared" si="8"/>
        <v>1</v>
      </c>
    </row>
    <row r="231" spans="1:4">
      <c r="A231" s="2252" t="s">
        <v>316</v>
      </c>
      <c r="B231" s="2271" t="s">
        <v>316</v>
      </c>
      <c r="D231" s="2252" t="b">
        <f t="shared" si="8"/>
        <v>1</v>
      </c>
    </row>
    <row r="232" spans="1:4">
      <c r="A232" s="2252" t="s">
        <v>2041</v>
      </c>
      <c r="B232" s="2253" t="str">
        <f>报表附注!E502</f>
        <v>1年以内(含1年)</v>
      </c>
      <c r="C232" s="2260">
        <f>报表附注!F502</f>
        <v>1558414.99</v>
      </c>
      <c r="D232" s="2252" t="b">
        <f t="shared" si="8"/>
        <v>1</v>
      </c>
    </row>
    <row r="233" spans="1:4">
      <c r="A233" s="2252" t="s">
        <v>2042</v>
      </c>
      <c r="B233" s="2253" t="str">
        <f>报表附注!E503</f>
        <v>1-2年(含2年)</v>
      </c>
      <c r="C233" s="2260">
        <f>报表附注!F503</f>
        <v>21325</v>
      </c>
      <c r="D233" s="2252" t="b">
        <f t="shared" si="8"/>
        <v>1</v>
      </c>
    </row>
    <row r="234" spans="1:4">
      <c r="A234" s="2252" t="s">
        <v>2043</v>
      </c>
      <c r="B234" s="2253" t="str">
        <f>报表附注!E504</f>
        <v>2-3年(含3年)</v>
      </c>
      <c r="C234" s="2260">
        <f>报表附注!F504</f>
        <v>0</v>
      </c>
      <c r="D234" s="2252" t="b">
        <f t="shared" si="8"/>
        <v>1</v>
      </c>
    </row>
    <row r="235" spans="1:4">
      <c r="A235" s="2252" t="s">
        <v>2044</v>
      </c>
      <c r="B235" s="2253" t="str">
        <f>报表附注!E505</f>
        <v>3年以上 </v>
      </c>
      <c r="C235" s="2260">
        <f>报表附注!F505</f>
        <v>0</v>
      </c>
      <c r="D235" s="2252" t="b">
        <f t="shared" si="8"/>
        <v>1</v>
      </c>
    </row>
    <row r="236" spans="1:4">
      <c r="A236" s="2252" t="s">
        <v>2021</v>
      </c>
      <c r="B236" s="2263" t="str">
        <f>报表附注!E506</f>
        <v>合计</v>
      </c>
      <c r="C236" s="2260">
        <f>报表附注!F506</f>
        <v>1579739.99</v>
      </c>
      <c r="D236" s="2252" t="b">
        <f t="shared" si="8"/>
        <v>1</v>
      </c>
    </row>
    <row r="237" spans="4:4">
      <c r="D237" s="2252" t="b">
        <f t="shared" si="8"/>
        <v>1</v>
      </c>
    </row>
    <row r="238" spans="1:4">
      <c r="A238" s="2252" t="s">
        <v>2045</v>
      </c>
      <c r="B238" s="2270" t="s">
        <v>2045</v>
      </c>
      <c r="D238" s="2252" t="b">
        <f t="shared" si="8"/>
        <v>1</v>
      </c>
    </row>
    <row r="239" spans="1:4">
      <c r="A239" s="2252" t="s">
        <v>2020</v>
      </c>
      <c r="B239" s="2271" t="s">
        <v>2020</v>
      </c>
      <c r="D239" s="2252" t="b">
        <f t="shared" si="8"/>
        <v>1</v>
      </c>
    </row>
    <row r="240" spans="1:4">
      <c r="A240" s="2252" t="s">
        <v>2026</v>
      </c>
      <c r="B240" s="2253" t="str">
        <f>报表附注!E565</f>
        <v>1年以内（含1年）</v>
      </c>
      <c r="C240" s="2260">
        <f>报表附注!J565</f>
        <v>16356058.6</v>
      </c>
      <c r="D240" s="2252" t="b">
        <f t="shared" si="8"/>
        <v>1</v>
      </c>
    </row>
    <row r="241" spans="1:4">
      <c r="A241" s="2252" t="s">
        <v>2027</v>
      </c>
      <c r="B241" s="2253" t="str">
        <f>报表附注!E566</f>
        <v>1-2年（含2年）</v>
      </c>
      <c r="C241" s="2260">
        <f>报表附注!J566</f>
        <v>594556.18</v>
      </c>
      <c r="D241" s="2252" t="b">
        <f t="shared" si="8"/>
        <v>1</v>
      </c>
    </row>
    <row r="242" spans="1:4">
      <c r="A242" s="2252" t="s">
        <v>2028</v>
      </c>
      <c r="B242" s="2253" t="str">
        <f>报表附注!E567</f>
        <v>2-3年（含3年）</v>
      </c>
      <c r="C242" s="2260">
        <f>报表附注!J567</f>
        <v>832112.26</v>
      </c>
      <c r="D242" s="2252" t="b">
        <f t="shared" si="8"/>
        <v>1</v>
      </c>
    </row>
    <row r="243" spans="1:4">
      <c r="A243" s="2252" t="s">
        <v>2029</v>
      </c>
      <c r="B243" s="2253" t="str">
        <f>报表附注!E568</f>
        <v>3-4年（含4年）</v>
      </c>
      <c r="C243" s="2260">
        <f>报表附注!J568</f>
        <v>99064</v>
      </c>
      <c r="D243" s="2252" t="b">
        <f t="shared" si="8"/>
        <v>1</v>
      </c>
    </row>
    <row r="244" spans="1:4">
      <c r="A244" s="2252" t="s">
        <v>2030</v>
      </c>
      <c r="B244" s="2253" t="str">
        <f>报表附注!E569</f>
        <v>4-5年（含5年）</v>
      </c>
      <c r="C244" s="2260">
        <f>报表附注!J569</f>
        <v>0</v>
      </c>
      <c r="D244" s="2252" t="b">
        <f t="shared" si="8"/>
        <v>1</v>
      </c>
    </row>
    <row r="245" spans="1:4">
      <c r="A245" s="2252" t="s">
        <v>2031</v>
      </c>
      <c r="B245" s="2253" t="str">
        <f>报表附注!E570</f>
        <v>5年以上</v>
      </c>
      <c r="C245" s="2260">
        <f>报表附注!J570</f>
        <v>0</v>
      </c>
      <c r="D245" s="2252" t="b">
        <f t="shared" si="8"/>
        <v>1</v>
      </c>
    </row>
    <row r="246" spans="1:4">
      <c r="A246" s="2252" t="s">
        <v>2021</v>
      </c>
      <c r="B246" s="2263" t="str">
        <f>报表附注!E571</f>
        <v>合计</v>
      </c>
      <c r="C246" s="2260">
        <f>报表附注!J571</f>
        <v>17881791.04</v>
      </c>
      <c r="D246" s="2252" t="b">
        <f t="shared" si="8"/>
        <v>1</v>
      </c>
    </row>
    <row r="247" spans="1:4">
      <c r="A247" s="2252" t="s">
        <v>2032</v>
      </c>
      <c r="B247" s="2271" t="s">
        <v>2032</v>
      </c>
      <c r="D247" s="2252" t="b">
        <f t="shared" si="8"/>
        <v>1</v>
      </c>
    </row>
    <row r="248" spans="1:4">
      <c r="A248" s="2252" t="s">
        <v>2026</v>
      </c>
      <c r="B248" s="2253" t="str">
        <f>报表附注!E565</f>
        <v>1年以内（含1年）</v>
      </c>
      <c r="C248" s="2260">
        <f>报表附注!L565</f>
        <v>624116.3</v>
      </c>
      <c r="D248" s="2252" t="b">
        <f t="shared" si="8"/>
        <v>1</v>
      </c>
    </row>
    <row r="249" spans="1:4">
      <c r="A249" s="2252" t="s">
        <v>2027</v>
      </c>
      <c r="B249" s="2253" t="str">
        <f>报表附注!E566</f>
        <v>1-2年（含2年）</v>
      </c>
      <c r="C249" s="2260">
        <f>报表附注!L566</f>
        <v>59455.62</v>
      </c>
      <c r="D249" s="2252" t="b">
        <f t="shared" si="8"/>
        <v>1</v>
      </c>
    </row>
    <row r="250" spans="1:4">
      <c r="A250" s="2252" t="s">
        <v>2028</v>
      </c>
      <c r="B250" s="2253" t="str">
        <f>报表附注!E567</f>
        <v>2-3年（含3年）</v>
      </c>
      <c r="C250" s="2260">
        <f>报表附注!L567</f>
        <v>166422.45</v>
      </c>
      <c r="D250" s="2252" t="b">
        <f t="shared" si="8"/>
        <v>1</v>
      </c>
    </row>
    <row r="251" spans="1:4">
      <c r="A251" s="2252" t="s">
        <v>2029</v>
      </c>
      <c r="B251" s="2253" t="str">
        <f>报表附注!E568</f>
        <v>3-4年（含4年）</v>
      </c>
      <c r="C251" s="2260">
        <f>报表附注!L568</f>
        <v>49532</v>
      </c>
      <c r="D251" s="2252" t="b">
        <f t="shared" si="8"/>
        <v>1</v>
      </c>
    </row>
    <row r="252" spans="1:4">
      <c r="A252" s="2252" t="s">
        <v>2030</v>
      </c>
      <c r="B252" s="2253" t="str">
        <f>报表附注!E569</f>
        <v>4-5年（含5年）</v>
      </c>
      <c r="C252" s="2260">
        <f>报表附注!L569</f>
        <v>0</v>
      </c>
      <c r="D252" s="2252" t="b">
        <f t="shared" si="8"/>
        <v>1</v>
      </c>
    </row>
    <row r="253" spans="1:4">
      <c r="A253" s="2252" t="s">
        <v>2031</v>
      </c>
      <c r="B253" s="2253" t="str">
        <f>报表附注!E570</f>
        <v>5年以上</v>
      </c>
      <c r="C253" s="2260">
        <f>报表附注!L570</f>
        <v>0</v>
      </c>
      <c r="D253" s="2252" t="b">
        <f t="shared" si="8"/>
        <v>1</v>
      </c>
    </row>
    <row r="254" spans="1:4">
      <c r="A254" s="2252" t="s">
        <v>2021</v>
      </c>
      <c r="B254" s="2263" t="str">
        <f>报表附注!E571</f>
        <v>合计</v>
      </c>
      <c r="C254" s="2260">
        <f>报表附注!L571</f>
        <v>899526.37</v>
      </c>
      <c r="D254" s="2252" t="b">
        <f t="shared" si="8"/>
        <v>1</v>
      </c>
    </row>
    <row r="255" spans="1:4">
      <c r="A255" s="2252" t="s">
        <v>316</v>
      </c>
      <c r="B255" s="2271" t="s">
        <v>316</v>
      </c>
      <c r="D255" s="2252" t="b">
        <f t="shared" si="8"/>
        <v>1</v>
      </c>
    </row>
    <row r="256" spans="1:4">
      <c r="A256" s="2252" t="s">
        <v>2026</v>
      </c>
      <c r="B256" s="2253" t="str">
        <f>报表附注!E565</f>
        <v>1年以内（含1年）</v>
      </c>
      <c r="C256" s="2260">
        <f>报表附注!F565</f>
        <v>10028665.73</v>
      </c>
      <c r="D256" s="2252" t="b">
        <f t="shared" si="8"/>
        <v>1</v>
      </c>
    </row>
    <row r="257" spans="1:4">
      <c r="A257" s="2252" t="s">
        <v>2027</v>
      </c>
      <c r="B257" s="2253" t="str">
        <f>报表附注!E566</f>
        <v>1-2年（含2年）</v>
      </c>
      <c r="C257" s="2260">
        <f>报表附注!F566</f>
        <v>8086258.82</v>
      </c>
      <c r="D257" s="2252" t="b">
        <f t="shared" si="8"/>
        <v>1</v>
      </c>
    </row>
    <row r="258" spans="1:4">
      <c r="A258" s="2252" t="s">
        <v>2028</v>
      </c>
      <c r="B258" s="2253" t="str">
        <f>报表附注!E567</f>
        <v>2-3年（含3年）</v>
      </c>
      <c r="C258" s="2260">
        <f>报表附注!F567</f>
        <v>15000</v>
      </c>
      <c r="D258" s="2252" t="b">
        <f t="shared" si="8"/>
        <v>1</v>
      </c>
    </row>
    <row r="259" spans="1:4">
      <c r="A259" s="2252" t="s">
        <v>2029</v>
      </c>
      <c r="B259" s="2253" t="str">
        <f>报表附注!E568</f>
        <v>3-4年（含4年）</v>
      </c>
      <c r="C259" s="2260">
        <f>报表附注!F568</f>
        <v>570200</v>
      </c>
      <c r="D259" s="2252" t="b">
        <f t="shared" si="8"/>
        <v>1</v>
      </c>
    </row>
    <row r="260" spans="1:4">
      <c r="A260" s="2252" t="s">
        <v>2030</v>
      </c>
      <c r="B260" s="2253" t="str">
        <f>报表附注!E569</f>
        <v>4-5年（含5年）</v>
      </c>
      <c r="C260" s="2260">
        <f>报表附注!F569</f>
        <v>99064</v>
      </c>
      <c r="D260" s="2252" t="b">
        <f t="shared" si="8"/>
        <v>1</v>
      </c>
    </row>
    <row r="261" spans="1:4">
      <c r="A261" s="2252" t="s">
        <v>2031</v>
      </c>
      <c r="B261" s="2253" t="str">
        <f>报表附注!E570</f>
        <v>5年以上</v>
      </c>
      <c r="C261" s="2260">
        <f>报表附注!F570</f>
        <v>0</v>
      </c>
      <c r="D261" s="2252" t="b">
        <f t="shared" si="8"/>
        <v>1</v>
      </c>
    </row>
    <row r="262" spans="1:4">
      <c r="A262" s="2252" t="s">
        <v>2021</v>
      </c>
      <c r="B262" s="2263" t="str">
        <f>报表附注!E571</f>
        <v>合计</v>
      </c>
      <c r="C262" s="2260">
        <f>报表附注!F571</f>
        <v>18799188.55</v>
      </c>
      <c r="D262" s="2252" t="b">
        <f t="shared" si="8"/>
        <v>1</v>
      </c>
    </row>
    <row r="263" spans="1:4">
      <c r="A263" s="2252" t="s">
        <v>2034</v>
      </c>
      <c r="B263" s="2271" t="s">
        <v>2034</v>
      </c>
      <c r="D263" s="2252" t="b">
        <f t="shared" si="8"/>
        <v>1</v>
      </c>
    </row>
    <row r="264" spans="1:4">
      <c r="A264" s="2252" t="s">
        <v>2026</v>
      </c>
      <c r="B264" s="2253" t="str">
        <f>报表附注!E565</f>
        <v>1年以内（含1年）</v>
      </c>
      <c r="C264" s="2260">
        <f>报表附注!H565</f>
        <v>501411.44</v>
      </c>
      <c r="D264" s="2252" t="b">
        <f t="shared" si="8"/>
        <v>1</v>
      </c>
    </row>
    <row r="265" spans="1:4">
      <c r="A265" s="2252" t="s">
        <v>2027</v>
      </c>
      <c r="B265" s="2253" t="str">
        <f>报表附注!E566</f>
        <v>1-2年（含2年）</v>
      </c>
      <c r="C265" s="2260">
        <f>报表附注!H566</f>
        <v>458371.08</v>
      </c>
      <c r="D265" s="2252" t="b">
        <f t="shared" si="8"/>
        <v>1</v>
      </c>
    </row>
    <row r="266" spans="1:4">
      <c r="A266" s="2252" t="s">
        <v>2028</v>
      </c>
      <c r="B266" s="2253" t="str">
        <f>报表附注!E567</f>
        <v>2-3年（含3年）</v>
      </c>
      <c r="C266" s="2260">
        <f>报表附注!H567</f>
        <v>3000</v>
      </c>
      <c r="D266" s="2252" t="b">
        <f t="shared" si="8"/>
        <v>1</v>
      </c>
    </row>
    <row r="267" spans="1:4">
      <c r="A267" s="2252" t="s">
        <v>2029</v>
      </c>
      <c r="B267" s="2253" t="str">
        <f>报表附注!E568</f>
        <v>3-4年（含4年）</v>
      </c>
      <c r="C267" s="2260">
        <f>报表附注!H568</f>
        <v>285100</v>
      </c>
      <c r="D267" s="2252" t="b">
        <f t="shared" si="8"/>
        <v>1</v>
      </c>
    </row>
    <row r="268" spans="1:4">
      <c r="A268" s="2252" t="s">
        <v>2030</v>
      </c>
      <c r="B268" s="2253" t="str">
        <f>报表附注!E569</f>
        <v>4-5年（含5年）</v>
      </c>
      <c r="C268" s="2260">
        <f>报表附注!H569</f>
        <v>79251.2</v>
      </c>
      <c r="D268" s="2252" t="b">
        <f t="shared" ref="D268:D331" si="9">EXACT(A268,B268)</f>
        <v>1</v>
      </c>
    </row>
    <row r="269" spans="1:4">
      <c r="A269" s="2252" t="s">
        <v>2031</v>
      </c>
      <c r="B269" s="2253" t="str">
        <f>报表附注!E570</f>
        <v>5年以上</v>
      </c>
      <c r="C269" s="2260">
        <f>报表附注!H570</f>
        <v>0</v>
      </c>
      <c r="D269" s="2252" t="b">
        <f t="shared" si="9"/>
        <v>1</v>
      </c>
    </row>
    <row r="270" spans="1:4">
      <c r="A270" s="2252" t="s">
        <v>2021</v>
      </c>
      <c r="B270" s="2263" t="str">
        <f>报表附注!E571</f>
        <v>合计</v>
      </c>
      <c r="C270" s="2260">
        <f>报表附注!H571</f>
        <v>1327133.72</v>
      </c>
      <c r="D270" s="2252" t="b">
        <f t="shared" si="9"/>
        <v>1</v>
      </c>
    </row>
    <row r="271" spans="4:4">
      <c r="D271" s="2252" t="b">
        <f t="shared" si="9"/>
        <v>1</v>
      </c>
    </row>
    <row r="272" spans="1:4">
      <c r="A272" s="2252" t="s">
        <v>2020</v>
      </c>
      <c r="B272" s="2271" t="s">
        <v>2020</v>
      </c>
      <c r="D272" s="2252" t="b">
        <f t="shared" si="9"/>
        <v>1</v>
      </c>
    </row>
    <row r="273" spans="1:4">
      <c r="A273" s="2252" t="s">
        <v>2036</v>
      </c>
      <c r="B273" s="2253" t="str">
        <f>报表附注!E578</f>
        <v>单项金额重大并单项计提坏账准备的的其他应收款</v>
      </c>
      <c r="C273" s="2260">
        <f>报表附注!J578</f>
        <v>3502548</v>
      </c>
      <c r="D273" s="2252" t="b">
        <f t="shared" si="9"/>
        <v>0</v>
      </c>
    </row>
    <row r="274" spans="1:4">
      <c r="A274" s="2252" t="s">
        <v>2037</v>
      </c>
      <c r="B274" s="2253" t="str">
        <f>报表附注!E579</f>
        <v>按组合（账龄分析法）计提坏账准备的其他应收款</v>
      </c>
      <c r="C274" s="2260">
        <f>报表附注!J579</f>
        <v>14379243.04</v>
      </c>
      <c r="D274" s="2252" t="b">
        <f t="shared" si="9"/>
        <v>0</v>
      </c>
    </row>
    <row r="275" spans="1:4">
      <c r="A275" s="2252" t="s">
        <v>2038</v>
      </c>
      <c r="B275" s="2253" t="str">
        <f>报表附注!E580</f>
        <v>单项金额虽不重大但单项计提坏账准备的其他应收款</v>
      </c>
      <c r="C275" s="2260">
        <f>报表附注!J580</f>
        <v>0</v>
      </c>
      <c r="D275" s="2252" t="b">
        <f t="shared" si="9"/>
        <v>0</v>
      </c>
    </row>
    <row r="276" spans="1:4">
      <c r="A276" s="2252" t="s">
        <v>2021</v>
      </c>
      <c r="B276" s="2263" t="str">
        <f>报表附注!E581</f>
        <v>合计</v>
      </c>
      <c r="C276" s="2260">
        <f>报表附注!J581</f>
        <v>17881791.04</v>
      </c>
      <c r="D276" s="2252" t="b">
        <f t="shared" si="9"/>
        <v>1</v>
      </c>
    </row>
    <row r="277" spans="1:4">
      <c r="A277" s="2252" t="s">
        <v>2032</v>
      </c>
      <c r="B277" s="2271" t="s">
        <v>2032</v>
      </c>
      <c r="D277" s="2252" t="b">
        <f t="shared" si="9"/>
        <v>1</v>
      </c>
    </row>
    <row r="278" spans="1:4">
      <c r="A278" s="2252" t="s">
        <v>2036</v>
      </c>
      <c r="B278" s="2253" t="str">
        <f>报表附注!E578</f>
        <v>单项金额重大并单项计提坏账准备的的其他应收款</v>
      </c>
      <c r="C278" s="2260">
        <f>报表附注!L578</f>
        <v>0</v>
      </c>
      <c r="D278" s="2252" t="b">
        <f t="shared" si="9"/>
        <v>0</v>
      </c>
    </row>
    <row r="279" spans="1:4">
      <c r="A279" s="2252" t="s">
        <v>2037</v>
      </c>
      <c r="B279" s="2253" t="str">
        <f>报表附注!E579</f>
        <v>按组合（账龄分析法）计提坏账准备的其他应收款</v>
      </c>
      <c r="C279" s="2260">
        <f>报表附注!L579</f>
        <v>899526.37</v>
      </c>
      <c r="D279" s="2252" t="b">
        <f t="shared" si="9"/>
        <v>0</v>
      </c>
    </row>
    <row r="280" spans="1:4">
      <c r="A280" s="2252" t="s">
        <v>2038</v>
      </c>
      <c r="B280" s="2253" t="str">
        <f>报表附注!E580</f>
        <v>单项金额虽不重大但单项计提坏账准备的其他应收款</v>
      </c>
      <c r="C280" s="2260">
        <f>报表附注!L580</f>
        <v>0</v>
      </c>
      <c r="D280" s="2252" t="b">
        <f t="shared" si="9"/>
        <v>0</v>
      </c>
    </row>
    <row r="281" spans="1:4">
      <c r="A281" s="2252" t="s">
        <v>2021</v>
      </c>
      <c r="B281" s="2263" t="str">
        <f>报表附注!E581</f>
        <v>合计</v>
      </c>
      <c r="C281" s="2260">
        <f>报表附注!L581</f>
        <v>899526.37</v>
      </c>
      <c r="D281" s="2252" t="b">
        <f t="shared" si="9"/>
        <v>1</v>
      </c>
    </row>
    <row r="282" spans="1:4">
      <c r="A282" s="2252" t="s">
        <v>316</v>
      </c>
      <c r="B282" s="2271" t="s">
        <v>316</v>
      </c>
      <c r="D282" s="2252" t="b">
        <f t="shared" si="9"/>
        <v>1</v>
      </c>
    </row>
    <row r="283" spans="1:4">
      <c r="A283" s="2252" t="s">
        <v>2036</v>
      </c>
      <c r="B283" s="2253" t="str">
        <f>报表附注!E578</f>
        <v>单项金额重大并单项计提坏账准备的的其他应收款</v>
      </c>
      <c r="C283" s="2260">
        <f>报表附注!F578</f>
        <v>3502985</v>
      </c>
      <c r="D283" s="2252" t="b">
        <f t="shared" si="9"/>
        <v>0</v>
      </c>
    </row>
    <row r="284" spans="1:4">
      <c r="A284" s="2252" t="s">
        <v>2037</v>
      </c>
      <c r="B284" s="2253" t="str">
        <f>报表附注!E579</f>
        <v>按组合（账龄分析法）计提坏账准备的其他应收款</v>
      </c>
      <c r="C284" s="2260">
        <f>报表附注!F579</f>
        <v>15296203.55</v>
      </c>
      <c r="D284" s="2252" t="b">
        <f t="shared" si="9"/>
        <v>0</v>
      </c>
    </row>
    <row r="285" spans="1:4">
      <c r="A285" s="2252" t="s">
        <v>2038</v>
      </c>
      <c r="B285" s="2253" t="str">
        <f>报表附注!E580</f>
        <v>单项金额虽不重大但单项计提坏账准备的其他应收款</v>
      </c>
      <c r="C285" s="2260">
        <f>报表附注!F580</f>
        <v>0</v>
      </c>
      <c r="D285" s="2252" t="b">
        <f t="shared" si="9"/>
        <v>0</v>
      </c>
    </row>
    <row r="286" spans="1:4">
      <c r="A286" s="2252" t="s">
        <v>2021</v>
      </c>
      <c r="B286" s="2263" t="str">
        <f>报表附注!E581</f>
        <v>合计</v>
      </c>
      <c r="C286" s="2260">
        <f>报表附注!F581</f>
        <v>18799188.55</v>
      </c>
      <c r="D286" s="2252" t="b">
        <f t="shared" si="9"/>
        <v>1</v>
      </c>
    </row>
    <row r="287" spans="1:4">
      <c r="A287" s="2252" t="s">
        <v>2034</v>
      </c>
      <c r="B287" s="2271" t="s">
        <v>2034</v>
      </c>
      <c r="D287" s="2252" t="b">
        <f t="shared" si="9"/>
        <v>1</v>
      </c>
    </row>
    <row r="288" spans="1:4">
      <c r="A288" s="2252" t="s">
        <v>462</v>
      </c>
      <c r="B288" s="2280" t="s">
        <v>462</v>
      </c>
      <c r="C288" s="2260">
        <f>报表附注!H578</f>
        <v>0</v>
      </c>
      <c r="D288" s="2252" t="b">
        <f t="shared" si="9"/>
        <v>1</v>
      </c>
    </row>
    <row r="289" ht="22.5" spans="1:4">
      <c r="A289" s="2252" t="s">
        <v>464</v>
      </c>
      <c r="B289" s="2280" t="s">
        <v>464</v>
      </c>
      <c r="C289" s="2260">
        <f>报表附注!H579</f>
        <v>1327133.72</v>
      </c>
      <c r="D289" s="2252" t="b">
        <f t="shared" si="9"/>
        <v>1</v>
      </c>
    </row>
    <row r="290" spans="1:4">
      <c r="A290" s="2252" t="s">
        <v>466</v>
      </c>
      <c r="B290" s="2280" t="s">
        <v>466</v>
      </c>
      <c r="C290" s="2260">
        <f>报表附注!H580</f>
        <v>0</v>
      </c>
      <c r="D290" s="2252" t="b">
        <f t="shared" si="9"/>
        <v>1</v>
      </c>
    </row>
    <row r="291" spans="1:4">
      <c r="A291" s="2252" t="s">
        <v>2021</v>
      </c>
      <c r="B291" s="2281" t="s">
        <v>2021</v>
      </c>
      <c r="C291" s="2260">
        <f>报表附注!H581</f>
        <v>1327133.72</v>
      </c>
      <c r="D291" s="2252" t="b">
        <f t="shared" si="9"/>
        <v>1</v>
      </c>
    </row>
    <row r="292" spans="4:4">
      <c r="D292" s="2252" t="b">
        <f t="shared" si="9"/>
        <v>1</v>
      </c>
    </row>
    <row r="293" spans="1:4">
      <c r="A293" s="2252" t="s">
        <v>2039</v>
      </c>
      <c r="B293" s="2275" t="s">
        <v>2039</v>
      </c>
      <c r="D293" s="2252" t="b">
        <f t="shared" si="9"/>
        <v>1</v>
      </c>
    </row>
    <row r="294" spans="1:4">
      <c r="A294" s="2252" t="s">
        <v>2020</v>
      </c>
      <c r="B294" s="2276" t="s">
        <v>2020</v>
      </c>
      <c r="D294" s="2252" t="b">
        <f t="shared" si="9"/>
        <v>1</v>
      </c>
    </row>
    <row r="295" spans="1:4">
      <c r="A295" s="2252" t="s">
        <v>2026</v>
      </c>
      <c r="B295" s="2277" t="str">
        <f>报表附注!E689</f>
        <v>1年以内（含1年）</v>
      </c>
      <c r="C295" s="2260">
        <f>报表附注!J689</f>
        <v>12853510.6</v>
      </c>
      <c r="D295" s="2252" t="b">
        <f t="shared" si="9"/>
        <v>1</v>
      </c>
    </row>
    <row r="296" spans="1:4">
      <c r="A296" s="2252" t="s">
        <v>2027</v>
      </c>
      <c r="B296" s="2277" t="str">
        <f>报表附注!E690</f>
        <v>1-2年（含2年）</v>
      </c>
      <c r="C296" s="2260">
        <f>报表附注!J690</f>
        <v>594556.18</v>
      </c>
      <c r="D296" s="2252" t="b">
        <f t="shared" si="9"/>
        <v>1</v>
      </c>
    </row>
    <row r="297" spans="1:4">
      <c r="A297" s="2252" t="s">
        <v>2028</v>
      </c>
      <c r="B297" s="2277" t="str">
        <f>报表附注!E691</f>
        <v>2-3年（含3年）</v>
      </c>
      <c r="C297" s="2260">
        <f>报表附注!J691</f>
        <v>832112.26</v>
      </c>
      <c r="D297" s="2252" t="b">
        <f t="shared" si="9"/>
        <v>1</v>
      </c>
    </row>
    <row r="298" spans="1:4">
      <c r="A298" s="2252" t="s">
        <v>2029</v>
      </c>
      <c r="B298" s="2277" t="str">
        <f>报表附注!E692</f>
        <v>3-4年（含4年）</v>
      </c>
      <c r="C298" s="2260">
        <f>报表附注!J692</f>
        <v>99064</v>
      </c>
      <c r="D298" s="2252" t="b">
        <f t="shared" si="9"/>
        <v>1</v>
      </c>
    </row>
    <row r="299" spans="1:4">
      <c r="A299" s="2252" t="s">
        <v>2030</v>
      </c>
      <c r="B299" s="2277" t="str">
        <f>报表附注!E693</f>
        <v>4-5年（含5年）</v>
      </c>
      <c r="C299" s="2260">
        <f>报表附注!J693</f>
        <v>0</v>
      </c>
      <c r="D299" s="2252" t="b">
        <f t="shared" si="9"/>
        <v>1</v>
      </c>
    </row>
    <row r="300" spans="1:4">
      <c r="A300" s="2252" t="s">
        <v>2031</v>
      </c>
      <c r="B300" s="2277" t="str">
        <f>报表附注!E694</f>
        <v>5年以上</v>
      </c>
      <c r="C300" s="2260">
        <f>报表附注!J694</f>
        <v>0</v>
      </c>
      <c r="D300" s="2252" t="b">
        <f t="shared" si="9"/>
        <v>1</v>
      </c>
    </row>
    <row r="301" spans="1:4">
      <c r="A301" s="2252" t="s">
        <v>2021</v>
      </c>
      <c r="B301" s="2278" t="str">
        <f>报表附注!E695</f>
        <v>合计</v>
      </c>
      <c r="C301" s="2260">
        <f>报表附注!J695</f>
        <v>14379243.04</v>
      </c>
      <c r="D301" s="2252" t="b">
        <f t="shared" si="9"/>
        <v>1</v>
      </c>
    </row>
    <row r="302" spans="1:4">
      <c r="A302" s="2252" t="s">
        <v>2032</v>
      </c>
      <c r="B302" s="2279" t="s">
        <v>2032</v>
      </c>
      <c r="D302" s="2252" t="b">
        <f t="shared" si="9"/>
        <v>1</v>
      </c>
    </row>
    <row r="303" spans="1:4">
      <c r="A303" s="2252" t="s">
        <v>2026</v>
      </c>
      <c r="B303" s="2277" t="str">
        <f>报表附注!E689</f>
        <v>1年以内（含1年）</v>
      </c>
      <c r="C303" s="2260">
        <f>报表附注!L689</f>
        <v>624116.3</v>
      </c>
      <c r="D303" s="2252" t="b">
        <f t="shared" si="9"/>
        <v>1</v>
      </c>
    </row>
    <row r="304" spans="1:4">
      <c r="A304" s="2252" t="s">
        <v>2027</v>
      </c>
      <c r="B304" s="2277" t="str">
        <f>报表附注!E690</f>
        <v>1-2年（含2年）</v>
      </c>
      <c r="C304" s="2260">
        <f>报表附注!L690</f>
        <v>59455.62</v>
      </c>
      <c r="D304" s="2252" t="b">
        <f t="shared" si="9"/>
        <v>1</v>
      </c>
    </row>
    <row r="305" spans="1:4">
      <c r="A305" s="2252" t="s">
        <v>2028</v>
      </c>
      <c r="B305" s="2277" t="str">
        <f>报表附注!E691</f>
        <v>2-3年（含3年）</v>
      </c>
      <c r="C305" s="2260">
        <f>报表附注!L691</f>
        <v>166422.45</v>
      </c>
      <c r="D305" s="2252" t="b">
        <f t="shared" si="9"/>
        <v>1</v>
      </c>
    </row>
    <row r="306" spans="1:4">
      <c r="A306" s="2252" t="s">
        <v>2029</v>
      </c>
      <c r="B306" s="2277" t="str">
        <f>报表附注!E692</f>
        <v>3-4年（含4年）</v>
      </c>
      <c r="C306" s="2260">
        <f>报表附注!L692</f>
        <v>49532</v>
      </c>
      <c r="D306" s="2252" t="b">
        <f t="shared" si="9"/>
        <v>1</v>
      </c>
    </row>
    <row r="307" spans="1:4">
      <c r="A307" s="2252" t="s">
        <v>2030</v>
      </c>
      <c r="B307" s="2277" t="str">
        <f>报表附注!E693</f>
        <v>4-5年（含5年）</v>
      </c>
      <c r="C307" s="2260">
        <f>报表附注!L693</f>
        <v>0</v>
      </c>
      <c r="D307" s="2252" t="b">
        <f t="shared" si="9"/>
        <v>1</v>
      </c>
    </row>
    <row r="308" spans="1:4">
      <c r="A308" s="2252" t="s">
        <v>2031</v>
      </c>
      <c r="B308" s="2277" t="str">
        <f>报表附注!E694</f>
        <v>5年以上</v>
      </c>
      <c r="C308" s="2260">
        <f>报表附注!L694</f>
        <v>0</v>
      </c>
      <c r="D308" s="2252" t="b">
        <f t="shared" si="9"/>
        <v>1</v>
      </c>
    </row>
    <row r="309" spans="1:4">
      <c r="A309" s="2252" t="s">
        <v>2021</v>
      </c>
      <c r="B309" s="2278" t="str">
        <f>报表附注!E695</f>
        <v>合计</v>
      </c>
      <c r="C309" s="2260">
        <f>报表附注!L695</f>
        <v>899526.37</v>
      </c>
      <c r="D309" s="2252" t="b">
        <f t="shared" si="9"/>
        <v>1</v>
      </c>
    </row>
    <row r="310" spans="1:4">
      <c r="A310" s="2252" t="s">
        <v>316</v>
      </c>
      <c r="B310" s="2276" t="s">
        <v>316</v>
      </c>
      <c r="D310" s="2252" t="b">
        <f t="shared" si="9"/>
        <v>1</v>
      </c>
    </row>
    <row r="311" spans="1:4">
      <c r="A311" s="2252" t="s">
        <v>2026</v>
      </c>
      <c r="B311" s="2277" t="str">
        <f>报表附注!E689</f>
        <v>1年以内（含1年）</v>
      </c>
      <c r="C311" s="2260">
        <f>报表附注!F689</f>
        <v>10028228.73</v>
      </c>
      <c r="D311" s="2252" t="b">
        <f t="shared" si="9"/>
        <v>1</v>
      </c>
    </row>
    <row r="312" spans="1:4">
      <c r="A312" s="2252" t="s">
        <v>2027</v>
      </c>
      <c r="B312" s="2277" t="str">
        <f>报表附注!E690</f>
        <v>1-2年（含2年）</v>
      </c>
      <c r="C312" s="2260">
        <f>报表附注!F690</f>
        <v>4583710.82</v>
      </c>
      <c r="D312" s="2252" t="b">
        <f t="shared" si="9"/>
        <v>1</v>
      </c>
    </row>
    <row r="313" spans="1:4">
      <c r="A313" s="2252" t="s">
        <v>2028</v>
      </c>
      <c r="B313" s="2277" t="str">
        <f>报表附注!E691</f>
        <v>2-3年（含3年）</v>
      </c>
      <c r="C313" s="2260">
        <f>报表附注!F691</f>
        <v>15000</v>
      </c>
      <c r="D313" s="2252" t="b">
        <f t="shared" si="9"/>
        <v>1</v>
      </c>
    </row>
    <row r="314" spans="1:4">
      <c r="A314" s="2252" t="s">
        <v>2029</v>
      </c>
      <c r="B314" s="2277" t="str">
        <f>报表附注!E692</f>
        <v>3-4年（含4年）</v>
      </c>
      <c r="C314" s="2260">
        <f>报表附注!F692</f>
        <v>570200</v>
      </c>
      <c r="D314" s="2252" t="b">
        <f t="shared" si="9"/>
        <v>1</v>
      </c>
    </row>
    <row r="315" spans="1:4">
      <c r="A315" s="2252" t="s">
        <v>2030</v>
      </c>
      <c r="B315" s="2277" t="str">
        <f>报表附注!E693</f>
        <v>4-5年（含5年）</v>
      </c>
      <c r="C315" s="2260">
        <f>报表附注!F693</f>
        <v>99064</v>
      </c>
      <c r="D315" s="2252" t="b">
        <f t="shared" si="9"/>
        <v>1</v>
      </c>
    </row>
    <row r="316" spans="1:4">
      <c r="A316" s="2252" t="s">
        <v>2031</v>
      </c>
      <c r="B316" s="2277" t="str">
        <f>报表附注!E694</f>
        <v>5年以上</v>
      </c>
      <c r="C316" s="2260">
        <f>报表附注!F694</f>
        <v>0</v>
      </c>
      <c r="D316" s="2252" t="b">
        <f t="shared" si="9"/>
        <v>1</v>
      </c>
    </row>
    <row r="317" spans="1:4">
      <c r="A317" s="2252" t="s">
        <v>2021</v>
      </c>
      <c r="B317" s="2278" t="str">
        <f>报表附注!E695</f>
        <v>合计</v>
      </c>
      <c r="C317" s="2260">
        <f>报表附注!F695</f>
        <v>15296203.55</v>
      </c>
      <c r="D317" s="2252" t="b">
        <f t="shared" si="9"/>
        <v>1</v>
      </c>
    </row>
    <row r="318" spans="1:4">
      <c r="A318" s="2252" t="s">
        <v>2034</v>
      </c>
      <c r="B318" s="2279" t="s">
        <v>2034</v>
      </c>
      <c r="D318" s="2252" t="b">
        <f t="shared" si="9"/>
        <v>1</v>
      </c>
    </row>
    <row r="319" spans="1:4">
      <c r="A319" s="2252" t="s">
        <v>2026</v>
      </c>
      <c r="B319" s="2277" t="str">
        <f>报表附注!E689</f>
        <v>1年以内（含1年）</v>
      </c>
      <c r="C319" s="2260">
        <f>报表附注!H689</f>
        <v>501411.44</v>
      </c>
      <c r="D319" s="2252" t="b">
        <f t="shared" si="9"/>
        <v>1</v>
      </c>
    </row>
    <row r="320" spans="1:4">
      <c r="A320" s="2252" t="s">
        <v>2027</v>
      </c>
      <c r="B320" s="2277" t="str">
        <f>报表附注!E690</f>
        <v>1-2年（含2年）</v>
      </c>
      <c r="C320" s="2260">
        <f>报表附注!H690</f>
        <v>458371.08</v>
      </c>
      <c r="D320" s="2252" t="b">
        <f t="shared" si="9"/>
        <v>1</v>
      </c>
    </row>
    <row r="321" spans="1:4">
      <c r="A321" s="2252" t="s">
        <v>2028</v>
      </c>
      <c r="B321" s="2277" t="str">
        <f>报表附注!E691</f>
        <v>2-3年（含3年）</v>
      </c>
      <c r="C321" s="2260">
        <f>报表附注!H691</f>
        <v>3000</v>
      </c>
      <c r="D321" s="2252" t="b">
        <f t="shared" si="9"/>
        <v>1</v>
      </c>
    </row>
    <row r="322" spans="1:4">
      <c r="A322" s="2252" t="s">
        <v>2029</v>
      </c>
      <c r="B322" s="2277" t="str">
        <f>报表附注!E692</f>
        <v>3-4年（含4年）</v>
      </c>
      <c r="C322" s="2260">
        <f>报表附注!H692</f>
        <v>285100</v>
      </c>
      <c r="D322" s="2252" t="b">
        <f t="shared" si="9"/>
        <v>1</v>
      </c>
    </row>
    <row r="323" spans="1:4">
      <c r="A323" s="2252" t="s">
        <v>2030</v>
      </c>
      <c r="B323" s="2277" t="str">
        <f>报表附注!E693</f>
        <v>4-5年（含5年）</v>
      </c>
      <c r="C323" s="2260">
        <f>报表附注!H693</f>
        <v>79251.2</v>
      </c>
      <c r="D323" s="2252" t="b">
        <f t="shared" si="9"/>
        <v>1</v>
      </c>
    </row>
    <row r="324" spans="1:4">
      <c r="A324" s="2252" t="s">
        <v>2031</v>
      </c>
      <c r="B324" s="2277" t="str">
        <f>报表附注!E694</f>
        <v>5年以上</v>
      </c>
      <c r="C324" s="2260">
        <f>报表附注!H694</f>
        <v>0</v>
      </c>
      <c r="D324" s="2252" t="b">
        <f t="shared" si="9"/>
        <v>1</v>
      </c>
    </row>
    <row r="325" spans="1:4">
      <c r="A325" s="2252" t="s">
        <v>2021</v>
      </c>
      <c r="B325" s="2278" t="str">
        <f>报表附注!E695</f>
        <v>合计</v>
      </c>
      <c r="C325" s="2260">
        <f>报表附注!H695</f>
        <v>1327133.72</v>
      </c>
      <c r="D325" s="2252" t="b">
        <f t="shared" si="9"/>
        <v>1</v>
      </c>
    </row>
    <row r="326" spans="4:4">
      <c r="D326" s="2252" t="b">
        <f t="shared" si="9"/>
        <v>1</v>
      </c>
    </row>
    <row r="327" spans="1:4">
      <c r="A327" s="2252" t="s">
        <v>2046</v>
      </c>
      <c r="B327" s="2270" t="s">
        <v>2046</v>
      </c>
      <c r="D327" s="2252" t="b">
        <f t="shared" si="9"/>
        <v>1</v>
      </c>
    </row>
    <row r="328" spans="1:4">
      <c r="A328" s="2252" t="s">
        <v>2020</v>
      </c>
      <c r="B328" s="2271" t="s">
        <v>2020</v>
      </c>
      <c r="D328" s="2252" t="b">
        <f t="shared" si="9"/>
        <v>1</v>
      </c>
    </row>
    <row r="329" spans="1:4">
      <c r="A329" s="2252" t="s">
        <v>589</v>
      </c>
      <c r="B329" s="2274" t="str">
        <f>报表附注!E849</f>
        <v>原材料</v>
      </c>
      <c r="C329" s="2260">
        <f>报表附注!I849</f>
        <v>181934</v>
      </c>
      <c r="D329" s="2252" t="b">
        <f t="shared" si="9"/>
        <v>1</v>
      </c>
    </row>
    <row r="330" spans="1:4">
      <c r="A330" s="2252" t="s">
        <v>2047</v>
      </c>
      <c r="B330" s="2274" t="str">
        <f>报表附注!E850</f>
        <v>在产品</v>
      </c>
      <c r="C330" s="2260">
        <f>报表附注!I850</f>
        <v>0</v>
      </c>
      <c r="D330" s="2252" t="b">
        <f t="shared" si="9"/>
        <v>0</v>
      </c>
    </row>
    <row r="331" spans="1:4">
      <c r="A331" s="2252" t="s">
        <v>593</v>
      </c>
      <c r="B331" s="2274" t="str">
        <f>报表附注!E851</f>
        <v>产成品</v>
      </c>
      <c r="C331" s="2260">
        <f>报表附注!I851</f>
        <v>4466870.63</v>
      </c>
      <c r="D331" s="2252" t="b">
        <f t="shared" si="9"/>
        <v>0</v>
      </c>
    </row>
    <row r="332" spans="1:4">
      <c r="A332" s="2252" t="s">
        <v>587</v>
      </c>
      <c r="B332" s="2274" t="str">
        <f>报表附注!E852</f>
        <v>低值易耗品</v>
      </c>
      <c r="C332" s="2260">
        <f>报表附注!I852</f>
        <v>0</v>
      </c>
      <c r="D332" s="2252" t="b">
        <f t="shared" ref="D332:D395" si="10">EXACT(A332,B332)</f>
        <v>0</v>
      </c>
    </row>
    <row r="333" spans="1:4">
      <c r="A333" s="2252" t="s">
        <v>2048</v>
      </c>
      <c r="B333" s="2274" t="str">
        <f>报表附注!E853</f>
        <v>包装物</v>
      </c>
      <c r="C333" s="2260">
        <f>报表附注!I853</f>
        <v>0</v>
      </c>
      <c r="D333" s="2252" t="b">
        <f t="shared" si="10"/>
        <v>0</v>
      </c>
    </row>
    <row r="334" spans="1:4">
      <c r="A334" s="2252" t="s">
        <v>597</v>
      </c>
      <c r="B334" s="2274" t="str">
        <f>报表附注!E854</f>
        <v>委托加工物资</v>
      </c>
      <c r="C334" s="2260">
        <f>报表附注!I854</f>
        <v>0</v>
      </c>
      <c r="D334" s="2252" t="b">
        <f t="shared" si="10"/>
        <v>1</v>
      </c>
    </row>
    <row r="335" spans="1:4">
      <c r="A335" s="2252" t="s">
        <v>2049</v>
      </c>
      <c r="B335" s="2274" t="str">
        <f>报表附注!E855</f>
        <v>发出商品</v>
      </c>
      <c r="C335" s="2260">
        <f>报表附注!I855</f>
        <v>1046808</v>
      </c>
      <c r="D335" s="2252" t="b">
        <f t="shared" si="10"/>
        <v>0</v>
      </c>
    </row>
    <row r="336" spans="1:4">
      <c r="A336" s="2252" t="s">
        <v>2050</v>
      </c>
      <c r="B336" s="2274" t="str">
        <f>报表附注!E856</f>
        <v>增加项目1-工程施工</v>
      </c>
      <c r="C336" s="2260">
        <f>报表附注!I856</f>
        <v>4131156.32</v>
      </c>
      <c r="D336" s="2252" t="b">
        <f t="shared" si="10"/>
        <v>0</v>
      </c>
    </row>
    <row r="337" spans="1:4">
      <c r="A337" s="2252" t="s">
        <v>2051</v>
      </c>
      <c r="B337" s="2274" t="str">
        <f>报表附注!E857</f>
        <v>增加项目2-</v>
      </c>
      <c r="C337" s="2260">
        <f>报表附注!I857</f>
        <v>0</v>
      </c>
      <c r="D337" s="2252" t="b">
        <f t="shared" si="10"/>
        <v>1</v>
      </c>
    </row>
    <row r="338" spans="1:4">
      <c r="A338" s="2252" t="s">
        <v>2052</v>
      </c>
      <c r="B338" s="2274" t="str">
        <f>报表附注!E858</f>
        <v>增加项目3-</v>
      </c>
      <c r="C338" s="2260">
        <f>报表附注!I858</f>
        <v>0</v>
      </c>
      <c r="D338" s="2252" t="b">
        <f t="shared" si="10"/>
        <v>1</v>
      </c>
    </row>
    <row r="339" spans="1:4">
      <c r="A339" s="2252" t="s">
        <v>2053</v>
      </c>
      <c r="B339" s="2274" t="str">
        <f>报表附注!E859</f>
        <v>增加项目4-</v>
      </c>
      <c r="C339" s="2260">
        <f>报表附注!I859</f>
        <v>0</v>
      </c>
      <c r="D339" s="2252" t="b">
        <f t="shared" si="10"/>
        <v>1</v>
      </c>
    </row>
    <row r="340" spans="1:4">
      <c r="A340" s="2252" t="s">
        <v>2054</v>
      </c>
      <c r="B340" s="2274" t="str">
        <f>报表附注!E860</f>
        <v>增加项目5-</v>
      </c>
      <c r="C340" s="2260">
        <f>报表附注!I860</f>
        <v>0</v>
      </c>
      <c r="D340" s="2252" t="b">
        <f t="shared" si="10"/>
        <v>1</v>
      </c>
    </row>
    <row r="341" spans="1:4">
      <c r="A341" s="2252" t="s">
        <v>2055</v>
      </c>
      <c r="B341" s="2274" t="str">
        <f>报表附注!E861</f>
        <v>增加项目6-</v>
      </c>
      <c r="C341" s="2260">
        <f>报表附注!I861</f>
        <v>0</v>
      </c>
      <c r="D341" s="2252" t="b">
        <f t="shared" si="10"/>
        <v>1</v>
      </c>
    </row>
    <row r="342" spans="1:4">
      <c r="A342" s="2252" t="s">
        <v>2056</v>
      </c>
      <c r="B342" s="2274" t="str">
        <f>报表附注!E862</f>
        <v>增加项目7-</v>
      </c>
      <c r="C342" s="2260">
        <f>报表附注!I862</f>
        <v>0</v>
      </c>
      <c r="D342" s="2252" t="b">
        <f t="shared" si="10"/>
        <v>1</v>
      </c>
    </row>
    <row r="343" spans="1:4">
      <c r="A343" s="2252" t="s">
        <v>2057</v>
      </c>
      <c r="B343" s="2274" t="str">
        <f>报表附注!E863</f>
        <v>增加项目8-</v>
      </c>
      <c r="C343" s="2260">
        <f>报表附注!I863</f>
        <v>0</v>
      </c>
      <c r="D343" s="2252" t="b">
        <f t="shared" si="10"/>
        <v>1</v>
      </c>
    </row>
    <row r="344" spans="1:4">
      <c r="A344" s="2252" t="s">
        <v>2021</v>
      </c>
      <c r="B344" s="2263" t="str">
        <f>报表附注!E864</f>
        <v>合计</v>
      </c>
      <c r="C344" s="2260">
        <f>报表附注!I864</f>
        <v>9826768.95</v>
      </c>
      <c r="D344" s="2252" t="b">
        <f t="shared" si="10"/>
        <v>1</v>
      </c>
    </row>
    <row r="345" spans="1:9">
      <c r="A345" s="1995" t="s">
        <v>2058</v>
      </c>
      <c r="B345" s="2282" t="s">
        <v>2058</v>
      </c>
      <c r="C345" s="2283"/>
      <c r="D345" s="2252" t="b">
        <f t="shared" si="10"/>
        <v>1</v>
      </c>
      <c r="F345" s="2252"/>
      <c r="H345" s="2283"/>
      <c r="I345" s="2283"/>
    </row>
    <row r="346" spans="1:9">
      <c r="A346" s="1995" t="s">
        <v>589</v>
      </c>
      <c r="B346" s="2284" t="str">
        <f>报表附注!E849</f>
        <v>原材料</v>
      </c>
      <c r="C346" s="2260">
        <f>报表附注!J849</f>
        <v>0</v>
      </c>
      <c r="D346" s="2252" t="b">
        <f t="shared" si="10"/>
        <v>1</v>
      </c>
      <c r="F346" s="2252"/>
      <c r="H346" s="2283"/>
      <c r="I346" s="2283"/>
    </row>
    <row r="347" spans="1:9">
      <c r="A347" s="1995" t="s">
        <v>2047</v>
      </c>
      <c r="B347" s="2284" t="str">
        <f>报表附注!E850</f>
        <v>在产品</v>
      </c>
      <c r="C347" s="2260">
        <f>报表附注!J850</f>
        <v>0</v>
      </c>
      <c r="D347" s="2252" t="b">
        <f t="shared" si="10"/>
        <v>0</v>
      </c>
      <c r="F347" s="2252"/>
      <c r="H347" s="2283"/>
      <c r="I347" s="2283"/>
    </row>
    <row r="348" spans="1:9">
      <c r="A348" s="1995" t="s">
        <v>593</v>
      </c>
      <c r="B348" s="2284" t="str">
        <f>报表附注!E851</f>
        <v>产成品</v>
      </c>
      <c r="C348" s="2260">
        <f>报表附注!J851</f>
        <v>0</v>
      </c>
      <c r="D348" s="2252" t="b">
        <f t="shared" si="10"/>
        <v>0</v>
      </c>
      <c r="F348" s="2252"/>
      <c r="H348" s="2283"/>
      <c r="I348" s="2283"/>
    </row>
    <row r="349" spans="1:9">
      <c r="A349" s="1995" t="s">
        <v>587</v>
      </c>
      <c r="B349" s="2284" t="str">
        <f>报表附注!E852</f>
        <v>低值易耗品</v>
      </c>
      <c r="C349" s="2260">
        <f>报表附注!J852</f>
        <v>0</v>
      </c>
      <c r="D349" s="2252" t="b">
        <f t="shared" si="10"/>
        <v>0</v>
      </c>
      <c r="F349" s="2252"/>
      <c r="H349" s="2283"/>
      <c r="I349" s="2283"/>
    </row>
    <row r="350" spans="1:9">
      <c r="A350" s="1995" t="s">
        <v>2048</v>
      </c>
      <c r="B350" s="2284" t="str">
        <f>报表附注!E853</f>
        <v>包装物</v>
      </c>
      <c r="C350" s="2260">
        <f>报表附注!J853</f>
        <v>0</v>
      </c>
      <c r="D350" s="2252" t="b">
        <f t="shared" si="10"/>
        <v>0</v>
      </c>
      <c r="F350" s="2252"/>
      <c r="H350" s="2283"/>
      <c r="I350" s="2283"/>
    </row>
    <row r="351" spans="1:9">
      <c r="A351" s="1995" t="s">
        <v>597</v>
      </c>
      <c r="B351" s="2284" t="str">
        <f>报表附注!E854</f>
        <v>委托加工物资</v>
      </c>
      <c r="C351" s="2260">
        <f>报表附注!J854</f>
        <v>0</v>
      </c>
      <c r="D351" s="2252" t="b">
        <f t="shared" si="10"/>
        <v>1</v>
      </c>
      <c r="F351" s="2252"/>
      <c r="H351" s="2283"/>
      <c r="I351" s="2283"/>
    </row>
    <row r="352" spans="1:9">
      <c r="A352" s="1995" t="s">
        <v>2049</v>
      </c>
      <c r="B352" s="2284" t="str">
        <f>报表附注!E855</f>
        <v>发出商品</v>
      </c>
      <c r="C352" s="2260">
        <f>报表附注!J855</f>
        <v>0</v>
      </c>
      <c r="D352" s="2252" t="b">
        <f t="shared" si="10"/>
        <v>0</v>
      </c>
      <c r="F352" s="2252"/>
      <c r="H352" s="2283"/>
      <c r="I352" s="2283"/>
    </row>
    <row r="353" spans="1:9">
      <c r="A353" s="1995" t="s">
        <v>2050</v>
      </c>
      <c r="B353" s="2284" t="str">
        <f>报表附注!E856</f>
        <v>增加项目1-工程施工</v>
      </c>
      <c r="C353" s="2260">
        <f>报表附注!J856</f>
        <v>0</v>
      </c>
      <c r="D353" s="2252" t="b">
        <f t="shared" si="10"/>
        <v>0</v>
      </c>
      <c r="F353" s="2252"/>
      <c r="H353" s="2283"/>
      <c r="I353" s="2283"/>
    </row>
    <row r="354" spans="1:9">
      <c r="A354" s="1995" t="s">
        <v>2051</v>
      </c>
      <c r="B354" s="2284" t="str">
        <f>报表附注!E857</f>
        <v>增加项目2-</v>
      </c>
      <c r="C354" s="2260">
        <f>报表附注!J857</f>
        <v>0</v>
      </c>
      <c r="D354" s="2252" t="b">
        <f t="shared" si="10"/>
        <v>1</v>
      </c>
      <c r="F354" s="2252"/>
      <c r="H354" s="2283"/>
      <c r="I354" s="2283"/>
    </row>
    <row r="355" spans="1:9">
      <c r="A355" s="1995" t="s">
        <v>2052</v>
      </c>
      <c r="B355" s="2284" t="str">
        <f>报表附注!E858</f>
        <v>增加项目3-</v>
      </c>
      <c r="C355" s="2260">
        <f>报表附注!J858</f>
        <v>0</v>
      </c>
      <c r="D355" s="2252" t="b">
        <f t="shared" si="10"/>
        <v>1</v>
      </c>
      <c r="F355" s="2252"/>
      <c r="H355" s="2283"/>
      <c r="I355" s="2283"/>
    </row>
    <row r="356" spans="1:9">
      <c r="A356" s="1995" t="s">
        <v>2053</v>
      </c>
      <c r="B356" s="2284" t="str">
        <f>报表附注!E859</f>
        <v>增加项目4-</v>
      </c>
      <c r="C356" s="2260">
        <f>报表附注!J859</f>
        <v>0</v>
      </c>
      <c r="D356" s="2252" t="b">
        <f t="shared" si="10"/>
        <v>1</v>
      </c>
      <c r="F356" s="2252"/>
      <c r="H356" s="2283"/>
      <c r="I356" s="2283"/>
    </row>
    <row r="357" spans="1:9">
      <c r="A357" s="1995" t="s">
        <v>2054</v>
      </c>
      <c r="B357" s="2284" t="str">
        <f>报表附注!E860</f>
        <v>增加项目5-</v>
      </c>
      <c r="C357" s="2260">
        <f>报表附注!J860</f>
        <v>0</v>
      </c>
      <c r="D357" s="2252" t="b">
        <f t="shared" si="10"/>
        <v>1</v>
      </c>
      <c r="F357" s="2252"/>
      <c r="H357" s="2283"/>
      <c r="I357" s="2283"/>
    </row>
    <row r="358" spans="1:9">
      <c r="A358" s="1995" t="s">
        <v>2055</v>
      </c>
      <c r="B358" s="2284" t="str">
        <f>报表附注!E861</f>
        <v>增加项目6-</v>
      </c>
      <c r="C358" s="2260">
        <f>报表附注!J861</f>
        <v>0</v>
      </c>
      <c r="D358" s="2252" t="b">
        <f t="shared" si="10"/>
        <v>1</v>
      </c>
      <c r="F358" s="2252"/>
      <c r="H358" s="2283"/>
      <c r="I358" s="2283"/>
    </row>
    <row r="359" spans="1:9">
      <c r="A359" s="1995" t="s">
        <v>2056</v>
      </c>
      <c r="B359" s="2284" t="str">
        <f>报表附注!E862</f>
        <v>增加项目7-</v>
      </c>
      <c r="C359" s="2260">
        <f>报表附注!J862</f>
        <v>0</v>
      </c>
      <c r="D359" s="2252" t="b">
        <f t="shared" si="10"/>
        <v>1</v>
      </c>
      <c r="F359" s="2252"/>
      <c r="H359" s="2283"/>
      <c r="I359" s="2283"/>
    </row>
    <row r="360" spans="1:9">
      <c r="A360" s="1995" t="s">
        <v>2057</v>
      </c>
      <c r="B360" s="2284" t="str">
        <f>报表附注!E863</f>
        <v>增加项目8-</v>
      </c>
      <c r="C360" s="2260">
        <f>报表附注!J863</f>
        <v>0</v>
      </c>
      <c r="D360" s="2252" t="b">
        <f t="shared" si="10"/>
        <v>1</v>
      </c>
      <c r="F360" s="2252"/>
      <c r="H360" s="2283"/>
      <c r="I360" s="2283"/>
    </row>
    <row r="361" spans="1:9">
      <c r="A361" s="1995" t="s">
        <v>2021</v>
      </c>
      <c r="B361" s="2263" t="str">
        <f>报表附注!E864</f>
        <v>合计</v>
      </c>
      <c r="C361" s="2260">
        <f>报表附注!J864</f>
        <v>0</v>
      </c>
      <c r="D361" s="2252" t="b">
        <f t="shared" si="10"/>
        <v>1</v>
      </c>
      <c r="F361" s="2252"/>
      <c r="H361" s="2283"/>
      <c r="I361" s="2283"/>
    </row>
    <row r="362" spans="1:9">
      <c r="A362" s="1995" t="s">
        <v>2059</v>
      </c>
      <c r="B362" s="2282" t="s">
        <v>2059</v>
      </c>
      <c r="C362" s="2283"/>
      <c r="D362" s="2252" t="b">
        <f t="shared" si="10"/>
        <v>1</v>
      </c>
      <c r="F362" s="2252"/>
      <c r="H362" s="2283"/>
      <c r="I362" s="2283"/>
    </row>
    <row r="363" spans="1:9">
      <c r="A363" s="1995" t="s">
        <v>589</v>
      </c>
      <c r="B363" s="2284" t="str">
        <f>报表附注!E849</f>
        <v>原材料</v>
      </c>
      <c r="C363" s="2260">
        <f>报表附注!F849</f>
        <v>0</v>
      </c>
      <c r="D363" s="2252" t="b">
        <f t="shared" si="10"/>
        <v>1</v>
      </c>
      <c r="F363" s="2252"/>
      <c r="H363" s="2283"/>
      <c r="I363" s="2283"/>
    </row>
    <row r="364" spans="1:9">
      <c r="A364" s="1995" t="s">
        <v>2047</v>
      </c>
      <c r="B364" s="2284" t="str">
        <f>报表附注!E850</f>
        <v>在产品</v>
      </c>
      <c r="C364" s="2260">
        <f>报表附注!F850</f>
        <v>0</v>
      </c>
      <c r="D364" s="2252" t="b">
        <f t="shared" si="10"/>
        <v>0</v>
      </c>
      <c r="F364" s="2252"/>
      <c r="H364" s="2283"/>
      <c r="I364" s="2283"/>
    </row>
    <row r="365" spans="1:9">
      <c r="A365" s="1995" t="s">
        <v>593</v>
      </c>
      <c r="B365" s="2284" t="str">
        <f>报表附注!E851</f>
        <v>产成品</v>
      </c>
      <c r="C365" s="2260">
        <f>报表附注!F851</f>
        <v>4554574.91</v>
      </c>
      <c r="D365" s="2252" t="b">
        <f t="shared" si="10"/>
        <v>0</v>
      </c>
      <c r="F365" s="2252"/>
      <c r="H365" s="2283"/>
      <c r="I365" s="2283"/>
    </row>
    <row r="366" spans="1:9">
      <c r="A366" s="1995" t="s">
        <v>587</v>
      </c>
      <c r="B366" s="2284" t="str">
        <f>报表附注!E852</f>
        <v>低值易耗品</v>
      </c>
      <c r="C366" s="2260">
        <f>报表附注!F852</f>
        <v>0</v>
      </c>
      <c r="D366" s="2252" t="b">
        <f t="shared" si="10"/>
        <v>0</v>
      </c>
      <c r="F366" s="2252"/>
      <c r="H366" s="2283"/>
      <c r="I366" s="2283"/>
    </row>
    <row r="367" spans="1:9">
      <c r="A367" s="1995" t="s">
        <v>2048</v>
      </c>
      <c r="B367" s="2284" t="str">
        <f>报表附注!E853</f>
        <v>包装物</v>
      </c>
      <c r="C367" s="2260">
        <f>报表附注!F853</f>
        <v>0</v>
      </c>
      <c r="D367" s="2252" t="b">
        <f t="shared" si="10"/>
        <v>0</v>
      </c>
      <c r="F367" s="2252"/>
      <c r="H367" s="2283"/>
      <c r="I367" s="2283"/>
    </row>
    <row r="368" spans="1:9">
      <c r="A368" s="1995" t="s">
        <v>597</v>
      </c>
      <c r="B368" s="2284" t="str">
        <f>报表附注!E854</f>
        <v>委托加工物资</v>
      </c>
      <c r="C368" s="2260">
        <f>报表附注!F854</f>
        <v>0</v>
      </c>
      <c r="D368" s="2252" t="b">
        <f t="shared" si="10"/>
        <v>1</v>
      </c>
      <c r="F368" s="2252"/>
      <c r="H368" s="2283"/>
      <c r="I368" s="2283"/>
    </row>
    <row r="369" spans="1:9">
      <c r="A369" s="1995" t="s">
        <v>2049</v>
      </c>
      <c r="B369" s="2284" t="str">
        <f>报表附注!E855</f>
        <v>发出商品</v>
      </c>
      <c r="C369" s="2260">
        <f>报表附注!F855</f>
        <v>0</v>
      </c>
      <c r="D369" s="2252" t="b">
        <f t="shared" si="10"/>
        <v>0</v>
      </c>
      <c r="F369" s="2252"/>
      <c r="H369" s="2283"/>
      <c r="I369" s="2283"/>
    </row>
    <row r="370" spans="1:9">
      <c r="A370" s="1995" t="s">
        <v>2050</v>
      </c>
      <c r="B370" s="2284" t="str">
        <f>报表附注!E856</f>
        <v>增加项目1-工程施工</v>
      </c>
      <c r="C370" s="2260">
        <f>报表附注!F856</f>
        <v>27407838.98</v>
      </c>
      <c r="D370" s="2252" t="b">
        <f t="shared" si="10"/>
        <v>0</v>
      </c>
      <c r="F370" s="2252"/>
      <c r="H370" s="2283"/>
      <c r="I370" s="2283"/>
    </row>
    <row r="371" spans="1:9">
      <c r="A371" s="1995" t="s">
        <v>2051</v>
      </c>
      <c r="B371" s="2284" t="str">
        <f>报表附注!E857</f>
        <v>增加项目2-</v>
      </c>
      <c r="C371" s="2260">
        <f>报表附注!F857</f>
        <v>0</v>
      </c>
      <c r="D371" s="2252" t="b">
        <f t="shared" si="10"/>
        <v>1</v>
      </c>
      <c r="F371" s="2252"/>
      <c r="H371" s="2283"/>
      <c r="I371" s="2283"/>
    </row>
    <row r="372" spans="1:9">
      <c r="A372" s="1995" t="s">
        <v>2052</v>
      </c>
      <c r="B372" s="2284" t="str">
        <f>报表附注!E858</f>
        <v>增加项目3-</v>
      </c>
      <c r="C372" s="2260">
        <f>报表附注!F858</f>
        <v>0</v>
      </c>
      <c r="D372" s="2252" t="b">
        <f t="shared" si="10"/>
        <v>1</v>
      </c>
      <c r="F372" s="2252"/>
      <c r="H372" s="2283"/>
      <c r="I372" s="2283"/>
    </row>
    <row r="373" spans="1:9">
      <c r="A373" s="1995" t="s">
        <v>2053</v>
      </c>
      <c r="B373" s="2284" t="str">
        <f>报表附注!E859</f>
        <v>增加项目4-</v>
      </c>
      <c r="C373" s="2260">
        <f>报表附注!F859</f>
        <v>0</v>
      </c>
      <c r="D373" s="2252" t="b">
        <f t="shared" si="10"/>
        <v>1</v>
      </c>
      <c r="F373" s="2252"/>
      <c r="H373" s="2283"/>
      <c r="I373" s="2283"/>
    </row>
    <row r="374" spans="1:9">
      <c r="A374" s="1995" t="s">
        <v>2054</v>
      </c>
      <c r="B374" s="2284" t="str">
        <f>报表附注!E860</f>
        <v>增加项目5-</v>
      </c>
      <c r="C374" s="2260">
        <f>报表附注!F860</f>
        <v>0</v>
      </c>
      <c r="D374" s="2252" t="b">
        <f t="shared" si="10"/>
        <v>1</v>
      </c>
      <c r="F374" s="2252"/>
      <c r="H374" s="2283"/>
      <c r="I374" s="2283"/>
    </row>
    <row r="375" spans="1:9">
      <c r="A375" s="1995" t="s">
        <v>2055</v>
      </c>
      <c r="B375" s="2284" t="str">
        <f>报表附注!E861</f>
        <v>增加项目6-</v>
      </c>
      <c r="C375" s="2260">
        <f>报表附注!F861</f>
        <v>0</v>
      </c>
      <c r="D375" s="2252" t="b">
        <f t="shared" si="10"/>
        <v>1</v>
      </c>
      <c r="F375" s="2252"/>
      <c r="H375" s="2283"/>
      <c r="I375" s="2283"/>
    </row>
    <row r="376" spans="1:9">
      <c r="A376" s="1995" t="s">
        <v>2056</v>
      </c>
      <c r="B376" s="2284" t="str">
        <f>报表附注!E862</f>
        <v>增加项目7-</v>
      </c>
      <c r="C376" s="2260">
        <f>报表附注!F862</f>
        <v>0</v>
      </c>
      <c r="D376" s="2252" t="b">
        <f t="shared" si="10"/>
        <v>1</v>
      </c>
      <c r="F376" s="2252"/>
      <c r="H376" s="2283"/>
      <c r="I376" s="2283"/>
    </row>
    <row r="377" spans="1:9">
      <c r="A377" s="1995" t="s">
        <v>2057</v>
      </c>
      <c r="B377" s="2284" t="str">
        <f>报表附注!E863</f>
        <v>增加项目8-</v>
      </c>
      <c r="C377" s="2260">
        <f>报表附注!F863</f>
        <v>0</v>
      </c>
      <c r="D377" s="2252" t="b">
        <f t="shared" si="10"/>
        <v>1</v>
      </c>
      <c r="F377" s="2252"/>
      <c r="H377" s="2283"/>
      <c r="I377" s="2283"/>
    </row>
    <row r="378" spans="1:9">
      <c r="A378" s="1995" t="s">
        <v>2021</v>
      </c>
      <c r="B378" s="2263" t="str">
        <f>报表附注!E864</f>
        <v>合计</v>
      </c>
      <c r="C378" s="2260">
        <f>报表附注!F864</f>
        <v>31962413.89</v>
      </c>
      <c r="D378" s="2252" t="b">
        <f t="shared" si="10"/>
        <v>1</v>
      </c>
      <c r="F378" s="2252"/>
      <c r="H378" s="2283"/>
      <c r="I378" s="2283"/>
    </row>
    <row r="379" spans="1:4">
      <c r="A379" s="2252" t="s">
        <v>2060</v>
      </c>
      <c r="B379" s="2271" t="s">
        <v>2060</v>
      </c>
      <c r="D379" s="2252" t="b">
        <f t="shared" si="10"/>
        <v>1</v>
      </c>
    </row>
    <row r="380" spans="1:4">
      <c r="A380" s="2252" t="s">
        <v>589</v>
      </c>
      <c r="B380" s="2274" t="str">
        <f>报表附注!E849</f>
        <v>原材料</v>
      </c>
      <c r="C380" s="2260">
        <f>报表附注!G849</f>
        <v>0</v>
      </c>
      <c r="D380" s="2252" t="b">
        <f t="shared" si="10"/>
        <v>1</v>
      </c>
    </row>
    <row r="381" spans="1:4">
      <c r="A381" s="2252" t="s">
        <v>2047</v>
      </c>
      <c r="B381" s="2274" t="str">
        <f>报表附注!E850</f>
        <v>在产品</v>
      </c>
      <c r="C381" s="2260">
        <f>报表附注!G850</f>
        <v>0</v>
      </c>
      <c r="D381" s="2252" t="b">
        <f t="shared" si="10"/>
        <v>0</v>
      </c>
    </row>
    <row r="382" spans="1:4">
      <c r="A382" s="2252" t="s">
        <v>593</v>
      </c>
      <c r="B382" s="2274" t="str">
        <f>报表附注!E851</f>
        <v>产成品</v>
      </c>
      <c r="C382" s="2260">
        <f>报表附注!G851</f>
        <v>0</v>
      </c>
      <c r="D382" s="2252" t="b">
        <f t="shared" si="10"/>
        <v>0</v>
      </c>
    </row>
    <row r="383" spans="1:4">
      <c r="A383" s="2252" t="s">
        <v>587</v>
      </c>
      <c r="B383" s="2274" t="str">
        <f>报表附注!E852</f>
        <v>低值易耗品</v>
      </c>
      <c r="C383" s="2260">
        <f>报表附注!G852</f>
        <v>0</v>
      </c>
      <c r="D383" s="2252" t="b">
        <f t="shared" si="10"/>
        <v>0</v>
      </c>
    </row>
    <row r="384" spans="1:4">
      <c r="A384" s="2252" t="s">
        <v>2048</v>
      </c>
      <c r="B384" s="2274" t="str">
        <f>报表附注!E853</f>
        <v>包装物</v>
      </c>
      <c r="C384" s="2260">
        <f>报表附注!G853</f>
        <v>0</v>
      </c>
      <c r="D384" s="2252" t="b">
        <f t="shared" si="10"/>
        <v>0</v>
      </c>
    </row>
    <row r="385" spans="1:4">
      <c r="A385" s="2252" t="s">
        <v>597</v>
      </c>
      <c r="B385" s="2274" t="str">
        <f>报表附注!E854</f>
        <v>委托加工物资</v>
      </c>
      <c r="C385" s="2260">
        <f>报表附注!G854</f>
        <v>0</v>
      </c>
      <c r="D385" s="2252" t="b">
        <f t="shared" si="10"/>
        <v>1</v>
      </c>
    </row>
    <row r="386" spans="1:4">
      <c r="A386" s="2252" t="s">
        <v>2049</v>
      </c>
      <c r="B386" s="2274" t="str">
        <f>报表附注!E855</f>
        <v>发出商品</v>
      </c>
      <c r="C386" s="2260">
        <f>报表附注!G855</f>
        <v>0</v>
      </c>
      <c r="D386" s="2252" t="b">
        <f t="shared" si="10"/>
        <v>0</v>
      </c>
    </row>
    <row r="387" spans="1:4">
      <c r="A387" s="2252" t="s">
        <v>2050</v>
      </c>
      <c r="B387" s="2274" t="str">
        <f>报表附注!E856</f>
        <v>增加项目1-工程施工</v>
      </c>
      <c r="C387" s="2260">
        <f>报表附注!G856</f>
        <v>0</v>
      </c>
      <c r="D387" s="2252" t="b">
        <f t="shared" si="10"/>
        <v>0</v>
      </c>
    </row>
    <row r="388" spans="1:4">
      <c r="A388" s="2252" t="s">
        <v>2051</v>
      </c>
      <c r="B388" s="2274" t="str">
        <f>报表附注!E857</f>
        <v>增加项目2-</v>
      </c>
      <c r="C388" s="2260">
        <f>报表附注!G857</f>
        <v>0</v>
      </c>
      <c r="D388" s="2252" t="b">
        <f t="shared" si="10"/>
        <v>1</v>
      </c>
    </row>
    <row r="389" spans="1:4">
      <c r="A389" s="2252" t="s">
        <v>2052</v>
      </c>
      <c r="B389" s="2274" t="str">
        <f>报表附注!E858</f>
        <v>增加项目3-</v>
      </c>
      <c r="C389" s="2260">
        <f>报表附注!G858</f>
        <v>0</v>
      </c>
      <c r="D389" s="2252" t="b">
        <f t="shared" si="10"/>
        <v>1</v>
      </c>
    </row>
    <row r="390" spans="1:4">
      <c r="A390" s="2252" t="s">
        <v>2053</v>
      </c>
      <c r="B390" s="2274" t="str">
        <f>报表附注!E859</f>
        <v>增加项目4-</v>
      </c>
      <c r="C390" s="2260">
        <f>报表附注!G859</f>
        <v>0</v>
      </c>
      <c r="D390" s="2252" t="b">
        <f t="shared" si="10"/>
        <v>1</v>
      </c>
    </row>
    <row r="391" spans="1:4">
      <c r="A391" s="2252" t="s">
        <v>2054</v>
      </c>
      <c r="B391" s="2274" t="str">
        <f>报表附注!E860</f>
        <v>增加项目5-</v>
      </c>
      <c r="C391" s="2260">
        <f>报表附注!G860</f>
        <v>0</v>
      </c>
      <c r="D391" s="2252" t="b">
        <f t="shared" si="10"/>
        <v>1</v>
      </c>
    </row>
    <row r="392" spans="1:4">
      <c r="A392" s="2252" t="s">
        <v>2055</v>
      </c>
      <c r="B392" s="2274" t="str">
        <f>报表附注!E861</f>
        <v>增加项目6-</v>
      </c>
      <c r="C392" s="2260">
        <f>报表附注!G861</f>
        <v>0</v>
      </c>
      <c r="D392" s="2252" t="b">
        <f t="shared" si="10"/>
        <v>1</v>
      </c>
    </row>
    <row r="393" spans="1:4">
      <c r="A393" s="2252" t="s">
        <v>2056</v>
      </c>
      <c r="B393" s="2274" t="str">
        <f>报表附注!E862</f>
        <v>增加项目7-</v>
      </c>
      <c r="C393" s="2260">
        <f>报表附注!G862</f>
        <v>0</v>
      </c>
      <c r="D393" s="2252" t="b">
        <f t="shared" si="10"/>
        <v>1</v>
      </c>
    </row>
    <row r="394" spans="1:4">
      <c r="A394" s="2252" t="s">
        <v>2057</v>
      </c>
      <c r="B394" s="2274" t="str">
        <f>报表附注!E863</f>
        <v>增加项目8-</v>
      </c>
      <c r="C394" s="2260">
        <f>报表附注!G863</f>
        <v>0</v>
      </c>
      <c r="D394" s="2252" t="b">
        <f t="shared" si="10"/>
        <v>1</v>
      </c>
    </row>
    <row r="395" spans="1:4">
      <c r="A395" s="2252" t="s">
        <v>2021</v>
      </c>
      <c r="B395" s="2263" t="str">
        <f>报表附注!E864</f>
        <v>合计</v>
      </c>
      <c r="C395" s="2260">
        <f>报表附注!G864</f>
        <v>0</v>
      </c>
      <c r="D395" s="2252" t="b">
        <f t="shared" si="10"/>
        <v>1</v>
      </c>
    </row>
    <row r="396" spans="1:4">
      <c r="A396" s="2252" t="s">
        <v>2061</v>
      </c>
      <c r="B396" s="2273" t="s">
        <v>2061</v>
      </c>
      <c r="D396" s="2252" t="b">
        <f t="shared" ref="D396:D459" si="11">EXACT(A396,B396)</f>
        <v>1</v>
      </c>
    </row>
    <row r="397" spans="1:4">
      <c r="A397" s="2252" t="s">
        <v>589</v>
      </c>
      <c r="B397" s="2285" t="str">
        <f>报表附注!E869</f>
        <v>原材料</v>
      </c>
      <c r="C397" s="2260">
        <f>报表附注!F869</f>
        <v>181934</v>
      </c>
      <c r="D397" s="2252" t="b">
        <f t="shared" si="11"/>
        <v>1</v>
      </c>
    </row>
    <row r="398" spans="1:4">
      <c r="A398" s="2252" t="s">
        <v>2047</v>
      </c>
      <c r="B398" s="2285" t="str">
        <f>报表附注!E870</f>
        <v>在产品</v>
      </c>
      <c r="C398" s="2260">
        <f>报表附注!F870</f>
        <v>0</v>
      </c>
      <c r="D398" s="2252" t="b">
        <f t="shared" si="11"/>
        <v>0</v>
      </c>
    </row>
    <row r="399" spans="1:4">
      <c r="A399" s="2252" t="s">
        <v>593</v>
      </c>
      <c r="B399" s="2285" t="str">
        <f>报表附注!E871</f>
        <v>产成品</v>
      </c>
      <c r="C399" s="2260">
        <f>报表附注!F871</f>
        <v>4466870.63</v>
      </c>
      <c r="D399" s="2252" t="b">
        <f t="shared" si="11"/>
        <v>0</v>
      </c>
    </row>
    <row r="400" spans="1:4">
      <c r="A400" s="2252" t="s">
        <v>587</v>
      </c>
      <c r="B400" s="2285" t="str">
        <f>报表附注!E872</f>
        <v>低值易耗品</v>
      </c>
      <c r="C400" s="2260">
        <f>报表附注!F872</f>
        <v>0</v>
      </c>
      <c r="D400" s="2252" t="b">
        <f t="shared" si="11"/>
        <v>0</v>
      </c>
    </row>
    <row r="401" spans="1:4">
      <c r="A401" s="2252" t="s">
        <v>2048</v>
      </c>
      <c r="B401" s="2285" t="str">
        <f>报表附注!E873</f>
        <v>包装物</v>
      </c>
      <c r="C401" s="2260">
        <f>报表附注!F873</f>
        <v>0</v>
      </c>
      <c r="D401" s="2252" t="b">
        <f t="shared" si="11"/>
        <v>0</v>
      </c>
    </row>
    <row r="402" spans="1:4">
      <c r="A402" s="2252" t="s">
        <v>597</v>
      </c>
      <c r="B402" s="2285" t="str">
        <f>报表附注!E874</f>
        <v>委托加工物资</v>
      </c>
      <c r="C402" s="2260">
        <f>报表附注!F874</f>
        <v>0</v>
      </c>
      <c r="D402" s="2252" t="b">
        <f t="shared" si="11"/>
        <v>1</v>
      </c>
    </row>
    <row r="403" spans="1:4">
      <c r="A403" s="2252" t="s">
        <v>2049</v>
      </c>
      <c r="B403" s="2285" t="str">
        <f>报表附注!E875</f>
        <v>发出商品</v>
      </c>
      <c r="C403" s="2260">
        <f>报表附注!F875</f>
        <v>1046808</v>
      </c>
      <c r="D403" s="2252" t="b">
        <f t="shared" si="11"/>
        <v>0</v>
      </c>
    </row>
    <row r="404" spans="1:4">
      <c r="A404" s="2252" t="s">
        <v>2050</v>
      </c>
      <c r="B404" s="2285" t="str">
        <f>报表附注!E876</f>
        <v>增加项目1-工程施工</v>
      </c>
      <c r="C404" s="2260">
        <f>报表附注!F876</f>
        <v>4131156.32</v>
      </c>
      <c r="D404" s="2252" t="b">
        <f t="shared" si="11"/>
        <v>0</v>
      </c>
    </row>
    <row r="405" spans="1:4">
      <c r="A405" s="2252" t="s">
        <v>2051</v>
      </c>
      <c r="B405" s="2285" t="str">
        <f>报表附注!E877</f>
        <v>增加项目2-</v>
      </c>
      <c r="C405" s="2260">
        <f>报表附注!F877</f>
        <v>0</v>
      </c>
      <c r="D405" s="2252" t="b">
        <f t="shared" si="11"/>
        <v>1</v>
      </c>
    </row>
    <row r="406" spans="1:4">
      <c r="A406" s="2252" t="s">
        <v>2052</v>
      </c>
      <c r="B406" s="2285" t="str">
        <f>报表附注!E878</f>
        <v>增加项目3-</v>
      </c>
      <c r="C406" s="2260">
        <f>报表附注!F878</f>
        <v>0</v>
      </c>
      <c r="D406" s="2252" t="b">
        <f t="shared" si="11"/>
        <v>1</v>
      </c>
    </row>
    <row r="407" spans="1:4">
      <c r="A407" s="2252" t="s">
        <v>2053</v>
      </c>
      <c r="B407" s="2285" t="str">
        <f>报表附注!E879</f>
        <v>增加项目4-</v>
      </c>
      <c r="C407" s="2260">
        <f>报表附注!F879</f>
        <v>0</v>
      </c>
      <c r="D407" s="2252" t="b">
        <f t="shared" si="11"/>
        <v>1</v>
      </c>
    </row>
    <row r="408" spans="1:4">
      <c r="A408" s="2252" t="s">
        <v>2054</v>
      </c>
      <c r="B408" s="2285" t="str">
        <f>报表附注!E880</f>
        <v>增加项目5-</v>
      </c>
      <c r="C408" s="2260">
        <f>报表附注!F880</f>
        <v>0</v>
      </c>
      <c r="D408" s="2252" t="b">
        <f t="shared" si="11"/>
        <v>1</v>
      </c>
    </row>
    <row r="409" spans="1:4">
      <c r="A409" s="2252" t="s">
        <v>2055</v>
      </c>
      <c r="B409" s="2285" t="str">
        <f>报表附注!E881</f>
        <v>增加项目6-</v>
      </c>
      <c r="C409" s="2260">
        <f>报表附注!F881</f>
        <v>0</v>
      </c>
      <c r="D409" s="2252" t="b">
        <f t="shared" si="11"/>
        <v>1</v>
      </c>
    </row>
    <row r="410" spans="1:4">
      <c r="A410" s="2252" t="s">
        <v>2056</v>
      </c>
      <c r="B410" s="2285" t="str">
        <f>报表附注!E882</f>
        <v>增加项目7-</v>
      </c>
      <c r="C410" s="2260">
        <f>报表附注!F882</f>
        <v>0</v>
      </c>
      <c r="D410" s="2252" t="b">
        <f t="shared" si="11"/>
        <v>1</v>
      </c>
    </row>
    <row r="411" spans="1:4">
      <c r="A411" s="2252" t="s">
        <v>2057</v>
      </c>
      <c r="B411" s="2285" t="str">
        <f>报表附注!E883</f>
        <v>增加项目8-</v>
      </c>
      <c r="C411" s="2260">
        <f>报表附注!F883</f>
        <v>0</v>
      </c>
      <c r="D411" s="2252" t="b">
        <f t="shared" si="11"/>
        <v>1</v>
      </c>
    </row>
    <row r="412" spans="1:4">
      <c r="A412" s="2252" t="s">
        <v>2021</v>
      </c>
      <c r="B412" s="2262" t="str">
        <f>报表附注!E884</f>
        <v>合计</v>
      </c>
      <c r="C412" s="2260">
        <f>报表附注!F884</f>
        <v>9826768.95</v>
      </c>
      <c r="D412" s="2252" t="b">
        <f t="shared" si="11"/>
        <v>1</v>
      </c>
    </row>
    <row r="413" spans="1:4">
      <c r="A413" s="2252" t="s">
        <v>2062</v>
      </c>
      <c r="B413" s="2273" t="s">
        <v>2062</v>
      </c>
      <c r="D413" s="2252" t="b">
        <f t="shared" si="11"/>
        <v>1</v>
      </c>
    </row>
    <row r="414" spans="1:4">
      <c r="A414" s="2252" t="s">
        <v>589</v>
      </c>
      <c r="B414" s="2285" t="str">
        <f>报表附注!E869</f>
        <v>原材料</v>
      </c>
      <c r="C414" s="2260">
        <f>报表附注!G869</f>
        <v>14967508.43</v>
      </c>
      <c r="D414" s="2252" t="b">
        <f t="shared" si="11"/>
        <v>1</v>
      </c>
    </row>
    <row r="415" spans="1:4">
      <c r="A415" s="2252" t="s">
        <v>2047</v>
      </c>
      <c r="B415" s="2285" t="str">
        <f>报表附注!E870</f>
        <v>在产品</v>
      </c>
      <c r="C415" s="2260">
        <f>报表附注!G870</f>
        <v>0</v>
      </c>
      <c r="D415" s="2252" t="b">
        <f t="shared" si="11"/>
        <v>0</v>
      </c>
    </row>
    <row r="416" spans="1:4">
      <c r="A416" s="2252" t="s">
        <v>593</v>
      </c>
      <c r="B416" s="2285" t="str">
        <f>报表附注!E871</f>
        <v>产成品</v>
      </c>
      <c r="C416" s="2260">
        <f>报表附注!G871</f>
        <v>86907303.87</v>
      </c>
      <c r="D416" s="2252" t="b">
        <f t="shared" si="11"/>
        <v>0</v>
      </c>
    </row>
    <row r="417" spans="1:4">
      <c r="A417" s="2252" t="s">
        <v>587</v>
      </c>
      <c r="B417" s="2285" t="str">
        <f>报表附注!E872</f>
        <v>低值易耗品</v>
      </c>
      <c r="C417" s="2260">
        <f>报表附注!G872</f>
        <v>23367.38</v>
      </c>
      <c r="D417" s="2252" t="b">
        <f t="shared" si="11"/>
        <v>0</v>
      </c>
    </row>
    <row r="418" spans="1:4">
      <c r="A418" s="2252" t="s">
        <v>2048</v>
      </c>
      <c r="B418" s="2285" t="str">
        <f>报表附注!E873</f>
        <v>包装物</v>
      </c>
      <c r="C418" s="2260">
        <f>报表附注!G873</f>
        <v>0</v>
      </c>
      <c r="D418" s="2252" t="b">
        <f t="shared" si="11"/>
        <v>0</v>
      </c>
    </row>
    <row r="419" spans="1:4">
      <c r="A419" s="2252" t="s">
        <v>597</v>
      </c>
      <c r="B419" s="2285" t="str">
        <f>报表附注!E874</f>
        <v>委托加工物资</v>
      </c>
      <c r="C419" s="2260">
        <f>报表附注!G874</f>
        <v>1678807.55</v>
      </c>
      <c r="D419" s="2252" t="b">
        <f t="shared" si="11"/>
        <v>1</v>
      </c>
    </row>
    <row r="420" spans="1:4">
      <c r="A420" s="2252" t="s">
        <v>2049</v>
      </c>
      <c r="B420" s="2285" t="str">
        <f>报表附注!E875</f>
        <v>发出商品</v>
      </c>
      <c r="C420" s="2260">
        <f>报表附注!G875</f>
        <v>0</v>
      </c>
      <c r="D420" s="2252" t="b">
        <f t="shared" si="11"/>
        <v>0</v>
      </c>
    </row>
    <row r="421" spans="1:4">
      <c r="A421" s="2252" t="s">
        <v>2050</v>
      </c>
      <c r="B421" s="2285" t="str">
        <f>报表附注!E876</f>
        <v>增加项目1-工程施工</v>
      </c>
      <c r="C421" s="2260">
        <f>报表附注!G876</f>
        <v>59721594.49</v>
      </c>
      <c r="D421" s="2252" t="b">
        <f t="shared" si="11"/>
        <v>0</v>
      </c>
    </row>
    <row r="422" spans="1:4">
      <c r="A422" s="2252" t="s">
        <v>2051</v>
      </c>
      <c r="B422" s="2285" t="str">
        <f>报表附注!E877</f>
        <v>增加项目2-</v>
      </c>
      <c r="C422" s="2260">
        <f>报表附注!G877</f>
        <v>0</v>
      </c>
      <c r="D422" s="2252" t="b">
        <f t="shared" si="11"/>
        <v>1</v>
      </c>
    </row>
    <row r="423" spans="1:4">
      <c r="A423" s="2252" t="s">
        <v>2052</v>
      </c>
      <c r="B423" s="2285" t="str">
        <f>报表附注!E878</f>
        <v>增加项目3-</v>
      </c>
      <c r="C423" s="2260">
        <f>报表附注!G878</f>
        <v>0</v>
      </c>
      <c r="D423" s="2252" t="b">
        <f t="shared" si="11"/>
        <v>1</v>
      </c>
    </row>
    <row r="424" spans="1:4">
      <c r="A424" s="2252" t="s">
        <v>2053</v>
      </c>
      <c r="B424" s="2285" t="str">
        <f>报表附注!E879</f>
        <v>增加项目4-</v>
      </c>
      <c r="C424" s="2260">
        <f>报表附注!G879</f>
        <v>0</v>
      </c>
      <c r="D424" s="2252" t="b">
        <f t="shared" si="11"/>
        <v>1</v>
      </c>
    </row>
    <row r="425" spans="1:4">
      <c r="A425" s="2252" t="s">
        <v>2054</v>
      </c>
      <c r="B425" s="2285" t="str">
        <f>报表附注!E880</f>
        <v>增加项目5-</v>
      </c>
      <c r="C425" s="2260">
        <f>报表附注!G880</f>
        <v>0</v>
      </c>
      <c r="D425" s="2252" t="b">
        <f t="shared" si="11"/>
        <v>1</v>
      </c>
    </row>
    <row r="426" spans="1:4">
      <c r="A426" s="2252" t="s">
        <v>2055</v>
      </c>
      <c r="B426" s="2285" t="str">
        <f>报表附注!E881</f>
        <v>增加项目6-</v>
      </c>
      <c r="C426" s="2260">
        <f>报表附注!G881</f>
        <v>0</v>
      </c>
      <c r="D426" s="2252" t="b">
        <f t="shared" si="11"/>
        <v>1</v>
      </c>
    </row>
    <row r="427" spans="1:4">
      <c r="A427" s="2252" t="s">
        <v>2056</v>
      </c>
      <c r="B427" s="2285" t="str">
        <f>报表附注!E882</f>
        <v>增加项目7-</v>
      </c>
      <c r="C427" s="2260">
        <f>报表附注!G882</f>
        <v>0</v>
      </c>
      <c r="D427" s="2252" t="b">
        <f t="shared" si="11"/>
        <v>1</v>
      </c>
    </row>
    <row r="428" spans="1:4">
      <c r="A428" s="2252" t="s">
        <v>2057</v>
      </c>
      <c r="B428" s="2285" t="str">
        <f>报表附注!E883</f>
        <v>增加项目8-</v>
      </c>
      <c r="C428" s="2260">
        <f>报表附注!G883</f>
        <v>0</v>
      </c>
      <c r="D428" s="2252" t="b">
        <f t="shared" si="11"/>
        <v>1</v>
      </c>
    </row>
    <row r="429" spans="1:4">
      <c r="A429" s="2252" t="s">
        <v>2021</v>
      </c>
      <c r="B429" s="2262" t="str">
        <f>报表附注!E884</f>
        <v>合计</v>
      </c>
      <c r="C429" s="2260">
        <f>报表附注!G884</f>
        <v>163298581.72</v>
      </c>
      <c r="D429" s="2252" t="b">
        <f t="shared" si="11"/>
        <v>1</v>
      </c>
    </row>
    <row r="430" spans="1:4">
      <c r="A430" s="2252" t="s">
        <v>2063</v>
      </c>
      <c r="B430" s="2273" t="s">
        <v>2063</v>
      </c>
      <c r="D430" s="2252" t="b">
        <f t="shared" si="11"/>
        <v>1</v>
      </c>
    </row>
    <row r="431" spans="1:4">
      <c r="A431" s="2252" t="s">
        <v>589</v>
      </c>
      <c r="B431" s="2285" t="str">
        <f>报表附注!E869</f>
        <v>原材料</v>
      </c>
      <c r="C431" s="2260">
        <f>报表附注!H869</f>
        <v>15149442.43</v>
      </c>
      <c r="D431" s="2252" t="b">
        <f t="shared" si="11"/>
        <v>1</v>
      </c>
    </row>
    <row r="432" spans="1:4">
      <c r="A432" s="2252" t="s">
        <v>2047</v>
      </c>
      <c r="B432" s="2285" t="str">
        <f>报表附注!E870</f>
        <v>在产品</v>
      </c>
      <c r="C432" s="2260">
        <f>报表附注!H870</f>
        <v>0</v>
      </c>
      <c r="D432" s="2252" t="b">
        <f t="shared" si="11"/>
        <v>0</v>
      </c>
    </row>
    <row r="433" spans="1:4">
      <c r="A433" s="2252" t="s">
        <v>593</v>
      </c>
      <c r="B433" s="2285" t="str">
        <f>报表附注!E871</f>
        <v>产成品</v>
      </c>
      <c r="C433" s="2260">
        <f>报表附注!H871</f>
        <v>86819599.59</v>
      </c>
      <c r="D433" s="2252" t="b">
        <f t="shared" si="11"/>
        <v>0</v>
      </c>
    </row>
    <row r="434" spans="1:4">
      <c r="A434" s="2252" t="s">
        <v>587</v>
      </c>
      <c r="B434" s="2285" t="str">
        <f>报表附注!E872</f>
        <v>低值易耗品</v>
      </c>
      <c r="C434" s="2260">
        <f>报表附注!H872</f>
        <v>23367.38</v>
      </c>
      <c r="D434" s="2252" t="b">
        <f t="shared" si="11"/>
        <v>0</v>
      </c>
    </row>
    <row r="435" spans="1:4">
      <c r="A435" s="2252" t="s">
        <v>2048</v>
      </c>
      <c r="B435" s="2285" t="str">
        <f>报表附注!E873</f>
        <v>包装物</v>
      </c>
      <c r="C435" s="2260">
        <f>报表附注!H873</f>
        <v>0</v>
      </c>
      <c r="D435" s="2252" t="b">
        <f t="shared" si="11"/>
        <v>0</v>
      </c>
    </row>
    <row r="436" spans="1:4">
      <c r="A436" s="2252" t="s">
        <v>597</v>
      </c>
      <c r="B436" s="2285" t="str">
        <f>报表附注!E874</f>
        <v>委托加工物资</v>
      </c>
      <c r="C436" s="2260">
        <f>报表附注!H874</f>
        <v>1678807.55</v>
      </c>
      <c r="D436" s="2252" t="b">
        <f t="shared" si="11"/>
        <v>1</v>
      </c>
    </row>
    <row r="437" spans="1:4">
      <c r="A437" s="2252" t="s">
        <v>2049</v>
      </c>
      <c r="B437" s="2285" t="str">
        <f>报表附注!E875</f>
        <v>发出商品</v>
      </c>
      <c r="C437" s="2260">
        <f>报表附注!H875</f>
        <v>1046808</v>
      </c>
      <c r="D437" s="2252" t="b">
        <f t="shared" si="11"/>
        <v>0</v>
      </c>
    </row>
    <row r="438" spans="1:4">
      <c r="A438" s="2252" t="s">
        <v>2050</v>
      </c>
      <c r="B438" s="2285" t="str">
        <f>报表附注!E876</f>
        <v>增加项目1-工程施工</v>
      </c>
      <c r="C438" s="2260">
        <f>报表附注!H876</f>
        <v>36444911.83</v>
      </c>
      <c r="D438" s="2252" t="b">
        <f t="shared" si="11"/>
        <v>0</v>
      </c>
    </row>
    <row r="439" spans="1:4">
      <c r="A439" s="2252" t="s">
        <v>2051</v>
      </c>
      <c r="B439" s="2285" t="str">
        <f>报表附注!E877</f>
        <v>增加项目2-</v>
      </c>
      <c r="C439" s="2260">
        <f>报表附注!H877</f>
        <v>0</v>
      </c>
      <c r="D439" s="2252" t="b">
        <f t="shared" si="11"/>
        <v>1</v>
      </c>
    </row>
    <row r="440" spans="1:4">
      <c r="A440" s="2252" t="s">
        <v>2052</v>
      </c>
      <c r="B440" s="2285" t="str">
        <f>报表附注!E878</f>
        <v>增加项目3-</v>
      </c>
      <c r="C440" s="2260">
        <f>报表附注!H878</f>
        <v>0</v>
      </c>
      <c r="D440" s="2252" t="b">
        <f t="shared" si="11"/>
        <v>1</v>
      </c>
    </row>
    <row r="441" spans="1:4">
      <c r="A441" s="2252" t="s">
        <v>2053</v>
      </c>
      <c r="B441" s="2285" t="str">
        <f>报表附注!E879</f>
        <v>增加项目4-</v>
      </c>
      <c r="C441" s="2260">
        <f>报表附注!H879</f>
        <v>0</v>
      </c>
      <c r="D441" s="2252" t="b">
        <f t="shared" si="11"/>
        <v>1</v>
      </c>
    </row>
    <row r="442" spans="1:4">
      <c r="A442" s="2252" t="s">
        <v>2054</v>
      </c>
      <c r="B442" s="2285" t="str">
        <f>报表附注!E880</f>
        <v>增加项目5-</v>
      </c>
      <c r="C442" s="2260">
        <f>报表附注!H880</f>
        <v>0</v>
      </c>
      <c r="D442" s="2252" t="b">
        <f t="shared" si="11"/>
        <v>1</v>
      </c>
    </row>
    <row r="443" spans="1:4">
      <c r="A443" s="2252" t="s">
        <v>2055</v>
      </c>
      <c r="B443" s="2285" t="str">
        <f>报表附注!E881</f>
        <v>增加项目6-</v>
      </c>
      <c r="C443" s="2260">
        <f>报表附注!H881</f>
        <v>0</v>
      </c>
      <c r="D443" s="2252" t="b">
        <f t="shared" si="11"/>
        <v>1</v>
      </c>
    </row>
    <row r="444" spans="1:4">
      <c r="A444" s="2252" t="s">
        <v>2056</v>
      </c>
      <c r="B444" s="2285" t="str">
        <f>报表附注!E882</f>
        <v>增加项目7-</v>
      </c>
      <c r="C444" s="2260">
        <f>报表附注!H882</f>
        <v>0</v>
      </c>
      <c r="D444" s="2252" t="b">
        <f t="shared" si="11"/>
        <v>1</v>
      </c>
    </row>
    <row r="445" spans="1:4">
      <c r="A445" s="2252" t="s">
        <v>2057</v>
      </c>
      <c r="B445" s="2285" t="str">
        <f>报表附注!E883</f>
        <v>增加项目8-</v>
      </c>
      <c r="C445" s="2260">
        <f>报表附注!H883</f>
        <v>0</v>
      </c>
      <c r="D445" s="2252" t="b">
        <f t="shared" si="11"/>
        <v>1</v>
      </c>
    </row>
    <row r="446" spans="1:4">
      <c r="A446" s="2252" t="s">
        <v>2021</v>
      </c>
      <c r="B446" s="2262" t="str">
        <f>报表附注!E884</f>
        <v>合计</v>
      </c>
      <c r="C446" s="2260">
        <f>报表附注!H884</f>
        <v>141162936.78</v>
      </c>
      <c r="D446" s="2252" t="b">
        <f t="shared" si="11"/>
        <v>1</v>
      </c>
    </row>
    <row r="447" spans="1:4">
      <c r="A447" s="2252" t="s">
        <v>2020</v>
      </c>
      <c r="B447" s="2271" t="s">
        <v>2020</v>
      </c>
      <c r="D447" s="2252" t="b">
        <f t="shared" si="11"/>
        <v>1</v>
      </c>
    </row>
    <row r="448" spans="1:4">
      <c r="A448" s="2252" t="s">
        <v>61</v>
      </c>
      <c r="B448" s="2253" t="str">
        <f>报表附注!E887</f>
        <v>项目</v>
      </c>
      <c r="D448" s="2252" t="b">
        <f t="shared" si="11"/>
        <v>1</v>
      </c>
    </row>
    <row r="449" spans="1:4">
      <c r="A449" s="2252" t="s">
        <v>838</v>
      </c>
      <c r="B449" s="2253" t="str">
        <f>报表附注!E888</f>
        <v>一、种植业</v>
      </c>
      <c r="C449" s="2260">
        <f>报表附注!G888</f>
        <v>0</v>
      </c>
      <c r="D449" s="2252" t="b">
        <f t="shared" si="11"/>
        <v>1</v>
      </c>
    </row>
    <row r="450" spans="1:4">
      <c r="A450" s="2252">
        <v>1</v>
      </c>
      <c r="B450" s="2253">
        <f>报表附注!E889</f>
        <v>1</v>
      </c>
      <c r="C450" s="2260">
        <f>报表附注!G889</f>
        <v>0</v>
      </c>
      <c r="D450" s="2252" t="b">
        <f t="shared" si="11"/>
        <v>1</v>
      </c>
    </row>
    <row r="451" spans="1:4">
      <c r="A451" s="2252">
        <v>2</v>
      </c>
      <c r="B451" s="2253">
        <f>报表附注!E890</f>
        <v>2</v>
      </c>
      <c r="C451" s="2260">
        <f>报表附注!G890</f>
        <v>0</v>
      </c>
      <c r="D451" s="2252" t="b">
        <f t="shared" si="11"/>
        <v>1</v>
      </c>
    </row>
    <row r="452" spans="1:4">
      <c r="A452" s="2252" t="s">
        <v>841</v>
      </c>
      <c r="B452" s="2253" t="str">
        <f>报表附注!E891</f>
        <v>二、畜牧养殖业</v>
      </c>
      <c r="C452" s="2260">
        <f>报表附注!G891</f>
        <v>0</v>
      </c>
      <c r="D452" s="2252" t="b">
        <f t="shared" si="11"/>
        <v>1</v>
      </c>
    </row>
    <row r="453" spans="1:4">
      <c r="A453" s="2252">
        <v>1</v>
      </c>
      <c r="B453" s="2253">
        <f>报表附注!E892</f>
        <v>1</v>
      </c>
      <c r="C453" s="2260">
        <f>报表附注!G892</f>
        <v>0</v>
      </c>
      <c r="D453" s="2252" t="b">
        <f t="shared" si="11"/>
        <v>1</v>
      </c>
    </row>
    <row r="454" spans="1:4">
      <c r="A454" s="2252">
        <v>2</v>
      </c>
      <c r="B454" s="2253">
        <f>报表附注!E893</f>
        <v>2</v>
      </c>
      <c r="C454" s="2260">
        <f>报表附注!G893</f>
        <v>0</v>
      </c>
      <c r="D454" s="2252" t="b">
        <f t="shared" si="11"/>
        <v>1</v>
      </c>
    </row>
    <row r="455" spans="1:4">
      <c r="A455" s="2252" t="s">
        <v>844</v>
      </c>
      <c r="B455" s="2253" t="str">
        <f>报表附注!E894</f>
        <v>三、林业</v>
      </c>
      <c r="C455" s="2260">
        <f>报表附注!G894</f>
        <v>0</v>
      </c>
      <c r="D455" s="2252" t="b">
        <f t="shared" si="11"/>
        <v>1</v>
      </c>
    </row>
    <row r="456" spans="1:4">
      <c r="A456" s="2252">
        <v>1</v>
      </c>
      <c r="B456" s="2253">
        <f>报表附注!E895</f>
        <v>1</v>
      </c>
      <c r="C456" s="2260">
        <f>报表附注!G895</f>
        <v>0</v>
      </c>
      <c r="D456" s="2252" t="b">
        <f t="shared" si="11"/>
        <v>1</v>
      </c>
    </row>
    <row r="457" spans="1:4">
      <c r="A457" s="2252">
        <v>2</v>
      </c>
      <c r="B457" s="2253">
        <f>报表附注!E896</f>
        <v>2</v>
      </c>
      <c r="C457" s="2260">
        <f>报表附注!G896</f>
        <v>0</v>
      </c>
      <c r="D457" s="2252" t="b">
        <f t="shared" si="11"/>
        <v>1</v>
      </c>
    </row>
    <row r="458" spans="1:4">
      <c r="A458" s="2252" t="s">
        <v>847</v>
      </c>
      <c r="B458" s="2253" t="str">
        <f>报表附注!E897</f>
        <v>四、水产业</v>
      </c>
      <c r="C458" s="2260">
        <f>报表附注!G897</f>
        <v>0</v>
      </c>
      <c r="D458" s="2252" t="b">
        <f t="shared" si="11"/>
        <v>1</v>
      </c>
    </row>
    <row r="459" spans="1:4">
      <c r="A459" s="2252">
        <v>1</v>
      </c>
      <c r="B459" s="2253">
        <f>报表附注!E898</f>
        <v>1</v>
      </c>
      <c r="C459" s="2260">
        <f>报表附注!G898</f>
        <v>0</v>
      </c>
      <c r="D459" s="2252" t="b">
        <f t="shared" si="11"/>
        <v>1</v>
      </c>
    </row>
    <row r="460" spans="1:4">
      <c r="A460" s="2252">
        <v>2</v>
      </c>
      <c r="B460" s="2253">
        <f>报表附注!E899</f>
        <v>2</v>
      </c>
      <c r="C460" s="2260">
        <f>报表附注!G899</f>
        <v>0</v>
      </c>
      <c r="D460" s="2252" t="b">
        <f t="shared" ref="D460:D523" si="12">EXACT(A460,B460)</f>
        <v>1</v>
      </c>
    </row>
    <row r="461" spans="1:4">
      <c r="A461" s="2252" t="s">
        <v>2021</v>
      </c>
      <c r="B461" s="2263" t="str">
        <f>报表附注!E900</f>
        <v>合计</v>
      </c>
      <c r="C461" s="2260">
        <f>报表附注!G900</f>
        <v>0</v>
      </c>
      <c r="D461" s="2252" t="b">
        <f t="shared" si="12"/>
        <v>1</v>
      </c>
    </row>
    <row r="462" spans="1:4">
      <c r="A462" s="2252" t="s">
        <v>316</v>
      </c>
      <c r="B462" s="2271" t="s">
        <v>316</v>
      </c>
      <c r="D462" s="2252" t="b">
        <f t="shared" si="12"/>
        <v>1</v>
      </c>
    </row>
    <row r="463" spans="1:4">
      <c r="A463" s="2252" t="s">
        <v>61</v>
      </c>
      <c r="B463" s="2253" t="str">
        <f>报表附注!E887</f>
        <v>项目</v>
      </c>
      <c r="D463" s="2252" t="b">
        <f t="shared" si="12"/>
        <v>1</v>
      </c>
    </row>
    <row r="464" spans="1:4">
      <c r="A464" s="2252" t="s">
        <v>838</v>
      </c>
      <c r="B464" s="2253" t="str">
        <f>报表附注!E888</f>
        <v>一、种植业</v>
      </c>
      <c r="C464" s="2260">
        <f>报表附注!F888</f>
        <v>0</v>
      </c>
      <c r="D464" s="2252" t="b">
        <f t="shared" si="12"/>
        <v>1</v>
      </c>
    </row>
    <row r="465" spans="1:4">
      <c r="A465" s="2252">
        <v>1</v>
      </c>
      <c r="B465" s="2253">
        <f>报表附注!E889</f>
        <v>1</v>
      </c>
      <c r="C465" s="2260">
        <f>报表附注!F889</f>
        <v>0</v>
      </c>
      <c r="D465" s="2252" t="b">
        <f t="shared" si="12"/>
        <v>1</v>
      </c>
    </row>
    <row r="466" spans="1:4">
      <c r="A466" s="2252">
        <v>2</v>
      </c>
      <c r="B466" s="2253">
        <f>报表附注!E890</f>
        <v>2</v>
      </c>
      <c r="C466" s="2260">
        <f>报表附注!F890</f>
        <v>0</v>
      </c>
      <c r="D466" s="2252" t="b">
        <f t="shared" si="12"/>
        <v>1</v>
      </c>
    </row>
    <row r="467" spans="1:4">
      <c r="A467" s="2252" t="s">
        <v>841</v>
      </c>
      <c r="B467" s="2253" t="str">
        <f>报表附注!E891</f>
        <v>二、畜牧养殖业</v>
      </c>
      <c r="C467" s="2260">
        <f>报表附注!F891</f>
        <v>0</v>
      </c>
      <c r="D467" s="2252" t="b">
        <f t="shared" si="12"/>
        <v>1</v>
      </c>
    </row>
    <row r="468" spans="1:4">
      <c r="A468" s="2252">
        <v>1</v>
      </c>
      <c r="B468" s="2253">
        <f>报表附注!E892</f>
        <v>1</v>
      </c>
      <c r="C468" s="2260">
        <f>报表附注!F892</f>
        <v>0</v>
      </c>
      <c r="D468" s="2252" t="b">
        <f t="shared" si="12"/>
        <v>1</v>
      </c>
    </row>
    <row r="469" spans="1:4">
      <c r="A469" s="2252">
        <v>2</v>
      </c>
      <c r="B469" s="2253">
        <f>报表附注!E893</f>
        <v>2</v>
      </c>
      <c r="C469" s="2260">
        <f>报表附注!F893</f>
        <v>0</v>
      </c>
      <c r="D469" s="2252" t="b">
        <f t="shared" si="12"/>
        <v>1</v>
      </c>
    </row>
    <row r="470" spans="1:4">
      <c r="A470" s="2252" t="s">
        <v>844</v>
      </c>
      <c r="B470" s="2253" t="str">
        <f>报表附注!E894</f>
        <v>三、林业</v>
      </c>
      <c r="C470" s="2260">
        <f>报表附注!F894</f>
        <v>0</v>
      </c>
      <c r="D470" s="2252" t="b">
        <f t="shared" si="12"/>
        <v>1</v>
      </c>
    </row>
    <row r="471" spans="1:4">
      <c r="A471" s="2252">
        <v>1</v>
      </c>
      <c r="B471" s="2253">
        <f>报表附注!E895</f>
        <v>1</v>
      </c>
      <c r="C471" s="2260">
        <f>报表附注!F895</f>
        <v>0</v>
      </c>
      <c r="D471" s="2252" t="b">
        <f t="shared" si="12"/>
        <v>1</v>
      </c>
    </row>
    <row r="472" spans="1:4">
      <c r="A472" s="2252">
        <v>2</v>
      </c>
      <c r="B472" s="2253">
        <f>报表附注!E896</f>
        <v>2</v>
      </c>
      <c r="C472" s="2260">
        <f>报表附注!F896</f>
        <v>0</v>
      </c>
      <c r="D472" s="2252" t="b">
        <f t="shared" si="12"/>
        <v>1</v>
      </c>
    </row>
    <row r="473" spans="1:4">
      <c r="A473" s="2252" t="s">
        <v>847</v>
      </c>
      <c r="B473" s="2253" t="str">
        <f>报表附注!E897</f>
        <v>四、水产业</v>
      </c>
      <c r="C473" s="2260">
        <f>报表附注!F897</f>
        <v>0</v>
      </c>
      <c r="D473" s="2252" t="b">
        <f t="shared" si="12"/>
        <v>1</v>
      </c>
    </row>
    <row r="474" spans="1:4">
      <c r="A474" s="2252">
        <v>1</v>
      </c>
      <c r="B474" s="2253">
        <f>报表附注!E898</f>
        <v>1</v>
      </c>
      <c r="C474" s="2260">
        <f>报表附注!F898</f>
        <v>0</v>
      </c>
      <c r="D474" s="2252" t="b">
        <f t="shared" si="12"/>
        <v>1</v>
      </c>
    </row>
    <row r="475" spans="1:4">
      <c r="A475" s="2252">
        <v>2</v>
      </c>
      <c r="B475" s="2253">
        <f>报表附注!E899</f>
        <v>2</v>
      </c>
      <c r="C475" s="2260">
        <f>报表附注!F899</f>
        <v>0</v>
      </c>
      <c r="D475" s="2252" t="b">
        <f t="shared" si="12"/>
        <v>1</v>
      </c>
    </row>
    <row r="476" spans="1:4">
      <c r="A476" s="2252" t="s">
        <v>2021</v>
      </c>
      <c r="B476" s="2263" t="str">
        <f>报表附注!E900</f>
        <v>合计</v>
      </c>
      <c r="C476" s="2260">
        <f>报表附注!F900</f>
        <v>0</v>
      </c>
      <c r="D476" s="2252" t="b">
        <f t="shared" si="12"/>
        <v>1</v>
      </c>
    </row>
    <row r="477" spans="4:4">
      <c r="D477" s="2252" t="b">
        <f t="shared" si="12"/>
        <v>1</v>
      </c>
    </row>
    <row r="478" spans="1:4">
      <c r="A478" s="2252" t="s">
        <v>2064</v>
      </c>
      <c r="B478" s="2286" t="s">
        <v>2065</v>
      </c>
      <c r="D478" s="2252" t="b">
        <f t="shared" si="12"/>
        <v>1</v>
      </c>
    </row>
    <row r="479" spans="1:4">
      <c r="A479" s="2252" t="s">
        <v>589</v>
      </c>
      <c r="B479" s="2253" t="str">
        <f>报表附注!E905</f>
        <v>原材料</v>
      </c>
      <c r="C479" s="2260">
        <f>报表附注!F905</f>
        <v>0</v>
      </c>
      <c r="D479" s="2252" t="b">
        <f t="shared" si="12"/>
        <v>1</v>
      </c>
    </row>
    <row r="480" spans="1:4">
      <c r="A480" s="2252" t="s">
        <v>2047</v>
      </c>
      <c r="B480" s="2253" t="str">
        <f>报表附注!E906</f>
        <v>在产品</v>
      </c>
      <c r="C480" s="2260">
        <f>报表附注!F906</f>
        <v>0</v>
      </c>
      <c r="D480" s="2252" t="b">
        <f t="shared" si="12"/>
        <v>0</v>
      </c>
    </row>
    <row r="481" spans="1:4">
      <c r="A481" s="2252" t="s">
        <v>593</v>
      </c>
      <c r="B481" s="2253" t="str">
        <f>报表附注!E907</f>
        <v>产成品</v>
      </c>
      <c r="C481" s="2260">
        <f>报表附注!F907</f>
        <v>0</v>
      </c>
      <c r="D481" s="2252" t="b">
        <f t="shared" si="12"/>
        <v>0</v>
      </c>
    </row>
    <row r="482" spans="1:4">
      <c r="A482" s="2252" t="s">
        <v>587</v>
      </c>
      <c r="B482" s="2253" t="str">
        <f>报表附注!E908</f>
        <v>低值易耗品</v>
      </c>
      <c r="C482" s="2260">
        <f>报表附注!F908</f>
        <v>0</v>
      </c>
      <c r="D482" s="2252" t="b">
        <f t="shared" si="12"/>
        <v>0</v>
      </c>
    </row>
    <row r="483" spans="1:4">
      <c r="A483" s="2252" t="s">
        <v>2048</v>
      </c>
      <c r="B483" s="2253" t="str">
        <f>报表附注!E909</f>
        <v>包装物</v>
      </c>
      <c r="C483" s="2260">
        <f>报表附注!F909</f>
        <v>0</v>
      </c>
      <c r="D483" s="2252" t="b">
        <f t="shared" si="12"/>
        <v>0</v>
      </c>
    </row>
    <row r="484" spans="1:4">
      <c r="A484" s="2252" t="s">
        <v>597</v>
      </c>
      <c r="B484" s="2253" t="str">
        <f>报表附注!E910</f>
        <v>委托加工物资</v>
      </c>
      <c r="C484" s="2260">
        <f>报表附注!F910</f>
        <v>0</v>
      </c>
      <c r="D484" s="2252" t="b">
        <f t="shared" si="12"/>
        <v>1</v>
      </c>
    </row>
    <row r="485" spans="1:4">
      <c r="A485" s="2252" t="s">
        <v>2049</v>
      </c>
      <c r="B485" s="2274" t="str">
        <f>报表附注!E911</f>
        <v>发出商品</v>
      </c>
      <c r="C485" s="2260">
        <f>报表附注!F911</f>
        <v>0</v>
      </c>
      <c r="D485" s="2252" t="b">
        <f t="shared" si="12"/>
        <v>0</v>
      </c>
    </row>
    <row r="486" spans="1:4">
      <c r="A486" s="2252" t="s">
        <v>2050</v>
      </c>
      <c r="B486" s="2274" t="str">
        <f>报表附注!E912</f>
        <v>增加项目1-工程施工</v>
      </c>
      <c r="C486" s="2260">
        <f>报表附注!F912</f>
        <v>0</v>
      </c>
      <c r="D486" s="2252" t="b">
        <f t="shared" si="12"/>
        <v>0</v>
      </c>
    </row>
    <row r="487" spans="1:4">
      <c r="A487" s="2252" t="s">
        <v>2051</v>
      </c>
      <c r="B487" s="2274" t="str">
        <f>报表附注!E913</f>
        <v>增加项目2-</v>
      </c>
      <c r="C487" s="2260">
        <f>报表附注!F913</f>
        <v>0</v>
      </c>
      <c r="D487" s="2252" t="b">
        <f t="shared" si="12"/>
        <v>1</v>
      </c>
    </row>
    <row r="488" spans="1:4">
      <c r="A488" s="2252" t="s">
        <v>2052</v>
      </c>
      <c r="B488" s="2274" t="str">
        <f>报表附注!E914</f>
        <v>增加项目3-</v>
      </c>
      <c r="C488" s="2260">
        <f>报表附注!F914</f>
        <v>0</v>
      </c>
      <c r="D488" s="2252" t="b">
        <f t="shared" si="12"/>
        <v>1</v>
      </c>
    </row>
    <row r="489" spans="1:4">
      <c r="A489" s="2252" t="s">
        <v>2053</v>
      </c>
      <c r="B489" s="2274" t="str">
        <f>报表附注!E915</f>
        <v>增加项目4-</v>
      </c>
      <c r="C489" s="2260">
        <f>报表附注!F915</f>
        <v>0</v>
      </c>
      <c r="D489" s="2252" t="b">
        <f t="shared" si="12"/>
        <v>1</v>
      </c>
    </row>
    <row r="490" spans="1:4">
      <c r="A490" s="2252" t="s">
        <v>2054</v>
      </c>
      <c r="B490" s="2274" t="str">
        <f>报表附注!E916</f>
        <v>增加项目5-</v>
      </c>
      <c r="C490" s="2260">
        <f>报表附注!F916</f>
        <v>0</v>
      </c>
      <c r="D490" s="2252" t="b">
        <f t="shared" si="12"/>
        <v>1</v>
      </c>
    </row>
    <row r="491" spans="1:4">
      <c r="A491" s="2252" t="s">
        <v>2055</v>
      </c>
      <c r="B491" s="2274" t="str">
        <f>报表附注!E917</f>
        <v>增加项目6-</v>
      </c>
      <c r="C491" s="2260">
        <f>报表附注!F917</f>
        <v>0</v>
      </c>
      <c r="D491" s="2252" t="b">
        <f t="shared" si="12"/>
        <v>1</v>
      </c>
    </row>
    <row r="492" spans="1:4">
      <c r="A492" s="2252" t="s">
        <v>2056</v>
      </c>
      <c r="B492" s="2274" t="str">
        <f>报表附注!E918</f>
        <v>增加项目7-</v>
      </c>
      <c r="C492" s="2260">
        <f>报表附注!F918</f>
        <v>0</v>
      </c>
      <c r="D492" s="2252" t="b">
        <f t="shared" si="12"/>
        <v>1</v>
      </c>
    </row>
    <row r="493" spans="1:4">
      <c r="A493" s="2252" t="s">
        <v>2057</v>
      </c>
      <c r="B493" s="2274" t="str">
        <f>报表附注!E919</f>
        <v>增加项目8-</v>
      </c>
      <c r="C493" s="2260">
        <f>报表附注!F919</f>
        <v>0</v>
      </c>
      <c r="D493" s="2252" t="b">
        <f t="shared" si="12"/>
        <v>1</v>
      </c>
    </row>
    <row r="494" spans="1:4">
      <c r="A494" s="2252" t="s">
        <v>2021</v>
      </c>
      <c r="B494" s="2263" t="str">
        <f>报表附注!E920</f>
        <v>合计</v>
      </c>
      <c r="C494" s="2260">
        <f>报表附注!F920</f>
        <v>0</v>
      </c>
      <c r="D494" s="2252" t="b">
        <f t="shared" si="12"/>
        <v>1</v>
      </c>
    </row>
    <row r="495" spans="1:4">
      <c r="A495" s="2252" t="s">
        <v>2066</v>
      </c>
      <c r="B495" s="2286" t="s">
        <v>2067</v>
      </c>
      <c r="D495" s="2252" t="b">
        <f t="shared" si="12"/>
        <v>1</v>
      </c>
    </row>
    <row r="496" spans="1:4">
      <c r="A496" s="2252" t="s">
        <v>589</v>
      </c>
      <c r="B496" s="2253" t="str">
        <f>报表附注!E905</f>
        <v>原材料</v>
      </c>
      <c r="C496" s="2260">
        <f>报表附注!G905</f>
        <v>0</v>
      </c>
      <c r="D496" s="2252" t="b">
        <f t="shared" si="12"/>
        <v>1</v>
      </c>
    </row>
    <row r="497" spans="1:4">
      <c r="A497" s="2252" t="s">
        <v>2047</v>
      </c>
      <c r="B497" s="2253" t="str">
        <f>报表附注!E906</f>
        <v>在产品</v>
      </c>
      <c r="C497" s="2260">
        <f>报表附注!G906</f>
        <v>0</v>
      </c>
      <c r="D497" s="2252" t="b">
        <f t="shared" si="12"/>
        <v>0</v>
      </c>
    </row>
    <row r="498" spans="1:4">
      <c r="A498" s="2252" t="s">
        <v>593</v>
      </c>
      <c r="B498" s="2253" t="str">
        <f>报表附注!E907</f>
        <v>产成品</v>
      </c>
      <c r="C498" s="2260">
        <f>报表附注!G907</f>
        <v>0</v>
      </c>
      <c r="D498" s="2252" t="b">
        <f t="shared" si="12"/>
        <v>0</v>
      </c>
    </row>
    <row r="499" spans="1:4">
      <c r="A499" s="2252" t="s">
        <v>587</v>
      </c>
      <c r="B499" s="2253" t="str">
        <f>报表附注!E908</f>
        <v>低值易耗品</v>
      </c>
      <c r="C499" s="2260">
        <f>报表附注!G908</f>
        <v>0</v>
      </c>
      <c r="D499" s="2252" t="b">
        <f t="shared" si="12"/>
        <v>0</v>
      </c>
    </row>
    <row r="500" spans="1:4">
      <c r="A500" s="2252" t="s">
        <v>2048</v>
      </c>
      <c r="B500" s="2253" t="str">
        <f>报表附注!E909</f>
        <v>包装物</v>
      </c>
      <c r="C500" s="2260">
        <f>报表附注!G909</f>
        <v>0</v>
      </c>
      <c r="D500" s="2252" t="b">
        <f t="shared" si="12"/>
        <v>0</v>
      </c>
    </row>
    <row r="501" spans="1:4">
      <c r="A501" s="2252" t="s">
        <v>597</v>
      </c>
      <c r="B501" s="2253" t="str">
        <f>报表附注!E910</f>
        <v>委托加工物资</v>
      </c>
      <c r="C501" s="2260">
        <f>报表附注!G910</f>
        <v>0</v>
      </c>
      <c r="D501" s="2252" t="b">
        <f t="shared" si="12"/>
        <v>1</v>
      </c>
    </row>
    <row r="502" spans="1:4">
      <c r="A502" s="2252" t="s">
        <v>2049</v>
      </c>
      <c r="B502" s="2274" t="str">
        <f>报表附注!E911</f>
        <v>发出商品</v>
      </c>
      <c r="C502" s="2260">
        <f>报表附注!G911</f>
        <v>0</v>
      </c>
      <c r="D502" s="2252" t="b">
        <f t="shared" si="12"/>
        <v>0</v>
      </c>
    </row>
    <row r="503" spans="1:4">
      <c r="A503" s="2252" t="s">
        <v>2050</v>
      </c>
      <c r="B503" s="2274" t="str">
        <f>报表附注!E912</f>
        <v>增加项目1-工程施工</v>
      </c>
      <c r="C503" s="2260">
        <f>报表附注!G912</f>
        <v>0</v>
      </c>
      <c r="D503" s="2252" t="b">
        <f t="shared" si="12"/>
        <v>0</v>
      </c>
    </row>
    <row r="504" spans="1:4">
      <c r="A504" s="2252" t="s">
        <v>2051</v>
      </c>
      <c r="B504" s="2274" t="str">
        <f>报表附注!E913</f>
        <v>增加项目2-</v>
      </c>
      <c r="C504" s="2260">
        <f>报表附注!G913</f>
        <v>0</v>
      </c>
      <c r="D504" s="2252" t="b">
        <f t="shared" si="12"/>
        <v>1</v>
      </c>
    </row>
    <row r="505" spans="1:4">
      <c r="A505" s="2252" t="s">
        <v>2052</v>
      </c>
      <c r="B505" s="2274" t="str">
        <f>报表附注!E914</f>
        <v>增加项目3-</v>
      </c>
      <c r="C505" s="2260">
        <f>报表附注!G914</f>
        <v>0</v>
      </c>
      <c r="D505" s="2252" t="b">
        <f t="shared" si="12"/>
        <v>1</v>
      </c>
    </row>
    <row r="506" spans="1:4">
      <c r="A506" s="2252" t="s">
        <v>2053</v>
      </c>
      <c r="B506" s="2274" t="str">
        <f>报表附注!E915</f>
        <v>增加项目4-</v>
      </c>
      <c r="C506" s="2260">
        <f>报表附注!G915</f>
        <v>0</v>
      </c>
      <c r="D506" s="2252" t="b">
        <f t="shared" si="12"/>
        <v>1</v>
      </c>
    </row>
    <row r="507" spans="1:4">
      <c r="A507" s="2252" t="s">
        <v>2054</v>
      </c>
      <c r="B507" s="2274" t="str">
        <f>报表附注!E916</f>
        <v>增加项目5-</v>
      </c>
      <c r="C507" s="2260">
        <f>报表附注!G916</f>
        <v>0</v>
      </c>
      <c r="D507" s="2252" t="b">
        <f t="shared" si="12"/>
        <v>1</v>
      </c>
    </row>
    <row r="508" spans="1:4">
      <c r="A508" s="2252" t="s">
        <v>2055</v>
      </c>
      <c r="B508" s="2274" t="str">
        <f>报表附注!E917</f>
        <v>增加项目6-</v>
      </c>
      <c r="C508" s="2260">
        <f>报表附注!G917</f>
        <v>0</v>
      </c>
      <c r="D508" s="2252" t="b">
        <f t="shared" si="12"/>
        <v>1</v>
      </c>
    </row>
    <row r="509" spans="1:4">
      <c r="A509" s="2252" t="s">
        <v>2056</v>
      </c>
      <c r="B509" s="2274" t="str">
        <f>报表附注!E918</f>
        <v>增加项目7-</v>
      </c>
      <c r="C509" s="2260">
        <f>报表附注!G918</f>
        <v>0</v>
      </c>
      <c r="D509" s="2252" t="b">
        <f t="shared" si="12"/>
        <v>1</v>
      </c>
    </row>
    <row r="510" spans="1:4">
      <c r="A510" s="2252" t="s">
        <v>2057</v>
      </c>
      <c r="B510" s="2274" t="str">
        <f>报表附注!E919</f>
        <v>增加项目8-</v>
      </c>
      <c r="C510" s="2260">
        <f>报表附注!G919</f>
        <v>0</v>
      </c>
      <c r="D510" s="2252" t="b">
        <f t="shared" si="12"/>
        <v>1</v>
      </c>
    </row>
    <row r="511" spans="1:4">
      <c r="A511" s="2252" t="s">
        <v>2021</v>
      </c>
      <c r="B511" s="2263" t="str">
        <f>报表附注!E920</f>
        <v>合计</v>
      </c>
      <c r="C511" s="2260">
        <f>报表附注!G920</f>
        <v>0</v>
      </c>
      <c r="D511" s="2252" t="b">
        <f t="shared" si="12"/>
        <v>1</v>
      </c>
    </row>
    <row r="512" spans="1:4">
      <c r="A512" s="2252" t="s">
        <v>2068</v>
      </c>
      <c r="B512" s="2286" t="s">
        <v>2069</v>
      </c>
      <c r="D512" s="2252" t="b">
        <f t="shared" si="12"/>
        <v>1</v>
      </c>
    </row>
    <row r="513" spans="1:4">
      <c r="A513" s="2252" t="s">
        <v>589</v>
      </c>
      <c r="B513" s="2253" t="str">
        <f>报表附注!E905</f>
        <v>原材料</v>
      </c>
      <c r="C513" s="2260">
        <f>报表附注!H905</f>
        <v>0</v>
      </c>
      <c r="D513" s="2252" t="b">
        <f t="shared" si="12"/>
        <v>1</v>
      </c>
    </row>
    <row r="514" spans="1:4">
      <c r="A514" s="2252" t="s">
        <v>2047</v>
      </c>
      <c r="B514" s="2253" t="str">
        <f>报表附注!E906</f>
        <v>在产品</v>
      </c>
      <c r="C514" s="2260">
        <f>报表附注!H906</f>
        <v>0</v>
      </c>
      <c r="D514" s="2252" t="b">
        <f t="shared" si="12"/>
        <v>0</v>
      </c>
    </row>
    <row r="515" spans="1:4">
      <c r="A515" s="2252" t="s">
        <v>593</v>
      </c>
      <c r="B515" s="2253" t="str">
        <f>报表附注!E907</f>
        <v>产成品</v>
      </c>
      <c r="C515" s="2260">
        <f>报表附注!H907</f>
        <v>0</v>
      </c>
      <c r="D515" s="2252" t="b">
        <f t="shared" si="12"/>
        <v>0</v>
      </c>
    </row>
    <row r="516" spans="1:4">
      <c r="A516" s="2252" t="s">
        <v>587</v>
      </c>
      <c r="B516" s="2253" t="str">
        <f>报表附注!E908</f>
        <v>低值易耗品</v>
      </c>
      <c r="C516" s="2260">
        <f>报表附注!H908</f>
        <v>0</v>
      </c>
      <c r="D516" s="2252" t="b">
        <f t="shared" si="12"/>
        <v>0</v>
      </c>
    </row>
    <row r="517" spans="1:4">
      <c r="A517" s="2252" t="s">
        <v>2048</v>
      </c>
      <c r="B517" s="2253" t="str">
        <f>报表附注!E909</f>
        <v>包装物</v>
      </c>
      <c r="C517" s="2260">
        <f>报表附注!H909</f>
        <v>0</v>
      </c>
      <c r="D517" s="2252" t="b">
        <f t="shared" si="12"/>
        <v>0</v>
      </c>
    </row>
    <row r="518" spans="1:4">
      <c r="A518" s="2252" t="s">
        <v>597</v>
      </c>
      <c r="B518" s="2253" t="str">
        <f>报表附注!E910</f>
        <v>委托加工物资</v>
      </c>
      <c r="C518" s="2260">
        <f>报表附注!H910</f>
        <v>0</v>
      </c>
      <c r="D518" s="2252" t="b">
        <f t="shared" si="12"/>
        <v>1</v>
      </c>
    </row>
    <row r="519" spans="1:4">
      <c r="A519" s="2252" t="s">
        <v>2049</v>
      </c>
      <c r="B519" s="2274" t="str">
        <f>报表附注!E911</f>
        <v>发出商品</v>
      </c>
      <c r="C519" s="2260">
        <f>报表附注!H911</f>
        <v>0</v>
      </c>
      <c r="D519" s="2252" t="b">
        <f t="shared" si="12"/>
        <v>0</v>
      </c>
    </row>
    <row r="520" spans="1:4">
      <c r="A520" s="2252" t="s">
        <v>2050</v>
      </c>
      <c r="B520" s="2274" t="str">
        <f>报表附注!E912</f>
        <v>增加项目1-工程施工</v>
      </c>
      <c r="C520" s="2260">
        <f>报表附注!H912</f>
        <v>0</v>
      </c>
      <c r="D520" s="2252" t="b">
        <f t="shared" si="12"/>
        <v>0</v>
      </c>
    </row>
    <row r="521" spans="1:4">
      <c r="A521" s="2252" t="s">
        <v>2051</v>
      </c>
      <c r="B521" s="2274" t="str">
        <f>报表附注!E913</f>
        <v>增加项目2-</v>
      </c>
      <c r="C521" s="2260">
        <f>报表附注!H913</f>
        <v>0</v>
      </c>
      <c r="D521" s="2252" t="b">
        <f t="shared" si="12"/>
        <v>1</v>
      </c>
    </row>
    <row r="522" spans="1:4">
      <c r="A522" s="2252" t="s">
        <v>2052</v>
      </c>
      <c r="B522" s="2274" t="str">
        <f>报表附注!E914</f>
        <v>增加项目3-</v>
      </c>
      <c r="C522" s="2260">
        <f>报表附注!H914</f>
        <v>0</v>
      </c>
      <c r="D522" s="2252" t="b">
        <f t="shared" si="12"/>
        <v>1</v>
      </c>
    </row>
    <row r="523" spans="1:4">
      <c r="A523" s="2252" t="s">
        <v>2053</v>
      </c>
      <c r="B523" s="2274" t="str">
        <f>报表附注!E915</f>
        <v>增加项目4-</v>
      </c>
      <c r="C523" s="2260">
        <f>报表附注!H915</f>
        <v>0</v>
      </c>
      <c r="D523" s="2252" t="b">
        <f t="shared" si="12"/>
        <v>1</v>
      </c>
    </row>
    <row r="524" spans="1:4">
      <c r="A524" s="2252" t="s">
        <v>2054</v>
      </c>
      <c r="B524" s="2274" t="str">
        <f>报表附注!E916</f>
        <v>增加项目5-</v>
      </c>
      <c r="C524" s="2260">
        <f>报表附注!H916</f>
        <v>0</v>
      </c>
      <c r="D524" s="2252" t="b">
        <f t="shared" ref="D524:D587" si="13">EXACT(A524,B524)</f>
        <v>1</v>
      </c>
    </row>
    <row r="525" spans="1:4">
      <c r="A525" s="2252" t="s">
        <v>2055</v>
      </c>
      <c r="B525" s="2274" t="str">
        <f>报表附注!E917</f>
        <v>增加项目6-</v>
      </c>
      <c r="C525" s="2260">
        <f>报表附注!H917</f>
        <v>0</v>
      </c>
      <c r="D525" s="2252" t="b">
        <f t="shared" si="13"/>
        <v>1</v>
      </c>
    </row>
    <row r="526" spans="1:4">
      <c r="A526" s="2252" t="s">
        <v>2056</v>
      </c>
      <c r="B526" s="2274" t="str">
        <f>报表附注!E918</f>
        <v>增加项目7-</v>
      </c>
      <c r="C526" s="2260">
        <f>报表附注!H918</f>
        <v>0</v>
      </c>
      <c r="D526" s="2252" t="b">
        <f t="shared" si="13"/>
        <v>1</v>
      </c>
    </row>
    <row r="527" spans="1:4">
      <c r="A527" s="2252" t="s">
        <v>2057</v>
      </c>
      <c r="B527" s="2274" t="str">
        <f>报表附注!E919</f>
        <v>增加项目8-</v>
      </c>
      <c r="C527" s="2260">
        <f>报表附注!H919</f>
        <v>0</v>
      </c>
      <c r="D527" s="2252" t="b">
        <f t="shared" si="13"/>
        <v>1</v>
      </c>
    </row>
    <row r="528" spans="1:4">
      <c r="A528" s="2252" t="s">
        <v>2021</v>
      </c>
      <c r="B528" s="2263" t="str">
        <f>报表附注!E920</f>
        <v>合计</v>
      </c>
      <c r="C528" s="2260">
        <f>报表附注!H920</f>
        <v>0</v>
      </c>
      <c r="D528" s="2252" t="b">
        <f t="shared" si="13"/>
        <v>1</v>
      </c>
    </row>
    <row r="529" spans="1:4">
      <c r="A529" s="2252" t="s">
        <v>2070</v>
      </c>
      <c r="B529" s="2286" t="s">
        <v>2071</v>
      </c>
      <c r="D529" s="2252" t="b">
        <f t="shared" si="13"/>
        <v>1</v>
      </c>
    </row>
    <row r="530" spans="1:4">
      <c r="A530" s="2252" t="s">
        <v>589</v>
      </c>
      <c r="B530" s="2253" t="str">
        <f>报表附注!E905</f>
        <v>原材料</v>
      </c>
      <c r="C530" s="2260">
        <f>报表附注!I905</f>
        <v>0</v>
      </c>
      <c r="D530" s="2252" t="b">
        <f t="shared" si="13"/>
        <v>1</v>
      </c>
    </row>
    <row r="531" spans="1:4">
      <c r="A531" s="2252" t="s">
        <v>2047</v>
      </c>
      <c r="B531" s="2253" t="str">
        <f>报表附注!E906</f>
        <v>在产品</v>
      </c>
      <c r="C531" s="2260">
        <f>报表附注!I906</f>
        <v>0</v>
      </c>
      <c r="D531" s="2252" t="b">
        <f t="shared" si="13"/>
        <v>0</v>
      </c>
    </row>
    <row r="532" spans="1:4">
      <c r="A532" s="2252" t="s">
        <v>593</v>
      </c>
      <c r="B532" s="2253" t="str">
        <f>报表附注!E907</f>
        <v>产成品</v>
      </c>
      <c r="C532" s="2260">
        <f>报表附注!I907</f>
        <v>0</v>
      </c>
      <c r="D532" s="2252" t="b">
        <f t="shared" si="13"/>
        <v>0</v>
      </c>
    </row>
    <row r="533" spans="1:4">
      <c r="A533" s="2252" t="s">
        <v>587</v>
      </c>
      <c r="B533" s="2253" t="str">
        <f>报表附注!E908</f>
        <v>低值易耗品</v>
      </c>
      <c r="C533" s="2260">
        <f>报表附注!I908</f>
        <v>0</v>
      </c>
      <c r="D533" s="2252" t="b">
        <f t="shared" si="13"/>
        <v>0</v>
      </c>
    </row>
    <row r="534" spans="1:4">
      <c r="A534" s="2252" t="s">
        <v>2048</v>
      </c>
      <c r="B534" s="2253" t="str">
        <f>报表附注!E909</f>
        <v>包装物</v>
      </c>
      <c r="C534" s="2260">
        <f>报表附注!I909</f>
        <v>0</v>
      </c>
      <c r="D534" s="2252" t="b">
        <f t="shared" si="13"/>
        <v>0</v>
      </c>
    </row>
    <row r="535" spans="1:4">
      <c r="A535" s="2252" t="s">
        <v>597</v>
      </c>
      <c r="B535" s="2253" t="str">
        <f>报表附注!E910</f>
        <v>委托加工物资</v>
      </c>
      <c r="C535" s="2260">
        <f>报表附注!I910</f>
        <v>0</v>
      </c>
      <c r="D535" s="2252" t="b">
        <f t="shared" si="13"/>
        <v>1</v>
      </c>
    </row>
    <row r="536" spans="1:4">
      <c r="A536" s="2252" t="s">
        <v>2049</v>
      </c>
      <c r="B536" s="2274" t="str">
        <f>报表附注!E911</f>
        <v>发出商品</v>
      </c>
      <c r="C536" s="2260">
        <f>报表附注!I911</f>
        <v>0</v>
      </c>
      <c r="D536" s="2252" t="b">
        <f t="shared" si="13"/>
        <v>0</v>
      </c>
    </row>
    <row r="537" spans="1:4">
      <c r="A537" s="2252" t="s">
        <v>2050</v>
      </c>
      <c r="B537" s="2274" t="str">
        <f>报表附注!E912</f>
        <v>增加项目1-工程施工</v>
      </c>
      <c r="C537" s="2260">
        <f>报表附注!I912</f>
        <v>0</v>
      </c>
      <c r="D537" s="2252" t="b">
        <f t="shared" si="13"/>
        <v>0</v>
      </c>
    </row>
    <row r="538" spans="1:4">
      <c r="A538" s="2252" t="s">
        <v>2051</v>
      </c>
      <c r="B538" s="2274" t="str">
        <f>报表附注!E913</f>
        <v>增加项目2-</v>
      </c>
      <c r="C538" s="2260">
        <f>报表附注!I913</f>
        <v>0</v>
      </c>
      <c r="D538" s="2252" t="b">
        <f t="shared" si="13"/>
        <v>1</v>
      </c>
    </row>
    <row r="539" spans="1:4">
      <c r="A539" s="2252" t="s">
        <v>2052</v>
      </c>
      <c r="B539" s="2274" t="str">
        <f>报表附注!E914</f>
        <v>增加项目3-</v>
      </c>
      <c r="C539" s="2260">
        <f>报表附注!I914</f>
        <v>0</v>
      </c>
      <c r="D539" s="2252" t="b">
        <f t="shared" si="13"/>
        <v>1</v>
      </c>
    </row>
    <row r="540" spans="1:4">
      <c r="A540" s="2252" t="s">
        <v>2053</v>
      </c>
      <c r="B540" s="2274" t="str">
        <f>报表附注!E915</f>
        <v>增加项目4-</v>
      </c>
      <c r="C540" s="2260">
        <f>报表附注!I915</f>
        <v>0</v>
      </c>
      <c r="D540" s="2252" t="b">
        <f t="shared" si="13"/>
        <v>1</v>
      </c>
    </row>
    <row r="541" spans="1:4">
      <c r="A541" s="2252" t="s">
        <v>2054</v>
      </c>
      <c r="B541" s="2274" t="str">
        <f>报表附注!E916</f>
        <v>增加项目5-</v>
      </c>
      <c r="C541" s="2260">
        <f>报表附注!I916</f>
        <v>0</v>
      </c>
      <c r="D541" s="2252" t="b">
        <f t="shared" si="13"/>
        <v>1</v>
      </c>
    </row>
    <row r="542" spans="1:4">
      <c r="A542" s="2252" t="s">
        <v>2055</v>
      </c>
      <c r="B542" s="2274" t="str">
        <f>报表附注!E917</f>
        <v>增加项目6-</v>
      </c>
      <c r="C542" s="2260">
        <f>报表附注!I917</f>
        <v>0</v>
      </c>
      <c r="D542" s="2252" t="b">
        <f t="shared" si="13"/>
        <v>1</v>
      </c>
    </row>
    <row r="543" spans="1:4">
      <c r="A543" s="2252" t="s">
        <v>2056</v>
      </c>
      <c r="B543" s="2274" t="str">
        <f>报表附注!E918</f>
        <v>增加项目7-</v>
      </c>
      <c r="C543" s="2260">
        <f>报表附注!I918</f>
        <v>0</v>
      </c>
      <c r="D543" s="2252" t="b">
        <f t="shared" si="13"/>
        <v>1</v>
      </c>
    </row>
    <row r="544" spans="1:4">
      <c r="A544" s="2252" t="s">
        <v>2057</v>
      </c>
      <c r="B544" s="2274" t="str">
        <f>报表附注!E919</f>
        <v>增加项目8-</v>
      </c>
      <c r="C544" s="2260">
        <f>报表附注!I919</f>
        <v>0</v>
      </c>
      <c r="D544" s="2252" t="b">
        <f t="shared" si="13"/>
        <v>1</v>
      </c>
    </row>
    <row r="545" spans="1:4">
      <c r="A545" s="2252" t="s">
        <v>2021</v>
      </c>
      <c r="B545" s="2263" t="str">
        <f>报表附注!E920</f>
        <v>合计</v>
      </c>
      <c r="C545" s="2260">
        <f>报表附注!I920</f>
        <v>0</v>
      </c>
      <c r="D545" s="2252" t="b">
        <f t="shared" si="13"/>
        <v>1</v>
      </c>
    </row>
    <row r="546" spans="4:4">
      <c r="D546" s="2252" t="b">
        <f t="shared" si="13"/>
        <v>1</v>
      </c>
    </row>
    <row r="547" spans="1:4">
      <c r="A547" s="2252" t="s">
        <v>2072</v>
      </c>
      <c r="B547" s="2272" t="s">
        <v>2072</v>
      </c>
      <c r="D547" s="2252" t="b">
        <f t="shared" si="13"/>
        <v>1</v>
      </c>
    </row>
    <row r="548" spans="4:4">
      <c r="D548" s="2252" t="b">
        <f t="shared" si="13"/>
        <v>1</v>
      </c>
    </row>
    <row r="549" spans="1:4">
      <c r="A549" s="2252" t="s">
        <v>2073</v>
      </c>
      <c r="B549" s="2270" t="s">
        <v>2073</v>
      </c>
      <c r="D549" s="2252" t="b">
        <f t="shared" si="13"/>
        <v>1</v>
      </c>
    </row>
    <row r="550" spans="1:4">
      <c r="A550" s="2252" t="s">
        <v>2020</v>
      </c>
      <c r="B550" s="2271" t="s">
        <v>2020</v>
      </c>
      <c r="D550" s="2252" t="b">
        <f t="shared" si="13"/>
        <v>1</v>
      </c>
    </row>
    <row r="551" spans="1:4">
      <c r="A551" s="2252" t="s">
        <v>2074</v>
      </c>
      <c r="B551" s="2253" t="str">
        <f>报表附注!E963</f>
        <v>可供出售债权投资</v>
      </c>
      <c r="C551" s="2260">
        <f>报表附注!G963</f>
        <v>0</v>
      </c>
      <c r="D551" s="2252" t="b">
        <f t="shared" si="13"/>
        <v>1</v>
      </c>
    </row>
    <row r="552" spans="1:4">
      <c r="A552" s="2252" t="s">
        <v>636</v>
      </c>
      <c r="B552" s="2253" t="str">
        <f>报表附注!E964</f>
        <v>可供出售权益工具</v>
      </c>
      <c r="C552" s="2260">
        <f>报表附注!G964</f>
        <v>0</v>
      </c>
      <c r="D552" s="2252" t="b">
        <f t="shared" si="13"/>
        <v>1</v>
      </c>
    </row>
    <row r="553" spans="1:4">
      <c r="A553" s="2252" t="s">
        <v>280</v>
      </c>
      <c r="B553" s="2253" t="str">
        <f>报表附注!E965</f>
        <v>其他</v>
      </c>
      <c r="C553" s="2260">
        <f>报表附注!G965</f>
        <v>0</v>
      </c>
      <c r="D553" s="2252" t="b">
        <f t="shared" si="13"/>
        <v>1</v>
      </c>
    </row>
    <row r="554" spans="1:4">
      <c r="A554" s="2252" t="s">
        <v>2021</v>
      </c>
      <c r="B554" s="2263" t="str">
        <f>报表附注!E966</f>
        <v>合计</v>
      </c>
      <c r="C554" s="2260">
        <f>报表附注!G966</f>
        <v>0</v>
      </c>
      <c r="D554" s="2252" t="b">
        <f t="shared" si="13"/>
        <v>1</v>
      </c>
    </row>
    <row r="555" spans="1:4">
      <c r="A555" s="2252" t="s">
        <v>316</v>
      </c>
      <c r="B555" s="2271" t="s">
        <v>316</v>
      </c>
      <c r="D555" s="2252" t="b">
        <f t="shared" si="13"/>
        <v>1</v>
      </c>
    </row>
    <row r="556" spans="1:4">
      <c r="A556" s="2252" t="s">
        <v>2074</v>
      </c>
      <c r="B556" s="2253" t="str">
        <f>报表附注!E963</f>
        <v>可供出售债权投资</v>
      </c>
      <c r="C556" s="2260">
        <f>报表附注!F963</f>
        <v>0</v>
      </c>
      <c r="D556" s="2252" t="b">
        <f t="shared" si="13"/>
        <v>1</v>
      </c>
    </row>
    <row r="557" spans="1:4">
      <c r="A557" s="2252" t="s">
        <v>636</v>
      </c>
      <c r="B557" s="2253" t="str">
        <f>报表附注!E964</f>
        <v>可供出售权益工具</v>
      </c>
      <c r="C557" s="2260">
        <f>报表附注!F964</f>
        <v>0</v>
      </c>
      <c r="D557" s="2252" t="b">
        <f t="shared" si="13"/>
        <v>1</v>
      </c>
    </row>
    <row r="558" spans="1:4">
      <c r="A558" s="2252" t="s">
        <v>280</v>
      </c>
      <c r="B558" s="2253" t="str">
        <f>报表附注!E965</f>
        <v>其他</v>
      </c>
      <c r="C558" s="2260">
        <f>报表附注!F965</f>
        <v>0</v>
      </c>
      <c r="D558" s="2252" t="b">
        <f t="shared" si="13"/>
        <v>1</v>
      </c>
    </row>
    <row r="559" spans="1:4">
      <c r="A559" s="2252" t="s">
        <v>2021</v>
      </c>
      <c r="B559" s="2263" t="str">
        <f>报表附注!E966</f>
        <v>合计</v>
      </c>
      <c r="C559" s="2260">
        <f>报表附注!F966</f>
        <v>0</v>
      </c>
      <c r="D559" s="2252" t="b">
        <f t="shared" si="13"/>
        <v>1</v>
      </c>
    </row>
    <row r="560" spans="4:4">
      <c r="D560" s="2252" t="b">
        <f t="shared" si="13"/>
        <v>1</v>
      </c>
    </row>
    <row r="561" spans="1:4">
      <c r="A561" s="2252" t="s">
        <v>2075</v>
      </c>
      <c r="B561" s="2272" t="s">
        <v>2075</v>
      </c>
      <c r="D561" s="2252" t="b">
        <f t="shared" si="13"/>
        <v>1</v>
      </c>
    </row>
    <row r="562" spans="4:4">
      <c r="D562" s="2252" t="b">
        <f t="shared" si="13"/>
        <v>1</v>
      </c>
    </row>
    <row r="563" spans="1:4">
      <c r="A563" s="2252" t="s">
        <v>2076</v>
      </c>
      <c r="B563" s="2270" t="s">
        <v>2076</v>
      </c>
      <c r="D563" s="2252" t="b">
        <f t="shared" si="13"/>
        <v>1</v>
      </c>
    </row>
    <row r="564" spans="1:4">
      <c r="A564" s="2252" t="s">
        <v>2020</v>
      </c>
      <c r="B564" s="2271" t="s">
        <v>2020</v>
      </c>
      <c r="D564" s="2252" t="b">
        <f t="shared" si="13"/>
        <v>1</v>
      </c>
    </row>
    <row r="565" spans="1:4">
      <c r="A565" s="2252" t="s">
        <v>659</v>
      </c>
      <c r="B565" s="2253" t="str">
        <f>报表附注!E1016</f>
        <v>融资租赁</v>
      </c>
      <c r="C565" s="2260">
        <f>报表附注!G1016</f>
        <v>0</v>
      </c>
      <c r="D565" s="2252" t="b">
        <f t="shared" si="13"/>
        <v>1</v>
      </c>
    </row>
    <row r="566" spans="1:4">
      <c r="A566" s="2252" t="s">
        <v>661</v>
      </c>
      <c r="B566" s="2253" t="str">
        <f>报表附注!E1017</f>
        <v>分期收款销售商品</v>
      </c>
      <c r="C566" s="2260">
        <f>报表附注!G1017</f>
        <v>0</v>
      </c>
      <c r="D566" s="2252" t="b">
        <f t="shared" si="13"/>
        <v>1</v>
      </c>
    </row>
    <row r="567" spans="1:4">
      <c r="A567" s="2252" t="s">
        <v>663</v>
      </c>
      <c r="B567" s="2253" t="str">
        <f>报表附注!E1018</f>
        <v>分期收款提供劳务</v>
      </c>
      <c r="C567" s="2260">
        <f>报表附注!G1018</f>
        <v>9658781.06</v>
      </c>
      <c r="D567" s="2252" t="b">
        <f t="shared" si="13"/>
        <v>1</v>
      </c>
    </row>
    <row r="568" spans="1:4">
      <c r="A568" s="2252" t="s">
        <v>280</v>
      </c>
      <c r="B568" s="2253" t="str">
        <f>报表附注!E1019</f>
        <v>其他</v>
      </c>
      <c r="C568" s="2260">
        <f>报表附注!G1019</f>
        <v>0</v>
      </c>
      <c r="D568" s="2252" t="b">
        <f t="shared" si="13"/>
        <v>1</v>
      </c>
    </row>
    <row r="569" spans="1:4">
      <c r="A569" s="2252" t="s">
        <v>2021</v>
      </c>
      <c r="B569" s="2263" t="str">
        <f>报表附注!E1020</f>
        <v>合计</v>
      </c>
      <c r="C569" s="2260">
        <f>报表附注!G1020</f>
        <v>9658781.06</v>
      </c>
      <c r="D569" s="2252" t="b">
        <f t="shared" si="13"/>
        <v>1</v>
      </c>
    </row>
    <row r="570" spans="1:4">
      <c r="A570" s="2252" t="s">
        <v>316</v>
      </c>
      <c r="B570" s="2271" t="s">
        <v>316</v>
      </c>
      <c r="D570" s="2252" t="b">
        <f t="shared" si="13"/>
        <v>1</v>
      </c>
    </row>
    <row r="571" spans="1:4">
      <c r="A571" s="2252" t="s">
        <v>659</v>
      </c>
      <c r="B571" s="2253" t="str">
        <f>报表附注!E1016</f>
        <v>融资租赁</v>
      </c>
      <c r="C571" s="2260">
        <f>报表附注!F1016</f>
        <v>0</v>
      </c>
      <c r="D571" s="2252" t="b">
        <f t="shared" si="13"/>
        <v>1</v>
      </c>
    </row>
    <row r="572" spans="1:4">
      <c r="A572" s="2252" t="s">
        <v>661</v>
      </c>
      <c r="B572" s="2253" t="str">
        <f>报表附注!E1017</f>
        <v>分期收款销售商品</v>
      </c>
      <c r="C572" s="2260">
        <f>报表附注!F1017</f>
        <v>0</v>
      </c>
      <c r="D572" s="2252" t="b">
        <f t="shared" si="13"/>
        <v>1</v>
      </c>
    </row>
    <row r="573" spans="1:4">
      <c r="A573" s="2252" t="s">
        <v>663</v>
      </c>
      <c r="B573" s="2253" t="str">
        <f>报表附注!E1018</f>
        <v>分期收款提供劳务</v>
      </c>
      <c r="C573" s="2260">
        <f>报表附注!F1018</f>
        <v>71889420.62</v>
      </c>
      <c r="D573" s="2252" t="b">
        <f t="shared" si="13"/>
        <v>1</v>
      </c>
    </row>
    <row r="574" spans="1:4">
      <c r="A574" s="2252" t="s">
        <v>280</v>
      </c>
      <c r="B574" s="2253" t="str">
        <f>报表附注!E1019</f>
        <v>其他</v>
      </c>
      <c r="C574" s="2260">
        <f>报表附注!F1019</f>
        <v>0</v>
      </c>
      <c r="D574" s="2252" t="b">
        <f t="shared" si="13"/>
        <v>1</v>
      </c>
    </row>
    <row r="575" spans="1:4">
      <c r="A575" s="2252" t="s">
        <v>2021</v>
      </c>
      <c r="B575" s="2263" t="str">
        <f>报表附注!E1020</f>
        <v>合计</v>
      </c>
      <c r="C575" s="2260">
        <f>报表附注!F1020</f>
        <v>71889420.62</v>
      </c>
      <c r="D575" s="2252" t="b">
        <f t="shared" si="13"/>
        <v>1</v>
      </c>
    </row>
    <row r="576" spans="4:4">
      <c r="D576" s="2252" t="b">
        <f t="shared" si="13"/>
        <v>1</v>
      </c>
    </row>
    <row r="577" spans="1:4">
      <c r="A577" s="2252" t="s">
        <v>2077</v>
      </c>
      <c r="B577" s="2272" t="s">
        <v>2077</v>
      </c>
      <c r="D577" s="2252" t="b">
        <f t="shared" si="13"/>
        <v>1</v>
      </c>
    </row>
    <row r="578" spans="4:4">
      <c r="D578" s="2252" t="b">
        <f t="shared" si="13"/>
        <v>1</v>
      </c>
    </row>
    <row r="579" spans="1:4">
      <c r="A579" s="2252" t="s">
        <v>2078</v>
      </c>
      <c r="B579" s="2272" t="s">
        <v>2078</v>
      </c>
      <c r="D579" s="2252" t="b">
        <f t="shared" si="13"/>
        <v>1</v>
      </c>
    </row>
    <row r="580" spans="4:4">
      <c r="D580" s="2252" t="b">
        <f t="shared" si="13"/>
        <v>1</v>
      </c>
    </row>
    <row r="581" spans="1:4">
      <c r="A581" s="2252" t="s">
        <v>2079</v>
      </c>
      <c r="B581" s="2270" t="s">
        <v>2079</v>
      </c>
      <c r="D581" s="2252" t="b">
        <f t="shared" si="13"/>
        <v>1</v>
      </c>
    </row>
    <row r="582" spans="1:4">
      <c r="A582" s="2252" t="s">
        <v>2080</v>
      </c>
      <c r="B582" s="2270" t="s">
        <v>2080</v>
      </c>
      <c r="D582" s="2252" t="b">
        <f t="shared" si="13"/>
        <v>1</v>
      </c>
    </row>
    <row r="583" spans="1:4">
      <c r="A583" s="2252" t="s">
        <v>2020</v>
      </c>
      <c r="B583" s="2273" t="s">
        <v>2020</v>
      </c>
      <c r="D583" s="2252" t="b">
        <f t="shared" si="13"/>
        <v>1</v>
      </c>
    </row>
    <row r="584" spans="1:4">
      <c r="A584" s="2252" t="s">
        <v>715</v>
      </c>
      <c r="B584" s="2253" t="str">
        <f>报表附注!E1104</f>
        <v>一、原价合计</v>
      </c>
      <c r="C584" s="2260">
        <f>报表附注!F1104</f>
        <v>0</v>
      </c>
      <c r="D584" s="2252" t="b">
        <f t="shared" si="13"/>
        <v>1</v>
      </c>
    </row>
    <row r="585" spans="1:4">
      <c r="A585" s="2252" t="s">
        <v>2081</v>
      </c>
      <c r="B585" s="2253" t="str">
        <f>报表附注!E1105</f>
        <v>1．房屋、建筑物</v>
      </c>
      <c r="C585" s="2260">
        <f>报表附注!F1105</f>
        <v>0</v>
      </c>
      <c r="D585" s="2252" t="b">
        <f t="shared" si="13"/>
        <v>1</v>
      </c>
    </row>
    <row r="586" spans="1:4">
      <c r="A586" s="2252" t="s">
        <v>2082</v>
      </c>
      <c r="B586" s="2253" t="str">
        <f>报表附注!E1106</f>
        <v>2．土地使用权</v>
      </c>
      <c r="C586" s="2260">
        <f>报表附注!F1106</f>
        <v>0</v>
      </c>
      <c r="D586" s="2252" t="b">
        <f t="shared" si="13"/>
        <v>1</v>
      </c>
    </row>
    <row r="587" spans="1:4">
      <c r="A587" s="2252" t="s">
        <v>2083</v>
      </c>
      <c r="B587" s="2253" t="str">
        <f>报表附注!E1107</f>
        <v>二、累计折旧或累计摊销合计</v>
      </c>
      <c r="C587" s="2260">
        <f>报表附注!F1107</f>
        <v>0</v>
      </c>
      <c r="D587" s="2252" t="b">
        <f t="shared" si="13"/>
        <v>1</v>
      </c>
    </row>
    <row r="588" spans="1:4">
      <c r="A588" s="2252" t="s">
        <v>2081</v>
      </c>
      <c r="B588" s="2253" t="str">
        <f>报表附注!E1108</f>
        <v>1．房屋、建筑物</v>
      </c>
      <c r="C588" s="2260">
        <f>报表附注!F1108</f>
        <v>0</v>
      </c>
      <c r="D588" s="2252" t="b">
        <f t="shared" ref="D588:D651" si="14">EXACT(A588,B588)</f>
        <v>1</v>
      </c>
    </row>
    <row r="589" spans="1:4">
      <c r="A589" s="2252" t="s">
        <v>2082</v>
      </c>
      <c r="B589" s="2253" t="str">
        <f>报表附注!E1109</f>
        <v>2．土地使用权</v>
      </c>
      <c r="C589" s="2260">
        <f>报表附注!F1109</f>
        <v>0</v>
      </c>
      <c r="D589" s="2252" t="b">
        <f t="shared" si="14"/>
        <v>1</v>
      </c>
    </row>
    <row r="590" spans="1:4">
      <c r="A590" s="2252" t="s">
        <v>2084</v>
      </c>
      <c r="B590" s="2253" t="str">
        <f>报表附注!E1110</f>
        <v>三、投资性房地产减值准备合计</v>
      </c>
      <c r="C590" s="2260">
        <f>报表附注!F1110</f>
        <v>0</v>
      </c>
      <c r="D590" s="2252" t="b">
        <f t="shared" si="14"/>
        <v>1</v>
      </c>
    </row>
    <row r="591" spans="1:4">
      <c r="A591" s="2252" t="s">
        <v>2081</v>
      </c>
      <c r="B591" s="2253" t="str">
        <f>报表附注!E1111</f>
        <v>1．房屋、建筑物</v>
      </c>
      <c r="C591" s="2260">
        <f>报表附注!F1111</f>
        <v>0</v>
      </c>
      <c r="D591" s="2252" t="b">
        <f t="shared" si="14"/>
        <v>1</v>
      </c>
    </row>
    <row r="592" spans="1:4">
      <c r="A592" s="2252" t="s">
        <v>2082</v>
      </c>
      <c r="B592" s="2253" t="str">
        <f>报表附注!E1112</f>
        <v>2．土地使用权</v>
      </c>
      <c r="C592" s="2260">
        <f>报表附注!F1112</f>
        <v>0</v>
      </c>
      <c r="D592" s="2252" t="b">
        <f t="shared" si="14"/>
        <v>1</v>
      </c>
    </row>
    <row r="593" spans="1:4">
      <c r="A593" s="2252" t="s">
        <v>672</v>
      </c>
      <c r="B593" s="2273" t="s">
        <v>672</v>
      </c>
      <c r="D593" s="2252" t="b">
        <f t="shared" si="14"/>
        <v>1</v>
      </c>
    </row>
    <row r="594" spans="1:4">
      <c r="A594" s="2252" t="s">
        <v>715</v>
      </c>
      <c r="B594" s="2253" t="str">
        <f>报表附注!E1104</f>
        <v>一、原价合计</v>
      </c>
      <c r="C594" s="2260">
        <f>报表附注!G1104</f>
        <v>0</v>
      </c>
      <c r="D594" s="2252" t="b">
        <f t="shared" si="14"/>
        <v>1</v>
      </c>
    </row>
    <row r="595" spans="1:4">
      <c r="A595" s="2252" t="s">
        <v>2081</v>
      </c>
      <c r="B595" s="2253" t="str">
        <f>报表附注!E1105</f>
        <v>1．房屋、建筑物</v>
      </c>
      <c r="C595" s="2260">
        <f>报表附注!G1105</f>
        <v>0</v>
      </c>
      <c r="D595" s="2252" t="b">
        <f t="shared" si="14"/>
        <v>1</v>
      </c>
    </row>
    <row r="596" spans="1:4">
      <c r="A596" s="2252" t="s">
        <v>2082</v>
      </c>
      <c r="B596" s="2253" t="str">
        <f>报表附注!E1106</f>
        <v>2．土地使用权</v>
      </c>
      <c r="C596" s="2260">
        <f>报表附注!G1106</f>
        <v>0</v>
      </c>
      <c r="D596" s="2252" t="b">
        <f t="shared" si="14"/>
        <v>1</v>
      </c>
    </row>
    <row r="597" spans="1:4">
      <c r="A597" s="2252" t="s">
        <v>2083</v>
      </c>
      <c r="B597" s="2253" t="str">
        <f>报表附注!E1107</f>
        <v>二、累计折旧或累计摊销合计</v>
      </c>
      <c r="C597" s="2260">
        <f>报表附注!G1107</f>
        <v>0</v>
      </c>
      <c r="D597" s="2252" t="b">
        <f t="shared" si="14"/>
        <v>1</v>
      </c>
    </row>
    <row r="598" spans="1:4">
      <c r="A598" s="2252" t="s">
        <v>2081</v>
      </c>
      <c r="B598" s="2253" t="str">
        <f>报表附注!E1108</f>
        <v>1．房屋、建筑物</v>
      </c>
      <c r="C598" s="2260">
        <f>报表附注!G1108</f>
        <v>0</v>
      </c>
      <c r="D598" s="2252" t="b">
        <f t="shared" si="14"/>
        <v>1</v>
      </c>
    </row>
    <row r="599" spans="1:4">
      <c r="A599" s="2252" t="s">
        <v>2082</v>
      </c>
      <c r="B599" s="2253" t="str">
        <f>报表附注!E1109</f>
        <v>2．土地使用权</v>
      </c>
      <c r="C599" s="2260">
        <f>报表附注!G1109</f>
        <v>0</v>
      </c>
      <c r="D599" s="2252" t="b">
        <f t="shared" si="14"/>
        <v>1</v>
      </c>
    </row>
    <row r="600" spans="1:4">
      <c r="A600" s="2252" t="s">
        <v>2084</v>
      </c>
      <c r="B600" s="2253" t="str">
        <f>报表附注!E1110</f>
        <v>三、投资性房地产减值准备合计</v>
      </c>
      <c r="C600" s="2260">
        <f>报表附注!G1110</f>
        <v>0</v>
      </c>
      <c r="D600" s="2252" t="b">
        <f t="shared" si="14"/>
        <v>1</v>
      </c>
    </row>
    <row r="601" spans="1:4">
      <c r="A601" s="2252" t="s">
        <v>2081</v>
      </c>
      <c r="B601" s="2253" t="str">
        <f>报表附注!E1111</f>
        <v>1．房屋、建筑物</v>
      </c>
      <c r="C601" s="2260">
        <f>报表附注!G1111</f>
        <v>0</v>
      </c>
      <c r="D601" s="2252" t="b">
        <f t="shared" si="14"/>
        <v>1</v>
      </c>
    </row>
    <row r="602" spans="1:4">
      <c r="A602" s="2252" t="s">
        <v>2082</v>
      </c>
      <c r="B602" s="2253" t="str">
        <f>报表附注!E1112</f>
        <v>2．土地使用权</v>
      </c>
      <c r="C602" s="2260">
        <f>报表附注!G1112</f>
        <v>0</v>
      </c>
      <c r="D602" s="2252" t="b">
        <f t="shared" si="14"/>
        <v>1</v>
      </c>
    </row>
    <row r="603" spans="1:4">
      <c r="A603" s="2252" t="s">
        <v>673</v>
      </c>
      <c r="B603" s="2273" t="s">
        <v>673</v>
      </c>
      <c r="D603" s="2252" t="b">
        <f t="shared" si="14"/>
        <v>1</v>
      </c>
    </row>
    <row r="604" spans="1:4">
      <c r="A604" s="2252" t="s">
        <v>715</v>
      </c>
      <c r="B604" s="2253" t="str">
        <f>报表附注!E1104</f>
        <v>一、原价合计</v>
      </c>
      <c r="C604" s="2260">
        <f>报表附注!H1104</f>
        <v>0</v>
      </c>
      <c r="D604" s="2252" t="b">
        <f t="shared" si="14"/>
        <v>1</v>
      </c>
    </row>
    <row r="605" spans="1:4">
      <c r="A605" s="2252" t="s">
        <v>2081</v>
      </c>
      <c r="B605" s="2253" t="str">
        <f>报表附注!E1105</f>
        <v>1．房屋、建筑物</v>
      </c>
      <c r="C605" s="2260">
        <f>报表附注!H1105</f>
        <v>0</v>
      </c>
      <c r="D605" s="2252" t="b">
        <f t="shared" si="14"/>
        <v>1</v>
      </c>
    </row>
    <row r="606" spans="1:4">
      <c r="A606" s="2252" t="s">
        <v>2082</v>
      </c>
      <c r="B606" s="2253" t="str">
        <f>报表附注!E1106</f>
        <v>2．土地使用权</v>
      </c>
      <c r="C606" s="2260">
        <f>报表附注!H1106</f>
        <v>0</v>
      </c>
      <c r="D606" s="2252" t="b">
        <f t="shared" si="14"/>
        <v>1</v>
      </c>
    </row>
    <row r="607" spans="1:4">
      <c r="A607" s="2252" t="s">
        <v>2083</v>
      </c>
      <c r="B607" s="2253" t="str">
        <f>报表附注!E1107</f>
        <v>二、累计折旧或累计摊销合计</v>
      </c>
      <c r="C607" s="2260">
        <f>报表附注!H1107</f>
        <v>0</v>
      </c>
      <c r="D607" s="2252" t="b">
        <f t="shared" si="14"/>
        <v>1</v>
      </c>
    </row>
    <row r="608" spans="1:4">
      <c r="A608" s="2252" t="s">
        <v>2081</v>
      </c>
      <c r="B608" s="2253" t="str">
        <f>报表附注!E1108</f>
        <v>1．房屋、建筑物</v>
      </c>
      <c r="C608" s="2260">
        <f>报表附注!H1108</f>
        <v>0</v>
      </c>
      <c r="D608" s="2252" t="b">
        <f t="shared" si="14"/>
        <v>1</v>
      </c>
    </row>
    <row r="609" spans="1:4">
      <c r="A609" s="2252" t="s">
        <v>2082</v>
      </c>
      <c r="B609" s="2253" t="str">
        <f>报表附注!E1109</f>
        <v>2．土地使用权</v>
      </c>
      <c r="C609" s="2260">
        <f>报表附注!H1109</f>
        <v>0</v>
      </c>
      <c r="D609" s="2252" t="b">
        <f t="shared" si="14"/>
        <v>1</v>
      </c>
    </row>
    <row r="610" spans="1:4">
      <c r="A610" s="2252" t="s">
        <v>2084</v>
      </c>
      <c r="B610" s="2253" t="str">
        <f>报表附注!E1110</f>
        <v>三、投资性房地产减值准备合计</v>
      </c>
      <c r="C610" s="2260">
        <f>报表附注!H1110</f>
        <v>0</v>
      </c>
      <c r="D610" s="2252" t="b">
        <f t="shared" si="14"/>
        <v>1</v>
      </c>
    </row>
    <row r="611" spans="1:4">
      <c r="A611" s="2252" t="s">
        <v>2081</v>
      </c>
      <c r="B611" s="2253" t="str">
        <f>报表附注!E1111</f>
        <v>1．房屋、建筑物</v>
      </c>
      <c r="C611" s="2260">
        <f>报表附注!H1111</f>
        <v>0</v>
      </c>
      <c r="D611" s="2252" t="b">
        <f t="shared" si="14"/>
        <v>1</v>
      </c>
    </row>
    <row r="612" spans="1:4">
      <c r="A612" s="2252" t="s">
        <v>2082</v>
      </c>
      <c r="B612" s="2253" t="str">
        <f>报表附注!E1112</f>
        <v>2．土地使用权</v>
      </c>
      <c r="C612" s="2260">
        <f>报表附注!H1112</f>
        <v>0</v>
      </c>
      <c r="D612" s="2252" t="b">
        <f t="shared" si="14"/>
        <v>1</v>
      </c>
    </row>
    <row r="613" spans="4:4">
      <c r="D613" s="2252" t="b">
        <f t="shared" si="14"/>
        <v>1</v>
      </c>
    </row>
    <row r="614" spans="1:4">
      <c r="A614" s="2252" t="s">
        <v>2085</v>
      </c>
      <c r="B614" s="2287" t="s">
        <v>2085</v>
      </c>
      <c r="D614" s="2252" t="b">
        <f t="shared" si="14"/>
        <v>1</v>
      </c>
    </row>
    <row r="615" spans="1:4">
      <c r="A615" s="2252" t="s">
        <v>2086</v>
      </c>
      <c r="B615" s="2273" t="s">
        <v>2086</v>
      </c>
      <c r="D615" s="2252" t="b">
        <f t="shared" si="14"/>
        <v>1</v>
      </c>
    </row>
    <row r="616" spans="1:4">
      <c r="A616" s="2252" t="s">
        <v>2087</v>
      </c>
      <c r="B616" s="2253" t="str">
        <f>报表附注!E1122</f>
        <v>1.成本合计</v>
      </c>
      <c r="C616" s="2260">
        <f>报表附注!F1122</f>
        <v>0</v>
      </c>
      <c r="D616" s="2252" t="b">
        <f t="shared" si="14"/>
        <v>1</v>
      </c>
    </row>
    <row r="617" spans="1:4">
      <c r="A617" s="2252" t="s">
        <v>2088</v>
      </c>
      <c r="B617" s="2253" t="str">
        <f>报表附注!E1123</f>
        <v>（1）房屋、建筑物</v>
      </c>
      <c r="C617" s="2260">
        <f>报表附注!F1123</f>
        <v>0</v>
      </c>
      <c r="D617" s="2252" t="b">
        <f t="shared" si="14"/>
        <v>1</v>
      </c>
    </row>
    <row r="618" spans="1:4">
      <c r="A618" s="2252" t="s">
        <v>2089</v>
      </c>
      <c r="B618" s="2253" t="str">
        <f>报表附注!E1124</f>
        <v>（2）土地使用权</v>
      </c>
      <c r="C618" s="2260">
        <f>报表附注!F1124</f>
        <v>0</v>
      </c>
      <c r="D618" s="2252" t="b">
        <f t="shared" si="14"/>
        <v>1</v>
      </c>
    </row>
    <row r="619" spans="1:4">
      <c r="A619" s="2252" t="s">
        <v>2090</v>
      </c>
      <c r="B619" s="2253" t="str">
        <f>报表附注!E1125</f>
        <v>（3）其他</v>
      </c>
      <c r="C619" s="2260">
        <f>报表附注!F1125</f>
        <v>0</v>
      </c>
      <c r="D619" s="2252" t="b">
        <f t="shared" si="14"/>
        <v>1</v>
      </c>
    </row>
    <row r="620" spans="1:4">
      <c r="A620" s="2252" t="s">
        <v>2091</v>
      </c>
      <c r="B620" s="2253" t="str">
        <f>报表附注!E1126</f>
        <v>2.公允价值变动合计</v>
      </c>
      <c r="C620" s="2260">
        <f>报表附注!F1126</f>
        <v>0</v>
      </c>
      <c r="D620" s="2252" t="b">
        <f t="shared" si="14"/>
        <v>1</v>
      </c>
    </row>
    <row r="621" spans="1:4">
      <c r="A621" s="2252" t="s">
        <v>2088</v>
      </c>
      <c r="B621" s="2253" t="str">
        <f>报表附注!E1127</f>
        <v>（1）房屋、建筑物</v>
      </c>
      <c r="C621" s="2260">
        <f>报表附注!F1127</f>
        <v>0</v>
      </c>
      <c r="D621" s="2252" t="b">
        <f t="shared" si="14"/>
        <v>1</v>
      </c>
    </row>
    <row r="622" spans="1:4">
      <c r="A622" s="2252" t="s">
        <v>2089</v>
      </c>
      <c r="B622" s="2253" t="str">
        <f>报表附注!E1128</f>
        <v>（2）土地使用权</v>
      </c>
      <c r="C622" s="2260">
        <f>报表附注!F1128</f>
        <v>0</v>
      </c>
      <c r="D622" s="2252" t="b">
        <f t="shared" si="14"/>
        <v>1</v>
      </c>
    </row>
    <row r="623" spans="1:4">
      <c r="A623" s="2252" t="s">
        <v>2090</v>
      </c>
      <c r="B623" s="2253" t="str">
        <f>报表附注!E1129</f>
        <v>（3）其他</v>
      </c>
      <c r="C623" s="2260">
        <f>报表附注!F1129</f>
        <v>0</v>
      </c>
      <c r="D623" s="2252" t="b">
        <f t="shared" si="14"/>
        <v>1</v>
      </c>
    </row>
    <row r="624" spans="1:4">
      <c r="A624" s="2252" t="s">
        <v>2092</v>
      </c>
      <c r="B624" s="2253" t="str">
        <f>报表附注!E1130</f>
        <v>3.投资性房地产账面价值合计</v>
      </c>
      <c r="C624" s="2260">
        <f>报表附注!F1130</f>
        <v>0</v>
      </c>
      <c r="D624" s="2252" t="b">
        <f t="shared" si="14"/>
        <v>1</v>
      </c>
    </row>
    <row r="625" spans="1:4">
      <c r="A625" s="2252" t="s">
        <v>2088</v>
      </c>
      <c r="B625" s="2253" t="str">
        <f>报表附注!E1131</f>
        <v>（1）房屋、建筑物</v>
      </c>
      <c r="C625" s="2260">
        <f>报表附注!F1131</f>
        <v>0</v>
      </c>
      <c r="D625" s="2252" t="b">
        <f t="shared" si="14"/>
        <v>1</v>
      </c>
    </row>
    <row r="626" spans="1:4">
      <c r="A626" s="2252" t="s">
        <v>2089</v>
      </c>
      <c r="B626" s="2253" t="str">
        <f>报表附注!E1132</f>
        <v>（2）土地使用权</v>
      </c>
      <c r="C626" s="2260">
        <f>报表附注!F1132</f>
        <v>0</v>
      </c>
      <c r="D626" s="2252" t="b">
        <f t="shared" si="14"/>
        <v>1</v>
      </c>
    </row>
    <row r="627" spans="1:4">
      <c r="A627" s="2252" t="s">
        <v>2090</v>
      </c>
      <c r="B627" s="2253" t="str">
        <f>报表附注!E1133</f>
        <v>（3）其他</v>
      </c>
      <c r="C627" s="2260">
        <f>报表附注!F1133</f>
        <v>0</v>
      </c>
      <c r="D627" s="2252" t="b">
        <f t="shared" si="14"/>
        <v>1</v>
      </c>
    </row>
    <row r="628" spans="1:4">
      <c r="A628" s="2252" t="s">
        <v>2093</v>
      </c>
      <c r="B628" s="2273" t="s">
        <v>2093</v>
      </c>
      <c r="D628" s="2252" t="b">
        <f t="shared" si="14"/>
        <v>1</v>
      </c>
    </row>
    <row r="629" spans="1:4">
      <c r="A629" s="2252" t="s">
        <v>2087</v>
      </c>
      <c r="B629" s="2253" t="str">
        <f>报表附注!E1122</f>
        <v>1.成本合计</v>
      </c>
      <c r="C629" s="2260">
        <f>报表附注!G1122</f>
        <v>0</v>
      </c>
      <c r="D629" s="2252" t="b">
        <f t="shared" si="14"/>
        <v>1</v>
      </c>
    </row>
    <row r="630" spans="1:4">
      <c r="A630" s="2252" t="s">
        <v>2088</v>
      </c>
      <c r="B630" s="2253" t="str">
        <f>报表附注!E1123</f>
        <v>（1）房屋、建筑物</v>
      </c>
      <c r="C630" s="2260">
        <f>报表附注!G1123</f>
        <v>0</v>
      </c>
      <c r="D630" s="2252" t="b">
        <f t="shared" si="14"/>
        <v>1</v>
      </c>
    </row>
    <row r="631" spans="1:4">
      <c r="A631" s="2252" t="s">
        <v>2089</v>
      </c>
      <c r="B631" s="2253" t="str">
        <f>报表附注!E1124</f>
        <v>（2）土地使用权</v>
      </c>
      <c r="C631" s="2260">
        <f>报表附注!G1124</f>
        <v>0</v>
      </c>
      <c r="D631" s="2252" t="b">
        <f t="shared" si="14"/>
        <v>1</v>
      </c>
    </row>
    <row r="632" spans="1:4">
      <c r="A632" s="2252" t="s">
        <v>2090</v>
      </c>
      <c r="B632" s="2253" t="str">
        <f>报表附注!E1125</f>
        <v>（3）其他</v>
      </c>
      <c r="C632" s="2260">
        <f>报表附注!G1125</f>
        <v>0</v>
      </c>
      <c r="D632" s="2252" t="b">
        <f t="shared" si="14"/>
        <v>1</v>
      </c>
    </row>
    <row r="633" spans="1:4">
      <c r="A633" s="2252" t="s">
        <v>2091</v>
      </c>
      <c r="B633" s="2253" t="str">
        <f>报表附注!E1126</f>
        <v>2.公允价值变动合计</v>
      </c>
      <c r="C633" s="2260">
        <f>报表附注!G1126</f>
        <v>0</v>
      </c>
      <c r="D633" s="2252" t="b">
        <f t="shared" si="14"/>
        <v>1</v>
      </c>
    </row>
    <row r="634" spans="1:4">
      <c r="A634" s="2252" t="s">
        <v>2088</v>
      </c>
      <c r="B634" s="2253" t="str">
        <f>报表附注!E1127</f>
        <v>（1）房屋、建筑物</v>
      </c>
      <c r="C634" s="2260">
        <f>报表附注!G1127</f>
        <v>0</v>
      </c>
      <c r="D634" s="2252" t="b">
        <f t="shared" si="14"/>
        <v>1</v>
      </c>
    </row>
    <row r="635" spans="1:4">
      <c r="A635" s="2252" t="s">
        <v>2089</v>
      </c>
      <c r="B635" s="2253" t="str">
        <f>报表附注!E1128</f>
        <v>（2）土地使用权</v>
      </c>
      <c r="C635" s="2260">
        <f>报表附注!G1128</f>
        <v>0</v>
      </c>
      <c r="D635" s="2252" t="b">
        <f t="shared" si="14"/>
        <v>1</v>
      </c>
    </row>
    <row r="636" spans="1:4">
      <c r="A636" s="2252" t="s">
        <v>2090</v>
      </c>
      <c r="B636" s="2253" t="str">
        <f>报表附注!E1129</f>
        <v>（3）其他</v>
      </c>
      <c r="C636" s="2260">
        <f>报表附注!G1129</f>
        <v>0</v>
      </c>
      <c r="D636" s="2252" t="b">
        <f t="shared" si="14"/>
        <v>1</v>
      </c>
    </row>
    <row r="637" spans="1:4">
      <c r="A637" s="2252" t="s">
        <v>2092</v>
      </c>
      <c r="B637" s="2253" t="str">
        <f>报表附注!E1130</f>
        <v>3.投资性房地产账面价值合计</v>
      </c>
      <c r="C637" s="2260">
        <f>报表附注!G1130</f>
        <v>0</v>
      </c>
      <c r="D637" s="2252" t="b">
        <f t="shared" si="14"/>
        <v>1</v>
      </c>
    </row>
    <row r="638" spans="1:4">
      <c r="A638" s="2252" t="s">
        <v>2088</v>
      </c>
      <c r="B638" s="2253" t="str">
        <f>报表附注!E1131</f>
        <v>（1）房屋、建筑物</v>
      </c>
      <c r="C638" s="2260">
        <f>报表附注!G1131</f>
        <v>0</v>
      </c>
      <c r="D638" s="2252" t="b">
        <f t="shared" si="14"/>
        <v>1</v>
      </c>
    </row>
    <row r="639" spans="1:4">
      <c r="A639" s="2252" t="s">
        <v>2089</v>
      </c>
      <c r="B639" s="2253" t="str">
        <f>报表附注!E1132</f>
        <v>（2）土地使用权</v>
      </c>
      <c r="C639" s="2260">
        <f>报表附注!G1132</f>
        <v>0</v>
      </c>
      <c r="D639" s="2252" t="b">
        <f t="shared" si="14"/>
        <v>1</v>
      </c>
    </row>
    <row r="640" spans="1:4">
      <c r="A640" s="2252" t="s">
        <v>2090</v>
      </c>
      <c r="B640" s="2253" t="str">
        <f>报表附注!E1133</f>
        <v>（3）其他</v>
      </c>
      <c r="C640" s="2260">
        <f>报表附注!G1133</f>
        <v>0</v>
      </c>
      <c r="D640" s="2252" t="b">
        <f t="shared" si="14"/>
        <v>1</v>
      </c>
    </row>
    <row r="641" spans="1:4">
      <c r="A641" s="2252" t="s">
        <v>2094</v>
      </c>
      <c r="B641" s="2273" t="s">
        <v>2094</v>
      </c>
      <c r="D641" s="2252" t="b">
        <f t="shared" si="14"/>
        <v>1</v>
      </c>
    </row>
    <row r="642" spans="1:4">
      <c r="A642" s="2252" t="s">
        <v>2087</v>
      </c>
      <c r="B642" s="2253" t="str">
        <f>报表附注!E1122</f>
        <v>1.成本合计</v>
      </c>
      <c r="C642" s="2260">
        <f>报表附注!H1122</f>
        <v>0</v>
      </c>
      <c r="D642" s="2252" t="b">
        <f t="shared" si="14"/>
        <v>1</v>
      </c>
    </row>
    <row r="643" spans="1:4">
      <c r="A643" s="2252" t="s">
        <v>2088</v>
      </c>
      <c r="B643" s="2253" t="str">
        <f>报表附注!E1123</f>
        <v>（1）房屋、建筑物</v>
      </c>
      <c r="C643" s="2260">
        <f>报表附注!H1123</f>
        <v>0</v>
      </c>
      <c r="D643" s="2252" t="b">
        <f t="shared" si="14"/>
        <v>1</v>
      </c>
    </row>
    <row r="644" spans="1:4">
      <c r="A644" s="2252" t="s">
        <v>2089</v>
      </c>
      <c r="B644" s="2253" t="str">
        <f>报表附注!E1124</f>
        <v>（2）土地使用权</v>
      </c>
      <c r="C644" s="2260">
        <f>报表附注!H1124</f>
        <v>0</v>
      </c>
      <c r="D644" s="2252" t="b">
        <f t="shared" si="14"/>
        <v>1</v>
      </c>
    </row>
    <row r="645" spans="1:4">
      <c r="A645" s="2252" t="s">
        <v>2090</v>
      </c>
      <c r="B645" s="2253" t="str">
        <f>报表附注!E1125</f>
        <v>（3）其他</v>
      </c>
      <c r="C645" s="2260">
        <f>报表附注!H1125</f>
        <v>0</v>
      </c>
      <c r="D645" s="2252" t="b">
        <f t="shared" si="14"/>
        <v>1</v>
      </c>
    </row>
    <row r="646" spans="1:4">
      <c r="A646" s="2252" t="s">
        <v>2091</v>
      </c>
      <c r="B646" s="2253" t="str">
        <f>报表附注!E1126</f>
        <v>2.公允价值变动合计</v>
      </c>
      <c r="C646" s="2260">
        <f>报表附注!H1126</f>
        <v>0</v>
      </c>
      <c r="D646" s="2252" t="b">
        <f t="shared" si="14"/>
        <v>1</v>
      </c>
    </row>
    <row r="647" spans="1:4">
      <c r="A647" s="2252" t="s">
        <v>2088</v>
      </c>
      <c r="B647" s="2253" t="str">
        <f>报表附注!E1127</f>
        <v>（1）房屋、建筑物</v>
      </c>
      <c r="C647" s="2260">
        <f>报表附注!H1127</f>
        <v>0</v>
      </c>
      <c r="D647" s="2252" t="b">
        <f t="shared" si="14"/>
        <v>1</v>
      </c>
    </row>
    <row r="648" spans="1:4">
      <c r="A648" s="2252" t="s">
        <v>2089</v>
      </c>
      <c r="B648" s="2253" t="str">
        <f>报表附注!E1128</f>
        <v>（2）土地使用权</v>
      </c>
      <c r="C648" s="2260">
        <f>报表附注!H1128</f>
        <v>0</v>
      </c>
      <c r="D648" s="2252" t="b">
        <f t="shared" si="14"/>
        <v>1</v>
      </c>
    </row>
    <row r="649" spans="1:4">
      <c r="A649" s="2252" t="s">
        <v>2090</v>
      </c>
      <c r="B649" s="2253" t="str">
        <f>报表附注!E1129</f>
        <v>（3）其他</v>
      </c>
      <c r="C649" s="2260">
        <f>报表附注!H1129</f>
        <v>0</v>
      </c>
      <c r="D649" s="2252" t="b">
        <f t="shared" si="14"/>
        <v>1</v>
      </c>
    </row>
    <row r="650" spans="1:4">
      <c r="A650" s="2252" t="s">
        <v>2092</v>
      </c>
      <c r="B650" s="2253" t="str">
        <f>报表附注!E1130</f>
        <v>3.投资性房地产账面价值合计</v>
      </c>
      <c r="C650" s="2260">
        <f>报表附注!H1130</f>
        <v>0</v>
      </c>
      <c r="D650" s="2252" t="b">
        <f t="shared" si="14"/>
        <v>1</v>
      </c>
    </row>
    <row r="651" spans="1:4">
      <c r="A651" s="2252" t="s">
        <v>2088</v>
      </c>
      <c r="B651" s="2253" t="str">
        <f>报表附注!E1131</f>
        <v>（1）房屋、建筑物</v>
      </c>
      <c r="C651" s="2260">
        <f>报表附注!H1131</f>
        <v>0</v>
      </c>
      <c r="D651" s="2252" t="b">
        <f t="shared" si="14"/>
        <v>1</v>
      </c>
    </row>
    <row r="652" spans="1:4">
      <c r="A652" s="2252" t="s">
        <v>2089</v>
      </c>
      <c r="B652" s="2253" t="str">
        <f>报表附注!E1132</f>
        <v>（2）土地使用权</v>
      </c>
      <c r="C652" s="2260">
        <f>报表附注!H1132</f>
        <v>0</v>
      </c>
      <c r="D652" s="2252" t="b">
        <f t="shared" ref="D652:D715" si="15">EXACT(A652,B652)</f>
        <v>1</v>
      </c>
    </row>
    <row r="653" spans="1:4">
      <c r="A653" s="2252" t="s">
        <v>2090</v>
      </c>
      <c r="B653" s="2253" t="str">
        <f>报表附注!E1133</f>
        <v>（3）其他</v>
      </c>
      <c r="C653" s="2260">
        <f>报表附注!H1133</f>
        <v>0</v>
      </c>
      <c r="D653" s="2252" t="b">
        <f t="shared" si="15"/>
        <v>1</v>
      </c>
    </row>
    <row r="654" spans="1:4">
      <c r="A654" s="2252" t="s">
        <v>2095</v>
      </c>
      <c r="B654" s="2273" t="s">
        <v>2095</v>
      </c>
      <c r="D654" s="2252" t="b">
        <f t="shared" si="15"/>
        <v>1</v>
      </c>
    </row>
    <row r="655" spans="1:4">
      <c r="A655" s="2252" t="s">
        <v>2087</v>
      </c>
      <c r="B655" s="2253" t="str">
        <f>报表附注!E1122</f>
        <v>1.成本合计</v>
      </c>
      <c r="C655" s="2260">
        <f>报表附注!I1122</f>
        <v>0</v>
      </c>
      <c r="D655" s="2252" t="b">
        <f t="shared" si="15"/>
        <v>1</v>
      </c>
    </row>
    <row r="656" spans="1:4">
      <c r="A656" s="2252" t="s">
        <v>2088</v>
      </c>
      <c r="B656" s="2253" t="str">
        <f>报表附注!E1123</f>
        <v>（1）房屋、建筑物</v>
      </c>
      <c r="C656" s="2260">
        <f>报表附注!I1123</f>
        <v>0</v>
      </c>
      <c r="D656" s="2252" t="b">
        <f t="shared" si="15"/>
        <v>1</v>
      </c>
    </row>
    <row r="657" spans="1:4">
      <c r="A657" s="2252" t="s">
        <v>2089</v>
      </c>
      <c r="B657" s="2253" t="str">
        <f>报表附注!E1124</f>
        <v>（2）土地使用权</v>
      </c>
      <c r="C657" s="2260">
        <f>报表附注!I1124</f>
        <v>0</v>
      </c>
      <c r="D657" s="2252" t="b">
        <f t="shared" si="15"/>
        <v>1</v>
      </c>
    </row>
    <row r="658" spans="1:4">
      <c r="A658" s="2252" t="s">
        <v>2090</v>
      </c>
      <c r="B658" s="2253" t="str">
        <f>报表附注!E1125</f>
        <v>（3）其他</v>
      </c>
      <c r="C658" s="2260">
        <f>报表附注!I1125</f>
        <v>0</v>
      </c>
      <c r="D658" s="2252" t="b">
        <f t="shared" si="15"/>
        <v>1</v>
      </c>
    </row>
    <row r="659" spans="1:4">
      <c r="A659" s="2252" t="s">
        <v>2091</v>
      </c>
      <c r="B659" s="2253" t="str">
        <f>报表附注!E1126</f>
        <v>2.公允价值变动合计</v>
      </c>
      <c r="C659" s="2260">
        <f>报表附注!I1126</f>
        <v>0</v>
      </c>
      <c r="D659" s="2252" t="b">
        <f t="shared" si="15"/>
        <v>1</v>
      </c>
    </row>
    <row r="660" spans="1:4">
      <c r="A660" s="2252" t="s">
        <v>2088</v>
      </c>
      <c r="B660" s="2253" t="str">
        <f>报表附注!E1127</f>
        <v>（1）房屋、建筑物</v>
      </c>
      <c r="C660" s="2260">
        <f>报表附注!I1127</f>
        <v>0</v>
      </c>
      <c r="D660" s="2252" t="b">
        <f t="shared" si="15"/>
        <v>1</v>
      </c>
    </row>
    <row r="661" spans="1:4">
      <c r="A661" s="2252" t="s">
        <v>2089</v>
      </c>
      <c r="B661" s="2253" t="str">
        <f>报表附注!E1128</f>
        <v>（2）土地使用权</v>
      </c>
      <c r="C661" s="2260">
        <f>报表附注!I1128</f>
        <v>0</v>
      </c>
      <c r="D661" s="2252" t="b">
        <f t="shared" si="15"/>
        <v>1</v>
      </c>
    </row>
    <row r="662" spans="1:4">
      <c r="A662" s="2252" t="s">
        <v>2090</v>
      </c>
      <c r="B662" s="2253" t="str">
        <f>报表附注!E1129</f>
        <v>（3）其他</v>
      </c>
      <c r="C662" s="2260">
        <f>报表附注!I1129</f>
        <v>0</v>
      </c>
      <c r="D662" s="2252" t="b">
        <f t="shared" si="15"/>
        <v>1</v>
      </c>
    </row>
    <row r="663" spans="1:4">
      <c r="A663" s="2252" t="s">
        <v>2092</v>
      </c>
      <c r="B663" s="2253" t="str">
        <f>报表附注!E1130</f>
        <v>3.投资性房地产账面价值合计</v>
      </c>
      <c r="C663" s="2260">
        <f>报表附注!I1130</f>
        <v>0</v>
      </c>
      <c r="D663" s="2252" t="b">
        <f t="shared" si="15"/>
        <v>1</v>
      </c>
    </row>
    <row r="664" spans="1:4">
      <c r="A664" s="2252" t="s">
        <v>2088</v>
      </c>
      <c r="B664" s="2253" t="str">
        <f>报表附注!E1131</f>
        <v>（1）房屋、建筑物</v>
      </c>
      <c r="C664" s="2260">
        <f>报表附注!I1131</f>
        <v>0</v>
      </c>
      <c r="D664" s="2252" t="b">
        <f t="shared" si="15"/>
        <v>1</v>
      </c>
    </row>
    <row r="665" spans="1:4">
      <c r="A665" s="2252" t="s">
        <v>2089</v>
      </c>
      <c r="B665" s="2253" t="str">
        <f>报表附注!E1132</f>
        <v>（2）土地使用权</v>
      </c>
      <c r="C665" s="2260">
        <f>报表附注!I1132</f>
        <v>0</v>
      </c>
      <c r="D665" s="2252" t="b">
        <f t="shared" si="15"/>
        <v>1</v>
      </c>
    </row>
    <row r="666" spans="1:4">
      <c r="A666" s="2252" t="s">
        <v>2090</v>
      </c>
      <c r="B666" s="2253" t="str">
        <f>报表附注!E1133</f>
        <v>（3）其他</v>
      </c>
      <c r="C666" s="2260">
        <f>报表附注!I1133</f>
        <v>0</v>
      </c>
      <c r="D666" s="2252" t="b">
        <f t="shared" si="15"/>
        <v>1</v>
      </c>
    </row>
    <row r="667" spans="1:4">
      <c r="A667" s="2252" t="s">
        <v>2096</v>
      </c>
      <c r="B667" s="2273" t="s">
        <v>2096</v>
      </c>
      <c r="D667" s="2252" t="b">
        <f t="shared" si="15"/>
        <v>1</v>
      </c>
    </row>
    <row r="668" spans="1:4">
      <c r="A668" s="2252" t="s">
        <v>2087</v>
      </c>
      <c r="B668" s="2253" t="str">
        <f>报表附注!E1122</f>
        <v>1.成本合计</v>
      </c>
      <c r="C668" s="2260">
        <f>报表附注!J1122</f>
        <v>0</v>
      </c>
      <c r="D668" s="2252" t="b">
        <f t="shared" si="15"/>
        <v>1</v>
      </c>
    </row>
    <row r="669" spans="1:4">
      <c r="A669" s="2252" t="s">
        <v>2088</v>
      </c>
      <c r="B669" s="2253" t="str">
        <f>报表附注!E1123</f>
        <v>（1）房屋、建筑物</v>
      </c>
      <c r="C669" s="2260">
        <f>报表附注!J1123</f>
        <v>0</v>
      </c>
      <c r="D669" s="2252" t="b">
        <f t="shared" si="15"/>
        <v>1</v>
      </c>
    </row>
    <row r="670" spans="1:4">
      <c r="A670" s="2252" t="s">
        <v>2089</v>
      </c>
      <c r="B670" s="2253" t="str">
        <f>报表附注!E1124</f>
        <v>（2）土地使用权</v>
      </c>
      <c r="C670" s="2260">
        <f>报表附注!J1124</f>
        <v>0</v>
      </c>
      <c r="D670" s="2252" t="b">
        <f t="shared" si="15"/>
        <v>1</v>
      </c>
    </row>
    <row r="671" spans="1:4">
      <c r="A671" s="2252" t="s">
        <v>2090</v>
      </c>
      <c r="B671" s="2253" t="str">
        <f>报表附注!E1125</f>
        <v>（3）其他</v>
      </c>
      <c r="C671" s="2260">
        <f>报表附注!J1125</f>
        <v>0</v>
      </c>
      <c r="D671" s="2252" t="b">
        <f t="shared" si="15"/>
        <v>1</v>
      </c>
    </row>
    <row r="672" spans="1:4">
      <c r="A672" s="2252" t="s">
        <v>2091</v>
      </c>
      <c r="B672" s="2253" t="str">
        <f>报表附注!E1126</f>
        <v>2.公允价值变动合计</v>
      </c>
      <c r="C672" s="2260">
        <f>报表附注!J1126</f>
        <v>0</v>
      </c>
      <c r="D672" s="2252" t="b">
        <f t="shared" si="15"/>
        <v>1</v>
      </c>
    </row>
    <row r="673" spans="1:4">
      <c r="A673" s="2252" t="s">
        <v>2088</v>
      </c>
      <c r="B673" s="2253" t="str">
        <f>报表附注!E1127</f>
        <v>（1）房屋、建筑物</v>
      </c>
      <c r="C673" s="2260">
        <f>报表附注!J1127</f>
        <v>0</v>
      </c>
      <c r="D673" s="2252" t="b">
        <f t="shared" si="15"/>
        <v>1</v>
      </c>
    </row>
    <row r="674" spans="1:4">
      <c r="A674" s="2252" t="s">
        <v>2089</v>
      </c>
      <c r="B674" s="2253" t="str">
        <f>报表附注!E1128</f>
        <v>（2）土地使用权</v>
      </c>
      <c r="C674" s="2260">
        <f>报表附注!J1128</f>
        <v>0</v>
      </c>
      <c r="D674" s="2252" t="b">
        <f t="shared" si="15"/>
        <v>1</v>
      </c>
    </row>
    <row r="675" spans="1:4">
      <c r="A675" s="2252" t="s">
        <v>2090</v>
      </c>
      <c r="B675" s="2253" t="str">
        <f>报表附注!E1129</f>
        <v>（3）其他</v>
      </c>
      <c r="C675" s="2260">
        <f>报表附注!J1129</f>
        <v>0</v>
      </c>
      <c r="D675" s="2252" t="b">
        <f t="shared" si="15"/>
        <v>1</v>
      </c>
    </row>
    <row r="676" spans="1:4">
      <c r="A676" s="2252" t="s">
        <v>2092</v>
      </c>
      <c r="B676" s="2253" t="str">
        <f>报表附注!E1130</f>
        <v>3.投资性房地产账面价值合计</v>
      </c>
      <c r="C676" s="2260">
        <f>报表附注!J1130</f>
        <v>0</v>
      </c>
      <c r="D676" s="2252" t="b">
        <f t="shared" si="15"/>
        <v>1</v>
      </c>
    </row>
    <row r="677" spans="1:4">
      <c r="A677" s="2252" t="s">
        <v>2088</v>
      </c>
      <c r="B677" s="2253" t="str">
        <f>报表附注!E1131</f>
        <v>（1）房屋、建筑物</v>
      </c>
      <c r="C677" s="2260">
        <f>报表附注!J1131</f>
        <v>0</v>
      </c>
      <c r="D677" s="2252" t="b">
        <f t="shared" si="15"/>
        <v>1</v>
      </c>
    </row>
    <row r="678" spans="1:4">
      <c r="A678" s="2252" t="s">
        <v>2089</v>
      </c>
      <c r="B678" s="2253" t="str">
        <f>报表附注!E1132</f>
        <v>（2）土地使用权</v>
      </c>
      <c r="C678" s="2260">
        <f>报表附注!J1132</f>
        <v>0</v>
      </c>
      <c r="D678" s="2252" t="b">
        <f t="shared" si="15"/>
        <v>1</v>
      </c>
    </row>
    <row r="679" spans="1:4">
      <c r="A679" s="2252" t="s">
        <v>2090</v>
      </c>
      <c r="B679" s="2253" t="str">
        <f>报表附注!E1133</f>
        <v>（3）其他</v>
      </c>
      <c r="C679" s="2260">
        <f>报表附注!J1133</f>
        <v>0</v>
      </c>
      <c r="D679" s="2252" t="b">
        <f t="shared" si="15"/>
        <v>1</v>
      </c>
    </row>
    <row r="680" spans="1:4">
      <c r="A680" s="2252" t="s">
        <v>2097</v>
      </c>
      <c r="B680" s="2273" t="s">
        <v>2097</v>
      </c>
      <c r="D680" s="2252" t="b">
        <f t="shared" si="15"/>
        <v>1</v>
      </c>
    </row>
    <row r="681" spans="1:4">
      <c r="A681" s="2252" t="s">
        <v>2087</v>
      </c>
      <c r="B681" s="2253" t="str">
        <f>报表附注!E1122</f>
        <v>1.成本合计</v>
      </c>
      <c r="C681" s="2260">
        <f>报表附注!K1122</f>
        <v>0</v>
      </c>
      <c r="D681" s="2252" t="b">
        <f t="shared" si="15"/>
        <v>1</v>
      </c>
    </row>
    <row r="682" spans="1:4">
      <c r="A682" s="2252" t="s">
        <v>2088</v>
      </c>
      <c r="B682" s="2253" t="str">
        <f>报表附注!E1123</f>
        <v>（1）房屋、建筑物</v>
      </c>
      <c r="C682" s="2260">
        <f>报表附注!K1123</f>
        <v>0</v>
      </c>
      <c r="D682" s="2252" t="b">
        <f t="shared" si="15"/>
        <v>1</v>
      </c>
    </row>
    <row r="683" spans="1:4">
      <c r="A683" s="2252" t="s">
        <v>2089</v>
      </c>
      <c r="B683" s="2253" t="str">
        <f>报表附注!E1124</f>
        <v>（2）土地使用权</v>
      </c>
      <c r="C683" s="2260">
        <f>报表附注!K1124</f>
        <v>0</v>
      </c>
      <c r="D683" s="2252" t="b">
        <f t="shared" si="15"/>
        <v>1</v>
      </c>
    </row>
    <row r="684" spans="1:4">
      <c r="A684" s="2252" t="s">
        <v>2090</v>
      </c>
      <c r="B684" s="2253" t="str">
        <f>报表附注!E1125</f>
        <v>（3）其他</v>
      </c>
      <c r="C684" s="2260">
        <f>报表附注!K1125</f>
        <v>0</v>
      </c>
      <c r="D684" s="2252" t="b">
        <f t="shared" si="15"/>
        <v>1</v>
      </c>
    </row>
    <row r="685" spans="1:4">
      <c r="A685" s="2252" t="s">
        <v>2091</v>
      </c>
      <c r="B685" s="2253" t="str">
        <f>报表附注!E1126</f>
        <v>2.公允价值变动合计</v>
      </c>
      <c r="C685" s="2260">
        <f>报表附注!K1126</f>
        <v>0</v>
      </c>
      <c r="D685" s="2252" t="b">
        <f t="shared" si="15"/>
        <v>1</v>
      </c>
    </row>
    <row r="686" spans="1:4">
      <c r="A686" s="2252" t="s">
        <v>2088</v>
      </c>
      <c r="B686" s="2253" t="str">
        <f>报表附注!E1127</f>
        <v>（1）房屋、建筑物</v>
      </c>
      <c r="C686" s="2260">
        <f>报表附注!K1127</f>
        <v>0</v>
      </c>
      <c r="D686" s="2252" t="b">
        <f t="shared" si="15"/>
        <v>1</v>
      </c>
    </row>
    <row r="687" spans="1:4">
      <c r="A687" s="2252" t="s">
        <v>2089</v>
      </c>
      <c r="B687" s="2253" t="str">
        <f>报表附注!E1128</f>
        <v>（2）土地使用权</v>
      </c>
      <c r="C687" s="2260">
        <f>报表附注!K1128</f>
        <v>0</v>
      </c>
      <c r="D687" s="2252" t="b">
        <f t="shared" si="15"/>
        <v>1</v>
      </c>
    </row>
    <row r="688" spans="1:4">
      <c r="A688" s="2252" t="s">
        <v>2090</v>
      </c>
      <c r="B688" s="2253" t="str">
        <f>报表附注!E1129</f>
        <v>（3）其他</v>
      </c>
      <c r="C688" s="2260">
        <f>报表附注!K1129</f>
        <v>0</v>
      </c>
      <c r="D688" s="2252" t="b">
        <f t="shared" si="15"/>
        <v>1</v>
      </c>
    </row>
    <row r="689" spans="1:4">
      <c r="A689" s="2252" t="s">
        <v>2092</v>
      </c>
      <c r="B689" s="2253" t="str">
        <f>报表附注!E1130</f>
        <v>3.投资性房地产账面价值合计</v>
      </c>
      <c r="C689" s="2260">
        <f>报表附注!K1130</f>
        <v>0</v>
      </c>
      <c r="D689" s="2252" t="b">
        <f t="shared" si="15"/>
        <v>1</v>
      </c>
    </row>
    <row r="690" spans="1:4">
      <c r="A690" s="2252" t="s">
        <v>2088</v>
      </c>
      <c r="B690" s="2253" t="str">
        <f>报表附注!E1131</f>
        <v>（1）房屋、建筑物</v>
      </c>
      <c r="C690" s="2260">
        <f>报表附注!K1131</f>
        <v>0</v>
      </c>
      <c r="D690" s="2252" t="b">
        <f t="shared" si="15"/>
        <v>1</v>
      </c>
    </row>
    <row r="691" spans="1:4">
      <c r="A691" s="2252" t="s">
        <v>2089</v>
      </c>
      <c r="B691" s="2253" t="str">
        <f>报表附注!E1132</f>
        <v>（2）土地使用权</v>
      </c>
      <c r="C691" s="2260">
        <f>报表附注!K1132</f>
        <v>0</v>
      </c>
      <c r="D691" s="2252" t="b">
        <f t="shared" si="15"/>
        <v>1</v>
      </c>
    </row>
    <row r="692" spans="1:4">
      <c r="A692" s="2252" t="s">
        <v>2090</v>
      </c>
      <c r="B692" s="2253" t="str">
        <f>报表附注!E1133</f>
        <v>（3）其他</v>
      </c>
      <c r="C692" s="2260">
        <f>报表附注!K1133</f>
        <v>0</v>
      </c>
      <c r="D692" s="2252" t="b">
        <f t="shared" si="15"/>
        <v>1</v>
      </c>
    </row>
    <row r="693" spans="4:4">
      <c r="D693" s="2252" t="b">
        <f t="shared" si="15"/>
        <v>1</v>
      </c>
    </row>
    <row r="694" spans="1:4">
      <c r="A694" s="2252" t="s">
        <v>2098</v>
      </c>
      <c r="B694" s="2270" t="s">
        <v>2098</v>
      </c>
      <c r="D694" s="2252" t="b">
        <f t="shared" si="15"/>
        <v>1</v>
      </c>
    </row>
    <row r="695" spans="1:4">
      <c r="A695" s="2252" t="s">
        <v>671</v>
      </c>
      <c r="B695" s="2273" t="s">
        <v>671</v>
      </c>
      <c r="D695" s="2252" t="b">
        <f t="shared" si="15"/>
        <v>1</v>
      </c>
    </row>
    <row r="696" spans="1:4">
      <c r="A696" s="2252" t="s">
        <v>715</v>
      </c>
      <c r="B696" s="2253" t="str">
        <f>报表附注!E1144</f>
        <v>一、原价合计</v>
      </c>
      <c r="C696" s="2260">
        <f>报表附注!F1144</f>
        <v>84280783.27</v>
      </c>
      <c r="D696" s="2252" t="b">
        <f t="shared" si="15"/>
        <v>1</v>
      </c>
    </row>
    <row r="697" spans="1:4">
      <c r="A697" s="2252" t="s">
        <v>2099</v>
      </c>
      <c r="B697" s="2253" t="str">
        <f>报表附注!E1145</f>
        <v>    其中：节能服务资产</v>
      </c>
      <c r="C697" s="2260">
        <f>报表附注!F1145</f>
        <v>81847437.29</v>
      </c>
      <c r="D697" s="2252" t="b">
        <f t="shared" si="15"/>
        <v>0</v>
      </c>
    </row>
    <row r="698" spans="1:4">
      <c r="A698" s="2252" t="s">
        <v>2100</v>
      </c>
      <c r="B698" s="2253" t="str">
        <f>报表附注!E1146</f>
        <v>        机器设备</v>
      </c>
      <c r="C698" s="2260">
        <f>报表附注!F1146</f>
        <v>300000</v>
      </c>
      <c r="D698" s="2252" t="b">
        <f t="shared" si="15"/>
        <v>0</v>
      </c>
    </row>
    <row r="699" spans="1:4">
      <c r="A699" s="2252" t="s">
        <v>2101</v>
      </c>
      <c r="B699" s="2253" t="str">
        <f>报表附注!E1147</f>
        <v>        运输工具</v>
      </c>
      <c r="C699" s="2260">
        <f>报表附注!F1147</f>
        <v>1717158</v>
      </c>
      <c r="D699" s="2252" t="b">
        <f t="shared" si="15"/>
        <v>0</v>
      </c>
    </row>
    <row r="700" spans="1:4">
      <c r="A700" s="2252" t="s">
        <v>2102</v>
      </c>
      <c r="B700" s="2253" t="str">
        <f>报表附注!E1148</f>
        <v>        电子设备及其他</v>
      </c>
      <c r="C700" s="2260">
        <f>报表附注!F1148</f>
        <v>416187.98</v>
      </c>
      <c r="D700" s="2252" t="b">
        <f t="shared" si="15"/>
        <v>0</v>
      </c>
    </row>
    <row r="701" spans="1:4">
      <c r="A701" s="2252">
        <v>0</v>
      </c>
      <c r="B701" s="2253">
        <f>报表附注!E1149</f>
        <v>0</v>
      </c>
      <c r="C701" s="2260">
        <f>报表附注!F1149</f>
        <v>0</v>
      </c>
      <c r="D701" s="2252" t="b">
        <f t="shared" si="15"/>
        <v>1</v>
      </c>
    </row>
    <row r="702" spans="1:4">
      <c r="A702" s="2252" t="s">
        <v>760</v>
      </c>
      <c r="B702" s="2253" t="str">
        <f>报表附注!E1151</f>
        <v>二、累计折旧合计</v>
      </c>
      <c r="C702" s="2260">
        <f>报表附注!F1151</f>
        <v>16666992.97</v>
      </c>
      <c r="D702" s="2252" t="b">
        <f t="shared" si="15"/>
        <v>1</v>
      </c>
    </row>
    <row r="703" spans="1:4">
      <c r="A703" s="2252" t="s">
        <v>2099</v>
      </c>
      <c r="B703" s="2253" t="str">
        <f>报表附注!E1152</f>
        <v>    其中：节能服务资产</v>
      </c>
      <c r="C703" s="2260">
        <f>报表附注!F1152</f>
        <v>15277280.8</v>
      </c>
      <c r="D703" s="2252" t="b">
        <f t="shared" si="15"/>
        <v>0</v>
      </c>
    </row>
    <row r="704" spans="1:4">
      <c r="A704" s="2252" t="s">
        <v>2100</v>
      </c>
      <c r="B704" s="2253" t="str">
        <f>报表附注!E1153</f>
        <v>        机器设备</v>
      </c>
      <c r="C704" s="2260">
        <f>报表附注!F1153</f>
        <v>78375</v>
      </c>
      <c r="D704" s="2252" t="b">
        <f t="shared" si="15"/>
        <v>0</v>
      </c>
    </row>
    <row r="705" spans="1:4">
      <c r="A705" s="2252" t="s">
        <v>2101</v>
      </c>
      <c r="B705" s="2253" t="str">
        <f>报表附注!E1154</f>
        <v>        运输工具</v>
      </c>
      <c r="C705" s="2260">
        <f>报表附注!F1154</f>
        <v>1007572.78</v>
      </c>
      <c r="D705" s="2252" t="b">
        <f t="shared" si="15"/>
        <v>0</v>
      </c>
    </row>
    <row r="706" spans="1:4">
      <c r="A706" s="2252" t="s">
        <v>2102</v>
      </c>
      <c r="B706" s="2253" t="str">
        <f>报表附注!E1155</f>
        <v>        电子设备及其他</v>
      </c>
      <c r="C706" s="2260">
        <f>报表附注!F1155</f>
        <v>303764.39</v>
      </c>
      <c r="D706" s="2252" t="b">
        <f t="shared" si="15"/>
        <v>0</v>
      </c>
    </row>
    <row r="707" spans="1:4">
      <c r="A707" s="2252">
        <v>0</v>
      </c>
      <c r="B707" s="2274">
        <f>报表附注!E1156</f>
        <v>0</v>
      </c>
      <c r="C707" s="2260">
        <f>报表附注!F1156</f>
        <v>0</v>
      </c>
      <c r="D707" s="2252" t="b">
        <f t="shared" si="15"/>
        <v>1</v>
      </c>
    </row>
    <row r="708" spans="1:4">
      <c r="A708" s="2252" t="s">
        <v>2103</v>
      </c>
      <c r="B708" s="2253" t="str">
        <f>报表附注!E1157</f>
        <v>三、固定资产减值准备合计</v>
      </c>
      <c r="C708" s="2260">
        <f>报表附注!F1157</f>
        <v>0</v>
      </c>
      <c r="D708" s="2252" t="b">
        <f t="shared" si="15"/>
        <v>1</v>
      </c>
    </row>
    <row r="709" spans="1:4">
      <c r="A709" s="2252" t="s">
        <v>2099</v>
      </c>
      <c r="B709" s="2253" t="str">
        <f>报表附注!E1158</f>
        <v>    其中：节能服务资产</v>
      </c>
      <c r="C709" s="2260">
        <f>报表附注!F1158</f>
        <v>0</v>
      </c>
      <c r="D709" s="2252" t="b">
        <f t="shared" si="15"/>
        <v>0</v>
      </c>
    </row>
    <row r="710" spans="1:4">
      <c r="A710" s="2252" t="s">
        <v>2100</v>
      </c>
      <c r="B710" s="2253" t="str">
        <f>报表附注!E1159</f>
        <v>        机器设备</v>
      </c>
      <c r="C710" s="2260">
        <f>报表附注!F1159</f>
        <v>0</v>
      </c>
      <c r="D710" s="2252" t="b">
        <f t="shared" si="15"/>
        <v>0</v>
      </c>
    </row>
    <row r="711" spans="1:4">
      <c r="A711" s="2252" t="s">
        <v>2101</v>
      </c>
      <c r="B711" s="2253" t="str">
        <f>报表附注!E1160</f>
        <v>        运输工具</v>
      </c>
      <c r="C711" s="2260">
        <f>报表附注!F1160</f>
        <v>0</v>
      </c>
      <c r="D711" s="2252" t="b">
        <f t="shared" si="15"/>
        <v>0</v>
      </c>
    </row>
    <row r="712" spans="1:4">
      <c r="A712" s="2252" t="s">
        <v>2102</v>
      </c>
      <c r="B712" s="2253" t="str">
        <f>报表附注!E1161</f>
        <v>        电子设备及其他</v>
      </c>
      <c r="C712" s="2260">
        <f>报表附注!F1161</f>
        <v>0</v>
      </c>
      <c r="D712" s="2252" t="b">
        <f t="shared" si="15"/>
        <v>0</v>
      </c>
    </row>
    <row r="713" spans="1:4">
      <c r="A713" s="2252">
        <v>0</v>
      </c>
      <c r="B713" s="2274">
        <f>报表附注!E1162</f>
        <v>0</v>
      </c>
      <c r="C713" s="2260">
        <f>报表附注!F1162</f>
        <v>0</v>
      </c>
      <c r="D713" s="2252" t="b">
        <f t="shared" si="15"/>
        <v>1</v>
      </c>
    </row>
    <row r="714" spans="1:4">
      <c r="A714" s="2252" t="s">
        <v>672</v>
      </c>
      <c r="B714" s="2273" t="s">
        <v>672</v>
      </c>
      <c r="D714" s="2252" t="b">
        <f t="shared" si="15"/>
        <v>1</v>
      </c>
    </row>
    <row r="715" spans="1:4">
      <c r="A715" s="2252" t="s">
        <v>715</v>
      </c>
      <c r="B715" s="2253" t="str">
        <f>报表附注!E1144</f>
        <v>一、原价合计</v>
      </c>
      <c r="C715" s="2260">
        <f>报表附注!H1144</f>
        <v>6918315.68</v>
      </c>
      <c r="D715" s="2252" t="b">
        <f t="shared" si="15"/>
        <v>1</v>
      </c>
    </row>
    <row r="716" spans="1:4">
      <c r="A716" s="2252" t="s">
        <v>2099</v>
      </c>
      <c r="B716" s="2253" t="str">
        <f>报表附注!E1145</f>
        <v>    其中：节能服务资产</v>
      </c>
      <c r="C716" s="2260">
        <f>报表附注!H1145</f>
        <v>6792196.69</v>
      </c>
      <c r="D716" s="2252" t="b">
        <f t="shared" ref="D716:D779" si="16">EXACT(A716,B716)</f>
        <v>0</v>
      </c>
    </row>
    <row r="717" spans="1:4">
      <c r="A717" s="2252" t="s">
        <v>2100</v>
      </c>
      <c r="B717" s="2253" t="str">
        <f>报表附注!E1146</f>
        <v>        机器设备</v>
      </c>
      <c r="C717" s="2260">
        <f>报表附注!H1146</f>
        <v>0</v>
      </c>
      <c r="D717" s="2252" t="b">
        <f t="shared" si="16"/>
        <v>0</v>
      </c>
    </row>
    <row r="718" spans="1:4">
      <c r="A718" s="2252" t="s">
        <v>2101</v>
      </c>
      <c r="B718" s="2253" t="str">
        <f>报表附注!E1147</f>
        <v>        运输工具</v>
      </c>
      <c r="C718" s="2260">
        <f>报表附注!H1147</f>
        <v>78343.34</v>
      </c>
      <c r="D718" s="2252" t="b">
        <f t="shared" si="16"/>
        <v>0</v>
      </c>
    </row>
    <row r="719" spans="1:4">
      <c r="A719" s="2252" t="s">
        <v>2102</v>
      </c>
      <c r="B719" s="2253" t="str">
        <f>报表附注!E1148</f>
        <v>        电子设备及其他</v>
      </c>
      <c r="C719" s="2260">
        <f>报表附注!H1148</f>
        <v>47775.65</v>
      </c>
      <c r="D719" s="2252" t="b">
        <f t="shared" si="16"/>
        <v>0</v>
      </c>
    </row>
    <row r="720" spans="1:4">
      <c r="A720" s="2252">
        <v>0</v>
      </c>
      <c r="B720" s="2253">
        <f>报表附注!E1149</f>
        <v>0</v>
      </c>
      <c r="C720" s="2260">
        <f>报表附注!H1149</f>
        <v>0</v>
      </c>
      <c r="D720" s="2252" t="b">
        <f t="shared" si="16"/>
        <v>1</v>
      </c>
    </row>
    <row r="721" spans="1:4">
      <c r="A721" s="2252" t="s">
        <v>760</v>
      </c>
      <c r="B721" s="2253" t="str">
        <f>报表附注!E1151</f>
        <v>二、累计折旧合计</v>
      </c>
      <c r="C721" s="2260">
        <f>报表附注!H1151</f>
        <v>11274664.38</v>
      </c>
      <c r="D721" s="2252" t="b">
        <f t="shared" si="16"/>
        <v>1</v>
      </c>
    </row>
    <row r="722" spans="1:4">
      <c r="A722" s="2252" t="s">
        <v>2099</v>
      </c>
      <c r="B722" s="2253" t="str">
        <f>报表附注!E1152</f>
        <v>    其中：节能服务资产</v>
      </c>
      <c r="C722" s="2260">
        <f>报表附注!H1152</f>
        <v>10829306.89</v>
      </c>
      <c r="D722" s="2252" t="b">
        <f t="shared" si="16"/>
        <v>0</v>
      </c>
    </row>
    <row r="723" spans="1:4">
      <c r="A723" s="2252" t="s">
        <v>2100</v>
      </c>
      <c r="B723" s="2253" t="str">
        <f>报表附注!E1153</f>
        <v>        机器设备</v>
      </c>
      <c r="C723" s="2260">
        <f>报表附注!H1153</f>
        <v>28500</v>
      </c>
      <c r="D723" s="2252" t="b">
        <f t="shared" si="16"/>
        <v>0</v>
      </c>
    </row>
    <row r="724" spans="1:4">
      <c r="A724" s="2252" t="s">
        <v>2101</v>
      </c>
      <c r="B724" s="2253" t="str">
        <f>报表附注!E1154</f>
        <v>        运输工具</v>
      </c>
      <c r="C724" s="2260">
        <f>报表附注!H1154</f>
        <v>351042.55</v>
      </c>
      <c r="D724" s="2252" t="b">
        <f t="shared" si="16"/>
        <v>0</v>
      </c>
    </row>
    <row r="725" spans="1:4">
      <c r="A725" s="2252" t="s">
        <v>2102</v>
      </c>
      <c r="B725" s="2253" t="str">
        <f>报表附注!E1155</f>
        <v>        电子设备及其他</v>
      </c>
      <c r="C725" s="2260">
        <f>报表附注!H1155</f>
        <v>65814.94</v>
      </c>
      <c r="D725" s="2252" t="b">
        <f t="shared" si="16"/>
        <v>0</v>
      </c>
    </row>
    <row r="726" spans="1:4">
      <c r="A726" s="2252">
        <v>0</v>
      </c>
      <c r="B726" s="2274">
        <f>报表附注!E1156</f>
        <v>0</v>
      </c>
      <c r="C726" s="2260">
        <f>报表附注!H1156</f>
        <v>0</v>
      </c>
      <c r="D726" s="2252" t="b">
        <f t="shared" si="16"/>
        <v>1</v>
      </c>
    </row>
    <row r="727" spans="1:4">
      <c r="A727" s="2252" t="s">
        <v>2103</v>
      </c>
      <c r="B727" s="2253" t="str">
        <f>报表附注!E1157</f>
        <v>三、固定资产减值准备合计</v>
      </c>
      <c r="C727" s="2260">
        <f>报表附注!H1157</f>
        <v>0</v>
      </c>
      <c r="D727" s="2252" t="b">
        <f t="shared" si="16"/>
        <v>1</v>
      </c>
    </row>
    <row r="728" spans="1:4">
      <c r="A728" s="2252" t="s">
        <v>2099</v>
      </c>
      <c r="B728" s="2253" t="str">
        <f>报表附注!E1158</f>
        <v>    其中：节能服务资产</v>
      </c>
      <c r="C728" s="2260">
        <f>报表附注!H1158</f>
        <v>0</v>
      </c>
      <c r="D728" s="2252" t="b">
        <f t="shared" si="16"/>
        <v>0</v>
      </c>
    </row>
    <row r="729" spans="1:4">
      <c r="A729" s="2252" t="s">
        <v>2100</v>
      </c>
      <c r="B729" s="2253" t="str">
        <f>报表附注!E1159</f>
        <v>        机器设备</v>
      </c>
      <c r="C729" s="2260">
        <f>报表附注!H1159</f>
        <v>0</v>
      </c>
      <c r="D729" s="2252" t="b">
        <f t="shared" si="16"/>
        <v>0</v>
      </c>
    </row>
    <row r="730" spans="1:4">
      <c r="A730" s="2252" t="s">
        <v>2101</v>
      </c>
      <c r="B730" s="2253" t="str">
        <f>报表附注!E1160</f>
        <v>        运输工具</v>
      </c>
      <c r="C730" s="2260">
        <f>报表附注!H1160</f>
        <v>0</v>
      </c>
      <c r="D730" s="2252" t="b">
        <f t="shared" si="16"/>
        <v>0</v>
      </c>
    </row>
    <row r="731" spans="1:4">
      <c r="A731" s="2252" t="s">
        <v>2102</v>
      </c>
      <c r="B731" s="2253" t="str">
        <f>报表附注!E1161</f>
        <v>        电子设备及其他</v>
      </c>
      <c r="C731" s="2260">
        <f>报表附注!H1161</f>
        <v>0</v>
      </c>
      <c r="D731" s="2252" t="b">
        <f t="shared" si="16"/>
        <v>0</v>
      </c>
    </row>
    <row r="732" spans="1:4">
      <c r="A732" s="2252">
        <v>0</v>
      </c>
      <c r="B732" s="2274">
        <f>报表附注!E1162</f>
        <v>0</v>
      </c>
      <c r="C732" s="2260">
        <f>报表附注!H1162</f>
        <v>0</v>
      </c>
      <c r="D732" s="2252" t="b">
        <f t="shared" si="16"/>
        <v>1</v>
      </c>
    </row>
    <row r="733" spans="1:4">
      <c r="A733" s="2252" t="s">
        <v>2104</v>
      </c>
      <c r="B733" s="2288" t="s">
        <v>2104</v>
      </c>
      <c r="C733" s="2289"/>
      <c r="D733" s="2252" t="b">
        <f t="shared" si="16"/>
        <v>1</v>
      </c>
    </row>
    <row r="734" spans="1:4">
      <c r="A734" s="2252" t="s">
        <v>760</v>
      </c>
      <c r="B734" s="2290" t="str">
        <f t="shared" ref="B734:B739" si="17">B721</f>
        <v>二、累计折旧合计</v>
      </c>
      <c r="C734" s="2260">
        <f>报表附注!G1151</f>
        <v>0</v>
      </c>
      <c r="D734" s="2252" t="b">
        <f t="shared" si="16"/>
        <v>1</v>
      </c>
    </row>
    <row r="735" spans="1:4">
      <c r="A735" s="2252" t="s">
        <v>2099</v>
      </c>
      <c r="B735" s="2290" t="str">
        <f t="shared" si="17"/>
        <v>    其中：节能服务资产</v>
      </c>
      <c r="C735" s="2260">
        <f>报表附注!G1152</f>
        <v>0</v>
      </c>
      <c r="D735" s="2252" t="b">
        <f t="shared" si="16"/>
        <v>0</v>
      </c>
    </row>
    <row r="736" spans="1:4">
      <c r="A736" s="2252" t="s">
        <v>2100</v>
      </c>
      <c r="B736" s="2290" t="str">
        <f t="shared" si="17"/>
        <v>        机器设备</v>
      </c>
      <c r="C736" s="2260">
        <f>报表附注!G1153</f>
        <v>0</v>
      </c>
      <c r="D736" s="2252" t="b">
        <f t="shared" si="16"/>
        <v>0</v>
      </c>
    </row>
    <row r="737" spans="1:4">
      <c r="A737" s="2252" t="s">
        <v>2101</v>
      </c>
      <c r="B737" s="2290" t="str">
        <f t="shared" si="17"/>
        <v>        运输工具</v>
      </c>
      <c r="C737" s="2260">
        <f>报表附注!G1154</f>
        <v>0</v>
      </c>
      <c r="D737" s="2252" t="b">
        <f t="shared" si="16"/>
        <v>0</v>
      </c>
    </row>
    <row r="738" spans="1:4">
      <c r="A738" s="2252" t="s">
        <v>2102</v>
      </c>
      <c r="B738" s="2290" t="str">
        <f t="shared" si="17"/>
        <v>        电子设备及其他</v>
      </c>
      <c r="C738" s="2260">
        <f>报表附注!G1155</f>
        <v>0</v>
      </c>
      <c r="D738" s="2252" t="b">
        <f t="shared" si="16"/>
        <v>0</v>
      </c>
    </row>
    <row r="739" spans="1:4">
      <c r="A739" s="2252">
        <v>0</v>
      </c>
      <c r="B739" s="2290">
        <f t="shared" si="17"/>
        <v>0</v>
      </c>
      <c r="C739" s="2260">
        <f>报表附注!G1156</f>
        <v>0</v>
      </c>
      <c r="D739" s="2252" t="b">
        <f t="shared" si="16"/>
        <v>1</v>
      </c>
    </row>
    <row r="740" spans="1:4">
      <c r="A740" s="2252" t="s">
        <v>673</v>
      </c>
      <c r="B740" s="2273" t="s">
        <v>673</v>
      </c>
      <c r="D740" s="2252" t="b">
        <f t="shared" si="16"/>
        <v>1</v>
      </c>
    </row>
    <row r="741" spans="1:4">
      <c r="A741" s="2252" t="s">
        <v>715</v>
      </c>
      <c r="B741" s="2253" t="str">
        <f>报表附注!E1144</f>
        <v>一、原价合计</v>
      </c>
      <c r="C741" s="2260">
        <f>报表附注!I1144</f>
        <v>476159.98</v>
      </c>
      <c r="D741" s="2252" t="b">
        <f t="shared" si="16"/>
        <v>1</v>
      </c>
    </row>
    <row r="742" spans="1:4">
      <c r="A742" s="2252" t="s">
        <v>2099</v>
      </c>
      <c r="B742" s="2253" t="str">
        <f>报表附注!E1145</f>
        <v>    其中：节能服务资产</v>
      </c>
      <c r="C742" s="2260">
        <f>报表附注!I1145</f>
        <v>0</v>
      </c>
      <c r="D742" s="2252" t="b">
        <f t="shared" si="16"/>
        <v>0</v>
      </c>
    </row>
    <row r="743" spans="1:4">
      <c r="A743" s="2252" t="s">
        <v>2100</v>
      </c>
      <c r="B743" s="2253" t="str">
        <f>报表附注!E1146</f>
        <v>        机器设备</v>
      </c>
      <c r="C743" s="2260">
        <f>报表附注!I1146</f>
        <v>0</v>
      </c>
      <c r="D743" s="2252" t="b">
        <f t="shared" si="16"/>
        <v>0</v>
      </c>
    </row>
    <row r="744" spans="1:4">
      <c r="A744" s="2252" t="s">
        <v>2101</v>
      </c>
      <c r="B744" s="2253" t="str">
        <f>报表附注!E1147</f>
        <v>        运输工具</v>
      </c>
      <c r="C744" s="2260">
        <f>报表附注!I1147</f>
        <v>300000</v>
      </c>
      <c r="D744" s="2252" t="b">
        <f t="shared" si="16"/>
        <v>0</v>
      </c>
    </row>
    <row r="745" spans="1:4">
      <c r="A745" s="2252" t="s">
        <v>2102</v>
      </c>
      <c r="B745" s="2253" t="str">
        <f>报表附注!E1148</f>
        <v>        电子设备及其他</v>
      </c>
      <c r="C745" s="2260">
        <f>报表附注!I1148</f>
        <v>176159.98</v>
      </c>
      <c r="D745" s="2252" t="b">
        <f t="shared" si="16"/>
        <v>0</v>
      </c>
    </row>
    <row r="746" spans="1:4">
      <c r="A746" s="2252">
        <v>0</v>
      </c>
      <c r="B746" s="2253">
        <f>报表附注!E1149</f>
        <v>0</v>
      </c>
      <c r="C746" s="2260">
        <f>报表附注!I1149</f>
        <v>0</v>
      </c>
      <c r="D746" s="2252" t="b">
        <f t="shared" si="16"/>
        <v>1</v>
      </c>
    </row>
    <row r="747" spans="1:4">
      <c r="A747" s="2252" t="s">
        <v>760</v>
      </c>
      <c r="B747" s="2253" t="str">
        <f>报表附注!E1151</f>
        <v>二、累计折旧合计</v>
      </c>
      <c r="C747" s="2260">
        <f>报表附注!I1151</f>
        <v>356910.75</v>
      </c>
      <c r="D747" s="2252" t="b">
        <f t="shared" si="16"/>
        <v>1</v>
      </c>
    </row>
    <row r="748" spans="1:4">
      <c r="A748" s="2252" t="s">
        <v>2099</v>
      </c>
      <c r="B748" s="2253" t="str">
        <f>报表附注!E1152</f>
        <v>    其中：节能服务资产</v>
      </c>
      <c r="C748" s="2260">
        <f>报表附注!I1152</f>
        <v>0</v>
      </c>
      <c r="D748" s="2252" t="b">
        <f t="shared" si="16"/>
        <v>0</v>
      </c>
    </row>
    <row r="749" spans="1:4">
      <c r="A749" s="2252" t="s">
        <v>2100</v>
      </c>
      <c r="B749" s="2253" t="str">
        <f>报表附注!E1153</f>
        <v>        机器设备</v>
      </c>
      <c r="C749" s="2260">
        <f>报表附注!I1153</f>
        <v>0</v>
      </c>
      <c r="D749" s="2252" t="b">
        <f t="shared" si="16"/>
        <v>0</v>
      </c>
    </row>
    <row r="750" spans="1:4">
      <c r="A750" s="2252" t="s">
        <v>2101</v>
      </c>
      <c r="B750" s="2253" t="str">
        <f>报表附注!E1154</f>
        <v>        运输工具</v>
      </c>
      <c r="C750" s="2260">
        <f>报表附注!I1154</f>
        <v>190000</v>
      </c>
      <c r="D750" s="2252" t="b">
        <f t="shared" si="16"/>
        <v>0</v>
      </c>
    </row>
    <row r="751" spans="1:4">
      <c r="A751" s="2252" t="s">
        <v>2102</v>
      </c>
      <c r="B751" s="2253" t="str">
        <f>报表附注!E1155</f>
        <v>        电子设备及其他</v>
      </c>
      <c r="C751" s="2260">
        <f>报表附注!I1155</f>
        <v>166910.75</v>
      </c>
      <c r="D751" s="2252" t="b">
        <f t="shared" si="16"/>
        <v>0</v>
      </c>
    </row>
    <row r="752" spans="1:4">
      <c r="A752" s="2252">
        <v>0</v>
      </c>
      <c r="B752" s="2274">
        <f>报表附注!E1156</f>
        <v>0</v>
      </c>
      <c r="C752" s="2260">
        <f>报表附注!I1156</f>
        <v>0</v>
      </c>
      <c r="D752" s="2252" t="b">
        <f t="shared" si="16"/>
        <v>1</v>
      </c>
    </row>
    <row r="753" spans="1:4">
      <c r="A753" s="2252" t="s">
        <v>2103</v>
      </c>
      <c r="B753" s="2253" t="str">
        <f>报表附注!E1157</f>
        <v>三、固定资产减值准备合计</v>
      </c>
      <c r="C753" s="2260">
        <f>报表附注!I1157</f>
        <v>0</v>
      </c>
      <c r="D753" s="2252" t="b">
        <f t="shared" si="16"/>
        <v>1</v>
      </c>
    </row>
    <row r="754" spans="1:4">
      <c r="A754" s="2252" t="s">
        <v>2099</v>
      </c>
      <c r="B754" s="2253" t="str">
        <f>报表附注!E1158</f>
        <v>    其中：节能服务资产</v>
      </c>
      <c r="C754" s="2260">
        <f>报表附注!I1158</f>
        <v>0</v>
      </c>
      <c r="D754" s="2252" t="b">
        <f t="shared" si="16"/>
        <v>0</v>
      </c>
    </row>
    <row r="755" spans="1:4">
      <c r="A755" s="2252" t="s">
        <v>2100</v>
      </c>
      <c r="B755" s="2253" t="str">
        <f>报表附注!E1159</f>
        <v>        机器设备</v>
      </c>
      <c r="C755" s="2260">
        <f>报表附注!I1159</f>
        <v>0</v>
      </c>
      <c r="D755" s="2252" t="b">
        <f t="shared" si="16"/>
        <v>0</v>
      </c>
    </row>
    <row r="756" spans="1:4">
      <c r="A756" s="2252" t="s">
        <v>2101</v>
      </c>
      <c r="B756" s="2253" t="str">
        <f>报表附注!E1160</f>
        <v>        运输工具</v>
      </c>
      <c r="C756" s="2260">
        <f>报表附注!I1160</f>
        <v>0</v>
      </c>
      <c r="D756" s="2252" t="b">
        <f t="shared" si="16"/>
        <v>0</v>
      </c>
    </row>
    <row r="757" spans="1:4">
      <c r="A757" s="2252" t="s">
        <v>2102</v>
      </c>
      <c r="B757" s="2253" t="str">
        <f>报表附注!E1161</f>
        <v>        电子设备及其他</v>
      </c>
      <c r="C757" s="2260">
        <f>报表附注!I1161</f>
        <v>0</v>
      </c>
      <c r="D757" s="2252" t="b">
        <f t="shared" si="16"/>
        <v>0</v>
      </c>
    </row>
    <row r="758" spans="1:4">
      <c r="A758" s="2252">
        <v>0</v>
      </c>
      <c r="B758" s="2274">
        <f>报表附注!E1162</f>
        <v>0</v>
      </c>
      <c r="C758" s="2260">
        <f>报表附注!I1162</f>
        <v>0</v>
      </c>
      <c r="D758" s="2252" t="b">
        <f t="shared" si="16"/>
        <v>1</v>
      </c>
    </row>
    <row r="759" spans="1:4">
      <c r="A759" s="2252" t="s">
        <v>2105</v>
      </c>
      <c r="B759" s="2273" t="s">
        <v>2105</v>
      </c>
      <c r="C759" s="2289"/>
      <c r="D759" s="2252" t="b">
        <f t="shared" si="16"/>
        <v>1</v>
      </c>
    </row>
    <row r="760" spans="1:4">
      <c r="A760" s="2252" t="s">
        <v>715</v>
      </c>
      <c r="B760" s="2290" t="str">
        <f>报表附注!E1144</f>
        <v>一、原价合计</v>
      </c>
      <c r="C760" s="2260">
        <f>报表附注!J1144</f>
        <v>90722938.97</v>
      </c>
      <c r="D760" s="2252" t="b">
        <f t="shared" si="16"/>
        <v>1</v>
      </c>
    </row>
    <row r="761" spans="1:4">
      <c r="A761" s="2252" t="s">
        <v>2099</v>
      </c>
      <c r="B761" s="2290" t="str">
        <f>报表附注!E1145</f>
        <v>    其中：节能服务资产</v>
      </c>
      <c r="C761" s="2260">
        <f>报表附注!J1145</f>
        <v>88639633.98</v>
      </c>
      <c r="D761" s="2252" t="b">
        <f t="shared" si="16"/>
        <v>0</v>
      </c>
    </row>
    <row r="762" spans="1:4">
      <c r="A762" s="2252" t="s">
        <v>2100</v>
      </c>
      <c r="B762" s="2290" t="str">
        <f>报表附注!E1146</f>
        <v>        机器设备</v>
      </c>
      <c r="C762" s="2260">
        <f>报表附注!J1146</f>
        <v>300000</v>
      </c>
      <c r="D762" s="2252" t="b">
        <f t="shared" si="16"/>
        <v>0</v>
      </c>
    </row>
    <row r="763" spans="1:4">
      <c r="A763" s="2252" t="s">
        <v>2101</v>
      </c>
      <c r="B763" s="2290" t="str">
        <f>报表附注!E1147</f>
        <v>        运输工具</v>
      </c>
      <c r="C763" s="2260">
        <f>报表附注!J1147</f>
        <v>1495501.34</v>
      </c>
      <c r="D763" s="2252" t="b">
        <f t="shared" si="16"/>
        <v>0</v>
      </c>
    </row>
    <row r="764" spans="1:4">
      <c r="A764" s="2252" t="s">
        <v>2102</v>
      </c>
      <c r="B764" s="2290" t="str">
        <f>报表附注!E1148</f>
        <v>        电子设备及其他</v>
      </c>
      <c r="C764" s="2260">
        <f>报表附注!J1148</f>
        <v>287803.65</v>
      </c>
      <c r="D764" s="2252" t="b">
        <f t="shared" si="16"/>
        <v>0</v>
      </c>
    </row>
    <row r="765" spans="1:4">
      <c r="A765" s="2252">
        <v>0</v>
      </c>
      <c r="B765" s="2290">
        <f>报表附注!E1149</f>
        <v>0</v>
      </c>
      <c r="C765" s="2260">
        <f>报表附注!J1149</f>
        <v>0</v>
      </c>
      <c r="D765" s="2252" t="b">
        <f t="shared" si="16"/>
        <v>1</v>
      </c>
    </row>
    <row r="766" spans="1:4">
      <c r="A766" s="2252">
        <v>0</v>
      </c>
      <c r="B766" s="2291">
        <f>报表附注!E1150</f>
        <v>0</v>
      </c>
      <c r="C766" s="2260">
        <f>报表附注!J1150</f>
        <v>0</v>
      </c>
      <c r="D766" s="2252" t="b">
        <f t="shared" si="16"/>
        <v>1</v>
      </c>
    </row>
    <row r="767" spans="1:4">
      <c r="A767" s="2252" t="s">
        <v>760</v>
      </c>
      <c r="B767" s="2290" t="str">
        <f>报表附注!E1151</f>
        <v>二、累计折旧合计</v>
      </c>
      <c r="C767" s="2260">
        <f>报表附注!J1151</f>
        <v>27584746.6</v>
      </c>
      <c r="D767" s="2252" t="b">
        <f t="shared" si="16"/>
        <v>1</v>
      </c>
    </row>
    <row r="768" spans="1:4">
      <c r="A768" s="2252" t="s">
        <v>2099</v>
      </c>
      <c r="B768" s="2290" t="str">
        <f>报表附注!E1152</f>
        <v>    其中：节能服务资产</v>
      </c>
      <c r="C768" s="2260">
        <f>报表附注!J1152</f>
        <v>26106587.69</v>
      </c>
      <c r="D768" s="2252" t="b">
        <f t="shared" si="16"/>
        <v>0</v>
      </c>
    </row>
    <row r="769" spans="1:4">
      <c r="A769" s="2252" t="s">
        <v>2100</v>
      </c>
      <c r="B769" s="2290" t="str">
        <f>报表附注!E1153</f>
        <v>        机器设备</v>
      </c>
      <c r="C769" s="2260">
        <f>报表附注!J1153</f>
        <v>106875</v>
      </c>
      <c r="D769" s="2252" t="b">
        <f t="shared" si="16"/>
        <v>0</v>
      </c>
    </row>
    <row r="770" spans="1:4">
      <c r="A770" s="2252" t="s">
        <v>2101</v>
      </c>
      <c r="B770" s="2290" t="str">
        <f>报表附注!E1154</f>
        <v>        运输工具</v>
      </c>
      <c r="C770" s="2260">
        <f>报表附注!J1154</f>
        <v>1168615.33</v>
      </c>
      <c r="D770" s="2252" t="b">
        <f t="shared" si="16"/>
        <v>0</v>
      </c>
    </row>
    <row r="771" spans="1:4">
      <c r="A771" s="2252" t="s">
        <v>2102</v>
      </c>
      <c r="B771" s="2290" t="str">
        <f>报表附注!E1155</f>
        <v>        电子设备及其他</v>
      </c>
      <c r="C771" s="2260">
        <f>报表附注!J1155</f>
        <v>202668.58</v>
      </c>
      <c r="D771" s="2252" t="b">
        <f t="shared" si="16"/>
        <v>0</v>
      </c>
    </row>
    <row r="772" spans="1:4">
      <c r="A772" s="2252">
        <v>0</v>
      </c>
      <c r="B772" s="2291">
        <f>报表附注!E1156</f>
        <v>0</v>
      </c>
      <c r="C772" s="2260">
        <f>报表附注!J1156</f>
        <v>0</v>
      </c>
      <c r="D772" s="2252" t="b">
        <f t="shared" si="16"/>
        <v>1</v>
      </c>
    </row>
    <row r="773" spans="1:4">
      <c r="A773" s="2252" t="s">
        <v>2103</v>
      </c>
      <c r="B773" s="2290" t="str">
        <f>报表附注!E1157</f>
        <v>三、固定资产减值准备合计</v>
      </c>
      <c r="C773" s="2260">
        <f>报表附注!J1157</f>
        <v>0</v>
      </c>
      <c r="D773" s="2252" t="b">
        <f t="shared" si="16"/>
        <v>1</v>
      </c>
    </row>
    <row r="774" spans="1:4">
      <c r="A774" s="2252" t="s">
        <v>2099</v>
      </c>
      <c r="B774" s="2290" t="str">
        <f>报表附注!E1158</f>
        <v>    其中：节能服务资产</v>
      </c>
      <c r="C774" s="2260">
        <f>报表附注!J1158</f>
        <v>0</v>
      </c>
      <c r="D774" s="2252" t="b">
        <f t="shared" si="16"/>
        <v>0</v>
      </c>
    </row>
    <row r="775" spans="1:4">
      <c r="A775" s="2252" t="s">
        <v>2100</v>
      </c>
      <c r="B775" s="2290" t="str">
        <f>报表附注!E1159</f>
        <v>        机器设备</v>
      </c>
      <c r="C775" s="2260">
        <f>报表附注!J1159</f>
        <v>0</v>
      </c>
      <c r="D775" s="2252" t="b">
        <f t="shared" si="16"/>
        <v>0</v>
      </c>
    </row>
    <row r="776" spans="1:4">
      <c r="A776" s="2252" t="s">
        <v>2101</v>
      </c>
      <c r="B776" s="2290" t="str">
        <f>报表附注!E1160</f>
        <v>        运输工具</v>
      </c>
      <c r="C776" s="2260">
        <f>报表附注!J1160</f>
        <v>0</v>
      </c>
      <c r="D776" s="2252" t="b">
        <f t="shared" si="16"/>
        <v>0</v>
      </c>
    </row>
    <row r="777" spans="1:4">
      <c r="A777" s="2252" t="s">
        <v>2102</v>
      </c>
      <c r="B777" s="2290" t="str">
        <f>报表附注!E1161</f>
        <v>        电子设备及其他</v>
      </c>
      <c r="C777" s="2260">
        <f>报表附注!J1161</f>
        <v>0</v>
      </c>
      <c r="D777" s="2252" t="b">
        <f t="shared" si="16"/>
        <v>0</v>
      </c>
    </row>
    <row r="778" spans="1:4">
      <c r="A778" s="2252">
        <v>0</v>
      </c>
      <c r="B778" s="2291">
        <f>报表附注!E1162</f>
        <v>0</v>
      </c>
      <c r="C778" s="2260">
        <f>报表附注!J1162</f>
        <v>0</v>
      </c>
      <c r="D778" s="2252" t="b">
        <f t="shared" si="16"/>
        <v>1</v>
      </c>
    </row>
    <row r="779" spans="1:4">
      <c r="A779" s="2252" t="s">
        <v>772</v>
      </c>
      <c r="B779" s="2290" t="str">
        <f>报表附注!E1163</f>
        <v>四、固定资产账面价值合计</v>
      </c>
      <c r="C779" s="2260">
        <f>报表附注!J1163</f>
        <v>63138192.37</v>
      </c>
      <c r="D779" s="2252" t="b">
        <f t="shared" si="16"/>
        <v>1</v>
      </c>
    </row>
    <row r="780" spans="1:4">
      <c r="A780" s="2252" t="s">
        <v>2099</v>
      </c>
      <c r="B780" s="2290" t="str">
        <f>报表附注!E1164</f>
        <v>    其中：节能服务资产</v>
      </c>
      <c r="C780" s="2260">
        <f>报表附注!J1164</f>
        <v>62533046.29</v>
      </c>
      <c r="D780" s="2252" t="b">
        <f t="shared" ref="D780:D843" si="18">EXACT(A780,B780)</f>
        <v>0</v>
      </c>
    </row>
    <row r="781" spans="1:4">
      <c r="A781" s="2252" t="s">
        <v>2100</v>
      </c>
      <c r="B781" s="2290" t="str">
        <f>报表附注!E1165</f>
        <v>        机器设备</v>
      </c>
      <c r="C781" s="2260">
        <f>报表附注!J1165</f>
        <v>193125</v>
      </c>
      <c r="D781" s="2252" t="b">
        <f t="shared" si="18"/>
        <v>0</v>
      </c>
    </row>
    <row r="782" spans="1:4">
      <c r="A782" s="2252" t="s">
        <v>2101</v>
      </c>
      <c r="B782" s="2290" t="str">
        <f>报表附注!E1166</f>
        <v>        运输工具</v>
      </c>
      <c r="C782" s="2260">
        <f>报表附注!J1166</f>
        <v>326886.01</v>
      </c>
      <c r="D782" s="2252" t="b">
        <f t="shared" si="18"/>
        <v>0</v>
      </c>
    </row>
    <row r="783" spans="1:4">
      <c r="A783" s="2252" t="s">
        <v>2102</v>
      </c>
      <c r="B783" s="2290" t="str">
        <f>报表附注!E1167</f>
        <v>        电子设备及其他</v>
      </c>
      <c r="C783" s="2260">
        <f>报表附注!J1167</f>
        <v>85135.07</v>
      </c>
      <c r="D783" s="2252" t="b">
        <f t="shared" si="18"/>
        <v>0</v>
      </c>
    </row>
    <row r="784" spans="1:4">
      <c r="A784" s="2252">
        <v>0</v>
      </c>
      <c r="B784" s="2291">
        <f>报表附注!E1168</f>
        <v>0</v>
      </c>
      <c r="C784" s="2260">
        <f>报表附注!J1168</f>
        <v>0</v>
      </c>
      <c r="D784" s="2252" t="b">
        <f t="shared" si="18"/>
        <v>1</v>
      </c>
    </row>
    <row r="785" spans="4:4">
      <c r="D785" s="2252" t="b">
        <f t="shared" si="18"/>
        <v>1</v>
      </c>
    </row>
    <row r="786" spans="1:4">
      <c r="A786" s="2252" t="s">
        <v>2106</v>
      </c>
      <c r="B786" s="2292" t="s">
        <v>2106</v>
      </c>
      <c r="D786" s="2252" t="b">
        <f t="shared" si="18"/>
        <v>1</v>
      </c>
    </row>
    <row r="787" spans="1:4">
      <c r="A787" s="2252" t="s">
        <v>2107</v>
      </c>
      <c r="B787" s="2273" t="s">
        <v>2107</v>
      </c>
      <c r="D787" s="2252" t="b">
        <f t="shared" si="18"/>
        <v>1</v>
      </c>
    </row>
    <row r="788" spans="1:4">
      <c r="A788" s="2252" t="s">
        <v>2099</v>
      </c>
      <c r="B788" s="2253" t="str">
        <f>报表附注!E1175</f>
        <v>    其中：节能服务资产</v>
      </c>
      <c r="C788" s="2260">
        <f>报表附注!F1175</f>
        <v>0</v>
      </c>
      <c r="D788" s="2252" t="b">
        <f t="shared" si="18"/>
        <v>0</v>
      </c>
    </row>
    <row r="789" spans="1:4">
      <c r="A789" s="2252" t="s">
        <v>2100</v>
      </c>
      <c r="B789" s="2253" t="str">
        <f>报表附注!E1176</f>
        <v>        机器设备</v>
      </c>
      <c r="C789" s="2260">
        <f>报表附注!F1176</f>
        <v>0</v>
      </c>
      <c r="D789" s="2252" t="b">
        <f t="shared" si="18"/>
        <v>0</v>
      </c>
    </row>
    <row r="790" spans="1:4">
      <c r="A790" s="2252" t="s">
        <v>2101</v>
      </c>
      <c r="B790" s="2253" t="str">
        <f>报表附注!E1177</f>
        <v>        运输工具</v>
      </c>
      <c r="C790" s="2260">
        <f>报表附注!F1177</f>
        <v>0</v>
      </c>
      <c r="D790" s="2252" t="b">
        <f t="shared" si="18"/>
        <v>0</v>
      </c>
    </row>
    <row r="791" spans="1:4">
      <c r="A791" s="2252" t="s">
        <v>2102</v>
      </c>
      <c r="B791" s="2253" t="str">
        <f>报表附注!E1178</f>
        <v>        电子设备及其他</v>
      </c>
      <c r="C791" s="2260">
        <f>报表附注!F1178</f>
        <v>0</v>
      </c>
      <c r="D791" s="2252" t="b">
        <f t="shared" si="18"/>
        <v>0</v>
      </c>
    </row>
    <row r="792" spans="1:4">
      <c r="A792" s="2252">
        <v>0</v>
      </c>
      <c r="B792" s="2253">
        <f>报表附注!E1179</f>
        <v>0</v>
      </c>
      <c r="C792" s="2260">
        <f>报表附注!F1179</f>
        <v>0</v>
      </c>
      <c r="D792" s="2252" t="b">
        <f t="shared" si="18"/>
        <v>1</v>
      </c>
    </row>
    <row r="793" spans="1:4">
      <c r="A793" s="2252" t="s">
        <v>2021</v>
      </c>
      <c r="B793" s="2263" t="str">
        <f>报表附注!E1180</f>
        <v>合计</v>
      </c>
      <c r="C793" s="2260">
        <f>报表附注!F1180</f>
        <v>0</v>
      </c>
      <c r="D793" s="2252" t="b">
        <f t="shared" si="18"/>
        <v>1</v>
      </c>
    </row>
    <row r="794" spans="1:4">
      <c r="A794" s="2252" t="s">
        <v>860</v>
      </c>
      <c r="B794" s="2273" t="s">
        <v>860</v>
      </c>
      <c r="D794" s="2252" t="b">
        <f t="shared" si="18"/>
        <v>1</v>
      </c>
    </row>
    <row r="795" spans="1:4">
      <c r="A795" s="2252" t="s">
        <v>2099</v>
      </c>
      <c r="B795" s="2253" t="str">
        <f>报表附注!E1175</f>
        <v>    其中：节能服务资产</v>
      </c>
      <c r="C795" s="2260">
        <f>报表附注!G1175</f>
        <v>0</v>
      </c>
      <c r="D795" s="2252" t="b">
        <f t="shared" si="18"/>
        <v>0</v>
      </c>
    </row>
    <row r="796" spans="1:4">
      <c r="A796" s="2252" t="s">
        <v>2100</v>
      </c>
      <c r="B796" s="2253" t="str">
        <f>报表附注!E1176</f>
        <v>        机器设备</v>
      </c>
      <c r="C796" s="2260">
        <f>报表附注!G1176</f>
        <v>0</v>
      </c>
      <c r="D796" s="2252" t="b">
        <f t="shared" si="18"/>
        <v>0</v>
      </c>
    </row>
    <row r="797" spans="1:4">
      <c r="A797" s="2252" t="s">
        <v>2101</v>
      </c>
      <c r="B797" s="2253" t="str">
        <f>报表附注!E1177</f>
        <v>        运输工具</v>
      </c>
      <c r="C797" s="2260">
        <f>报表附注!G1177</f>
        <v>0</v>
      </c>
      <c r="D797" s="2252" t="b">
        <f t="shared" si="18"/>
        <v>0</v>
      </c>
    </row>
    <row r="798" spans="1:4">
      <c r="A798" s="2252" t="s">
        <v>2102</v>
      </c>
      <c r="B798" s="2253" t="str">
        <f>报表附注!E1178</f>
        <v>        电子设备及其他</v>
      </c>
      <c r="C798" s="2260">
        <f>报表附注!G1178</f>
        <v>0</v>
      </c>
      <c r="D798" s="2252" t="b">
        <f t="shared" si="18"/>
        <v>0</v>
      </c>
    </row>
    <row r="799" spans="1:4">
      <c r="A799" s="2252">
        <v>0</v>
      </c>
      <c r="B799" s="2253">
        <f>报表附注!E1179</f>
        <v>0</v>
      </c>
      <c r="C799" s="2260">
        <f>报表附注!G1179</f>
        <v>0</v>
      </c>
      <c r="D799" s="2252" t="b">
        <f t="shared" si="18"/>
        <v>1</v>
      </c>
    </row>
    <row r="800" spans="1:4">
      <c r="A800" s="2252" t="s">
        <v>2021</v>
      </c>
      <c r="B800" s="2263" t="str">
        <f>报表附注!E1180</f>
        <v>合计</v>
      </c>
      <c r="C800" s="2260">
        <f>报表附注!G1180</f>
        <v>0</v>
      </c>
      <c r="D800" s="2252" t="b">
        <f t="shared" si="18"/>
        <v>1</v>
      </c>
    </row>
    <row r="801" spans="1:4">
      <c r="A801" s="2252" t="s">
        <v>776</v>
      </c>
      <c r="B801" s="2273" t="s">
        <v>776</v>
      </c>
      <c r="D801" s="2252" t="b">
        <f t="shared" si="18"/>
        <v>1</v>
      </c>
    </row>
    <row r="802" spans="1:4">
      <c r="A802" s="2252" t="s">
        <v>2099</v>
      </c>
      <c r="B802" s="2253" t="str">
        <f>报表附注!E1175</f>
        <v>    其中：节能服务资产</v>
      </c>
      <c r="C802" s="2260">
        <f>报表附注!H1175</f>
        <v>0</v>
      </c>
      <c r="D802" s="2252" t="b">
        <f t="shared" si="18"/>
        <v>0</v>
      </c>
    </row>
    <row r="803" spans="1:4">
      <c r="A803" s="2252" t="s">
        <v>2100</v>
      </c>
      <c r="B803" s="2253" t="str">
        <f>报表附注!E1176</f>
        <v>        机器设备</v>
      </c>
      <c r="C803" s="2260">
        <f>报表附注!H1176</f>
        <v>0</v>
      </c>
      <c r="D803" s="2252" t="b">
        <f t="shared" si="18"/>
        <v>0</v>
      </c>
    </row>
    <row r="804" spans="1:4">
      <c r="A804" s="2252" t="s">
        <v>2101</v>
      </c>
      <c r="B804" s="2253" t="str">
        <f>报表附注!E1177</f>
        <v>        运输工具</v>
      </c>
      <c r="C804" s="2260">
        <f>报表附注!H1177</f>
        <v>0</v>
      </c>
      <c r="D804" s="2252" t="b">
        <f t="shared" si="18"/>
        <v>0</v>
      </c>
    </row>
    <row r="805" spans="1:4">
      <c r="A805" s="2252" t="s">
        <v>2102</v>
      </c>
      <c r="B805" s="2253" t="str">
        <f>报表附注!E1178</f>
        <v>        电子设备及其他</v>
      </c>
      <c r="C805" s="2260">
        <f>报表附注!H1178</f>
        <v>0</v>
      </c>
      <c r="D805" s="2252" t="b">
        <f t="shared" si="18"/>
        <v>0</v>
      </c>
    </row>
    <row r="806" spans="1:4">
      <c r="A806" s="2252">
        <v>0</v>
      </c>
      <c r="B806" s="2253">
        <f>报表附注!E1179</f>
        <v>0</v>
      </c>
      <c r="C806" s="2260">
        <f>报表附注!H1179</f>
        <v>0</v>
      </c>
      <c r="D806" s="2252" t="b">
        <f t="shared" si="18"/>
        <v>1</v>
      </c>
    </row>
    <row r="807" spans="1:4">
      <c r="A807" s="2252" t="s">
        <v>2021</v>
      </c>
      <c r="B807" s="2263" t="str">
        <f>报表附注!E1180</f>
        <v>合计</v>
      </c>
      <c r="C807" s="2260">
        <f>报表附注!H1180</f>
        <v>0</v>
      </c>
      <c r="D807" s="2252" t="b">
        <f t="shared" si="18"/>
        <v>1</v>
      </c>
    </row>
    <row r="808" spans="1:4">
      <c r="A808" s="2252" t="s">
        <v>2108</v>
      </c>
      <c r="B808" s="2293" t="s">
        <v>2108</v>
      </c>
      <c r="D808" s="2252" t="b">
        <f t="shared" si="18"/>
        <v>1</v>
      </c>
    </row>
    <row r="809" spans="1:4">
      <c r="A809" s="2252" t="s">
        <v>2107</v>
      </c>
      <c r="B809" s="2273" t="s">
        <v>2107</v>
      </c>
      <c r="D809" s="2252" t="b">
        <f t="shared" si="18"/>
        <v>1</v>
      </c>
    </row>
    <row r="810" spans="1:4">
      <c r="A810" s="2252" t="s">
        <v>2099</v>
      </c>
      <c r="B810" s="2274" t="str">
        <f>报表附注!E1184</f>
        <v>    其中：节能服务资产</v>
      </c>
      <c r="C810" s="2260">
        <f>报表附注!F1184</f>
        <v>0</v>
      </c>
      <c r="D810" s="2252" t="b">
        <f t="shared" si="18"/>
        <v>0</v>
      </c>
    </row>
    <row r="811" spans="1:4">
      <c r="A811" s="2252" t="s">
        <v>2100</v>
      </c>
      <c r="B811" s="2274" t="str">
        <f>报表附注!E1185</f>
        <v>        机器设备</v>
      </c>
      <c r="C811" s="2260">
        <f>报表附注!F1185</f>
        <v>0</v>
      </c>
      <c r="D811" s="2252" t="b">
        <f t="shared" si="18"/>
        <v>0</v>
      </c>
    </row>
    <row r="812" spans="1:4">
      <c r="A812" s="2252" t="s">
        <v>2101</v>
      </c>
      <c r="B812" s="2274" t="str">
        <f>报表附注!E1186</f>
        <v>        运输工具</v>
      </c>
      <c r="C812" s="2260">
        <f>报表附注!F1186</f>
        <v>0</v>
      </c>
      <c r="D812" s="2252" t="b">
        <f t="shared" si="18"/>
        <v>0</v>
      </c>
    </row>
    <row r="813" spans="1:4">
      <c r="A813" s="2252" t="s">
        <v>2102</v>
      </c>
      <c r="B813" s="2274" t="str">
        <f>报表附注!E1187</f>
        <v>        电子设备及其他</v>
      </c>
      <c r="C813" s="2260">
        <f>报表附注!F1187</f>
        <v>0</v>
      </c>
      <c r="D813" s="2252" t="b">
        <f t="shared" si="18"/>
        <v>0</v>
      </c>
    </row>
    <row r="814" spans="1:4">
      <c r="A814" s="2252">
        <v>0</v>
      </c>
      <c r="B814" s="2274">
        <f>报表附注!E1188</f>
        <v>0</v>
      </c>
      <c r="C814" s="2260">
        <f>报表附注!F1188</f>
        <v>0</v>
      </c>
      <c r="D814" s="2252" t="b">
        <f t="shared" si="18"/>
        <v>1</v>
      </c>
    </row>
    <row r="815" spans="1:4">
      <c r="A815" s="2252" t="s">
        <v>2021</v>
      </c>
      <c r="B815" s="2278" t="str">
        <f>报表附注!E1189</f>
        <v>合计</v>
      </c>
      <c r="C815" s="2260">
        <f>报表附注!F1189</f>
        <v>0</v>
      </c>
      <c r="D815" s="2252" t="b">
        <f t="shared" si="18"/>
        <v>1</v>
      </c>
    </row>
    <row r="816" spans="1:4">
      <c r="A816" s="2252" t="s">
        <v>860</v>
      </c>
      <c r="B816" s="2273" t="s">
        <v>860</v>
      </c>
      <c r="D816" s="2252" t="b">
        <f t="shared" si="18"/>
        <v>1</v>
      </c>
    </row>
    <row r="817" spans="1:4">
      <c r="A817" s="2252" t="s">
        <v>2099</v>
      </c>
      <c r="B817" s="2285" t="str">
        <f>报表附注!E1184</f>
        <v>    其中：节能服务资产</v>
      </c>
      <c r="C817" s="2260">
        <f>报表附注!G1184</f>
        <v>0</v>
      </c>
      <c r="D817" s="2252" t="b">
        <f t="shared" si="18"/>
        <v>0</v>
      </c>
    </row>
    <row r="818" spans="1:4">
      <c r="A818" s="2252" t="s">
        <v>2100</v>
      </c>
      <c r="B818" s="2274" t="str">
        <f>报表附注!E1185</f>
        <v>        机器设备</v>
      </c>
      <c r="C818" s="2260">
        <f>报表附注!G1185</f>
        <v>0</v>
      </c>
      <c r="D818" s="2252" t="b">
        <f t="shared" si="18"/>
        <v>0</v>
      </c>
    </row>
    <row r="819" spans="1:4">
      <c r="A819" s="2252" t="s">
        <v>2101</v>
      </c>
      <c r="B819" s="2274" t="str">
        <f>报表附注!E1186</f>
        <v>        运输工具</v>
      </c>
      <c r="C819" s="2260">
        <f>报表附注!G1186</f>
        <v>0</v>
      </c>
      <c r="D819" s="2252" t="b">
        <f t="shared" si="18"/>
        <v>0</v>
      </c>
    </row>
    <row r="820" spans="1:4">
      <c r="A820" s="2252" t="s">
        <v>2102</v>
      </c>
      <c r="B820" s="2274" t="str">
        <f>报表附注!E1187</f>
        <v>        电子设备及其他</v>
      </c>
      <c r="C820" s="2260">
        <f>报表附注!G1187</f>
        <v>0</v>
      </c>
      <c r="D820" s="2252" t="b">
        <f t="shared" si="18"/>
        <v>0</v>
      </c>
    </row>
    <row r="821" spans="1:4">
      <c r="A821" s="2252">
        <v>0</v>
      </c>
      <c r="B821" s="2274">
        <f>报表附注!E1188</f>
        <v>0</v>
      </c>
      <c r="C821" s="2260">
        <f>报表附注!G1188</f>
        <v>0</v>
      </c>
      <c r="D821" s="2252" t="b">
        <f t="shared" si="18"/>
        <v>1</v>
      </c>
    </row>
    <row r="822" spans="1:4">
      <c r="A822" s="2252" t="s">
        <v>2021</v>
      </c>
      <c r="B822" s="2278" t="str">
        <f>报表附注!E1189</f>
        <v>合计</v>
      </c>
      <c r="C822" s="2260">
        <f>报表附注!G1189</f>
        <v>0</v>
      </c>
      <c r="D822" s="2252" t="b">
        <f t="shared" si="18"/>
        <v>1</v>
      </c>
    </row>
    <row r="823" spans="1:4">
      <c r="A823" s="2252" t="s">
        <v>776</v>
      </c>
      <c r="B823" s="2273" t="s">
        <v>776</v>
      </c>
      <c r="D823" s="2252" t="b">
        <f t="shared" si="18"/>
        <v>1</v>
      </c>
    </row>
    <row r="824" spans="1:4">
      <c r="A824" s="2252" t="s">
        <v>2099</v>
      </c>
      <c r="B824" s="2285" t="str">
        <f>报表附注!E1184</f>
        <v>    其中：节能服务资产</v>
      </c>
      <c r="C824" s="2260">
        <f>报表附注!H1184</f>
        <v>0</v>
      </c>
      <c r="D824" s="2252" t="b">
        <f t="shared" si="18"/>
        <v>0</v>
      </c>
    </row>
    <row r="825" spans="1:4">
      <c r="A825" s="2252" t="s">
        <v>2100</v>
      </c>
      <c r="B825" s="2274" t="str">
        <f>报表附注!E1185</f>
        <v>        机器设备</v>
      </c>
      <c r="C825" s="2260">
        <f>报表附注!H1185</f>
        <v>0</v>
      </c>
      <c r="D825" s="2252" t="b">
        <f t="shared" si="18"/>
        <v>0</v>
      </c>
    </row>
    <row r="826" spans="1:4">
      <c r="A826" s="2252" t="s">
        <v>2101</v>
      </c>
      <c r="B826" s="2274" t="str">
        <f>报表附注!E1186</f>
        <v>        运输工具</v>
      </c>
      <c r="C826" s="2260">
        <f>报表附注!H1186</f>
        <v>0</v>
      </c>
      <c r="D826" s="2252" t="b">
        <f t="shared" si="18"/>
        <v>0</v>
      </c>
    </row>
    <row r="827" spans="1:4">
      <c r="A827" s="2252" t="s">
        <v>2102</v>
      </c>
      <c r="B827" s="2274" t="str">
        <f>报表附注!E1187</f>
        <v>        电子设备及其他</v>
      </c>
      <c r="C827" s="2260">
        <f>报表附注!H1187</f>
        <v>0</v>
      </c>
      <c r="D827" s="2252" t="b">
        <f t="shared" si="18"/>
        <v>0</v>
      </c>
    </row>
    <row r="828" spans="1:4">
      <c r="A828" s="2252">
        <v>0</v>
      </c>
      <c r="B828" s="2274">
        <f>报表附注!E1188</f>
        <v>0</v>
      </c>
      <c r="C828" s="2260">
        <f>报表附注!H1188</f>
        <v>0</v>
      </c>
      <c r="D828" s="2252" t="b">
        <f t="shared" si="18"/>
        <v>1</v>
      </c>
    </row>
    <row r="829" spans="1:4">
      <c r="A829" s="2252" t="s">
        <v>2021</v>
      </c>
      <c r="B829" s="2278" t="str">
        <f>报表附注!E1189</f>
        <v>合计</v>
      </c>
      <c r="C829" s="2260">
        <f>报表附注!H1189</f>
        <v>0</v>
      </c>
      <c r="D829" s="2252" t="b">
        <f t="shared" si="18"/>
        <v>1</v>
      </c>
    </row>
    <row r="830" spans="1:4">
      <c r="A830" s="2252" t="s">
        <v>2109</v>
      </c>
      <c r="B830" s="2293" t="s">
        <v>2109</v>
      </c>
      <c r="D830" s="2252" t="b">
        <f t="shared" si="18"/>
        <v>1</v>
      </c>
    </row>
    <row r="831" spans="1:4">
      <c r="A831" s="2252" t="s">
        <v>2107</v>
      </c>
      <c r="B831" s="2273" t="s">
        <v>2107</v>
      </c>
      <c r="D831" s="2252" t="b">
        <f t="shared" si="18"/>
        <v>1</v>
      </c>
    </row>
    <row r="832" spans="1:4">
      <c r="A832" s="2252" t="s">
        <v>2099</v>
      </c>
      <c r="B832" s="2274" t="str">
        <f>报表附注!E1193</f>
        <v>    其中：节能服务资产</v>
      </c>
      <c r="C832" s="2260">
        <f>报表附注!F1193</f>
        <v>0</v>
      </c>
      <c r="D832" s="2252" t="b">
        <f t="shared" si="18"/>
        <v>0</v>
      </c>
    </row>
    <row r="833" spans="1:4">
      <c r="A833" s="2252" t="s">
        <v>2100</v>
      </c>
      <c r="B833" s="2274" t="str">
        <f>报表附注!E1194</f>
        <v>        机器设备</v>
      </c>
      <c r="C833" s="2260">
        <f>报表附注!F1194</f>
        <v>0</v>
      </c>
      <c r="D833" s="2252" t="b">
        <f t="shared" si="18"/>
        <v>0</v>
      </c>
    </row>
    <row r="834" spans="1:4">
      <c r="A834" s="2252" t="s">
        <v>2101</v>
      </c>
      <c r="B834" s="2274" t="str">
        <f>报表附注!E1195</f>
        <v>        运输工具</v>
      </c>
      <c r="C834" s="2260">
        <f>报表附注!F1195</f>
        <v>0</v>
      </c>
      <c r="D834" s="2252" t="b">
        <f t="shared" si="18"/>
        <v>0</v>
      </c>
    </row>
    <row r="835" spans="1:4">
      <c r="A835" s="2252" t="s">
        <v>2102</v>
      </c>
      <c r="B835" s="2274" t="str">
        <f>报表附注!E1196</f>
        <v>        电子设备及其他</v>
      </c>
      <c r="C835" s="2260">
        <f>报表附注!F1196</f>
        <v>0</v>
      </c>
      <c r="D835" s="2252" t="b">
        <f t="shared" si="18"/>
        <v>0</v>
      </c>
    </row>
    <row r="836" spans="1:4">
      <c r="A836" s="2252">
        <v>0</v>
      </c>
      <c r="B836" s="2274">
        <f>报表附注!E1197</f>
        <v>0</v>
      </c>
      <c r="C836" s="2260">
        <f>报表附注!F1197</f>
        <v>0</v>
      </c>
      <c r="D836" s="2252" t="b">
        <f t="shared" si="18"/>
        <v>1</v>
      </c>
    </row>
    <row r="837" spans="1:4">
      <c r="A837" s="2252" t="s">
        <v>2021</v>
      </c>
      <c r="B837" s="2278" t="str">
        <f>报表附注!E1198</f>
        <v>合计</v>
      </c>
      <c r="C837" s="2260">
        <f>报表附注!F1198</f>
        <v>0</v>
      </c>
      <c r="D837" s="2252" t="b">
        <f t="shared" si="18"/>
        <v>1</v>
      </c>
    </row>
    <row r="838" spans="1:4">
      <c r="A838" s="2252" t="s">
        <v>860</v>
      </c>
      <c r="B838" s="2273" t="s">
        <v>860</v>
      </c>
      <c r="D838" s="2252" t="b">
        <f t="shared" si="18"/>
        <v>1</v>
      </c>
    </row>
    <row r="839" spans="1:4">
      <c r="A839" s="2252" t="s">
        <v>2099</v>
      </c>
      <c r="B839" s="2274" t="str">
        <f>报表附注!E1193</f>
        <v>    其中：节能服务资产</v>
      </c>
      <c r="C839" s="2260">
        <f>报表附注!G1193</f>
        <v>0</v>
      </c>
      <c r="D839" s="2252" t="b">
        <f t="shared" si="18"/>
        <v>0</v>
      </c>
    </row>
    <row r="840" spans="1:4">
      <c r="A840" s="2252" t="s">
        <v>2100</v>
      </c>
      <c r="B840" s="2274" t="str">
        <f>报表附注!E1194</f>
        <v>        机器设备</v>
      </c>
      <c r="C840" s="2260">
        <f>报表附注!G1194</f>
        <v>0</v>
      </c>
      <c r="D840" s="2252" t="b">
        <f t="shared" si="18"/>
        <v>0</v>
      </c>
    </row>
    <row r="841" spans="1:4">
      <c r="A841" s="2252" t="s">
        <v>2101</v>
      </c>
      <c r="B841" s="2274" t="str">
        <f>报表附注!E1195</f>
        <v>        运输工具</v>
      </c>
      <c r="C841" s="2260">
        <f>报表附注!G1195</f>
        <v>0</v>
      </c>
      <c r="D841" s="2252" t="b">
        <f t="shared" si="18"/>
        <v>0</v>
      </c>
    </row>
    <row r="842" spans="1:4">
      <c r="A842" s="2252" t="s">
        <v>2102</v>
      </c>
      <c r="B842" s="2274" t="str">
        <f>报表附注!E1196</f>
        <v>        电子设备及其他</v>
      </c>
      <c r="C842" s="2260">
        <f>报表附注!G1196</f>
        <v>0</v>
      </c>
      <c r="D842" s="2252" t="b">
        <f t="shared" si="18"/>
        <v>0</v>
      </c>
    </row>
    <row r="843" spans="1:4">
      <c r="A843" s="2252">
        <v>0</v>
      </c>
      <c r="B843" s="2274">
        <f>报表附注!E1197</f>
        <v>0</v>
      </c>
      <c r="C843" s="2260">
        <f>报表附注!G1197</f>
        <v>0</v>
      </c>
      <c r="D843" s="2252" t="b">
        <f t="shared" si="18"/>
        <v>1</v>
      </c>
    </row>
    <row r="844" spans="1:4">
      <c r="A844" s="2252" t="s">
        <v>2021</v>
      </c>
      <c r="B844" s="2278" t="str">
        <f>报表附注!E1198</f>
        <v>合计</v>
      </c>
      <c r="C844" s="2260">
        <f>报表附注!G1198</f>
        <v>0</v>
      </c>
      <c r="D844" s="2252" t="b">
        <f t="shared" ref="D844:D907" si="19">EXACT(A844,B844)</f>
        <v>1</v>
      </c>
    </row>
    <row r="845" spans="1:4">
      <c r="A845" s="2252" t="s">
        <v>776</v>
      </c>
      <c r="B845" s="2273" t="s">
        <v>776</v>
      </c>
      <c r="D845" s="2252" t="b">
        <f t="shared" si="19"/>
        <v>1</v>
      </c>
    </row>
    <row r="846" spans="1:4">
      <c r="A846" s="2252" t="s">
        <v>2099</v>
      </c>
      <c r="B846" s="2285" t="str">
        <f>报表附注!E1193</f>
        <v>    其中：节能服务资产</v>
      </c>
      <c r="C846" s="2260">
        <f>报表附注!H1193</f>
        <v>0</v>
      </c>
      <c r="D846" s="2252" t="b">
        <f t="shared" si="19"/>
        <v>0</v>
      </c>
    </row>
    <row r="847" spans="1:4">
      <c r="A847" s="2252" t="s">
        <v>2100</v>
      </c>
      <c r="B847" s="2285" t="str">
        <f>报表附注!E1194</f>
        <v>        机器设备</v>
      </c>
      <c r="C847" s="2260">
        <f>报表附注!H1194</f>
        <v>0</v>
      </c>
      <c r="D847" s="2252" t="b">
        <f t="shared" si="19"/>
        <v>0</v>
      </c>
    </row>
    <row r="848" spans="1:4">
      <c r="A848" s="2252" t="s">
        <v>2101</v>
      </c>
      <c r="B848" s="2285" t="str">
        <f>报表附注!E1195</f>
        <v>        运输工具</v>
      </c>
      <c r="C848" s="2260">
        <f>报表附注!H1195</f>
        <v>0</v>
      </c>
      <c r="D848" s="2252" t="b">
        <f t="shared" si="19"/>
        <v>0</v>
      </c>
    </row>
    <row r="849" spans="1:4">
      <c r="A849" s="2252" t="s">
        <v>2102</v>
      </c>
      <c r="B849" s="2285" t="str">
        <f>报表附注!E1196</f>
        <v>        电子设备及其他</v>
      </c>
      <c r="C849" s="2260">
        <f>报表附注!H1196</f>
        <v>0</v>
      </c>
      <c r="D849" s="2252" t="b">
        <f t="shared" si="19"/>
        <v>0</v>
      </c>
    </row>
    <row r="850" spans="1:4">
      <c r="A850" s="2252">
        <v>0</v>
      </c>
      <c r="B850" s="2285">
        <f>报表附注!E1197</f>
        <v>0</v>
      </c>
      <c r="C850" s="2260">
        <f>报表附注!H1197</f>
        <v>0</v>
      </c>
      <c r="D850" s="2252" t="b">
        <f t="shared" si="19"/>
        <v>1</v>
      </c>
    </row>
    <row r="851" spans="1:4">
      <c r="A851" s="2252" t="s">
        <v>2021</v>
      </c>
      <c r="B851" s="2294" t="str">
        <f>报表附注!E1198</f>
        <v>合计</v>
      </c>
      <c r="C851" s="2260">
        <f>报表附注!H1198</f>
        <v>0</v>
      </c>
      <c r="D851" s="2252" t="b">
        <f t="shared" si="19"/>
        <v>1</v>
      </c>
    </row>
    <row r="852" spans="1:4">
      <c r="A852" s="2252" t="s">
        <v>2110</v>
      </c>
      <c r="B852" s="2293" t="s">
        <v>2110</v>
      </c>
      <c r="D852" s="2252" t="b">
        <f t="shared" si="19"/>
        <v>1</v>
      </c>
    </row>
    <row r="853" spans="1:4">
      <c r="A853" s="2252" t="s">
        <v>2111</v>
      </c>
      <c r="B853" s="2273" t="s">
        <v>2111</v>
      </c>
      <c r="D853" s="2252" t="b">
        <f t="shared" si="19"/>
        <v>1</v>
      </c>
    </row>
    <row r="854" spans="1:4">
      <c r="A854" s="2252" t="s">
        <v>2099</v>
      </c>
      <c r="B854" s="2285" t="str">
        <f>报表附注!E1202</f>
        <v>    其中：节能服务资产</v>
      </c>
      <c r="C854" s="2260">
        <f>报表附注!F1202</f>
        <v>0</v>
      </c>
      <c r="D854" s="2252" t="b">
        <f t="shared" si="19"/>
        <v>0</v>
      </c>
    </row>
    <row r="855" spans="1:4">
      <c r="A855" s="2252" t="s">
        <v>2100</v>
      </c>
      <c r="B855" s="2285" t="str">
        <f>报表附注!E1203</f>
        <v>        机器设备</v>
      </c>
      <c r="C855" s="2260">
        <f>报表附注!F1203</f>
        <v>0</v>
      </c>
      <c r="D855" s="2252" t="b">
        <f t="shared" si="19"/>
        <v>0</v>
      </c>
    </row>
    <row r="856" spans="1:4">
      <c r="A856" s="2252" t="s">
        <v>2101</v>
      </c>
      <c r="B856" s="2285" t="str">
        <f>报表附注!E1204</f>
        <v>        运输工具</v>
      </c>
      <c r="C856" s="2260">
        <f>报表附注!F1204</f>
        <v>0</v>
      </c>
      <c r="D856" s="2252" t="b">
        <f t="shared" si="19"/>
        <v>0</v>
      </c>
    </row>
    <row r="857" spans="1:4">
      <c r="A857" s="2252" t="s">
        <v>2102</v>
      </c>
      <c r="B857" s="2285" t="str">
        <f>报表附注!E1205</f>
        <v>        电子设备及其他</v>
      </c>
      <c r="C857" s="2260">
        <f>报表附注!F1205</f>
        <v>0</v>
      </c>
      <c r="D857" s="2252" t="b">
        <f t="shared" si="19"/>
        <v>0</v>
      </c>
    </row>
    <row r="858" spans="1:4">
      <c r="A858" s="2252">
        <v>0</v>
      </c>
      <c r="B858" s="2285">
        <f>报表附注!E1206</f>
        <v>0</v>
      </c>
      <c r="C858" s="2260">
        <f>报表附注!F1206</f>
        <v>0</v>
      </c>
      <c r="D858" s="2252" t="b">
        <f t="shared" si="19"/>
        <v>1</v>
      </c>
    </row>
    <row r="859" spans="1:4">
      <c r="A859" s="2252" t="s">
        <v>2021</v>
      </c>
      <c r="B859" s="2294" t="str">
        <f>报表附注!E1207</f>
        <v>合计</v>
      </c>
      <c r="C859" s="2260">
        <f>报表附注!F1207</f>
        <v>0</v>
      </c>
      <c r="D859" s="2252" t="b">
        <f t="shared" si="19"/>
        <v>1</v>
      </c>
    </row>
    <row r="860" spans="1:4">
      <c r="A860" s="2252" t="s">
        <v>2112</v>
      </c>
      <c r="B860" s="2273" t="s">
        <v>2112</v>
      </c>
      <c r="D860" s="2252" t="b">
        <f t="shared" si="19"/>
        <v>1</v>
      </c>
    </row>
    <row r="861" spans="1:4">
      <c r="A861" s="2252" t="s">
        <v>2099</v>
      </c>
      <c r="B861" s="2274" t="str">
        <f>报表附注!E1202</f>
        <v>    其中：节能服务资产</v>
      </c>
      <c r="C861" s="2260">
        <f>报表附注!G1202</f>
        <v>0</v>
      </c>
      <c r="D861" s="2252" t="b">
        <f t="shared" si="19"/>
        <v>0</v>
      </c>
    </row>
    <row r="862" spans="1:4">
      <c r="A862" s="2252" t="s">
        <v>2100</v>
      </c>
      <c r="B862" s="2274" t="str">
        <f>报表附注!E1203</f>
        <v>        机器设备</v>
      </c>
      <c r="C862" s="2260">
        <f>报表附注!G1203</f>
        <v>0</v>
      </c>
      <c r="D862" s="2252" t="b">
        <f t="shared" si="19"/>
        <v>0</v>
      </c>
    </row>
    <row r="863" spans="1:4">
      <c r="A863" s="2252" t="s">
        <v>2101</v>
      </c>
      <c r="B863" s="2274" t="str">
        <f>报表附注!E1204</f>
        <v>        运输工具</v>
      </c>
      <c r="C863" s="2260">
        <f>报表附注!G1204</f>
        <v>0</v>
      </c>
      <c r="D863" s="2252" t="b">
        <f t="shared" si="19"/>
        <v>0</v>
      </c>
    </row>
    <row r="864" spans="1:4">
      <c r="A864" s="2252" t="s">
        <v>2102</v>
      </c>
      <c r="B864" s="2274" t="str">
        <f>报表附注!E1205</f>
        <v>        电子设备及其他</v>
      </c>
      <c r="C864" s="2260">
        <f>报表附注!G1205</f>
        <v>0</v>
      </c>
      <c r="D864" s="2252" t="b">
        <f t="shared" si="19"/>
        <v>0</v>
      </c>
    </row>
    <row r="865" spans="1:4">
      <c r="A865" s="2252">
        <v>0</v>
      </c>
      <c r="B865" s="2274">
        <f>报表附注!E1206</f>
        <v>0</v>
      </c>
      <c r="C865" s="2260">
        <f>报表附注!G1206</f>
        <v>0</v>
      </c>
      <c r="D865" s="2252" t="b">
        <f t="shared" si="19"/>
        <v>1</v>
      </c>
    </row>
    <row r="866" spans="1:4">
      <c r="A866" s="2252" t="s">
        <v>2021</v>
      </c>
      <c r="B866" s="2278" t="str">
        <f>报表附注!E1207</f>
        <v>合计</v>
      </c>
      <c r="C866" s="2260">
        <f>报表附注!G1207</f>
        <v>0</v>
      </c>
      <c r="D866" s="2252" t="b">
        <f t="shared" si="19"/>
        <v>1</v>
      </c>
    </row>
    <row r="867" spans="1:4">
      <c r="A867" s="2252" t="s">
        <v>2113</v>
      </c>
      <c r="B867" s="2273" t="s">
        <v>2113</v>
      </c>
      <c r="D867" s="2252" t="b">
        <f t="shared" si="19"/>
        <v>1</v>
      </c>
    </row>
    <row r="868" spans="1:4">
      <c r="A868" s="2252" t="s">
        <v>2099</v>
      </c>
      <c r="B868" s="2274" t="str">
        <f>报表附注!E1202</f>
        <v>    其中：节能服务资产</v>
      </c>
      <c r="C868" s="2260">
        <f>报表附注!H1202</f>
        <v>0</v>
      </c>
      <c r="D868" s="2252" t="b">
        <f t="shared" si="19"/>
        <v>0</v>
      </c>
    </row>
    <row r="869" spans="1:4">
      <c r="A869" s="2252" t="s">
        <v>2100</v>
      </c>
      <c r="B869" s="2274" t="str">
        <f>报表附注!E1203</f>
        <v>        机器设备</v>
      </c>
      <c r="C869" s="2260">
        <f>报表附注!H1203</f>
        <v>0</v>
      </c>
      <c r="D869" s="2252" t="b">
        <f t="shared" si="19"/>
        <v>0</v>
      </c>
    </row>
    <row r="870" spans="1:4">
      <c r="A870" s="2252" t="s">
        <v>2101</v>
      </c>
      <c r="B870" s="2274" t="str">
        <f>报表附注!E1204</f>
        <v>        运输工具</v>
      </c>
      <c r="C870" s="2260">
        <f>报表附注!H1204</f>
        <v>0</v>
      </c>
      <c r="D870" s="2252" t="b">
        <f t="shared" si="19"/>
        <v>0</v>
      </c>
    </row>
    <row r="871" spans="1:4">
      <c r="A871" s="2252" t="s">
        <v>2102</v>
      </c>
      <c r="B871" s="2274" t="str">
        <f>报表附注!E1205</f>
        <v>        电子设备及其他</v>
      </c>
      <c r="C871" s="2260">
        <f>报表附注!H1205</f>
        <v>0</v>
      </c>
      <c r="D871" s="2252" t="b">
        <f t="shared" si="19"/>
        <v>0</v>
      </c>
    </row>
    <row r="872" spans="1:4">
      <c r="A872" s="2252">
        <v>0</v>
      </c>
      <c r="B872" s="2274">
        <f>报表附注!E1206</f>
        <v>0</v>
      </c>
      <c r="C872" s="2260">
        <f>报表附注!H1206</f>
        <v>0</v>
      </c>
      <c r="D872" s="2252" t="b">
        <f t="shared" si="19"/>
        <v>1</v>
      </c>
    </row>
    <row r="873" spans="1:4">
      <c r="A873" s="2252" t="s">
        <v>2021</v>
      </c>
      <c r="B873" s="2278" t="str">
        <f>报表附注!E1207</f>
        <v>合计</v>
      </c>
      <c r="C873" s="2260">
        <f>报表附注!H1207</f>
        <v>0</v>
      </c>
      <c r="D873" s="2252" t="b">
        <f t="shared" si="19"/>
        <v>1</v>
      </c>
    </row>
    <row r="874" spans="4:4">
      <c r="D874" s="2252" t="b">
        <f t="shared" si="19"/>
        <v>1</v>
      </c>
    </row>
    <row r="875" spans="1:4">
      <c r="A875" s="2252" t="s">
        <v>2114</v>
      </c>
      <c r="B875" s="2272" t="s">
        <v>2114</v>
      </c>
      <c r="D875" s="2252" t="b">
        <f t="shared" si="19"/>
        <v>1</v>
      </c>
    </row>
    <row r="876" spans="4:4">
      <c r="D876" s="2252" t="b">
        <f t="shared" si="19"/>
        <v>1</v>
      </c>
    </row>
    <row r="877" spans="1:4">
      <c r="A877" s="2252" t="s">
        <v>2115</v>
      </c>
      <c r="B877" s="2272" t="s">
        <v>2115</v>
      </c>
      <c r="D877" s="2252" t="b">
        <f t="shared" si="19"/>
        <v>1</v>
      </c>
    </row>
    <row r="878" spans="4:4">
      <c r="D878" s="2252" t="b">
        <f t="shared" si="19"/>
        <v>1</v>
      </c>
    </row>
    <row r="879" spans="1:4">
      <c r="A879" s="2252" t="s">
        <v>2116</v>
      </c>
      <c r="B879" s="2295" t="s">
        <v>2116</v>
      </c>
      <c r="D879" s="2252" t="b">
        <f t="shared" si="19"/>
        <v>1</v>
      </c>
    </row>
    <row r="880" spans="4:4">
      <c r="D880" s="2252" t="b">
        <f t="shared" si="19"/>
        <v>1</v>
      </c>
    </row>
    <row r="881" spans="1:4">
      <c r="A881" s="2252" t="s">
        <v>2117</v>
      </c>
      <c r="B881" s="2270" t="s">
        <v>2117</v>
      </c>
      <c r="D881" s="2252" t="b">
        <f t="shared" si="19"/>
        <v>1</v>
      </c>
    </row>
    <row r="882" spans="1:4">
      <c r="A882" s="2252" t="s">
        <v>671</v>
      </c>
      <c r="B882" s="2273" t="s">
        <v>671</v>
      </c>
      <c r="D882" s="2252" t="b">
        <f t="shared" si="19"/>
        <v>1</v>
      </c>
    </row>
    <row r="883" spans="1:4">
      <c r="A883" s="2252" t="s">
        <v>2118</v>
      </c>
      <c r="B883" s="2253" t="str">
        <f>报表附注!E1368</f>
        <v>一、原价合计 </v>
      </c>
      <c r="C883" s="2260">
        <f>报表附注!F1368</f>
        <v>0</v>
      </c>
      <c r="D883" s="2252" t="b">
        <f t="shared" si="19"/>
        <v>1</v>
      </c>
    </row>
    <row r="884" spans="1:4">
      <c r="A884" s="2252" t="s">
        <v>2119</v>
      </c>
      <c r="B884" s="2253" t="str">
        <f>报表附注!E1369</f>
        <v>其中：种植业</v>
      </c>
      <c r="C884" s="2260">
        <f>报表附注!F1369</f>
        <v>0</v>
      </c>
      <c r="D884" s="2252" t="b">
        <f t="shared" si="19"/>
        <v>1</v>
      </c>
    </row>
    <row r="885" spans="1:4">
      <c r="A885" s="2252" t="s">
        <v>863</v>
      </c>
      <c r="B885" s="2253" t="str">
        <f>报表附注!E1370</f>
        <v>畜牧养殖业</v>
      </c>
      <c r="C885" s="2260">
        <f>报表附注!F1370</f>
        <v>0</v>
      </c>
      <c r="D885" s="2252" t="b">
        <f t="shared" si="19"/>
        <v>1</v>
      </c>
    </row>
    <row r="886" spans="1:4">
      <c r="A886" s="2252" t="s">
        <v>865</v>
      </c>
      <c r="B886" s="2253" t="str">
        <f>报表附注!E1371</f>
        <v>林业</v>
      </c>
      <c r="C886" s="2260">
        <f>报表附注!F1371</f>
        <v>0</v>
      </c>
      <c r="D886" s="2252" t="b">
        <f t="shared" si="19"/>
        <v>1</v>
      </c>
    </row>
    <row r="887" spans="1:4">
      <c r="A887" s="2252" t="s">
        <v>2120</v>
      </c>
      <c r="B887" s="2253" t="str">
        <f>报表附注!E1372</f>
        <v>……  水产业</v>
      </c>
      <c r="C887" s="2260">
        <f>报表附注!F1372</f>
        <v>0</v>
      </c>
      <c r="D887" s="2252" t="b">
        <f t="shared" si="19"/>
        <v>1</v>
      </c>
    </row>
    <row r="888" spans="1:4">
      <c r="A888" s="2252" t="s">
        <v>760</v>
      </c>
      <c r="B888" s="2253" t="str">
        <f>报表附注!E1373</f>
        <v>二、累计折旧合计</v>
      </c>
      <c r="C888" s="2260">
        <f>报表附注!F1373</f>
        <v>0</v>
      </c>
      <c r="D888" s="2252" t="b">
        <f t="shared" si="19"/>
        <v>1</v>
      </c>
    </row>
    <row r="889" spans="1:4">
      <c r="A889" s="2252" t="s">
        <v>2119</v>
      </c>
      <c r="B889" s="2253" t="str">
        <f>报表附注!E1374</f>
        <v>其中：种植业</v>
      </c>
      <c r="C889" s="2260">
        <f>报表附注!F1374</f>
        <v>0</v>
      </c>
      <c r="D889" s="2252" t="b">
        <f t="shared" si="19"/>
        <v>1</v>
      </c>
    </row>
    <row r="890" spans="1:4">
      <c r="A890" s="2252" t="s">
        <v>863</v>
      </c>
      <c r="B890" s="2253" t="str">
        <f>报表附注!E1375</f>
        <v>畜牧养殖业</v>
      </c>
      <c r="C890" s="2260">
        <f>报表附注!F1375</f>
        <v>0</v>
      </c>
      <c r="D890" s="2252" t="b">
        <f t="shared" si="19"/>
        <v>1</v>
      </c>
    </row>
    <row r="891" spans="1:4">
      <c r="A891" s="2252" t="s">
        <v>865</v>
      </c>
      <c r="B891" s="2253" t="str">
        <f>报表附注!E1376</f>
        <v>林业</v>
      </c>
      <c r="C891" s="2260">
        <f>报表附注!F1376</f>
        <v>0</v>
      </c>
      <c r="D891" s="2252" t="b">
        <f t="shared" si="19"/>
        <v>1</v>
      </c>
    </row>
    <row r="892" spans="1:4">
      <c r="A892" s="2252" t="s">
        <v>2120</v>
      </c>
      <c r="B892" s="2253" t="str">
        <f>报表附注!E1377</f>
        <v>……  水产业</v>
      </c>
      <c r="C892" s="2260">
        <f>报表附注!F1377</f>
        <v>0</v>
      </c>
      <c r="D892" s="2252" t="b">
        <f t="shared" si="19"/>
        <v>1</v>
      </c>
    </row>
    <row r="893" spans="1:4">
      <c r="A893" s="2252" t="s">
        <v>2121</v>
      </c>
      <c r="B893" s="2253" t="str">
        <f>报表附注!E1378</f>
        <v>三、减值准备累计金额合计</v>
      </c>
      <c r="C893" s="2260">
        <f>报表附注!F1378</f>
        <v>0</v>
      </c>
      <c r="D893" s="2252" t="b">
        <f t="shared" si="19"/>
        <v>1</v>
      </c>
    </row>
    <row r="894" spans="1:4">
      <c r="A894" s="2252" t="s">
        <v>2119</v>
      </c>
      <c r="B894" s="2253" t="str">
        <f>报表附注!E1379</f>
        <v>其中：种植业</v>
      </c>
      <c r="C894" s="2260">
        <f>报表附注!F1379</f>
        <v>0</v>
      </c>
      <c r="D894" s="2252" t="b">
        <f t="shared" si="19"/>
        <v>1</v>
      </c>
    </row>
    <row r="895" spans="1:4">
      <c r="A895" s="2252" t="s">
        <v>863</v>
      </c>
      <c r="B895" s="2253" t="str">
        <f>报表附注!E1380</f>
        <v>畜牧养殖业</v>
      </c>
      <c r="C895" s="2260">
        <f>报表附注!F1380</f>
        <v>0</v>
      </c>
      <c r="D895" s="2252" t="b">
        <f t="shared" si="19"/>
        <v>1</v>
      </c>
    </row>
    <row r="896" spans="1:4">
      <c r="A896" s="2252" t="s">
        <v>865</v>
      </c>
      <c r="B896" s="2253" t="str">
        <f>报表附注!E1381</f>
        <v>林业</v>
      </c>
      <c r="C896" s="2260">
        <f>报表附注!F1381</f>
        <v>0</v>
      </c>
      <c r="D896" s="2252" t="b">
        <f t="shared" si="19"/>
        <v>1</v>
      </c>
    </row>
    <row r="897" spans="1:4">
      <c r="A897" s="2252" t="s">
        <v>2120</v>
      </c>
      <c r="B897" s="2253" t="str">
        <f>报表附注!E1382</f>
        <v>……  水产业</v>
      </c>
      <c r="C897" s="2260">
        <f>报表附注!F1382</f>
        <v>0</v>
      </c>
      <c r="D897" s="2252" t="b">
        <f t="shared" si="19"/>
        <v>1</v>
      </c>
    </row>
    <row r="898" spans="1:4">
      <c r="A898" s="2252" t="s">
        <v>672</v>
      </c>
      <c r="B898" s="2273" t="s">
        <v>672</v>
      </c>
      <c r="D898" s="2252" t="b">
        <f t="shared" si="19"/>
        <v>1</v>
      </c>
    </row>
    <row r="899" spans="1:4">
      <c r="A899" s="2252" t="s">
        <v>2118</v>
      </c>
      <c r="B899" s="2253" t="str">
        <f>报表附注!E1368</f>
        <v>一、原价合计 </v>
      </c>
      <c r="C899" s="2260">
        <f>报表附注!G1368</f>
        <v>0</v>
      </c>
      <c r="D899" s="2252" t="b">
        <f t="shared" si="19"/>
        <v>1</v>
      </c>
    </row>
    <row r="900" spans="1:4">
      <c r="A900" s="2252" t="s">
        <v>2119</v>
      </c>
      <c r="B900" s="2253" t="str">
        <f>报表附注!E1369</f>
        <v>其中：种植业</v>
      </c>
      <c r="C900" s="2260">
        <f>报表附注!G1369</f>
        <v>0</v>
      </c>
      <c r="D900" s="2252" t="b">
        <f t="shared" si="19"/>
        <v>1</v>
      </c>
    </row>
    <row r="901" spans="1:4">
      <c r="A901" s="2252" t="s">
        <v>863</v>
      </c>
      <c r="B901" s="2253" t="str">
        <f>报表附注!E1370</f>
        <v>畜牧养殖业</v>
      </c>
      <c r="C901" s="2260">
        <f>报表附注!G1370</f>
        <v>0</v>
      </c>
      <c r="D901" s="2252" t="b">
        <f t="shared" si="19"/>
        <v>1</v>
      </c>
    </row>
    <row r="902" spans="1:4">
      <c r="A902" s="2252" t="s">
        <v>865</v>
      </c>
      <c r="B902" s="2253" t="str">
        <f>报表附注!E1371</f>
        <v>林业</v>
      </c>
      <c r="C902" s="2260">
        <f>报表附注!G1371</f>
        <v>0</v>
      </c>
      <c r="D902" s="2252" t="b">
        <f t="shared" si="19"/>
        <v>1</v>
      </c>
    </row>
    <row r="903" spans="1:4">
      <c r="A903" s="2252" t="s">
        <v>2120</v>
      </c>
      <c r="B903" s="2253" t="str">
        <f>报表附注!E1372</f>
        <v>……  水产业</v>
      </c>
      <c r="C903" s="2260">
        <f>报表附注!G1372</f>
        <v>0</v>
      </c>
      <c r="D903" s="2252" t="b">
        <f t="shared" si="19"/>
        <v>1</v>
      </c>
    </row>
    <row r="904" spans="1:4">
      <c r="A904" s="2252" t="s">
        <v>760</v>
      </c>
      <c r="B904" s="2253" t="str">
        <f>报表附注!E1373</f>
        <v>二、累计折旧合计</v>
      </c>
      <c r="C904" s="2260">
        <f>报表附注!G1373</f>
        <v>0</v>
      </c>
      <c r="D904" s="2252" t="b">
        <f t="shared" si="19"/>
        <v>1</v>
      </c>
    </row>
    <row r="905" spans="1:4">
      <c r="A905" s="2252" t="s">
        <v>2119</v>
      </c>
      <c r="B905" s="2253" t="str">
        <f>报表附注!E1374</f>
        <v>其中：种植业</v>
      </c>
      <c r="C905" s="2260">
        <f>报表附注!G1374</f>
        <v>0</v>
      </c>
      <c r="D905" s="2252" t="b">
        <f t="shared" si="19"/>
        <v>1</v>
      </c>
    </row>
    <row r="906" spans="1:4">
      <c r="A906" s="2252" t="s">
        <v>863</v>
      </c>
      <c r="B906" s="2253" t="str">
        <f>报表附注!E1375</f>
        <v>畜牧养殖业</v>
      </c>
      <c r="C906" s="2260">
        <f>报表附注!G1375</f>
        <v>0</v>
      </c>
      <c r="D906" s="2252" t="b">
        <f t="shared" si="19"/>
        <v>1</v>
      </c>
    </row>
    <row r="907" spans="1:4">
      <c r="A907" s="2252" t="s">
        <v>865</v>
      </c>
      <c r="B907" s="2253" t="str">
        <f>报表附注!E1376</f>
        <v>林业</v>
      </c>
      <c r="C907" s="2260">
        <f>报表附注!G1376</f>
        <v>0</v>
      </c>
      <c r="D907" s="2252" t="b">
        <f t="shared" si="19"/>
        <v>1</v>
      </c>
    </row>
    <row r="908" spans="1:4">
      <c r="A908" s="2252" t="s">
        <v>2120</v>
      </c>
      <c r="B908" s="2253" t="str">
        <f>报表附注!E1377</f>
        <v>……  水产业</v>
      </c>
      <c r="C908" s="2260">
        <f>报表附注!G1377</f>
        <v>0</v>
      </c>
      <c r="D908" s="2252" t="b">
        <f t="shared" ref="D908:D971" si="20">EXACT(A908,B908)</f>
        <v>1</v>
      </c>
    </row>
    <row r="909" spans="1:4">
      <c r="A909" s="2252" t="s">
        <v>2121</v>
      </c>
      <c r="B909" s="2253" t="str">
        <f>报表附注!E1378</f>
        <v>三、减值准备累计金额合计</v>
      </c>
      <c r="C909" s="2260">
        <f>报表附注!G1378</f>
        <v>0</v>
      </c>
      <c r="D909" s="2252" t="b">
        <f t="shared" si="20"/>
        <v>1</v>
      </c>
    </row>
    <row r="910" spans="1:4">
      <c r="A910" s="2252" t="s">
        <v>2119</v>
      </c>
      <c r="B910" s="2253" t="str">
        <f>报表附注!E1379</f>
        <v>其中：种植业</v>
      </c>
      <c r="C910" s="2260">
        <f>报表附注!G1379</f>
        <v>0</v>
      </c>
      <c r="D910" s="2252" t="b">
        <f t="shared" si="20"/>
        <v>1</v>
      </c>
    </row>
    <row r="911" spans="1:4">
      <c r="A911" s="2252" t="s">
        <v>863</v>
      </c>
      <c r="B911" s="2253" t="str">
        <f>报表附注!E1380</f>
        <v>畜牧养殖业</v>
      </c>
      <c r="C911" s="2260">
        <f>报表附注!G1380</f>
        <v>0</v>
      </c>
      <c r="D911" s="2252" t="b">
        <f t="shared" si="20"/>
        <v>1</v>
      </c>
    </row>
    <row r="912" spans="1:4">
      <c r="A912" s="2252" t="s">
        <v>865</v>
      </c>
      <c r="B912" s="2253" t="str">
        <f>报表附注!E1381</f>
        <v>林业</v>
      </c>
      <c r="C912" s="2260">
        <f>报表附注!G1381</f>
        <v>0</v>
      </c>
      <c r="D912" s="2252" t="b">
        <f t="shared" si="20"/>
        <v>1</v>
      </c>
    </row>
    <row r="913" spans="1:4">
      <c r="A913" s="2252" t="s">
        <v>2120</v>
      </c>
      <c r="B913" s="2253" t="str">
        <f>报表附注!E1382</f>
        <v>……  水产业</v>
      </c>
      <c r="C913" s="2260">
        <f>报表附注!G1382</f>
        <v>0</v>
      </c>
      <c r="D913" s="2252" t="b">
        <f t="shared" si="20"/>
        <v>1</v>
      </c>
    </row>
    <row r="914" spans="1:4">
      <c r="A914" s="2252" t="s">
        <v>673</v>
      </c>
      <c r="B914" s="2273" t="s">
        <v>673</v>
      </c>
      <c r="D914" s="2252" t="b">
        <f t="shared" si="20"/>
        <v>1</v>
      </c>
    </row>
    <row r="915" spans="1:4">
      <c r="A915" s="2252" t="s">
        <v>2118</v>
      </c>
      <c r="B915" s="2253" t="str">
        <f>报表附注!E1368</f>
        <v>一、原价合计 </v>
      </c>
      <c r="C915" s="2260">
        <f>报表附注!H1368</f>
        <v>0</v>
      </c>
      <c r="D915" s="2252" t="b">
        <f t="shared" si="20"/>
        <v>1</v>
      </c>
    </row>
    <row r="916" spans="1:4">
      <c r="A916" s="2252" t="s">
        <v>2119</v>
      </c>
      <c r="B916" s="2253" t="str">
        <f>报表附注!E1369</f>
        <v>其中：种植业</v>
      </c>
      <c r="C916" s="2260">
        <f>报表附注!H1369</f>
        <v>0</v>
      </c>
      <c r="D916" s="2252" t="b">
        <f t="shared" si="20"/>
        <v>1</v>
      </c>
    </row>
    <row r="917" spans="1:4">
      <c r="A917" s="2252" t="s">
        <v>863</v>
      </c>
      <c r="B917" s="2253" t="str">
        <f>报表附注!E1370</f>
        <v>畜牧养殖业</v>
      </c>
      <c r="C917" s="2260">
        <f>报表附注!H1370</f>
        <v>0</v>
      </c>
      <c r="D917" s="2252" t="b">
        <f t="shared" si="20"/>
        <v>1</v>
      </c>
    </row>
    <row r="918" spans="1:4">
      <c r="A918" s="2252" t="s">
        <v>865</v>
      </c>
      <c r="B918" s="2253" t="str">
        <f>报表附注!E1371</f>
        <v>林业</v>
      </c>
      <c r="C918" s="2260">
        <f>报表附注!H1371</f>
        <v>0</v>
      </c>
      <c r="D918" s="2252" t="b">
        <f t="shared" si="20"/>
        <v>1</v>
      </c>
    </row>
    <row r="919" spans="1:4">
      <c r="A919" s="2252" t="s">
        <v>2120</v>
      </c>
      <c r="B919" s="2253" t="str">
        <f>报表附注!E1372</f>
        <v>……  水产业</v>
      </c>
      <c r="C919" s="2260">
        <f>报表附注!H1372</f>
        <v>0</v>
      </c>
      <c r="D919" s="2252" t="b">
        <f t="shared" si="20"/>
        <v>1</v>
      </c>
    </row>
    <row r="920" spans="1:4">
      <c r="A920" s="2252" t="s">
        <v>760</v>
      </c>
      <c r="B920" s="2253" t="str">
        <f>报表附注!E1373</f>
        <v>二、累计折旧合计</v>
      </c>
      <c r="C920" s="2260">
        <f>报表附注!H1373</f>
        <v>0</v>
      </c>
      <c r="D920" s="2252" t="b">
        <f t="shared" si="20"/>
        <v>1</v>
      </c>
    </row>
    <row r="921" spans="1:4">
      <c r="A921" s="2252" t="s">
        <v>2119</v>
      </c>
      <c r="B921" s="2253" t="str">
        <f>报表附注!E1374</f>
        <v>其中：种植业</v>
      </c>
      <c r="C921" s="2260">
        <f>报表附注!H1374</f>
        <v>0</v>
      </c>
      <c r="D921" s="2252" t="b">
        <f t="shared" si="20"/>
        <v>1</v>
      </c>
    </row>
    <row r="922" spans="1:4">
      <c r="A922" s="2252" t="s">
        <v>863</v>
      </c>
      <c r="B922" s="2253" t="str">
        <f>报表附注!E1375</f>
        <v>畜牧养殖业</v>
      </c>
      <c r="C922" s="2260">
        <f>报表附注!H1375</f>
        <v>0</v>
      </c>
      <c r="D922" s="2252" t="b">
        <f t="shared" si="20"/>
        <v>1</v>
      </c>
    </row>
    <row r="923" spans="1:4">
      <c r="A923" s="2252" t="s">
        <v>865</v>
      </c>
      <c r="B923" s="2253" t="str">
        <f>报表附注!E1376</f>
        <v>林业</v>
      </c>
      <c r="C923" s="2260">
        <f>报表附注!H1376</f>
        <v>0</v>
      </c>
      <c r="D923" s="2252" t="b">
        <f t="shared" si="20"/>
        <v>1</v>
      </c>
    </row>
    <row r="924" spans="1:4">
      <c r="A924" s="2252" t="s">
        <v>2120</v>
      </c>
      <c r="B924" s="2253" t="str">
        <f>报表附注!E1377</f>
        <v>……  水产业</v>
      </c>
      <c r="C924" s="2260">
        <f>报表附注!H1377</f>
        <v>0</v>
      </c>
      <c r="D924" s="2252" t="b">
        <f t="shared" si="20"/>
        <v>1</v>
      </c>
    </row>
    <row r="925" spans="1:4">
      <c r="A925" s="2252" t="s">
        <v>2121</v>
      </c>
      <c r="B925" s="2253" t="str">
        <f>报表附注!E1378</f>
        <v>三、减值准备累计金额合计</v>
      </c>
      <c r="C925" s="2260">
        <f>报表附注!H1378</f>
        <v>0</v>
      </c>
      <c r="D925" s="2252" t="b">
        <f t="shared" si="20"/>
        <v>1</v>
      </c>
    </row>
    <row r="926" spans="1:4">
      <c r="A926" s="2252" t="s">
        <v>2119</v>
      </c>
      <c r="B926" s="2253" t="str">
        <f>报表附注!E1379</f>
        <v>其中：种植业</v>
      </c>
      <c r="C926" s="2260">
        <f>报表附注!H1379</f>
        <v>0</v>
      </c>
      <c r="D926" s="2252" t="b">
        <f t="shared" si="20"/>
        <v>1</v>
      </c>
    </row>
    <row r="927" spans="1:4">
      <c r="A927" s="2252" t="s">
        <v>863</v>
      </c>
      <c r="B927" s="2253" t="str">
        <f>报表附注!E1380</f>
        <v>畜牧养殖业</v>
      </c>
      <c r="C927" s="2260">
        <f>报表附注!H1380</f>
        <v>0</v>
      </c>
      <c r="D927" s="2252" t="b">
        <f t="shared" si="20"/>
        <v>1</v>
      </c>
    </row>
    <row r="928" spans="1:4">
      <c r="A928" s="2252" t="s">
        <v>865</v>
      </c>
      <c r="B928" s="2253" t="str">
        <f>报表附注!E1381</f>
        <v>林业</v>
      </c>
      <c r="C928" s="2260">
        <f>报表附注!H1381</f>
        <v>0</v>
      </c>
      <c r="D928" s="2252" t="b">
        <f t="shared" si="20"/>
        <v>1</v>
      </c>
    </row>
    <row r="929" spans="1:4">
      <c r="A929" s="2252" t="s">
        <v>2120</v>
      </c>
      <c r="B929" s="2253" t="str">
        <f>报表附注!E1382</f>
        <v>……  水产业</v>
      </c>
      <c r="C929" s="2260">
        <f>报表附注!H1382</f>
        <v>0</v>
      </c>
      <c r="D929" s="2252" t="b">
        <f t="shared" si="20"/>
        <v>1</v>
      </c>
    </row>
    <row r="930" spans="4:4">
      <c r="D930" s="2252" t="b">
        <f t="shared" si="20"/>
        <v>1</v>
      </c>
    </row>
    <row r="931" spans="1:4">
      <c r="A931" s="2252" t="s">
        <v>2122</v>
      </c>
      <c r="B931" s="2270" t="s">
        <v>2122</v>
      </c>
      <c r="D931" s="2252" t="b">
        <f t="shared" si="20"/>
        <v>1</v>
      </c>
    </row>
    <row r="932" spans="1:4">
      <c r="A932" s="2252" t="s">
        <v>671</v>
      </c>
      <c r="B932" s="2273" t="s">
        <v>671</v>
      </c>
      <c r="D932" s="2252" t="b">
        <f t="shared" si="20"/>
        <v>1</v>
      </c>
    </row>
    <row r="933" spans="1:4">
      <c r="A933" s="2252" t="s">
        <v>715</v>
      </c>
      <c r="B933" s="2274" t="str">
        <f>报表附注!E1396</f>
        <v>一、原价合计</v>
      </c>
      <c r="C933" s="2260">
        <f>报表附注!F1396</f>
        <v>0</v>
      </c>
      <c r="D933" s="2252" t="b">
        <f t="shared" si="20"/>
        <v>1</v>
      </c>
    </row>
    <row r="934" spans="1:4">
      <c r="A934" s="2252" t="s">
        <v>2123</v>
      </c>
      <c r="B934" s="2274" t="str">
        <f>报表附注!E1397</f>
        <v>1．探明矿区权益</v>
      </c>
      <c r="C934" s="2260">
        <f>报表附注!F1397</f>
        <v>0</v>
      </c>
      <c r="D934" s="2252" t="b">
        <f t="shared" si="20"/>
        <v>1</v>
      </c>
    </row>
    <row r="935" spans="1:4">
      <c r="A935" s="2252" t="s">
        <v>2124</v>
      </c>
      <c r="B935" s="2274" t="str">
        <f>报表附注!E1398</f>
        <v>2．未探明矿区权益</v>
      </c>
      <c r="C935" s="2260">
        <f>报表附注!F1398</f>
        <v>0</v>
      </c>
      <c r="D935" s="2252" t="b">
        <f t="shared" si="20"/>
        <v>1</v>
      </c>
    </row>
    <row r="936" spans="1:4">
      <c r="A936" s="2252" t="s">
        <v>2125</v>
      </c>
      <c r="B936" s="2274" t="str">
        <f>报表附注!E1399</f>
        <v>3．井及相关设施</v>
      </c>
      <c r="C936" s="2260">
        <f>报表附注!F1399</f>
        <v>0</v>
      </c>
      <c r="D936" s="2252" t="b">
        <f t="shared" si="20"/>
        <v>1</v>
      </c>
    </row>
    <row r="937" spans="1:4">
      <c r="A937" s="2252" t="s">
        <v>890</v>
      </c>
      <c r="B937" s="2274" t="str">
        <f>报表附注!E1400</f>
        <v>二、累计折耗合计</v>
      </c>
      <c r="C937" s="2260">
        <f>报表附注!F1400</f>
        <v>0</v>
      </c>
      <c r="D937" s="2252" t="b">
        <f t="shared" si="20"/>
        <v>1</v>
      </c>
    </row>
    <row r="938" spans="1:4">
      <c r="A938" s="2252" t="s">
        <v>2123</v>
      </c>
      <c r="B938" s="2274" t="str">
        <f>报表附注!E1401</f>
        <v>1．探明矿区权益</v>
      </c>
      <c r="C938" s="2260">
        <f>报表附注!F1401</f>
        <v>0</v>
      </c>
      <c r="D938" s="2252" t="b">
        <f t="shared" si="20"/>
        <v>1</v>
      </c>
    </row>
    <row r="939" spans="1:4">
      <c r="A939" s="2252" t="s">
        <v>2126</v>
      </c>
      <c r="B939" s="2274" t="str">
        <f>报表附注!E1402</f>
        <v>2．井及相关设施</v>
      </c>
      <c r="C939" s="2260">
        <f>报表附注!F1402</f>
        <v>0</v>
      </c>
      <c r="D939" s="2252" t="b">
        <f t="shared" si="20"/>
        <v>1</v>
      </c>
    </row>
    <row r="940" spans="1:4">
      <c r="A940" s="2252" t="s">
        <v>895</v>
      </c>
      <c r="B940" s="2274" t="str">
        <f>报表附注!E1403</f>
        <v>三、油气资产减值准备累计金额合计</v>
      </c>
      <c r="C940" s="2260">
        <f>报表附注!F1403</f>
        <v>0</v>
      </c>
      <c r="D940" s="2252" t="b">
        <f t="shared" si="20"/>
        <v>1</v>
      </c>
    </row>
    <row r="941" spans="1:4">
      <c r="A941" s="2252" t="s">
        <v>2123</v>
      </c>
      <c r="B941" s="2274" t="str">
        <f>报表附注!E1404</f>
        <v>1．探明矿区权益</v>
      </c>
      <c r="C941" s="2260">
        <f>报表附注!F1404</f>
        <v>0</v>
      </c>
      <c r="D941" s="2252" t="b">
        <f t="shared" si="20"/>
        <v>1</v>
      </c>
    </row>
    <row r="942" spans="1:4">
      <c r="A942" s="2252" t="s">
        <v>2124</v>
      </c>
      <c r="B942" s="2274" t="str">
        <f>报表附注!E1405</f>
        <v>2．未探明矿区权益</v>
      </c>
      <c r="C942" s="2260">
        <f>报表附注!F1405</f>
        <v>0</v>
      </c>
      <c r="D942" s="2252" t="b">
        <f t="shared" si="20"/>
        <v>1</v>
      </c>
    </row>
    <row r="943" spans="1:4">
      <c r="A943" s="2252" t="s">
        <v>2125</v>
      </c>
      <c r="B943" s="2274" t="str">
        <f>报表附注!E1406</f>
        <v>3．井及相关设施</v>
      </c>
      <c r="C943" s="2260">
        <f>报表附注!F1406</f>
        <v>0</v>
      </c>
      <c r="D943" s="2252" t="b">
        <f t="shared" si="20"/>
        <v>1</v>
      </c>
    </row>
    <row r="944" spans="1:4">
      <c r="A944" s="2252" t="s">
        <v>672</v>
      </c>
      <c r="B944" s="2273" t="s">
        <v>672</v>
      </c>
      <c r="D944" s="2252" t="b">
        <f t="shared" si="20"/>
        <v>1</v>
      </c>
    </row>
    <row r="945" spans="1:4">
      <c r="A945" s="2252" t="s">
        <v>715</v>
      </c>
      <c r="B945" s="2274" t="str">
        <f>报表附注!E1396</f>
        <v>一、原价合计</v>
      </c>
      <c r="C945" s="2260">
        <f>报表附注!G1396</f>
        <v>0</v>
      </c>
      <c r="D945" s="2252" t="b">
        <f t="shared" si="20"/>
        <v>1</v>
      </c>
    </row>
    <row r="946" spans="1:4">
      <c r="A946" s="2252" t="s">
        <v>2123</v>
      </c>
      <c r="B946" s="2274" t="str">
        <f>报表附注!E1397</f>
        <v>1．探明矿区权益</v>
      </c>
      <c r="C946" s="2260">
        <f>报表附注!G1397</f>
        <v>0</v>
      </c>
      <c r="D946" s="2252" t="b">
        <f t="shared" si="20"/>
        <v>1</v>
      </c>
    </row>
    <row r="947" spans="1:4">
      <c r="A947" s="2252" t="s">
        <v>2124</v>
      </c>
      <c r="B947" s="2274" t="str">
        <f>报表附注!E1398</f>
        <v>2．未探明矿区权益</v>
      </c>
      <c r="C947" s="2260">
        <f>报表附注!G1398</f>
        <v>0</v>
      </c>
      <c r="D947" s="2252" t="b">
        <f t="shared" si="20"/>
        <v>1</v>
      </c>
    </row>
    <row r="948" spans="1:4">
      <c r="A948" s="2252" t="s">
        <v>2125</v>
      </c>
      <c r="B948" s="2274" t="str">
        <f>报表附注!E1399</f>
        <v>3．井及相关设施</v>
      </c>
      <c r="C948" s="2260">
        <f>报表附注!G1399</f>
        <v>0</v>
      </c>
      <c r="D948" s="2252" t="b">
        <f t="shared" si="20"/>
        <v>1</v>
      </c>
    </row>
    <row r="949" spans="1:4">
      <c r="A949" s="2252" t="s">
        <v>890</v>
      </c>
      <c r="B949" s="2274" t="str">
        <f>报表附注!E1400</f>
        <v>二、累计折耗合计</v>
      </c>
      <c r="C949" s="2260">
        <f>报表附注!G1400</f>
        <v>0</v>
      </c>
      <c r="D949" s="2252" t="b">
        <f t="shared" si="20"/>
        <v>1</v>
      </c>
    </row>
    <row r="950" spans="1:4">
      <c r="A950" s="2252" t="s">
        <v>2123</v>
      </c>
      <c r="B950" s="2274" t="str">
        <f>报表附注!E1401</f>
        <v>1．探明矿区权益</v>
      </c>
      <c r="C950" s="2260">
        <f>报表附注!G1401</f>
        <v>0</v>
      </c>
      <c r="D950" s="2252" t="b">
        <f t="shared" si="20"/>
        <v>1</v>
      </c>
    </row>
    <row r="951" spans="1:4">
      <c r="A951" s="2252" t="s">
        <v>2126</v>
      </c>
      <c r="B951" s="2274" t="str">
        <f>报表附注!E1402</f>
        <v>2．井及相关设施</v>
      </c>
      <c r="C951" s="2260">
        <f>报表附注!G1402</f>
        <v>0</v>
      </c>
      <c r="D951" s="2252" t="b">
        <f t="shared" si="20"/>
        <v>1</v>
      </c>
    </row>
    <row r="952" spans="1:4">
      <c r="A952" s="2252" t="s">
        <v>895</v>
      </c>
      <c r="B952" s="2274" t="str">
        <f>报表附注!E1403</f>
        <v>三、油气资产减值准备累计金额合计</v>
      </c>
      <c r="C952" s="2260">
        <f>报表附注!G1403</f>
        <v>0</v>
      </c>
      <c r="D952" s="2252" t="b">
        <f t="shared" si="20"/>
        <v>1</v>
      </c>
    </row>
    <row r="953" spans="1:4">
      <c r="A953" s="2252" t="s">
        <v>2123</v>
      </c>
      <c r="B953" s="2274" t="str">
        <f>报表附注!E1404</f>
        <v>1．探明矿区权益</v>
      </c>
      <c r="C953" s="2260">
        <f>报表附注!G1404</f>
        <v>0</v>
      </c>
      <c r="D953" s="2252" t="b">
        <f t="shared" si="20"/>
        <v>1</v>
      </c>
    </row>
    <row r="954" spans="1:4">
      <c r="A954" s="2252" t="s">
        <v>2124</v>
      </c>
      <c r="B954" s="2274" t="str">
        <f>报表附注!E1405</f>
        <v>2．未探明矿区权益</v>
      </c>
      <c r="C954" s="2260">
        <f>报表附注!G1405</f>
        <v>0</v>
      </c>
      <c r="D954" s="2252" t="b">
        <f t="shared" si="20"/>
        <v>1</v>
      </c>
    </row>
    <row r="955" spans="1:4">
      <c r="A955" s="2252" t="s">
        <v>2125</v>
      </c>
      <c r="B955" s="2274" t="str">
        <f>报表附注!E1406</f>
        <v>3．井及相关设施</v>
      </c>
      <c r="C955" s="2260">
        <f>报表附注!G1406</f>
        <v>0</v>
      </c>
      <c r="D955" s="2252" t="b">
        <f t="shared" si="20"/>
        <v>1</v>
      </c>
    </row>
    <row r="956" spans="1:4">
      <c r="A956" s="2252" t="s">
        <v>673</v>
      </c>
      <c r="B956" s="2273" t="s">
        <v>673</v>
      </c>
      <c r="D956" s="2252" t="b">
        <f t="shared" si="20"/>
        <v>1</v>
      </c>
    </row>
    <row r="957" spans="1:4">
      <c r="A957" s="2252" t="s">
        <v>715</v>
      </c>
      <c r="B957" s="2274" t="str">
        <f>报表附注!E1396</f>
        <v>一、原价合计</v>
      </c>
      <c r="C957" s="2260">
        <f>报表附注!H1396</f>
        <v>0</v>
      </c>
      <c r="D957" s="2252" t="b">
        <f t="shared" si="20"/>
        <v>1</v>
      </c>
    </row>
    <row r="958" spans="1:4">
      <c r="A958" s="2252" t="s">
        <v>2123</v>
      </c>
      <c r="B958" s="2274" t="str">
        <f>报表附注!E1397</f>
        <v>1．探明矿区权益</v>
      </c>
      <c r="C958" s="2260">
        <f>报表附注!H1397</f>
        <v>0</v>
      </c>
      <c r="D958" s="2252" t="b">
        <f t="shared" si="20"/>
        <v>1</v>
      </c>
    </row>
    <row r="959" spans="1:4">
      <c r="A959" s="2252" t="s">
        <v>2124</v>
      </c>
      <c r="B959" s="2274" t="str">
        <f>报表附注!E1398</f>
        <v>2．未探明矿区权益</v>
      </c>
      <c r="C959" s="2260">
        <f>报表附注!H1398</f>
        <v>0</v>
      </c>
      <c r="D959" s="2252" t="b">
        <f t="shared" si="20"/>
        <v>1</v>
      </c>
    </row>
    <row r="960" spans="1:4">
      <c r="A960" s="2252" t="s">
        <v>2125</v>
      </c>
      <c r="B960" s="2274" t="str">
        <f>报表附注!E1399</f>
        <v>3．井及相关设施</v>
      </c>
      <c r="C960" s="2260">
        <f>报表附注!H1399</f>
        <v>0</v>
      </c>
      <c r="D960" s="2252" t="b">
        <f t="shared" si="20"/>
        <v>1</v>
      </c>
    </row>
    <row r="961" spans="1:4">
      <c r="A961" s="2252" t="s">
        <v>890</v>
      </c>
      <c r="B961" s="2274" t="str">
        <f>报表附注!E1400</f>
        <v>二、累计折耗合计</v>
      </c>
      <c r="C961" s="2260">
        <f>报表附注!H1400</f>
        <v>0</v>
      </c>
      <c r="D961" s="2252" t="b">
        <f t="shared" si="20"/>
        <v>1</v>
      </c>
    </row>
    <row r="962" spans="1:4">
      <c r="A962" s="2252" t="s">
        <v>2123</v>
      </c>
      <c r="B962" s="2274" t="str">
        <f>报表附注!E1401</f>
        <v>1．探明矿区权益</v>
      </c>
      <c r="C962" s="2260">
        <f>报表附注!H1401</f>
        <v>0</v>
      </c>
      <c r="D962" s="2252" t="b">
        <f t="shared" si="20"/>
        <v>1</v>
      </c>
    </row>
    <row r="963" spans="1:4">
      <c r="A963" s="2252" t="s">
        <v>2126</v>
      </c>
      <c r="B963" s="2274" t="str">
        <f>报表附注!E1402</f>
        <v>2．井及相关设施</v>
      </c>
      <c r="C963" s="2260">
        <f>报表附注!H1402</f>
        <v>0</v>
      </c>
      <c r="D963" s="2252" t="b">
        <f t="shared" si="20"/>
        <v>1</v>
      </c>
    </row>
    <row r="964" spans="1:4">
      <c r="A964" s="2252" t="s">
        <v>895</v>
      </c>
      <c r="B964" s="2274" t="str">
        <f>报表附注!E1403</f>
        <v>三、油气资产减值准备累计金额合计</v>
      </c>
      <c r="C964" s="2260">
        <f>报表附注!H1403</f>
        <v>0</v>
      </c>
      <c r="D964" s="2252" t="b">
        <f t="shared" si="20"/>
        <v>1</v>
      </c>
    </row>
    <row r="965" spans="1:4">
      <c r="A965" s="2252" t="s">
        <v>2123</v>
      </c>
      <c r="B965" s="2274" t="str">
        <f>报表附注!E1404</f>
        <v>1．探明矿区权益</v>
      </c>
      <c r="C965" s="2260">
        <f>报表附注!H1404</f>
        <v>0</v>
      </c>
      <c r="D965" s="2252" t="b">
        <f t="shared" si="20"/>
        <v>1</v>
      </c>
    </row>
    <row r="966" spans="1:4">
      <c r="A966" s="2252" t="s">
        <v>2124</v>
      </c>
      <c r="B966" s="2274" t="str">
        <f>报表附注!E1405</f>
        <v>2．未探明矿区权益</v>
      </c>
      <c r="C966" s="2260">
        <f>报表附注!H1405</f>
        <v>0</v>
      </c>
      <c r="D966" s="2252" t="b">
        <f t="shared" si="20"/>
        <v>1</v>
      </c>
    </row>
    <row r="967" spans="1:4">
      <c r="A967" s="2252" t="s">
        <v>2125</v>
      </c>
      <c r="B967" s="2274" t="str">
        <f>报表附注!E1406</f>
        <v>3．井及相关设施</v>
      </c>
      <c r="C967" s="2260">
        <f>报表附注!H1406</f>
        <v>0</v>
      </c>
      <c r="D967" s="2252" t="b">
        <f t="shared" si="20"/>
        <v>1</v>
      </c>
    </row>
    <row r="968" spans="4:4">
      <c r="D968" s="2252" t="b">
        <f t="shared" si="20"/>
        <v>1</v>
      </c>
    </row>
    <row r="969" spans="4:4">
      <c r="D969" s="2252" t="b">
        <f t="shared" si="20"/>
        <v>1</v>
      </c>
    </row>
    <row r="970" spans="1:4">
      <c r="A970" s="2252" t="s">
        <v>2127</v>
      </c>
      <c r="B970" s="2270" t="s">
        <v>2127</v>
      </c>
      <c r="D970" s="2252" t="b">
        <f t="shared" si="20"/>
        <v>1</v>
      </c>
    </row>
    <row r="971" spans="1:4">
      <c r="A971" s="2252" t="s">
        <v>2020</v>
      </c>
      <c r="B971" s="2273" t="s">
        <v>2020</v>
      </c>
      <c r="D971" s="2252" t="b">
        <f t="shared" si="20"/>
        <v>1</v>
      </c>
    </row>
    <row r="972" spans="1:4">
      <c r="A972" s="2252" t="s">
        <v>715</v>
      </c>
      <c r="B972" s="2291" t="str">
        <f>报表附注!E1421</f>
        <v>一、原价合计</v>
      </c>
      <c r="C972" s="2260">
        <f>报表附注!F1421</f>
        <v>18000</v>
      </c>
      <c r="D972" s="2252" t="b">
        <f t="shared" ref="D972:D1035" si="21">EXACT(A972,B972)</f>
        <v>1</v>
      </c>
    </row>
    <row r="973" spans="1:4">
      <c r="A973" s="2252" t="s">
        <v>2128</v>
      </c>
      <c r="B973" s="2291" t="str">
        <f>报表附注!E1422</f>
        <v>1、土地使用权</v>
      </c>
      <c r="C973" s="2260">
        <f>报表附注!F1422</f>
        <v>0</v>
      </c>
      <c r="D973" s="2252" t="b">
        <f t="shared" si="21"/>
        <v>0</v>
      </c>
    </row>
    <row r="974" spans="1:4">
      <c r="A974" s="2252" t="s">
        <v>2129</v>
      </c>
      <c r="B974" s="2291" t="str">
        <f>报表附注!E1423</f>
        <v>2、软件</v>
      </c>
      <c r="C974" s="2260">
        <f>报表附注!F1423</f>
        <v>18000</v>
      </c>
      <c r="D974" s="2252" t="b">
        <f t="shared" si="21"/>
        <v>0</v>
      </c>
    </row>
    <row r="975" spans="1:4">
      <c r="A975" s="2252" t="s">
        <v>2130</v>
      </c>
      <c r="B975" s="2291" t="str">
        <f>报表附注!E1424</f>
        <v>3、专利权</v>
      </c>
      <c r="C975" s="2260">
        <f>报表附注!F1424</f>
        <v>0</v>
      </c>
      <c r="D975" s="2252" t="b">
        <f t="shared" si="21"/>
        <v>0</v>
      </c>
    </row>
    <row r="976" spans="1:4">
      <c r="A976" s="2252" t="s">
        <v>2131</v>
      </c>
      <c r="B976" s="2291" t="str">
        <f>报表附注!E1425</f>
        <v>4、其它</v>
      </c>
      <c r="C976" s="2260">
        <f>报表附注!F1425</f>
        <v>0</v>
      </c>
      <c r="D976" s="2252" t="b">
        <f t="shared" si="21"/>
        <v>0</v>
      </c>
    </row>
    <row r="977" spans="1:4">
      <c r="A977" s="2252" t="s">
        <v>2132</v>
      </c>
      <c r="B977" s="2291">
        <f>报表附注!E1426</f>
        <v>0</v>
      </c>
      <c r="C977" s="2260">
        <f>报表附注!F1426</f>
        <v>0</v>
      </c>
      <c r="D977" s="2252" t="b">
        <f t="shared" si="21"/>
        <v>0</v>
      </c>
    </row>
    <row r="978" spans="1:4">
      <c r="A978" s="2252" t="s">
        <v>2133</v>
      </c>
      <c r="B978" s="2291">
        <f>报表附注!E1427</f>
        <v>0</v>
      </c>
      <c r="C978" s="2260">
        <f>报表附注!F1427</f>
        <v>0</v>
      </c>
      <c r="D978" s="2252" t="b">
        <f t="shared" si="21"/>
        <v>0</v>
      </c>
    </row>
    <row r="979" spans="1:4">
      <c r="A979" s="2252" t="s">
        <v>2134</v>
      </c>
      <c r="B979" s="2291">
        <f>报表附注!E1428</f>
        <v>0</v>
      </c>
      <c r="C979" s="2260">
        <f>报表附注!F1428</f>
        <v>0</v>
      </c>
      <c r="D979" s="2252" t="b">
        <f t="shared" si="21"/>
        <v>0</v>
      </c>
    </row>
    <row r="980" spans="1:4">
      <c r="A980" s="2252" t="s">
        <v>2135</v>
      </c>
      <c r="B980" s="2291">
        <f>报表附注!E1429</f>
        <v>0</v>
      </c>
      <c r="C980" s="2260">
        <f>报表附注!F1429</f>
        <v>0</v>
      </c>
      <c r="D980" s="2252" t="b">
        <f t="shared" si="21"/>
        <v>0</v>
      </c>
    </row>
    <row r="981" spans="1:4">
      <c r="A981" s="2252" t="s">
        <v>2136</v>
      </c>
      <c r="B981" s="2291">
        <f>报表附注!E1430</f>
        <v>0</v>
      </c>
      <c r="C981" s="2260">
        <f>报表附注!F1430</f>
        <v>0</v>
      </c>
      <c r="D981" s="2252" t="b">
        <f t="shared" si="21"/>
        <v>0</v>
      </c>
    </row>
    <row r="982" spans="1:4">
      <c r="A982" s="2252" t="s">
        <v>2137</v>
      </c>
      <c r="B982" s="2291">
        <f>报表附注!E1431</f>
        <v>0</v>
      </c>
      <c r="C982" s="2260">
        <f>报表附注!F1431</f>
        <v>0</v>
      </c>
      <c r="D982" s="2252" t="b">
        <f t="shared" si="21"/>
        <v>0</v>
      </c>
    </row>
    <row r="983" spans="1:4">
      <c r="A983" s="2252" t="s">
        <v>2138</v>
      </c>
      <c r="B983" s="2291">
        <f>报表附注!E1432</f>
        <v>0</v>
      </c>
      <c r="C983" s="2260">
        <f>报表附注!F1432</f>
        <v>0</v>
      </c>
      <c r="D983" s="2252" t="b">
        <f t="shared" si="21"/>
        <v>0</v>
      </c>
    </row>
    <row r="984" spans="1:4">
      <c r="A984" s="2252" t="s">
        <v>2139</v>
      </c>
      <c r="B984" s="2291">
        <f>报表附注!E1433</f>
        <v>0</v>
      </c>
      <c r="C984" s="2260">
        <f>报表附注!F1433</f>
        <v>0</v>
      </c>
      <c r="D984" s="2252" t="b">
        <f t="shared" si="21"/>
        <v>0</v>
      </c>
    </row>
    <row r="985" spans="1:4">
      <c r="A985" s="2252" t="s">
        <v>2140</v>
      </c>
      <c r="B985" s="2291">
        <f>报表附注!E1434</f>
        <v>0</v>
      </c>
      <c r="C985" s="2260">
        <f>报表附注!F1434</f>
        <v>0</v>
      </c>
      <c r="D985" s="2252" t="b">
        <f t="shared" si="21"/>
        <v>0</v>
      </c>
    </row>
    <row r="986" spans="1:4">
      <c r="A986" s="2252" t="s">
        <v>2141</v>
      </c>
      <c r="B986" s="2291">
        <f>报表附注!E1435</f>
        <v>0</v>
      </c>
      <c r="C986" s="2260">
        <f>报表附注!F1435</f>
        <v>0</v>
      </c>
      <c r="D986" s="2252" t="b">
        <f t="shared" si="21"/>
        <v>0</v>
      </c>
    </row>
    <row r="987" spans="1:4">
      <c r="A987" s="2252" t="s">
        <v>905</v>
      </c>
      <c r="B987" s="2291" t="str">
        <f>报表附注!E1436</f>
        <v>二、累计摊销额合计</v>
      </c>
      <c r="C987" s="2260">
        <f>报表附注!F1436</f>
        <v>2000</v>
      </c>
      <c r="D987" s="2252" t="b">
        <f t="shared" si="21"/>
        <v>1</v>
      </c>
    </row>
    <row r="988" spans="1:4">
      <c r="A988" s="2252" t="s">
        <v>2128</v>
      </c>
      <c r="B988" s="2291" t="str">
        <f>报表附注!E1437</f>
        <v>1、土地使用权</v>
      </c>
      <c r="C988" s="2260">
        <f>报表附注!F1437</f>
        <v>0</v>
      </c>
      <c r="D988" s="2252" t="b">
        <f t="shared" si="21"/>
        <v>0</v>
      </c>
    </row>
    <row r="989" spans="1:4">
      <c r="A989" s="2252" t="s">
        <v>2129</v>
      </c>
      <c r="B989" s="2291" t="str">
        <f>报表附注!E1438</f>
        <v>2、软件</v>
      </c>
      <c r="C989" s="2260">
        <f>报表附注!F1438</f>
        <v>2000</v>
      </c>
      <c r="D989" s="2252" t="b">
        <f t="shared" si="21"/>
        <v>0</v>
      </c>
    </row>
    <row r="990" spans="1:4">
      <c r="A990" s="2252" t="s">
        <v>2130</v>
      </c>
      <c r="B990" s="2291" t="str">
        <f>报表附注!E1439</f>
        <v>3、专利权</v>
      </c>
      <c r="C990" s="2260">
        <f>报表附注!F1439</f>
        <v>0</v>
      </c>
      <c r="D990" s="2252" t="b">
        <f t="shared" si="21"/>
        <v>0</v>
      </c>
    </row>
    <row r="991" spans="1:4">
      <c r="A991" s="2252" t="s">
        <v>2131</v>
      </c>
      <c r="B991" s="2291" t="str">
        <f>报表附注!E1440</f>
        <v>4、其它</v>
      </c>
      <c r="C991" s="2260">
        <f>报表附注!F1440</f>
        <v>0</v>
      </c>
      <c r="D991" s="2252" t="b">
        <f t="shared" si="21"/>
        <v>0</v>
      </c>
    </row>
    <row r="992" spans="1:4">
      <c r="A992" s="2252" t="s">
        <v>2132</v>
      </c>
      <c r="B992" s="2291">
        <f>报表附注!E1441</f>
        <v>0</v>
      </c>
      <c r="C992" s="2260">
        <f>报表附注!F1441</f>
        <v>0</v>
      </c>
      <c r="D992" s="2252" t="b">
        <f t="shared" si="21"/>
        <v>0</v>
      </c>
    </row>
    <row r="993" spans="1:4">
      <c r="A993" s="2252" t="s">
        <v>2133</v>
      </c>
      <c r="B993" s="2291">
        <f>报表附注!E1442</f>
        <v>0</v>
      </c>
      <c r="C993" s="2260">
        <f>报表附注!F1442</f>
        <v>0</v>
      </c>
      <c r="D993" s="2252" t="b">
        <f t="shared" si="21"/>
        <v>0</v>
      </c>
    </row>
    <row r="994" spans="1:4">
      <c r="A994" s="2252" t="s">
        <v>2134</v>
      </c>
      <c r="B994" s="2291">
        <f>报表附注!E1443</f>
        <v>0</v>
      </c>
      <c r="C994" s="2260">
        <f>报表附注!F1443</f>
        <v>0</v>
      </c>
      <c r="D994" s="2252" t="b">
        <f t="shared" si="21"/>
        <v>0</v>
      </c>
    </row>
    <row r="995" spans="1:4">
      <c r="A995" s="2252" t="s">
        <v>2135</v>
      </c>
      <c r="B995" s="2291">
        <f>报表附注!E1444</f>
        <v>0</v>
      </c>
      <c r="C995" s="2260">
        <f>报表附注!F1444</f>
        <v>0</v>
      </c>
      <c r="D995" s="2252" t="b">
        <f t="shared" si="21"/>
        <v>0</v>
      </c>
    </row>
    <row r="996" spans="1:4">
      <c r="A996" s="2252" t="s">
        <v>2136</v>
      </c>
      <c r="B996" s="2291">
        <f>报表附注!E1445</f>
        <v>0</v>
      </c>
      <c r="C996" s="2260">
        <f>报表附注!F1445</f>
        <v>0</v>
      </c>
      <c r="D996" s="2252" t="b">
        <f t="shared" si="21"/>
        <v>0</v>
      </c>
    </row>
    <row r="997" spans="1:4">
      <c r="A997" s="2252" t="s">
        <v>2137</v>
      </c>
      <c r="B997" s="2291">
        <f>报表附注!E1446</f>
        <v>0</v>
      </c>
      <c r="C997" s="2260">
        <f>报表附注!F1446</f>
        <v>0</v>
      </c>
      <c r="D997" s="2252" t="b">
        <f t="shared" si="21"/>
        <v>0</v>
      </c>
    </row>
    <row r="998" spans="1:4">
      <c r="A998" s="2252" t="s">
        <v>2138</v>
      </c>
      <c r="B998" s="2291">
        <f>报表附注!E1447</f>
        <v>0</v>
      </c>
      <c r="C998" s="2260">
        <f>报表附注!F1447</f>
        <v>0</v>
      </c>
      <c r="D998" s="2252" t="b">
        <f t="shared" si="21"/>
        <v>0</v>
      </c>
    </row>
    <row r="999" spans="1:4">
      <c r="A999" s="2252" t="s">
        <v>2139</v>
      </c>
      <c r="B999" s="2291">
        <f>报表附注!E1448</f>
        <v>0</v>
      </c>
      <c r="C999" s="2260">
        <f>报表附注!F1448</f>
        <v>0</v>
      </c>
      <c r="D999" s="2252" t="b">
        <f t="shared" si="21"/>
        <v>0</v>
      </c>
    </row>
    <row r="1000" spans="1:4">
      <c r="A1000" s="2252" t="s">
        <v>2140</v>
      </c>
      <c r="B1000" s="2291">
        <f>报表附注!E1449</f>
        <v>0</v>
      </c>
      <c r="C1000" s="2260">
        <f>报表附注!F1449</f>
        <v>0</v>
      </c>
      <c r="D1000" s="2252" t="b">
        <f t="shared" si="21"/>
        <v>0</v>
      </c>
    </row>
    <row r="1001" spans="1:4">
      <c r="A1001" s="2252" t="s">
        <v>2141</v>
      </c>
      <c r="B1001" s="2291">
        <f>报表附注!E1450</f>
        <v>0</v>
      </c>
      <c r="C1001" s="2260">
        <f>报表附注!F1450</f>
        <v>0</v>
      </c>
      <c r="D1001" s="2252" t="b">
        <f t="shared" si="21"/>
        <v>0</v>
      </c>
    </row>
    <row r="1002" spans="1:4">
      <c r="A1002" s="2252" t="s">
        <v>908</v>
      </c>
      <c r="B1002" s="2291" t="str">
        <f>报表附注!E1451</f>
        <v>三、无形资产减值准备累计金额合计</v>
      </c>
      <c r="C1002" s="2260">
        <f>报表附注!F1451</f>
        <v>0</v>
      </c>
      <c r="D1002" s="2252" t="b">
        <f t="shared" si="21"/>
        <v>1</v>
      </c>
    </row>
    <row r="1003" spans="1:4">
      <c r="A1003" s="2252" t="s">
        <v>2128</v>
      </c>
      <c r="B1003" s="2291" t="str">
        <f>报表附注!E1452</f>
        <v>1、土地使用权</v>
      </c>
      <c r="C1003" s="2260">
        <f>报表附注!F1452</f>
        <v>0</v>
      </c>
      <c r="D1003" s="2252" t="b">
        <f t="shared" si="21"/>
        <v>0</v>
      </c>
    </row>
    <row r="1004" spans="1:4">
      <c r="A1004" s="2252" t="s">
        <v>2129</v>
      </c>
      <c r="B1004" s="2291" t="str">
        <f>报表附注!E1453</f>
        <v>2、软件</v>
      </c>
      <c r="C1004" s="2260">
        <f>报表附注!F1453</f>
        <v>0</v>
      </c>
      <c r="D1004" s="2252" t="b">
        <f t="shared" si="21"/>
        <v>0</v>
      </c>
    </row>
    <row r="1005" spans="1:4">
      <c r="A1005" s="2252" t="s">
        <v>2130</v>
      </c>
      <c r="B1005" s="2291" t="str">
        <f>报表附注!E1454</f>
        <v>3、专利权</v>
      </c>
      <c r="C1005" s="2260">
        <f>报表附注!F1454</f>
        <v>0</v>
      </c>
      <c r="D1005" s="2252" t="b">
        <f t="shared" si="21"/>
        <v>0</v>
      </c>
    </row>
    <row r="1006" spans="1:4">
      <c r="A1006" s="2252" t="s">
        <v>2131</v>
      </c>
      <c r="B1006" s="2291" t="str">
        <f>报表附注!E1455</f>
        <v>4、其它</v>
      </c>
      <c r="C1006" s="2260">
        <f>报表附注!F1455</f>
        <v>0</v>
      </c>
      <c r="D1006" s="2252" t="b">
        <f t="shared" si="21"/>
        <v>0</v>
      </c>
    </row>
    <row r="1007" spans="1:4">
      <c r="A1007" s="2252" t="s">
        <v>2132</v>
      </c>
      <c r="B1007" s="2291">
        <f>报表附注!E1456</f>
        <v>0</v>
      </c>
      <c r="C1007" s="2260">
        <f>报表附注!F1456</f>
        <v>0</v>
      </c>
      <c r="D1007" s="2252" t="b">
        <f t="shared" si="21"/>
        <v>0</v>
      </c>
    </row>
    <row r="1008" spans="1:4">
      <c r="A1008" s="2252" t="s">
        <v>2133</v>
      </c>
      <c r="B1008" s="2291">
        <f>报表附注!E1457</f>
        <v>0</v>
      </c>
      <c r="C1008" s="2260">
        <f>报表附注!F1457</f>
        <v>0</v>
      </c>
      <c r="D1008" s="2252" t="b">
        <f t="shared" si="21"/>
        <v>0</v>
      </c>
    </row>
    <row r="1009" spans="1:4">
      <c r="A1009" s="2252" t="s">
        <v>2134</v>
      </c>
      <c r="B1009" s="2291">
        <f>报表附注!E1458</f>
        <v>0</v>
      </c>
      <c r="C1009" s="2260">
        <f>报表附注!F1458</f>
        <v>0</v>
      </c>
      <c r="D1009" s="2252" t="b">
        <f t="shared" si="21"/>
        <v>0</v>
      </c>
    </row>
    <row r="1010" spans="1:4">
      <c r="A1010" s="2252" t="s">
        <v>2135</v>
      </c>
      <c r="B1010" s="2291">
        <f>报表附注!E1459</f>
        <v>0</v>
      </c>
      <c r="C1010" s="2260">
        <f>报表附注!F1459</f>
        <v>0</v>
      </c>
      <c r="D1010" s="2252" t="b">
        <f t="shared" si="21"/>
        <v>0</v>
      </c>
    </row>
    <row r="1011" spans="1:4">
      <c r="A1011" s="2252" t="s">
        <v>2136</v>
      </c>
      <c r="B1011" s="2291">
        <f>报表附注!E1460</f>
        <v>0</v>
      </c>
      <c r="C1011" s="2260">
        <f>报表附注!F1460</f>
        <v>0</v>
      </c>
      <c r="D1011" s="2252" t="b">
        <f t="shared" si="21"/>
        <v>0</v>
      </c>
    </row>
    <row r="1012" spans="1:4">
      <c r="A1012" s="2252" t="s">
        <v>2137</v>
      </c>
      <c r="B1012" s="2291">
        <f>报表附注!E1461</f>
        <v>0</v>
      </c>
      <c r="C1012" s="2260">
        <f>报表附注!F1461</f>
        <v>0</v>
      </c>
      <c r="D1012" s="2252" t="b">
        <f t="shared" si="21"/>
        <v>0</v>
      </c>
    </row>
    <row r="1013" spans="1:4">
      <c r="A1013" s="2252" t="s">
        <v>2138</v>
      </c>
      <c r="B1013" s="2291">
        <f>报表附注!E1462</f>
        <v>0</v>
      </c>
      <c r="C1013" s="2260">
        <f>报表附注!F1462</f>
        <v>0</v>
      </c>
      <c r="D1013" s="2252" t="b">
        <f t="shared" si="21"/>
        <v>0</v>
      </c>
    </row>
    <row r="1014" spans="1:4">
      <c r="A1014" s="2252" t="s">
        <v>2139</v>
      </c>
      <c r="B1014" s="2291">
        <f>报表附注!E1463</f>
        <v>0</v>
      </c>
      <c r="C1014" s="2260">
        <f>报表附注!F1463</f>
        <v>0</v>
      </c>
      <c r="D1014" s="2252" t="b">
        <f t="shared" si="21"/>
        <v>0</v>
      </c>
    </row>
    <row r="1015" spans="1:4">
      <c r="A1015" s="2252" t="s">
        <v>2140</v>
      </c>
      <c r="B1015" s="2291">
        <f>报表附注!E1464</f>
        <v>0</v>
      </c>
      <c r="C1015" s="2260">
        <f>报表附注!F1464</f>
        <v>0</v>
      </c>
      <c r="D1015" s="2252" t="b">
        <f t="shared" si="21"/>
        <v>0</v>
      </c>
    </row>
    <row r="1016" spans="1:4">
      <c r="A1016" s="2252" t="s">
        <v>2141</v>
      </c>
      <c r="B1016" s="2291">
        <f>报表附注!E1465</f>
        <v>0</v>
      </c>
      <c r="C1016" s="2260">
        <f>报表附注!F1465</f>
        <v>0</v>
      </c>
      <c r="D1016" s="2252" t="b">
        <f t="shared" si="21"/>
        <v>0</v>
      </c>
    </row>
    <row r="1017" spans="1:4">
      <c r="A1017" s="2252" t="s">
        <v>672</v>
      </c>
      <c r="B1017" s="2296" t="s">
        <v>672</v>
      </c>
      <c r="D1017" s="2252" t="b">
        <f t="shared" si="21"/>
        <v>1</v>
      </c>
    </row>
    <row r="1018" spans="1:4">
      <c r="A1018" s="2252" t="s">
        <v>715</v>
      </c>
      <c r="B1018" s="2291" t="str">
        <f>报表附注!E1421</f>
        <v>一、原价合计</v>
      </c>
      <c r="C1018" s="2260">
        <f>报表附注!G1421</f>
        <v>0</v>
      </c>
      <c r="D1018" s="2252" t="b">
        <f t="shared" si="21"/>
        <v>1</v>
      </c>
    </row>
    <row r="1019" spans="1:4">
      <c r="A1019" s="2252" t="s">
        <v>2128</v>
      </c>
      <c r="B1019" s="2291" t="str">
        <f>报表附注!E1422</f>
        <v>1、土地使用权</v>
      </c>
      <c r="C1019" s="2260">
        <f>报表附注!G1422</f>
        <v>0</v>
      </c>
      <c r="D1019" s="2252" t="b">
        <f t="shared" si="21"/>
        <v>0</v>
      </c>
    </row>
    <row r="1020" spans="1:4">
      <c r="A1020" s="2252" t="s">
        <v>2129</v>
      </c>
      <c r="B1020" s="2291" t="str">
        <f>报表附注!E1423</f>
        <v>2、软件</v>
      </c>
      <c r="C1020" s="2260">
        <f>报表附注!G1423</f>
        <v>0</v>
      </c>
      <c r="D1020" s="2252" t="b">
        <f t="shared" si="21"/>
        <v>0</v>
      </c>
    </row>
    <row r="1021" spans="1:4">
      <c r="A1021" s="2252" t="s">
        <v>2130</v>
      </c>
      <c r="B1021" s="2291" t="str">
        <f>报表附注!E1424</f>
        <v>3、专利权</v>
      </c>
      <c r="C1021" s="2260">
        <f>报表附注!G1424</f>
        <v>0</v>
      </c>
      <c r="D1021" s="2252" t="b">
        <f t="shared" si="21"/>
        <v>0</v>
      </c>
    </row>
    <row r="1022" spans="1:4">
      <c r="A1022" s="2252" t="s">
        <v>2131</v>
      </c>
      <c r="B1022" s="2291" t="str">
        <f>报表附注!E1425</f>
        <v>4、其它</v>
      </c>
      <c r="C1022" s="2260">
        <f>报表附注!G1425</f>
        <v>0</v>
      </c>
      <c r="D1022" s="2252" t="b">
        <f t="shared" si="21"/>
        <v>0</v>
      </c>
    </row>
    <row r="1023" spans="1:4">
      <c r="A1023" s="2252" t="s">
        <v>2132</v>
      </c>
      <c r="B1023" s="2291">
        <f>报表附注!E1426</f>
        <v>0</v>
      </c>
      <c r="C1023" s="2260">
        <f>报表附注!G1426</f>
        <v>0</v>
      </c>
      <c r="D1023" s="2252" t="b">
        <f t="shared" si="21"/>
        <v>0</v>
      </c>
    </row>
    <row r="1024" spans="1:4">
      <c r="A1024" s="2252" t="s">
        <v>2133</v>
      </c>
      <c r="B1024" s="2291">
        <f>报表附注!E1427</f>
        <v>0</v>
      </c>
      <c r="C1024" s="2260">
        <f>报表附注!G1427</f>
        <v>0</v>
      </c>
      <c r="D1024" s="2252" t="b">
        <f t="shared" si="21"/>
        <v>0</v>
      </c>
    </row>
    <row r="1025" spans="1:4">
      <c r="A1025" s="2252" t="s">
        <v>2134</v>
      </c>
      <c r="B1025" s="2291">
        <f>报表附注!E1428</f>
        <v>0</v>
      </c>
      <c r="C1025" s="2260">
        <f>报表附注!G1428</f>
        <v>0</v>
      </c>
      <c r="D1025" s="2252" t="b">
        <f t="shared" si="21"/>
        <v>0</v>
      </c>
    </row>
    <row r="1026" spans="1:4">
      <c r="A1026" s="2252" t="s">
        <v>2135</v>
      </c>
      <c r="B1026" s="2291">
        <f>报表附注!E1429</f>
        <v>0</v>
      </c>
      <c r="C1026" s="2260">
        <f>报表附注!G1429</f>
        <v>0</v>
      </c>
      <c r="D1026" s="2252" t="b">
        <f t="shared" si="21"/>
        <v>0</v>
      </c>
    </row>
    <row r="1027" spans="1:4">
      <c r="A1027" s="2252" t="s">
        <v>2136</v>
      </c>
      <c r="B1027" s="2291">
        <f>报表附注!E1430</f>
        <v>0</v>
      </c>
      <c r="C1027" s="2260">
        <f>报表附注!G1430</f>
        <v>0</v>
      </c>
      <c r="D1027" s="2252" t="b">
        <f t="shared" si="21"/>
        <v>0</v>
      </c>
    </row>
    <row r="1028" spans="1:4">
      <c r="A1028" s="2252" t="s">
        <v>2137</v>
      </c>
      <c r="B1028" s="2291">
        <f>报表附注!E1431</f>
        <v>0</v>
      </c>
      <c r="C1028" s="2260">
        <f>报表附注!G1431</f>
        <v>0</v>
      </c>
      <c r="D1028" s="2252" t="b">
        <f t="shared" si="21"/>
        <v>0</v>
      </c>
    </row>
    <row r="1029" spans="1:4">
      <c r="A1029" s="2252" t="s">
        <v>2138</v>
      </c>
      <c r="B1029" s="2291">
        <f>报表附注!E1432</f>
        <v>0</v>
      </c>
      <c r="C1029" s="2260">
        <f>报表附注!G1432</f>
        <v>0</v>
      </c>
      <c r="D1029" s="2252" t="b">
        <f t="shared" si="21"/>
        <v>0</v>
      </c>
    </row>
    <row r="1030" spans="1:4">
      <c r="A1030" s="2252" t="s">
        <v>2139</v>
      </c>
      <c r="B1030" s="2291">
        <f>报表附注!E1433</f>
        <v>0</v>
      </c>
      <c r="C1030" s="2260">
        <f>报表附注!G1433</f>
        <v>0</v>
      </c>
      <c r="D1030" s="2252" t="b">
        <f t="shared" si="21"/>
        <v>0</v>
      </c>
    </row>
    <row r="1031" spans="1:4">
      <c r="A1031" s="2252" t="s">
        <v>2140</v>
      </c>
      <c r="B1031" s="2291">
        <f>报表附注!E1434</f>
        <v>0</v>
      </c>
      <c r="C1031" s="2260">
        <f>报表附注!G1434</f>
        <v>0</v>
      </c>
      <c r="D1031" s="2252" t="b">
        <f t="shared" si="21"/>
        <v>0</v>
      </c>
    </row>
    <row r="1032" spans="1:4">
      <c r="A1032" s="2252" t="s">
        <v>2141</v>
      </c>
      <c r="B1032" s="2291">
        <f>报表附注!E1435</f>
        <v>0</v>
      </c>
      <c r="C1032" s="2260">
        <f>报表附注!G1435</f>
        <v>0</v>
      </c>
      <c r="D1032" s="2252" t="b">
        <f t="shared" si="21"/>
        <v>0</v>
      </c>
    </row>
    <row r="1033" spans="1:4">
      <c r="A1033" s="2252" t="s">
        <v>905</v>
      </c>
      <c r="B1033" s="2291" t="str">
        <f>报表附注!E1436</f>
        <v>二、累计摊销额合计</v>
      </c>
      <c r="C1033" s="2260">
        <f>报表附注!G1436</f>
        <v>6000</v>
      </c>
      <c r="D1033" s="2252" t="b">
        <f t="shared" si="21"/>
        <v>1</v>
      </c>
    </row>
    <row r="1034" spans="1:4">
      <c r="A1034" s="2252" t="s">
        <v>2128</v>
      </c>
      <c r="B1034" s="2291" t="str">
        <f>报表附注!E1437</f>
        <v>1、土地使用权</v>
      </c>
      <c r="C1034" s="2260">
        <f>报表附注!G1437</f>
        <v>0</v>
      </c>
      <c r="D1034" s="2252" t="b">
        <f t="shared" si="21"/>
        <v>0</v>
      </c>
    </row>
    <row r="1035" spans="1:4">
      <c r="A1035" s="2252" t="s">
        <v>2129</v>
      </c>
      <c r="B1035" s="2291" t="str">
        <f>报表附注!E1438</f>
        <v>2、软件</v>
      </c>
      <c r="C1035" s="2260">
        <f>报表附注!G1438</f>
        <v>6000</v>
      </c>
      <c r="D1035" s="2252" t="b">
        <f t="shared" si="21"/>
        <v>0</v>
      </c>
    </row>
    <row r="1036" spans="1:4">
      <c r="A1036" s="2252" t="s">
        <v>2130</v>
      </c>
      <c r="B1036" s="2291" t="str">
        <f>报表附注!E1439</f>
        <v>3、专利权</v>
      </c>
      <c r="C1036" s="2260">
        <f>报表附注!G1439</f>
        <v>0</v>
      </c>
      <c r="D1036" s="2252" t="b">
        <f t="shared" ref="D1036:D1099" si="22">EXACT(A1036,B1036)</f>
        <v>0</v>
      </c>
    </row>
    <row r="1037" spans="1:4">
      <c r="A1037" s="2252" t="s">
        <v>2131</v>
      </c>
      <c r="B1037" s="2291" t="str">
        <f>报表附注!E1440</f>
        <v>4、其它</v>
      </c>
      <c r="C1037" s="2260">
        <f>报表附注!G1440</f>
        <v>0</v>
      </c>
      <c r="D1037" s="2252" t="b">
        <f t="shared" si="22"/>
        <v>0</v>
      </c>
    </row>
    <row r="1038" spans="1:4">
      <c r="A1038" s="2252" t="s">
        <v>2132</v>
      </c>
      <c r="B1038" s="2291">
        <f>报表附注!E1441</f>
        <v>0</v>
      </c>
      <c r="C1038" s="2260">
        <f>报表附注!G1441</f>
        <v>0</v>
      </c>
      <c r="D1038" s="2252" t="b">
        <f t="shared" si="22"/>
        <v>0</v>
      </c>
    </row>
    <row r="1039" spans="1:4">
      <c r="A1039" s="2252" t="s">
        <v>2133</v>
      </c>
      <c r="B1039" s="2291">
        <f>报表附注!E1442</f>
        <v>0</v>
      </c>
      <c r="C1039" s="2260">
        <f>报表附注!G1442</f>
        <v>0</v>
      </c>
      <c r="D1039" s="2252" t="b">
        <f t="shared" si="22"/>
        <v>0</v>
      </c>
    </row>
    <row r="1040" spans="1:4">
      <c r="A1040" s="2252" t="s">
        <v>2134</v>
      </c>
      <c r="B1040" s="2291">
        <f>报表附注!E1443</f>
        <v>0</v>
      </c>
      <c r="C1040" s="2260">
        <f>报表附注!G1443</f>
        <v>0</v>
      </c>
      <c r="D1040" s="2252" t="b">
        <f t="shared" si="22"/>
        <v>0</v>
      </c>
    </row>
    <row r="1041" spans="1:4">
      <c r="A1041" s="2252" t="s">
        <v>2135</v>
      </c>
      <c r="B1041" s="2291">
        <f>报表附注!E1444</f>
        <v>0</v>
      </c>
      <c r="C1041" s="2260">
        <f>报表附注!G1444</f>
        <v>0</v>
      </c>
      <c r="D1041" s="2252" t="b">
        <f t="shared" si="22"/>
        <v>0</v>
      </c>
    </row>
    <row r="1042" spans="1:4">
      <c r="A1042" s="2252" t="s">
        <v>2136</v>
      </c>
      <c r="B1042" s="2291">
        <f>报表附注!E1445</f>
        <v>0</v>
      </c>
      <c r="C1042" s="2260">
        <f>报表附注!G1445</f>
        <v>0</v>
      </c>
      <c r="D1042" s="2252" t="b">
        <f t="shared" si="22"/>
        <v>0</v>
      </c>
    </row>
    <row r="1043" spans="1:4">
      <c r="A1043" s="2252" t="s">
        <v>2137</v>
      </c>
      <c r="B1043" s="2291">
        <f>报表附注!E1446</f>
        <v>0</v>
      </c>
      <c r="C1043" s="2260">
        <f>报表附注!G1446</f>
        <v>0</v>
      </c>
      <c r="D1043" s="2252" t="b">
        <f t="shared" si="22"/>
        <v>0</v>
      </c>
    </row>
    <row r="1044" spans="1:4">
      <c r="A1044" s="2252" t="s">
        <v>2138</v>
      </c>
      <c r="B1044" s="2291">
        <f>报表附注!E1447</f>
        <v>0</v>
      </c>
      <c r="C1044" s="2260">
        <f>报表附注!G1447</f>
        <v>0</v>
      </c>
      <c r="D1044" s="2252" t="b">
        <f t="shared" si="22"/>
        <v>0</v>
      </c>
    </row>
    <row r="1045" spans="1:4">
      <c r="A1045" s="2252" t="s">
        <v>2139</v>
      </c>
      <c r="B1045" s="2291">
        <f>报表附注!E1448</f>
        <v>0</v>
      </c>
      <c r="C1045" s="2260">
        <f>报表附注!G1448</f>
        <v>0</v>
      </c>
      <c r="D1045" s="2252" t="b">
        <f t="shared" si="22"/>
        <v>0</v>
      </c>
    </row>
    <row r="1046" spans="1:4">
      <c r="A1046" s="2252" t="s">
        <v>2140</v>
      </c>
      <c r="B1046" s="2291">
        <f>报表附注!E1449</f>
        <v>0</v>
      </c>
      <c r="C1046" s="2260">
        <f>报表附注!G1449</f>
        <v>0</v>
      </c>
      <c r="D1046" s="2252" t="b">
        <f t="shared" si="22"/>
        <v>0</v>
      </c>
    </row>
    <row r="1047" spans="1:4">
      <c r="A1047" s="2252" t="s">
        <v>2141</v>
      </c>
      <c r="B1047" s="2291">
        <f>报表附注!E1450</f>
        <v>0</v>
      </c>
      <c r="C1047" s="2260">
        <f>报表附注!G1450</f>
        <v>0</v>
      </c>
      <c r="D1047" s="2252" t="b">
        <f t="shared" si="22"/>
        <v>0</v>
      </c>
    </row>
    <row r="1048" spans="1:4">
      <c r="A1048" s="2252" t="s">
        <v>908</v>
      </c>
      <c r="B1048" s="2291" t="str">
        <f>报表附注!E1451</f>
        <v>三、无形资产减值准备累计金额合计</v>
      </c>
      <c r="C1048" s="2260">
        <f>报表附注!G1451</f>
        <v>0</v>
      </c>
      <c r="D1048" s="2252" t="b">
        <f t="shared" si="22"/>
        <v>1</v>
      </c>
    </row>
    <row r="1049" spans="1:4">
      <c r="A1049" s="2252" t="s">
        <v>2128</v>
      </c>
      <c r="B1049" s="2291" t="str">
        <f>报表附注!E1452</f>
        <v>1、土地使用权</v>
      </c>
      <c r="C1049" s="2260">
        <f>报表附注!G1452</f>
        <v>0</v>
      </c>
      <c r="D1049" s="2252" t="b">
        <f t="shared" si="22"/>
        <v>0</v>
      </c>
    </row>
    <row r="1050" spans="1:4">
      <c r="A1050" s="2252" t="s">
        <v>2129</v>
      </c>
      <c r="B1050" s="2291" t="str">
        <f>报表附注!E1453</f>
        <v>2、软件</v>
      </c>
      <c r="C1050" s="2260">
        <f>报表附注!G1453</f>
        <v>0</v>
      </c>
      <c r="D1050" s="2252" t="b">
        <f t="shared" si="22"/>
        <v>0</v>
      </c>
    </row>
    <row r="1051" spans="1:4">
      <c r="A1051" s="2252" t="s">
        <v>2130</v>
      </c>
      <c r="B1051" s="2291" t="str">
        <f>报表附注!E1454</f>
        <v>3、专利权</v>
      </c>
      <c r="C1051" s="2260">
        <f>报表附注!G1454</f>
        <v>0</v>
      </c>
      <c r="D1051" s="2252" t="b">
        <f t="shared" si="22"/>
        <v>0</v>
      </c>
    </row>
    <row r="1052" spans="1:4">
      <c r="A1052" s="2252" t="s">
        <v>2131</v>
      </c>
      <c r="B1052" s="2291" t="str">
        <f>报表附注!E1455</f>
        <v>4、其它</v>
      </c>
      <c r="C1052" s="2260">
        <f>报表附注!G1455</f>
        <v>0</v>
      </c>
      <c r="D1052" s="2252" t="b">
        <f t="shared" si="22"/>
        <v>0</v>
      </c>
    </row>
    <row r="1053" spans="1:4">
      <c r="A1053" s="2252" t="s">
        <v>2132</v>
      </c>
      <c r="B1053" s="2291">
        <f>报表附注!E1456</f>
        <v>0</v>
      </c>
      <c r="C1053" s="2260">
        <f>报表附注!G1456</f>
        <v>0</v>
      </c>
      <c r="D1053" s="2252" t="b">
        <f t="shared" si="22"/>
        <v>0</v>
      </c>
    </row>
    <row r="1054" spans="1:4">
      <c r="A1054" s="2252" t="s">
        <v>2133</v>
      </c>
      <c r="B1054" s="2291">
        <f>报表附注!E1457</f>
        <v>0</v>
      </c>
      <c r="C1054" s="2260">
        <f>报表附注!G1457</f>
        <v>0</v>
      </c>
      <c r="D1054" s="2252" t="b">
        <f t="shared" si="22"/>
        <v>0</v>
      </c>
    </row>
    <row r="1055" spans="1:4">
      <c r="A1055" s="2252" t="s">
        <v>2134</v>
      </c>
      <c r="B1055" s="2291">
        <f>报表附注!E1458</f>
        <v>0</v>
      </c>
      <c r="C1055" s="2260">
        <f>报表附注!G1458</f>
        <v>0</v>
      </c>
      <c r="D1055" s="2252" t="b">
        <f t="shared" si="22"/>
        <v>0</v>
      </c>
    </row>
    <row r="1056" spans="1:4">
      <c r="A1056" s="2252" t="s">
        <v>2135</v>
      </c>
      <c r="B1056" s="2291">
        <f>报表附注!E1459</f>
        <v>0</v>
      </c>
      <c r="C1056" s="2260">
        <f>报表附注!G1459</f>
        <v>0</v>
      </c>
      <c r="D1056" s="2252" t="b">
        <f t="shared" si="22"/>
        <v>0</v>
      </c>
    </row>
    <row r="1057" spans="1:4">
      <c r="A1057" s="2252" t="s">
        <v>2136</v>
      </c>
      <c r="B1057" s="2291">
        <f>报表附注!E1460</f>
        <v>0</v>
      </c>
      <c r="C1057" s="2260">
        <f>报表附注!G1460</f>
        <v>0</v>
      </c>
      <c r="D1057" s="2252" t="b">
        <f t="shared" si="22"/>
        <v>0</v>
      </c>
    </row>
    <row r="1058" spans="1:4">
      <c r="A1058" s="2252" t="s">
        <v>2137</v>
      </c>
      <c r="B1058" s="2291">
        <f>报表附注!E1461</f>
        <v>0</v>
      </c>
      <c r="C1058" s="2260">
        <f>报表附注!G1461</f>
        <v>0</v>
      </c>
      <c r="D1058" s="2252" t="b">
        <f t="shared" si="22"/>
        <v>0</v>
      </c>
    </row>
    <row r="1059" spans="1:4">
      <c r="A1059" s="2252" t="s">
        <v>2138</v>
      </c>
      <c r="B1059" s="2291">
        <f>报表附注!E1462</f>
        <v>0</v>
      </c>
      <c r="C1059" s="2260">
        <f>报表附注!G1462</f>
        <v>0</v>
      </c>
      <c r="D1059" s="2252" t="b">
        <f t="shared" si="22"/>
        <v>0</v>
      </c>
    </row>
    <row r="1060" spans="1:4">
      <c r="A1060" s="2252" t="s">
        <v>2139</v>
      </c>
      <c r="B1060" s="2291">
        <f>报表附注!E1463</f>
        <v>0</v>
      </c>
      <c r="C1060" s="2260">
        <f>报表附注!G1463</f>
        <v>0</v>
      </c>
      <c r="D1060" s="2252" t="b">
        <f t="shared" si="22"/>
        <v>0</v>
      </c>
    </row>
    <row r="1061" spans="1:4">
      <c r="A1061" s="2252" t="s">
        <v>2140</v>
      </c>
      <c r="B1061" s="2291">
        <f>报表附注!E1464</f>
        <v>0</v>
      </c>
      <c r="C1061" s="2260">
        <f>报表附注!G1464</f>
        <v>0</v>
      </c>
      <c r="D1061" s="2252" t="b">
        <f t="shared" si="22"/>
        <v>0</v>
      </c>
    </row>
    <row r="1062" spans="1:4">
      <c r="A1062" s="2252" t="s">
        <v>2141</v>
      </c>
      <c r="B1062" s="2291">
        <f>报表附注!E1465</f>
        <v>0</v>
      </c>
      <c r="C1062" s="2260">
        <f>报表附注!G1465</f>
        <v>0</v>
      </c>
      <c r="D1062" s="2252" t="b">
        <f t="shared" si="22"/>
        <v>0</v>
      </c>
    </row>
    <row r="1063" spans="1:4">
      <c r="A1063" s="2252" t="s">
        <v>673</v>
      </c>
      <c r="B1063" s="2296" t="s">
        <v>673</v>
      </c>
      <c r="D1063" s="2252" t="b">
        <f t="shared" si="22"/>
        <v>1</v>
      </c>
    </row>
    <row r="1064" spans="1:4">
      <c r="A1064" s="2252" t="s">
        <v>715</v>
      </c>
      <c r="B1064" s="2291" t="str">
        <f>报表附注!E1421</f>
        <v>一、原价合计</v>
      </c>
      <c r="C1064" s="2260">
        <f>报表附注!H1421</f>
        <v>0</v>
      </c>
      <c r="D1064" s="2252" t="b">
        <f t="shared" si="22"/>
        <v>1</v>
      </c>
    </row>
    <row r="1065" spans="1:4">
      <c r="A1065" s="2252" t="s">
        <v>2128</v>
      </c>
      <c r="B1065" s="2291" t="str">
        <f>报表附注!E1422</f>
        <v>1、土地使用权</v>
      </c>
      <c r="C1065" s="2260">
        <f>报表附注!H1422</f>
        <v>0</v>
      </c>
      <c r="D1065" s="2252" t="b">
        <f t="shared" si="22"/>
        <v>0</v>
      </c>
    </row>
    <row r="1066" spans="1:4">
      <c r="A1066" s="2252" t="s">
        <v>2129</v>
      </c>
      <c r="B1066" s="2291" t="str">
        <f>报表附注!E1423</f>
        <v>2、软件</v>
      </c>
      <c r="C1066" s="2260">
        <f>报表附注!H1423</f>
        <v>0</v>
      </c>
      <c r="D1066" s="2252" t="b">
        <f t="shared" si="22"/>
        <v>0</v>
      </c>
    </row>
    <row r="1067" spans="1:4">
      <c r="A1067" s="2252" t="s">
        <v>2130</v>
      </c>
      <c r="B1067" s="2291" t="str">
        <f>报表附注!E1424</f>
        <v>3、专利权</v>
      </c>
      <c r="C1067" s="2260">
        <f>报表附注!H1424</f>
        <v>0</v>
      </c>
      <c r="D1067" s="2252" t="b">
        <f t="shared" si="22"/>
        <v>0</v>
      </c>
    </row>
    <row r="1068" spans="1:4">
      <c r="A1068" s="2252" t="s">
        <v>2131</v>
      </c>
      <c r="B1068" s="2291" t="str">
        <f>报表附注!E1425</f>
        <v>4、其它</v>
      </c>
      <c r="C1068" s="2260">
        <f>报表附注!H1425</f>
        <v>0</v>
      </c>
      <c r="D1068" s="2252" t="b">
        <f t="shared" si="22"/>
        <v>0</v>
      </c>
    </row>
    <row r="1069" spans="1:4">
      <c r="A1069" s="2252" t="s">
        <v>2132</v>
      </c>
      <c r="B1069" s="2291">
        <f>报表附注!E1426</f>
        <v>0</v>
      </c>
      <c r="C1069" s="2260">
        <f>报表附注!H1426</f>
        <v>0</v>
      </c>
      <c r="D1069" s="2252" t="b">
        <f t="shared" si="22"/>
        <v>0</v>
      </c>
    </row>
    <row r="1070" spans="1:4">
      <c r="A1070" s="2252" t="s">
        <v>2133</v>
      </c>
      <c r="B1070" s="2291">
        <f>报表附注!E1427</f>
        <v>0</v>
      </c>
      <c r="C1070" s="2260">
        <f>报表附注!H1427</f>
        <v>0</v>
      </c>
      <c r="D1070" s="2252" t="b">
        <f t="shared" si="22"/>
        <v>0</v>
      </c>
    </row>
    <row r="1071" spans="1:4">
      <c r="A1071" s="2252" t="s">
        <v>2134</v>
      </c>
      <c r="B1071" s="2291">
        <f>报表附注!E1428</f>
        <v>0</v>
      </c>
      <c r="C1071" s="2260">
        <f>报表附注!H1428</f>
        <v>0</v>
      </c>
      <c r="D1071" s="2252" t="b">
        <f t="shared" si="22"/>
        <v>0</v>
      </c>
    </row>
    <row r="1072" spans="1:4">
      <c r="A1072" s="2252" t="s">
        <v>2135</v>
      </c>
      <c r="B1072" s="2291">
        <f>报表附注!E1429</f>
        <v>0</v>
      </c>
      <c r="C1072" s="2260">
        <f>报表附注!H1429</f>
        <v>0</v>
      </c>
      <c r="D1072" s="2252" t="b">
        <f t="shared" si="22"/>
        <v>0</v>
      </c>
    </row>
    <row r="1073" spans="1:4">
      <c r="A1073" s="2252" t="s">
        <v>2136</v>
      </c>
      <c r="B1073" s="2291">
        <f>报表附注!E1430</f>
        <v>0</v>
      </c>
      <c r="C1073" s="2260">
        <f>报表附注!H1430</f>
        <v>0</v>
      </c>
      <c r="D1073" s="2252" t="b">
        <f t="shared" si="22"/>
        <v>0</v>
      </c>
    </row>
    <row r="1074" spans="1:4">
      <c r="A1074" s="2252" t="s">
        <v>2137</v>
      </c>
      <c r="B1074" s="2291">
        <f>报表附注!E1431</f>
        <v>0</v>
      </c>
      <c r="C1074" s="2260">
        <f>报表附注!H1431</f>
        <v>0</v>
      </c>
      <c r="D1074" s="2252" t="b">
        <f t="shared" si="22"/>
        <v>0</v>
      </c>
    </row>
    <row r="1075" spans="1:4">
      <c r="A1075" s="2252" t="s">
        <v>2138</v>
      </c>
      <c r="B1075" s="2291">
        <f>报表附注!E1432</f>
        <v>0</v>
      </c>
      <c r="C1075" s="2260">
        <f>报表附注!H1432</f>
        <v>0</v>
      </c>
      <c r="D1075" s="2252" t="b">
        <f t="shared" si="22"/>
        <v>0</v>
      </c>
    </row>
    <row r="1076" spans="1:4">
      <c r="A1076" s="2252" t="s">
        <v>2139</v>
      </c>
      <c r="B1076" s="2291">
        <f>报表附注!E1433</f>
        <v>0</v>
      </c>
      <c r="C1076" s="2260">
        <f>报表附注!H1433</f>
        <v>0</v>
      </c>
      <c r="D1076" s="2252" t="b">
        <f t="shared" si="22"/>
        <v>0</v>
      </c>
    </row>
    <row r="1077" spans="1:4">
      <c r="A1077" s="2252" t="s">
        <v>2140</v>
      </c>
      <c r="B1077" s="2291">
        <f>报表附注!E1434</f>
        <v>0</v>
      </c>
      <c r="C1077" s="2260">
        <f>报表附注!H1434</f>
        <v>0</v>
      </c>
      <c r="D1077" s="2252" t="b">
        <f t="shared" si="22"/>
        <v>0</v>
      </c>
    </row>
    <row r="1078" spans="1:4">
      <c r="A1078" s="2252" t="s">
        <v>2141</v>
      </c>
      <c r="B1078" s="2291">
        <f>报表附注!E1435</f>
        <v>0</v>
      </c>
      <c r="C1078" s="2260">
        <f>报表附注!H1435</f>
        <v>0</v>
      </c>
      <c r="D1078" s="2252" t="b">
        <f t="shared" si="22"/>
        <v>0</v>
      </c>
    </row>
    <row r="1079" spans="1:4">
      <c r="A1079" s="2252" t="s">
        <v>905</v>
      </c>
      <c r="B1079" s="2291" t="str">
        <f>报表附注!E1436</f>
        <v>二、累计摊销额合计</v>
      </c>
      <c r="C1079" s="2260">
        <f>报表附注!H1436</f>
        <v>0</v>
      </c>
      <c r="D1079" s="2252" t="b">
        <f t="shared" si="22"/>
        <v>1</v>
      </c>
    </row>
    <row r="1080" spans="1:4">
      <c r="A1080" s="2252" t="s">
        <v>2128</v>
      </c>
      <c r="B1080" s="2291" t="str">
        <f>报表附注!E1437</f>
        <v>1、土地使用权</v>
      </c>
      <c r="C1080" s="2260">
        <f>报表附注!H1437</f>
        <v>0</v>
      </c>
      <c r="D1080" s="2252" t="b">
        <f t="shared" si="22"/>
        <v>0</v>
      </c>
    </row>
    <row r="1081" spans="1:4">
      <c r="A1081" s="2252" t="s">
        <v>2129</v>
      </c>
      <c r="B1081" s="2291" t="str">
        <f>报表附注!E1438</f>
        <v>2、软件</v>
      </c>
      <c r="C1081" s="2260">
        <f>报表附注!H1438</f>
        <v>0</v>
      </c>
      <c r="D1081" s="2252" t="b">
        <f t="shared" si="22"/>
        <v>0</v>
      </c>
    </row>
    <row r="1082" spans="1:4">
      <c r="A1082" s="2252" t="s">
        <v>2130</v>
      </c>
      <c r="B1082" s="2291" t="str">
        <f>报表附注!E1439</f>
        <v>3、专利权</v>
      </c>
      <c r="C1082" s="2260">
        <f>报表附注!H1439</f>
        <v>0</v>
      </c>
      <c r="D1082" s="2252" t="b">
        <f t="shared" si="22"/>
        <v>0</v>
      </c>
    </row>
    <row r="1083" spans="1:4">
      <c r="A1083" s="2252" t="s">
        <v>2131</v>
      </c>
      <c r="B1083" s="2291" t="str">
        <f>报表附注!E1440</f>
        <v>4、其它</v>
      </c>
      <c r="C1083" s="2260">
        <f>报表附注!H1440</f>
        <v>0</v>
      </c>
      <c r="D1083" s="2252" t="b">
        <f t="shared" si="22"/>
        <v>0</v>
      </c>
    </row>
    <row r="1084" spans="1:4">
      <c r="A1084" s="2252" t="s">
        <v>2132</v>
      </c>
      <c r="B1084" s="2291">
        <f>报表附注!E1441</f>
        <v>0</v>
      </c>
      <c r="C1084" s="2260">
        <f>报表附注!H1441</f>
        <v>0</v>
      </c>
      <c r="D1084" s="2252" t="b">
        <f t="shared" si="22"/>
        <v>0</v>
      </c>
    </row>
    <row r="1085" spans="1:4">
      <c r="A1085" s="2252" t="s">
        <v>2133</v>
      </c>
      <c r="B1085" s="2291">
        <f>报表附注!E1442</f>
        <v>0</v>
      </c>
      <c r="C1085" s="2260">
        <f>报表附注!H1442</f>
        <v>0</v>
      </c>
      <c r="D1085" s="2252" t="b">
        <f t="shared" si="22"/>
        <v>0</v>
      </c>
    </row>
    <row r="1086" spans="1:4">
      <c r="A1086" s="2252" t="s">
        <v>2134</v>
      </c>
      <c r="B1086" s="2291">
        <f>报表附注!E1443</f>
        <v>0</v>
      </c>
      <c r="C1086" s="2260">
        <f>报表附注!H1443</f>
        <v>0</v>
      </c>
      <c r="D1086" s="2252" t="b">
        <f t="shared" si="22"/>
        <v>0</v>
      </c>
    </row>
    <row r="1087" spans="1:4">
      <c r="A1087" s="2252" t="s">
        <v>2135</v>
      </c>
      <c r="B1087" s="2291">
        <f>报表附注!E1444</f>
        <v>0</v>
      </c>
      <c r="C1087" s="2260">
        <f>报表附注!H1444</f>
        <v>0</v>
      </c>
      <c r="D1087" s="2252" t="b">
        <f t="shared" si="22"/>
        <v>0</v>
      </c>
    </row>
    <row r="1088" spans="1:4">
      <c r="A1088" s="2252" t="s">
        <v>2136</v>
      </c>
      <c r="B1088" s="2291">
        <f>报表附注!E1445</f>
        <v>0</v>
      </c>
      <c r="C1088" s="2260">
        <f>报表附注!H1445</f>
        <v>0</v>
      </c>
      <c r="D1088" s="2252" t="b">
        <f t="shared" si="22"/>
        <v>0</v>
      </c>
    </row>
    <row r="1089" spans="1:4">
      <c r="A1089" s="2252" t="s">
        <v>2137</v>
      </c>
      <c r="B1089" s="2291">
        <f>报表附注!E1446</f>
        <v>0</v>
      </c>
      <c r="C1089" s="2260">
        <f>报表附注!H1446</f>
        <v>0</v>
      </c>
      <c r="D1089" s="2252" t="b">
        <f t="shared" si="22"/>
        <v>0</v>
      </c>
    </row>
    <row r="1090" spans="1:4">
      <c r="A1090" s="2252" t="s">
        <v>2138</v>
      </c>
      <c r="B1090" s="2291">
        <f>报表附注!E1447</f>
        <v>0</v>
      </c>
      <c r="C1090" s="2260">
        <f>报表附注!H1447</f>
        <v>0</v>
      </c>
      <c r="D1090" s="2252" t="b">
        <f t="shared" si="22"/>
        <v>0</v>
      </c>
    </row>
    <row r="1091" spans="1:4">
      <c r="A1091" s="2252" t="s">
        <v>2139</v>
      </c>
      <c r="B1091" s="2291">
        <f>报表附注!E1448</f>
        <v>0</v>
      </c>
      <c r="C1091" s="2260">
        <f>报表附注!H1448</f>
        <v>0</v>
      </c>
      <c r="D1091" s="2252" t="b">
        <f t="shared" si="22"/>
        <v>0</v>
      </c>
    </row>
    <row r="1092" spans="1:4">
      <c r="A1092" s="2252" t="s">
        <v>2140</v>
      </c>
      <c r="B1092" s="2291">
        <f>报表附注!E1449</f>
        <v>0</v>
      </c>
      <c r="C1092" s="2260">
        <f>报表附注!H1449</f>
        <v>0</v>
      </c>
      <c r="D1092" s="2252" t="b">
        <f t="shared" si="22"/>
        <v>0</v>
      </c>
    </row>
    <row r="1093" spans="1:4">
      <c r="A1093" s="2252" t="s">
        <v>2141</v>
      </c>
      <c r="B1093" s="2291">
        <f>报表附注!E1450</f>
        <v>0</v>
      </c>
      <c r="C1093" s="2260">
        <f>报表附注!H1450</f>
        <v>0</v>
      </c>
      <c r="D1093" s="2252" t="b">
        <f t="shared" si="22"/>
        <v>0</v>
      </c>
    </row>
    <row r="1094" spans="1:4">
      <c r="A1094" s="2252" t="s">
        <v>908</v>
      </c>
      <c r="B1094" s="2291" t="str">
        <f>报表附注!E1451</f>
        <v>三、无形资产减值准备累计金额合计</v>
      </c>
      <c r="C1094" s="2260">
        <f>报表附注!H1451</f>
        <v>0</v>
      </c>
      <c r="D1094" s="2252" t="b">
        <f t="shared" si="22"/>
        <v>1</v>
      </c>
    </row>
    <row r="1095" spans="1:4">
      <c r="A1095" s="2252" t="s">
        <v>2128</v>
      </c>
      <c r="B1095" s="2291" t="str">
        <f>报表附注!E1452</f>
        <v>1、土地使用权</v>
      </c>
      <c r="C1095" s="2260">
        <f>报表附注!H1452</f>
        <v>0</v>
      </c>
      <c r="D1095" s="2252" t="b">
        <f t="shared" si="22"/>
        <v>0</v>
      </c>
    </row>
    <row r="1096" spans="1:4">
      <c r="A1096" s="2252" t="s">
        <v>2129</v>
      </c>
      <c r="B1096" s="2291" t="str">
        <f>报表附注!E1453</f>
        <v>2、软件</v>
      </c>
      <c r="C1096" s="2260">
        <f>报表附注!H1453</f>
        <v>0</v>
      </c>
      <c r="D1096" s="2252" t="b">
        <f t="shared" si="22"/>
        <v>0</v>
      </c>
    </row>
    <row r="1097" spans="1:4">
      <c r="A1097" s="2252" t="s">
        <v>2130</v>
      </c>
      <c r="B1097" s="2291" t="str">
        <f>报表附注!E1454</f>
        <v>3、专利权</v>
      </c>
      <c r="C1097" s="2260">
        <f>报表附注!H1454</f>
        <v>0</v>
      </c>
      <c r="D1097" s="2252" t="b">
        <f t="shared" si="22"/>
        <v>0</v>
      </c>
    </row>
    <row r="1098" spans="1:4">
      <c r="A1098" s="2252" t="s">
        <v>2131</v>
      </c>
      <c r="B1098" s="2291" t="str">
        <f>报表附注!E1455</f>
        <v>4、其它</v>
      </c>
      <c r="C1098" s="2260">
        <f>报表附注!H1455</f>
        <v>0</v>
      </c>
      <c r="D1098" s="2252" t="b">
        <f t="shared" si="22"/>
        <v>0</v>
      </c>
    </row>
    <row r="1099" spans="1:4">
      <c r="A1099" s="2252" t="s">
        <v>2132</v>
      </c>
      <c r="B1099" s="2291">
        <f>报表附注!E1456</f>
        <v>0</v>
      </c>
      <c r="C1099" s="2260">
        <f>报表附注!H1456</f>
        <v>0</v>
      </c>
      <c r="D1099" s="2252" t="b">
        <f t="shared" si="22"/>
        <v>0</v>
      </c>
    </row>
    <row r="1100" spans="1:4">
      <c r="A1100" s="2252" t="s">
        <v>2133</v>
      </c>
      <c r="B1100" s="2291">
        <f>报表附注!E1457</f>
        <v>0</v>
      </c>
      <c r="C1100" s="2260">
        <f>报表附注!H1457</f>
        <v>0</v>
      </c>
      <c r="D1100" s="2252" t="b">
        <f t="shared" ref="D1100:D1163" si="23">EXACT(A1100,B1100)</f>
        <v>0</v>
      </c>
    </row>
    <row r="1101" spans="1:4">
      <c r="A1101" s="2252" t="s">
        <v>2134</v>
      </c>
      <c r="B1101" s="2291">
        <f>报表附注!E1458</f>
        <v>0</v>
      </c>
      <c r="C1101" s="2260">
        <f>报表附注!H1458</f>
        <v>0</v>
      </c>
      <c r="D1101" s="2252" t="b">
        <f t="shared" si="23"/>
        <v>0</v>
      </c>
    </row>
    <row r="1102" spans="1:4">
      <c r="A1102" s="2252" t="s">
        <v>2135</v>
      </c>
      <c r="B1102" s="2291">
        <f>报表附注!E1459</f>
        <v>0</v>
      </c>
      <c r="C1102" s="2260">
        <f>报表附注!H1459</f>
        <v>0</v>
      </c>
      <c r="D1102" s="2252" t="b">
        <f t="shared" si="23"/>
        <v>0</v>
      </c>
    </row>
    <row r="1103" spans="1:4">
      <c r="A1103" s="2252" t="s">
        <v>2136</v>
      </c>
      <c r="B1103" s="2291">
        <f>报表附注!E1460</f>
        <v>0</v>
      </c>
      <c r="C1103" s="2260">
        <f>报表附注!H1460</f>
        <v>0</v>
      </c>
      <c r="D1103" s="2252" t="b">
        <f t="shared" si="23"/>
        <v>0</v>
      </c>
    </row>
    <row r="1104" spans="1:4">
      <c r="A1104" s="2252" t="s">
        <v>2137</v>
      </c>
      <c r="B1104" s="2291">
        <f>报表附注!E1461</f>
        <v>0</v>
      </c>
      <c r="C1104" s="2260">
        <f>报表附注!H1461</f>
        <v>0</v>
      </c>
      <c r="D1104" s="2252" t="b">
        <f t="shared" si="23"/>
        <v>0</v>
      </c>
    </row>
    <row r="1105" spans="1:4">
      <c r="A1105" s="2252" t="s">
        <v>2138</v>
      </c>
      <c r="B1105" s="2291">
        <f>报表附注!E1462</f>
        <v>0</v>
      </c>
      <c r="C1105" s="2260">
        <f>报表附注!H1462</f>
        <v>0</v>
      </c>
      <c r="D1105" s="2252" t="b">
        <f t="shared" si="23"/>
        <v>0</v>
      </c>
    </row>
    <row r="1106" spans="1:4">
      <c r="A1106" s="2252" t="s">
        <v>2139</v>
      </c>
      <c r="B1106" s="2291">
        <f>报表附注!E1463</f>
        <v>0</v>
      </c>
      <c r="C1106" s="2260">
        <f>报表附注!H1463</f>
        <v>0</v>
      </c>
      <c r="D1106" s="2252" t="b">
        <f t="shared" si="23"/>
        <v>0</v>
      </c>
    </row>
    <row r="1107" spans="1:4">
      <c r="A1107" s="2252" t="s">
        <v>2140</v>
      </c>
      <c r="B1107" s="2291">
        <f>报表附注!E1464</f>
        <v>0</v>
      </c>
      <c r="C1107" s="2260">
        <f>报表附注!H1464</f>
        <v>0</v>
      </c>
      <c r="D1107" s="2252" t="b">
        <f t="shared" si="23"/>
        <v>0</v>
      </c>
    </row>
    <row r="1108" spans="1:4">
      <c r="A1108" s="2252" t="s">
        <v>2141</v>
      </c>
      <c r="B1108" s="2291">
        <f>报表附注!E1465</f>
        <v>0</v>
      </c>
      <c r="C1108" s="2260">
        <f>报表附注!H1465</f>
        <v>0</v>
      </c>
      <c r="D1108" s="2252" t="b">
        <f t="shared" si="23"/>
        <v>0</v>
      </c>
    </row>
    <row r="1109" spans="1:4">
      <c r="A1109" s="2252" t="s">
        <v>516</v>
      </c>
      <c r="B1109" s="2296" t="s">
        <v>516</v>
      </c>
      <c r="C1109" s="2289"/>
      <c r="D1109" s="2252" t="b">
        <f t="shared" si="23"/>
        <v>1</v>
      </c>
    </row>
    <row r="1110" spans="1:4">
      <c r="A1110" s="2252" t="s">
        <v>715</v>
      </c>
      <c r="B1110" s="2291" t="str">
        <f>报表附注!E1421</f>
        <v>一、原价合计</v>
      </c>
      <c r="C1110" s="2260">
        <f>报表附注!I1421</f>
        <v>18000</v>
      </c>
      <c r="D1110" s="2252" t="b">
        <f t="shared" si="23"/>
        <v>1</v>
      </c>
    </row>
    <row r="1111" spans="1:4">
      <c r="A1111" s="2252" t="s">
        <v>2128</v>
      </c>
      <c r="B1111" s="2291" t="str">
        <f>报表附注!E1422</f>
        <v>1、土地使用权</v>
      </c>
      <c r="C1111" s="2260">
        <f>报表附注!I1422</f>
        <v>0</v>
      </c>
      <c r="D1111" s="2252" t="b">
        <f t="shared" si="23"/>
        <v>0</v>
      </c>
    </row>
    <row r="1112" spans="1:4">
      <c r="A1112" s="2252" t="s">
        <v>2129</v>
      </c>
      <c r="B1112" s="2291" t="str">
        <f>报表附注!E1423</f>
        <v>2、软件</v>
      </c>
      <c r="C1112" s="2260">
        <f>报表附注!I1423</f>
        <v>18000</v>
      </c>
      <c r="D1112" s="2252" t="b">
        <f t="shared" si="23"/>
        <v>0</v>
      </c>
    </row>
    <row r="1113" spans="1:4">
      <c r="A1113" s="2252" t="s">
        <v>2130</v>
      </c>
      <c r="B1113" s="2291" t="str">
        <f>报表附注!E1424</f>
        <v>3、专利权</v>
      </c>
      <c r="C1113" s="2260">
        <f>报表附注!I1424</f>
        <v>0</v>
      </c>
      <c r="D1113" s="2252" t="b">
        <f t="shared" si="23"/>
        <v>0</v>
      </c>
    </row>
    <row r="1114" spans="1:4">
      <c r="A1114" s="2252" t="s">
        <v>2131</v>
      </c>
      <c r="B1114" s="2291" t="str">
        <f>报表附注!E1425</f>
        <v>4、其它</v>
      </c>
      <c r="C1114" s="2260">
        <f>报表附注!I1425</f>
        <v>0</v>
      </c>
      <c r="D1114" s="2252" t="b">
        <f t="shared" si="23"/>
        <v>0</v>
      </c>
    </row>
    <row r="1115" spans="1:4">
      <c r="A1115" s="2252" t="s">
        <v>2132</v>
      </c>
      <c r="B1115" s="2291">
        <f>报表附注!E1426</f>
        <v>0</v>
      </c>
      <c r="C1115" s="2260">
        <f>报表附注!I1426</f>
        <v>0</v>
      </c>
      <c r="D1115" s="2252" t="b">
        <f t="shared" si="23"/>
        <v>0</v>
      </c>
    </row>
    <row r="1116" spans="1:4">
      <c r="A1116" s="2252" t="s">
        <v>2133</v>
      </c>
      <c r="B1116" s="2291">
        <f>报表附注!E1427</f>
        <v>0</v>
      </c>
      <c r="C1116" s="2260">
        <f>报表附注!I1427</f>
        <v>0</v>
      </c>
      <c r="D1116" s="2252" t="b">
        <f t="shared" si="23"/>
        <v>0</v>
      </c>
    </row>
    <row r="1117" spans="1:4">
      <c r="A1117" s="2252" t="s">
        <v>2134</v>
      </c>
      <c r="B1117" s="2291">
        <f>报表附注!E1428</f>
        <v>0</v>
      </c>
      <c r="C1117" s="2260">
        <f>报表附注!I1428</f>
        <v>0</v>
      </c>
      <c r="D1117" s="2252" t="b">
        <f t="shared" si="23"/>
        <v>0</v>
      </c>
    </row>
    <row r="1118" spans="1:4">
      <c r="A1118" s="2252" t="s">
        <v>2135</v>
      </c>
      <c r="B1118" s="2291">
        <f>报表附注!E1429</f>
        <v>0</v>
      </c>
      <c r="C1118" s="2260">
        <f>报表附注!I1429</f>
        <v>0</v>
      </c>
      <c r="D1118" s="2252" t="b">
        <f t="shared" si="23"/>
        <v>0</v>
      </c>
    </row>
    <row r="1119" spans="1:4">
      <c r="A1119" s="2252" t="s">
        <v>2136</v>
      </c>
      <c r="B1119" s="2291">
        <f>报表附注!E1430</f>
        <v>0</v>
      </c>
      <c r="C1119" s="2260">
        <f>报表附注!I1430</f>
        <v>0</v>
      </c>
      <c r="D1119" s="2252" t="b">
        <f t="shared" si="23"/>
        <v>0</v>
      </c>
    </row>
    <row r="1120" spans="1:4">
      <c r="A1120" s="2252" t="s">
        <v>2137</v>
      </c>
      <c r="B1120" s="2291">
        <f>报表附注!E1431</f>
        <v>0</v>
      </c>
      <c r="C1120" s="2260">
        <f>报表附注!I1431</f>
        <v>0</v>
      </c>
      <c r="D1120" s="2252" t="b">
        <f t="shared" si="23"/>
        <v>0</v>
      </c>
    </row>
    <row r="1121" spans="1:4">
      <c r="A1121" s="2252" t="s">
        <v>2138</v>
      </c>
      <c r="B1121" s="2291">
        <f>报表附注!E1432</f>
        <v>0</v>
      </c>
      <c r="C1121" s="2260">
        <f>报表附注!I1432</f>
        <v>0</v>
      </c>
      <c r="D1121" s="2252" t="b">
        <f t="shared" si="23"/>
        <v>0</v>
      </c>
    </row>
    <row r="1122" spans="1:4">
      <c r="A1122" s="2252" t="s">
        <v>2139</v>
      </c>
      <c r="B1122" s="2291">
        <f>报表附注!E1433</f>
        <v>0</v>
      </c>
      <c r="C1122" s="2260">
        <f>报表附注!I1433</f>
        <v>0</v>
      </c>
      <c r="D1122" s="2252" t="b">
        <f t="shared" si="23"/>
        <v>0</v>
      </c>
    </row>
    <row r="1123" spans="1:4">
      <c r="A1123" s="2252" t="s">
        <v>2140</v>
      </c>
      <c r="B1123" s="2291">
        <f>报表附注!E1434</f>
        <v>0</v>
      </c>
      <c r="C1123" s="2260">
        <f>报表附注!I1434</f>
        <v>0</v>
      </c>
      <c r="D1123" s="2252" t="b">
        <f t="shared" si="23"/>
        <v>0</v>
      </c>
    </row>
    <row r="1124" spans="1:4">
      <c r="A1124" s="2252" t="s">
        <v>2141</v>
      </c>
      <c r="B1124" s="2291">
        <f>报表附注!E1435</f>
        <v>0</v>
      </c>
      <c r="C1124" s="2260">
        <f>报表附注!I1435</f>
        <v>0</v>
      </c>
      <c r="D1124" s="2252" t="b">
        <f t="shared" si="23"/>
        <v>0</v>
      </c>
    </row>
    <row r="1125" spans="1:4">
      <c r="A1125" s="2252" t="s">
        <v>905</v>
      </c>
      <c r="B1125" s="2291" t="str">
        <f>报表附注!E1436</f>
        <v>二、累计摊销额合计</v>
      </c>
      <c r="C1125" s="2260">
        <f>报表附注!I1436</f>
        <v>8000</v>
      </c>
      <c r="D1125" s="2252" t="b">
        <f t="shared" si="23"/>
        <v>1</v>
      </c>
    </row>
    <row r="1126" spans="1:4">
      <c r="A1126" s="2252" t="s">
        <v>2128</v>
      </c>
      <c r="B1126" s="2291" t="str">
        <f>报表附注!E1437</f>
        <v>1、土地使用权</v>
      </c>
      <c r="C1126" s="2260">
        <f>报表附注!I1437</f>
        <v>0</v>
      </c>
      <c r="D1126" s="2252" t="b">
        <f t="shared" si="23"/>
        <v>0</v>
      </c>
    </row>
    <row r="1127" spans="1:4">
      <c r="A1127" s="2252" t="s">
        <v>2129</v>
      </c>
      <c r="B1127" s="2291" t="str">
        <f>报表附注!E1438</f>
        <v>2、软件</v>
      </c>
      <c r="C1127" s="2260">
        <f>报表附注!I1438</f>
        <v>8000</v>
      </c>
      <c r="D1127" s="2252" t="b">
        <f t="shared" si="23"/>
        <v>0</v>
      </c>
    </row>
    <row r="1128" spans="1:4">
      <c r="A1128" s="2252" t="s">
        <v>2130</v>
      </c>
      <c r="B1128" s="2291" t="str">
        <f>报表附注!E1439</f>
        <v>3、专利权</v>
      </c>
      <c r="C1128" s="2260">
        <f>报表附注!I1439</f>
        <v>0</v>
      </c>
      <c r="D1128" s="2252" t="b">
        <f t="shared" si="23"/>
        <v>0</v>
      </c>
    </row>
    <row r="1129" spans="1:4">
      <c r="A1129" s="2252" t="s">
        <v>2131</v>
      </c>
      <c r="B1129" s="2291" t="str">
        <f>报表附注!E1440</f>
        <v>4、其它</v>
      </c>
      <c r="C1129" s="2260">
        <f>报表附注!I1440</f>
        <v>0</v>
      </c>
      <c r="D1129" s="2252" t="b">
        <f t="shared" si="23"/>
        <v>0</v>
      </c>
    </row>
    <row r="1130" spans="1:4">
      <c r="A1130" s="2252" t="s">
        <v>2132</v>
      </c>
      <c r="B1130" s="2291">
        <f>报表附注!E1441</f>
        <v>0</v>
      </c>
      <c r="C1130" s="2260">
        <f>报表附注!I1441</f>
        <v>0</v>
      </c>
      <c r="D1130" s="2252" t="b">
        <f t="shared" si="23"/>
        <v>0</v>
      </c>
    </row>
    <row r="1131" spans="1:4">
      <c r="A1131" s="2252" t="s">
        <v>2133</v>
      </c>
      <c r="B1131" s="2291">
        <f>报表附注!E1442</f>
        <v>0</v>
      </c>
      <c r="C1131" s="2260">
        <f>报表附注!I1442</f>
        <v>0</v>
      </c>
      <c r="D1131" s="2252" t="b">
        <f t="shared" si="23"/>
        <v>0</v>
      </c>
    </row>
    <row r="1132" spans="1:4">
      <c r="A1132" s="2252" t="s">
        <v>2134</v>
      </c>
      <c r="B1132" s="2291">
        <f>报表附注!E1443</f>
        <v>0</v>
      </c>
      <c r="C1132" s="2260">
        <f>报表附注!I1443</f>
        <v>0</v>
      </c>
      <c r="D1132" s="2252" t="b">
        <f t="shared" si="23"/>
        <v>0</v>
      </c>
    </row>
    <row r="1133" spans="1:4">
      <c r="A1133" s="2252" t="s">
        <v>2135</v>
      </c>
      <c r="B1133" s="2291">
        <f>报表附注!E1444</f>
        <v>0</v>
      </c>
      <c r="C1133" s="2260">
        <f>报表附注!I1444</f>
        <v>0</v>
      </c>
      <c r="D1133" s="2252" t="b">
        <f t="shared" si="23"/>
        <v>0</v>
      </c>
    </row>
    <row r="1134" spans="1:4">
      <c r="A1134" s="2252" t="s">
        <v>2136</v>
      </c>
      <c r="B1134" s="2291">
        <f>报表附注!E1445</f>
        <v>0</v>
      </c>
      <c r="C1134" s="2260">
        <f>报表附注!I1445</f>
        <v>0</v>
      </c>
      <c r="D1134" s="2252" t="b">
        <f t="shared" si="23"/>
        <v>0</v>
      </c>
    </row>
    <row r="1135" spans="1:4">
      <c r="A1135" s="2252" t="s">
        <v>2137</v>
      </c>
      <c r="B1135" s="2291">
        <f>报表附注!E1446</f>
        <v>0</v>
      </c>
      <c r="C1135" s="2260">
        <f>报表附注!I1446</f>
        <v>0</v>
      </c>
      <c r="D1135" s="2252" t="b">
        <f t="shared" si="23"/>
        <v>0</v>
      </c>
    </row>
    <row r="1136" spans="1:4">
      <c r="A1136" s="2252" t="s">
        <v>2138</v>
      </c>
      <c r="B1136" s="2291">
        <f>报表附注!E1447</f>
        <v>0</v>
      </c>
      <c r="C1136" s="2260">
        <f>报表附注!I1447</f>
        <v>0</v>
      </c>
      <c r="D1136" s="2252" t="b">
        <f t="shared" si="23"/>
        <v>0</v>
      </c>
    </row>
    <row r="1137" spans="1:4">
      <c r="A1137" s="2252" t="s">
        <v>2139</v>
      </c>
      <c r="B1137" s="2291">
        <f>报表附注!E1448</f>
        <v>0</v>
      </c>
      <c r="C1137" s="2260">
        <f>报表附注!I1448</f>
        <v>0</v>
      </c>
      <c r="D1137" s="2252" t="b">
        <f t="shared" si="23"/>
        <v>0</v>
      </c>
    </row>
    <row r="1138" spans="1:4">
      <c r="A1138" s="2252" t="s">
        <v>2140</v>
      </c>
      <c r="B1138" s="2291">
        <f>报表附注!E1449</f>
        <v>0</v>
      </c>
      <c r="C1138" s="2260">
        <f>报表附注!I1449</f>
        <v>0</v>
      </c>
      <c r="D1138" s="2252" t="b">
        <f t="shared" si="23"/>
        <v>0</v>
      </c>
    </row>
    <row r="1139" spans="1:4">
      <c r="A1139" s="2252" t="s">
        <v>2141</v>
      </c>
      <c r="B1139" s="2291">
        <f>报表附注!E1450</f>
        <v>0</v>
      </c>
      <c r="C1139" s="2260">
        <f>报表附注!I1450</f>
        <v>0</v>
      </c>
      <c r="D1139" s="2252" t="b">
        <f t="shared" si="23"/>
        <v>0</v>
      </c>
    </row>
    <row r="1140" spans="1:4">
      <c r="A1140" s="2252" t="s">
        <v>908</v>
      </c>
      <c r="B1140" s="2291" t="str">
        <f>报表附注!E1451</f>
        <v>三、无形资产减值准备累计金额合计</v>
      </c>
      <c r="C1140" s="2260">
        <f>报表附注!I1451</f>
        <v>0</v>
      </c>
      <c r="D1140" s="2252" t="b">
        <f t="shared" si="23"/>
        <v>1</v>
      </c>
    </row>
    <row r="1141" spans="1:4">
      <c r="A1141" s="2252" t="s">
        <v>2128</v>
      </c>
      <c r="B1141" s="2291" t="str">
        <f>报表附注!E1452</f>
        <v>1、土地使用权</v>
      </c>
      <c r="C1141" s="2260">
        <f>报表附注!I1452</f>
        <v>0</v>
      </c>
      <c r="D1141" s="2252" t="b">
        <f t="shared" si="23"/>
        <v>0</v>
      </c>
    </row>
    <row r="1142" spans="1:4">
      <c r="A1142" s="2252" t="s">
        <v>2129</v>
      </c>
      <c r="B1142" s="2291" t="str">
        <f>报表附注!E1453</f>
        <v>2、软件</v>
      </c>
      <c r="C1142" s="2260">
        <f>报表附注!I1453</f>
        <v>0</v>
      </c>
      <c r="D1142" s="2252" t="b">
        <f t="shared" si="23"/>
        <v>0</v>
      </c>
    </row>
    <row r="1143" spans="1:4">
      <c r="A1143" s="2252" t="s">
        <v>2130</v>
      </c>
      <c r="B1143" s="2291" t="str">
        <f>报表附注!E1454</f>
        <v>3、专利权</v>
      </c>
      <c r="C1143" s="2260">
        <f>报表附注!I1454</f>
        <v>0</v>
      </c>
      <c r="D1143" s="2252" t="b">
        <f t="shared" si="23"/>
        <v>0</v>
      </c>
    </row>
    <row r="1144" spans="1:4">
      <c r="A1144" s="2252" t="s">
        <v>2131</v>
      </c>
      <c r="B1144" s="2291" t="str">
        <f>报表附注!E1455</f>
        <v>4、其它</v>
      </c>
      <c r="C1144" s="2260">
        <f>报表附注!I1455</f>
        <v>0</v>
      </c>
      <c r="D1144" s="2252" t="b">
        <f t="shared" si="23"/>
        <v>0</v>
      </c>
    </row>
    <row r="1145" spans="1:4">
      <c r="A1145" s="2252" t="s">
        <v>2132</v>
      </c>
      <c r="B1145" s="2291">
        <f>报表附注!E1456</f>
        <v>0</v>
      </c>
      <c r="C1145" s="2260">
        <f>报表附注!I1456</f>
        <v>0</v>
      </c>
      <c r="D1145" s="2252" t="b">
        <f t="shared" si="23"/>
        <v>0</v>
      </c>
    </row>
    <row r="1146" spans="1:4">
      <c r="A1146" s="2252" t="s">
        <v>2133</v>
      </c>
      <c r="B1146" s="2291">
        <f>报表附注!E1457</f>
        <v>0</v>
      </c>
      <c r="C1146" s="2260">
        <f>报表附注!I1457</f>
        <v>0</v>
      </c>
      <c r="D1146" s="2252" t="b">
        <f t="shared" si="23"/>
        <v>0</v>
      </c>
    </row>
    <row r="1147" spans="1:4">
      <c r="A1147" s="2252" t="s">
        <v>2134</v>
      </c>
      <c r="B1147" s="2291">
        <f>报表附注!E1458</f>
        <v>0</v>
      </c>
      <c r="C1147" s="2260">
        <f>报表附注!I1458</f>
        <v>0</v>
      </c>
      <c r="D1147" s="2252" t="b">
        <f t="shared" si="23"/>
        <v>0</v>
      </c>
    </row>
    <row r="1148" spans="1:4">
      <c r="A1148" s="2252" t="s">
        <v>2135</v>
      </c>
      <c r="B1148" s="2291">
        <f>报表附注!E1459</f>
        <v>0</v>
      </c>
      <c r="C1148" s="2260">
        <f>报表附注!I1459</f>
        <v>0</v>
      </c>
      <c r="D1148" s="2252" t="b">
        <f t="shared" si="23"/>
        <v>0</v>
      </c>
    </row>
    <row r="1149" spans="1:4">
      <c r="A1149" s="2252" t="s">
        <v>2136</v>
      </c>
      <c r="B1149" s="2291">
        <f>报表附注!E1460</f>
        <v>0</v>
      </c>
      <c r="C1149" s="2260">
        <f>报表附注!I1460</f>
        <v>0</v>
      </c>
      <c r="D1149" s="2252" t="b">
        <f t="shared" si="23"/>
        <v>0</v>
      </c>
    </row>
    <row r="1150" spans="1:4">
      <c r="A1150" s="2252" t="s">
        <v>2137</v>
      </c>
      <c r="B1150" s="2291">
        <f>报表附注!E1461</f>
        <v>0</v>
      </c>
      <c r="C1150" s="2260">
        <f>报表附注!I1461</f>
        <v>0</v>
      </c>
      <c r="D1150" s="2252" t="b">
        <f t="shared" si="23"/>
        <v>0</v>
      </c>
    </row>
    <row r="1151" spans="1:4">
      <c r="A1151" s="2252" t="s">
        <v>2138</v>
      </c>
      <c r="B1151" s="2291">
        <f>报表附注!E1462</f>
        <v>0</v>
      </c>
      <c r="C1151" s="2260">
        <f>报表附注!I1462</f>
        <v>0</v>
      </c>
      <c r="D1151" s="2252" t="b">
        <f t="shared" si="23"/>
        <v>0</v>
      </c>
    </row>
    <row r="1152" spans="1:4">
      <c r="A1152" s="2252" t="s">
        <v>2139</v>
      </c>
      <c r="B1152" s="2291">
        <f>报表附注!E1463</f>
        <v>0</v>
      </c>
      <c r="C1152" s="2260">
        <f>报表附注!I1463</f>
        <v>0</v>
      </c>
      <c r="D1152" s="2252" t="b">
        <f t="shared" si="23"/>
        <v>0</v>
      </c>
    </row>
    <row r="1153" spans="1:4">
      <c r="A1153" s="2252" t="s">
        <v>2140</v>
      </c>
      <c r="B1153" s="2291">
        <f>报表附注!E1464</f>
        <v>0</v>
      </c>
      <c r="C1153" s="2260">
        <f>报表附注!I1464</f>
        <v>0</v>
      </c>
      <c r="D1153" s="2252" t="b">
        <f t="shared" si="23"/>
        <v>0</v>
      </c>
    </row>
    <row r="1154" spans="1:4">
      <c r="A1154" s="2252" t="s">
        <v>2141</v>
      </c>
      <c r="B1154" s="2291">
        <f>报表附注!E1465</f>
        <v>0</v>
      </c>
      <c r="C1154" s="2260">
        <f>报表附注!I1465</f>
        <v>0</v>
      </c>
      <c r="D1154" s="2252" t="b">
        <f t="shared" si="23"/>
        <v>0</v>
      </c>
    </row>
    <row r="1155" spans="1:4">
      <c r="A1155" s="2252" t="s">
        <v>911</v>
      </c>
      <c r="B1155" s="2291" t="str">
        <f>报表附注!E1466</f>
        <v>四、无形资产账面价值合计</v>
      </c>
      <c r="C1155" s="2260">
        <f>报表附注!I1466</f>
        <v>10000</v>
      </c>
      <c r="D1155" s="2252" t="b">
        <f t="shared" si="23"/>
        <v>1</v>
      </c>
    </row>
    <row r="1156" spans="1:4">
      <c r="A1156" s="2252" t="s">
        <v>2128</v>
      </c>
      <c r="B1156" s="2291" t="str">
        <f>报表附注!E1467</f>
        <v>1、土地使用权</v>
      </c>
      <c r="C1156" s="2260">
        <f>报表附注!I1467</f>
        <v>0</v>
      </c>
      <c r="D1156" s="2252" t="b">
        <f t="shared" si="23"/>
        <v>0</v>
      </c>
    </row>
    <row r="1157" spans="1:4">
      <c r="A1157" s="2252" t="s">
        <v>2129</v>
      </c>
      <c r="B1157" s="2291" t="str">
        <f>报表附注!E1468</f>
        <v>2、软件</v>
      </c>
      <c r="C1157" s="2260">
        <f>报表附注!I1468</f>
        <v>10000</v>
      </c>
      <c r="D1157" s="2252" t="b">
        <f t="shared" si="23"/>
        <v>0</v>
      </c>
    </row>
    <row r="1158" spans="1:4">
      <c r="A1158" s="2252" t="s">
        <v>2130</v>
      </c>
      <c r="B1158" s="2291" t="str">
        <f>报表附注!E1469</f>
        <v>3、专利权</v>
      </c>
      <c r="C1158" s="2260">
        <f>报表附注!I1469</f>
        <v>0</v>
      </c>
      <c r="D1158" s="2252" t="b">
        <f t="shared" si="23"/>
        <v>0</v>
      </c>
    </row>
    <row r="1159" spans="1:4">
      <c r="A1159" s="2252" t="s">
        <v>2131</v>
      </c>
      <c r="B1159" s="2291" t="str">
        <f>报表附注!E1470</f>
        <v>4、其它</v>
      </c>
      <c r="C1159" s="2260">
        <f>报表附注!I1470</f>
        <v>0</v>
      </c>
      <c r="D1159" s="2252" t="b">
        <f t="shared" si="23"/>
        <v>0</v>
      </c>
    </row>
    <row r="1160" spans="1:4">
      <c r="A1160" s="2252" t="s">
        <v>2132</v>
      </c>
      <c r="B1160" s="2291">
        <f>报表附注!E1471</f>
        <v>0</v>
      </c>
      <c r="C1160" s="2260">
        <f>报表附注!I1471</f>
        <v>0</v>
      </c>
      <c r="D1160" s="2252" t="b">
        <f t="shared" si="23"/>
        <v>0</v>
      </c>
    </row>
    <row r="1161" spans="1:4">
      <c r="A1161" s="2252" t="s">
        <v>2133</v>
      </c>
      <c r="B1161" s="2291">
        <f>报表附注!E1472</f>
        <v>0</v>
      </c>
      <c r="C1161" s="2260">
        <f>报表附注!I1472</f>
        <v>0</v>
      </c>
      <c r="D1161" s="2252" t="b">
        <f t="shared" si="23"/>
        <v>0</v>
      </c>
    </row>
    <row r="1162" spans="1:4">
      <c r="A1162" s="2252" t="s">
        <v>2134</v>
      </c>
      <c r="B1162" s="2291">
        <f>报表附注!E1473</f>
        <v>0</v>
      </c>
      <c r="C1162" s="2260">
        <f>报表附注!I1473</f>
        <v>0</v>
      </c>
      <c r="D1162" s="2252" t="b">
        <f t="shared" si="23"/>
        <v>0</v>
      </c>
    </row>
    <row r="1163" spans="1:4">
      <c r="A1163" s="2252" t="s">
        <v>2135</v>
      </c>
      <c r="B1163" s="2291">
        <f>报表附注!E1474</f>
        <v>0</v>
      </c>
      <c r="C1163" s="2260">
        <f>报表附注!I1474</f>
        <v>0</v>
      </c>
      <c r="D1163" s="2252" t="b">
        <f t="shared" si="23"/>
        <v>0</v>
      </c>
    </row>
    <row r="1164" spans="1:4">
      <c r="A1164" s="2252" t="s">
        <v>2136</v>
      </c>
      <c r="B1164" s="2291">
        <f>报表附注!E1475</f>
        <v>0</v>
      </c>
      <c r="C1164" s="2260">
        <f>报表附注!I1475</f>
        <v>0</v>
      </c>
      <c r="D1164" s="2252" t="b">
        <f t="shared" ref="D1164:D1227" si="24">EXACT(A1164,B1164)</f>
        <v>0</v>
      </c>
    </row>
    <row r="1165" spans="1:4">
      <c r="A1165" s="2252" t="s">
        <v>2137</v>
      </c>
      <c r="B1165" s="2291">
        <f>报表附注!E1476</f>
        <v>0</v>
      </c>
      <c r="C1165" s="2260">
        <f>报表附注!I1476</f>
        <v>0</v>
      </c>
      <c r="D1165" s="2252" t="b">
        <f t="shared" si="24"/>
        <v>0</v>
      </c>
    </row>
    <row r="1166" spans="1:4">
      <c r="A1166" s="2252" t="s">
        <v>2138</v>
      </c>
      <c r="B1166" s="2291">
        <f>报表附注!E1477</f>
        <v>0</v>
      </c>
      <c r="C1166" s="2260">
        <f>报表附注!I1477</f>
        <v>0</v>
      </c>
      <c r="D1166" s="2252" t="b">
        <f t="shared" si="24"/>
        <v>0</v>
      </c>
    </row>
    <row r="1167" spans="1:4">
      <c r="A1167" s="2252" t="s">
        <v>2139</v>
      </c>
      <c r="B1167" s="2291">
        <f>报表附注!E1478</f>
        <v>0</v>
      </c>
      <c r="C1167" s="2260">
        <f>报表附注!I1478</f>
        <v>0</v>
      </c>
      <c r="D1167" s="2252" t="b">
        <f t="shared" si="24"/>
        <v>0</v>
      </c>
    </row>
    <row r="1168" spans="1:4">
      <c r="A1168" s="2252" t="s">
        <v>2140</v>
      </c>
      <c r="B1168" s="2291">
        <f>报表附注!E1479</f>
        <v>0</v>
      </c>
      <c r="C1168" s="2260">
        <f>报表附注!I1479</f>
        <v>0</v>
      </c>
      <c r="D1168" s="2252" t="b">
        <f t="shared" si="24"/>
        <v>0</v>
      </c>
    </row>
    <row r="1169" spans="1:4">
      <c r="A1169" s="2252" t="s">
        <v>2141</v>
      </c>
      <c r="B1169" s="2291">
        <f>报表附注!E1480</f>
        <v>0</v>
      </c>
      <c r="C1169" s="2260">
        <f>报表附注!I1480</f>
        <v>0</v>
      </c>
      <c r="D1169" s="2252" t="b">
        <f t="shared" si="24"/>
        <v>0</v>
      </c>
    </row>
    <row r="1170" spans="2:4">
      <c r="B1170" s="2274"/>
      <c r="C1170" s="2289"/>
      <c r="D1170" s="2252" t="b">
        <f t="shared" si="24"/>
        <v>1</v>
      </c>
    </row>
    <row r="1171" spans="4:4">
      <c r="D1171" s="2252" t="b">
        <f t="shared" si="24"/>
        <v>1</v>
      </c>
    </row>
    <row r="1172" spans="1:4">
      <c r="A1172" s="2252" t="s">
        <v>2142</v>
      </c>
      <c r="B1172" s="2293" t="s">
        <v>2142</v>
      </c>
      <c r="D1172" s="2252" t="b">
        <f t="shared" si="24"/>
        <v>1</v>
      </c>
    </row>
    <row r="1173" spans="1:4">
      <c r="A1173" s="2252" t="s">
        <v>671</v>
      </c>
      <c r="B1173" s="2273" t="s">
        <v>671</v>
      </c>
      <c r="D1173" s="2252" t="b">
        <f t="shared" si="24"/>
        <v>1</v>
      </c>
    </row>
    <row r="1174" spans="1:4">
      <c r="A1174" s="2252" t="s">
        <v>2143</v>
      </c>
      <c r="B1174" s="2253" t="str">
        <f>报表附注!E1509</f>
        <v>研究支出</v>
      </c>
      <c r="C1174" s="2260">
        <f>报表附注!F1509</f>
        <v>0</v>
      </c>
      <c r="D1174" s="2252" t="b">
        <f t="shared" si="24"/>
        <v>1</v>
      </c>
    </row>
    <row r="1175" spans="1:4">
      <c r="A1175" s="2252" t="s">
        <v>247</v>
      </c>
      <c r="B1175" s="2253" t="str">
        <f>报表附注!E1510</f>
        <v>开发支出</v>
      </c>
      <c r="C1175" s="2260">
        <f>报表附注!F1510</f>
        <v>0</v>
      </c>
      <c r="D1175" s="2252" t="b">
        <f t="shared" si="24"/>
        <v>1</v>
      </c>
    </row>
    <row r="1176" spans="1:4">
      <c r="A1176" s="2252" t="s">
        <v>2021</v>
      </c>
      <c r="B1176" s="2263" t="str">
        <f>报表附注!E1511</f>
        <v>合计</v>
      </c>
      <c r="C1176" s="2260">
        <f>报表附注!F1511</f>
        <v>0</v>
      </c>
      <c r="D1176" s="2252" t="b">
        <f t="shared" si="24"/>
        <v>1</v>
      </c>
    </row>
    <row r="1177" spans="1:4">
      <c r="A1177" s="2252" t="s">
        <v>672</v>
      </c>
      <c r="B1177" s="2273" t="s">
        <v>672</v>
      </c>
      <c r="D1177" s="2252" t="b">
        <f t="shared" si="24"/>
        <v>1</v>
      </c>
    </row>
    <row r="1178" spans="1:4">
      <c r="A1178" s="2252" t="s">
        <v>2143</v>
      </c>
      <c r="B1178" s="2253" t="str">
        <f>报表附注!E1509</f>
        <v>研究支出</v>
      </c>
      <c r="C1178" s="2260">
        <f>报表附注!G1509</f>
        <v>0</v>
      </c>
      <c r="D1178" s="2252" t="b">
        <f t="shared" si="24"/>
        <v>1</v>
      </c>
    </row>
    <row r="1179" spans="1:4">
      <c r="A1179" s="2252" t="s">
        <v>247</v>
      </c>
      <c r="B1179" s="2253" t="str">
        <f>报表附注!E1510</f>
        <v>开发支出</v>
      </c>
      <c r="C1179" s="2260">
        <f>报表附注!G1510</f>
        <v>0</v>
      </c>
      <c r="D1179" s="2252" t="b">
        <f t="shared" si="24"/>
        <v>1</v>
      </c>
    </row>
    <row r="1180" spans="1:4">
      <c r="A1180" s="2252" t="s">
        <v>2021</v>
      </c>
      <c r="B1180" s="2263" t="str">
        <f>报表附注!E1511</f>
        <v>合计</v>
      </c>
      <c r="C1180" s="2260">
        <f>报表附注!G1511</f>
        <v>0</v>
      </c>
      <c r="D1180" s="2252" t="b">
        <f t="shared" si="24"/>
        <v>1</v>
      </c>
    </row>
    <row r="1181" spans="1:4">
      <c r="A1181" s="2252" t="s">
        <v>2144</v>
      </c>
      <c r="B1181" s="2273" t="s">
        <v>2144</v>
      </c>
      <c r="D1181" s="2252" t="b">
        <f t="shared" si="24"/>
        <v>1</v>
      </c>
    </row>
    <row r="1182" spans="1:4">
      <c r="A1182" s="2252" t="s">
        <v>2143</v>
      </c>
      <c r="B1182" s="2253" t="str">
        <f>报表附注!E1509</f>
        <v>研究支出</v>
      </c>
      <c r="C1182" s="2260">
        <f>报表附注!H1509</f>
        <v>0</v>
      </c>
      <c r="D1182" s="2252" t="b">
        <f t="shared" si="24"/>
        <v>1</v>
      </c>
    </row>
    <row r="1183" spans="1:4">
      <c r="A1183" s="2252" t="s">
        <v>247</v>
      </c>
      <c r="B1183" s="2253" t="str">
        <f>报表附注!E1510</f>
        <v>开发支出</v>
      </c>
      <c r="C1183" s="2260">
        <f>报表附注!H1510</f>
        <v>0</v>
      </c>
      <c r="D1183" s="2252" t="b">
        <f t="shared" si="24"/>
        <v>1</v>
      </c>
    </row>
    <row r="1184" spans="1:4">
      <c r="A1184" s="2252" t="s">
        <v>2021</v>
      </c>
      <c r="B1184" s="2263" t="str">
        <f>报表附注!E1511</f>
        <v>合计</v>
      </c>
      <c r="C1184" s="2260">
        <f>报表附注!H1511</f>
        <v>0</v>
      </c>
      <c r="D1184" s="2252" t="b">
        <f t="shared" si="24"/>
        <v>1</v>
      </c>
    </row>
    <row r="1185" spans="1:4">
      <c r="A1185" s="2252" t="s">
        <v>2145</v>
      </c>
      <c r="B1185" s="2273" t="s">
        <v>2145</v>
      </c>
      <c r="D1185" s="2252" t="b">
        <f t="shared" si="24"/>
        <v>1</v>
      </c>
    </row>
    <row r="1186" spans="1:4">
      <c r="A1186" s="2252" t="s">
        <v>2143</v>
      </c>
      <c r="B1186" s="2253" t="str">
        <f>报表附注!E1509</f>
        <v>研究支出</v>
      </c>
      <c r="C1186" s="2260">
        <f>报表附注!I1509</f>
        <v>0</v>
      </c>
      <c r="D1186" s="2252" t="b">
        <f t="shared" si="24"/>
        <v>1</v>
      </c>
    </row>
    <row r="1187" spans="1:4">
      <c r="A1187" s="2252" t="s">
        <v>247</v>
      </c>
      <c r="B1187" s="2253" t="str">
        <f>报表附注!E1510</f>
        <v>开发支出</v>
      </c>
      <c r="C1187" s="2260">
        <f>报表附注!I1510</f>
        <v>0</v>
      </c>
      <c r="D1187" s="2252" t="b">
        <f t="shared" si="24"/>
        <v>1</v>
      </c>
    </row>
    <row r="1188" spans="1:4">
      <c r="A1188" s="2252" t="s">
        <v>2021</v>
      </c>
      <c r="B1188" s="2263" t="str">
        <f>报表附注!E1511</f>
        <v>合计</v>
      </c>
      <c r="C1188" s="2260">
        <f>报表附注!I1511</f>
        <v>0</v>
      </c>
      <c r="D1188" s="2252" t="b">
        <f t="shared" si="24"/>
        <v>1</v>
      </c>
    </row>
    <row r="1189" spans="4:4">
      <c r="D1189" s="2252" t="b">
        <f t="shared" si="24"/>
        <v>1</v>
      </c>
    </row>
    <row r="1190" spans="4:4">
      <c r="D1190" s="2252" t="b">
        <f t="shared" si="24"/>
        <v>1</v>
      </c>
    </row>
    <row r="1191" spans="1:4">
      <c r="A1191" s="2252" t="s">
        <v>2146</v>
      </c>
      <c r="B1191" s="2272" t="s">
        <v>2146</v>
      </c>
      <c r="D1191" s="2252" t="b">
        <f t="shared" si="24"/>
        <v>1</v>
      </c>
    </row>
    <row r="1192" spans="4:4">
      <c r="D1192" s="2252" t="b">
        <f t="shared" si="24"/>
        <v>1</v>
      </c>
    </row>
    <row r="1193" spans="1:4">
      <c r="A1193" s="2252" t="s">
        <v>2147</v>
      </c>
      <c r="B1193" s="2272" t="s">
        <v>2147</v>
      </c>
      <c r="D1193" s="2252" t="b">
        <f t="shared" si="24"/>
        <v>1</v>
      </c>
    </row>
    <row r="1194" spans="4:4">
      <c r="D1194" s="2252" t="b">
        <f t="shared" si="24"/>
        <v>1</v>
      </c>
    </row>
    <row r="1195" spans="1:4">
      <c r="A1195" s="2252" t="s">
        <v>2148</v>
      </c>
      <c r="B1195" s="2297" t="s">
        <v>2148</v>
      </c>
      <c r="D1195" s="2252" t="b">
        <f t="shared" si="24"/>
        <v>1</v>
      </c>
    </row>
    <row r="1196" spans="4:4">
      <c r="D1196" s="2252" t="b">
        <f t="shared" si="24"/>
        <v>1</v>
      </c>
    </row>
    <row r="1197" spans="1:4">
      <c r="A1197" s="2252" t="s">
        <v>2149</v>
      </c>
      <c r="B1197" s="2270" t="s">
        <v>2149</v>
      </c>
      <c r="D1197" s="2252" t="b">
        <f t="shared" si="24"/>
        <v>1</v>
      </c>
    </row>
    <row r="1198" spans="1:4">
      <c r="A1198" s="2252" t="s">
        <v>316</v>
      </c>
      <c r="B1198" s="2273" t="s">
        <v>316</v>
      </c>
      <c r="D1198" s="2252" t="b">
        <f t="shared" si="24"/>
        <v>1</v>
      </c>
    </row>
    <row r="1199" spans="1:4">
      <c r="A1199" s="2252" t="s">
        <v>935</v>
      </c>
      <c r="B1199" s="2253" t="str">
        <f>报表附注!E1602</f>
        <v>一、递延所得税资产</v>
      </c>
      <c r="C1199" s="2260">
        <f>报表附注!F1602</f>
        <v>1554610.58</v>
      </c>
      <c r="D1199" s="2252" t="b">
        <f t="shared" si="24"/>
        <v>1</v>
      </c>
    </row>
    <row r="1200" spans="1:4">
      <c r="A1200" s="2252" t="s">
        <v>2150</v>
      </c>
      <c r="B1200" s="2253" t="str">
        <f>报表附注!E1603</f>
        <v>1、资产减值准备：</v>
      </c>
      <c r="C1200" s="2260">
        <f>报表附注!F1603</f>
        <v>745213.09</v>
      </c>
      <c r="D1200" s="2252" t="b">
        <f t="shared" si="24"/>
        <v>0</v>
      </c>
    </row>
    <row r="1201" spans="1:4">
      <c r="A1201" s="2252" t="s">
        <v>2151</v>
      </c>
      <c r="B1201" s="2274" t="str">
        <f>报表附注!E1604</f>
        <v>      其中：坏账准备</v>
      </c>
      <c r="C1201" s="2260">
        <f>报表附注!F1604</f>
        <v>745213.09</v>
      </c>
      <c r="D1201" s="2252" t="b">
        <f t="shared" si="24"/>
        <v>1</v>
      </c>
    </row>
    <row r="1202" spans="1:4">
      <c r="A1202" s="2252" t="s">
        <v>2152</v>
      </c>
      <c r="B1202" s="2274" t="str">
        <f>报表附注!E1605</f>
        <v>           存货减值</v>
      </c>
      <c r="C1202" s="2260">
        <f>报表附注!F1605</f>
        <v>0</v>
      </c>
      <c r="D1202" s="2252" t="b">
        <f t="shared" si="24"/>
        <v>1</v>
      </c>
    </row>
    <row r="1203" spans="1:4">
      <c r="A1203" s="2252" t="s">
        <v>2153</v>
      </c>
      <c r="B1203" s="2274" t="str">
        <f>报表附注!E1606</f>
        <v>           在建工程减值</v>
      </c>
      <c r="C1203" s="2260">
        <f>报表附注!F1606</f>
        <v>0</v>
      </c>
      <c r="D1203" s="2252" t="b">
        <f t="shared" si="24"/>
        <v>1</v>
      </c>
    </row>
    <row r="1204" spans="1:4">
      <c r="A1204" s="2252" t="s">
        <v>2154</v>
      </c>
      <c r="B1204" s="2274" t="str">
        <f>报表附注!E1607</f>
        <v>           长期股权投资减值</v>
      </c>
      <c r="C1204" s="2260">
        <f>报表附注!F1607</f>
        <v>0</v>
      </c>
      <c r="D1204" s="2252" t="b">
        <f t="shared" si="24"/>
        <v>1</v>
      </c>
    </row>
    <row r="1205" spans="1:4">
      <c r="A1205" s="2252" t="s">
        <v>2155</v>
      </c>
      <c r="B1205" s="2274" t="str">
        <f>报表附注!E1608</f>
        <v>           固定资产减值</v>
      </c>
      <c r="C1205" s="2260">
        <f>报表附注!F1608</f>
        <v>0</v>
      </c>
      <c r="D1205" s="2252" t="b">
        <f t="shared" si="24"/>
        <v>1</v>
      </c>
    </row>
    <row r="1206" spans="1:4">
      <c r="A1206" s="2252" t="s">
        <v>2156</v>
      </c>
      <c r="B1206" s="2253" t="str">
        <f>报表附注!E1609</f>
        <v>            无形资产减值</v>
      </c>
      <c r="C1206" s="2260">
        <f>报表附注!F1609</f>
        <v>0</v>
      </c>
      <c r="D1206" s="2252" t="b">
        <f t="shared" si="24"/>
        <v>1</v>
      </c>
    </row>
    <row r="1207" spans="1:4">
      <c r="A1207" s="2252" t="s">
        <v>2157</v>
      </c>
      <c r="B1207" s="2253" t="str">
        <f>报表附注!E1610</f>
        <v>            商誉减值</v>
      </c>
      <c r="C1207" s="2260">
        <f>报表附注!F1610</f>
        <v>0</v>
      </c>
      <c r="D1207" s="2252" t="b">
        <f t="shared" si="24"/>
        <v>1</v>
      </c>
    </row>
    <row r="1208" spans="1:4">
      <c r="A1208" s="2252" t="s">
        <v>2158</v>
      </c>
      <c r="B1208" s="2253" t="str">
        <f>报表附注!E1611</f>
        <v>2、预计后期到票的无票支出</v>
      </c>
      <c r="C1208" s="2260">
        <f>报表附注!F1611</f>
        <v>0</v>
      </c>
      <c r="D1208" s="2252" t="b">
        <f t="shared" si="24"/>
        <v>0</v>
      </c>
    </row>
    <row r="1209" spans="1:4">
      <c r="A1209" s="2252" t="s">
        <v>2159</v>
      </c>
      <c r="B1209" s="2253" t="str">
        <f>报表附注!E1612</f>
        <v>3、分期付款购入存货融资费用</v>
      </c>
      <c r="C1209" s="2260">
        <f>报表附注!F1612</f>
        <v>0</v>
      </c>
      <c r="D1209" s="2252" t="b">
        <f t="shared" si="24"/>
        <v>0</v>
      </c>
    </row>
    <row r="1210" spans="1:4">
      <c r="A1210" s="2252" t="s">
        <v>2160</v>
      </c>
      <c r="B1210" s="2253" t="str">
        <f>报表附注!E1613</f>
        <v>4、非同一控制下企业合并产生递延所得税资产</v>
      </c>
      <c r="C1210" s="2260">
        <f>报表附注!F1613</f>
        <v>0</v>
      </c>
      <c r="D1210" s="2252" t="b">
        <f t="shared" si="24"/>
        <v>0</v>
      </c>
    </row>
    <row r="1211" spans="1:4">
      <c r="A1211" s="2252" t="s">
        <v>2161</v>
      </c>
      <c r="B1211" s="2253" t="str">
        <f>报表附注!E1614</f>
        <v>5、计提未付的工资</v>
      </c>
      <c r="C1211" s="2260">
        <f>报表附注!F1614</f>
        <v>0</v>
      </c>
      <c r="D1211" s="2252" t="b">
        <f t="shared" si="24"/>
        <v>0</v>
      </c>
    </row>
    <row r="1212" spans="1:4">
      <c r="A1212" s="2252" t="s">
        <v>2162</v>
      </c>
      <c r="B1212" s="2253" t="str">
        <f>报表附注!E1615</f>
        <v>6、递延收益</v>
      </c>
      <c r="C1212" s="2260">
        <f>报表附注!F1615</f>
        <v>0</v>
      </c>
      <c r="D1212" s="2252" t="b">
        <f t="shared" si="24"/>
        <v>0</v>
      </c>
    </row>
    <row r="1213" spans="1:4">
      <c r="A1213" s="2252" t="s">
        <v>2163</v>
      </c>
      <c r="B1213" s="2253" t="str">
        <f>报表附注!E1616</f>
        <v>7、内部交易未实现损益</v>
      </c>
      <c r="C1213" s="2260">
        <f>报表附注!F1616</f>
        <v>809397.49</v>
      </c>
      <c r="D1213" s="2252" t="b">
        <f t="shared" si="24"/>
        <v>0</v>
      </c>
    </row>
    <row r="1214" spans="1:4">
      <c r="A1214" s="2252" t="s">
        <v>937</v>
      </c>
      <c r="B1214" s="2253" t="str">
        <f>报表附注!E1617</f>
        <v>二、递延所得税负债</v>
      </c>
      <c r="C1214" s="2260">
        <f>报表附注!F1617</f>
        <v>0</v>
      </c>
      <c r="D1214" s="2252" t="b">
        <f t="shared" si="24"/>
        <v>1</v>
      </c>
    </row>
    <row r="1215" spans="1:4">
      <c r="A1215" s="2252" t="s">
        <v>2164</v>
      </c>
      <c r="B1215" s="2253" t="str">
        <f>报表附注!E1618</f>
        <v>1、交易性金融工具、衍生金融工具的估值</v>
      </c>
      <c r="C1215" s="2260">
        <f>报表附注!F1618</f>
        <v>0</v>
      </c>
      <c r="D1215" s="2252" t="b">
        <f t="shared" si="24"/>
        <v>0</v>
      </c>
    </row>
    <row r="1216" spans="1:4">
      <c r="A1216" s="2252" t="s">
        <v>2165</v>
      </c>
      <c r="B1216" s="2253" t="str">
        <f>报表附注!E1619</f>
        <v>2、计入资本公积的可供出售金融资产公允价值变动</v>
      </c>
      <c r="C1216" s="2260">
        <f>报表附注!F1619</f>
        <v>0</v>
      </c>
      <c r="D1216" s="2252" t="b">
        <f t="shared" si="24"/>
        <v>0</v>
      </c>
    </row>
    <row r="1217" spans="1:4">
      <c r="A1217" s="2252" t="s">
        <v>2162</v>
      </c>
      <c r="B1217" s="2253" t="str">
        <f>报表附注!E1620</f>
        <v>3、非同一控制下企业合并产生递延所得税负债</v>
      </c>
      <c r="C1217" s="2260">
        <f>报表附注!F1620</f>
        <v>0</v>
      </c>
      <c r="D1217" s="2252" t="b">
        <f t="shared" si="24"/>
        <v>0</v>
      </c>
    </row>
    <row r="1218" spans="1:4">
      <c r="A1218" s="2252" t="s">
        <v>2163</v>
      </c>
      <c r="B1218" s="2253" t="str">
        <f>报表附注!E1621</f>
        <v>4、内部交易未实现损益</v>
      </c>
      <c r="C1218" s="2260">
        <f>报表附注!F1621</f>
        <v>0</v>
      </c>
      <c r="D1218" s="2252" t="b">
        <f t="shared" si="24"/>
        <v>0</v>
      </c>
    </row>
    <row r="1219" spans="1:4">
      <c r="A1219" s="2252" t="s">
        <v>2166</v>
      </c>
      <c r="B1219" s="2253" t="str">
        <f>报表附注!E1622</f>
        <v>5、固定资产评估增值</v>
      </c>
      <c r="C1219" s="2260">
        <f>报表附注!F1622</f>
        <v>0</v>
      </c>
      <c r="D1219" s="2252" t="b">
        <f t="shared" si="24"/>
        <v>0</v>
      </c>
    </row>
    <row r="1220" spans="1:4">
      <c r="A1220" s="2252" t="s">
        <v>2167</v>
      </c>
      <c r="B1220" s="2253" t="str">
        <f>报表附注!E1623</f>
        <v>新增项目4……</v>
      </c>
      <c r="C1220" s="2260">
        <f>报表附注!F1623</f>
        <v>0</v>
      </c>
      <c r="D1220" s="2252" t="b">
        <f t="shared" si="24"/>
        <v>1</v>
      </c>
    </row>
    <row r="1221" spans="1:4">
      <c r="A1221" s="2252" t="s">
        <v>2168</v>
      </c>
      <c r="B1221" s="2253" t="str">
        <f>报表附注!E1624</f>
        <v>新增项目5……</v>
      </c>
      <c r="C1221" s="2260">
        <f>报表附注!F1624</f>
        <v>0</v>
      </c>
      <c r="D1221" s="2252" t="b">
        <f t="shared" si="24"/>
        <v>1</v>
      </c>
    </row>
    <row r="1222" spans="1:4">
      <c r="A1222" s="2252" t="s">
        <v>2169</v>
      </c>
      <c r="B1222" s="2253" t="str">
        <f>报表附注!E1625</f>
        <v>新增项目6……</v>
      </c>
      <c r="C1222" s="2260">
        <f>报表附注!F1625</f>
        <v>0</v>
      </c>
      <c r="D1222" s="2252" t="b">
        <f t="shared" si="24"/>
        <v>1</v>
      </c>
    </row>
    <row r="1223" spans="1:4">
      <c r="A1223" s="2252" t="s">
        <v>2170</v>
      </c>
      <c r="B1223" s="2253" t="str">
        <f>报表附注!E1626</f>
        <v>新增项目7……</v>
      </c>
      <c r="C1223" s="2260">
        <f>报表附注!F1626</f>
        <v>0</v>
      </c>
      <c r="D1223" s="2252" t="b">
        <f t="shared" si="24"/>
        <v>1</v>
      </c>
    </row>
    <row r="1224" spans="1:4">
      <c r="A1224" s="2252" t="s">
        <v>2171</v>
      </c>
      <c r="B1224" s="2253" t="str">
        <f>报表附注!E1627</f>
        <v>新增项目8……</v>
      </c>
      <c r="C1224" s="2260">
        <f>报表附注!F1627</f>
        <v>0</v>
      </c>
      <c r="D1224" s="2252" t="b">
        <f t="shared" si="24"/>
        <v>1</v>
      </c>
    </row>
    <row r="1225" spans="1:4">
      <c r="A1225" s="2252" t="s">
        <v>2172</v>
      </c>
      <c r="B1225" s="2253" t="str">
        <f>报表附注!E1628</f>
        <v>新增项目9……</v>
      </c>
      <c r="C1225" s="2260">
        <f>报表附注!F1628</f>
        <v>0</v>
      </c>
      <c r="D1225" s="2252" t="b">
        <f t="shared" si="24"/>
        <v>1</v>
      </c>
    </row>
    <row r="1226" spans="1:4">
      <c r="A1226" s="2252" t="s">
        <v>2173</v>
      </c>
      <c r="B1226" s="2253" t="str">
        <f>报表附注!E1629</f>
        <v>新增项目10……</v>
      </c>
      <c r="C1226" s="2260">
        <f>报表附注!F1629</f>
        <v>0</v>
      </c>
      <c r="D1226" s="2252" t="b">
        <f t="shared" si="24"/>
        <v>1</v>
      </c>
    </row>
    <row r="1227" spans="1:4">
      <c r="A1227" s="2252" t="s">
        <v>2174</v>
      </c>
      <c r="B1227" s="2273" t="s">
        <v>2174</v>
      </c>
      <c r="D1227" s="2252" t="b">
        <f t="shared" si="24"/>
        <v>1</v>
      </c>
    </row>
    <row r="1228" spans="1:4">
      <c r="A1228" s="2252" t="s">
        <v>935</v>
      </c>
      <c r="B1228" s="2253" t="str">
        <f>报表附注!E1602</f>
        <v>一、递延所得税资产</v>
      </c>
      <c r="C1228" s="2260">
        <f>报表附注!G1602</f>
        <v>10364070.52</v>
      </c>
      <c r="D1228" s="2252" t="b">
        <f t="shared" ref="D1228:D1291" si="25">EXACT(A1228,B1228)</f>
        <v>1</v>
      </c>
    </row>
    <row r="1229" spans="1:4">
      <c r="A1229" s="2252" t="s">
        <v>2150</v>
      </c>
      <c r="B1229" s="2253" t="str">
        <f>报表附注!E1603</f>
        <v>1、资产减值准备：</v>
      </c>
      <c r="C1229" s="2260">
        <f>报表附注!G1603</f>
        <v>4968087.26</v>
      </c>
      <c r="D1229" s="2252" t="b">
        <f t="shared" si="25"/>
        <v>0</v>
      </c>
    </row>
    <row r="1230" spans="1:4">
      <c r="A1230" s="2252" t="s">
        <v>2151</v>
      </c>
      <c r="B1230" s="2274" t="str">
        <f>报表附注!E1604</f>
        <v>      其中：坏账准备</v>
      </c>
      <c r="C1230" s="2260">
        <f>报表附注!G1604</f>
        <v>4968087.26</v>
      </c>
      <c r="D1230" s="2252" t="b">
        <f t="shared" si="25"/>
        <v>1</v>
      </c>
    </row>
    <row r="1231" spans="1:4">
      <c r="A1231" s="2252" t="s">
        <v>2152</v>
      </c>
      <c r="B1231" s="2274" t="str">
        <f>报表附注!E1605</f>
        <v>           存货减值</v>
      </c>
      <c r="C1231" s="2260">
        <f>报表附注!G1605</f>
        <v>0</v>
      </c>
      <c r="D1231" s="2252" t="b">
        <f t="shared" si="25"/>
        <v>1</v>
      </c>
    </row>
    <row r="1232" spans="1:4">
      <c r="A1232" s="2252" t="s">
        <v>2153</v>
      </c>
      <c r="B1232" s="2274" t="str">
        <f>报表附注!E1606</f>
        <v>           在建工程减值</v>
      </c>
      <c r="C1232" s="2260">
        <f>报表附注!G1606</f>
        <v>0</v>
      </c>
      <c r="D1232" s="2252" t="b">
        <f t="shared" si="25"/>
        <v>1</v>
      </c>
    </row>
    <row r="1233" spans="1:4">
      <c r="A1233" s="2252" t="s">
        <v>2154</v>
      </c>
      <c r="B1233" s="2274" t="str">
        <f>报表附注!E1607</f>
        <v>           长期股权投资减值</v>
      </c>
      <c r="C1233" s="2260">
        <f>报表附注!G1607</f>
        <v>0</v>
      </c>
      <c r="D1233" s="2252" t="b">
        <f t="shared" si="25"/>
        <v>1</v>
      </c>
    </row>
    <row r="1234" spans="1:4">
      <c r="A1234" s="2252" t="s">
        <v>2155</v>
      </c>
      <c r="B1234" s="2274" t="str">
        <f>报表附注!E1608</f>
        <v>           固定资产减值</v>
      </c>
      <c r="C1234" s="2260">
        <f>报表附注!G1608</f>
        <v>0</v>
      </c>
      <c r="D1234" s="2252" t="b">
        <f t="shared" si="25"/>
        <v>1</v>
      </c>
    </row>
    <row r="1235" spans="1:4">
      <c r="A1235" s="2252" t="s">
        <v>2156</v>
      </c>
      <c r="B1235" s="2253" t="str">
        <f>报表附注!E1609</f>
        <v>            无形资产减值</v>
      </c>
      <c r="C1235" s="2260">
        <f>报表附注!G1609</f>
        <v>0</v>
      </c>
      <c r="D1235" s="2252" t="b">
        <f t="shared" si="25"/>
        <v>1</v>
      </c>
    </row>
    <row r="1236" spans="1:4">
      <c r="A1236" s="2252" t="s">
        <v>2157</v>
      </c>
      <c r="B1236" s="2253" t="str">
        <f>报表附注!E1610</f>
        <v>            商誉减值</v>
      </c>
      <c r="C1236" s="2260">
        <f>报表附注!G1610</f>
        <v>0</v>
      </c>
      <c r="D1236" s="2252" t="b">
        <f t="shared" si="25"/>
        <v>1</v>
      </c>
    </row>
    <row r="1237" spans="1:4">
      <c r="A1237" s="2252" t="s">
        <v>2158</v>
      </c>
      <c r="B1237" s="2253" t="str">
        <f>报表附注!E1611</f>
        <v>2、预计后期到票的无票支出</v>
      </c>
      <c r="C1237" s="2260">
        <f>报表附注!G1611</f>
        <v>0</v>
      </c>
      <c r="D1237" s="2252" t="b">
        <f t="shared" si="25"/>
        <v>0</v>
      </c>
    </row>
    <row r="1238" spans="1:4">
      <c r="A1238" s="2252" t="s">
        <v>2159</v>
      </c>
      <c r="B1238" s="2253" t="str">
        <f>报表附注!E1612</f>
        <v>3、分期付款购入存货融资费用</v>
      </c>
      <c r="C1238" s="2260">
        <f>报表附注!G1612</f>
        <v>0</v>
      </c>
      <c r="D1238" s="2252" t="b">
        <f t="shared" si="25"/>
        <v>0</v>
      </c>
    </row>
    <row r="1239" spans="1:4">
      <c r="A1239" s="2252" t="s">
        <v>2160</v>
      </c>
      <c r="B1239" s="2253" t="str">
        <f>报表附注!E1613</f>
        <v>4、非同一控制下企业合并产生递延所得税资产</v>
      </c>
      <c r="C1239" s="2260">
        <f>报表附注!G1613</f>
        <v>0</v>
      </c>
      <c r="D1239" s="2252" t="b">
        <f t="shared" si="25"/>
        <v>0</v>
      </c>
    </row>
    <row r="1240" spans="1:4">
      <c r="A1240" s="2252" t="s">
        <v>2161</v>
      </c>
      <c r="B1240" s="2253" t="str">
        <f>报表附注!E1614</f>
        <v>5、计提未付的工资</v>
      </c>
      <c r="C1240" s="2260">
        <f>报表附注!G1614</f>
        <v>0</v>
      </c>
      <c r="D1240" s="2252" t="b">
        <f t="shared" si="25"/>
        <v>0</v>
      </c>
    </row>
    <row r="1241" spans="1:4">
      <c r="A1241" s="2252" t="s">
        <v>2162</v>
      </c>
      <c r="B1241" s="2253" t="str">
        <f>报表附注!E1615</f>
        <v>6、递延收益</v>
      </c>
      <c r="C1241" s="2260">
        <f>报表附注!G1615</f>
        <v>0</v>
      </c>
      <c r="D1241" s="2252" t="b">
        <f t="shared" si="25"/>
        <v>0</v>
      </c>
    </row>
    <row r="1242" spans="1:4">
      <c r="A1242" s="2252" t="s">
        <v>2163</v>
      </c>
      <c r="B1242" s="2253" t="str">
        <f>报表附注!E1616</f>
        <v>7、内部交易未实现损益</v>
      </c>
      <c r="C1242" s="2260">
        <f>报表附注!G1616</f>
        <v>5395983.26</v>
      </c>
      <c r="D1242" s="2252" t="b">
        <f t="shared" si="25"/>
        <v>0</v>
      </c>
    </row>
    <row r="1243" spans="1:4">
      <c r="A1243" s="2252" t="s">
        <v>937</v>
      </c>
      <c r="B1243" s="2253" t="str">
        <f>报表附注!E1617</f>
        <v>二、递延所得税负债</v>
      </c>
      <c r="C1243" s="2260">
        <f>报表附注!G1617</f>
        <v>0</v>
      </c>
      <c r="D1243" s="2252" t="b">
        <f t="shared" si="25"/>
        <v>1</v>
      </c>
    </row>
    <row r="1244" spans="1:4">
      <c r="A1244" s="2252" t="s">
        <v>2164</v>
      </c>
      <c r="B1244" s="2253" t="str">
        <f>报表附注!E1618</f>
        <v>1、交易性金融工具、衍生金融工具的估值</v>
      </c>
      <c r="C1244" s="2260">
        <f>报表附注!G1618</f>
        <v>0</v>
      </c>
      <c r="D1244" s="2252" t="b">
        <f t="shared" si="25"/>
        <v>0</v>
      </c>
    </row>
    <row r="1245" spans="1:4">
      <c r="A1245" s="2252" t="s">
        <v>2165</v>
      </c>
      <c r="B1245" s="2253" t="str">
        <f>报表附注!E1619</f>
        <v>2、计入资本公积的可供出售金融资产公允价值变动</v>
      </c>
      <c r="C1245" s="2260">
        <f>报表附注!G1619</f>
        <v>0</v>
      </c>
      <c r="D1245" s="2252" t="b">
        <f t="shared" si="25"/>
        <v>0</v>
      </c>
    </row>
    <row r="1246" spans="1:4">
      <c r="A1246" s="2252" t="s">
        <v>2162</v>
      </c>
      <c r="B1246" s="2253" t="str">
        <f>报表附注!E1620</f>
        <v>3、非同一控制下企业合并产生递延所得税负债</v>
      </c>
      <c r="C1246" s="2260">
        <f>报表附注!G1620</f>
        <v>0</v>
      </c>
      <c r="D1246" s="2252" t="b">
        <f t="shared" si="25"/>
        <v>0</v>
      </c>
    </row>
    <row r="1247" spans="1:4">
      <c r="A1247" s="2252" t="s">
        <v>2163</v>
      </c>
      <c r="B1247" s="2253" t="str">
        <f>报表附注!E1621</f>
        <v>4、内部交易未实现损益</v>
      </c>
      <c r="C1247" s="2260">
        <f>报表附注!G1621</f>
        <v>0</v>
      </c>
      <c r="D1247" s="2252" t="b">
        <f t="shared" si="25"/>
        <v>0</v>
      </c>
    </row>
    <row r="1248" spans="1:4">
      <c r="A1248" s="2252" t="s">
        <v>2166</v>
      </c>
      <c r="B1248" s="2253" t="str">
        <f>报表附注!E1622</f>
        <v>5、固定资产评估增值</v>
      </c>
      <c r="C1248" s="2260">
        <f>报表附注!G1622</f>
        <v>0</v>
      </c>
      <c r="D1248" s="2252" t="b">
        <f t="shared" si="25"/>
        <v>0</v>
      </c>
    </row>
    <row r="1249" spans="1:4">
      <c r="A1249" s="2252" t="s">
        <v>2167</v>
      </c>
      <c r="B1249" s="2253" t="str">
        <f>报表附注!E1623</f>
        <v>新增项目4……</v>
      </c>
      <c r="C1249" s="2260">
        <f>报表附注!G1623</f>
        <v>0</v>
      </c>
      <c r="D1249" s="2252" t="b">
        <f t="shared" si="25"/>
        <v>1</v>
      </c>
    </row>
    <row r="1250" spans="1:4">
      <c r="A1250" s="2252" t="s">
        <v>2168</v>
      </c>
      <c r="B1250" s="2253" t="str">
        <f>报表附注!E1624</f>
        <v>新增项目5……</v>
      </c>
      <c r="C1250" s="2260">
        <f>报表附注!G1624</f>
        <v>0</v>
      </c>
      <c r="D1250" s="2252" t="b">
        <f t="shared" si="25"/>
        <v>1</v>
      </c>
    </row>
    <row r="1251" spans="1:4">
      <c r="A1251" s="2252" t="s">
        <v>2169</v>
      </c>
      <c r="B1251" s="2253" t="str">
        <f>报表附注!E1625</f>
        <v>新增项目6……</v>
      </c>
      <c r="C1251" s="2260">
        <f>报表附注!G1625</f>
        <v>0</v>
      </c>
      <c r="D1251" s="2252" t="b">
        <f t="shared" si="25"/>
        <v>1</v>
      </c>
    </row>
    <row r="1252" spans="1:4">
      <c r="A1252" s="2252" t="s">
        <v>2170</v>
      </c>
      <c r="B1252" s="2253" t="str">
        <f>报表附注!E1626</f>
        <v>新增项目7……</v>
      </c>
      <c r="C1252" s="2260">
        <f>报表附注!G1626</f>
        <v>0</v>
      </c>
      <c r="D1252" s="2252" t="b">
        <f t="shared" si="25"/>
        <v>1</v>
      </c>
    </row>
    <row r="1253" spans="1:4">
      <c r="A1253" s="2252" t="s">
        <v>2171</v>
      </c>
      <c r="B1253" s="2253" t="str">
        <f>报表附注!E1627</f>
        <v>新增项目8……</v>
      </c>
      <c r="C1253" s="2260">
        <f>报表附注!G1627</f>
        <v>0</v>
      </c>
      <c r="D1253" s="2252" t="b">
        <f t="shared" si="25"/>
        <v>1</v>
      </c>
    </row>
    <row r="1254" spans="1:4">
      <c r="A1254" s="2252" t="s">
        <v>2172</v>
      </c>
      <c r="B1254" s="2253" t="str">
        <f>报表附注!E1628</f>
        <v>新增项目9……</v>
      </c>
      <c r="C1254" s="2260">
        <f>报表附注!G1628</f>
        <v>0</v>
      </c>
      <c r="D1254" s="2252" t="b">
        <f t="shared" si="25"/>
        <v>1</v>
      </c>
    </row>
    <row r="1255" spans="1:4">
      <c r="A1255" s="2252" t="s">
        <v>2173</v>
      </c>
      <c r="B1255" s="2253" t="str">
        <f>报表附注!E1629</f>
        <v>新增项目10……</v>
      </c>
      <c r="C1255" s="2260">
        <f>报表附注!G1629</f>
        <v>0</v>
      </c>
      <c r="D1255" s="2252" t="b">
        <f t="shared" si="25"/>
        <v>1</v>
      </c>
    </row>
    <row r="1256" spans="1:4">
      <c r="A1256" s="2252" t="s">
        <v>2020</v>
      </c>
      <c r="B1256" s="2273" t="s">
        <v>2020</v>
      </c>
      <c r="D1256" s="2252" t="b">
        <f t="shared" si="25"/>
        <v>1</v>
      </c>
    </row>
    <row r="1257" spans="1:4">
      <c r="A1257" s="2252" t="s">
        <v>935</v>
      </c>
      <c r="B1257" s="2253" t="str">
        <f>报表附注!E1602</f>
        <v>一、递延所得税资产</v>
      </c>
      <c r="C1257" s="2260">
        <f>报表附注!H1602</f>
        <v>810692.23</v>
      </c>
      <c r="D1257" s="2252" t="b">
        <f t="shared" si="25"/>
        <v>1</v>
      </c>
    </row>
    <row r="1258" spans="1:4">
      <c r="A1258" s="2252" t="s">
        <v>2150</v>
      </c>
      <c r="B1258" s="2253" t="str">
        <f>报表附注!E1603</f>
        <v>1、资产减值准备：</v>
      </c>
      <c r="C1258" s="2260">
        <f>报表附注!H1603</f>
        <v>810692.23</v>
      </c>
      <c r="D1258" s="2252" t="b">
        <f t="shared" si="25"/>
        <v>0</v>
      </c>
    </row>
    <row r="1259" spans="1:4">
      <c r="A1259" s="2252" t="s">
        <v>2151</v>
      </c>
      <c r="B1259" s="2274" t="str">
        <f>报表附注!E1604</f>
        <v>      其中：坏账准备</v>
      </c>
      <c r="C1259" s="2260">
        <f>报表附注!H1604</f>
        <v>542375.04</v>
      </c>
      <c r="D1259" s="2252" t="b">
        <f t="shared" si="25"/>
        <v>1</v>
      </c>
    </row>
    <row r="1260" spans="1:4">
      <c r="A1260" s="2252" t="s">
        <v>2152</v>
      </c>
      <c r="B1260" s="2274" t="str">
        <f>报表附注!E1605</f>
        <v>           存货减值</v>
      </c>
      <c r="C1260" s="2260">
        <f>报表附注!H1605</f>
        <v>268317.19</v>
      </c>
      <c r="D1260" s="2252" t="b">
        <f t="shared" si="25"/>
        <v>1</v>
      </c>
    </row>
    <row r="1261" spans="1:4">
      <c r="A1261" s="2252" t="s">
        <v>2153</v>
      </c>
      <c r="B1261" s="2274" t="str">
        <f>报表附注!E1606</f>
        <v>           在建工程减值</v>
      </c>
      <c r="C1261" s="2260">
        <f>报表附注!H1606</f>
        <v>0</v>
      </c>
      <c r="D1261" s="2252" t="b">
        <f t="shared" si="25"/>
        <v>1</v>
      </c>
    </row>
    <row r="1262" spans="1:4">
      <c r="A1262" s="2252" t="s">
        <v>2154</v>
      </c>
      <c r="B1262" s="2274" t="str">
        <f>报表附注!E1607</f>
        <v>           长期股权投资减值</v>
      </c>
      <c r="C1262" s="2260">
        <f>报表附注!H1607</f>
        <v>0</v>
      </c>
      <c r="D1262" s="2252" t="b">
        <f t="shared" si="25"/>
        <v>1</v>
      </c>
    </row>
    <row r="1263" spans="1:4">
      <c r="A1263" s="2252" t="s">
        <v>2155</v>
      </c>
      <c r="B1263" s="2274" t="str">
        <f>报表附注!E1608</f>
        <v>           固定资产减值</v>
      </c>
      <c r="C1263" s="2260">
        <f>报表附注!H1608</f>
        <v>0</v>
      </c>
      <c r="D1263" s="2252" t="b">
        <f t="shared" si="25"/>
        <v>1</v>
      </c>
    </row>
    <row r="1264" spans="1:4">
      <c r="A1264" s="2252" t="s">
        <v>2156</v>
      </c>
      <c r="B1264" s="2253" t="str">
        <f>报表附注!E1609</f>
        <v>            无形资产减值</v>
      </c>
      <c r="C1264" s="2260">
        <f>报表附注!H1609</f>
        <v>0</v>
      </c>
      <c r="D1264" s="2252" t="b">
        <f t="shared" si="25"/>
        <v>1</v>
      </c>
    </row>
    <row r="1265" spans="1:4">
      <c r="A1265" s="2252" t="s">
        <v>2157</v>
      </c>
      <c r="B1265" s="2253" t="str">
        <f>报表附注!E1610</f>
        <v>            商誉减值</v>
      </c>
      <c r="C1265" s="2260">
        <f>报表附注!H1610</f>
        <v>0</v>
      </c>
      <c r="D1265" s="2252" t="b">
        <f t="shared" si="25"/>
        <v>1</v>
      </c>
    </row>
    <row r="1266" spans="1:4">
      <c r="A1266" s="2252" t="s">
        <v>2158</v>
      </c>
      <c r="B1266" s="2253" t="str">
        <f>报表附注!E1611</f>
        <v>2、预计后期到票的无票支出</v>
      </c>
      <c r="C1266" s="2260">
        <f>报表附注!H1611</f>
        <v>0</v>
      </c>
      <c r="D1266" s="2252" t="b">
        <f t="shared" si="25"/>
        <v>0</v>
      </c>
    </row>
    <row r="1267" spans="1:4">
      <c r="A1267" s="2252" t="s">
        <v>2159</v>
      </c>
      <c r="B1267" s="2253" t="str">
        <f>报表附注!E1612</f>
        <v>3、分期付款购入存货融资费用</v>
      </c>
      <c r="C1267" s="2260">
        <f>报表附注!H1612</f>
        <v>0</v>
      </c>
      <c r="D1267" s="2252" t="b">
        <f t="shared" si="25"/>
        <v>0</v>
      </c>
    </row>
    <row r="1268" spans="1:4">
      <c r="A1268" s="2252" t="s">
        <v>2160</v>
      </c>
      <c r="B1268" s="2253" t="str">
        <f>报表附注!E1613</f>
        <v>4、非同一控制下企业合并产生递延所得税资产</v>
      </c>
      <c r="C1268" s="2260">
        <f>报表附注!H1613</f>
        <v>0</v>
      </c>
      <c r="D1268" s="2252" t="b">
        <f t="shared" si="25"/>
        <v>0</v>
      </c>
    </row>
    <row r="1269" spans="1:4">
      <c r="A1269" s="2252" t="s">
        <v>2161</v>
      </c>
      <c r="B1269" s="2253" t="str">
        <f>报表附注!E1614</f>
        <v>5、计提未付的工资</v>
      </c>
      <c r="C1269" s="2260">
        <f>报表附注!H1614</f>
        <v>0</v>
      </c>
      <c r="D1269" s="2252" t="b">
        <f t="shared" si="25"/>
        <v>0</v>
      </c>
    </row>
    <row r="1270" spans="1:4">
      <c r="A1270" s="2252" t="s">
        <v>2162</v>
      </c>
      <c r="B1270" s="2253" t="str">
        <f>报表附注!E1615</f>
        <v>6、递延收益</v>
      </c>
      <c r="C1270" s="2260">
        <f>报表附注!H1615</f>
        <v>0</v>
      </c>
      <c r="D1270" s="2252" t="b">
        <f t="shared" si="25"/>
        <v>0</v>
      </c>
    </row>
    <row r="1271" spans="1:4">
      <c r="A1271" s="2252" t="s">
        <v>2163</v>
      </c>
      <c r="B1271" s="2253" t="str">
        <f>报表附注!E1616</f>
        <v>7、内部交易未实现损益</v>
      </c>
      <c r="C1271" s="2260">
        <f>报表附注!H1616</f>
        <v>0</v>
      </c>
      <c r="D1271" s="2252" t="b">
        <f t="shared" si="25"/>
        <v>0</v>
      </c>
    </row>
    <row r="1272" spans="1:4">
      <c r="A1272" s="2252" t="s">
        <v>937</v>
      </c>
      <c r="B1272" s="2253" t="str">
        <f>报表附注!E1617</f>
        <v>二、递延所得税负债</v>
      </c>
      <c r="C1272" s="2260">
        <f>报表附注!H1617</f>
        <v>0</v>
      </c>
      <c r="D1272" s="2252" t="b">
        <f t="shared" si="25"/>
        <v>1</v>
      </c>
    </row>
    <row r="1273" spans="1:4">
      <c r="A1273" s="2252" t="s">
        <v>2164</v>
      </c>
      <c r="B1273" s="2253" t="str">
        <f>报表附注!E1618</f>
        <v>1、交易性金融工具、衍生金融工具的估值</v>
      </c>
      <c r="C1273" s="2260">
        <f>报表附注!H1618</f>
        <v>0</v>
      </c>
      <c r="D1273" s="2252" t="b">
        <f t="shared" si="25"/>
        <v>0</v>
      </c>
    </row>
    <row r="1274" spans="1:4">
      <c r="A1274" s="2252" t="s">
        <v>2165</v>
      </c>
      <c r="B1274" s="2253" t="str">
        <f>报表附注!E1619</f>
        <v>2、计入资本公积的可供出售金融资产公允价值变动</v>
      </c>
      <c r="C1274" s="2260">
        <f>报表附注!H1619</f>
        <v>0</v>
      </c>
      <c r="D1274" s="2252" t="b">
        <f t="shared" si="25"/>
        <v>0</v>
      </c>
    </row>
    <row r="1275" spans="1:4">
      <c r="A1275" s="2252" t="s">
        <v>2162</v>
      </c>
      <c r="B1275" s="2253" t="str">
        <f>报表附注!E1620</f>
        <v>3、非同一控制下企业合并产生递延所得税负债</v>
      </c>
      <c r="C1275" s="2260">
        <f>报表附注!H1620</f>
        <v>0</v>
      </c>
      <c r="D1275" s="2252" t="b">
        <f t="shared" si="25"/>
        <v>0</v>
      </c>
    </row>
    <row r="1276" spans="1:4">
      <c r="A1276" s="2252" t="s">
        <v>2163</v>
      </c>
      <c r="B1276" s="2253" t="str">
        <f>报表附注!E1621</f>
        <v>4、内部交易未实现损益</v>
      </c>
      <c r="C1276" s="2260">
        <f>报表附注!H1621</f>
        <v>0</v>
      </c>
      <c r="D1276" s="2252" t="b">
        <f t="shared" si="25"/>
        <v>0</v>
      </c>
    </row>
    <row r="1277" spans="1:4">
      <c r="A1277" s="2252" t="s">
        <v>2166</v>
      </c>
      <c r="B1277" s="2253" t="str">
        <f>报表附注!E1622</f>
        <v>5、固定资产评估增值</v>
      </c>
      <c r="C1277" s="2260">
        <f>报表附注!H1622</f>
        <v>0</v>
      </c>
      <c r="D1277" s="2252" t="b">
        <f t="shared" si="25"/>
        <v>0</v>
      </c>
    </row>
    <row r="1278" spans="1:4">
      <c r="A1278" s="2252" t="s">
        <v>2167</v>
      </c>
      <c r="B1278" s="2253" t="str">
        <f>报表附注!E1623</f>
        <v>新增项目4……</v>
      </c>
      <c r="C1278" s="2260">
        <f>报表附注!H1623</f>
        <v>0</v>
      </c>
      <c r="D1278" s="2252" t="b">
        <f t="shared" si="25"/>
        <v>1</v>
      </c>
    </row>
    <row r="1279" spans="1:4">
      <c r="A1279" s="2252" t="s">
        <v>2168</v>
      </c>
      <c r="B1279" s="2253" t="str">
        <f>报表附注!E1624</f>
        <v>新增项目5……</v>
      </c>
      <c r="C1279" s="2260">
        <f>报表附注!H1624</f>
        <v>0</v>
      </c>
      <c r="D1279" s="2252" t="b">
        <f t="shared" si="25"/>
        <v>1</v>
      </c>
    </row>
    <row r="1280" spans="1:4">
      <c r="A1280" s="2252" t="s">
        <v>2169</v>
      </c>
      <c r="B1280" s="2253" t="str">
        <f>报表附注!E1625</f>
        <v>新增项目6……</v>
      </c>
      <c r="C1280" s="2260">
        <f>报表附注!H1625</f>
        <v>0</v>
      </c>
      <c r="D1280" s="2252" t="b">
        <f t="shared" si="25"/>
        <v>1</v>
      </c>
    </row>
    <row r="1281" spans="1:4">
      <c r="A1281" s="2252" t="s">
        <v>2170</v>
      </c>
      <c r="B1281" s="2253" t="str">
        <f>报表附注!E1626</f>
        <v>新增项目7……</v>
      </c>
      <c r="C1281" s="2260">
        <f>报表附注!H1626</f>
        <v>0</v>
      </c>
      <c r="D1281" s="2252" t="b">
        <f t="shared" si="25"/>
        <v>1</v>
      </c>
    </row>
    <row r="1282" spans="1:4">
      <c r="A1282" s="2252" t="s">
        <v>2171</v>
      </c>
      <c r="B1282" s="2253" t="str">
        <f>报表附注!E1627</f>
        <v>新增项目8……</v>
      </c>
      <c r="C1282" s="2260">
        <f>报表附注!H1627</f>
        <v>0</v>
      </c>
      <c r="D1282" s="2252" t="b">
        <f t="shared" si="25"/>
        <v>1</v>
      </c>
    </row>
    <row r="1283" spans="1:4">
      <c r="A1283" s="2252" t="s">
        <v>2172</v>
      </c>
      <c r="B1283" s="2253" t="str">
        <f>报表附注!E1628</f>
        <v>新增项目9……</v>
      </c>
      <c r="C1283" s="2260">
        <f>报表附注!H1628</f>
        <v>0</v>
      </c>
      <c r="D1283" s="2252" t="b">
        <f t="shared" si="25"/>
        <v>1</v>
      </c>
    </row>
    <row r="1284" spans="1:4">
      <c r="A1284" s="2252" t="s">
        <v>2173</v>
      </c>
      <c r="B1284" s="2253" t="str">
        <f>报表附注!E1629</f>
        <v>新增项目10……</v>
      </c>
      <c r="C1284" s="2260">
        <f>报表附注!H1629</f>
        <v>0</v>
      </c>
      <c r="D1284" s="2252" t="b">
        <f t="shared" si="25"/>
        <v>1</v>
      </c>
    </row>
    <row r="1285" spans="1:4">
      <c r="A1285" s="2252" t="s">
        <v>2175</v>
      </c>
      <c r="B1285" s="2273" t="s">
        <v>2175</v>
      </c>
      <c r="D1285" s="2252" t="b">
        <f t="shared" si="25"/>
        <v>1</v>
      </c>
    </row>
    <row r="1286" spans="1:4">
      <c r="A1286" s="2252" t="s">
        <v>935</v>
      </c>
      <c r="B1286" s="2253" t="str">
        <f>报表附注!E1602</f>
        <v>一、递延所得税资产</v>
      </c>
      <c r="C1286" s="2260">
        <f>报表附注!I1602</f>
        <v>5404614.87</v>
      </c>
      <c r="D1286" s="2252" t="b">
        <f t="shared" si="25"/>
        <v>1</v>
      </c>
    </row>
    <row r="1287" spans="1:4">
      <c r="A1287" s="2252" t="s">
        <v>2150</v>
      </c>
      <c r="B1287" s="2253" t="str">
        <f>报表附注!E1603</f>
        <v>1、资产减值准备：</v>
      </c>
      <c r="C1287" s="2260">
        <f>报表附注!I1603</f>
        <v>5404614.87</v>
      </c>
      <c r="D1287" s="2252" t="b">
        <f t="shared" si="25"/>
        <v>0</v>
      </c>
    </row>
    <row r="1288" spans="1:4">
      <c r="A1288" s="2252" t="s">
        <v>2151</v>
      </c>
      <c r="B1288" s="2274" t="str">
        <f>报表附注!E1604</f>
        <v>      其中：坏账准备</v>
      </c>
      <c r="C1288" s="2260">
        <f>报表附注!I1604</f>
        <v>3615833.59</v>
      </c>
      <c r="D1288" s="2252" t="b">
        <f t="shared" si="25"/>
        <v>1</v>
      </c>
    </row>
    <row r="1289" spans="1:4">
      <c r="A1289" s="2252" t="s">
        <v>2152</v>
      </c>
      <c r="B1289" s="2274" t="str">
        <f>报表附注!E1605</f>
        <v>           存货减值</v>
      </c>
      <c r="C1289" s="2260">
        <f>报表附注!I1605</f>
        <v>1788781.28</v>
      </c>
      <c r="D1289" s="2252" t="b">
        <f t="shared" si="25"/>
        <v>1</v>
      </c>
    </row>
    <row r="1290" spans="1:4">
      <c r="A1290" s="2252" t="s">
        <v>2153</v>
      </c>
      <c r="B1290" s="2274" t="str">
        <f>报表附注!E1606</f>
        <v>           在建工程减值</v>
      </c>
      <c r="C1290" s="2260">
        <f>报表附注!I1606</f>
        <v>0</v>
      </c>
      <c r="D1290" s="2252" t="b">
        <f t="shared" si="25"/>
        <v>1</v>
      </c>
    </row>
    <row r="1291" spans="1:4">
      <c r="A1291" s="2252" t="s">
        <v>2154</v>
      </c>
      <c r="B1291" s="2274" t="str">
        <f>报表附注!E1607</f>
        <v>           长期股权投资减值</v>
      </c>
      <c r="C1291" s="2260">
        <f>报表附注!I1607</f>
        <v>0</v>
      </c>
      <c r="D1291" s="2252" t="b">
        <f t="shared" si="25"/>
        <v>1</v>
      </c>
    </row>
    <row r="1292" spans="1:4">
      <c r="A1292" s="2252" t="s">
        <v>2155</v>
      </c>
      <c r="B1292" s="2274" t="str">
        <f>报表附注!E1608</f>
        <v>           固定资产减值</v>
      </c>
      <c r="C1292" s="2260">
        <f>报表附注!I1608</f>
        <v>0</v>
      </c>
      <c r="D1292" s="2252" t="b">
        <f t="shared" ref="D1292:D1355" si="26">EXACT(A1292,B1292)</f>
        <v>1</v>
      </c>
    </row>
    <row r="1293" spans="1:4">
      <c r="A1293" s="2252" t="s">
        <v>2156</v>
      </c>
      <c r="B1293" s="2253" t="str">
        <f>报表附注!E1609</f>
        <v>            无形资产减值</v>
      </c>
      <c r="C1293" s="2260">
        <f>报表附注!I1609</f>
        <v>0</v>
      </c>
      <c r="D1293" s="2252" t="b">
        <f t="shared" si="26"/>
        <v>1</v>
      </c>
    </row>
    <row r="1294" spans="1:4">
      <c r="A1294" s="2252" t="s">
        <v>2157</v>
      </c>
      <c r="B1294" s="2253" t="str">
        <f>报表附注!E1610</f>
        <v>            商誉减值</v>
      </c>
      <c r="C1294" s="2260">
        <f>报表附注!I1610</f>
        <v>0</v>
      </c>
      <c r="D1294" s="2252" t="b">
        <f t="shared" si="26"/>
        <v>1</v>
      </c>
    </row>
    <row r="1295" spans="1:4">
      <c r="A1295" s="2252" t="s">
        <v>2158</v>
      </c>
      <c r="B1295" s="2253" t="str">
        <f>报表附注!E1611</f>
        <v>2、预计后期到票的无票支出</v>
      </c>
      <c r="C1295" s="2260">
        <f>报表附注!I1611</f>
        <v>0</v>
      </c>
      <c r="D1295" s="2252" t="b">
        <f t="shared" si="26"/>
        <v>0</v>
      </c>
    </row>
    <row r="1296" spans="1:4">
      <c r="A1296" s="2252" t="s">
        <v>2159</v>
      </c>
      <c r="B1296" s="2253" t="str">
        <f>报表附注!E1612</f>
        <v>3、分期付款购入存货融资费用</v>
      </c>
      <c r="C1296" s="2260">
        <f>报表附注!I1612</f>
        <v>0</v>
      </c>
      <c r="D1296" s="2252" t="b">
        <f t="shared" si="26"/>
        <v>0</v>
      </c>
    </row>
    <row r="1297" spans="1:4">
      <c r="A1297" s="2252" t="s">
        <v>2160</v>
      </c>
      <c r="B1297" s="2253" t="str">
        <f>报表附注!E1613</f>
        <v>4、非同一控制下企业合并产生递延所得税资产</v>
      </c>
      <c r="C1297" s="2260">
        <f>报表附注!I1613</f>
        <v>0</v>
      </c>
      <c r="D1297" s="2252" t="b">
        <f t="shared" si="26"/>
        <v>0</v>
      </c>
    </row>
    <row r="1298" spans="1:4">
      <c r="A1298" s="2252" t="s">
        <v>2161</v>
      </c>
      <c r="B1298" s="2253" t="str">
        <f>报表附注!E1614</f>
        <v>5、计提未付的工资</v>
      </c>
      <c r="C1298" s="2260">
        <f>报表附注!I1614</f>
        <v>0</v>
      </c>
      <c r="D1298" s="2252" t="b">
        <f t="shared" si="26"/>
        <v>0</v>
      </c>
    </row>
    <row r="1299" spans="1:4">
      <c r="A1299" s="2252" t="s">
        <v>2162</v>
      </c>
      <c r="B1299" s="2253" t="str">
        <f>报表附注!E1615</f>
        <v>6、递延收益</v>
      </c>
      <c r="C1299" s="2260">
        <f>报表附注!I1615</f>
        <v>0</v>
      </c>
      <c r="D1299" s="2252" t="b">
        <f t="shared" si="26"/>
        <v>0</v>
      </c>
    </row>
    <row r="1300" spans="1:4">
      <c r="A1300" s="2252" t="s">
        <v>2163</v>
      </c>
      <c r="B1300" s="2253" t="str">
        <f>报表附注!E1616</f>
        <v>7、内部交易未实现损益</v>
      </c>
      <c r="C1300" s="2260">
        <f>报表附注!I1616</f>
        <v>0</v>
      </c>
      <c r="D1300" s="2252" t="b">
        <f t="shared" si="26"/>
        <v>0</v>
      </c>
    </row>
    <row r="1301" spans="1:4">
      <c r="A1301" s="2252" t="s">
        <v>937</v>
      </c>
      <c r="B1301" s="2253" t="str">
        <f>报表附注!E1617</f>
        <v>二、递延所得税负债</v>
      </c>
      <c r="C1301" s="2260">
        <f>报表附注!I1617</f>
        <v>0</v>
      </c>
      <c r="D1301" s="2252" t="b">
        <f t="shared" si="26"/>
        <v>1</v>
      </c>
    </row>
    <row r="1302" spans="1:4">
      <c r="A1302" s="2252" t="s">
        <v>2164</v>
      </c>
      <c r="B1302" s="2253" t="str">
        <f>报表附注!E1618</f>
        <v>1、交易性金融工具、衍生金融工具的估值</v>
      </c>
      <c r="C1302" s="2260">
        <f>报表附注!I1618</f>
        <v>0</v>
      </c>
      <c r="D1302" s="2252" t="b">
        <f t="shared" si="26"/>
        <v>0</v>
      </c>
    </row>
    <row r="1303" spans="1:4">
      <c r="A1303" s="2252" t="s">
        <v>2165</v>
      </c>
      <c r="B1303" s="2253" t="str">
        <f>报表附注!E1619</f>
        <v>2、计入资本公积的可供出售金融资产公允价值变动</v>
      </c>
      <c r="C1303" s="2260">
        <f>报表附注!I1619</f>
        <v>0</v>
      </c>
      <c r="D1303" s="2252" t="b">
        <f t="shared" si="26"/>
        <v>0</v>
      </c>
    </row>
    <row r="1304" spans="1:4">
      <c r="A1304" s="2252" t="s">
        <v>2162</v>
      </c>
      <c r="B1304" s="2253" t="str">
        <f>报表附注!E1620</f>
        <v>3、非同一控制下企业合并产生递延所得税负债</v>
      </c>
      <c r="C1304" s="2260">
        <f>报表附注!I1620</f>
        <v>0</v>
      </c>
      <c r="D1304" s="2252" t="b">
        <f t="shared" si="26"/>
        <v>0</v>
      </c>
    </row>
    <row r="1305" spans="1:4">
      <c r="A1305" s="2252" t="s">
        <v>2163</v>
      </c>
      <c r="B1305" s="2253" t="str">
        <f>报表附注!E1621</f>
        <v>4、内部交易未实现损益</v>
      </c>
      <c r="C1305" s="2260">
        <f>报表附注!I1621</f>
        <v>0</v>
      </c>
      <c r="D1305" s="2252" t="b">
        <f t="shared" si="26"/>
        <v>0</v>
      </c>
    </row>
    <row r="1306" spans="1:4">
      <c r="A1306" s="2252" t="s">
        <v>2166</v>
      </c>
      <c r="B1306" s="2253" t="str">
        <f>报表附注!E1622</f>
        <v>5、固定资产评估增值</v>
      </c>
      <c r="C1306" s="2260">
        <f>报表附注!I1622</f>
        <v>0</v>
      </c>
      <c r="D1306" s="2252" t="b">
        <f t="shared" si="26"/>
        <v>0</v>
      </c>
    </row>
    <row r="1307" spans="1:4">
      <c r="A1307" s="2252" t="s">
        <v>2167</v>
      </c>
      <c r="B1307" s="2253" t="str">
        <f>报表附注!E1623</f>
        <v>新增项目4……</v>
      </c>
      <c r="C1307" s="2260">
        <f>报表附注!I1623</f>
        <v>0</v>
      </c>
      <c r="D1307" s="2252" t="b">
        <f t="shared" si="26"/>
        <v>1</v>
      </c>
    </row>
    <row r="1308" spans="1:4">
      <c r="A1308" s="2252" t="s">
        <v>2168</v>
      </c>
      <c r="B1308" s="2253" t="str">
        <f>报表附注!E1624</f>
        <v>新增项目5……</v>
      </c>
      <c r="C1308" s="2260">
        <f>报表附注!I1624</f>
        <v>0</v>
      </c>
      <c r="D1308" s="2252" t="b">
        <f t="shared" si="26"/>
        <v>1</v>
      </c>
    </row>
    <row r="1309" spans="1:4">
      <c r="A1309" s="2252" t="s">
        <v>2169</v>
      </c>
      <c r="B1309" s="2253" t="str">
        <f>报表附注!E1625</f>
        <v>新增项目6……</v>
      </c>
      <c r="C1309" s="2260">
        <f>报表附注!I1625</f>
        <v>0</v>
      </c>
      <c r="D1309" s="2252" t="b">
        <f t="shared" si="26"/>
        <v>1</v>
      </c>
    </row>
    <row r="1310" spans="1:4">
      <c r="A1310" s="2252" t="s">
        <v>2170</v>
      </c>
      <c r="B1310" s="2253" t="str">
        <f>报表附注!E1626</f>
        <v>新增项目7……</v>
      </c>
      <c r="C1310" s="2260">
        <f>报表附注!I1626</f>
        <v>0</v>
      </c>
      <c r="D1310" s="2252" t="b">
        <f t="shared" si="26"/>
        <v>1</v>
      </c>
    </row>
    <row r="1311" spans="1:4">
      <c r="A1311" s="2252" t="s">
        <v>2171</v>
      </c>
      <c r="B1311" s="2253" t="str">
        <f>报表附注!E1627</f>
        <v>新增项目8……</v>
      </c>
      <c r="C1311" s="2260">
        <f>报表附注!I1627</f>
        <v>0</v>
      </c>
      <c r="D1311" s="2252" t="b">
        <f t="shared" si="26"/>
        <v>1</v>
      </c>
    </row>
    <row r="1312" spans="1:4">
      <c r="A1312" s="2252" t="s">
        <v>2172</v>
      </c>
      <c r="B1312" s="2253" t="str">
        <f>报表附注!E1628</f>
        <v>新增项目9……</v>
      </c>
      <c r="C1312" s="2260">
        <f>报表附注!I1628</f>
        <v>0</v>
      </c>
      <c r="D1312" s="2252" t="b">
        <f t="shared" si="26"/>
        <v>1</v>
      </c>
    </row>
    <row r="1313" spans="1:4">
      <c r="A1313" s="2252" t="s">
        <v>2173</v>
      </c>
      <c r="B1313" s="2253" t="str">
        <f>报表附注!E1629</f>
        <v>新增项目10……</v>
      </c>
      <c r="C1313" s="2260">
        <f>报表附注!I1629</f>
        <v>0</v>
      </c>
      <c r="D1313" s="2252" t="b">
        <f t="shared" si="26"/>
        <v>1</v>
      </c>
    </row>
    <row r="1314" spans="4:4">
      <c r="D1314" s="2252" t="b">
        <f t="shared" si="26"/>
        <v>1</v>
      </c>
    </row>
    <row r="1315" spans="1:4">
      <c r="A1315" s="2252" t="s">
        <v>2176</v>
      </c>
      <c r="B1315" s="2257" t="s">
        <v>2176</v>
      </c>
      <c r="D1315" s="2252" t="b">
        <f t="shared" si="26"/>
        <v>1</v>
      </c>
    </row>
    <row r="1316" spans="1:4">
      <c r="A1316" s="2252" t="s">
        <v>516</v>
      </c>
      <c r="B1316" s="2273" t="s">
        <v>516</v>
      </c>
      <c r="D1316" s="2252" t="b">
        <f t="shared" si="26"/>
        <v>1</v>
      </c>
    </row>
    <row r="1317" spans="1:4">
      <c r="A1317" s="2252" t="s">
        <v>2177</v>
      </c>
      <c r="B1317" s="2253" t="str">
        <f>报表附注!E1637</f>
        <v>可抵扣暂时性差异</v>
      </c>
      <c r="C1317" s="2260">
        <f>报表附注!F1637</f>
        <v>0</v>
      </c>
      <c r="D1317" s="2252" t="b">
        <f t="shared" si="26"/>
        <v>1</v>
      </c>
    </row>
    <row r="1318" spans="1:4">
      <c r="A1318" s="2252" t="s">
        <v>2161</v>
      </c>
      <c r="B1318" s="2253" t="str">
        <f>报表附注!E1638</f>
        <v>可抵扣亏损</v>
      </c>
      <c r="C1318" s="2260">
        <f>报表附注!F1638</f>
        <v>0</v>
      </c>
      <c r="D1318" s="2252" t="b">
        <f t="shared" si="26"/>
        <v>1</v>
      </c>
    </row>
    <row r="1319" spans="1:4">
      <c r="A1319" s="2252" t="s">
        <v>2162</v>
      </c>
      <c r="B1319" s="2253" t="str">
        <f>报表附注!E1639</f>
        <v>新增项目1……</v>
      </c>
      <c r="C1319" s="2260">
        <f>报表附注!F1639</f>
        <v>0</v>
      </c>
      <c r="D1319" s="2252" t="b">
        <f t="shared" si="26"/>
        <v>1</v>
      </c>
    </row>
    <row r="1320" spans="1:4">
      <c r="A1320" s="2252" t="s">
        <v>2163</v>
      </c>
      <c r="B1320" s="2253" t="str">
        <f>报表附注!E1640</f>
        <v>新增项目2……</v>
      </c>
      <c r="C1320" s="2260">
        <f>报表附注!F1640</f>
        <v>0</v>
      </c>
      <c r="D1320" s="2252" t="b">
        <f t="shared" si="26"/>
        <v>1</v>
      </c>
    </row>
    <row r="1321" spans="1:4">
      <c r="A1321" s="2252" t="s">
        <v>2166</v>
      </c>
      <c r="B1321" s="2253" t="str">
        <f>报表附注!E1641</f>
        <v>新增项目3……</v>
      </c>
      <c r="C1321" s="2260">
        <f>报表附注!F1641</f>
        <v>0</v>
      </c>
      <c r="D1321" s="2252" t="b">
        <f t="shared" si="26"/>
        <v>1</v>
      </c>
    </row>
    <row r="1322" spans="1:4">
      <c r="A1322" s="2252" t="s">
        <v>2167</v>
      </c>
      <c r="B1322" s="2253" t="str">
        <f>报表附注!E1642</f>
        <v>新增项目4……</v>
      </c>
      <c r="C1322" s="2260">
        <f>报表附注!F1642</f>
        <v>0</v>
      </c>
      <c r="D1322" s="2252" t="b">
        <f t="shared" si="26"/>
        <v>1</v>
      </c>
    </row>
    <row r="1323" spans="1:4">
      <c r="A1323" s="2252" t="s">
        <v>2168</v>
      </c>
      <c r="B1323" s="2253" t="str">
        <f>报表附注!E1643</f>
        <v>新增项目5……</v>
      </c>
      <c r="C1323" s="2260">
        <f>报表附注!F1643</f>
        <v>0</v>
      </c>
      <c r="D1323" s="2252" t="b">
        <f t="shared" si="26"/>
        <v>1</v>
      </c>
    </row>
    <row r="1324" spans="1:4">
      <c r="A1324" s="2252" t="s">
        <v>2021</v>
      </c>
      <c r="B1324" s="2263" t="str">
        <f>报表附注!E1644</f>
        <v>合计</v>
      </c>
      <c r="C1324" s="2260">
        <f>报表附注!F1644</f>
        <v>0</v>
      </c>
      <c r="D1324" s="2252" t="b">
        <f t="shared" si="26"/>
        <v>1</v>
      </c>
    </row>
    <row r="1325" spans="1:4">
      <c r="A1325" s="2252" t="s">
        <v>671</v>
      </c>
      <c r="B1325" s="2273" t="s">
        <v>671</v>
      </c>
      <c r="D1325" s="2252" t="b">
        <f t="shared" si="26"/>
        <v>1</v>
      </c>
    </row>
    <row r="1326" spans="1:4">
      <c r="A1326" s="2252" t="s">
        <v>2177</v>
      </c>
      <c r="B1326" s="2253" t="str">
        <f>报表附注!E1637</f>
        <v>可抵扣暂时性差异</v>
      </c>
      <c r="C1326" s="2260">
        <f>报表附注!G1637</f>
        <v>5573.39000000083</v>
      </c>
      <c r="D1326" s="2252" t="b">
        <f t="shared" si="26"/>
        <v>1</v>
      </c>
    </row>
    <row r="1327" spans="1:4">
      <c r="A1327" s="2252" t="s">
        <v>2161</v>
      </c>
      <c r="B1327" s="2253" t="str">
        <f>报表附注!E1638</f>
        <v>可抵扣亏损</v>
      </c>
      <c r="C1327" s="2260">
        <f>报表附注!G1638</f>
        <v>0</v>
      </c>
      <c r="D1327" s="2252" t="b">
        <f t="shared" si="26"/>
        <v>1</v>
      </c>
    </row>
    <row r="1328" spans="1:4">
      <c r="A1328" s="2252" t="s">
        <v>2162</v>
      </c>
      <c r="B1328" s="2253" t="str">
        <f>报表附注!E1639</f>
        <v>新增项目1……</v>
      </c>
      <c r="C1328" s="2260">
        <f>报表附注!G1639</f>
        <v>0</v>
      </c>
      <c r="D1328" s="2252" t="b">
        <f t="shared" si="26"/>
        <v>1</v>
      </c>
    </row>
    <row r="1329" spans="1:4">
      <c r="A1329" s="2252" t="s">
        <v>2163</v>
      </c>
      <c r="B1329" s="2253" t="str">
        <f>报表附注!E1640</f>
        <v>新增项目2……</v>
      </c>
      <c r="C1329" s="2260">
        <f>报表附注!G1640</f>
        <v>0</v>
      </c>
      <c r="D1329" s="2252" t="b">
        <f t="shared" si="26"/>
        <v>1</v>
      </c>
    </row>
    <row r="1330" spans="1:4">
      <c r="A1330" s="2252" t="s">
        <v>2166</v>
      </c>
      <c r="B1330" s="2253" t="str">
        <f>报表附注!E1641</f>
        <v>新增项目3……</v>
      </c>
      <c r="C1330" s="2260">
        <f>报表附注!G1641</f>
        <v>0</v>
      </c>
      <c r="D1330" s="2252" t="b">
        <f t="shared" si="26"/>
        <v>1</v>
      </c>
    </row>
    <row r="1331" spans="1:4">
      <c r="A1331" s="2252" t="s">
        <v>2167</v>
      </c>
      <c r="B1331" s="2253" t="str">
        <f>报表附注!E1642</f>
        <v>新增项目4……</v>
      </c>
      <c r="C1331" s="2260">
        <f>报表附注!G1642</f>
        <v>0</v>
      </c>
      <c r="D1331" s="2252" t="b">
        <f t="shared" si="26"/>
        <v>1</v>
      </c>
    </row>
    <row r="1332" spans="1:4">
      <c r="A1332" s="2252" t="s">
        <v>2168</v>
      </c>
      <c r="B1332" s="2253" t="str">
        <f>报表附注!E1643</f>
        <v>新增项目5……</v>
      </c>
      <c r="C1332" s="2260">
        <f>报表附注!G1643</f>
        <v>0</v>
      </c>
      <c r="D1332" s="2252" t="b">
        <f t="shared" si="26"/>
        <v>1</v>
      </c>
    </row>
    <row r="1333" spans="1:4">
      <c r="A1333" s="2252" t="s">
        <v>2021</v>
      </c>
      <c r="B1333" s="2263" t="str">
        <f>报表附注!E1644</f>
        <v>合计</v>
      </c>
      <c r="C1333" s="2260">
        <f>报表附注!G1644</f>
        <v>5573.39000000083</v>
      </c>
      <c r="D1333" s="2252" t="b">
        <f t="shared" si="26"/>
        <v>1</v>
      </c>
    </row>
    <row r="1334" spans="4:4">
      <c r="D1334" s="2252" t="b">
        <f t="shared" si="26"/>
        <v>1</v>
      </c>
    </row>
    <row r="1335" spans="1:4">
      <c r="A1335" s="2252" t="s">
        <v>2178</v>
      </c>
      <c r="B1335" s="2298" t="s">
        <v>2178</v>
      </c>
      <c r="D1335" s="2252" t="b">
        <f t="shared" si="26"/>
        <v>1</v>
      </c>
    </row>
    <row r="1336" spans="1:4">
      <c r="A1336" s="2252" t="s">
        <v>516</v>
      </c>
      <c r="B1336" s="2273" t="s">
        <v>516</v>
      </c>
      <c r="D1336" s="2252" t="b">
        <f t="shared" si="26"/>
        <v>1</v>
      </c>
    </row>
    <row r="1337" spans="1:4">
      <c r="A1337" s="2252">
        <v>2011</v>
      </c>
      <c r="B1337" s="2299">
        <f>报表附注!E1648</f>
        <v>2016</v>
      </c>
      <c r="C1337" s="2260">
        <f>报表附注!F1648</f>
        <v>0</v>
      </c>
      <c r="D1337" s="2252" t="b">
        <f t="shared" si="26"/>
        <v>0</v>
      </c>
    </row>
    <row r="1338" spans="1:4">
      <c r="A1338" s="2252">
        <v>2012</v>
      </c>
      <c r="B1338" s="2299">
        <f>报表附注!E1649</f>
        <v>2017</v>
      </c>
      <c r="C1338" s="2260">
        <f>报表附注!F1649</f>
        <v>0</v>
      </c>
      <c r="D1338" s="2252" t="b">
        <f t="shared" si="26"/>
        <v>0</v>
      </c>
    </row>
    <row r="1339" spans="1:4">
      <c r="A1339" s="2252">
        <v>2013</v>
      </c>
      <c r="B1339" s="2299">
        <f>报表附注!E1650</f>
        <v>2018</v>
      </c>
      <c r="C1339" s="2260">
        <f>报表附注!F1650</f>
        <v>0</v>
      </c>
      <c r="D1339" s="2252" t="b">
        <f t="shared" si="26"/>
        <v>0</v>
      </c>
    </row>
    <row r="1340" spans="1:4">
      <c r="A1340" s="2252">
        <v>2014</v>
      </c>
      <c r="B1340" s="2299">
        <f>报表附注!E1651</f>
        <v>2019</v>
      </c>
      <c r="C1340" s="2260">
        <f>报表附注!F1651</f>
        <v>0</v>
      </c>
      <c r="D1340" s="2252" t="b">
        <f t="shared" si="26"/>
        <v>0</v>
      </c>
    </row>
    <row r="1341" spans="1:4">
      <c r="A1341" s="2252">
        <v>2015</v>
      </c>
      <c r="B1341" s="2299">
        <f>报表附注!E1652</f>
        <v>2020</v>
      </c>
      <c r="C1341" s="2260">
        <f>报表附注!F1652</f>
        <v>0</v>
      </c>
      <c r="D1341" s="2252" t="b">
        <f t="shared" si="26"/>
        <v>0</v>
      </c>
    </row>
    <row r="1342" spans="1:4">
      <c r="A1342" s="2252" t="s">
        <v>2021</v>
      </c>
      <c r="B1342" s="2300" t="str">
        <f>报表附注!E1653</f>
        <v>合计</v>
      </c>
      <c r="C1342" s="2260">
        <f>报表附注!F1653</f>
        <v>0</v>
      </c>
      <c r="D1342" s="2252" t="b">
        <f t="shared" si="26"/>
        <v>1</v>
      </c>
    </row>
    <row r="1343" spans="1:4">
      <c r="A1343" s="2252" t="s">
        <v>671</v>
      </c>
      <c r="B1343" s="2273" t="s">
        <v>671</v>
      </c>
      <c r="D1343" s="2252" t="b">
        <f t="shared" si="26"/>
        <v>1</v>
      </c>
    </row>
    <row r="1344" spans="1:4">
      <c r="A1344" s="2252">
        <v>2011</v>
      </c>
      <c r="B1344" s="2299">
        <f>报表附注!E1648</f>
        <v>2016</v>
      </c>
      <c r="C1344" s="2260">
        <f>报表附注!G1648</f>
        <v>0</v>
      </c>
      <c r="D1344" s="2252" t="b">
        <f t="shared" si="26"/>
        <v>0</v>
      </c>
    </row>
    <row r="1345" spans="1:4">
      <c r="A1345" s="2252">
        <v>2012</v>
      </c>
      <c r="B1345" s="2299">
        <f>报表附注!E1649</f>
        <v>2017</v>
      </c>
      <c r="C1345" s="2260">
        <f>报表附注!G1649</f>
        <v>0</v>
      </c>
      <c r="D1345" s="2252" t="b">
        <f t="shared" si="26"/>
        <v>0</v>
      </c>
    </row>
    <row r="1346" spans="1:4">
      <c r="A1346" s="2252">
        <v>2013</v>
      </c>
      <c r="B1346" s="2299">
        <f>报表附注!E1650</f>
        <v>2018</v>
      </c>
      <c r="C1346" s="2260">
        <f>报表附注!G1650</f>
        <v>0</v>
      </c>
      <c r="D1346" s="2252" t="b">
        <f t="shared" si="26"/>
        <v>0</v>
      </c>
    </row>
    <row r="1347" spans="1:4">
      <c r="A1347" s="2252">
        <v>2014</v>
      </c>
      <c r="B1347" s="2299">
        <f>报表附注!E1651</f>
        <v>2019</v>
      </c>
      <c r="C1347" s="2260">
        <f>报表附注!G1651</f>
        <v>0</v>
      </c>
      <c r="D1347" s="2252" t="b">
        <f t="shared" si="26"/>
        <v>0</v>
      </c>
    </row>
    <row r="1348" spans="1:4">
      <c r="A1348" s="2252">
        <v>2015</v>
      </c>
      <c r="B1348" s="2299">
        <f>报表附注!E1652</f>
        <v>2020</v>
      </c>
      <c r="C1348" s="2260">
        <f>报表附注!G1652</f>
        <v>0</v>
      </c>
      <c r="D1348" s="2252" t="b">
        <f t="shared" si="26"/>
        <v>0</v>
      </c>
    </row>
    <row r="1349" spans="1:4">
      <c r="A1349" s="2252" t="s">
        <v>2021</v>
      </c>
      <c r="B1349" s="2300" t="str">
        <f>报表附注!E1653</f>
        <v>合计</v>
      </c>
      <c r="C1349" s="2260">
        <f>报表附注!G1653</f>
        <v>0</v>
      </c>
      <c r="D1349" s="2252" t="b">
        <f t="shared" si="26"/>
        <v>1</v>
      </c>
    </row>
    <row r="1350" spans="4:4">
      <c r="D1350" s="2252" t="b">
        <f t="shared" si="26"/>
        <v>1</v>
      </c>
    </row>
    <row r="1351" spans="1:9">
      <c r="A1351" s="2010" t="s">
        <v>2179</v>
      </c>
      <c r="B1351" s="2293" t="s">
        <v>2179</v>
      </c>
      <c r="C1351" s="2023"/>
      <c r="D1351" s="2252" t="b">
        <f t="shared" si="26"/>
        <v>1</v>
      </c>
      <c r="F1351" s="2252"/>
      <c r="H1351" s="2023"/>
      <c r="I1351" s="2023"/>
    </row>
    <row r="1352" spans="1:9">
      <c r="A1352" s="2010" t="s">
        <v>2180</v>
      </c>
      <c r="B1352" s="2293" t="s">
        <v>2180</v>
      </c>
      <c r="C1352" s="2023"/>
      <c r="D1352" s="2252" t="b">
        <f t="shared" si="26"/>
        <v>1</v>
      </c>
      <c r="F1352" s="2252"/>
      <c r="H1352" s="2023"/>
      <c r="I1352" s="2023"/>
    </row>
    <row r="1353" spans="1:9">
      <c r="A1353" s="2010" t="s">
        <v>2181</v>
      </c>
      <c r="B1353" s="2301" t="s">
        <v>2181</v>
      </c>
      <c r="C1353" s="2023"/>
      <c r="D1353" s="2252" t="b">
        <f t="shared" si="26"/>
        <v>1</v>
      </c>
      <c r="F1353" s="2252"/>
      <c r="H1353" s="2023"/>
      <c r="I1353" s="2023"/>
    </row>
    <row r="1354" spans="1:4">
      <c r="A1354" s="2252" t="s">
        <v>935</v>
      </c>
      <c r="B1354" s="2253" t="str">
        <f>报表附注!E1683</f>
        <v>一、递延所得税资产</v>
      </c>
      <c r="C1354" s="2260">
        <f>报表附注!F1683</f>
        <v>0</v>
      </c>
      <c r="D1354" s="2252" t="b">
        <f t="shared" si="26"/>
        <v>1</v>
      </c>
    </row>
    <row r="1355" spans="1:4">
      <c r="A1355" s="2252" t="s">
        <v>2150</v>
      </c>
      <c r="B1355" s="2253" t="str">
        <f>报表附注!E1684</f>
        <v>1、资产减值准备：</v>
      </c>
      <c r="C1355" s="2260">
        <f>报表附注!F1684</f>
        <v>0</v>
      </c>
      <c r="D1355" s="2252" t="b">
        <f t="shared" si="26"/>
        <v>0</v>
      </c>
    </row>
    <row r="1356" spans="1:4">
      <c r="A1356" s="2252" t="s">
        <v>2151</v>
      </c>
      <c r="B1356" s="2253" t="str">
        <f>报表附注!E1685</f>
        <v>      其中：坏账准备</v>
      </c>
      <c r="C1356" s="2260">
        <f>报表附注!F1685</f>
        <v>0</v>
      </c>
      <c r="D1356" s="2252" t="b">
        <f t="shared" ref="D1356:D1419" si="27">EXACT(A1356,B1356)</f>
        <v>1</v>
      </c>
    </row>
    <row r="1357" spans="1:4">
      <c r="A1357" s="2252" t="s">
        <v>2152</v>
      </c>
      <c r="B1357" s="2253" t="str">
        <f>报表附注!E1686</f>
        <v>           存货减值</v>
      </c>
      <c r="C1357" s="2260">
        <f>报表附注!F1686</f>
        <v>0</v>
      </c>
      <c r="D1357" s="2252" t="b">
        <f t="shared" si="27"/>
        <v>1</v>
      </c>
    </row>
    <row r="1358" spans="1:4">
      <c r="A1358" s="2252" t="s">
        <v>2153</v>
      </c>
      <c r="B1358" s="2253" t="str">
        <f>报表附注!E1687</f>
        <v>           在建工程减值</v>
      </c>
      <c r="C1358" s="2260">
        <f>报表附注!F1687</f>
        <v>0</v>
      </c>
      <c r="D1358" s="2252" t="b">
        <f t="shared" si="27"/>
        <v>1</v>
      </c>
    </row>
    <row r="1359" spans="1:4">
      <c r="A1359" s="2252" t="s">
        <v>2154</v>
      </c>
      <c r="B1359" s="2253" t="str">
        <f>报表附注!E1688</f>
        <v>           长期股权投资减值</v>
      </c>
      <c r="C1359" s="2260">
        <f>报表附注!F1688</f>
        <v>0</v>
      </c>
      <c r="D1359" s="2252" t="b">
        <f t="shared" si="27"/>
        <v>1</v>
      </c>
    </row>
    <row r="1360" spans="1:4">
      <c r="A1360" s="2252" t="s">
        <v>2155</v>
      </c>
      <c r="B1360" s="2253" t="str">
        <f>报表附注!E1689</f>
        <v>           固定资产减值</v>
      </c>
      <c r="C1360" s="2260">
        <f>报表附注!F1689</f>
        <v>0</v>
      </c>
      <c r="D1360" s="2252" t="b">
        <f t="shared" si="27"/>
        <v>1</v>
      </c>
    </row>
    <row r="1361" spans="1:4">
      <c r="A1361" s="2252" t="s">
        <v>2156</v>
      </c>
      <c r="B1361" s="2253" t="str">
        <f>报表附注!E1690</f>
        <v>            无形资产减值</v>
      </c>
      <c r="C1361" s="2260">
        <f>报表附注!F1690</f>
        <v>0</v>
      </c>
      <c r="D1361" s="2252" t="b">
        <f t="shared" si="27"/>
        <v>1</v>
      </c>
    </row>
    <row r="1362" spans="1:4">
      <c r="A1362" s="2252" t="s">
        <v>2157</v>
      </c>
      <c r="B1362" s="2253" t="str">
        <f>报表附注!E1691</f>
        <v>            商誉减值</v>
      </c>
      <c r="C1362" s="2260">
        <f>报表附注!F1691</f>
        <v>0</v>
      </c>
      <c r="D1362" s="2252" t="b">
        <f t="shared" si="27"/>
        <v>1</v>
      </c>
    </row>
    <row r="1363" spans="1:4">
      <c r="A1363" s="2252" t="s">
        <v>2158</v>
      </c>
      <c r="B1363" s="2253" t="str">
        <f>报表附注!E1692</f>
        <v>2、预计后期到票的无票支出</v>
      </c>
      <c r="C1363" s="2260">
        <f>报表附注!F1692</f>
        <v>0</v>
      </c>
      <c r="D1363" s="2252" t="b">
        <f t="shared" si="27"/>
        <v>0</v>
      </c>
    </row>
    <row r="1364" spans="1:4">
      <c r="A1364" s="2252" t="s">
        <v>2159</v>
      </c>
      <c r="B1364" s="2253" t="str">
        <f>报表附注!E1693</f>
        <v>3、分期付款购入存货融资费用</v>
      </c>
      <c r="C1364" s="2260">
        <f>报表附注!F1693</f>
        <v>0</v>
      </c>
      <c r="D1364" s="2252" t="b">
        <f t="shared" si="27"/>
        <v>0</v>
      </c>
    </row>
    <row r="1365" spans="1:4">
      <c r="A1365" s="2252" t="s">
        <v>2160</v>
      </c>
      <c r="B1365" s="2253" t="str">
        <f>报表附注!E1694</f>
        <v>4、非同一控制下企业合并产生递延所得税资产</v>
      </c>
      <c r="C1365" s="2260">
        <f>报表附注!F1694</f>
        <v>0</v>
      </c>
      <c r="D1365" s="2252" t="b">
        <f t="shared" si="27"/>
        <v>0</v>
      </c>
    </row>
    <row r="1366" spans="1:4">
      <c r="A1366" s="2252" t="s">
        <v>2161</v>
      </c>
      <c r="B1366" s="2253" t="str">
        <f>报表附注!E1695</f>
        <v>5、计提未付的工资</v>
      </c>
      <c r="C1366" s="2260">
        <f>报表附注!F1695</f>
        <v>0</v>
      </c>
      <c r="D1366" s="2252" t="b">
        <f t="shared" si="27"/>
        <v>0</v>
      </c>
    </row>
    <row r="1367" spans="1:4">
      <c r="A1367" s="2252" t="s">
        <v>2162</v>
      </c>
      <c r="B1367" s="2253" t="str">
        <f>报表附注!E1696</f>
        <v>6、递延收益</v>
      </c>
      <c r="C1367" s="2260">
        <f>报表附注!F1696</f>
        <v>0</v>
      </c>
      <c r="D1367" s="2252" t="b">
        <f t="shared" si="27"/>
        <v>0</v>
      </c>
    </row>
    <row r="1368" spans="1:4">
      <c r="A1368" s="2252" t="s">
        <v>2163</v>
      </c>
      <c r="B1368" s="2253" t="str">
        <f>报表附注!E1697</f>
        <v>7、内部交易未实现损益</v>
      </c>
      <c r="C1368" s="2260">
        <f>报表附注!F1697</f>
        <v>0</v>
      </c>
      <c r="D1368" s="2252" t="b">
        <f t="shared" si="27"/>
        <v>0</v>
      </c>
    </row>
    <row r="1369" spans="1:4">
      <c r="A1369" s="2252" t="s">
        <v>937</v>
      </c>
      <c r="B1369" s="2253" t="str">
        <f>报表附注!E1698</f>
        <v>二、递延所得税负债</v>
      </c>
      <c r="C1369" s="2260">
        <f>报表附注!F1698</f>
        <v>0</v>
      </c>
      <c r="D1369" s="2252" t="b">
        <f t="shared" si="27"/>
        <v>1</v>
      </c>
    </row>
    <row r="1370" spans="1:4">
      <c r="A1370" s="2252" t="s">
        <v>2164</v>
      </c>
      <c r="B1370" s="2253" t="str">
        <f>报表附注!E1699</f>
        <v>1、交易性金融工具、衍生金融工具的估值</v>
      </c>
      <c r="C1370" s="2260">
        <f>报表附注!F1699</f>
        <v>0</v>
      </c>
      <c r="D1370" s="2252" t="b">
        <f t="shared" si="27"/>
        <v>0</v>
      </c>
    </row>
    <row r="1371" spans="1:4">
      <c r="A1371" s="2252" t="s">
        <v>2165</v>
      </c>
      <c r="B1371" s="2253" t="str">
        <f>报表附注!E1700</f>
        <v>2、计入资本公积的可供出售金融资产公允价值变动</v>
      </c>
      <c r="C1371" s="2260">
        <f>报表附注!F1700</f>
        <v>0</v>
      </c>
      <c r="D1371" s="2252" t="b">
        <f t="shared" si="27"/>
        <v>0</v>
      </c>
    </row>
    <row r="1372" spans="1:4">
      <c r="A1372" s="2252" t="s">
        <v>2162</v>
      </c>
      <c r="B1372" s="2253" t="str">
        <f>报表附注!E1701</f>
        <v>3、非同一控制下企业合并产生递延所得税负债</v>
      </c>
      <c r="C1372" s="2260">
        <f>报表附注!F1701</f>
        <v>0</v>
      </c>
      <c r="D1372" s="2252" t="b">
        <f t="shared" si="27"/>
        <v>0</v>
      </c>
    </row>
    <row r="1373" spans="1:4">
      <c r="A1373" s="2252" t="s">
        <v>2163</v>
      </c>
      <c r="B1373" s="2253" t="str">
        <f>报表附注!E1702</f>
        <v>4、内部交易未实现损益</v>
      </c>
      <c r="C1373" s="2260">
        <f>报表附注!F1702</f>
        <v>0</v>
      </c>
      <c r="D1373" s="2252" t="b">
        <f t="shared" si="27"/>
        <v>0</v>
      </c>
    </row>
    <row r="1374" spans="1:4">
      <c r="A1374" s="2252" t="s">
        <v>2166</v>
      </c>
      <c r="B1374" s="2253" t="str">
        <f>报表附注!E1703</f>
        <v>5、固定资产评估增值</v>
      </c>
      <c r="C1374" s="2260">
        <f>报表附注!F1703</f>
        <v>0</v>
      </c>
      <c r="D1374" s="2252" t="b">
        <f t="shared" si="27"/>
        <v>0</v>
      </c>
    </row>
    <row r="1375" spans="1:4">
      <c r="A1375" s="2252" t="s">
        <v>2167</v>
      </c>
      <c r="B1375" s="2253" t="str">
        <f>报表附注!E1704</f>
        <v>新增项目4……</v>
      </c>
      <c r="C1375" s="2260">
        <f>报表附注!F1704</f>
        <v>0</v>
      </c>
      <c r="D1375" s="2252" t="b">
        <f t="shared" si="27"/>
        <v>1</v>
      </c>
    </row>
    <row r="1376" spans="1:4">
      <c r="A1376" s="2252" t="s">
        <v>2168</v>
      </c>
      <c r="B1376" s="2253" t="str">
        <f>报表附注!E1705</f>
        <v>新增项目5……</v>
      </c>
      <c r="C1376" s="2260">
        <f>报表附注!F1705</f>
        <v>0</v>
      </c>
      <c r="D1376" s="2252" t="b">
        <f t="shared" si="27"/>
        <v>1</v>
      </c>
    </row>
    <row r="1377" spans="1:4">
      <c r="A1377" s="2252" t="s">
        <v>2169</v>
      </c>
      <c r="B1377" s="2253" t="str">
        <f>报表附注!E1706</f>
        <v>新增项目6……</v>
      </c>
      <c r="C1377" s="2260">
        <f>报表附注!F1706</f>
        <v>0</v>
      </c>
      <c r="D1377" s="2252" t="b">
        <f t="shared" si="27"/>
        <v>1</v>
      </c>
    </row>
    <row r="1378" spans="1:4">
      <c r="A1378" s="2252" t="s">
        <v>2170</v>
      </c>
      <c r="B1378" s="2253" t="str">
        <f>报表附注!E1707</f>
        <v>新增项目7……</v>
      </c>
      <c r="C1378" s="2260">
        <f>报表附注!F1707</f>
        <v>0</v>
      </c>
      <c r="D1378" s="2252" t="b">
        <f t="shared" si="27"/>
        <v>1</v>
      </c>
    </row>
    <row r="1379" spans="1:4">
      <c r="A1379" s="2252" t="s">
        <v>2171</v>
      </c>
      <c r="B1379" s="2253" t="str">
        <f>报表附注!E1708</f>
        <v>新增项目8……</v>
      </c>
      <c r="C1379" s="2260">
        <f>报表附注!F1708</f>
        <v>0</v>
      </c>
      <c r="D1379" s="2252" t="b">
        <f t="shared" si="27"/>
        <v>1</v>
      </c>
    </row>
    <row r="1380" spans="1:4">
      <c r="A1380" s="2252" t="s">
        <v>2172</v>
      </c>
      <c r="B1380" s="2253" t="str">
        <f>报表附注!E1709</f>
        <v>新增项目9……</v>
      </c>
      <c r="C1380" s="2260">
        <f>报表附注!F1709</f>
        <v>0</v>
      </c>
      <c r="D1380" s="2252" t="b">
        <f t="shared" si="27"/>
        <v>1</v>
      </c>
    </row>
    <row r="1381" spans="1:4">
      <c r="A1381" s="2252" t="s">
        <v>2173</v>
      </c>
      <c r="B1381" s="2253" t="str">
        <f>报表附注!E1710</f>
        <v>新增项目10……</v>
      </c>
      <c r="C1381" s="2260">
        <f>报表附注!F1710</f>
        <v>0</v>
      </c>
      <c r="D1381" s="2252" t="b">
        <f t="shared" si="27"/>
        <v>1</v>
      </c>
    </row>
    <row r="1382" spans="1:4">
      <c r="A1382" s="2252" t="s">
        <v>2182</v>
      </c>
      <c r="B1382" s="2279" t="s">
        <v>2182</v>
      </c>
      <c r="D1382" s="2252" t="b">
        <f t="shared" si="27"/>
        <v>1</v>
      </c>
    </row>
    <row r="1383" spans="1:4">
      <c r="A1383" s="2252" t="s">
        <v>935</v>
      </c>
      <c r="B1383" s="2253" t="str">
        <f>报表附注!E1683</f>
        <v>一、递延所得税资产</v>
      </c>
      <c r="C1383" s="2260">
        <f>报表附注!G1683</f>
        <v>0</v>
      </c>
      <c r="D1383" s="2252" t="b">
        <f t="shared" si="27"/>
        <v>1</v>
      </c>
    </row>
    <row r="1384" spans="1:4">
      <c r="A1384" s="2252" t="s">
        <v>2150</v>
      </c>
      <c r="B1384" s="2253" t="str">
        <f>报表附注!E1684</f>
        <v>1、资产减值准备：</v>
      </c>
      <c r="C1384" s="2260">
        <f>报表附注!G1684</f>
        <v>0</v>
      </c>
      <c r="D1384" s="2252" t="b">
        <f t="shared" si="27"/>
        <v>0</v>
      </c>
    </row>
    <row r="1385" spans="1:4">
      <c r="A1385" s="2252" t="s">
        <v>2151</v>
      </c>
      <c r="B1385" s="2253" t="str">
        <f>报表附注!E1685</f>
        <v>      其中：坏账准备</v>
      </c>
      <c r="C1385" s="2260">
        <f>报表附注!G1685</f>
        <v>0</v>
      </c>
      <c r="D1385" s="2252" t="b">
        <f t="shared" si="27"/>
        <v>1</v>
      </c>
    </row>
    <row r="1386" spans="1:4">
      <c r="A1386" s="2252" t="s">
        <v>2152</v>
      </c>
      <c r="B1386" s="2253" t="str">
        <f>报表附注!E1686</f>
        <v>           存货减值</v>
      </c>
      <c r="C1386" s="2260">
        <f>报表附注!G1686</f>
        <v>0</v>
      </c>
      <c r="D1386" s="2252" t="b">
        <f t="shared" si="27"/>
        <v>1</v>
      </c>
    </row>
    <row r="1387" spans="1:4">
      <c r="A1387" s="2252" t="s">
        <v>2153</v>
      </c>
      <c r="B1387" s="2253" t="str">
        <f>报表附注!E1687</f>
        <v>           在建工程减值</v>
      </c>
      <c r="C1387" s="2260">
        <f>报表附注!G1687</f>
        <v>0</v>
      </c>
      <c r="D1387" s="2252" t="b">
        <f t="shared" si="27"/>
        <v>1</v>
      </c>
    </row>
    <row r="1388" spans="1:4">
      <c r="A1388" s="2252" t="s">
        <v>2154</v>
      </c>
      <c r="B1388" s="2253" t="str">
        <f>报表附注!E1688</f>
        <v>           长期股权投资减值</v>
      </c>
      <c r="C1388" s="2260">
        <f>报表附注!G1688</f>
        <v>0</v>
      </c>
      <c r="D1388" s="2252" t="b">
        <f t="shared" si="27"/>
        <v>1</v>
      </c>
    </row>
    <row r="1389" spans="1:4">
      <c r="A1389" s="2252" t="s">
        <v>2155</v>
      </c>
      <c r="B1389" s="2253" t="str">
        <f>报表附注!E1689</f>
        <v>           固定资产减值</v>
      </c>
      <c r="C1389" s="2260">
        <f>报表附注!G1689</f>
        <v>0</v>
      </c>
      <c r="D1389" s="2252" t="b">
        <f t="shared" si="27"/>
        <v>1</v>
      </c>
    </row>
    <row r="1390" spans="1:4">
      <c r="A1390" s="2252" t="s">
        <v>2156</v>
      </c>
      <c r="B1390" s="2253" t="str">
        <f>报表附注!E1690</f>
        <v>            无形资产减值</v>
      </c>
      <c r="C1390" s="2260">
        <f>报表附注!G1690</f>
        <v>0</v>
      </c>
      <c r="D1390" s="2252" t="b">
        <f t="shared" si="27"/>
        <v>1</v>
      </c>
    </row>
    <row r="1391" spans="1:4">
      <c r="A1391" s="2252" t="s">
        <v>2157</v>
      </c>
      <c r="B1391" s="2253" t="str">
        <f>报表附注!E1691</f>
        <v>            商誉减值</v>
      </c>
      <c r="C1391" s="2260">
        <f>报表附注!G1691</f>
        <v>0</v>
      </c>
      <c r="D1391" s="2252" t="b">
        <f t="shared" si="27"/>
        <v>1</v>
      </c>
    </row>
    <row r="1392" spans="1:4">
      <c r="A1392" s="2252" t="s">
        <v>2158</v>
      </c>
      <c r="B1392" s="2253" t="str">
        <f>报表附注!E1692</f>
        <v>2、预计后期到票的无票支出</v>
      </c>
      <c r="C1392" s="2260">
        <f>报表附注!G1692</f>
        <v>0</v>
      </c>
      <c r="D1392" s="2252" t="b">
        <f t="shared" si="27"/>
        <v>0</v>
      </c>
    </row>
    <row r="1393" spans="1:4">
      <c r="A1393" s="2252" t="s">
        <v>2159</v>
      </c>
      <c r="B1393" s="2253" t="str">
        <f>报表附注!E1693</f>
        <v>3、分期付款购入存货融资费用</v>
      </c>
      <c r="C1393" s="2260">
        <f>报表附注!G1693</f>
        <v>0</v>
      </c>
      <c r="D1393" s="2252" t="b">
        <f t="shared" si="27"/>
        <v>0</v>
      </c>
    </row>
    <row r="1394" spans="1:4">
      <c r="A1394" s="2252" t="s">
        <v>2160</v>
      </c>
      <c r="B1394" s="2253" t="str">
        <f>报表附注!E1694</f>
        <v>4、非同一控制下企业合并产生递延所得税资产</v>
      </c>
      <c r="C1394" s="2260">
        <f>报表附注!G1694</f>
        <v>0</v>
      </c>
      <c r="D1394" s="2252" t="b">
        <f t="shared" si="27"/>
        <v>0</v>
      </c>
    </row>
    <row r="1395" spans="1:4">
      <c r="A1395" s="2252" t="s">
        <v>2161</v>
      </c>
      <c r="B1395" s="2253" t="str">
        <f>报表附注!E1695</f>
        <v>5、计提未付的工资</v>
      </c>
      <c r="C1395" s="2260">
        <f>报表附注!G1695</f>
        <v>0</v>
      </c>
      <c r="D1395" s="2252" t="b">
        <f t="shared" si="27"/>
        <v>0</v>
      </c>
    </row>
    <row r="1396" spans="1:4">
      <c r="A1396" s="2252" t="s">
        <v>2162</v>
      </c>
      <c r="B1396" s="2253" t="str">
        <f>报表附注!E1696</f>
        <v>6、递延收益</v>
      </c>
      <c r="C1396" s="2260">
        <f>报表附注!G1696</f>
        <v>0</v>
      </c>
      <c r="D1396" s="2252" t="b">
        <f t="shared" si="27"/>
        <v>0</v>
      </c>
    </row>
    <row r="1397" spans="1:4">
      <c r="A1397" s="2252" t="s">
        <v>2163</v>
      </c>
      <c r="B1397" s="2253" t="str">
        <f>报表附注!E1697</f>
        <v>7、内部交易未实现损益</v>
      </c>
      <c r="C1397" s="2260">
        <f>报表附注!G1697</f>
        <v>0</v>
      </c>
      <c r="D1397" s="2252" t="b">
        <f t="shared" si="27"/>
        <v>0</v>
      </c>
    </row>
    <row r="1398" spans="1:4">
      <c r="A1398" s="2252" t="s">
        <v>937</v>
      </c>
      <c r="B1398" s="2253" t="str">
        <f>报表附注!E1698</f>
        <v>二、递延所得税负债</v>
      </c>
      <c r="C1398" s="2260">
        <f>报表附注!G1698</f>
        <v>0</v>
      </c>
      <c r="D1398" s="2252" t="b">
        <f t="shared" si="27"/>
        <v>1</v>
      </c>
    </row>
    <row r="1399" spans="1:4">
      <c r="A1399" s="2252" t="s">
        <v>2164</v>
      </c>
      <c r="B1399" s="2253" t="str">
        <f>报表附注!E1699</f>
        <v>1、交易性金融工具、衍生金融工具的估值</v>
      </c>
      <c r="C1399" s="2260">
        <f>报表附注!G1699</f>
        <v>0</v>
      </c>
      <c r="D1399" s="2252" t="b">
        <f t="shared" si="27"/>
        <v>0</v>
      </c>
    </row>
    <row r="1400" spans="1:4">
      <c r="A1400" s="2252" t="s">
        <v>2165</v>
      </c>
      <c r="B1400" s="2253" t="str">
        <f>报表附注!E1700</f>
        <v>2、计入资本公积的可供出售金融资产公允价值变动</v>
      </c>
      <c r="C1400" s="2260">
        <f>报表附注!G1700</f>
        <v>0</v>
      </c>
      <c r="D1400" s="2252" t="b">
        <f t="shared" si="27"/>
        <v>0</v>
      </c>
    </row>
    <row r="1401" spans="1:4">
      <c r="A1401" s="2252" t="s">
        <v>2162</v>
      </c>
      <c r="B1401" s="2253" t="str">
        <f>报表附注!E1701</f>
        <v>3、非同一控制下企业合并产生递延所得税负债</v>
      </c>
      <c r="C1401" s="2260">
        <f>报表附注!G1701</f>
        <v>0</v>
      </c>
      <c r="D1401" s="2252" t="b">
        <f t="shared" si="27"/>
        <v>0</v>
      </c>
    </row>
    <row r="1402" spans="1:4">
      <c r="A1402" s="2252" t="s">
        <v>2163</v>
      </c>
      <c r="B1402" s="2253" t="str">
        <f>报表附注!E1702</f>
        <v>4、内部交易未实现损益</v>
      </c>
      <c r="C1402" s="2260">
        <f>报表附注!G1702</f>
        <v>0</v>
      </c>
      <c r="D1402" s="2252" t="b">
        <f t="shared" si="27"/>
        <v>0</v>
      </c>
    </row>
    <row r="1403" spans="1:4">
      <c r="A1403" s="2252" t="s">
        <v>2166</v>
      </c>
      <c r="B1403" s="2253" t="str">
        <f>报表附注!E1703</f>
        <v>5、固定资产评估增值</v>
      </c>
      <c r="C1403" s="2260">
        <f>报表附注!G1703</f>
        <v>0</v>
      </c>
      <c r="D1403" s="2252" t="b">
        <f t="shared" si="27"/>
        <v>0</v>
      </c>
    </row>
    <row r="1404" spans="1:4">
      <c r="A1404" s="2252" t="s">
        <v>2167</v>
      </c>
      <c r="B1404" s="2253" t="str">
        <f>报表附注!E1704</f>
        <v>新增项目4……</v>
      </c>
      <c r="C1404" s="2260">
        <f>报表附注!G1704</f>
        <v>0</v>
      </c>
      <c r="D1404" s="2252" t="b">
        <f t="shared" si="27"/>
        <v>1</v>
      </c>
    </row>
    <row r="1405" spans="1:4">
      <c r="A1405" s="2252" t="s">
        <v>2168</v>
      </c>
      <c r="B1405" s="2253" t="str">
        <f>报表附注!E1705</f>
        <v>新增项目5……</v>
      </c>
      <c r="C1405" s="2260">
        <f>报表附注!G1705</f>
        <v>0</v>
      </c>
      <c r="D1405" s="2252" t="b">
        <f t="shared" si="27"/>
        <v>1</v>
      </c>
    </row>
    <row r="1406" spans="1:4">
      <c r="A1406" s="2252" t="s">
        <v>2169</v>
      </c>
      <c r="B1406" s="2253" t="str">
        <f>报表附注!E1706</f>
        <v>新增项目6……</v>
      </c>
      <c r="C1406" s="2260">
        <f>报表附注!G1706</f>
        <v>0</v>
      </c>
      <c r="D1406" s="2252" t="b">
        <f t="shared" si="27"/>
        <v>1</v>
      </c>
    </row>
    <row r="1407" spans="1:4">
      <c r="A1407" s="2252" t="s">
        <v>2170</v>
      </c>
      <c r="B1407" s="2253" t="str">
        <f>报表附注!E1707</f>
        <v>新增项目7……</v>
      </c>
      <c r="C1407" s="2260">
        <f>报表附注!G1707</f>
        <v>0</v>
      </c>
      <c r="D1407" s="2252" t="b">
        <f t="shared" si="27"/>
        <v>1</v>
      </c>
    </row>
    <row r="1408" spans="1:4">
      <c r="A1408" s="2252" t="s">
        <v>2171</v>
      </c>
      <c r="B1408" s="2253" t="str">
        <f>报表附注!E1708</f>
        <v>新增项目8……</v>
      </c>
      <c r="C1408" s="2260">
        <f>报表附注!G1708</f>
        <v>0</v>
      </c>
      <c r="D1408" s="2252" t="b">
        <f t="shared" si="27"/>
        <v>1</v>
      </c>
    </row>
    <row r="1409" spans="1:4">
      <c r="A1409" s="2252" t="s">
        <v>2172</v>
      </c>
      <c r="B1409" s="2253" t="str">
        <f>报表附注!E1709</f>
        <v>新增项目9……</v>
      </c>
      <c r="C1409" s="2260">
        <f>报表附注!G1709</f>
        <v>0</v>
      </c>
      <c r="D1409" s="2252" t="b">
        <f t="shared" si="27"/>
        <v>1</v>
      </c>
    </row>
    <row r="1410" spans="1:4">
      <c r="A1410" s="2252" t="s">
        <v>2173</v>
      </c>
      <c r="B1410" s="2253" t="str">
        <f>报表附注!E1710</f>
        <v>新增项目10……</v>
      </c>
      <c r="C1410" s="2260">
        <f>报表附注!G1710</f>
        <v>0</v>
      </c>
      <c r="D1410" s="2252" t="b">
        <f t="shared" si="27"/>
        <v>1</v>
      </c>
    </row>
    <row r="1411" spans="1:4">
      <c r="A1411" s="2252" t="s">
        <v>2183</v>
      </c>
      <c r="B1411" s="2279" t="s">
        <v>2183</v>
      </c>
      <c r="D1411" s="2252" t="b">
        <f t="shared" si="27"/>
        <v>1</v>
      </c>
    </row>
    <row r="1412" spans="1:4">
      <c r="A1412" s="2252" t="s">
        <v>935</v>
      </c>
      <c r="B1412" s="2253" t="str">
        <f>报表附注!E1683</f>
        <v>一、递延所得税资产</v>
      </c>
      <c r="C1412" s="2260">
        <f>报表附注!H1683</f>
        <v>0</v>
      </c>
      <c r="D1412" s="2252" t="b">
        <f t="shared" si="27"/>
        <v>1</v>
      </c>
    </row>
    <row r="1413" spans="1:4">
      <c r="A1413" s="2252" t="s">
        <v>2150</v>
      </c>
      <c r="B1413" s="2253" t="str">
        <f>报表附注!E1684</f>
        <v>1、资产减值准备：</v>
      </c>
      <c r="C1413" s="2260">
        <f>报表附注!H1684</f>
        <v>0</v>
      </c>
      <c r="D1413" s="2252" t="b">
        <f t="shared" si="27"/>
        <v>0</v>
      </c>
    </row>
    <row r="1414" spans="1:4">
      <c r="A1414" s="2252" t="s">
        <v>2151</v>
      </c>
      <c r="B1414" s="2253" t="str">
        <f>报表附注!E1685</f>
        <v>      其中：坏账准备</v>
      </c>
      <c r="C1414" s="2260">
        <f>报表附注!H1685</f>
        <v>0</v>
      </c>
      <c r="D1414" s="2252" t="b">
        <f t="shared" si="27"/>
        <v>1</v>
      </c>
    </row>
    <row r="1415" spans="1:4">
      <c r="A1415" s="2252" t="s">
        <v>2152</v>
      </c>
      <c r="B1415" s="2253" t="str">
        <f>报表附注!E1686</f>
        <v>           存货减值</v>
      </c>
      <c r="C1415" s="2260">
        <f>报表附注!H1686</f>
        <v>0</v>
      </c>
      <c r="D1415" s="2252" t="b">
        <f t="shared" si="27"/>
        <v>1</v>
      </c>
    </row>
    <row r="1416" spans="1:4">
      <c r="A1416" s="2252" t="s">
        <v>2153</v>
      </c>
      <c r="B1416" s="2253" t="str">
        <f>报表附注!E1687</f>
        <v>           在建工程减值</v>
      </c>
      <c r="C1416" s="2260">
        <f>报表附注!H1687</f>
        <v>0</v>
      </c>
      <c r="D1416" s="2252" t="b">
        <f t="shared" si="27"/>
        <v>1</v>
      </c>
    </row>
    <row r="1417" spans="1:4">
      <c r="A1417" s="2252" t="s">
        <v>2154</v>
      </c>
      <c r="B1417" s="2253" t="str">
        <f>报表附注!E1688</f>
        <v>           长期股权投资减值</v>
      </c>
      <c r="C1417" s="2260">
        <f>报表附注!H1688</f>
        <v>0</v>
      </c>
      <c r="D1417" s="2252" t="b">
        <f t="shared" si="27"/>
        <v>1</v>
      </c>
    </row>
    <row r="1418" spans="1:4">
      <c r="A1418" s="2252" t="s">
        <v>2155</v>
      </c>
      <c r="B1418" s="2253" t="str">
        <f>报表附注!E1689</f>
        <v>           固定资产减值</v>
      </c>
      <c r="C1418" s="2260">
        <f>报表附注!H1689</f>
        <v>0</v>
      </c>
      <c r="D1418" s="2252" t="b">
        <f t="shared" si="27"/>
        <v>1</v>
      </c>
    </row>
    <row r="1419" spans="1:4">
      <c r="A1419" s="2252" t="s">
        <v>2156</v>
      </c>
      <c r="B1419" s="2253" t="str">
        <f>报表附注!E1690</f>
        <v>            无形资产减值</v>
      </c>
      <c r="C1419" s="2260">
        <f>报表附注!H1690</f>
        <v>0</v>
      </c>
      <c r="D1419" s="2252" t="b">
        <f t="shared" si="27"/>
        <v>1</v>
      </c>
    </row>
    <row r="1420" spans="1:4">
      <c r="A1420" s="2252" t="s">
        <v>2157</v>
      </c>
      <c r="B1420" s="2253" t="str">
        <f>报表附注!E1691</f>
        <v>            商誉减值</v>
      </c>
      <c r="C1420" s="2260">
        <f>报表附注!H1691</f>
        <v>0</v>
      </c>
      <c r="D1420" s="2252" t="b">
        <f t="shared" ref="D1420:D1483" si="28">EXACT(A1420,B1420)</f>
        <v>1</v>
      </c>
    </row>
    <row r="1421" spans="1:4">
      <c r="A1421" s="2252" t="s">
        <v>2158</v>
      </c>
      <c r="B1421" s="2253" t="str">
        <f>报表附注!E1692</f>
        <v>2、预计后期到票的无票支出</v>
      </c>
      <c r="C1421" s="2260">
        <f>报表附注!H1692</f>
        <v>0</v>
      </c>
      <c r="D1421" s="2252" t="b">
        <f t="shared" si="28"/>
        <v>0</v>
      </c>
    </row>
    <row r="1422" spans="1:4">
      <c r="A1422" s="2252" t="s">
        <v>2159</v>
      </c>
      <c r="B1422" s="2253" t="str">
        <f>报表附注!E1693</f>
        <v>3、分期付款购入存货融资费用</v>
      </c>
      <c r="C1422" s="2260">
        <f>报表附注!H1693</f>
        <v>0</v>
      </c>
      <c r="D1422" s="2252" t="b">
        <f t="shared" si="28"/>
        <v>0</v>
      </c>
    </row>
    <row r="1423" spans="1:4">
      <c r="A1423" s="2252" t="s">
        <v>2160</v>
      </c>
      <c r="B1423" s="2253" t="str">
        <f>报表附注!E1694</f>
        <v>4、非同一控制下企业合并产生递延所得税资产</v>
      </c>
      <c r="C1423" s="2260">
        <f>报表附注!H1694</f>
        <v>0</v>
      </c>
      <c r="D1423" s="2252" t="b">
        <f t="shared" si="28"/>
        <v>0</v>
      </c>
    </row>
    <row r="1424" spans="1:4">
      <c r="A1424" s="2252" t="s">
        <v>2161</v>
      </c>
      <c r="B1424" s="2253" t="str">
        <f>报表附注!E1695</f>
        <v>5、计提未付的工资</v>
      </c>
      <c r="C1424" s="2260">
        <f>报表附注!H1695</f>
        <v>0</v>
      </c>
      <c r="D1424" s="2252" t="b">
        <f t="shared" si="28"/>
        <v>0</v>
      </c>
    </row>
    <row r="1425" spans="1:4">
      <c r="A1425" s="2252" t="s">
        <v>2162</v>
      </c>
      <c r="B1425" s="2253" t="str">
        <f>报表附注!E1696</f>
        <v>6、递延收益</v>
      </c>
      <c r="C1425" s="2260">
        <f>报表附注!H1696</f>
        <v>0</v>
      </c>
      <c r="D1425" s="2252" t="b">
        <f t="shared" si="28"/>
        <v>0</v>
      </c>
    </row>
    <row r="1426" spans="1:4">
      <c r="A1426" s="2252" t="s">
        <v>2163</v>
      </c>
      <c r="B1426" s="2253" t="str">
        <f>报表附注!E1697</f>
        <v>7、内部交易未实现损益</v>
      </c>
      <c r="C1426" s="2260">
        <f>报表附注!H1697</f>
        <v>0</v>
      </c>
      <c r="D1426" s="2252" t="b">
        <f t="shared" si="28"/>
        <v>0</v>
      </c>
    </row>
    <row r="1427" spans="1:4">
      <c r="A1427" s="2252" t="s">
        <v>937</v>
      </c>
      <c r="B1427" s="2253" t="str">
        <f>报表附注!E1698</f>
        <v>二、递延所得税负债</v>
      </c>
      <c r="C1427" s="2260">
        <f>报表附注!H1698</f>
        <v>0</v>
      </c>
      <c r="D1427" s="2252" t="b">
        <f t="shared" si="28"/>
        <v>1</v>
      </c>
    </row>
    <row r="1428" spans="1:4">
      <c r="A1428" s="2252" t="s">
        <v>2164</v>
      </c>
      <c r="B1428" s="2253" t="str">
        <f>报表附注!E1699</f>
        <v>1、交易性金融工具、衍生金融工具的估值</v>
      </c>
      <c r="C1428" s="2260">
        <f>报表附注!H1699</f>
        <v>0</v>
      </c>
      <c r="D1428" s="2252" t="b">
        <f t="shared" si="28"/>
        <v>0</v>
      </c>
    </row>
    <row r="1429" spans="1:4">
      <c r="A1429" s="2252" t="s">
        <v>2165</v>
      </c>
      <c r="B1429" s="2253" t="str">
        <f>报表附注!E1700</f>
        <v>2、计入资本公积的可供出售金融资产公允价值变动</v>
      </c>
      <c r="C1429" s="2260">
        <f>报表附注!H1700</f>
        <v>0</v>
      </c>
      <c r="D1429" s="2252" t="b">
        <f t="shared" si="28"/>
        <v>0</v>
      </c>
    </row>
    <row r="1430" spans="1:4">
      <c r="A1430" s="2252" t="s">
        <v>2162</v>
      </c>
      <c r="B1430" s="2253" t="str">
        <f>报表附注!E1701</f>
        <v>3、非同一控制下企业合并产生递延所得税负债</v>
      </c>
      <c r="C1430" s="2260">
        <f>报表附注!H1701</f>
        <v>0</v>
      </c>
      <c r="D1430" s="2252" t="b">
        <f t="shared" si="28"/>
        <v>0</v>
      </c>
    </row>
    <row r="1431" spans="1:4">
      <c r="A1431" s="2252" t="s">
        <v>2163</v>
      </c>
      <c r="B1431" s="2253" t="str">
        <f>报表附注!E1702</f>
        <v>4、内部交易未实现损益</v>
      </c>
      <c r="C1431" s="2260">
        <f>报表附注!H1702</f>
        <v>0</v>
      </c>
      <c r="D1431" s="2252" t="b">
        <f t="shared" si="28"/>
        <v>0</v>
      </c>
    </row>
    <row r="1432" spans="1:4">
      <c r="A1432" s="2252" t="s">
        <v>2166</v>
      </c>
      <c r="B1432" s="2253" t="str">
        <f>报表附注!E1703</f>
        <v>5、固定资产评估增值</v>
      </c>
      <c r="C1432" s="2260">
        <f>报表附注!H1703</f>
        <v>0</v>
      </c>
      <c r="D1432" s="2252" t="b">
        <f t="shared" si="28"/>
        <v>0</v>
      </c>
    </row>
    <row r="1433" spans="1:4">
      <c r="A1433" s="2252" t="s">
        <v>2167</v>
      </c>
      <c r="B1433" s="2253" t="str">
        <f>报表附注!E1704</f>
        <v>新增项目4……</v>
      </c>
      <c r="C1433" s="2260">
        <f>报表附注!H1704</f>
        <v>0</v>
      </c>
      <c r="D1433" s="2252" t="b">
        <f t="shared" si="28"/>
        <v>1</v>
      </c>
    </row>
    <row r="1434" spans="1:4">
      <c r="A1434" s="2252" t="s">
        <v>2168</v>
      </c>
      <c r="B1434" s="2253" t="str">
        <f>报表附注!E1705</f>
        <v>新增项目5……</v>
      </c>
      <c r="C1434" s="2260">
        <f>报表附注!H1705</f>
        <v>0</v>
      </c>
      <c r="D1434" s="2252" t="b">
        <f t="shared" si="28"/>
        <v>1</v>
      </c>
    </row>
    <row r="1435" spans="1:4">
      <c r="A1435" s="2252" t="s">
        <v>2169</v>
      </c>
      <c r="B1435" s="2253" t="str">
        <f>报表附注!E1706</f>
        <v>新增项目6……</v>
      </c>
      <c r="C1435" s="2260">
        <f>报表附注!H1706</f>
        <v>0</v>
      </c>
      <c r="D1435" s="2252" t="b">
        <f t="shared" si="28"/>
        <v>1</v>
      </c>
    </row>
    <row r="1436" spans="1:4">
      <c r="A1436" s="2252" t="s">
        <v>2170</v>
      </c>
      <c r="B1436" s="2253" t="str">
        <f>报表附注!E1707</f>
        <v>新增项目7……</v>
      </c>
      <c r="C1436" s="2260">
        <f>报表附注!H1707</f>
        <v>0</v>
      </c>
      <c r="D1436" s="2252" t="b">
        <f t="shared" si="28"/>
        <v>1</v>
      </c>
    </row>
    <row r="1437" spans="1:4">
      <c r="A1437" s="2252" t="s">
        <v>2171</v>
      </c>
      <c r="B1437" s="2253" t="str">
        <f>报表附注!E1708</f>
        <v>新增项目8……</v>
      </c>
      <c r="C1437" s="2260">
        <f>报表附注!H1708</f>
        <v>0</v>
      </c>
      <c r="D1437" s="2252" t="b">
        <f t="shared" si="28"/>
        <v>1</v>
      </c>
    </row>
    <row r="1438" spans="1:4">
      <c r="A1438" s="2252" t="s">
        <v>2172</v>
      </c>
      <c r="B1438" s="2253" t="str">
        <f>报表附注!E1709</f>
        <v>新增项目9……</v>
      </c>
      <c r="C1438" s="2260">
        <f>报表附注!H1709</f>
        <v>0</v>
      </c>
      <c r="D1438" s="2252" t="b">
        <f t="shared" si="28"/>
        <v>1</v>
      </c>
    </row>
    <row r="1439" spans="1:4">
      <c r="A1439" s="2252" t="s">
        <v>2173</v>
      </c>
      <c r="B1439" s="2253" t="str">
        <f>报表附注!E1710</f>
        <v>新增项目10……</v>
      </c>
      <c r="C1439" s="2260">
        <f>报表附注!H1710</f>
        <v>0</v>
      </c>
      <c r="D1439" s="2252" t="b">
        <f t="shared" si="28"/>
        <v>1</v>
      </c>
    </row>
    <row r="1440" spans="1:4">
      <c r="A1440" s="2252" t="s">
        <v>2184</v>
      </c>
      <c r="B1440" s="2279" t="s">
        <v>2184</v>
      </c>
      <c r="D1440" s="2252" t="b">
        <f t="shared" si="28"/>
        <v>1</v>
      </c>
    </row>
    <row r="1441" spans="1:4">
      <c r="A1441" s="2252" t="s">
        <v>935</v>
      </c>
      <c r="B1441" s="2253" t="str">
        <f>报表附注!E1683</f>
        <v>一、递延所得税资产</v>
      </c>
      <c r="C1441" s="2260">
        <f>报表附注!I1683</f>
        <v>0</v>
      </c>
      <c r="D1441" s="2252" t="b">
        <f t="shared" si="28"/>
        <v>1</v>
      </c>
    </row>
    <row r="1442" spans="1:4">
      <c r="A1442" s="2252" t="s">
        <v>2150</v>
      </c>
      <c r="B1442" s="2253" t="str">
        <f>报表附注!E1684</f>
        <v>1、资产减值准备：</v>
      </c>
      <c r="C1442" s="2260">
        <f>报表附注!I1684</f>
        <v>0</v>
      </c>
      <c r="D1442" s="2252" t="b">
        <f t="shared" si="28"/>
        <v>0</v>
      </c>
    </row>
    <row r="1443" spans="1:4">
      <c r="A1443" s="2252" t="s">
        <v>2151</v>
      </c>
      <c r="B1443" s="2253" t="str">
        <f>报表附注!E1685</f>
        <v>      其中：坏账准备</v>
      </c>
      <c r="C1443" s="2260">
        <f>报表附注!I1685</f>
        <v>0</v>
      </c>
      <c r="D1443" s="2252" t="b">
        <f t="shared" si="28"/>
        <v>1</v>
      </c>
    </row>
    <row r="1444" spans="1:4">
      <c r="A1444" s="2252" t="s">
        <v>2152</v>
      </c>
      <c r="B1444" s="2253" t="str">
        <f>报表附注!E1686</f>
        <v>           存货减值</v>
      </c>
      <c r="C1444" s="2260">
        <f>报表附注!I1686</f>
        <v>0</v>
      </c>
      <c r="D1444" s="2252" t="b">
        <f t="shared" si="28"/>
        <v>1</v>
      </c>
    </row>
    <row r="1445" spans="1:4">
      <c r="A1445" s="2252" t="s">
        <v>2153</v>
      </c>
      <c r="B1445" s="2253" t="str">
        <f>报表附注!E1687</f>
        <v>           在建工程减值</v>
      </c>
      <c r="C1445" s="2260">
        <f>报表附注!I1687</f>
        <v>0</v>
      </c>
      <c r="D1445" s="2252" t="b">
        <f t="shared" si="28"/>
        <v>1</v>
      </c>
    </row>
    <row r="1446" spans="1:4">
      <c r="A1446" s="2252" t="s">
        <v>2154</v>
      </c>
      <c r="B1446" s="2253" t="str">
        <f>报表附注!E1688</f>
        <v>           长期股权投资减值</v>
      </c>
      <c r="C1446" s="2260">
        <f>报表附注!I1688</f>
        <v>0</v>
      </c>
      <c r="D1446" s="2252" t="b">
        <f t="shared" si="28"/>
        <v>1</v>
      </c>
    </row>
    <row r="1447" spans="1:4">
      <c r="A1447" s="2252" t="s">
        <v>2155</v>
      </c>
      <c r="B1447" s="2253" t="str">
        <f>报表附注!E1689</f>
        <v>           固定资产减值</v>
      </c>
      <c r="C1447" s="2260">
        <f>报表附注!I1689</f>
        <v>0</v>
      </c>
      <c r="D1447" s="2252" t="b">
        <f t="shared" si="28"/>
        <v>1</v>
      </c>
    </row>
    <row r="1448" spans="1:4">
      <c r="A1448" s="2252" t="s">
        <v>2156</v>
      </c>
      <c r="B1448" s="2253" t="str">
        <f>报表附注!E1690</f>
        <v>            无形资产减值</v>
      </c>
      <c r="C1448" s="2260">
        <f>报表附注!I1690</f>
        <v>0</v>
      </c>
      <c r="D1448" s="2252" t="b">
        <f t="shared" si="28"/>
        <v>1</v>
      </c>
    </row>
    <row r="1449" spans="1:4">
      <c r="A1449" s="2252" t="s">
        <v>2157</v>
      </c>
      <c r="B1449" s="2253" t="str">
        <f>报表附注!E1691</f>
        <v>            商誉减值</v>
      </c>
      <c r="C1449" s="2260">
        <f>报表附注!I1691</f>
        <v>0</v>
      </c>
      <c r="D1449" s="2252" t="b">
        <f t="shared" si="28"/>
        <v>1</v>
      </c>
    </row>
    <row r="1450" spans="1:4">
      <c r="A1450" s="2252" t="s">
        <v>2158</v>
      </c>
      <c r="B1450" s="2253" t="str">
        <f>报表附注!E1692</f>
        <v>2、预计后期到票的无票支出</v>
      </c>
      <c r="C1450" s="2260">
        <f>报表附注!I1692</f>
        <v>0</v>
      </c>
      <c r="D1450" s="2252" t="b">
        <f t="shared" si="28"/>
        <v>0</v>
      </c>
    </row>
    <row r="1451" spans="1:4">
      <c r="A1451" s="2252" t="s">
        <v>2159</v>
      </c>
      <c r="B1451" s="2253" t="str">
        <f>报表附注!E1693</f>
        <v>3、分期付款购入存货融资费用</v>
      </c>
      <c r="C1451" s="2260">
        <f>报表附注!I1693</f>
        <v>0</v>
      </c>
      <c r="D1451" s="2252" t="b">
        <f t="shared" si="28"/>
        <v>0</v>
      </c>
    </row>
    <row r="1452" spans="1:4">
      <c r="A1452" s="2252" t="s">
        <v>2160</v>
      </c>
      <c r="B1452" s="2253" t="str">
        <f>报表附注!E1694</f>
        <v>4、非同一控制下企业合并产生递延所得税资产</v>
      </c>
      <c r="C1452" s="2260">
        <f>报表附注!I1694</f>
        <v>0</v>
      </c>
      <c r="D1452" s="2252" t="b">
        <f t="shared" si="28"/>
        <v>0</v>
      </c>
    </row>
    <row r="1453" spans="1:4">
      <c r="A1453" s="2252" t="s">
        <v>2161</v>
      </c>
      <c r="B1453" s="2253" t="str">
        <f>报表附注!E1695</f>
        <v>5、计提未付的工资</v>
      </c>
      <c r="C1453" s="2260">
        <f>报表附注!I1695</f>
        <v>0</v>
      </c>
      <c r="D1453" s="2252" t="b">
        <f t="shared" si="28"/>
        <v>0</v>
      </c>
    </row>
    <row r="1454" spans="1:4">
      <c r="A1454" s="2252" t="s">
        <v>2162</v>
      </c>
      <c r="B1454" s="2253" t="str">
        <f>报表附注!E1696</f>
        <v>6、递延收益</v>
      </c>
      <c r="C1454" s="2260">
        <f>报表附注!I1696</f>
        <v>0</v>
      </c>
      <c r="D1454" s="2252" t="b">
        <f t="shared" si="28"/>
        <v>0</v>
      </c>
    </row>
    <row r="1455" spans="1:4">
      <c r="A1455" s="2252" t="s">
        <v>2163</v>
      </c>
      <c r="B1455" s="2253" t="str">
        <f>报表附注!E1697</f>
        <v>7、内部交易未实现损益</v>
      </c>
      <c r="C1455" s="2260">
        <f>报表附注!I1697</f>
        <v>0</v>
      </c>
      <c r="D1455" s="2252" t="b">
        <f t="shared" si="28"/>
        <v>0</v>
      </c>
    </row>
    <row r="1456" spans="1:4">
      <c r="A1456" s="2252" t="s">
        <v>937</v>
      </c>
      <c r="B1456" s="2253" t="str">
        <f>报表附注!E1698</f>
        <v>二、递延所得税负债</v>
      </c>
      <c r="C1456" s="2260">
        <f>报表附注!I1698</f>
        <v>0</v>
      </c>
      <c r="D1456" s="2252" t="b">
        <f t="shared" si="28"/>
        <v>1</v>
      </c>
    </row>
    <row r="1457" spans="1:4">
      <c r="A1457" s="2252" t="s">
        <v>2164</v>
      </c>
      <c r="B1457" s="2253" t="str">
        <f>报表附注!E1699</f>
        <v>1、交易性金融工具、衍生金融工具的估值</v>
      </c>
      <c r="C1457" s="2260">
        <f>报表附注!I1699</f>
        <v>0</v>
      </c>
      <c r="D1457" s="2252" t="b">
        <f t="shared" si="28"/>
        <v>0</v>
      </c>
    </row>
    <row r="1458" spans="1:4">
      <c r="A1458" s="2252" t="s">
        <v>2165</v>
      </c>
      <c r="B1458" s="2253" t="str">
        <f>报表附注!E1700</f>
        <v>2、计入资本公积的可供出售金融资产公允价值变动</v>
      </c>
      <c r="C1458" s="2260">
        <f>报表附注!I1700</f>
        <v>0</v>
      </c>
      <c r="D1458" s="2252" t="b">
        <f t="shared" si="28"/>
        <v>0</v>
      </c>
    </row>
    <row r="1459" spans="1:4">
      <c r="A1459" s="2252" t="s">
        <v>2162</v>
      </c>
      <c r="B1459" s="2253" t="str">
        <f>报表附注!E1701</f>
        <v>3、非同一控制下企业合并产生递延所得税负债</v>
      </c>
      <c r="C1459" s="2260">
        <f>报表附注!I1701</f>
        <v>0</v>
      </c>
      <c r="D1459" s="2252" t="b">
        <f t="shared" si="28"/>
        <v>0</v>
      </c>
    </row>
    <row r="1460" spans="1:4">
      <c r="A1460" s="2252" t="s">
        <v>2163</v>
      </c>
      <c r="B1460" s="2253" t="str">
        <f>报表附注!E1702</f>
        <v>4、内部交易未实现损益</v>
      </c>
      <c r="C1460" s="2260">
        <f>报表附注!I1702</f>
        <v>0</v>
      </c>
      <c r="D1460" s="2252" t="b">
        <f t="shared" si="28"/>
        <v>0</v>
      </c>
    </row>
    <row r="1461" spans="1:4">
      <c r="A1461" s="2252" t="s">
        <v>2166</v>
      </c>
      <c r="B1461" s="2253" t="str">
        <f>报表附注!E1703</f>
        <v>5、固定资产评估增值</v>
      </c>
      <c r="C1461" s="2260">
        <f>报表附注!I1703</f>
        <v>0</v>
      </c>
      <c r="D1461" s="2252" t="b">
        <f t="shared" si="28"/>
        <v>0</v>
      </c>
    </row>
    <row r="1462" spans="1:4">
      <c r="A1462" s="2252" t="s">
        <v>2167</v>
      </c>
      <c r="B1462" s="2253" t="str">
        <f>报表附注!E1704</f>
        <v>新增项目4……</v>
      </c>
      <c r="C1462" s="2260">
        <f>报表附注!I1704</f>
        <v>0</v>
      </c>
      <c r="D1462" s="2252" t="b">
        <f t="shared" si="28"/>
        <v>1</v>
      </c>
    </row>
    <row r="1463" spans="1:4">
      <c r="A1463" s="2252" t="s">
        <v>2168</v>
      </c>
      <c r="B1463" s="2253" t="str">
        <f>报表附注!E1705</f>
        <v>新增项目5……</v>
      </c>
      <c r="C1463" s="2260">
        <f>报表附注!I1705</f>
        <v>0</v>
      </c>
      <c r="D1463" s="2252" t="b">
        <f t="shared" si="28"/>
        <v>1</v>
      </c>
    </row>
    <row r="1464" spans="1:4">
      <c r="A1464" s="2252" t="s">
        <v>2169</v>
      </c>
      <c r="B1464" s="2253" t="str">
        <f>报表附注!E1706</f>
        <v>新增项目6……</v>
      </c>
      <c r="C1464" s="2260">
        <f>报表附注!I1706</f>
        <v>0</v>
      </c>
      <c r="D1464" s="2252" t="b">
        <f t="shared" si="28"/>
        <v>1</v>
      </c>
    </row>
    <row r="1465" spans="1:4">
      <c r="A1465" s="2252" t="s">
        <v>2170</v>
      </c>
      <c r="B1465" s="2253" t="str">
        <f>报表附注!E1707</f>
        <v>新增项目7……</v>
      </c>
      <c r="C1465" s="2260">
        <f>报表附注!I1707</f>
        <v>0</v>
      </c>
      <c r="D1465" s="2252" t="b">
        <f t="shared" si="28"/>
        <v>1</v>
      </c>
    </row>
    <row r="1466" spans="1:4">
      <c r="A1466" s="2252" t="s">
        <v>2171</v>
      </c>
      <c r="B1466" s="2253" t="str">
        <f>报表附注!E1708</f>
        <v>新增项目8……</v>
      </c>
      <c r="C1466" s="2260">
        <f>报表附注!I1708</f>
        <v>0</v>
      </c>
      <c r="D1466" s="2252" t="b">
        <f t="shared" si="28"/>
        <v>1</v>
      </c>
    </row>
    <row r="1467" spans="1:4">
      <c r="A1467" s="2252" t="s">
        <v>2172</v>
      </c>
      <c r="B1467" s="2253" t="str">
        <f>报表附注!E1709</f>
        <v>新增项目9……</v>
      </c>
      <c r="C1467" s="2260">
        <f>报表附注!I1709</f>
        <v>0</v>
      </c>
      <c r="D1467" s="2252" t="b">
        <f t="shared" si="28"/>
        <v>1</v>
      </c>
    </row>
    <row r="1468" spans="1:4">
      <c r="A1468" s="2252" t="s">
        <v>2173</v>
      </c>
      <c r="B1468" s="2253" t="str">
        <f>报表附注!E1710</f>
        <v>新增项目10……</v>
      </c>
      <c r="C1468" s="2260">
        <f>报表附注!I1710</f>
        <v>0</v>
      </c>
      <c r="D1468" s="2252" t="b">
        <f t="shared" si="28"/>
        <v>1</v>
      </c>
    </row>
    <row r="1469" spans="4:4">
      <c r="D1469" s="2252" t="b">
        <f t="shared" si="28"/>
        <v>1</v>
      </c>
    </row>
    <row r="1470" spans="4:4">
      <c r="D1470" s="2252" t="b">
        <f t="shared" si="28"/>
        <v>1</v>
      </c>
    </row>
    <row r="1471" spans="1:4">
      <c r="A1471" s="2252" t="s">
        <v>2185</v>
      </c>
      <c r="B1471" s="2302" t="s">
        <v>2185</v>
      </c>
      <c r="D1471" s="2252" t="b">
        <f t="shared" si="28"/>
        <v>1</v>
      </c>
    </row>
    <row r="1472" spans="1:4">
      <c r="A1472" s="2252" t="s">
        <v>671</v>
      </c>
      <c r="B1472" s="2273" t="s">
        <v>671</v>
      </c>
      <c r="D1472" s="2252" t="b">
        <f t="shared" si="28"/>
        <v>1</v>
      </c>
    </row>
    <row r="1473" spans="1:4">
      <c r="A1473" s="2252" t="s">
        <v>471</v>
      </c>
      <c r="B1473" s="2274" t="str">
        <f>报表附注!E1730</f>
        <v>坏账准备</v>
      </c>
      <c r="C1473" s="2260">
        <f>报表附注!F1730</f>
        <v>3621406.98</v>
      </c>
      <c r="D1473" s="2252" t="b">
        <f t="shared" si="28"/>
        <v>1</v>
      </c>
    </row>
    <row r="1474" spans="1:4">
      <c r="A1474" s="2252" t="s">
        <v>2186</v>
      </c>
      <c r="B1474" s="2274" t="str">
        <f>报表附注!E1731</f>
        <v>存货跌价准备</v>
      </c>
      <c r="C1474" s="2260">
        <f>报表附注!F1731</f>
        <v>1788781.28</v>
      </c>
      <c r="D1474" s="2252" t="b">
        <f t="shared" si="28"/>
        <v>1</v>
      </c>
    </row>
    <row r="1475" spans="1:4">
      <c r="A1475" s="2252" t="s">
        <v>2187</v>
      </c>
      <c r="B1475" s="2274" t="str">
        <f>报表附注!E1732</f>
        <v>可供出售金融资产减值准备</v>
      </c>
      <c r="C1475" s="2260">
        <f>报表附注!F1732</f>
        <v>0</v>
      </c>
      <c r="D1475" s="2252" t="b">
        <f t="shared" si="28"/>
        <v>1</v>
      </c>
    </row>
    <row r="1476" spans="1:4">
      <c r="A1476" s="2252" t="s">
        <v>2188</v>
      </c>
      <c r="B1476" s="2274" t="str">
        <f>报表附注!E1733</f>
        <v>持有至到期投资减值准备</v>
      </c>
      <c r="C1476" s="2260">
        <f>报表附注!F1733</f>
        <v>0</v>
      </c>
      <c r="D1476" s="2252" t="b">
        <f t="shared" si="28"/>
        <v>1</v>
      </c>
    </row>
    <row r="1477" spans="1:4">
      <c r="A1477" s="2252" t="s">
        <v>2189</v>
      </c>
      <c r="B1477" s="2274" t="str">
        <f>报表附注!E1734</f>
        <v>长期股权投资减值准备</v>
      </c>
      <c r="C1477" s="2260">
        <f>报表附注!F1734</f>
        <v>0</v>
      </c>
      <c r="D1477" s="2252" t="b">
        <f t="shared" si="28"/>
        <v>1</v>
      </c>
    </row>
    <row r="1478" spans="1:4">
      <c r="A1478" s="2252" t="s">
        <v>2190</v>
      </c>
      <c r="B1478" s="2274" t="str">
        <f>报表附注!E1735</f>
        <v>投资性房地产减值准备</v>
      </c>
      <c r="C1478" s="2260">
        <f>报表附注!F1735</f>
        <v>0</v>
      </c>
      <c r="D1478" s="2252" t="b">
        <f t="shared" si="28"/>
        <v>1</v>
      </c>
    </row>
    <row r="1479" spans="1:4">
      <c r="A1479" s="2252" t="s">
        <v>2191</v>
      </c>
      <c r="B1479" s="2274" t="str">
        <f>报表附注!E1736</f>
        <v>固定资产减值准备</v>
      </c>
      <c r="C1479" s="2260">
        <f>报表附注!F1736</f>
        <v>0</v>
      </c>
      <c r="D1479" s="2252" t="b">
        <f t="shared" si="28"/>
        <v>1</v>
      </c>
    </row>
    <row r="1480" spans="1:4">
      <c r="A1480" s="2252" t="s">
        <v>2192</v>
      </c>
      <c r="B1480" s="2274" t="str">
        <f>报表附注!E1737</f>
        <v>工程物资减值准备</v>
      </c>
      <c r="C1480" s="2260">
        <f>报表附注!F1737</f>
        <v>0</v>
      </c>
      <c r="D1480" s="2252" t="b">
        <f t="shared" si="28"/>
        <v>1</v>
      </c>
    </row>
    <row r="1481" spans="1:4">
      <c r="A1481" s="2252" t="s">
        <v>2193</v>
      </c>
      <c r="B1481" s="2274" t="str">
        <f>报表附注!E1738</f>
        <v>在建工程减值准备</v>
      </c>
      <c r="C1481" s="2260">
        <f>报表附注!F1738</f>
        <v>0</v>
      </c>
      <c r="D1481" s="2252" t="b">
        <f t="shared" si="28"/>
        <v>1</v>
      </c>
    </row>
    <row r="1482" spans="1:4">
      <c r="A1482" s="2252" t="s">
        <v>2194</v>
      </c>
      <c r="B1482" s="2274" t="str">
        <f>报表附注!E1739</f>
        <v>生产性生物资产减值准备</v>
      </c>
      <c r="C1482" s="2260">
        <f>报表附注!F1739</f>
        <v>0</v>
      </c>
      <c r="D1482" s="2252" t="b">
        <f t="shared" si="28"/>
        <v>1</v>
      </c>
    </row>
    <row r="1483" spans="1:4">
      <c r="A1483" s="2252" t="s">
        <v>960</v>
      </c>
      <c r="B1483" s="2274" t="str">
        <f>报表附注!E1740</f>
        <v>其中：成熟生产性生物资产减值准备</v>
      </c>
      <c r="C1483" s="2260">
        <f>报表附注!F1740</f>
        <v>0</v>
      </c>
      <c r="D1483" s="2252" t="b">
        <f t="shared" si="28"/>
        <v>1</v>
      </c>
    </row>
    <row r="1484" spans="1:4">
      <c r="A1484" s="2252" t="s">
        <v>2195</v>
      </c>
      <c r="B1484" s="2274" t="str">
        <f>报表附注!E1741</f>
        <v>油气资产减值准备</v>
      </c>
      <c r="C1484" s="2260">
        <f>报表附注!F1741</f>
        <v>0</v>
      </c>
      <c r="D1484" s="2252" t="b">
        <f t="shared" ref="D1484:D1547" si="29">EXACT(A1484,B1484)</f>
        <v>1</v>
      </c>
    </row>
    <row r="1485" spans="1:4">
      <c r="A1485" s="2252" t="s">
        <v>2196</v>
      </c>
      <c r="B1485" s="2274" t="str">
        <f>报表附注!E1742</f>
        <v>无形资产减值准备</v>
      </c>
      <c r="C1485" s="2260">
        <f>报表附注!F1742</f>
        <v>0</v>
      </c>
      <c r="D1485" s="2252" t="b">
        <f t="shared" si="29"/>
        <v>1</v>
      </c>
    </row>
    <row r="1486" spans="1:4">
      <c r="A1486" s="2252" t="s">
        <v>2197</v>
      </c>
      <c r="B1486" s="2274" t="str">
        <f>报表附注!E1743</f>
        <v>商誉减值准备</v>
      </c>
      <c r="C1486" s="2260">
        <f>报表附注!F1743</f>
        <v>0</v>
      </c>
      <c r="D1486" s="2252" t="b">
        <f t="shared" si="29"/>
        <v>1</v>
      </c>
    </row>
    <row r="1487" spans="1:4">
      <c r="A1487" s="2252" t="s">
        <v>280</v>
      </c>
      <c r="B1487" s="2274" t="str">
        <f>报表附注!E1744</f>
        <v>其他</v>
      </c>
      <c r="C1487" s="2260">
        <f>报表附注!F1744</f>
        <v>0</v>
      </c>
      <c r="D1487" s="2252" t="b">
        <f t="shared" si="29"/>
        <v>1</v>
      </c>
    </row>
    <row r="1488" spans="1:4">
      <c r="A1488" s="2252" t="s">
        <v>347</v>
      </c>
      <c r="B1488" s="2278" t="str">
        <f>报表附注!E1745</f>
        <v>合 计</v>
      </c>
      <c r="C1488" s="2260">
        <f>报表附注!F1745</f>
        <v>5410188.26</v>
      </c>
      <c r="D1488" s="2252" t="b">
        <f t="shared" si="29"/>
        <v>1</v>
      </c>
    </row>
    <row r="1489" spans="1:4">
      <c r="A1489" s="2252" t="s">
        <v>2198</v>
      </c>
      <c r="B1489" s="2273" t="s">
        <v>2198</v>
      </c>
      <c r="D1489" s="2252" t="b">
        <f t="shared" si="29"/>
        <v>1</v>
      </c>
    </row>
    <row r="1490" spans="1:4">
      <c r="A1490" s="2252" t="s">
        <v>471</v>
      </c>
      <c r="B1490" s="2274" t="str">
        <f>报表附注!E1730</f>
        <v>坏账准备</v>
      </c>
      <c r="C1490" s="2260">
        <f>报表附注!G1730</f>
        <v>1792140.07</v>
      </c>
      <c r="D1490" s="2252" t="b">
        <f t="shared" si="29"/>
        <v>1</v>
      </c>
    </row>
    <row r="1491" spans="1:4">
      <c r="A1491" s="2252" t="s">
        <v>2186</v>
      </c>
      <c r="B1491" s="2274" t="str">
        <f>报表附注!E1731</f>
        <v>存货跌价准备</v>
      </c>
      <c r="C1491" s="2260">
        <f>报表附注!G1731</f>
        <v>0</v>
      </c>
      <c r="D1491" s="2252" t="b">
        <f t="shared" si="29"/>
        <v>1</v>
      </c>
    </row>
    <row r="1492" spans="1:4">
      <c r="A1492" s="2252" t="s">
        <v>2187</v>
      </c>
      <c r="B1492" s="2274" t="str">
        <f>报表附注!E1732</f>
        <v>可供出售金融资产减值准备</v>
      </c>
      <c r="C1492" s="2260">
        <f>报表附注!G1732</f>
        <v>0</v>
      </c>
      <c r="D1492" s="2252" t="b">
        <f t="shared" si="29"/>
        <v>1</v>
      </c>
    </row>
    <row r="1493" spans="1:4">
      <c r="A1493" s="2252" t="s">
        <v>2188</v>
      </c>
      <c r="B1493" s="2274" t="str">
        <f>报表附注!E1733</f>
        <v>持有至到期投资减值准备</v>
      </c>
      <c r="C1493" s="2260">
        <f>报表附注!G1733</f>
        <v>0</v>
      </c>
      <c r="D1493" s="2252" t="b">
        <f t="shared" si="29"/>
        <v>1</v>
      </c>
    </row>
    <row r="1494" spans="1:4">
      <c r="A1494" s="2252" t="s">
        <v>2189</v>
      </c>
      <c r="B1494" s="2274" t="str">
        <f>报表附注!E1734</f>
        <v>长期股权投资减值准备</v>
      </c>
      <c r="C1494" s="2260">
        <f>报表附注!G1734</f>
        <v>0</v>
      </c>
      <c r="D1494" s="2252" t="b">
        <f t="shared" si="29"/>
        <v>1</v>
      </c>
    </row>
    <row r="1495" spans="1:4">
      <c r="A1495" s="2252" t="s">
        <v>2190</v>
      </c>
      <c r="B1495" s="2274" t="str">
        <f>报表附注!E1735</f>
        <v>投资性房地产减值准备</v>
      </c>
      <c r="C1495" s="2260">
        <f>报表附注!G1735</f>
        <v>0</v>
      </c>
      <c r="D1495" s="2252" t="b">
        <f t="shared" si="29"/>
        <v>1</v>
      </c>
    </row>
    <row r="1496" spans="1:4">
      <c r="A1496" s="2252" t="s">
        <v>2191</v>
      </c>
      <c r="B1496" s="2274" t="str">
        <f>报表附注!E1736</f>
        <v>固定资产减值准备</v>
      </c>
      <c r="C1496" s="2260">
        <f>报表附注!G1736</f>
        <v>0</v>
      </c>
      <c r="D1496" s="2252" t="b">
        <f t="shared" si="29"/>
        <v>1</v>
      </c>
    </row>
    <row r="1497" spans="1:4">
      <c r="A1497" s="2252" t="s">
        <v>2192</v>
      </c>
      <c r="B1497" s="2274" t="str">
        <f>报表附注!E1737</f>
        <v>工程物资减值准备</v>
      </c>
      <c r="C1497" s="2260">
        <f>报表附注!G1737</f>
        <v>0</v>
      </c>
      <c r="D1497" s="2252" t="b">
        <f t="shared" si="29"/>
        <v>1</v>
      </c>
    </row>
    <row r="1498" spans="1:4">
      <c r="A1498" s="2252" t="s">
        <v>2193</v>
      </c>
      <c r="B1498" s="2274" t="str">
        <f>报表附注!E1738</f>
        <v>在建工程减值准备</v>
      </c>
      <c r="C1498" s="2260">
        <f>报表附注!G1738</f>
        <v>0</v>
      </c>
      <c r="D1498" s="2252" t="b">
        <f t="shared" si="29"/>
        <v>1</v>
      </c>
    </row>
    <row r="1499" spans="1:4">
      <c r="A1499" s="2252" t="s">
        <v>2194</v>
      </c>
      <c r="B1499" s="2274" t="str">
        <f>报表附注!E1739</f>
        <v>生产性生物资产减值准备</v>
      </c>
      <c r="C1499" s="2260">
        <f>报表附注!G1739</f>
        <v>0</v>
      </c>
      <c r="D1499" s="2252" t="b">
        <f t="shared" si="29"/>
        <v>1</v>
      </c>
    </row>
    <row r="1500" spans="1:4">
      <c r="A1500" s="2252" t="s">
        <v>960</v>
      </c>
      <c r="B1500" s="2274" t="str">
        <f>报表附注!E1740</f>
        <v>其中：成熟生产性生物资产减值准备</v>
      </c>
      <c r="C1500" s="2260">
        <f>报表附注!G1740</f>
        <v>0</v>
      </c>
      <c r="D1500" s="2252" t="b">
        <f t="shared" si="29"/>
        <v>1</v>
      </c>
    </row>
    <row r="1501" spans="1:4">
      <c r="A1501" s="2252" t="s">
        <v>2195</v>
      </c>
      <c r="B1501" s="2274" t="str">
        <f>报表附注!E1741</f>
        <v>油气资产减值准备</v>
      </c>
      <c r="C1501" s="2260">
        <f>报表附注!G1741</f>
        <v>0</v>
      </c>
      <c r="D1501" s="2252" t="b">
        <f t="shared" si="29"/>
        <v>1</v>
      </c>
    </row>
    <row r="1502" spans="1:4">
      <c r="A1502" s="2252" t="s">
        <v>2196</v>
      </c>
      <c r="B1502" s="2274" t="str">
        <f>报表附注!E1742</f>
        <v>无形资产减值准备</v>
      </c>
      <c r="C1502" s="2260">
        <f>报表附注!G1742</f>
        <v>0</v>
      </c>
      <c r="D1502" s="2252" t="b">
        <f t="shared" si="29"/>
        <v>1</v>
      </c>
    </row>
    <row r="1503" spans="1:4">
      <c r="A1503" s="2252" t="s">
        <v>2197</v>
      </c>
      <c r="B1503" s="2274" t="str">
        <f>报表附注!E1743</f>
        <v>商誉减值准备</v>
      </c>
      <c r="C1503" s="2260">
        <f>报表附注!G1743</f>
        <v>0</v>
      </c>
      <c r="D1503" s="2252" t="b">
        <f t="shared" si="29"/>
        <v>1</v>
      </c>
    </row>
    <row r="1504" spans="1:4">
      <c r="A1504" s="2252" t="s">
        <v>280</v>
      </c>
      <c r="B1504" s="2274" t="str">
        <f>报表附注!E1744</f>
        <v>其他</v>
      </c>
      <c r="C1504" s="2260">
        <f>报表附注!G1744</f>
        <v>0</v>
      </c>
      <c r="D1504" s="2252" t="b">
        <f t="shared" si="29"/>
        <v>1</v>
      </c>
    </row>
    <row r="1505" spans="1:4">
      <c r="A1505" s="2252" t="s">
        <v>347</v>
      </c>
      <c r="B1505" s="2278" t="str">
        <f>报表附注!E1745</f>
        <v>合 计</v>
      </c>
      <c r="C1505" s="2260">
        <f>报表附注!G1745</f>
        <v>1792140.07</v>
      </c>
      <c r="D1505" s="2252" t="b">
        <f t="shared" si="29"/>
        <v>1</v>
      </c>
    </row>
    <row r="1506" spans="1:4">
      <c r="A1506" s="2252" t="s">
        <v>2199</v>
      </c>
      <c r="B1506" s="2273" t="s">
        <v>2199</v>
      </c>
      <c r="D1506" s="2252" t="b">
        <f t="shared" si="29"/>
        <v>1</v>
      </c>
    </row>
    <row r="1507" spans="1:4">
      <c r="A1507" s="2252" t="s">
        <v>471</v>
      </c>
      <c r="B1507" s="2274" t="str">
        <f>报表附注!E1730</f>
        <v>坏账准备</v>
      </c>
      <c r="C1507" s="2260">
        <f>报表附注!H1730</f>
        <v>0</v>
      </c>
      <c r="D1507" s="2252" t="b">
        <f t="shared" si="29"/>
        <v>1</v>
      </c>
    </row>
    <row r="1508" spans="1:4">
      <c r="A1508" s="2252" t="s">
        <v>2186</v>
      </c>
      <c r="B1508" s="2274" t="str">
        <f>报表附注!E1731</f>
        <v>存货跌价准备</v>
      </c>
      <c r="C1508" s="2260">
        <f>报表附注!H1731</f>
        <v>0</v>
      </c>
      <c r="D1508" s="2252" t="b">
        <f t="shared" si="29"/>
        <v>1</v>
      </c>
    </row>
    <row r="1509" spans="1:4">
      <c r="A1509" s="2252" t="s">
        <v>2187</v>
      </c>
      <c r="B1509" s="2274" t="str">
        <f>报表附注!E1732</f>
        <v>可供出售金融资产减值准备</v>
      </c>
      <c r="C1509" s="2260">
        <f>报表附注!H1732</f>
        <v>0</v>
      </c>
      <c r="D1509" s="2252" t="b">
        <f t="shared" si="29"/>
        <v>1</v>
      </c>
    </row>
    <row r="1510" spans="1:4">
      <c r="A1510" s="2252" t="s">
        <v>2188</v>
      </c>
      <c r="B1510" s="2274" t="str">
        <f>报表附注!E1733</f>
        <v>持有至到期投资减值准备</v>
      </c>
      <c r="C1510" s="2260">
        <f>报表附注!H1733</f>
        <v>0</v>
      </c>
      <c r="D1510" s="2252" t="b">
        <f t="shared" si="29"/>
        <v>1</v>
      </c>
    </row>
    <row r="1511" spans="1:4">
      <c r="A1511" s="2252" t="s">
        <v>2189</v>
      </c>
      <c r="B1511" s="2274" t="str">
        <f>报表附注!E1734</f>
        <v>长期股权投资减值准备</v>
      </c>
      <c r="C1511" s="2260">
        <f>报表附注!H1734</f>
        <v>0</v>
      </c>
      <c r="D1511" s="2252" t="b">
        <f t="shared" si="29"/>
        <v>1</v>
      </c>
    </row>
    <row r="1512" spans="1:4">
      <c r="A1512" s="2252" t="s">
        <v>2190</v>
      </c>
      <c r="B1512" s="2274" t="str">
        <f>报表附注!E1735</f>
        <v>投资性房地产减值准备</v>
      </c>
      <c r="C1512" s="2260">
        <f>报表附注!H1735</f>
        <v>0</v>
      </c>
      <c r="D1512" s="2252" t="b">
        <f t="shared" si="29"/>
        <v>1</v>
      </c>
    </row>
    <row r="1513" spans="1:4">
      <c r="A1513" s="2252" t="s">
        <v>2191</v>
      </c>
      <c r="B1513" s="2274" t="str">
        <f>报表附注!E1736</f>
        <v>固定资产减值准备</v>
      </c>
      <c r="C1513" s="2260">
        <f>报表附注!H1736</f>
        <v>0</v>
      </c>
      <c r="D1513" s="2252" t="b">
        <f t="shared" si="29"/>
        <v>1</v>
      </c>
    </row>
    <row r="1514" spans="1:4">
      <c r="A1514" s="2252" t="s">
        <v>2192</v>
      </c>
      <c r="B1514" s="2274" t="str">
        <f>报表附注!E1737</f>
        <v>工程物资减值准备</v>
      </c>
      <c r="C1514" s="2260">
        <f>报表附注!H1737</f>
        <v>0</v>
      </c>
      <c r="D1514" s="2252" t="b">
        <f t="shared" si="29"/>
        <v>1</v>
      </c>
    </row>
    <row r="1515" spans="1:4">
      <c r="A1515" s="2252" t="s">
        <v>2193</v>
      </c>
      <c r="B1515" s="2274" t="str">
        <f>报表附注!E1738</f>
        <v>在建工程减值准备</v>
      </c>
      <c r="C1515" s="2260">
        <f>报表附注!H1738</f>
        <v>0</v>
      </c>
      <c r="D1515" s="2252" t="b">
        <f t="shared" si="29"/>
        <v>1</v>
      </c>
    </row>
    <row r="1516" spans="1:4">
      <c r="A1516" s="2252" t="s">
        <v>2194</v>
      </c>
      <c r="B1516" s="2274" t="str">
        <f>报表附注!E1739</f>
        <v>生产性生物资产减值准备</v>
      </c>
      <c r="C1516" s="2260">
        <f>报表附注!H1739</f>
        <v>0</v>
      </c>
      <c r="D1516" s="2252" t="b">
        <f t="shared" si="29"/>
        <v>1</v>
      </c>
    </row>
    <row r="1517" spans="1:4">
      <c r="A1517" s="2252" t="s">
        <v>960</v>
      </c>
      <c r="B1517" s="2274" t="str">
        <f>报表附注!E1740</f>
        <v>其中：成熟生产性生物资产减值准备</v>
      </c>
      <c r="C1517" s="2260">
        <f>报表附注!H1740</f>
        <v>0</v>
      </c>
      <c r="D1517" s="2252" t="b">
        <f t="shared" si="29"/>
        <v>1</v>
      </c>
    </row>
    <row r="1518" spans="1:4">
      <c r="A1518" s="2252" t="s">
        <v>2195</v>
      </c>
      <c r="B1518" s="2274" t="str">
        <f>报表附注!E1741</f>
        <v>油气资产减值准备</v>
      </c>
      <c r="C1518" s="2260">
        <f>报表附注!H1741</f>
        <v>0</v>
      </c>
      <c r="D1518" s="2252" t="b">
        <f t="shared" si="29"/>
        <v>1</v>
      </c>
    </row>
    <row r="1519" spans="1:4">
      <c r="A1519" s="2252" t="s">
        <v>2196</v>
      </c>
      <c r="B1519" s="2274" t="str">
        <f>报表附注!E1742</f>
        <v>无形资产减值准备</v>
      </c>
      <c r="C1519" s="2260">
        <f>报表附注!H1742</f>
        <v>0</v>
      </c>
      <c r="D1519" s="2252" t="b">
        <f t="shared" si="29"/>
        <v>1</v>
      </c>
    </row>
    <row r="1520" spans="1:4">
      <c r="A1520" s="2252" t="s">
        <v>2197</v>
      </c>
      <c r="B1520" s="2274" t="str">
        <f>报表附注!E1743</f>
        <v>商誉减值准备</v>
      </c>
      <c r="C1520" s="2260">
        <f>报表附注!H1743</f>
        <v>0</v>
      </c>
      <c r="D1520" s="2252" t="b">
        <f t="shared" si="29"/>
        <v>1</v>
      </c>
    </row>
    <row r="1521" spans="1:4">
      <c r="A1521" s="2252" t="s">
        <v>280</v>
      </c>
      <c r="B1521" s="2274" t="str">
        <f>报表附注!E1744</f>
        <v>其他</v>
      </c>
      <c r="C1521" s="2260">
        <f>报表附注!H1744</f>
        <v>0</v>
      </c>
      <c r="D1521" s="2252" t="b">
        <f t="shared" si="29"/>
        <v>1</v>
      </c>
    </row>
    <row r="1522" spans="1:4">
      <c r="A1522" s="2252" t="s">
        <v>347</v>
      </c>
      <c r="B1522" s="2278" t="str">
        <f>报表附注!E1745</f>
        <v>合 计</v>
      </c>
      <c r="C1522" s="2260">
        <f>报表附注!H1745</f>
        <v>0</v>
      </c>
      <c r="D1522" s="2252" t="b">
        <f t="shared" si="29"/>
        <v>1</v>
      </c>
    </row>
    <row r="1523" spans="1:4">
      <c r="A1523" s="2252" t="s">
        <v>2200</v>
      </c>
      <c r="B1523" s="2273" t="s">
        <v>2200</v>
      </c>
      <c r="D1523" s="2252" t="b">
        <f t="shared" si="29"/>
        <v>1</v>
      </c>
    </row>
    <row r="1524" spans="1:4">
      <c r="A1524" s="2252" t="s">
        <v>471</v>
      </c>
      <c r="B1524" s="2274" t="str">
        <f>报表附注!E1730</f>
        <v>坏账准备</v>
      </c>
      <c r="C1524" s="2260">
        <f>报表附注!I1730</f>
        <v>445459.79</v>
      </c>
      <c r="D1524" s="2252" t="b">
        <f t="shared" si="29"/>
        <v>1</v>
      </c>
    </row>
    <row r="1525" spans="1:4">
      <c r="A1525" s="2252" t="s">
        <v>2186</v>
      </c>
      <c r="B1525" s="2274" t="str">
        <f>报表附注!E1731</f>
        <v>存货跌价准备</v>
      </c>
      <c r="C1525" s="2260">
        <f>报表附注!I1731</f>
        <v>1788781.28</v>
      </c>
      <c r="D1525" s="2252" t="b">
        <f t="shared" si="29"/>
        <v>1</v>
      </c>
    </row>
    <row r="1526" spans="1:4">
      <c r="A1526" s="2252" t="s">
        <v>2187</v>
      </c>
      <c r="B1526" s="2274" t="str">
        <f>报表附注!E1732</f>
        <v>可供出售金融资产减值准备</v>
      </c>
      <c r="C1526" s="2260">
        <f>报表附注!I1732</f>
        <v>0</v>
      </c>
      <c r="D1526" s="2252" t="b">
        <f t="shared" si="29"/>
        <v>1</v>
      </c>
    </row>
    <row r="1527" spans="1:4">
      <c r="A1527" s="2252" t="s">
        <v>2188</v>
      </c>
      <c r="B1527" s="2274" t="str">
        <f>报表附注!E1733</f>
        <v>持有至到期投资减值准备</v>
      </c>
      <c r="C1527" s="2260">
        <f>报表附注!I1733</f>
        <v>0</v>
      </c>
      <c r="D1527" s="2252" t="b">
        <f t="shared" si="29"/>
        <v>1</v>
      </c>
    </row>
    <row r="1528" spans="1:4">
      <c r="A1528" s="2252" t="s">
        <v>2189</v>
      </c>
      <c r="B1528" s="2274" t="str">
        <f>报表附注!E1734</f>
        <v>长期股权投资减值准备</v>
      </c>
      <c r="C1528" s="2260">
        <f>报表附注!I1734</f>
        <v>0</v>
      </c>
      <c r="D1528" s="2252" t="b">
        <f t="shared" si="29"/>
        <v>1</v>
      </c>
    </row>
    <row r="1529" spans="1:4">
      <c r="A1529" s="2252" t="s">
        <v>2190</v>
      </c>
      <c r="B1529" s="2274" t="str">
        <f>报表附注!E1735</f>
        <v>投资性房地产减值准备</v>
      </c>
      <c r="C1529" s="2260">
        <f>报表附注!I1735</f>
        <v>0</v>
      </c>
      <c r="D1529" s="2252" t="b">
        <f t="shared" si="29"/>
        <v>1</v>
      </c>
    </row>
    <row r="1530" spans="1:4">
      <c r="A1530" s="2252" t="s">
        <v>2191</v>
      </c>
      <c r="B1530" s="2274" t="str">
        <f>报表附注!E1736</f>
        <v>固定资产减值准备</v>
      </c>
      <c r="C1530" s="2260">
        <f>报表附注!I1736</f>
        <v>0</v>
      </c>
      <c r="D1530" s="2252" t="b">
        <f t="shared" si="29"/>
        <v>1</v>
      </c>
    </row>
    <row r="1531" spans="1:4">
      <c r="A1531" s="2252" t="s">
        <v>2192</v>
      </c>
      <c r="B1531" s="2274" t="str">
        <f>报表附注!E1737</f>
        <v>工程物资减值准备</v>
      </c>
      <c r="C1531" s="2260">
        <f>报表附注!I1737</f>
        <v>0</v>
      </c>
      <c r="D1531" s="2252" t="b">
        <f t="shared" si="29"/>
        <v>1</v>
      </c>
    </row>
    <row r="1532" spans="1:4">
      <c r="A1532" s="2252" t="s">
        <v>2193</v>
      </c>
      <c r="B1532" s="2274" t="str">
        <f>报表附注!E1738</f>
        <v>在建工程减值准备</v>
      </c>
      <c r="C1532" s="2260">
        <f>报表附注!I1738</f>
        <v>0</v>
      </c>
      <c r="D1532" s="2252" t="b">
        <f t="shared" si="29"/>
        <v>1</v>
      </c>
    </row>
    <row r="1533" spans="1:4">
      <c r="A1533" s="2252" t="s">
        <v>2194</v>
      </c>
      <c r="B1533" s="2274" t="str">
        <f>报表附注!E1739</f>
        <v>生产性生物资产减值准备</v>
      </c>
      <c r="C1533" s="2260">
        <f>报表附注!I1739</f>
        <v>0</v>
      </c>
      <c r="D1533" s="2252" t="b">
        <f t="shared" si="29"/>
        <v>1</v>
      </c>
    </row>
    <row r="1534" spans="1:4">
      <c r="A1534" s="2252" t="s">
        <v>960</v>
      </c>
      <c r="B1534" s="2274" t="str">
        <f>报表附注!E1740</f>
        <v>其中：成熟生产性生物资产减值准备</v>
      </c>
      <c r="C1534" s="2260">
        <f>报表附注!I1740</f>
        <v>0</v>
      </c>
      <c r="D1534" s="2252" t="b">
        <f t="shared" si="29"/>
        <v>1</v>
      </c>
    </row>
    <row r="1535" spans="1:4">
      <c r="A1535" s="2252" t="s">
        <v>2195</v>
      </c>
      <c r="B1535" s="2274" t="str">
        <f>报表附注!E1741</f>
        <v>油气资产减值准备</v>
      </c>
      <c r="C1535" s="2260">
        <f>报表附注!I1741</f>
        <v>0</v>
      </c>
      <c r="D1535" s="2252" t="b">
        <f t="shared" si="29"/>
        <v>1</v>
      </c>
    </row>
    <row r="1536" spans="1:4">
      <c r="A1536" s="2252" t="s">
        <v>2196</v>
      </c>
      <c r="B1536" s="2274" t="str">
        <f>报表附注!E1742</f>
        <v>无形资产减值准备</v>
      </c>
      <c r="C1536" s="2260">
        <f>报表附注!I1742</f>
        <v>0</v>
      </c>
      <c r="D1536" s="2252" t="b">
        <f t="shared" si="29"/>
        <v>1</v>
      </c>
    </row>
    <row r="1537" spans="1:4">
      <c r="A1537" s="2252" t="s">
        <v>2197</v>
      </c>
      <c r="B1537" s="2274" t="str">
        <f>报表附注!E1743</f>
        <v>商誉减值准备</v>
      </c>
      <c r="C1537" s="2260">
        <f>报表附注!I1743</f>
        <v>0</v>
      </c>
      <c r="D1537" s="2252" t="b">
        <f t="shared" si="29"/>
        <v>1</v>
      </c>
    </row>
    <row r="1538" spans="1:4">
      <c r="A1538" s="2252" t="s">
        <v>280</v>
      </c>
      <c r="B1538" s="2274" t="str">
        <f>报表附注!E1744</f>
        <v>其他</v>
      </c>
      <c r="C1538" s="2260">
        <f>报表附注!I1744</f>
        <v>0</v>
      </c>
      <c r="D1538" s="2252" t="b">
        <f t="shared" si="29"/>
        <v>1</v>
      </c>
    </row>
    <row r="1539" spans="1:4">
      <c r="A1539" s="2252" t="s">
        <v>347</v>
      </c>
      <c r="B1539" s="2278" t="str">
        <f>报表附注!E1745</f>
        <v>合 计</v>
      </c>
      <c r="C1539" s="2260">
        <f>报表附注!I1745</f>
        <v>2234241.07</v>
      </c>
      <c r="D1539" s="2252" t="b">
        <f t="shared" si="29"/>
        <v>1</v>
      </c>
    </row>
    <row r="1540" spans="1:4">
      <c r="A1540" s="2252" t="s">
        <v>516</v>
      </c>
      <c r="B1540" s="2273" t="s">
        <v>516</v>
      </c>
      <c r="C1540" s="2289"/>
      <c r="D1540" s="2252" t="b">
        <f t="shared" si="29"/>
        <v>1</v>
      </c>
    </row>
    <row r="1541" spans="1:4">
      <c r="A1541" s="2252" t="s">
        <v>471</v>
      </c>
      <c r="B1541" s="2277" t="str">
        <f>报表附注!E1730</f>
        <v>坏账准备</v>
      </c>
      <c r="C1541" s="2260">
        <f>报表附注!K1730</f>
        <v>4968087.26</v>
      </c>
      <c r="D1541" s="2252" t="b">
        <f t="shared" si="29"/>
        <v>1</v>
      </c>
    </row>
    <row r="1542" spans="1:4">
      <c r="A1542" s="2252" t="s">
        <v>2186</v>
      </c>
      <c r="B1542" s="2277" t="str">
        <f>报表附注!E1731</f>
        <v>存货跌价准备</v>
      </c>
      <c r="C1542" s="2260">
        <f>报表附注!K1731</f>
        <v>0</v>
      </c>
      <c r="D1542" s="2252" t="b">
        <f t="shared" si="29"/>
        <v>1</v>
      </c>
    </row>
    <row r="1543" spans="1:4">
      <c r="A1543" s="2252" t="s">
        <v>2187</v>
      </c>
      <c r="B1543" s="2277" t="str">
        <f>报表附注!E1732</f>
        <v>可供出售金融资产减值准备</v>
      </c>
      <c r="C1543" s="2260">
        <f>报表附注!K1732</f>
        <v>0</v>
      </c>
      <c r="D1543" s="2252" t="b">
        <f t="shared" si="29"/>
        <v>1</v>
      </c>
    </row>
    <row r="1544" spans="1:4">
      <c r="A1544" s="2252" t="s">
        <v>2188</v>
      </c>
      <c r="B1544" s="2277" t="str">
        <f>报表附注!E1733</f>
        <v>持有至到期投资减值准备</v>
      </c>
      <c r="C1544" s="2260">
        <f>报表附注!K1733</f>
        <v>0</v>
      </c>
      <c r="D1544" s="2252" t="b">
        <f t="shared" si="29"/>
        <v>1</v>
      </c>
    </row>
    <row r="1545" spans="1:4">
      <c r="A1545" s="2252" t="s">
        <v>2189</v>
      </c>
      <c r="B1545" s="2277" t="str">
        <f>报表附注!E1734</f>
        <v>长期股权投资减值准备</v>
      </c>
      <c r="C1545" s="2260">
        <f>报表附注!K1734</f>
        <v>0</v>
      </c>
      <c r="D1545" s="2252" t="b">
        <f t="shared" si="29"/>
        <v>1</v>
      </c>
    </row>
    <row r="1546" spans="1:4">
      <c r="A1546" s="2252" t="s">
        <v>2190</v>
      </c>
      <c r="B1546" s="2277" t="str">
        <f>报表附注!E1735</f>
        <v>投资性房地产减值准备</v>
      </c>
      <c r="C1546" s="2260">
        <f>报表附注!K1735</f>
        <v>0</v>
      </c>
      <c r="D1546" s="2252" t="b">
        <f t="shared" si="29"/>
        <v>1</v>
      </c>
    </row>
    <row r="1547" spans="1:4">
      <c r="A1547" s="2252" t="s">
        <v>2191</v>
      </c>
      <c r="B1547" s="2277" t="str">
        <f>报表附注!E1736</f>
        <v>固定资产减值准备</v>
      </c>
      <c r="C1547" s="2260">
        <f>报表附注!K1736</f>
        <v>0</v>
      </c>
      <c r="D1547" s="2252" t="b">
        <f t="shared" si="29"/>
        <v>1</v>
      </c>
    </row>
    <row r="1548" spans="1:4">
      <c r="A1548" s="2252" t="s">
        <v>2192</v>
      </c>
      <c r="B1548" s="2277" t="str">
        <f>报表附注!E1737</f>
        <v>工程物资减值准备</v>
      </c>
      <c r="C1548" s="2260">
        <f>报表附注!K1737</f>
        <v>0</v>
      </c>
      <c r="D1548" s="2252" t="b">
        <f t="shared" ref="D1548:D1621" si="30">EXACT(A1548,B1548)</f>
        <v>1</v>
      </c>
    </row>
    <row r="1549" spans="1:4">
      <c r="A1549" s="2252" t="s">
        <v>2193</v>
      </c>
      <c r="B1549" s="2277" t="str">
        <f>报表附注!E1738</f>
        <v>在建工程减值准备</v>
      </c>
      <c r="C1549" s="2260">
        <f>报表附注!K1738</f>
        <v>0</v>
      </c>
      <c r="D1549" s="2252" t="b">
        <f t="shared" si="30"/>
        <v>1</v>
      </c>
    </row>
    <row r="1550" spans="1:4">
      <c r="A1550" s="2252" t="s">
        <v>2194</v>
      </c>
      <c r="B1550" s="2277" t="str">
        <f>报表附注!E1739</f>
        <v>生产性生物资产减值准备</v>
      </c>
      <c r="C1550" s="2260">
        <f>报表附注!K1739</f>
        <v>0</v>
      </c>
      <c r="D1550" s="2252" t="b">
        <f t="shared" si="30"/>
        <v>1</v>
      </c>
    </row>
    <row r="1551" spans="1:4">
      <c r="A1551" s="2252" t="s">
        <v>960</v>
      </c>
      <c r="B1551" s="2277" t="str">
        <f>报表附注!E1740</f>
        <v>其中：成熟生产性生物资产减值准备</v>
      </c>
      <c r="C1551" s="2260">
        <f>报表附注!K1740</f>
        <v>0</v>
      </c>
      <c r="D1551" s="2252" t="b">
        <f t="shared" si="30"/>
        <v>1</v>
      </c>
    </row>
    <row r="1552" spans="1:4">
      <c r="A1552" s="2252" t="s">
        <v>2195</v>
      </c>
      <c r="B1552" s="2277" t="str">
        <f>报表附注!E1741</f>
        <v>油气资产减值准备</v>
      </c>
      <c r="C1552" s="2260">
        <f>报表附注!K1741</f>
        <v>0</v>
      </c>
      <c r="D1552" s="2252" t="b">
        <f t="shared" si="30"/>
        <v>1</v>
      </c>
    </row>
    <row r="1553" spans="1:4">
      <c r="A1553" s="2252" t="s">
        <v>2196</v>
      </c>
      <c r="B1553" s="2277" t="str">
        <f>报表附注!E1742</f>
        <v>无形资产减值准备</v>
      </c>
      <c r="C1553" s="2260">
        <f>报表附注!K1742</f>
        <v>0</v>
      </c>
      <c r="D1553" s="2252" t="b">
        <f t="shared" si="30"/>
        <v>1</v>
      </c>
    </row>
    <row r="1554" spans="1:4">
      <c r="A1554" s="2252" t="s">
        <v>2197</v>
      </c>
      <c r="B1554" s="2277" t="str">
        <f>报表附注!E1743</f>
        <v>商誉减值准备</v>
      </c>
      <c r="C1554" s="2260">
        <f>报表附注!K1743</f>
        <v>0</v>
      </c>
      <c r="D1554" s="2252" t="b">
        <f t="shared" si="30"/>
        <v>1</v>
      </c>
    </row>
    <row r="1555" spans="1:4">
      <c r="A1555" s="2252" t="s">
        <v>280</v>
      </c>
      <c r="B1555" s="2277" t="str">
        <f>报表附注!E1744</f>
        <v>其他</v>
      </c>
      <c r="C1555" s="2260">
        <f>报表附注!K1744</f>
        <v>0</v>
      </c>
      <c r="D1555" s="2252" t="b">
        <f t="shared" si="30"/>
        <v>1</v>
      </c>
    </row>
    <row r="1556" spans="1:4">
      <c r="A1556" s="2252" t="s">
        <v>347</v>
      </c>
      <c r="B1556" s="2278" t="str">
        <f>报表附注!E1745</f>
        <v>合 计</v>
      </c>
      <c r="C1556" s="2260">
        <f>报表附注!K1745</f>
        <v>4968087.26</v>
      </c>
      <c r="D1556" s="2252" t="b">
        <f t="shared" si="30"/>
        <v>1</v>
      </c>
    </row>
    <row r="1557" spans="4:4">
      <c r="D1557" s="2252" t="b">
        <f t="shared" si="30"/>
        <v>1</v>
      </c>
    </row>
    <row r="1558" spans="1:4">
      <c r="A1558" s="2252" t="s">
        <v>2201</v>
      </c>
      <c r="B1558" s="365" t="s">
        <v>2201</v>
      </c>
      <c r="D1558" s="2252" t="b">
        <f t="shared" si="30"/>
        <v>1</v>
      </c>
    </row>
    <row r="1559" spans="4:4">
      <c r="D1559" s="2252" t="b">
        <f t="shared" si="30"/>
        <v>1</v>
      </c>
    </row>
    <row r="1560" spans="1:4">
      <c r="A1560" s="2252" t="s">
        <v>2202</v>
      </c>
      <c r="B1560" s="2270" t="s">
        <v>2202</v>
      </c>
      <c r="D1560" s="2252" t="b">
        <f t="shared" si="30"/>
        <v>1</v>
      </c>
    </row>
    <row r="1561" spans="1:4">
      <c r="A1561" s="2252" t="s">
        <v>316</v>
      </c>
      <c r="B1561" s="2273" t="s">
        <v>316</v>
      </c>
      <c r="D1561" s="2252" t="b">
        <f t="shared" si="30"/>
        <v>1</v>
      </c>
    </row>
    <row r="1562" spans="1:4">
      <c r="A1562" s="2252" t="s">
        <v>983</v>
      </c>
      <c r="B1562" s="2253" t="str">
        <f>报表附注!E1772</f>
        <v>质押借款</v>
      </c>
      <c r="C1562" s="2260">
        <f>报表附注!F1772</f>
        <v>0</v>
      </c>
      <c r="D1562" s="2252" t="b">
        <f t="shared" si="30"/>
        <v>0</v>
      </c>
    </row>
    <row r="1563" spans="1:4">
      <c r="A1563" s="2252" t="s">
        <v>985</v>
      </c>
      <c r="B1563" s="2253" t="str">
        <f>报表附注!E1773</f>
        <v>抵押借款</v>
      </c>
      <c r="C1563" s="2260">
        <f>报表附注!F1773</f>
        <v>0</v>
      </c>
      <c r="D1563" s="2252" t="b">
        <f t="shared" si="30"/>
        <v>1</v>
      </c>
    </row>
    <row r="1564" spans="1:4">
      <c r="A1564" s="2252" t="s">
        <v>987</v>
      </c>
      <c r="B1564" s="2253" t="str">
        <f>报表附注!E1774</f>
        <v>保证借款</v>
      </c>
      <c r="C1564" s="2260">
        <f>报表附注!F1774</f>
        <v>4850000</v>
      </c>
      <c r="D1564" s="2252" t="b">
        <f t="shared" si="30"/>
        <v>1</v>
      </c>
    </row>
    <row r="1565" spans="1:4">
      <c r="A1565" s="2252" t="s">
        <v>989</v>
      </c>
      <c r="B1565" s="2253" t="str">
        <f>报表附注!E1775</f>
        <v>信用借款</v>
      </c>
      <c r="C1565" s="2260">
        <f>报表附注!F1775</f>
        <v>0</v>
      </c>
      <c r="D1565" s="2252" t="b">
        <f t="shared" si="30"/>
        <v>0</v>
      </c>
    </row>
    <row r="1566" spans="2:4">
      <c r="B1566" s="2253" t="str">
        <f>报表附注!E1776</f>
        <v>抵押加保证借款</v>
      </c>
      <c r="C1566" s="2260">
        <f>报表附注!F1776</f>
        <v>0</v>
      </c>
      <c r="D1566" s="2252" t="b">
        <f t="shared" si="30"/>
        <v>0</v>
      </c>
    </row>
    <row r="1567" spans="2:4">
      <c r="B1567" s="2253" t="str">
        <f>报表附注!E1777</f>
        <v>抵押加质押借款</v>
      </c>
      <c r="C1567" s="2260">
        <f>报表附注!F1777</f>
        <v>0</v>
      </c>
      <c r="D1567" s="2252" t="b">
        <f t="shared" si="30"/>
        <v>0</v>
      </c>
    </row>
    <row r="1568" spans="1:4">
      <c r="A1568" s="2252" t="s">
        <v>2203</v>
      </c>
      <c r="B1568" s="2263" t="str">
        <f>报表附注!E1778</f>
        <v>合   计</v>
      </c>
      <c r="C1568" s="2260">
        <f>报表附注!F1778</f>
        <v>4850000</v>
      </c>
      <c r="D1568" s="2252" t="b">
        <f t="shared" si="30"/>
        <v>1</v>
      </c>
    </row>
    <row r="1569" spans="1:4">
      <c r="A1569" s="2252" t="s">
        <v>2020</v>
      </c>
      <c r="B1569" s="2273" t="s">
        <v>2020</v>
      </c>
      <c r="D1569" s="2252" t="b">
        <f t="shared" si="30"/>
        <v>1</v>
      </c>
    </row>
    <row r="1570" spans="1:4">
      <c r="A1570" s="2252" t="s">
        <v>983</v>
      </c>
      <c r="B1570" s="2253" t="str">
        <f>报表附注!E1772</f>
        <v>质押借款</v>
      </c>
      <c r="C1570" s="2260">
        <f>报表附注!G1772</f>
        <v>0</v>
      </c>
      <c r="D1570" s="2252" t="b">
        <f t="shared" si="30"/>
        <v>0</v>
      </c>
    </row>
    <row r="1571" spans="1:4">
      <c r="A1571" s="2252" t="s">
        <v>985</v>
      </c>
      <c r="B1571" s="2253" t="str">
        <f>报表附注!E1773</f>
        <v>抵押借款</v>
      </c>
      <c r="C1571" s="2260">
        <f>报表附注!G1773</f>
        <v>0</v>
      </c>
      <c r="D1571" s="2252" t="b">
        <f t="shared" si="30"/>
        <v>1</v>
      </c>
    </row>
    <row r="1572" spans="1:4">
      <c r="A1572" s="2252" t="s">
        <v>987</v>
      </c>
      <c r="B1572" s="2253" t="str">
        <f>报表附注!E1774</f>
        <v>保证借款</v>
      </c>
      <c r="C1572" s="2260">
        <f>报表附注!G1774</f>
        <v>0</v>
      </c>
      <c r="D1572" s="2252" t="b">
        <f t="shared" si="30"/>
        <v>1</v>
      </c>
    </row>
    <row r="1573" spans="1:4">
      <c r="A1573" s="2252" t="s">
        <v>989</v>
      </c>
      <c r="B1573" s="2253" t="str">
        <f>报表附注!E1775</f>
        <v>信用借款</v>
      </c>
      <c r="C1573" s="2260">
        <f>报表附注!G1775</f>
        <v>0</v>
      </c>
      <c r="D1573" s="2252" t="b">
        <f t="shared" si="30"/>
        <v>0</v>
      </c>
    </row>
    <row r="1574" spans="2:4">
      <c r="B1574" s="2253" t="str">
        <f>报表附注!E1776</f>
        <v>抵押加保证借款</v>
      </c>
      <c r="C1574" s="2260">
        <f>报表附注!G1776</f>
        <v>0</v>
      </c>
      <c r="D1574" s="2252" t="b">
        <f t="shared" si="30"/>
        <v>0</v>
      </c>
    </row>
    <row r="1575" spans="2:4">
      <c r="B1575" s="2253" t="str">
        <f>报表附注!E1777</f>
        <v>抵押加质押借款</v>
      </c>
      <c r="C1575" s="2260">
        <f>报表附注!G1777</f>
        <v>0</v>
      </c>
      <c r="D1575" s="2252" t="b">
        <f t="shared" si="30"/>
        <v>0</v>
      </c>
    </row>
    <row r="1576" spans="1:4">
      <c r="A1576" s="2252" t="s">
        <v>2203</v>
      </c>
      <c r="B1576" s="2263" t="str">
        <f>报表附注!E1778</f>
        <v>合   计</v>
      </c>
      <c r="C1576" s="2260">
        <f>报表附注!G1778</f>
        <v>0</v>
      </c>
      <c r="D1576" s="2252" t="b">
        <f t="shared" si="30"/>
        <v>1</v>
      </c>
    </row>
    <row r="1577" spans="4:4">
      <c r="D1577" s="2252" t="b">
        <f t="shared" si="30"/>
        <v>1</v>
      </c>
    </row>
    <row r="1578" spans="1:4">
      <c r="A1578" s="2252" t="s">
        <v>2204</v>
      </c>
      <c r="B1578" s="2270" t="s">
        <v>2204</v>
      </c>
      <c r="D1578" s="2252" t="b">
        <f t="shared" si="30"/>
        <v>1</v>
      </c>
    </row>
    <row r="1579" spans="1:4">
      <c r="A1579" s="2252" t="s">
        <v>374</v>
      </c>
      <c r="B1579" s="2273" t="s">
        <v>374</v>
      </c>
      <c r="D1579" s="2252" t="b">
        <f t="shared" si="30"/>
        <v>1</v>
      </c>
    </row>
    <row r="1580" spans="1:4">
      <c r="A1580" s="2252" t="s">
        <v>1007</v>
      </c>
      <c r="B1580" s="2253" t="str">
        <f>报表附注!E1798</f>
        <v>发行的交易性债券</v>
      </c>
      <c r="C1580" s="2260">
        <f>报表附注!F1798</f>
        <v>0</v>
      </c>
      <c r="D1580" s="2252" t="b">
        <f t="shared" si="30"/>
        <v>1</v>
      </c>
    </row>
    <row r="1581" spans="1:4">
      <c r="A1581" s="2252" t="s">
        <v>1009</v>
      </c>
      <c r="B1581" s="2253" t="str">
        <f>报表附注!E1799</f>
        <v>指定为以公允价值计量且其变动计入当期损益的金融负债</v>
      </c>
      <c r="C1581" s="2260">
        <f>报表附注!F1799</f>
        <v>0</v>
      </c>
      <c r="D1581" s="2252" t="b">
        <f t="shared" si="30"/>
        <v>1</v>
      </c>
    </row>
    <row r="1582" spans="1:4">
      <c r="A1582" s="2252" t="s">
        <v>1011</v>
      </c>
      <c r="B1582" s="2253" t="str">
        <f>报表附注!E1800</f>
        <v>衍生金融负债</v>
      </c>
      <c r="C1582" s="2260">
        <f>报表附注!F1800</f>
        <v>0</v>
      </c>
      <c r="D1582" s="2252" t="b">
        <f t="shared" si="30"/>
        <v>1</v>
      </c>
    </row>
    <row r="1583" spans="1:4">
      <c r="A1583" s="2252" t="s">
        <v>280</v>
      </c>
      <c r="B1583" s="2253" t="str">
        <f>报表附注!E1801</f>
        <v>其他</v>
      </c>
      <c r="C1583" s="2260">
        <f>报表附注!F1801</f>
        <v>0</v>
      </c>
      <c r="D1583" s="2252" t="b">
        <f t="shared" si="30"/>
        <v>1</v>
      </c>
    </row>
    <row r="1584" spans="1:4">
      <c r="A1584" s="2252" t="s">
        <v>347</v>
      </c>
      <c r="B1584" s="2263" t="str">
        <f>报表附注!E1802</f>
        <v>合 计</v>
      </c>
      <c r="C1584" s="2260">
        <f>报表附注!F1802</f>
        <v>0</v>
      </c>
      <c r="D1584" s="2252" t="b">
        <f t="shared" si="30"/>
        <v>1</v>
      </c>
    </row>
    <row r="1585" spans="1:4">
      <c r="A1585" s="2252" t="s">
        <v>2011</v>
      </c>
      <c r="B1585" s="2273" t="s">
        <v>2011</v>
      </c>
      <c r="D1585" s="2252" t="b">
        <f t="shared" si="30"/>
        <v>1</v>
      </c>
    </row>
    <row r="1586" spans="1:4">
      <c r="A1586" s="2252" t="s">
        <v>1007</v>
      </c>
      <c r="B1586" s="2253" t="str">
        <f>报表附注!E1798</f>
        <v>发行的交易性债券</v>
      </c>
      <c r="C1586" s="2260">
        <f>报表附注!G1798</f>
        <v>0</v>
      </c>
      <c r="D1586" s="2252" t="b">
        <f t="shared" si="30"/>
        <v>1</v>
      </c>
    </row>
    <row r="1587" spans="1:4">
      <c r="A1587" s="2252" t="s">
        <v>1009</v>
      </c>
      <c r="B1587" s="2253" t="str">
        <f>报表附注!E1799</f>
        <v>指定为以公允价值计量且其变动计入当期损益的金融负债</v>
      </c>
      <c r="C1587" s="2260">
        <f>报表附注!G1799</f>
        <v>0</v>
      </c>
      <c r="D1587" s="2252" t="b">
        <f t="shared" si="30"/>
        <v>1</v>
      </c>
    </row>
    <row r="1588" spans="1:4">
      <c r="A1588" s="2252" t="s">
        <v>1011</v>
      </c>
      <c r="B1588" s="2253" t="str">
        <f>报表附注!E1800</f>
        <v>衍生金融负债</v>
      </c>
      <c r="C1588" s="2260">
        <f>报表附注!G1800</f>
        <v>0</v>
      </c>
      <c r="D1588" s="2252" t="b">
        <f t="shared" si="30"/>
        <v>1</v>
      </c>
    </row>
    <row r="1589" spans="1:4">
      <c r="A1589" s="2252" t="s">
        <v>280</v>
      </c>
      <c r="B1589" s="2253" t="str">
        <f>报表附注!E1801</f>
        <v>其他</v>
      </c>
      <c r="C1589" s="2260">
        <f>报表附注!G1801</f>
        <v>0</v>
      </c>
      <c r="D1589" s="2252" t="b">
        <f t="shared" si="30"/>
        <v>1</v>
      </c>
    </row>
    <row r="1590" spans="1:4">
      <c r="A1590" s="2252" t="s">
        <v>347</v>
      </c>
      <c r="B1590" s="2263" t="str">
        <f>报表附注!E1802</f>
        <v>合 计</v>
      </c>
      <c r="C1590" s="2260">
        <f>报表附注!G1802</f>
        <v>0</v>
      </c>
      <c r="D1590" s="2252" t="b">
        <f t="shared" si="30"/>
        <v>1</v>
      </c>
    </row>
    <row r="1591" spans="4:4">
      <c r="D1591" s="2252" t="b">
        <f t="shared" si="30"/>
        <v>1</v>
      </c>
    </row>
    <row r="1592" spans="1:4">
      <c r="A1592" s="2252" t="s">
        <v>2205</v>
      </c>
      <c r="B1592" s="2270" t="s">
        <v>2205</v>
      </c>
      <c r="D1592" s="2252" t="b">
        <f t="shared" si="30"/>
        <v>1</v>
      </c>
    </row>
    <row r="1593" spans="1:4">
      <c r="A1593" s="2252" t="s">
        <v>316</v>
      </c>
      <c r="B1593" s="2273" t="s">
        <v>316</v>
      </c>
      <c r="D1593" s="2252" t="b">
        <f t="shared" si="30"/>
        <v>1</v>
      </c>
    </row>
    <row r="1594" spans="1:4">
      <c r="A1594" s="2252" t="s">
        <v>392</v>
      </c>
      <c r="B1594" s="2253" t="str">
        <f>报表附注!E1811</f>
        <v>银行承兑汇票</v>
      </c>
      <c r="C1594" s="2260">
        <f>报表附注!F1811</f>
        <v>4117111</v>
      </c>
      <c r="D1594" s="2252" t="b">
        <f t="shared" si="30"/>
        <v>1</v>
      </c>
    </row>
    <row r="1595" spans="1:4">
      <c r="A1595" s="2252" t="s">
        <v>394</v>
      </c>
      <c r="B1595" s="2253" t="str">
        <f>报表附注!E1812</f>
        <v>商业承兑汇票</v>
      </c>
      <c r="C1595" s="2260">
        <f>报表附注!F1812</f>
        <v>0</v>
      </c>
      <c r="D1595" s="2252" t="b">
        <f t="shared" si="30"/>
        <v>1</v>
      </c>
    </row>
    <row r="1596" spans="1:4">
      <c r="A1596" s="2252" t="s">
        <v>2206</v>
      </c>
      <c r="B1596" s="2253" t="str">
        <f>报表附注!E1813</f>
        <v>信用证</v>
      </c>
      <c r="C1596" s="2260">
        <f>报表附注!F1813</f>
        <v>0</v>
      </c>
      <c r="D1596" s="2252" t="b">
        <f t="shared" si="30"/>
        <v>1</v>
      </c>
    </row>
    <row r="1597" spans="1:4">
      <c r="A1597" s="2252" t="s">
        <v>2207</v>
      </c>
      <c r="B1597" s="2253" t="str">
        <f>报表附注!E1814</f>
        <v>远期支票</v>
      </c>
      <c r="C1597" s="2260">
        <f>报表附注!F1814</f>
        <v>0</v>
      </c>
      <c r="D1597" s="2252" t="b">
        <f t="shared" si="30"/>
        <v>1</v>
      </c>
    </row>
    <row r="1598" spans="1:4">
      <c r="A1598" s="2252" t="s">
        <v>280</v>
      </c>
      <c r="B1598" s="2253" t="str">
        <f>报表附注!E1815</f>
        <v>其他</v>
      </c>
      <c r="C1598" s="2260">
        <f>报表附注!F1815</f>
        <v>0</v>
      </c>
      <c r="D1598" s="2252" t="b">
        <f t="shared" si="30"/>
        <v>1</v>
      </c>
    </row>
    <row r="1599" spans="1:4">
      <c r="A1599" s="2252" t="s">
        <v>2021</v>
      </c>
      <c r="B1599" s="2263" t="str">
        <f>报表附注!E1816</f>
        <v>合计</v>
      </c>
      <c r="C1599" s="2260">
        <f>报表附注!F1816</f>
        <v>4117111</v>
      </c>
      <c r="D1599" s="2252" t="b">
        <f t="shared" si="30"/>
        <v>1</v>
      </c>
    </row>
    <row r="1600" spans="1:4">
      <c r="A1600" s="2252" t="s">
        <v>2020</v>
      </c>
      <c r="B1600" s="2273" t="s">
        <v>2020</v>
      </c>
      <c r="D1600" s="2252" t="b">
        <f t="shared" si="30"/>
        <v>1</v>
      </c>
    </row>
    <row r="1601" spans="1:4">
      <c r="A1601" s="2252" t="s">
        <v>392</v>
      </c>
      <c r="B1601" s="2253" t="str">
        <f>报表附注!E1811</f>
        <v>银行承兑汇票</v>
      </c>
      <c r="C1601" s="2260">
        <f>报表附注!G1811</f>
        <v>7000000</v>
      </c>
      <c r="D1601" s="2252" t="b">
        <f t="shared" si="30"/>
        <v>1</v>
      </c>
    </row>
    <row r="1602" spans="1:4">
      <c r="A1602" s="2252" t="s">
        <v>394</v>
      </c>
      <c r="B1602" s="2253" t="str">
        <f>报表附注!E1812</f>
        <v>商业承兑汇票</v>
      </c>
      <c r="C1602" s="2260">
        <f>报表附注!G1812</f>
        <v>0</v>
      </c>
      <c r="D1602" s="2252" t="b">
        <f t="shared" si="30"/>
        <v>1</v>
      </c>
    </row>
    <row r="1603" spans="1:4">
      <c r="A1603" s="2252" t="s">
        <v>2206</v>
      </c>
      <c r="B1603" s="2253" t="str">
        <f>报表附注!E1813</f>
        <v>信用证</v>
      </c>
      <c r="C1603" s="2260">
        <f>报表附注!G1813</f>
        <v>0</v>
      </c>
      <c r="D1603" s="2252" t="b">
        <f t="shared" si="30"/>
        <v>1</v>
      </c>
    </row>
    <row r="1604" spans="1:4">
      <c r="A1604" s="2252" t="s">
        <v>2207</v>
      </c>
      <c r="B1604" s="2253" t="str">
        <f>报表附注!E1814</f>
        <v>远期支票</v>
      </c>
      <c r="C1604" s="2260">
        <f>报表附注!G1814</f>
        <v>0</v>
      </c>
      <c r="D1604" s="2252" t="b">
        <f t="shared" si="30"/>
        <v>1</v>
      </c>
    </row>
    <row r="1605" spans="1:4">
      <c r="A1605" s="2252" t="s">
        <v>280</v>
      </c>
      <c r="B1605" s="2253" t="str">
        <f>报表附注!E1815</f>
        <v>其他</v>
      </c>
      <c r="C1605" s="2260">
        <f>报表附注!G1815</f>
        <v>0</v>
      </c>
      <c r="D1605" s="2252" t="b">
        <f t="shared" si="30"/>
        <v>1</v>
      </c>
    </row>
    <row r="1606" spans="1:4">
      <c r="A1606" s="2252" t="s">
        <v>2021</v>
      </c>
      <c r="B1606" s="2263" t="str">
        <f>报表附注!E1816</f>
        <v>合计</v>
      </c>
      <c r="C1606" s="2260">
        <f>报表附注!G1816</f>
        <v>7000000</v>
      </c>
      <c r="D1606" s="2252" t="b">
        <f t="shared" si="30"/>
        <v>1</v>
      </c>
    </row>
    <row r="1607" spans="4:4">
      <c r="D1607" s="2252" t="b">
        <f t="shared" si="30"/>
        <v>1</v>
      </c>
    </row>
    <row r="1608" spans="1:4">
      <c r="A1608" s="2252" t="s">
        <v>2208</v>
      </c>
      <c r="B1608" s="2270" t="s">
        <v>2208</v>
      </c>
      <c r="D1608" s="2252" t="b">
        <f t="shared" si="30"/>
        <v>1</v>
      </c>
    </row>
    <row r="1609" spans="1:4">
      <c r="A1609" s="2252" t="s">
        <v>316</v>
      </c>
      <c r="B1609" s="2273" t="s">
        <v>316</v>
      </c>
      <c r="D1609" s="2252" t="b">
        <f t="shared" si="30"/>
        <v>1</v>
      </c>
    </row>
    <row r="1610" spans="1:4">
      <c r="A1610" s="2252" t="s">
        <v>2026</v>
      </c>
      <c r="B1610" s="2253" t="str">
        <f>报表附注!E1827</f>
        <v>1年以内（含1年）</v>
      </c>
      <c r="C1610" s="2260">
        <f>报表附注!F1827</f>
        <v>39978756.83</v>
      </c>
      <c r="D1610" s="2252" t="b">
        <f t="shared" si="30"/>
        <v>1</v>
      </c>
    </row>
    <row r="1611" spans="1:4">
      <c r="A1611" s="2252" t="s">
        <v>2027</v>
      </c>
      <c r="B1611" s="2253" t="str">
        <f>报表附注!E1828</f>
        <v>1-2年（含2年）</v>
      </c>
      <c r="C1611" s="2260">
        <f>报表附注!F1828</f>
        <v>451107.24</v>
      </c>
      <c r="D1611" s="2252" t="b">
        <f t="shared" si="30"/>
        <v>1</v>
      </c>
    </row>
    <row r="1612" spans="1:4">
      <c r="A1612" s="2252" t="s">
        <v>2028</v>
      </c>
      <c r="B1612" s="2253" t="str">
        <f>报表附注!E1829</f>
        <v>2-3年（含3年）</v>
      </c>
      <c r="C1612" s="2260">
        <f>报表附注!F1829</f>
        <v>1277281.15</v>
      </c>
      <c r="D1612" s="2252" t="b">
        <f t="shared" si="30"/>
        <v>1</v>
      </c>
    </row>
    <row r="1613" spans="1:4">
      <c r="A1613" s="2252" t="s">
        <v>2029</v>
      </c>
      <c r="B1613" s="2253" t="str">
        <f>报表附注!E1830</f>
        <v>3-4年（含4年）</v>
      </c>
      <c r="C1613" s="2260">
        <f>报表附注!F1830</f>
        <v>0</v>
      </c>
      <c r="D1613" s="2252" t="b">
        <f t="shared" si="30"/>
        <v>1</v>
      </c>
    </row>
    <row r="1614" spans="1:4">
      <c r="A1614" s="2252" t="s">
        <v>2030</v>
      </c>
      <c r="B1614" s="2253" t="str">
        <f>报表附注!E1831</f>
        <v>4-5年（含5年）</v>
      </c>
      <c r="C1614" s="2260">
        <f>报表附注!F1831</f>
        <v>0</v>
      </c>
      <c r="D1614" s="2252" t="b">
        <f t="shared" si="30"/>
        <v>1</v>
      </c>
    </row>
    <row r="1615" spans="1:4">
      <c r="A1615" s="2252" t="s">
        <v>2031</v>
      </c>
      <c r="B1615" s="2253" t="str">
        <f>报表附注!E1832</f>
        <v>5年以上</v>
      </c>
      <c r="C1615" s="2260">
        <f>报表附注!F1832</f>
        <v>0</v>
      </c>
      <c r="D1615" s="2252" t="b">
        <f t="shared" si="30"/>
        <v>1</v>
      </c>
    </row>
    <row r="1616" spans="1:4">
      <c r="A1616" s="2252" t="s">
        <v>2021</v>
      </c>
      <c r="B1616" s="2263" t="str">
        <f>报表附注!E1833</f>
        <v>合计</v>
      </c>
      <c r="C1616" s="2260">
        <f>报表附注!F1833</f>
        <v>41707145.22</v>
      </c>
      <c r="D1616" s="2252" t="b">
        <f t="shared" si="30"/>
        <v>1</v>
      </c>
    </row>
    <row r="1617" spans="1:4">
      <c r="A1617" s="2252" t="s">
        <v>2020</v>
      </c>
      <c r="B1617" s="2273" t="s">
        <v>2020</v>
      </c>
      <c r="D1617" s="2252" t="b">
        <f t="shared" si="30"/>
        <v>1</v>
      </c>
    </row>
    <row r="1618" spans="1:4">
      <c r="A1618" s="2252" t="s">
        <v>2026</v>
      </c>
      <c r="B1618" s="2253" t="str">
        <f>报表附注!E1827</f>
        <v>1年以内（含1年）</v>
      </c>
      <c r="C1618" s="2260">
        <f>报表附注!G1827</f>
        <v>11757403.15</v>
      </c>
      <c r="D1618" s="2252" t="b">
        <f t="shared" si="30"/>
        <v>1</v>
      </c>
    </row>
    <row r="1619" spans="1:4">
      <c r="A1619" s="2252" t="s">
        <v>2027</v>
      </c>
      <c r="B1619" s="2253" t="str">
        <f>报表附注!E1828</f>
        <v>1-2年（含2年）</v>
      </c>
      <c r="C1619" s="2260">
        <f>报表附注!G1828</f>
        <v>4531807.69</v>
      </c>
      <c r="D1619" s="2252" t="b">
        <f t="shared" si="30"/>
        <v>1</v>
      </c>
    </row>
    <row r="1620" spans="1:4">
      <c r="A1620" s="2252" t="s">
        <v>2028</v>
      </c>
      <c r="B1620" s="2253" t="str">
        <f>报表附注!E1829</f>
        <v>2-3年（含3年）</v>
      </c>
      <c r="C1620" s="2260">
        <f>报表附注!G1829</f>
        <v>79260.14</v>
      </c>
      <c r="D1620" s="2252" t="b">
        <f t="shared" si="30"/>
        <v>1</v>
      </c>
    </row>
    <row r="1621" spans="1:4">
      <c r="A1621" s="2252" t="s">
        <v>2029</v>
      </c>
      <c r="B1621" s="2253" t="str">
        <f>报表附注!E1830</f>
        <v>3-4年（含4年）</v>
      </c>
      <c r="C1621" s="2260">
        <f>报表附注!G1830</f>
        <v>0</v>
      </c>
      <c r="D1621" s="2252" t="b">
        <f t="shared" si="30"/>
        <v>1</v>
      </c>
    </row>
    <row r="1622" spans="1:4">
      <c r="A1622" s="2252" t="s">
        <v>2030</v>
      </c>
      <c r="B1622" s="2253" t="str">
        <f>报表附注!E1831</f>
        <v>4-5年（含5年）</v>
      </c>
      <c r="C1622" s="2260">
        <f>报表附注!G1831</f>
        <v>0</v>
      </c>
      <c r="D1622" s="2252" t="b">
        <f t="shared" ref="D1622:D1705" si="31">EXACT(A1622,B1622)</f>
        <v>1</v>
      </c>
    </row>
    <row r="1623" spans="1:4">
      <c r="A1623" s="2252" t="s">
        <v>2031</v>
      </c>
      <c r="B1623" s="2253" t="str">
        <f>报表附注!E1832</f>
        <v>5年以上</v>
      </c>
      <c r="C1623" s="2260">
        <f>报表附注!G1832</f>
        <v>0</v>
      </c>
      <c r="D1623" s="2252" t="b">
        <f t="shared" si="31"/>
        <v>1</v>
      </c>
    </row>
    <row r="1624" spans="1:4">
      <c r="A1624" s="2252" t="s">
        <v>2021</v>
      </c>
      <c r="B1624" s="2263" t="str">
        <f>报表附注!E1833</f>
        <v>合计</v>
      </c>
      <c r="C1624" s="2260">
        <f>报表附注!G1833</f>
        <v>16368470.98</v>
      </c>
      <c r="D1624" s="2252" t="b">
        <f t="shared" si="31"/>
        <v>1</v>
      </c>
    </row>
    <row r="1625" spans="4:4">
      <c r="D1625" s="2252" t="b">
        <f t="shared" si="31"/>
        <v>1</v>
      </c>
    </row>
    <row r="1626" spans="1:4">
      <c r="A1626" s="2252" t="s">
        <v>2209</v>
      </c>
      <c r="B1626" s="2270" t="s">
        <v>2209</v>
      </c>
      <c r="D1626" s="2252" t="b">
        <f t="shared" si="31"/>
        <v>1</v>
      </c>
    </row>
    <row r="1627" spans="1:4">
      <c r="A1627" s="2252" t="s">
        <v>316</v>
      </c>
      <c r="B1627" s="2273" t="s">
        <v>316</v>
      </c>
      <c r="D1627" s="2252" t="b">
        <f t="shared" si="31"/>
        <v>1</v>
      </c>
    </row>
    <row r="1628" spans="1:4">
      <c r="A1628" s="2252" t="s">
        <v>2041</v>
      </c>
      <c r="B1628" s="2253" t="str">
        <f>报表附注!E1893</f>
        <v>1年以内(含1年)</v>
      </c>
      <c r="C1628" s="2260">
        <f>报表附注!F1893</f>
        <v>0</v>
      </c>
      <c r="D1628" s="2252" t="b">
        <f t="shared" si="31"/>
        <v>1</v>
      </c>
    </row>
    <row r="1629" spans="1:4">
      <c r="A1629" s="2252" t="s">
        <v>2042</v>
      </c>
      <c r="B1629" s="2253" t="str">
        <f>报表附注!E1894</f>
        <v>1-2年(含2年)</v>
      </c>
      <c r="C1629" s="2260">
        <f>报表附注!F1894</f>
        <v>0</v>
      </c>
      <c r="D1629" s="2252" t="b">
        <f t="shared" si="31"/>
        <v>1</v>
      </c>
    </row>
    <row r="1630" spans="1:4">
      <c r="A1630" s="2252" t="s">
        <v>2043</v>
      </c>
      <c r="B1630" s="2253" t="str">
        <f>报表附注!E1895</f>
        <v>2-3年(含3年)</v>
      </c>
      <c r="C1630" s="2260">
        <f>报表附注!F1895</f>
        <v>0</v>
      </c>
      <c r="D1630" s="2252" t="b">
        <f t="shared" si="31"/>
        <v>1</v>
      </c>
    </row>
    <row r="1631" spans="1:4">
      <c r="A1631" s="2252" t="s">
        <v>2044</v>
      </c>
      <c r="B1631" s="2253" t="str">
        <f>报表附注!E1896</f>
        <v>3年以上 </v>
      </c>
      <c r="C1631" s="2260">
        <f>报表附注!F1896</f>
        <v>0</v>
      </c>
      <c r="D1631" s="2252" t="b">
        <f t="shared" si="31"/>
        <v>1</v>
      </c>
    </row>
    <row r="1632" spans="1:4">
      <c r="A1632" s="2252" t="s">
        <v>2021</v>
      </c>
      <c r="B1632" s="2263" t="str">
        <f>报表附注!E1897</f>
        <v>合计</v>
      </c>
      <c r="C1632" s="2260">
        <f>报表附注!F1897</f>
        <v>0</v>
      </c>
      <c r="D1632" s="2252" t="b">
        <f t="shared" si="31"/>
        <v>1</v>
      </c>
    </row>
    <row r="1633" spans="1:4">
      <c r="A1633" s="2252" t="s">
        <v>2020</v>
      </c>
      <c r="B1633" s="2273" t="s">
        <v>2020</v>
      </c>
      <c r="D1633" s="2252" t="b">
        <f t="shared" si="31"/>
        <v>1</v>
      </c>
    </row>
    <row r="1634" spans="1:4">
      <c r="A1634" s="2252" t="s">
        <v>2041</v>
      </c>
      <c r="B1634" s="2253" t="str">
        <f>报表附注!E1893</f>
        <v>1年以内(含1年)</v>
      </c>
      <c r="C1634" s="2260">
        <f>报表附注!G1893</f>
        <v>4711102.57</v>
      </c>
      <c r="D1634" s="2252" t="b">
        <f t="shared" si="31"/>
        <v>1</v>
      </c>
    </row>
    <row r="1635" spans="1:4">
      <c r="A1635" s="2252" t="s">
        <v>2042</v>
      </c>
      <c r="B1635" s="2253" t="str">
        <f>报表附注!E1894</f>
        <v>1-2年(含2年)</v>
      </c>
      <c r="C1635" s="2260">
        <f>报表附注!G1894</f>
        <v>0</v>
      </c>
      <c r="D1635" s="2252" t="b">
        <f t="shared" si="31"/>
        <v>1</v>
      </c>
    </row>
    <row r="1636" spans="1:4">
      <c r="A1636" s="2252" t="s">
        <v>2043</v>
      </c>
      <c r="B1636" s="2253" t="str">
        <f>报表附注!E1895</f>
        <v>2-3年(含3年)</v>
      </c>
      <c r="C1636" s="2260">
        <f>报表附注!G1895</f>
        <v>0</v>
      </c>
      <c r="D1636" s="2252" t="b">
        <f t="shared" si="31"/>
        <v>1</v>
      </c>
    </row>
    <row r="1637" spans="1:4">
      <c r="A1637" s="2252" t="s">
        <v>2044</v>
      </c>
      <c r="B1637" s="2253" t="str">
        <f>报表附注!E1896</f>
        <v>3年以上 </v>
      </c>
      <c r="C1637" s="2260">
        <f>报表附注!G1896</f>
        <v>0</v>
      </c>
      <c r="D1637" s="2252" t="b">
        <f t="shared" si="31"/>
        <v>1</v>
      </c>
    </row>
    <row r="1638" spans="1:4">
      <c r="A1638" s="2252" t="s">
        <v>2021</v>
      </c>
      <c r="B1638" s="2263" t="str">
        <f>报表附注!E1897</f>
        <v>合计</v>
      </c>
      <c r="C1638" s="2260">
        <f>报表附注!G1897</f>
        <v>4711102.57</v>
      </c>
      <c r="D1638" s="2252" t="b">
        <f t="shared" si="31"/>
        <v>1</v>
      </c>
    </row>
    <row r="1639" spans="4:4">
      <c r="D1639" s="2252" t="b">
        <f t="shared" si="31"/>
        <v>1</v>
      </c>
    </row>
    <row r="1640" spans="1:4">
      <c r="A1640" s="2252" t="s">
        <v>2210</v>
      </c>
      <c r="B1640" s="2270" t="s">
        <v>2210</v>
      </c>
      <c r="D1640" s="2252" t="b">
        <f t="shared" si="31"/>
        <v>1</v>
      </c>
    </row>
    <row r="1641" spans="1:4">
      <c r="A1641" s="2252" t="s">
        <v>2020</v>
      </c>
      <c r="B1641" s="2273" t="s">
        <v>2020</v>
      </c>
      <c r="D1641" s="2252" t="b">
        <f t="shared" si="31"/>
        <v>1</v>
      </c>
    </row>
    <row r="1642" spans="1:4">
      <c r="A1642" s="2252" t="s">
        <v>1053</v>
      </c>
      <c r="B1642" s="2253" t="str">
        <f>报表附注!E1954</f>
        <v>一、短期薪酬</v>
      </c>
      <c r="C1642" s="2260">
        <f>报表附注!F1954</f>
        <v>1116508.51</v>
      </c>
      <c r="D1642" s="2252" t="b">
        <f t="shared" si="31"/>
        <v>0</v>
      </c>
    </row>
    <row r="1643" spans="1:4">
      <c r="A1643" s="2252" t="s">
        <v>1055</v>
      </c>
      <c r="B1643" s="2253" t="str">
        <f>报表附注!E1955</f>
        <v>    1、工资、奖金、津贴和补贴</v>
      </c>
      <c r="C1643" s="2260">
        <f>报表附注!F1955</f>
        <v>1116508.51</v>
      </c>
      <c r="D1643" s="2252" t="b">
        <f t="shared" si="31"/>
        <v>0</v>
      </c>
    </row>
    <row r="1644" spans="1:4">
      <c r="A1644" s="2252" t="s">
        <v>1057</v>
      </c>
      <c r="B1644" s="2253" t="str">
        <f>报表附注!E1956</f>
        <v>    2、职工福利费</v>
      </c>
      <c r="C1644" s="2260">
        <f>报表附注!F1956</f>
        <v>0</v>
      </c>
      <c r="D1644" s="2252" t="b">
        <f t="shared" si="31"/>
        <v>0</v>
      </c>
    </row>
    <row r="1645" spans="1:4">
      <c r="A1645" s="2252" t="s">
        <v>2211</v>
      </c>
      <c r="B1645" s="2253" t="str">
        <f>报表附注!E1957</f>
        <v>    3、社会保险费</v>
      </c>
      <c r="C1645" s="2260">
        <f>报表附注!F1957</f>
        <v>0</v>
      </c>
      <c r="D1645" s="2252" t="b">
        <f t="shared" si="31"/>
        <v>0</v>
      </c>
    </row>
    <row r="1646" spans="1:4">
      <c r="A1646" s="2252" t="s">
        <v>2212</v>
      </c>
      <c r="B1646" s="2253" t="str">
        <f>报表附注!E1958</f>
        <v>     （1）医疗保险费</v>
      </c>
      <c r="C1646" s="2260">
        <f>报表附注!F1958</f>
        <v>0</v>
      </c>
      <c r="D1646" s="2252" t="b">
        <f t="shared" si="31"/>
        <v>0</v>
      </c>
    </row>
    <row r="1647" spans="1:4">
      <c r="A1647" s="2252" t="s">
        <v>2213</v>
      </c>
      <c r="B1647" s="2253" t="str">
        <f>报表附注!E1959</f>
        <v>     （2）工伤保险费</v>
      </c>
      <c r="C1647" s="2260">
        <f>报表附注!F1959</f>
        <v>0</v>
      </c>
      <c r="D1647" s="2252" t="b">
        <f t="shared" si="31"/>
        <v>0</v>
      </c>
    </row>
    <row r="1648" spans="1:4">
      <c r="A1648" s="2252" t="s">
        <v>2214</v>
      </c>
      <c r="B1648" s="2253" t="str">
        <f>报表附注!E1960</f>
        <v>     （3）生育保险费</v>
      </c>
      <c r="C1648" s="2260">
        <f>报表附注!F1960</f>
        <v>0</v>
      </c>
      <c r="D1648" s="2252" t="b">
        <f t="shared" si="31"/>
        <v>0</v>
      </c>
    </row>
    <row r="1649" spans="1:4">
      <c r="A1649" s="2252" t="s">
        <v>2215</v>
      </c>
      <c r="B1649" s="2253" t="str">
        <f>报表附注!E1961</f>
        <v>    4、住房公积金</v>
      </c>
      <c r="C1649" s="2260">
        <f>报表附注!F1961</f>
        <v>0</v>
      </c>
      <c r="D1649" s="2252" t="b">
        <f t="shared" si="31"/>
        <v>0</v>
      </c>
    </row>
    <row r="1650" spans="1:4">
      <c r="A1650" s="2252" t="s">
        <v>2216</v>
      </c>
      <c r="B1650" s="2253" t="str">
        <f>报表附注!E1962</f>
        <v>    5、工会经费和职工教育经费</v>
      </c>
      <c r="C1650" s="2260">
        <f>报表附注!F1962</f>
        <v>0</v>
      </c>
      <c r="D1650" s="2252" t="b">
        <f t="shared" si="31"/>
        <v>0</v>
      </c>
    </row>
    <row r="1651" spans="1:4">
      <c r="A1651" s="2252" t="s">
        <v>1071</v>
      </c>
      <c r="B1651" s="2253" t="str">
        <f>报表附注!E1963</f>
        <v>    6、短期带薪缺勤</v>
      </c>
      <c r="C1651" s="2260">
        <f>报表附注!F1963</f>
        <v>0</v>
      </c>
      <c r="D1651" s="2252" t="b">
        <f t="shared" si="31"/>
        <v>0</v>
      </c>
    </row>
    <row r="1652" spans="1:4">
      <c r="A1652" s="2252" t="s">
        <v>2217</v>
      </c>
      <c r="B1652" s="2253" t="str">
        <f>报表附注!E1964</f>
        <v>    7、短期利润分享计划</v>
      </c>
      <c r="C1652" s="2260">
        <f>报表附注!F1964</f>
        <v>0</v>
      </c>
      <c r="D1652" s="2252" t="b">
        <f t="shared" si="31"/>
        <v>0</v>
      </c>
    </row>
    <row r="1653" spans="1:4">
      <c r="A1653" s="2252" t="s">
        <v>2218</v>
      </c>
      <c r="B1653" s="2253" t="str">
        <f>报表附注!E1965</f>
        <v>    8、其他短期薪酬</v>
      </c>
      <c r="C1653" s="2260">
        <f>报表附注!F1965</f>
        <v>0</v>
      </c>
      <c r="D1653" s="2252" t="b">
        <f t="shared" si="31"/>
        <v>0</v>
      </c>
    </row>
    <row r="1654" spans="1:4">
      <c r="A1654" s="2252" t="s">
        <v>2219</v>
      </c>
      <c r="B1654" s="2253">
        <f>报表附注!E1966</f>
        <v>0</v>
      </c>
      <c r="C1654" s="2260">
        <f>报表附注!F1966</f>
        <v>0</v>
      </c>
      <c r="D1654" s="2252" t="b">
        <f t="shared" si="31"/>
        <v>0</v>
      </c>
    </row>
    <row r="1655" spans="1:4">
      <c r="A1655" s="2252" t="s">
        <v>2220</v>
      </c>
      <c r="B1655" s="2253" t="str">
        <f>报表附注!E1967</f>
        <v>二、离职后福利-设定提存计划</v>
      </c>
      <c r="C1655" s="2260">
        <f>报表附注!F1967</f>
        <v>0</v>
      </c>
      <c r="D1655" s="2252" t="b">
        <f t="shared" si="31"/>
        <v>0</v>
      </c>
    </row>
    <row r="1656" spans="1:4">
      <c r="A1656" s="2252" t="s">
        <v>2221</v>
      </c>
      <c r="B1656" s="2253" t="str">
        <f>报表附注!E1968</f>
        <v>  1、基本养老保险</v>
      </c>
      <c r="C1656" s="2260">
        <f>报表附注!F1968</f>
        <v>0</v>
      </c>
      <c r="D1656" s="2252" t="b">
        <f t="shared" si="31"/>
        <v>0</v>
      </c>
    </row>
    <row r="1657" spans="1:4">
      <c r="A1657" s="2252" t="s">
        <v>2222</v>
      </c>
      <c r="B1657" s="2253" t="str">
        <f>报表附注!E1969</f>
        <v>    2、失业保险费</v>
      </c>
      <c r="C1657" s="2260">
        <f>报表附注!F1969</f>
        <v>0</v>
      </c>
      <c r="D1657" s="2252" t="b">
        <f t="shared" si="31"/>
        <v>0</v>
      </c>
    </row>
    <row r="1658" spans="2:4">
      <c r="B1658" s="2253" t="str">
        <f>报表附注!E1970</f>
        <v>    3、企业年金缴费</v>
      </c>
      <c r="C1658" s="2260">
        <f>报表附注!F1970</f>
        <v>0</v>
      </c>
      <c r="D1658" s="2252" t="b">
        <f t="shared" ref="D1658:D1661" si="32">EXACT(A1658,B1658)</f>
        <v>0</v>
      </c>
    </row>
    <row r="1659" spans="2:4">
      <c r="B1659" s="2253" t="str">
        <f>报表附注!E1971</f>
        <v>    4、其他</v>
      </c>
      <c r="C1659" s="2260">
        <f>报表附注!F1971</f>
        <v>0</v>
      </c>
      <c r="D1659" s="2252" t="b">
        <f t="shared" si="32"/>
        <v>0</v>
      </c>
    </row>
    <row r="1660" spans="2:4">
      <c r="B1660" s="2253">
        <f>报表附注!E1972</f>
        <v>0</v>
      </c>
      <c r="C1660" s="2260">
        <f>报表附注!F1972</f>
        <v>0</v>
      </c>
      <c r="D1660" s="2252" t="b">
        <f t="shared" si="32"/>
        <v>0</v>
      </c>
    </row>
    <row r="1661" spans="2:4">
      <c r="B1661" s="2253" t="str">
        <f>报表附注!E1973</f>
        <v>三、辞退福利</v>
      </c>
      <c r="C1661" s="2260">
        <f>报表附注!F1973</f>
        <v>0</v>
      </c>
      <c r="D1661" s="2252" t="b">
        <f t="shared" si="32"/>
        <v>0</v>
      </c>
    </row>
    <row r="1662" spans="2:4">
      <c r="B1662" s="2253" t="str">
        <f>报表附注!E1974</f>
        <v>    1、因解除劳动关系给予的补偿</v>
      </c>
      <c r="C1662" s="2260">
        <f>报表附注!F1974</f>
        <v>0</v>
      </c>
      <c r="D1662" s="2252" t="b">
        <f t="shared" ref="D1662:D1667" si="33">EXACT(A1662,B1662)</f>
        <v>0</v>
      </c>
    </row>
    <row r="1663" spans="2:4">
      <c r="B1663" s="2253" t="str">
        <f>报表附注!E1975</f>
        <v>    2、其他</v>
      </c>
      <c r="C1663" s="2260">
        <f>报表附注!F1975</f>
        <v>0</v>
      </c>
      <c r="D1663" s="2252" t="b">
        <f t="shared" si="33"/>
        <v>0</v>
      </c>
    </row>
    <row r="1664" spans="2:4">
      <c r="B1664" s="2253">
        <f>报表附注!E1976</f>
        <v>0</v>
      </c>
      <c r="C1664" s="2260">
        <f>报表附注!F1976</f>
        <v>0</v>
      </c>
      <c r="D1664" s="2252" t="b">
        <f t="shared" si="33"/>
        <v>0</v>
      </c>
    </row>
    <row r="1665" spans="2:4">
      <c r="B1665" s="2253" t="str">
        <f>报表附注!E1977</f>
        <v>四、一年内到期的其他福利</v>
      </c>
      <c r="C1665" s="2260">
        <f>报表附注!F1977</f>
        <v>0</v>
      </c>
      <c r="D1665" s="2252" t="b">
        <f t="shared" si="33"/>
        <v>0</v>
      </c>
    </row>
    <row r="1666" spans="2:4">
      <c r="B1666" s="2253" t="str">
        <f>报表附注!E1978</f>
        <v>    1、项目1</v>
      </c>
      <c r="C1666" s="2260">
        <f>报表附注!F1978</f>
        <v>0</v>
      </c>
      <c r="D1666" s="2252" t="b">
        <f t="shared" si="33"/>
        <v>0</v>
      </c>
    </row>
    <row r="1667" spans="2:4">
      <c r="B1667" s="2253" t="str">
        <f>报表附注!E1979</f>
        <v>    2、项目2</v>
      </c>
      <c r="C1667" s="2260">
        <f>报表附注!F1979</f>
        <v>0</v>
      </c>
      <c r="D1667" s="2252" t="b">
        <f t="shared" si="33"/>
        <v>0</v>
      </c>
    </row>
    <row r="1668" spans="1:4">
      <c r="A1668" s="2252" t="s">
        <v>1207</v>
      </c>
      <c r="B1668" s="2263" t="str">
        <f>报表附注!E1980</f>
        <v>合  计</v>
      </c>
      <c r="C1668" s="2260">
        <f>报表附注!F1980</f>
        <v>1116508.51</v>
      </c>
      <c r="D1668" s="2252" t="b">
        <f t="shared" si="31"/>
        <v>1</v>
      </c>
    </row>
    <row r="1669" spans="1:4">
      <c r="A1669" s="2252" t="s">
        <v>672</v>
      </c>
      <c r="B1669" s="2273" t="s">
        <v>672</v>
      </c>
      <c r="D1669" s="2252" t="b">
        <f t="shared" si="31"/>
        <v>1</v>
      </c>
    </row>
    <row r="1670" spans="1:4">
      <c r="A1670" s="2252" t="s">
        <v>1053</v>
      </c>
      <c r="B1670" s="2253" t="str">
        <f>报表附注!E1954</f>
        <v>一、短期薪酬</v>
      </c>
      <c r="C1670" s="2260">
        <f>报表附注!G1954</f>
        <v>10103139.59</v>
      </c>
      <c r="D1670" s="2252" t="b">
        <f t="shared" si="31"/>
        <v>0</v>
      </c>
    </row>
    <row r="1671" spans="1:4">
      <c r="A1671" s="2252" t="s">
        <v>1055</v>
      </c>
      <c r="B1671" s="2253" t="str">
        <f>报表附注!E1955</f>
        <v>    1、工资、奖金、津贴和补贴</v>
      </c>
      <c r="C1671" s="2260">
        <f>报表附注!G1955</f>
        <v>9762452.29</v>
      </c>
      <c r="D1671" s="2252" t="b">
        <f t="shared" si="31"/>
        <v>0</v>
      </c>
    </row>
    <row r="1672" spans="1:4">
      <c r="A1672" s="2252" t="s">
        <v>1057</v>
      </c>
      <c r="B1672" s="2253" t="str">
        <f>报表附注!E1956</f>
        <v>    2、职工福利费</v>
      </c>
      <c r="C1672" s="2260">
        <f>报表附注!G1956</f>
        <v>113783.2</v>
      </c>
      <c r="D1672" s="2252" t="b">
        <f t="shared" si="31"/>
        <v>0</v>
      </c>
    </row>
    <row r="1673" spans="1:4">
      <c r="A1673" s="2252" t="s">
        <v>2211</v>
      </c>
      <c r="B1673" s="2253" t="str">
        <f>报表附注!E1957</f>
        <v>    3、社会保险费</v>
      </c>
      <c r="C1673" s="2260">
        <f>报表附注!G1957</f>
        <v>121277.28</v>
      </c>
      <c r="D1673" s="2252" t="b">
        <f t="shared" si="31"/>
        <v>0</v>
      </c>
    </row>
    <row r="1674" spans="1:4">
      <c r="A1674" s="2252" t="s">
        <v>2212</v>
      </c>
      <c r="B1674" s="2253" t="str">
        <f>报表附注!E1958</f>
        <v>     （1）医疗保险费</v>
      </c>
      <c r="C1674" s="2260">
        <f>报表附注!G1958</f>
        <v>88937.27</v>
      </c>
      <c r="D1674" s="2252" t="b">
        <f t="shared" si="31"/>
        <v>0</v>
      </c>
    </row>
    <row r="1675" spans="1:4">
      <c r="A1675" s="2252" t="s">
        <v>2213</v>
      </c>
      <c r="B1675" s="2253" t="str">
        <f>报表附注!E1959</f>
        <v>     （2）工伤保险费</v>
      </c>
      <c r="C1675" s="2260">
        <f>报表附注!G1959</f>
        <v>15389.81</v>
      </c>
      <c r="D1675" s="2252" t="b">
        <f t="shared" si="31"/>
        <v>0</v>
      </c>
    </row>
    <row r="1676" spans="1:4">
      <c r="A1676" s="2252" t="s">
        <v>2214</v>
      </c>
      <c r="B1676" s="2253" t="str">
        <f>报表附注!E1960</f>
        <v>     （3）生育保险费</v>
      </c>
      <c r="C1676" s="2260">
        <f>报表附注!G1960</f>
        <v>16950.2</v>
      </c>
      <c r="D1676" s="2252" t="b">
        <f t="shared" si="31"/>
        <v>0</v>
      </c>
    </row>
    <row r="1677" spans="1:4">
      <c r="A1677" s="2252" t="s">
        <v>2215</v>
      </c>
      <c r="B1677" s="2253" t="str">
        <f>报表附注!E1961</f>
        <v>    4、住房公积金</v>
      </c>
      <c r="C1677" s="2260">
        <f>报表附注!G1961</f>
        <v>93263</v>
      </c>
      <c r="D1677" s="2252" t="b">
        <f t="shared" si="31"/>
        <v>0</v>
      </c>
    </row>
    <row r="1678" spans="1:4">
      <c r="A1678" s="2252" t="s">
        <v>2216</v>
      </c>
      <c r="B1678" s="2253" t="str">
        <f>报表附注!E1962</f>
        <v>    5、工会经费和职工教育经费</v>
      </c>
      <c r="C1678" s="2260">
        <f>报表附注!G1962</f>
        <v>6363.82</v>
      </c>
      <c r="D1678" s="2252" t="b">
        <f t="shared" si="31"/>
        <v>0</v>
      </c>
    </row>
    <row r="1679" spans="1:4">
      <c r="A1679" s="2252" t="s">
        <v>1071</v>
      </c>
      <c r="B1679" s="2253" t="str">
        <f>报表附注!E1963</f>
        <v>    6、短期带薪缺勤</v>
      </c>
      <c r="C1679" s="2260">
        <f>报表附注!G1963</f>
        <v>0</v>
      </c>
      <c r="D1679" s="2252" t="b">
        <f t="shared" si="31"/>
        <v>0</v>
      </c>
    </row>
    <row r="1680" spans="1:4">
      <c r="A1680" s="2252" t="s">
        <v>2217</v>
      </c>
      <c r="B1680" s="2253" t="str">
        <f>报表附注!E1964</f>
        <v>    7、短期利润分享计划</v>
      </c>
      <c r="C1680" s="2260">
        <f>报表附注!G1964</f>
        <v>0</v>
      </c>
      <c r="D1680" s="2252" t="b">
        <f t="shared" si="31"/>
        <v>0</v>
      </c>
    </row>
    <row r="1681" spans="1:4">
      <c r="A1681" s="2252" t="s">
        <v>2218</v>
      </c>
      <c r="B1681" s="2253" t="str">
        <f>报表附注!E1965</f>
        <v>    8、其他短期薪酬</v>
      </c>
      <c r="C1681" s="2260">
        <f>报表附注!G1965</f>
        <v>6000</v>
      </c>
      <c r="D1681" s="2252" t="b">
        <f t="shared" si="31"/>
        <v>0</v>
      </c>
    </row>
    <row r="1682" spans="1:4">
      <c r="A1682" s="2252" t="s">
        <v>2219</v>
      </c>
      <c r="B1682" s="2253">
        <f>报表附注!E1966</f>
        <v>0</v>
      </c>
      <c r="C1682" s="2260">
        <f>报表附注!G1966</f>
        <v>0</v>
      </c>
      <c r="D1682" s="2252" t="b">
        <f t="shared" si="31"/>
        <v>0</v>
      </c>
    </row>
    <row r="1683" spans="1:4">
      <c r="A1683" s="2252" t="s">
        <v>2220</v>
      </c>
      <c r="B1683" s="2253" t="str">
        <f>报表附注!E1967</f>
        <v>二、离职后福利-设定提存计划</v>
      </c>
      <c r="C1683" s="2260">
        <f>报表附注!G1967</f>
        <v>478399.3</v>
      </c>
      <c r="D1683" s="2252" t="b">
        <f t="shared" si="31"/>
        <v>0</v>
      </c>
    </row>
    <row r="1684" spans="1:4">
      <c r="A1684" s="2252" t="s">
        <v>2221</v>
      </c>
      <c r="B1684" s="2253" t="str">
        <f>报表附注!E1968</f>
        <v>  1、基本养老保险</v>
      </c>
      <c r="C1684" s="2260">
        <f>报表附注!G1968</f>
        <v>465086.4</v>
      </c>
      <c r="D1684" s="2252" t="b">
        <f t="shared" si="31"/>
        <v>0</v>
      </c>
    </row>
    <row r="1685" spans="1:4">
      <c r="A1685" s="2252" t="s">
        <v>2222</v>
      </c>
      <c r="B1685" s="2253" t="str">
        <f>报表附注!E1969</f>
        <v>    2、失业保险费</v>
      </c>
      <c r="C1685" s="2260">
        <f>报表附注!G1969</f>
        <v>13312.9</v>
      </c>
      <c r="D1685" s="2252" t="b">
        <f t="shared" si="31"/>
        <v>0</v>
      </c>
    </row>
    <row r="1686" spans="2:4">
      <c r="B1686" s="2253" t="str">
        <f>报表附注!E1970</f>
        <v>    3、企业年金缴费</v>
      </c>
      <c r="C1686" s="2260">
        <f>报表附注!G1970</f>
        <v>0</v>
      </c>
      <c r="D1686" s="2252" t="b">
        <f t="shared" ref="D1686:D1695" si="34">EXACT(A1686,B1686)</f>
        <v>0</v>
      </c>
    </row>
    <row r="1687" spans="2:4">
      <c r="B1687" s="2253" t="str">
        <f>报表附注!E1971</f>
        <v>    4、其他</v>
      </c>
      <c r="C1687" s="2260">
        <f>报表附注!G1971</f>
        <v>0</v>
      </c>
      <c r="D1687" s="2252" t="b">
        <f t="shared" si="34"/>
        <v>0</v>
      </c>
    </row>
    <row r="1688" spans="2:4">
      <c r="B1688" s="2253">
        <f>报表附注!E1972</f>
        <v>0</v>
      </c>
      <c r="C1688" s="2260">
        <f>报表附注!G1972</f>
        <v>0</v>
      </c>
      <c r="D1688" s="2252" t="b">
        <f t="shared" si="34"/>
        <v>0</v>
      </c>
    </row>
    <row r="1689" spans="2:4">
      <c r="B1689" s="2253" t="str">
        <f>报表附注!E1973</f>
        <v>三、辞退福利</v>
      </c>
      <c r="C1689" s="2260">
        <f>报表附注!G1973</f>
        <v>0</v>
      </c>
      <c r="D1689" s="2252" t="b">
        <f t="shared" si="34"/>
        <v>0</v>
      </c>
    </row>
    <row r="1690" spans="2:4">
      <c r="B1690" s="2253" t="str">
        <f>报表附注!E1974</f>
        <v>    1、因解除劳动关系给予的补偿</v>
      </c>
      <c r="C1690" s="2260">
        <f>报表附注!G1974</f>
        <v>0</v>
      </c>
      <c r="D1690" s="2252" t="b">
        <f t="shared" si="34"/>
        <v>0</v>
      </c>
    </row>
    <row r="1691" spans="2:4">
      <c r="B1691" s="2253" t="str">
        <f>报表附注!E1975</f>
        <v>    2、其他</v>
      </c>
      <c r="C1691" s="2260">
        <f>报表附注!G1975</f>
        <v>0</v>
      </c>
      <c r="D1691" s="2252" t="b">
        <f t="shared" si="34"/>
        <v>0</v>
      </c>
    </row>
    <row r="1692" spans="2:4">
      <c r="B1692" s="2253">
        <f>报表附注!E1976</f>
        <v>0</v>
      </c>
      <c r="C1692" s="2260">
        <f>报表附注!G1976</f>
        <v>0</v>
      </c>
      <c r="D1692" s="2252" t="b">
        <f t="shared" si="34"/>
        <v>0</v>
      </c>
    </row>
    <row r="1693" spans="2:4">
      <c r="B1693" s="2253" t="str">
        <f>报表附注!E1977</f>
        <v>四、一年内到期的其他福利</v>
      </c>
      <c r="C1693" s="2260">
        <f>报表附注!G1977</f>
        <v>0</v>
      </c>
      <c r="D1693" s="2252" t="b">
        <f t="shared" si="34"/>
        <v>0</v>
      </c>
    </row>
    <row r="1694" spans="2:4">
      <c r="B1694" s="2253" t="str">
        <f>报表附注!E1978</f>
        <v>    1、项目1</v>
      </c>
      <c r="C1694" s="2260">
        <f>报表附注!G1978</f>
        <v>0</v>
      </c>
      <c r="D1694" s="2252" t="b">
        <f t="shared" si="34"/>
        <v>0</v>
      </c>
    </row>
    <row r="1695" spans="2:4">
      <c r="B1695" s="2253" t="str">
        <f>报表附注!E1979</f>
        <v>    2、项目2</v>
      </c>
      <c r="C1695" s="2260">
        <f>报表附注!G1979</f>
        <v>0</v>
      </c>
      <c r="D1695" s="2252" t="b">
        <f t="shared" si="34"/>
        <v>0</v>
      </c>
    </row>
    <row r="1696" spans="1:4">
      <c r="A1696" s="2252" t="s">
        <v>1207</v>
      </c>
      <c r="B1696" s="2263" t="str">
        <f>报表附注!E1980</f>
        <v>合  计</v>
      </c>
      <c r="C1696" s="2260">
        <f>报表附注!G1980</f>
        <v>10581538.89</v>
      </c>
      <c r="D1696" s="2252" t="b">
        <f t="shared" si="31"/>
        <v>1</v>
      </c>
    </row>
    <row r="1697" spans="1:4">
      <c r="A1697" s="2252" t="s">
        <v>2223</v>
      </c>
      <c r="B1697" s="2273" t="s">
        <v>2223</v>
      </c>
      <c r="D1697" s="2252" t="b">
        <f t="shared" si="31"/>
        <v>1</v>
      </c>
    </row>
    <row r="1698" spans="1:4">
      <c r="A1698" s="2252" t="s">
        <v>1053</v>
      </c>
      <c r="B1698" s="2253" t="str">
        <f>报表附注!E1954</f>
        <v>一、短期薪酬</v>
      </c>
      <c r="C1698" s="2260">
        <f>报表附注!H1954</f>
        <v>9803629.6</v>
      </c>
      <c r="D1698" s="2252" t="b">
        <f t="shared" si="31"/>
        <v>0</v>
      </c>
    </row>
    <row r="1699" spans="1:4">
      <c r="A1699" s="2252" t="s">
        <v>1055</v>
      </c>
      <c r="B1699" s="2253" t="str">
        <f>报表附注!E1955</f>
        <v>    1、工资、奖金、津贴和补贴</v>
      </c>
      <c r="C1699" s="2260">
        <f>报表附注!H1955</f>
        <v>9462942.3</v>
      </c>
      <c r="D1699" s="2252" t="b">
        <f t="shared" si="31"/>
        <v>0</v>
      </c>
    </row>
    <row r="1700" spans="1:4">
      <c r="A1700" s="2252" t="s">
        <v>1057</v>
      </c>
      <c r="B1700" s="2253" t="str">
        <f>报表附注!E1956</f>
        <v>    2、职工福利费</v>
      </c>
      <c r="C1700" s="2260">
        <f>报表附注!H1956</f>
        <v>113783.2</v>
      </c>
      <c r="D1700" s="2252" t="b">
        <f t="shared" si="31"/>
        <v>0</v>
      </c>
    </row>
    <row r="1701" spans="1:4">
      <c r="A1701" s="2252" t="s">
        <v>2211</v>
      </c>
      <c r="B1701" s="2253" t="str">
        <f>报表附注!E1957</f>
        <v>    3、社会保险费</v>
      </c>
      <c r="C1701" s="2260">
        <f>报表附注!H1957</f>
        <v>121277.28</v>
      </c>
      <c r="D1701" s="2252" t="b">
        <f t="shared" si="31"/>
        <v>0</v>
      </c>
    </row>
    <row r="1702" spans="1:4">
      <c r="A1702" s="2252" t="s">
        <v>2212</v>
      </c>
      <c r="B1702" s="2253" t="str">
        <f>报表附注!E1958</f>
        <v>     （1）医疗保险费</v>
      </c>
      <c r="C1702" s="2260">
        <f>报表附注!H1958</f>
        <v>88937.27</v>
      </c>
      <c r="D1702" s="2252" t="b">
        <f t="shared" si="31"/>
        <v>0</v>
      </c>
    </row>
    <row r="1703" spans="1:4">
      <c r="A1703" s="2252" t="s">
        <v>2213</v>
      </c>
      <c r="B1703" s="2253" t="str">
        <f>报表附注!E1959</f>
        <v>     （2）工伤保险费</v>
      </c>
      <c r="C1703" s="2260">
        <f>报表附注!H1959</f>
        <v>15389.81</v>
      </c>
      <c r="D1703" s="2252" t="b">
        <f t="shared" si="31"/>
        <v>0</v>
      </c>
    </row>
    <row r="1704" spans="1:4">
      <c r="A1704" s="2252" t="s">
        <v>2214</v>
      </c>
      <c r="B1704" s="2253" t="str">
        <f>报表附注!E1960</f>
        <v>     （3）生育保险费</v>
      </c>
      <c r="C1704" s="2260">
        <f>报表附注!H1960</f>
        <v>16950.2</v>
      </c>
      <c r="D1704" s="2252" t="b">
        <f t="shared" si="31"/>
        <v>0</v>
      </c>
    </row>
    <row r="1705" spans="1:4">
      <c r="A1705" s="2252" t="s">
        <v>2215</v>
      </c>
      <c r="B1705" s="2253" t="str">
        <f>报表附注!E1961</f>
        <v>    4、住房公积金</v>
      </c>
      <c r="C1705" s="2260">
        <f>报表附注!H1961</f>
        <v>93263</v>
      </c>
      <c r="D1705" s="2252" t="b">
        <f t="shared" si="31"/>
        <v>0</v>
      </c>
    </row>
    <row r="1706" spans="1:4">
      <c r="A1706" s="2252" t="s">
        <v>2216</v>
      </c>
      <c r="B1706" s="2253" t="str">
        <f>报表附注!E1962</f>
        <v>    5、工会经费和职工教育经费</v>
      </c>
      <c r="C1706" s="2260">
        <f>报表附注!H1962</f>
        <v>6363.82</v>
      </c>
      <c r="D1706" s="2252" t="b">
        <f t="shared" ref="D1706:D1789" si="35">EXACT(A1706,B1706)</f>
        <v>0</v>
      </c>
    </row>
    <row r="1707" spans="1:4">
      <c r="A1707" s="2252" t="s">
        <v>1071</v>
      </c>
      <c r="B1707" s="2253" t="str">
        <f>报表附注!E1963</f>
        <v>    6、短期带薪缺勤</v>
      </c>
      <c r="C1707" s="2260">
        <f>报表附注!H1963</f>
        <v>0</v>
      </c>
      <c r="D1707" s="2252" t="b">
        <f t="shared" si="35"/>
        <v>0</v>
      </c>
    </row>
    <row r="1708" spans="1:4">
      <c r="A1708" s="2252" t="s">
        <v>2217</v>
      </c>
      <c r="B1708" s="2253" t="str">
        <f>报表附注!E1964</f>
        <v>    7、短期利润分享计划</v>
      </c>
      <c r="C1708" s="2260">
        <f>报表附注!H1964</f>
        <v>0</v>
      </c>
      <c r="D1708" s="2252" t="b">
        <f t="shared" si="35"/>
        <v>0</v>
      </c>
    </row>
    <row r="1709" spans="1:4">
      <c r="A1709" s="2252" t="s">
        <v>2218</v>
      </c>
      <c r="B1709" s="2253" t="str">
        <f>报表附注!E1965</f>
        <v>    8、其他短期薪酬</v>
      </c>
      <c r="C1709" s="2260">
        <f>报表附注!H1965</f>
        <v>6000</v>
      </c>
      <c r="D1709" s="2252" t="b">
        <f t="shared" si="35"/>
        <v>0</v>
      </c>
    </row>
    <row r="1710" spans="1:4">
      <c r="A1710" s="2252" t="s">
        <v>2219</v>
      </c>
      <c r="B1710" s="2253">
        <f>报表附注!E1966</f>
        <v>0</v>
      </c>
      <c r="C1710" s="2260">
        <f>报表附注!H1966</f>
        <v>0</v>
      </c>
      <c r="D1710" s="2252" t="b">
        <f t="shared" si="35"/>
        <v>0</v>
      </c>
    </row>
    <row r="1711" spans="1:4">
      <c r="A1711" s="2252" t="s">
        <v>2220</v>
      </c>
      <c r="B1711" s="2253" t="str">
        <f>报表附注!E1967</f>
        <v>二、离职后福利-设定提存计划</v>
      </c>
      <c r="C1711" s="2260">
        <f>报表附注!H1967</f>
        <v>478399.3</v>
      </c>
      <c r="D1711" s="2252" t="b">
        <f t="shared" si="35"/>
        <v>0</v>
      </c>
    </row>
    <row r="1712" spans="1:4">
      <c r="A1712" s="2252" t="s">
        <v>2221</v>
      </c>
      <c r="B1712" s="2253" t="str">
        <f>报表附注!E1968</f>
        <v>  1、基本养老保险</v>
      </c>
      <c r="C1712" s="2260">
        <f>报表附注!H1968</f>
        <v>465086.4</v>
      </c>
      <c r="D1712" s="2252" t="b">
        <f t="shared" si="35"/>
        <v>0</v>
      </c>
    </row>
    <row r="1713" spans="1:4">
      <c r="A1713" s="2252" t="s">
        <v>2222</v>
      </c>
      <c r="B1713" s="2253" t="str">
        <f>报表附注!E1969</f>
        <v>    2、失业保险费</v>
      </c>
      <c r="C1713" s="2260">
        <f>报表附注!H1969</f>
        <v>13312.9</v>
      </c>
      <c r="D1713" s="2252" t="b">
        <f t="shared" si="35"/>
        <v>0</v>
      </c>
    </row>
    <row r="1714" spans="2:4">
      <c r="B1714" s="2253" t="str">
        <f>报表附注!E1970</f>
        <v>    3、企业年金缴费</v>
      </c>
      <c r="C1714" s="2260">
        <f>报表附注!H1970</f>
        <v>0</v>
      </c>
      <c r="D1714" s="2252" t="b">
        <f t="shared" ref="D1714:D1723" si="36">EXACT(A1714,B1714)</f>
        <v>0</v>
      </c>
    </row>
    <row r="1715" spans="2:4">
      <c r="B1715" s="2253" t="str">
        <f>报表附注!E1971</f>
        <v>    4、其他</v>
      </c>
      <c r="C1715" s="2260">
        <f>报表附注!H1971</f>
        <v>0</v>
      </c>
      <c r="D1715" s="2252" t="b">
        <f t="shared" si="36"/>
        <v>0</v>
      </c>
    </row>
    <row r="1716" spans="2:4">
      <c r="B1716" s="2253">
        <f>报表附注!E1972</f>
        <v>0</v>
      </c>
      <c r="C1716" s="2260">
        <f>报表附注!H1972</f>
        <v>0</v>
      </c>
      <c r="D1716" s="2252" t="b">
        <f t="shared" si="36"/>
        <v>0</v>
      </c>
    </row>
    <row r="1717" spans="2:4">
      <c r="B1717" s="2253" t="str">
        <f>报表附注!E1973</f>
        <v>三、辞退福利</v>
      </c>
      <c r="C1717" s="2260">
        <f>报表附注!H1973</f>
        <v>0</v>
      </c>
      <c r="D1717" s="2252" t="b">
        <f t="shared" si="36"/>
        <v>0</v>
      </c>
    </row>
    <row r="1718" spans="2:4">
      <c r="B1718" s="2253" t="str">
        <f>报表附注!E1974</f>
        <v>    1、因解除劳动关系给予的补偿</v>
      </c>
      <c r="C1718" s="2260">
        <f>报表附注!H1974</f>
        <v>0</v>
      </c>
      <c r="D1718" s="2252" t="b">
        <f t="shared" si="36"/>
        <v>0</v>
      </c>
    </row>
    <row r="1719" spans="2:4">
      <c r="B1719" s="2253" t="str">
        <f>报表附注!E1975</f>
        <v>    2、其他</v>
      </c>
      <c r="C1719" s="2260">
        <f>报表附注!H1975</f>
        <v>0</v>
      </c>
      <c r="D1719" s="2252" t="b">
        <f t="shared" si="36"/>
        <v>0</v>
      </c>
    </row>
    <row r="1720" spans="2:4">
      <c r="B1720" s="2253">
        <f>报表附注!E1976</f>
        <v>0</v>
      </c>
      <c r="C1720" s="2260">
        <f>报表附注!H1976</f>
        <v>0</v>
      </c>
      <c r="D1720" s="2252" t="b">
        <f t="shared" si="36"/>
        <v>0</v>
      </c>
    </row>
    <row r="1721" spans="2:4">
      <c r="B1721" s="2253" t="str">
        <f>报表附注!E1977</f>
        <v>四、一年内到期的其他福利</v>
      </c>
      <c r="C1721" s="2260">
        <f>报表附注!H1977</f>
        <v>0</v>
      </c>
      <c r="D1721" s="2252" t="b">
        <f t="shared" si="36"/>
        <v>0</v>
      </c>
    </row>
    <row r="1722" spans="2:4">
      <c r="B1722" s="2253" t="str">
        <f>报表附注!E1978</f>
        <v>    1、项目1</v>
      </c>
      <c r="C1722" s="2260">
        <f>报表附注!H1978</f>
        <v>0</v>
      </c>
      <c r="D1722" s="2252" t="b">
        <f t="shared" si="36"/>
        <v>0</v>
      </c>
    </row>
    <row r="1723" spans="2:4">
      <c r="B1723" s="2253" t="str">
        <f>报表附注!E1979</f>
        <v>    2、项目2</v>
      </c>
      <c r="C1723" s="2260">
        <f>报表附注!H1979</f>
        <v>0</v>
      </c>
      <c r="D1723" s="2252" t="b">
        <f t="shared" si="36"/>
        <v>0</v>
      </c>
    </row>
    <row r="1724" spans="1:4">
      <c r="A1724" s="2252" t="s">
        <v>1207</v>
      </c>
      <c r="B1724" s="2263" t="str">
        <f>报表附注!E1980</f>
        <v>合  计</v>
      </c>
      <c r="C1724" s="2260">
        <f>报表附注!H1980</f>
        <v>10282028.9</v>
      </c>
      <c r="D1724" s="2252" t="b">
        <f t="shared" si="35"/>
        <v>1</v>
      </c>
    </row>
    <row r="1725" spans="1:4">
      <c r="A1725" s="2252" t="s">
        <v>316</v>
      </c>
      <c r="B1725" s="2273" t="s">
        <v>316</v>
      </c>
      <c r="D1725" s="2252" t="b">
        <f t="shared" si="35"/>
        <v>1</v>
      </c>
    </row>
    <row r="1726" spans="1:4">
      <c r="A1726" s="2252" t="s">
        <v>1053</v>
      </c>
      <c r="B1726" s="2267" t="str">
        <f>报表附注!E1954</f>
        <v>一、短期薪酬</v>
      </c>
      <c r="C1726" s="2260">
        <f>报表附注!I1954</f>
        <v>1416018.5</v>
      </c>
      <c r="D1726" s="2252" t="b">
        <f t="shared" si="35"/>
        <v>0</v>
      </c>
    </row>
    <row r="1727" spans="1:4">
      <c r="A1727" s="2252" t="s">
        <v>1055</v>
      </c>
      <c r="B1727" s="2267" t="str">
        <f>报表附注!E1955</f>
        <v>    1、工资、奖金、津贴和补贴</v>
      </c>
      <c r="C1727" s="2260">
        <f>报表附注!I1955</f>
        <v>1416018.5</v>
      </c>
      <c r="D1727" s="2252" t="b">
        <f t="shared" si="35"/>
        <v>0</v>
      </c>
    </row>
    <row r="1728" spans="1:4">
      <c r="A1728" s="2252" t="s">
        <v>1057</v>
      </c>
      <c r="B1728" s="2267" t="str">
        <f>报表附注!E1956</f>
        <v>    2、职工福利费</v>
      </c>
      <c r="C1728" s="2260">
        <f>报表附注!I1956</f>
        <v>0</v>
      </c>
      <c r="D1728" s="2252" t="b">
        <f t="shared" si="35"/>
        <v>0</v>
      </c>
    </row>
    <row r="1729" spans="1:4">
      <c r="A1729" s="2252" t="s">
        <v>2211</v>
      </c>
      <c r="B1729" s="2267" t="str">
        <f>报表附注!E1957</f>
        <v>    3、社会保险费</v>
      </c>
      <c r="C1729" s="2260">
        <f>报表附注!I1957</f>
        <v>0</v>
      </c>
      <c r="D1729" s="2252" t="b">
        <f t="shared" si="35"/>
        <v>0</v>
      </c>
    </row>
    <row r="1730" spans="1:4">
      <c r="A1730" s="2252" t="s">
        <v>2212</v>
      </c>
      <c r="B1730" s="2267" t="str">
        <f>报表附注!E1958</f>
        <v>     （1）医疗保险费</v>
      </c>
      <c r="C1730" s="2260">
        <f>报表附注!I1958</f>
        <v>0</v>
      </c>
      <c r="D1730" s="2252" t="b">
        <f t="shared" si="35"/>
        <v>0</v>
      </c>
    </row>
    <row r="1731" spans="1:4">
      <c r="A1731" s="2252" t="s">
        <v>2213</v>
      </c>
      <c r="B1731" s="2267" t="str">
        <f>报表附注!E1959</f>
        <v>     （2）工伤保险费</v>
      </c>
      <c r="C1731" s="2260">
        <f>报表附注!I1959</f>
        <v>0</v>
      </c>
      <c r="D1731" s="2252" t="b">
        <f t="shared" si="35"/>
        <v>0</v>
      </c>
    </row>
    <row r="1732" spans="1:4">
      <c r="A1732" s="2252" t="s">
        <v>2214</v>
      </c>
      <c r="B1732" s="2267" t="str">
        <f>报表附注!E1960</f>
        <v>     （3）生育保险费</v>
      </c>
      <c r="C1732" s="2260">
        <f>报表附注!I1960</f>
        <v>0</v>
      </c>
      <c r="D1732" s="2252" t="b">
        <f t="shared" si="35"/>
        <v>0</v>
      </c>
    </row>
    <row r="1733" spans="1:4">
      <c r="A1733" s="2252" t="s">
        <v>2215</v>
      </c>
      <c r="B1733" s="2267" t="str">
        <f>报表附注!E1961</f>
        <v>    4、住房公积金</v>
      </c>
      <c r="C1733" s="2260">
        <f>报表附注!I1961</f>
        <v>0</v>
      </c>
      <c r="D1733" s="2252" t="b">
        <f t="shared" si="35"/>
        <v>0</v>
      </c>
    </row>
    <row r="1734" spans="1:4">
      <c r="A1734" s="2252" t="s">
        <v>2216</v>
      </c>
      <c r="B1734" s="2267" t="str">
        <f>报表附注!E1962</f>
        <v>    5、工会经费和职工教育经费</v>
      </c>
      <c r="C1734" s="2260">
        <f>报表附注!I1962</f>
        <v>0</v>
      </c>
      <c r="D1734" s="2252" t="b">
        <f t="shared" si="35"/>
        <v>0</v>
      </c>
    </row>
    <row r="1735" spans="1:4">
      <c r="A1735" s="2252" t="s">
        <v>1071</v>
      </c>
      <c r="B1735" s="2267" t="str">
        <f>报表附注!E1963</f>
        <v>    6、短期带薪缺勤</v>
      </c>
      <c r="C1735" s="2260">
        <f>报表附注!I1963</f>
        <v>0</v>
      </c>
      <c r="D1735" s="2252" t="b">
        <f t="shared" si="35"/>
        <v>0</v>
      </c>
    </row>
    <row r="1736" spans="1:4">
      <c r="A1736" s="2252" t="s">
        <v>2217</v>
      </c>
      <c r="B1736" s="2267" t="str">
        <f>报表附注!E1964</f>
        <v>    7、短期利润分享计划</v>
      </c>
      <c r="C1736" s="2260">
        <f>报表附注!I1964</f>
        <v>0</v>
      </c>
      <c r="D1736" s="2252" t="b">
        <f t="shared" si="35"/>
        <v>0</v>
      </c>
    </row>
    <row r="1737" spans="1:4">
      <c r="A1737" s="2252" t="s">
        <v>2218</v>
      </c>
      <c r="B1737" s="2267" t="str">
        <f>报表附注!E1965</f>
        <v>    8、其他短期薪酬</v>
      </c>
      <c r="C1737" s="2260">
        <f>报表附注!I1965</f>
        <v>0</v>
      </c>
      <c r="D1737" s="2252" t="b">
        <f t="shared" si="35"/>
        <v>0</v>
      </c>
    </row>
    <row r="1738" spans="1:4">
      <c r="A1738" s="2252" t="s">
        <v>2219</v>
      </c>
      <c r="B1738" s="2267">
        <f>报表附注!E1966</f>
        <v>0</v>
      </c>
      <c r="C1738" s="2260">
        <f>报表附注!I1966</f>
        <v>0</v>
      </c>
      <c r="D1738" s="2252" t="b">
        <f t="shared" si="35"/>
        <v>0</v>
      </c>
    </row>
    <row r="1739" spans="1:4">
      <c r="A1739" s="2252" t="s">
        <v>2220</v>
      </c>
      <c r="B1739" s="2267" t="str">
        <f>报表附注!E1967</f>
        <v>二、离职后福利-设定提存计划</v>
      </c>
      <c r="C1739" s="2260">
        <f>报表附注!I1967</f>
        <v>0</v>
      </c>
      <c r="D1739" s="2252" t="b">
        <f t="shared" si="35"/>
        <v>0</v>
      </c>
    </row>
    <row r="1740" spans="1:4">
      <c r="A1740" s="2252" t="s">
        <v>2221</v>
      </c>
      <c r="B1740" s="2267" t="str">
        <f>报表附注!E1968</f>
        <v>  1、基本养老保险</v>
      </c>
      <c r="C1740" s="2260">
        <f>报表附注!I1968</f>
        <v>0</v>
      </c>
      <c r="D1740" s="2252" t="b">
        <f t="shared" si="35"/>
        <v>0</v>
      </c>
    </row>
    <row r="1741" spans="1:4">
      <c r="A1741" s="2252" t="s">
        <v>2222</v>
      </c>
      <c r="B1741" s="2267" t="str">
        <f>报表附注!E1969</f>
        <v>    2、失业保险费</v>
      </c>
      <c r="C1741" s="2260">
        <f>报表附注!I1969</f>
        <v>0</v>
      </c>
      <c r="D1741" s="2252" t="b">
        <f t="shared" si="35"/>
        <v>0</v>
      </c>
    </row>
    <row r="1742" spans="2:4">
      <c r="B1742" s="2267" t="str">
        <f>报表附注!E1970</f>
        <v>    3、企业年金缴费</v>
      </c>
      <c r="C1742" s="2260">
        <f>报表附注!I1970</f>
        <v>0</v>
      </c>
      <c r="D1742" s="2252" t="b">
        <f t="shared" ref="D1742:D1751" si="37">EXACT(A1742,B1742)</f>
        <v>0</v>
      </c>
    </row>
    <row r="1743" spans="2:4">
      <c r="B1743" s="2267" t="str">
        <f>报表附注!E1971</f>
        <v>    4、其他</v>
      </c>
      <c r="C1743" s="2260">
        <f>报表附注!I1971</f>
        <v>0</v>
      </c>
      <c r="D1743" s="2252" t="b">
        <f t="shared" si="37"/>
        <v>0</v>
      </c>
    </row>
    <row r="1744" spans="2:4">
      <c r="B1744" s="2267">
        <f>报表附注!E1972</f>
        <v>0</v>
      </c>
      <c r="C1744" s="2260">
        <f>报表附注!I1972</f>
        <v>0</v>
      </c>
      <c r="D1744" s="2252" t="b">
        <f t="shared" si="37"/>
        <v>0</v>
      </c>
    </row>
    <row r="1745" spans="2:4">
      <c r="B1745" s="2267" t="str">
        <f>报表附注!E1973</f>
        <v>三、辞退福利</v>
      </c>
      <c r="C1745" s="2260">
        <f>报表附注!I1973</f>
        <v>0</v>
      </c>
      <c r="D1745" s="2252" t="b">
        <f t="shared" si="37"/>
        <v>0</v>
      </c>
    </row>
    <row r="1746" spans="2:4">
      <c r="B1746" s="2267" t="str">
        <f>报表附注!E1974</f>
        <v>    1、因解除劳动关系给予的补偿</v>
      </c>
      <c r="C1746" s="2260">
        <f>报表附注!I1974</f>
        <v>0</v>
      </c>
      <c r="D1746" s="2252" t="b">
        <f t="shared" si="37"/>
        <v>0</v>
      </c>
    </row>
    <row r="1747" spans="2:4">
      <c r="B1747" s="2267" t="str">
        <f>报表附注!E1975</f>
        <v>    2、其他</v>
      </c>
      <c r="C1747" s="2260">
        <f>报表附注!I1975</f>
        <v>0</v>
      </c>
      <c r="D1747" s="2252" t="b">
        <f t="shared" si="37"/>
        <v>0</v>
      </c>
    </row>
    <row r="1748" spans="2:4">
      <c r="B1748" s="2267">
        <f>报表附注!E1976</f>
        <v>0</v>
      </c>
      <c r="C1748" s="2260">
        <f>报表附注!I1976</f>
        <v>0</v>
      </c>
      <c r="D1748" s="2252" t="b">
        <f t="shared" si="37"/>
        <v>0</v>
      </c>
    </row>
    <row r="1749" spans="2:4">
      <c r="B1749" s="2267" t="str">
        <f>报表附注!E1977</f>
        <v>四、一年内到期的其他福利</v>
      </c>
      <c r="C1749" s="2260">
        <f>报表附注!I1977</f>
        <v>0</v>
      </c>
      <c r="D1749" s="2252" t="b">
        <f t="shared" si="37"/>
        <v>0</v>
      </c>
    </row>
    <row r="1750" spans="2:4">
      <c r="B1750" s="2267" t="str">
        <f>报表附注!E1978</f>
        <v>    1、项目1</v>
      </c>
      <c r="C1750" s="2260">
        <f>报表附注!I1978</f>
        <v>0</v>
      </c>
      <c r="D1750" s="2252" t="b">
        <f t="shared" si="37"/>
        <v>0</v>
      </c>
    </row>
    <row r="1751" spans="2:4">
      <c r="B1751" s="2267" t="str">
        <f>报表附注!E1979</f>
        <v>    2、项目2</v>
      </c>
      <c r="C1751" s="2260">
        <f>报表附注!I1979</f>
        <v>0</v>
      </c>
      <c r="D1751" s="2252" t="b">
        <f t="shared" si="37"/>
        <v>0</v>
      </c>
    </row>
    <row r="1752" spans="1:4">
      <c r="A1752" s="2252" t="s">
        <v>1207</v>
      </c>
      <c r="B1752" s="2263" t="str">
        <f>报表附注!E1980</f>
        <v>合  计</v>
      </c>
      <c r="C1752" s="2260">
        <f>报表附注!I1980</f>
        <v>1416018.5</v>
      </c>
      <c r="D1752" s="2252" t="b">
        <f t="shared" si="35"/>
        <v>1</v>
      </c>
    </row>
    <row r="1753" spans="4:4">
      <c r="D1753" s="2252" t="b">
        <f t="shared" si="35"/>
        <v>1</v>
      </c>
    </row>
    <row r="1754" spans="1:4">
      <c r="A1754" s="2252" t="s">
        <v>2224</v>
      </c>
      <c r="B1754" s="2270" t="s">
        <v>2224</v>
      </c>
      <c r="D1754" s="2252" t="b">
        <f t="shared" si="35"/>
        <v>1</v>
      </c>
    </row>
    <row r="1755" spans="1:4">
      <c r="A1755" s="2252" t="s">
        <v>2020</v>
      </c>
      <c r="B1755" s="2273" t="s">
        <v>2020</v>
      </c>
      <c r="D1755" s="2252" t="b">
        <f t="shared" si="35"/>
        <v>1</v>
      </c>
    </row>
    <row r="1756" spans="1:4">
      <c r="A1756" s="2252" t="s">
        <v>2225</v>
      </c>
      <c r="B1756" s="2253" t="str">
        <f>报表附注!E1993</f>
        <v>1、企业所得税</v>
      </c>
      <c r="C1756" s="2260">
        <f>报表附注!F1993</f>
        <v>3027757.18</v>
      </c>
      <c r="D1756" s="2252" t="b">
        <f t="shared" si="35"/>
        <v>0</v>
      </c>
    </row>
    <row r="1757" spans="1:4">
      <c r="A1757" s="2252" t="s">
        <v>2226</v>
      </c>
      <c r="B1757" s="2253" t="str">
        <f>报表附注!E1994</f>
        <v>2、增值税</v>
      </c>
      <c r="C1757" s="2260">
        <f>报表附注!F1994</f>
        <v>2437394.53</v>
      </c>
      <c r="D1757" s="2252" t="b">
        <f t="shared" si="35"/>
        <v>0</v>
      </c>
    </row>
    <row r="1758" spans="1:4">
      <c r="A1758" s="2252" t="s">
        <v>2227</v>
      </c>
      <c r="B1758" s="2253" t="str">
        <f>报表附注!E1995</f>
        <v>3、营业税</v>
      </c>
      <c r="C1758" s="2260">
        <f>报表附注!F1995</f>
        <v>0</v>
      </c>
      <c r="D1758" s="2252" t="b">
        <f t="shared" si="35"/>
        <v>0</v>
      </c>
    </row>
    <row r="1759" spans="1:4">
      <c r="A1759" s="2252" t="s">
        <v>2228</v>
      </c>
      <c r="B1759" s="2253" t="str">
        <f>报表附注!E1996</f>
        <v>4、消费税</v>
      </c>
      <c r="C1759" s="2260">
        <f>报表附注!F1996</f>
        <v>0</v>
      </c>
      <c r="D1759" s="2252" t="b">
        <f t="shared" si="35"/>
        <v>0</v>
      </c>
    </row>
    <row r="1760" spans="1:4">
      <c r="A1760" s="2252" t="s">
        <v>2229</v>
      </c>
      <c r="B1760" s="2253" t="str">
        <f>报表附注!E1997</f>
        <v>5、资源税</v>
      </c>
      <c r="C1760" s="2260">
        <f>报表附注!F1997</f>
        <v>0</v>
      </c>
      <c r="D1760" s="2252" t="b">
        <f t="shared" si="35"/>
        <v>0</v>
      </c>
    </row>
    <row r="1761" spans="1:4">
      <c r="A1761" s="2252" t="s">
        <v>2230</v>
      </c>
      <c r="B1761" s="2253" t="str">
        <f>报表附注!E1998</f>
        <v>6、土地增值税</v>
      </c>
      <c r="C1761" s="2260">
        <f>报表附注!F1998</f>
        <v>0</v>
      </c>
      <c r="D1761" s="2252" t="b">
        <f t="shared" si="35"/>
        <v>0</v>
      </c>
    </row>
    <row r="1762" spans="1:4">
      <c r="A1762" s="2252" t="s">
        <v>2231</v>
      </c>
      <c r="B1762" s="2253" t="str">
        <f>报表附注!E1999</f>
        <v>7、土地使用税</v>
      </c>
      <c r="C1762" s="2260">
        <f>报表附注!F1999</f>
        <v>0</v>
      </c>
      <c r="D1762" s="2252" t="b">
        <f t="shared" si="35"/>
        <v>0</v>
      </c>
    </row>
    <row r="1763" spans="1:4">
      <c r="A1763" s="2252" t="s">
        <v>2232</v>
      </c>
      <c r="B1763" s="2253" t="str">
        <f>报表附注!E2000</f>
        <v>8、房产税</v>
      </c>
      <c r="C1763" s="2260">
        <f>报表附注!F2000</f>
        <v>0</v>
      </c>
      <c r="D1763" s="2252" t="b">
        <f t="shared" si="35"/>
        <v>0</v>
      </c>
    </row>
    <row r="1764" spans="1:4">
      <c r="A1764" s="2252" t="s">
        <v>2233</v>
      </c>
      <c r="B1764" s="2253" t="str">
        <f>报表附注!E2001</f>
        <v>9、车船使用税</v>
      </c>
      <c r="C1764" s="2260">
        <f>报表附注!F2001</f>
        <v>0</v>
      </c>
      <c r="D1764" s="2252" t="b">
        <f t="shared" si="35"/>
        <v>0</v>
      </c>
    </row>
    <row r="1765" spans="1:4">
      <c r="A1765" s="2252" t="s">
        <v>2234</v>
      </c>
      <c r="B1765" s="2253" t="str">
        <f>报表附注!E2002</f>
        <v>10、城市维护建设税</v>
      </c>
      <c r="C1765" s="2260">
        <f>报表附注!F2002</f>
        <v>89833.04</v>
      </c>
      <c r="D1765" s="2252" t="b">
        <f t="shared" si="35"/>
        <v>0</v>
      </c>
    </row>
    <row r="1766" spans="1:4">
      <c r="A1766" s="2252" t="s">
        <v>2235</v>
      </c>
      <c r="B1766" s="2253" t="str">
        <f>报表附注!E2003</f>
        <v>11、教育附加（含地方）</v>
      </c>
      <c r="C1766" s="2260">
        <f>报表附注!F2003</f>
        <v>63812.82</v>
      </c>
      <c r="D1766" s="2252" t="b">
        <f t="shared" si="35"/>
        <v>0</v>
      </c>
    </row>
    <row r="1767" spans="1:4">
      <c r="A1767" s="2252" t="s">
        <v>2236</v>
      </c>
      <c r="B1767" s="2253" t="str">
        <f>报表附注!E2004</f>
        <v>12、矿产资源补偿费</v>
      </c>
      <c r="C1767" s="2260">
        <f>报表附注!F2004</f>
        <v>0</v>
      </c>
      <c r="D1767" s="2252" t="b">
        <f t="shared" si="35"/>
        <v>0</v>
      </c>
    </row>
    <row r="1768" spans="1:4">
      <c r="A1768" s="2252" t="s">
        <v>2237</v>
      </c>
      <c r="B1768" s="2253" t="str">
        <f>报表附注!E2005</f>
        <v>13、代扣代缴个人所得税</v>
      </c>
      <c r="C1768" s="2260">
        <f>报表附注!F2005</f>
        <v>20706.5</v>
      </c>
      <c r="D1768" s="2252" t="b">
        <f t="shared" si="35"/>
        <v>0</v>
      </c>
    </row>
    <row r="1769" spans="1:4">
      <c r="A1769" s="2252" t="s">
        <v>2238</v>
      </c>
      <c r="B1769" s="2253" t="str">
        <f>报表附注!E2006</f>
        <v>14、印花税</v>
      </c>
      <c r="C1769" s="2260">
        <f>报表附注!F2006</f>
        <v>0</v>
      </c>
      <c r="D1769" s="2252" t="b">
        <f t="shared" si="35"/>
        <v>0</v>
      </c>
    </row>
    <row r="1770" spans="1:4">
      <c r="A1770" s="2252" t="s">
        <v>2239</v>
      </c>
      <c r="B1770" s="2253" t="str">
        <f>报表附注!E2007</f>
        <v>15、防洪保安费（堤围费）</v>
      </c>
      <c r="C1770" s="2260">
        <f>报表附注!F2007</f>
        <v>0</v>
      </c>
      <c r="D1770" s="2252" t="b">
        <f t="shared" si="35"/>
        <v>0</v>
      </c>
    </row>
    <row r="1771" spans="1:4">
      <c r="A1771" s="2252" t="s">
        <v>2240</v>
      </c>
      <c r="B1771" s="2253" t="str">
        <f>报表附注!E2008</f>
        <v>16、电力监管费</v>
      </c>
      <c r="C1771" s="2260">
        <f>报表附注!F2008</f>
        <v>0</v>
      </c>
      <c r="D1771" s="2252" t="b">
        <f t="shared" si="35"/>
        <v>0</v>
      </c>
    </row>
    <row r="1772" spans="1:4">
      <c r="A1772" s="2252" t="s">
        <v>2241</v>
      </c>
      <c r="B1772" s="2253" t="str">
        <f>报表附注!E2009</f>
        <v>17、水资源费</v>
      </c>
      <c r="C1772" s="2260">
        <f>报表附注!F2009</f>
        <v>0</v>
      </c>
      <c r="D1772" s="2252" t="b">
        <f t="shared" si="35"/>
        <v>0</v>
      </c>
    </row>
    <row r="1773" spans="1:4">
      <c r="A1773" s="2252" t="s">
        <v>2242</v>
      </c>
      <c r="B1773" s="2253" t="str">
        <f>报表附注!E2010</f>
        <v>18、库区维护费</v>
      </c>
      <c r="C1773" s="2260">
        <f>报表附注!F2010</f>
        <v>0</v>
      </c>
      <c r="D1773" s="2252" t="b">
        <f t="shared" si="35"/>
        <v>0</v>
      </c>
    </row>
    <row r="1774" spans="1:4">
      <c r="A1774" s="2252" t="s">
        <v>2243</v>
      </c>
      <c r="B1774" s="2253" t="str">
        <f>报表附注!E2011</f>
        <v>19、代扣代缴企业所得税</v>
      </c>
      <c r="C1774" s="2260">
        <f>报表附注!F2011</f>
        <v>0</v>
      </c>
      <c r="D1774" s="2252" t="b">
        <f t="shared" si="35"/>
        <v>0</v>
      </c>
    </row>
    <row r="1775" spans="1:4">
      <c r="A1775" s="2252" t="s">
        <v>2244</v>
      </c>
      <c r="B1775" s="2253" t="str">
        <f>报表附注!E2012</f>
        <v>20、其他1-地方水利建设基金</v>
      </c>
      <c r="C1775" s="2260">
        <f>报表附注!F2012</f>
        <v>0</v>
      </c>
      <c r="D1775" s="2252" t="b">
        <f t="shared" si="35"/>
        <v>0</v>
      </c>
    </row>
    <row r="1776" spans="1:4">
      <c r="A1776" s="2252" t="s">
        <v>2245</v>
      </c>
      <c r="B1776" s="2253" t="str">
        <f>报表附注!E2013</f>
        <v>21、其他2-价格调节基金</v>
      </c>
      <c r="C1776" s="2260">
        <f>报表附注!F2013</f>
        <v>0</v>
      </c>
      <c r="D1776" s="2252" t="b">
        <f t="shared" si="35"/>
        <v>0</v>
      </c>
    </row>
    <row r="1777" spans="1:4">
      <c r="A1777" s="2252" t="s">
        <v>2246</v>
      </c>
      <c r="B1777" s="2253" t="str">
        <f>报表附注!E2014</f>
        <v>22、其他3-排污费</v>
      </c>
      <c r="C1777" s="2260">
        <f>报表附注!F2014</f>
        <v>0</v>
      </c>
      <c r="D1777" s="2252" t="b">
        <f t="shared" si="35"/>
        <v>0</v>
      </c>
    </row>
    <row r="1778" spans="1:4">
      <c r="A1778" s="2252" t="s">
        <v>2247</v>
      </c>
      <c r="B1778" s="2253" t="str">
        <f>报表附注!E2015</f>
        <v>23、其他4-</v>
      </c>
      <c r="C1778" s="2260">
        <f>报表附注!F2015</f>
        <v>0</v>
      </c>
      <c r="D1778" s="2252" t="b">
        <f t="shared" si="35"/>
        <v>0</v>
      </c>
    </row>
    <row r="1779" spans="1:4">
      <c r="A1779" s="2252" t="s">
        <v>2248</v>
      </c>
      <c r="B1779" s="2253" t="str">
        <f>报表附注!E2016</f>
        <v>24、其他5-</v>
      </c>
      <c r="C1779" s="2260">
        <f>报表附注!F2016</f>
        <v>0</v>
      </c>
      <c r="D1779" s="2252" t="b">
        <f t="shared" si="35"/>
        <v>0</v>
      </c>
    </row>
    <row r="1780" spans="1:4">
      <c r="A1780" s="2252" t="s">
        <v>2021</v>
      </c>
      <c r="B1780" s="2263" t="str">
        <f>报表附注!E2017</f>
        <v>合计</v>
      </c>
      <c r="C1780" s="2260">
        <f>报表附注!F2017</f>
        <v>5639504.07</v>
      </c>
      <c r="D1780" s="2252" t="b">
        <f t="shared" si="35"/>
        <v>1</v>
      </c>
    </row>
    <row r="1781" spans="1:4">
      <c r="A1781" s="2252" t="s">
        <v>2249</v>
      </c>
      <c r="B1781" s="2273" t="s">
        <v>2249</v>
      </c>
      <c r="D1781" s="2252" t="b">
        <f t="shared" si="35"/>
        <v>1</v>
      </c>
    </row>
    <row r="1782" spans="1:4">
      <c r="A1782" s="2252" t="s">
        <v>2225</v>
      </c>
      <c r="B1782" s="2253" t="str">
        <f>报表附注!E1993</f>
        <v>1、企业所得税</v>
      </c>
      <c r="C1782" s="2260">
        <f>报表附注!G1993</f>
        <v>469616.21</v>
      </c>
      <c r="D1782" s="2252" t="b">
        <f t="shared" si="35"/>
        <v>0</v>
      </c>
    </row>
    <row r="1783" spans="1:4">
      <c r="A1783" s="2252" t="s">
        <v>2226</v>
      </c>
      <c r="B1783" s="2253" t="str">
        <f>报表附注!E1994</f>
        <v>2、增值税</v>
      </c>
      <c r="C1783" s="2260">
        <f>报表附注!G1994</f>
        <v>4157123.29</v>
      </c>
      <c r="D1783" s="2252" t="b">
        <f t="shared" si="35"/>
        <v>0</v>
      </c>
    </row>
    <row r="1784" spans="1:4">
      <c r="A1784" s="2252" t="s">
        <v>2227</v>
      </c>
      <c r="B1784" s="2253" t="str">
        <f>报表附注!E1995</f>
        <v>3、营业税</v>
      </c>
      <c r="C1784" s="2260">
        <f>报表附注!G1995</f>
        <v>183606.79</v>
      </c>
      <c r="D1784" s="2252" t="b">
        <f t="shared" si="35"/>
        <v>0</v>
      </c>
    </row>
    <row r="1785" spans="1:4">
      <c r="A1785" s="2252" t="s">
        <v>2228</v>
      </c>
      <c r="B1785" s="2253" t="str">
        <f>报表附注!E1996</f>
        <v>4、消费税</v>
      </c>
      <c r="C1785" s="2260">
        <f>报表附注!G1996</f>
        <v>0</v>
      </c>
      <c r="D1785" s="2252" t="b">
        <f t="shared" si="35"/>
        <v>0</v>
      </c>
    </row>
    <row r="1786" spans="1:4">
      <c r="A1786" s="2252" t="s">
        <v>2229</v>
      </c>
      <c r="B1786" s="2253" t="str">
        <f>报表附注!E1997</f>
        <v>5、资源税</v>
      </c>
      <c r="C1786" s="2260">
        <f>报表附注!G1997</f>
        <v>0</v>
      </c>
      <c r="D1786" s="2252" t="b">
        <f t="shared" si="35"/>
        <v>0</v>
      </c>
    </row>
    <row r="1787" spans="1:4">
      <c r="A1787" s="2252" t="s">
        <v>2230</v>
      </c>
      <c r="B1787" s="2253" t="str">
        <f>报表附注!E1998</f>
        <v>6、土地增值税</v>
      </c>
      <c r="C1787" s="2260">
        <f>报表附注!G1998</f>
        <v>0</v>
      </c>
      <c r="D1787" s="2252" t="b">
        <f t="shared" si="35"/>
        <v>0</v>
      </c>
    </row>
    <row r="1788" spans="1:4">
      <c r="A1788" s="2252" t="s">
        <v>2231</v>
      </c>
      <c r="B1788" s="2253" t="str">
        <f>报表附注!E1999</f>
        <v>7、土地使用税</v>
      </c>
      <c r="C1788" s="2260">
        <f>报表附注!G1999</f>
        <v>0</v>
      </c>
      <c r="D1788" s="2252" t="b">
        <f t="shared" si="35"/>
        <v>0</v>
      </c>
    </row>
    <row r="1789" spans="1:4">
      <c r="A1789" s="2252" t="s">
        <v>2232</v>
      </c>
      <c r="B1789" s="2253" t="str">
        <f>报表附注!E2000</f>
        <v>8、房产税</v>
      </c>
      <c r="C1789" s="2260">
        <f>报表附注!G2000</f>
        <v>0</v>
      </c>
      <c r="D1789" s="2252" t="b">
        <f t="shared" si="35"/>
        <v>0</v>
      </c>
    </row>
    <row r="1790" spans="1:4">
      <c r="A1790" s="2252" t="s">
        <v>2233</v>
      </c>
      <c r="B1790" s="2253" t="str">
        <f>报表附注!E2001</f>
        <v>9、车船使用税</v>
      </c>
      <c r="C1790" s="2260">
        <f>报表附注!G2001</f>
        <v>0</v>
      </c>
      <c r="D1790" s="2252" t="b">
        <f t="shared" ref="D1790:D1853" si="38">EXACT(A1790,B1790)</f>
        <v>0</v>
      </c>
    </row>
    <row r="1791" spans="1:4">
      <c r="A1791" s="2252" t="s">
        <v>2234</v>
      </c>
      <c r="B1791" s="2253" t="str">
        <f>报表附注!E2002</f>
        <v>10、城市维护建设税</v>
      </c>
      <c r="C1791" s="2260">
        <f>报表附注!G2002</f>
        <v>75761.56</v>
      </c>
      <c r="D1791" s="2252" t="b">
        <f t="shared" si="38"/>
        <v>0</v>
      </c>
    </row>
    <row r="1792" spans="1:4">
      <c r="A1792" s="2252" t="s">
        <v>2235</v>
      </c>
      <c r="B1792" s="2253" t="str">
        <f>报表附注!E2003</f>
        <v>11、教育附加（含地方）</v>
      </c>
      <c r="C1792" s="2260">
        <f>报表附注!G2003</f>
        <v>57151.14</v>
      </c>
      <c r="D1792" s="2252" t="b">
        <f t="shared" si="38"/>
        <v>0</v>
      </c>
    </row>
    <row r="1793" spans="1:4">
      <c r="A1793" s="2252" t="s">
        <v>2236</v>
      </c>
      <c r="B1793" s="2253" t="str">
        <f>报表附注!E2004</f>
        <v>12、矿产资源补偿费</v>
      </c>
      <c r="C1793" s="2260">
        <f>报表附注!G2004</f>
        <v>0</v>
      </c>
      <c r="D1793" s="2252" t="b">
        <f t="shared" si="38"/>
        <v>0</v>
      </c>
    </row>
    <row r="1794" spans="1:4">
      <c r="A1794" s="2252" t="s">
        <v>2237</v>
      </c>
      <c r="B1794" s="2253" t="str">
        <f>报表附注!E2005</f>
        <v>13、代扣代缴个人所得税</v>
      </c>
      <c r="C1794" s="2260">
        <f>报表附注!G2005</f>
        <v>282991.57</v>
      </c>
      <c r="D1794" s="2252" t="b">
        <f t="shared" si="38"/>
        <v>0</v>
      </c>
    </row>
    <row r="1795" spans="1:4">
      <c r="A1795" s="2252" t="s">
        <v>2238</v>
      </c>
      <c r="B1795" s="2253" t="str">
        <f>报表附注!E2006</f>
        <v>14、印花税</v>
      </c>
      <c r="C1795" s="2260">
        <f>报表附注!G2006</f>
        <v>154182.78</v>
      </c>
      <c r="D1795" s="2252" t="b">
        <f t="shared" si="38"/>
        <v>0</v>
      </c>
    </row>
    <row r="1796" spans="1:4">
      <c r="A1796" s="2252" t="s">
        <v>2239</v>
      </c>
      <c r="B1796" s="2253" t="str">
        <f>报表附注!E2007</f>
        <v>15、防洪保安费（堤围费）</v>
      </c>
      <c r="C1796" s="2260">
        <f>报表附注!G2007</f>
        <v>174.72</v>
      </c>
      <c r="D1796" s="2252" t="b">
        <f t="shared" si="38"/>
        <v>0</v>
      </c>
    </row>
    <row r="1797" spans="1:4">
      <c r="A1797" s="2252" t="s">
        <v>2240</v>
      </c>
      <c r="B1797" s="2253" t="str">
        <f>报表附注!E2008</f>
        <v>16、电力监管费</v>
      </c>
      <c r="C1797" s="2260">
        <f>报表附注!G2008</f>
        <v>0</v>
      </c>
      <c r="D1797" s="2252" t="b">
        <f t="shared" si="38"/>
        <v>0</v>
      </c>
    </row>
    <row r="1798" spans="1:4">
      <c r="A1798" s="2252" t="s">
        <v>2241</v>
      </c>
      <c r="B1798" s="2253" t="str">
        <f>报表附注!E2009</f>
        <v>17、水资源费</v>
      </c>
      <c r="C1798" s="2260">
        <f>报表附注!G2009</f>
        <v>0</v>
      </c>
      <c r="D1798" s="2252" t="b">
        <f t="shared" si="38"/>
        <v>0</v>
      </c>
    </row>
    <row r="1799" spans="1:4">
      <c r="A1799" s="2252" t="s">
        <v>2242</v>
      </c>
      <c r="B1799" s="2253" t="str">
        <f>报表附注!E2010</f>
        <v>18、库区维护费</v>
      </c>
      <c r="C1799" s="2260">
        <f>报表附注!G2010</f>
        <v>0</v>
      </c>
      <c r="D1799" s="2252" t="b">
        <f t="shared" si="38"/>
        <v>0</v>
      </c>
    </row>
    <row r="1800" spans="1:4">
      <c r="A1800" s="2252" t="s">
        <v>2243</v>
      </c>
      <c r="B1800" s="2253" t="str">
        <f>报表附注!E2011</f>
        <v>19、代扣代缴企业所得税</v>
      </c>
      <c r="C1800" s="2260">
        <f>报表附注!G2011</f>
        <v>0</v>
      </c>
      <c r="D1800" s="2252" t="b">
        <f t="shared" si="38"/>
        <v>0</v>
      </c>
    </row>
    <row r="1801" spans="1:4">
      <c r="A1801" s="2252" t="s">
        <v>2244</v>
      </c>
      <c r="B1801" s="2253" t="str">
        <f>报表附注!E2012</f>
        <v>20、其他1-地方水利建设基金</v>
      </c>
      <c r="C1801" s="2260">
        <f>报表附注!G2012</f>
        <v>3437.03</v>
      </c>
      <c r="D1801" s="2252" t="b">
        <f t="shared" si="38"/>
        <v>0</v>
      </c>
    </row>
    <row r="1802" spans="1:4">
      <c r="A1802" s="2252" t="s">
        <v>2245</v>
      </c>
      <c r="B1802" s="2253" t="str">
        <f>报表附注!E2013</f>
        <v>21、其他2-价格调节基金</v>
      </c>
      <c r="C1802" s="2260">
        <f>报表附注!G2013</f>
        <v>0</v>
      </c>
      <c r="D1802" s="2252" t="b">
        <f t="shared" si="38"/>
        <v>0</v>
      </c>
    </row>
    <row r="1803" spans="1:4">
      <c r="A1803" s="2252" t="s">
        <v>2246</v>
      </c>
      <c r="B1803" s="2253" t="str">
        <f>报表附注!E2014</f>
        <v>22、其他3-排污费</v>
      </c>
      <c r="C1803" s="2260">
        <f>报表附注!G2014</f>
        <v>0</v>
      </c>
      <c r="D1803" s="2252" t="b">
        <f t="shared" si="38"/>
        <v>0</v>
      </c>
    </row>
    <row r="1804" spans="1:4">
      <c r="A1804" s="2252" t="s">
        <v>2247</v>
      </c>
      <c r="B1804" s="2253" t="str">
        <f>报表附注!E2015</f>
        <v>23、其他4-</v>
      </c>
      <c r="C1804" s="2260">
        <f>报表附注!G2015</f>
        <v>0</v>
      </c>
      <c r="D1804" s="2252" t="b">
        <f t="shared" si="38"/>
        <v>0</v>
      </c>
    </row>
    <row r="1805" spans="1:4">
      <c r="A1805" s="2252" t="s">
        <v>2248</v>
      </c>
      <c r="B1805" s="2253" t="str">
        <f>报表附注!E2016</f>
        <v>24、其他5-</v>
      </c>
      <c r="C1805" s="2260">
        <f>报表附注!G2016</f>
        <v>0</v>
      </c>
      <c r="D1805" s="2252" t="b">
        <f t="shared" si="38"/>
        <v>0</v>
      </c>
    </row>
    <row r="1806" spans="1:4">
      <c r="A1806" s="2252" t="s">
        <v>2021</v>
      </c>
      <c r="B1806" s="2263" t="str">
        <f>报表附注!E2017</f>
        <v>合计</v>
      </c>
      <c r="C1806" s="2260">
        <f>报表附注!G2017</f>
        <v>5384045.09</v>
      </c>
      <c r="D1806" s="2252" t="b">
        <f t="shared" si="38"/>
        <v>1</v>
      </c>
    </row>
    <row r="1807" spans="1:4">
      <c r="A1807" s="2252" t="s">
        <v>2250</v>
      </c>
      <c r="B1807" s="2273" t="s">
        <v>2250</v>
      </c>
      <c r="D1807" s="2252" t="b">
        <f t="shared" si="38"/>
        <v>1</v>
      </c>
    </row>
    <row r="1808" spans="1:4">
      <c r="A1808" s="2252" t="s">
        <v>2225</v>
      </c>
      <c r="B1808" s="2253" t="str">
        <f>报表附注!E1993</f>
        <v>1、企业所得税</v>
      </c>
      <c r="C1808" s="2260">
        <f>报表附注!H1993</f>
        <v>3497373.39</v>
      </c>
      <c r="D1808" s="2252" t="b">
        <f t="shared" si="38"/>
        <v>0</v>
      </c>
    </row>
    <row r="1809" spans="1:4">
      <c r="A1809" s="2252" t="s">
        <v>2226</v>
      </c>
      <c r="B1809" s="2253" t="str">
        <f>报表附注!E1994</f>
        <v>2、增值税</v>
      </c>
      <c r="C1809" s="2260">
        <f>报表附注!H1994</f>
        <v>6350573.85</v>
      </c>
      <c r="D1809" s="2252" t="b">
        <f t="shared" si="38"/>
        <v>0</v>
      </c>
    </row>
    <row r="1810" spans="1:4">
      <c r="A1810" s="2252" t="s">
        <v>2227</v>
      </c>
      <c r="B1810" s="2253" t="str">
        <f>报表附注!E1995</f>
        <v>3、营业税</v>
      </c>
      <c r="C1810" s="2260">
        <f>报表附注!H1995</f>
        <v>183606.79</v>
      </c>
      <c r="D1810" s="2252" t="b">
        <f t="shared" si="38"/>
        <v>0</v>
      </c>
    </row>
    <row r="1811" spans="1:4">
      <c r="A1811" s="2252" t="s">
        <v>2228</v>
      </c>
      <c r="B1811" s="2253" t="str">
        <f>报表附注!E1996</f>
        <v>4、消费税</v>
      </c>
      <c r="C1811" s="2260">
        <f>报表附注!H1996</f>
        <v>0</v>
      </c>
      <c r="D1811" s="2252" t="b">
        <f t="shared" si="38"/>
        <v>0</v>
      </c>
    </row>
    <row r="1812" spans="1:4">
      <c r="A1812" s="2252" t="s">
        <v>2229</v>
      </c>
      <c r="B1812" s="2253" t="str">
        <f>报表附注!E1997</f>
        <v>5、资源税</v>
      </c>
      <c r="C1812" s="2260">
        <f>报表附注!H1997</f>
        <v>0</v>
      </c>
      <c r="D1812" s="2252" t="b">
        <f t="shared" si="38"/>
        <v>0</v>
      </c>
    </row>
    <row r="1813" spans="1:4">
      <c r="A1813" s="2252" t="s">
        <v>2230</v>
      </c>
      <c r="B1813" s="2253" t="str">
        <f>报表附注!E1998</f>
        <v>6、土地增值税</v>
      </c>
      <c r="C1813" s="2260">
        <f>报表附注!H1998</f>
        <v>0</v>
      </c>
      <c r="D1813" s="2252" t="b">
        <f t="shared" si="38"/>
        <v>0</v>
      </c>
    </row>
    <row r="1814" spans="1:4">
      <c r="A1814" s="2252" t="s">
        <v>2231</v>
      </c>
      <c r="B1814" s="2253" t="str">
        <f>报表附注!E1999</f>
        <v>7、土地使用税</v>
      </c>
      <c r="C1814" s="2260">
        <f>报表附注!H1999</f>
        <v>0</v>
      </c>
      <c r="D1814" s="2252" t="b">
        <f t="shared" si="38"/>
        <v>0</v>
      </c>
    </row>
    <row r="1815" spans="1:4">
      <c r="A1815" s="2252" t="s">
        <v>2232</v>
      </c>
      <c r="B1815" s="2253" t="str">
        <f>报表附注!E2000</f>
        <v>8、房产税</v>
      </c>
      <c r="C1815" s="2260">
        <f>报表附注!H2000</f>
        <v>0</v>
      </c>
      <c r="D1815" s="2252" t="b">
        <f t="shared" si="38"/>
        <v>0</v>
      </c>
    </row>
    <row r="1816" spans="1:4">
      <c r="A1816" s="2252" t="s">
        <v>2233</v>
      </c>
      <c r="B1816" s="2253" t="str">
        <f>报表附注!E2001</f>
        <v>9、车船使用税</v>
      </c>
      <c r="C1816" s="2260">
        <f>报表附注!H2001</f>
        <v>0</v>
      </c>
      <c r="D1816" s="2252" t="b">
        <f t="shared" si="38"/>
        <v>0</v>
      </c>
    </row>
    <row r="1817" spans="1:4">
      <c r="A1817" s="2252" t="s">
        <v>2234</v>
      </c>
      <c r="B1817" s="2253" t="str">
        <f>报表附注!E2002</f>
        <v>10、城市维护建设税</v>
      </c>
      <c r="C1817" s="2260">
        <f>报表附注!H2002</f>
        <v>165594.6</v>
      </c>
      <c r="D1817" s="2252" t="b">
        <f t="shared" si="38"/>
        <v>0</v>
      </c>
    </row>
    <row r="1818" spans="1:4">
      <c r="A1818" s="2252" t="s">
        <v>2235</v>
      </c>
      <c r="B1818" s="2253" t="str">
        <f>报表附注!E2003</f>
        <v>11、教育附加（含地方）</v>
      </c>
      <c r="C1818" s="2260">
        <f>报表附注!H2003</f>
        <v>120963.96</v>
      </c>
      <c r="D1818" s="2252" t="b">
        <f t="shared" si="38"/>
        <v>0</v>
      </c>
    </row>
    <row r="1819" spans="1:4">
      <c r="A1819" s="2252" t="s">
        <v>2236</v>
      </c>
      <c r="B1819" s="2253" t="str">
        <f>报表附注!E2004</f>
        <v>12、矿产资源补偿费</v>
      </c>
      <c r="C1819" s="2260">
        <f>报表附注!H2004</f>
        <v>0</v>
      </c>
      <c r="D1819" s="2252" t="b">
        <f t="shared" si="38"/>
        <v>0</v>
      </c>
    </row>
    <row r="1820" spans="1:4">
      <c r="A1820" s="2252" t="s">
        <v>2237</v>
      </c>
      <c r="B1820" s="2253" t="str">
        <f>报表附注!E2005</f>
        <v>13、代扣代缴个人所得税</v>
      </c>
      <c r="C1820" s="2260">
        <f>报表附注!H2005</f>
        <v>229922.93</v>
      </c>
      <c r="D1820" s="2252" t="b">
        <f t="shared" si="38"/>
        <v>0</v>
      </c>
    </row>
    <row r="1821" spans="1:4">
      <c r="A1821" s="2252" t="s">
        <v>2238</v>
      </c>
      <c r="B1821" s="2253" t="str">
        <f>报表附注!E2006</f>
        <v>14、印花税</v>
      </c>
      <c r="C1821" s="2260">
        <f>报表附注!H2006</f>
        <v>40579.63</v>
      </c>
      <c r="D1821" s="2252" t="b">
        <f t="shared" si="38"/>
        <v>0</v>
      </c>
    </row>
    <row r="1822" spans="1:4">
      <c r="A1822" s="2252" t="s">
        <v>2239</v>
      </c>
      <c r="B1822" s="2253" t="str">
        <f>报表附注!E2007</f>
        <v>15、防洪保安费（堤围费）</v>
      </c>
      <c r="C1822" s="2260">
        <f>报表附注!H2007</f>
        <v>174.72</v>
      </c>
      <c r="D1822" s="2252" t="b">
        <f t="shared" si="38"/>
        <v>0</v>
      </c>
    </row>
    <row r="1823" spans="1:4">
      <c r="A1823" s="2252" t="s">
        <v>2240</v>
      </c>
      <c r="B1823" s="2253" t="str">
        <f>报表附注!E2008</f>
        <v>16、电力监管费</v>
      </c>
      <c r="C1823" s="2260">
        <f>报表附注!H2008</f>
        <v>0</v>
      </c>
      <c r="D1823" s="2252" t="b">
        <f t="shared" si="38"/>
        <v>0</v>
      </c>
    </row>
    <row r="1824" spans="1:4">
      <c r="A1824" s="2252" t="s">
        <v>2241</v>
      </c>
      <c r="B1824" s="2253" t="str">
        <f>报表附注!E2009</f>
        <v>17、水资源费</v>
      </c>
      <c r="C1824" s="2260">
        <f>报表附注!H2009</f>
        <v>0</v>
      </c>
      <c r="D1824" s="2252" t="b">
        <f t="shared" si="38"/>
        <v>0</v>
      </c>
    </row>
    <row r="1825" spans="1:4">
      <c r="A1825" s="2252" t="s">
        <v>2242</v>
      </c>
      <c r="B1825" s="2253" t="str">
        <f>报表附注!E2010</f>
        <v>18、库区维护费</v>
      </c>
      <c r="C1825" s="2260">
        <f>报表附注!H2010</f>
        <v>0</v>
      </c>
      <c r="D1825" s="2252" t="b">
        <f t="shared" si="38"/>
        <v>0</v>
      </c>
    </row>
    <row r="1826" spans="1:4">
      <c r="A1826" s="2252" t="s">
        <v>2243</v>
      </c>
      <c r="B1826" s="2253" t="str">
        <f>报表附注!E2011</f>
        <v>19、代扣代缴企业所得税</v>
      </c>
      <c r="C1826" s="2260">
        <f>报表附注!H2011</f>
        <v>0</v>
      </c>
      <c r="D1826" s="2252" t="b">
        <f t="shared" si="38"/>
        <v>0</v>
      </c>
    </row>
    <row r="1827" spans="1:4">
      <c r="A1827" s="2252" t="s">
        <v>2244</v>
      </c>
      <c r="B1827" s="2253" t="str">
        <f>报表附注!E2012</f>
        <v>20、其他1-地方水利建设基金</v>
      </c>
      <c r="C1827" s="2260">
        <f>报表附注!H2012</f>
        <v>3437.03</v>
      </c>
      <c r="D1827" s="2252" t="b">
        <f t="shared" si="38"/>
        <v>0</v>
      </c>
    </row>
    <row r="1828" spans="1:4">
      <c r="A1828" s="2252" t="s">
        <v>2245</v>
      </c>
      <c r="B1828" s="2253" t="str">
        <f>报表附注!E2013</f>
        <v>21、其他2-价格调节基金</v>
      </c>
      <c r="C1828" s="2260">
        <f>报表附注!H2013</f>
        <v>0</v>
      </c>
      <c r="D1828" s="2252" t="b">
        <f t="shared" si="38"/>
        <v>0</v>
      </c>
    </row>
    <row r="1829" spans="1:4">
      <c r="A1829" s="2252" t="s">
        <v>2246</v>
      </c>
      <c r="B1829" s="2253" t="str">
        <f>报表附注!E2014</f>
        <v>22、其他3-排污费</v>
      </c>
      <c r="C1829" s="2260">
        <f>报表附注!H2014</f>
        <v>0</v>
      </c>
      <c r="D1829" s="2252" t="b">
        <f t="shared" si="38"/>
        <v>0</v>
      </c>
    </row>
    <row r="1830" spans="1:4">
      <c r="A1830" s="2252" t="s">
        <v>2247</v>
      </c>
      <c r="B1830" s="2253" t="str">
        <f>报表附注!E2015</f>
        <v>23、其他4-</v>
      </c>
      <c r="C1830" s="2260">
        <f>报表附注!H2015</f>
        <v>0</v>
      </c>
      <c r="D1830" s="2252" t="b">
        <f t="shared" si="38"/>
        <v>0</v>
      </c>
    </row>
    <row r="1831" spans="1:4">
      <c r="A1831" s="2252" t="s">
        <v>2248</v>
      </c>
      <c r="B1831" s="2253" t="str">
        <f>报表附注!E2016</f>
        <v>24、其他5-</v>
      </c>
      <c r="C1831" s="2260">
        <f>报表附注!H2016</f>
        <v>0</v>
      </c>
      <c r="D1831" s="2252" t="b">
        <f t="shared" si="38"/>
        <v>0</v>
      </c>
    </row>
    <row r="1832" spans="1:4">
      <c r="A1832" s="2252" t="s">
        <v>2021</v>
      </c>
      <c r="B1832" s="2263" t="str">
        <f>报表附注!E2017</f>
        <v>合计</v>
      </c>
      <c r="C1832" s="2260">
        <f>报表附注!H2017</f>
        <v>10592226.9</v>
      </c>
      <c r="D1832" s="2252" t="b">
        <f t="shared" si="38"/>
        <v>1</v>
      </c>
    </row>
    <row r="1833" spans="1:4">
      <c r="A1833" s="2252" t="s">
        <v>316</v>
      </c>
      <c r="B1833" s="2273" t="s">
        <v>316</v>
      </c>
      <c r="D1833" s="2252" t="b">
        <f t="shared" si="38"/>
        <v>1</v>
      </c>
    </row>
    <row r="1834" spans="1:4">
      <c r="A1834" s="2252" t="s">
        <v>2225</v>
      </c>
      <c r="B1834" s="2267" t="str">
        <f>报表附注!E1993</f>
        <v>1、企业所得税</v>
      </c>
      <c r="C1834" s="2260">
        <f>报表附注!I1993</f>
        <v>0</v>
      </c>
      <c r="D1834" s="2252" t="b">
        <f t="shared" si="38"/>
        <v>0</v>
      </c>
    </row>
    <row r="1835" spans="1:4">
      <c r="A1835" s="2252" t="s">
        <v>2226</v>
      </c>
      <c r="B1835" s="2267" t="str">
        <f>报表附注!E1994</f>
        <v>2、增值税</v>
      </c>
      <c r="C1835" s="2260">
        <f>报表附注!I1994</f>
        <v>243943.97</v>
      </c>
      <c r="D1835" s="2252" t="b">
        <f t="shared" si="38"/>
        <v>0</v>
      </c>
    </row>
    <row r="1836" spans="1:4">
      <c r="A1836" s="2252" t="s">
        <v>2227</v>
      </c>
      <c r="B1836" s="2267" t="str">
        <f>报表附注!E1995</f>
        <v>3、营业税</v>
      </c>
      <c r="C1836" s="2260">
        <f>报表附注!I1995</f>
        <v>0</v>
      </c>
      <c r="D1836" s="2252" t="b">
        <f t="shared" si="38"/>
        <v>0</v>
      </c>
    </row>
    <row r="1837" spans="1:4">
      <c r="A1837" s="2252" t="s">
        <v>2228</v>
      </c>
      <c r="B1837" s="2267" t="str">
        <f>报表附注!E1996</f>
        <v>4、消费税</v>
      </c>
      <c r="C1837" s="2260">
        <f>报表附注!I1996</f>
        <v>0</v>
      </c>
      <c r="D1837" s="2252" t="b">
        <f t="shared" si="38"/>
        <v>0</v>
      </c>
    </row>
    <row r="1838" spans="1:4">
      <c r="A1838" s="2252" t="s">
        <v>2229</v>
      </c>
      <c r="B1838" s="2267" t="str">
        <f>报表附注!E1997</f>
        <v>5、资源税</v>
      </c>
      <c r="C1838" s="2260">
        <f>报表附注!I1997</f>
        <v>0</v>
      </c>
      <c r="D1838" s="2252" t="b">
        <f t="shared" si="38"/>
        <v>0</v>
      </c>
    </row>
    <row r="1839" spans="1:4">
      <c r="A1839" s="2252" t="s">
        <v>2230</v>
      </c>
      <c r="B1839" s="2267" t="str">
        <f>报表附注!E1998</f>
        <v>6、土地增值税</v>
      </c>
      <c r="C1839" s="2260">
        <f>报表附注!I1998</f>
        <v>0</v>
      </c>
      <c r="D1839" s="2252" t="b">
        <f t="shared" si="38"/>
        <v>0</v>
      </c>
    </row>
    <row r="1840" spans="1:4">
      <c r="A1840" s="2252" t="s">
        <v>2231</v>
      </c>
      <c r="B1840" s="2267" t="str">
        <f>报表附注!E1999</f>
        <v>7、土地使用税</v>
      </c>
      <c r="C1840" s="2260">
        <f>报表附注!I1999</f>
        <v>0</v>
      </c>
      <c r="D1840" s="2252" t="b">
        <f t="shared" si="38"/>
        <v>0</v>
      </c>
    </row>
    <row r="1841" spans="1:4">
      <c r="A1841" s="2252" t="s">
        <v>2232</v>
      </c>
      <c r="B1841" s="2267" t="str">
        <f>报表附注!E2000</f>
        <v>8、房产税</v>
      </c>
      <c r="C1841" s="2260">
        <f>报表附注!I2000</f>
        <v>0</v>
      </c>
      <c r="D1841" s="2252" t="b">
        <f t="shared" si="38"/>
        <v>0</v>
      </c>
    </row>
    <row r="1842" spans="1:4">
      <c r="A1842" s="2252" t="s">
        <v>2233</v>
      </c>
      <c r="B1842" s="2267" t="str">
        <f>报表附注!E2001</f>
        <v>9、车船使用税</v>
      </c>
      <c r="C1842" s="2260">
        <f>报表附注!I2001</f>
        <v>0</v>
      </c>
      <c r="D1842" s="2252" t="b">
        <f t="shared" si="38"/>
        <v>0</v>
      </c>
    </row>
    <row r="1843" spans="1:4">
      <c r="A1843" s="2252" t="s">
        <v>2234</v>
      </c>
      <c r="B1843" s="2267" t="str">
        <f>报表附注!E2002</f>
        <v>10、城市维护建设税</v>
      </c>
      <c r="C1843" s="2260">
        <f>报表附注!I2002</f>
        <v>0</v>
      </c>
      <c r="D1843" s="2252" t="b">
        <f t="shared" si="38"/>
        <v>0</v>
      </c>
    </row>
    <row r="1844" spans="1:4">
      <c r="A1844" s="2252" t="s">
        <v>2235</v>
      </c>
      <c r="B1844" s="2267" t="str">
        <f>报表附注!E2003</f>
        <v>11、教育附加（含地方）</v>
      </c>
      <c r="C1844" s="2260">
        <f>报表附注!I2003</f>
        <v>0</v>
      </c>
      <c r="D1844" s="2252" t="b">
        <f t="shared" si="38"/>
        <v>0</v>
      </c>
    </row>
    <row r="1845" spans="1:4">
      <c r="A1845" s="2252" t="s">
        <v>2236</v>
      </c>
      <c r="B1845" s="2267" t="str">
        <f>报表附注!E2004</f>
        <v>12、矿产资源补偿费</v>
      </c>
      <c r="C1845" s="2260">
        <f>报表附注!I2004</f>
        <v>0</v>
      </c>
      <c r="D1845" s="2252" t="b">
        <f t="shared" si="38"/>
        <v>0</v>
      </c>
    </row>
    <row r="1846" spans="1:4">
      <c r="A1846" s="2252" t="s">
        <v>2237</v>
      </c>
      <c r="B1846" s="2267" t="str">
        <f>报表附注!E2005</f>
        <v>13、代扣代缴个人所得税</v>
      </c>
      <c r="C1846" s="2260">
        <f>报表附注!I2005</f>
        <v>73775.14</v>
      </c>
      <c r="D1846" s="2252" t="b">
        <f t="shared" si="38"/>
        <v>0</v>
      </c>
    </row>
    <row r="1847" spans="1:4">
      <c r="A1847" s="2252" t="s">
        <v>2238</v>
      </c>
      <c r="B1847" s="2267" t="str">
        <f>报表附注!E2006</f>
        <v>14、印花税</v>
      </c>
      <c r="C1847" s="2260">
        <f>报表附注!I2006</f>
        <v>113603.15</v>
      </c>
      <c r="D1847" s="2252" t="b">
        <f t="shared" si="38"/>
        <v>0</v>
      </c>
    </row>
    <row r="1848" spans="1:4">
      <c r="A1848" s="2252" t="s">
        <v>2239</v>
      </c>
      <c r="B1848" s="2267" t="str">
        <f>报表附注!E2007</f>
        <v>15、防洪保安费（堤围费）</v>
      </c>
      <c r="C1848" s="2260">
        <f>报表附注!I2007</f>
        <v>0</v>
      </c>
      <c r="D1848" s="2252" t="b">
        <f t="shared" si="38"/>
        <v>0</v>
      </c>
    </row>
    <row r="1849" spans="1:4">
      <c r="A1849" s="2252" t="s">
        <v>2240</v>
      </c>
      <c r="B1849" s="2267" t="str">
        <f>报表附注!E2008</f>
        <v>16、电力监管费</v>
      </c>
      <c r="C1849" s="2260">
        <f>报表附注!I2008</f>
        <v>0</v>
      </c>
      <c r="D1849" s="2252" t="b">
        <f t="shared" si="38"/>
        <v>0</v>
      </c>
    </row>
    <row r="1850" spans="1:4">
      <c r="A1850" s="2252" t="s">
        <v>2241</v>
      </c>
      <c r="B1850" s="2267" t="str">
        <f>报表附注!E2009</f>
        <v>17、水资源费</v>
      </c>
      <c r="C1850" s="2260">
        <f>报表附注!I2009</f>
        <v>0</v>
      </c>
      <c r="D1850" s="2252" t="b">
        <f t="shared" si="38"/>
        <v>0</v>
      </c>
    </row>
    <row r="1851" spans="1:4">
      <c r="A1851" s="2252" t="s">
        <v>2242</v>
      </c>
      <c r="B1851" s="2267" t="str">
        <f>报表附注!E2010</f>
        <v>18、库区维护费</v>
      </c>
      <c r="C1851" s="2260">
        <f>报表附注!I2010</f>
        <v>0</v>
      </c>
      <c r="D1851" s="2252" t="b">
        <f t="shared" si="38"/>
        <v>0</v>
      </c>
    </row>
    <row r="1852" spans="1:4">
      <c r="A1852" s="2252" t="s">
        <v>2243</v>
      </c>
      <c r="B1852" s="2267" t="str">
        <f>报表附注!E2011</f>
        <v>19、代扣代缴企业所得税</v>
      </c>
      <c r="C1852" s="2260">
        <f>报表附注!I2011</f>
        <v>0</v>
      </c>
      <c r="D1852" s="2252" t="b">
        <f t="shared" si="38"/>
        <v>0</v>
      </c>
    </row>
    <row r="1853" spans="1:4">
      <c r="A1853" s="2252" t="s">
        <v>2244</v>
      </c>
      <c r="B1853" s="2267" t="str">
        <f>报表附注!E2012</f>
        <v>20、其他1-地方水利建设基金</v>
      </c>
      <c r="C1853" s="2260">
        <f>报表附注!I2012</f>
        <v>0</v>
      </c>
      <c r="D1853" s="2252" t="b">
        <f t="shared" si="38"/>
        <v>0</v>
      </c>
    </row>
    <row r="1854" spans="1:4">
      <c r="A1854" s="2252" t="s">
        <v>2245</v>
      </c>
      <c r="B1854" s="2267" t="str">
        <f>报表附注!E2013</f>
        <v>21、其他2-价格调节基金</v>
      </c>
      <c r="C1854" s="2260">
        <f>报表附注!I2013</f>
        <v>0</v>
      </c>
      <c r="D1854" s="2252" t="b">
        <f t="shared" ref="D1854:D1917" si="39">EXACT(A1854,B1854)</f>
        <v>0</v>
      </c>
    </row>
    <row r="1855" spans="1:4">
      <c r="A1855" s="2252" t="s">
        <v>2246</v>
      </c>
      <c r="B1855" s="2267" t="str">
        <f>报表附注!E2014</f>
        <v>22、其他3-排污费</v>
      </c>
      <c r="C1855" s="2260">
        <f>报表附注!I2014</f>
        <v>0</v>
      </c>
      <c r="D1855" s="2252" t="b">
        <f t="shared" si="39"/>
        <v>0</v>
      </c>
    </row>
    <row r="1856" spans="1:4">
      <c r="A1856" s="2252" t="s">
        <v>2247</v>
      </c>
      <c r="B1856" s="2267" t="str">
        <f>报表附注!E2015</f>
        <v>23、其他4-</v>
      </c>
      <c r="C1856" s="2260">
        <f>报表附注!I2015</f>
        <v>0</v>
      </c>
      <c r="D1856" s="2252" t="b">
        <f t="shared" si="39"/>
        <v>0</v>
      </c>
    </row>
    <row r="1857" spans="1:4">
      <c r="A1857" s="2252" t="s">
        <v>2248</v>
      </c>
      <c r="B1857" s="2267" t="str">
        <f>报表附注!E2016</f>
        <v>24、其他5-</v>
      </c>
      <c r="C1857" s="2260">
        <f>报表附注!I2016</f>
        <v>0</v>
      </c>
      <c r="D1857" s="2252" t="b">
        <f t="shared" si="39"/>
        <v>0</v>
      </c>
    </row>
    <row r="1858" spans="1:4">
      <c r="A1858" s="2252" t="s">
        <v>2021</v>
      </c>
      <c r="B1858" s="2263" t="str">
        <f>报表附注!E2017</f>
        <v>合计</v>
      </c>
      <c r="C1858" s="2260">
        <f>报表附注!I2017</f>
        <v>431322.26</v>
      </c>
      <c r="D1858" s="2252" t="b">
        <f t="shared" si="39"/>
        <v>1</v>
      </c>
    </row>
    <row r="1859" spans="4:4">
      <c r="D1859" s="2252" t="b">
        <f t="shared" si="39"/>
        <v>1</v>
      </c>
    </row>
    <row r="1860" spans="1:4">
      <c r="A1860" s="2252" t="s">
        <v>2251</v>
      </c>
      <c r="B1860" s="376" t="s">
        <v>2251</v>
      </c>
      <c r="D1860" s="2252" t="b">
        <f t="shared" si="39"/>
        <v>1</v>
      </c>
    </row>
    <row r="1861" spans="1:4">
      <c r="A1861" s="2252" t="s">
        <v>516</v>
      </c>
      <c r="B1861" s="2273" t="s">
        <v>516</v>
      </c>
      <c r="D1861" s="2252" t="b">
        <f t="shared" si="39"/>
        <v>1</v>
      </c>
    </row>
    <row r="1862" spans="1:4">
      <c r="A1862" s="2252" t="s">
        <v>2252</v>
      </c>
      <c r="B1862" s="2253" t="str">
        <f>报表附注!E2028</f>
        <v>分期付息到期还本的长期借款利息</v>
      </c>
      <c r="C1862" s="2260">
        <f>报表附注!F2028</f>
        <v>120815.96</v>
      </c>
      <c r="D1862" s="2252" t="b">
        <f t="shared" si="39"/>
        <v>1</v>
      </c>
    </row>
    <row r="1863" spans="1:4">
      <c r="A1863" s="2252" t="s">
        <v>2253</v>
      </c>
      <c r="B1863" s="2253" t="str">
        <f>报表附注!E2029</f>
        <v>企业债券利息</v>
      </c>
      <c r="C1863" s="2260">
        <f>报表附注!F2029</f>
        <v>0</v>
      </c>
      <c r="D1863" s="2252" t="b">
        <f t="shared" si="39"/>
        <v>1</v>
      </c>
    </row>
    <row r="1864" spans="1:4">
      <c r="A1864" s="2252" t="s">
        <v>2254</v>
      </c>
      <c r="B1864" s="2253" t="str">
        <f>报表附注!E2030</f>
        <v>短期借款应付利息</v>
      </c>
      <c r="C1864" s="2260">
        <f>报表附注!F2030</f>
        <v>0</v>
      </c>
      <c r="D1864" s="2252" t="b">
        <f t="shared" si="39"/>
        <v>1</v>
      </c>
    </row>
    <row r="1865" spans="1:4">
      <c r="A1865" s="2252" t="s">
        <v>2021</v>
      </c>
      <c r="B1865" s="2263" t="str">
        <f>报表附注!E2031</f>
        <v>合计</v>
      </c>
      <c r="C1865" s="2260">
        <f>报表附注!F2031</f>
        <v>120815.96</v>
      </c>
      <c r="D1865" s="2252" t="b">
        <f t="shared" si="39"/>
        <v>1</v>
      </c>
    </row>
    <row r="1866" spans="4:4">
      <c r="D1866" s="2252" t="b">
        <f t="shared" si="39"/>
        <v>1</v>
      </c>
    </row>
    <row r="1867" spans="4:4">
      <c r="D1867" s="2252" t="b">
        <f t="shared" si="39"/>
        <v>1</v>
      </c>
    </row>
    <row r="1868" spans="1:4">
      <c r="A1868" s="2252" t="s">
        <v>2255</v>
      </c>
      <c r="B1868" s="2272" t="s">
        <v>2255</v>
      </c>
      <c r="D1868" s="2252" t="b">
        <f t="shared" si="39"/>
        <v>1</v>
      </c>
    </row>
    <row r="1869" spans="4:4">
      <c r="D1869" s="2252" t="b">
        <f t="shared" si="39"/>
        <v>1</v>
      </c>
    </row>
    <row r="1870" spans="1:4">
      <c r="A1870" s="2252" t="s">
        <v>2256</v>
      </c>
      <c r="B1870" s="2270" t="s">
        <v>2256</v>
      </c>
      <c r="D1870" s="2252" t="b">
        <f t="shared" si="39"/>
        <v>1</v>
      </c>
    </row>
    <row r="1871" spans="1:4">
      <c r="A1871" s="2252" t="s">
        <v>316</v>
      </c>
      <c r="B1871" s="2273" t="s">
        <v>316</v>
      </c>
      <c r="D1871" s="2252" t="b">
        <f t="shared" si="39"/>
        <v>1</v>
      </c>
    </row>
    <row r="1872" spans="1:4">
      <c r="A1872" s="2252" t="s">
        <v>2026</v>
      </c>
      <c r="B1872" s="2253" t="str">
        <f>报表附注!E2065</f>
        <v>1年以内（含1年）</v>
      </c>
      <c r="C1872" s="2260">
        <f>报表附注!F2065</f>
        <v>19019503.08</v>
      </c>
      <c r="D1872" s="2252" t="b">
        <f t="shared" si="39"/>
        <v>1</v>
      </c>
    </row>
    <row r="1873" spans="1:4">
      <c r="A1873" s="2252" t="s">
        <v>2027</v>
      </c>
      <c r="B1873" s="2253" t="str">
        <f>报表附注!E2066</f>
        <v>1-2年（含2年）</v>
      </c>
      <c r="C1873" s="2260">
        <f>报表附注!F2066</f>
        <v>500236.74</v>
      </c>
      <c r="D1873" s="2252" t="b">
        <f t="shared" si="39"/>
        <v>1</v>
      </c>
    </row>
    <row r="1874" spans="1:4">
      <c r="A1874" s="2252" t="s">
        <v>2028</v>
      </c>
      <c r="B1874" s="2253" t="str">
        <f>报表附注!E2067</f>
        <v>2-3年（含3年）</v>
      </c>
      <c r="C1874" s="2260">
        <f>报表附注!F2067</f>
        <v>0</v>
      </c>
      <c r="D1874" s="2252" t="b">
        <f t="shared" si="39"/>
        <v>1</v>
      </c>
    </row>
    <row r="1875" spans="1:4">
      <c r="A1875" s="2252" t="s">
        <v>2029</v>
      </c>
      <c r="B1875" s="2253" t="str">
        <f>报表附注!E2068</f>
        <v>3-4年（含4年）</v>
      </c>
      <c r="C1875" s="2260">
        <f>报表附注!F2068</f>
        <v>150000</v>
      </c>
      <c r="D1875" s="2252" t="b">
        <f t="shared" si="39"/>
        <v>1</v>
      </c>
    </row>
    <row r="1876" spans="1:4">
      <c r="A1876" s="2252" t="s">
        <v>2030</v>
      </c>
      <c r="B1876" s="2253" t="str">
        <f>报表附注!E2069</f>
        <v>4-5年（含5年）</v>
      </c>
      <c r="C1876" s="2260">
        <f>报表附注!F2069</f>
        <v>0</v>
      </c>
      <c r="D1876" s="2252" t="b">
        <f t="shared" si="39"/>
        <v>1</v>
      </c>
    </row>
    <row r="1877" spans="1:4">
      <c r="A1877" s="2252" t="s">
        <v>2031</v>
      </c>
      <c r="B1877" s="2253" t="str">
        <f>报表附注!E2070</f>
        <v>5年以上</v>
      </c>
      <c r="C1877" s="2260">
        <f>报表附注!F2070</f>
        <v>0</v>
      </c>
      <c r="D1877" s="2252" t="b">
        <f t="shared" si="39"/>
        <v>1</v>
      </c>
    </row>
    <row r="1878" spans="1:4">
      <c r="A1878" s="2252" t="s">
        <v>2021</v>
      </c>
      <c r="B1878" s="2263" t="str">
        <f>报表附注!E2071</f>
        <v>合计</v>
      </c>
      <c r="C1878" s="2260">
        <f>报表附注!F2071</f>
        <v>19669739.82</v>
      </c>
      <c r="D1878" s="2252" t="b">
        <f t="shared" si="39"/>
        <v>1</v>
      </c>
    </row>
    <row r="1879" spans="1:4">
      <c r="A1879" s="2252" t="s">
        <v>2020</v>
      </c>
      <c r="B1879" s="2273" t="s">
        <v>2020</v>
      </c>
      <c r="D1879" s="2252" t="b">
        <f t="shared" si="39"/>
        <v>1</v>
      </c>
    </row>
    <row r="1880" spans="1:4">
      <c r="A1880" s="2252" t="s">
        <v>2026</v>
      </c>
      <c r="B1880" s="2253" t="str">
        <f>报表附注!E2065</f>
        <v>1年以内（含1年）</v>
      </c>
      <c r="C1880" s="2260">
        <f>报表附注!G2065</f>
        <v>6973460.48</v>
      </c>
      <c r="D1880" s="2252" t="b">
        <f t="shared" si="39"/>
        <v>1</v>
      </c>
    </row>
    <row r="1881" spans="1:4">
      <c r="A1881" s="2252" t="s">
        <v>2027</v>
      </c>
      <c r="B1881" s="2253" t="str">
        <f>报表附注!E2066</f>
        <v>1-2年（含2年）</v>
      </c>
      <c r="C1881" s="2260">
        <f>报表附注!G2066</f>
        <v>0</v>
      </c>
      <c r="D1881" s="2252" t="b">
        <f t="shared" si="39"/>
        <v>1</v>
      </c>
    </row>
    <row r="1882" spans="1:4">
      <c r="A1882" s="2252" t="s">
        <v>2028</v>
      </c>
      <c r="B1882" s="2253" t="str">
        <f>报表附注!E2067</f>
        <v>2-3年（含3年）</v>
      </c>
      <c r="C1882" s="2260">
        <f>报表附注!G2067</f>
        <v>150000</v>
      </c>
      <c r="D1882" s="2252" t="b">
        <f t="shared" si="39"/>
        <v>1</v>
      </c>
    </row>
    <row r="1883" spans="1:4">
      <c r="A1883" s="2252" t="s">
        <v>2029</v>
      </c>
      <c r="B1883" s="2253" t="str">
        <f>报表附注!E2068</f>
        <v>3-4年（含4年）</v>
      </c>
      <c r="C1883" s="2260">
        <f>报表附注!G2068</f>
        <v>0</v>
      </c>
      <c r="D1883" s="2252" t="b">
        <f t="shared" si="39"/>
        <v>1</v>
      </c>
    </row>
    <row r="1884" spans="1:4">
      <c r="A1884" s="2252" t="s">
        <v>2030</v>
      </c>
      <c r="B1884" s="2253" t="str">
        <f>报表附注!E2069</f>
        <v>4-5年（含5年）</v>
      </c>
      <c r="C1884" s="2260">
        <f>报表附注!G2069</f>
        <v>0</v>
      </c>
      <c r="D1884" s="2252" t="b">
        <f t="shared" si="39"/>
        <v>1</v>
      </c>
    </row>
    <row r="1885" spans="1:4">
      <c r="A1885" s="2252" t="s">
        <v>2031</v>
      </c>
      <c r="B1885" s="2253" t="str">
        <f>报表附注!E2070</f>
        <v>5年以上</v>
      </c>
      <c r="C1885" s="2260">
        <f>报表附注!G2070</f>
        <v>0</v>
      </c>
      <c r="D1885" s="2252" t="b">
        <f t="shared" si="39"/>
        <v>1</v>
      </c>
    </row>
    <row r="1886" spans="1:4">
      <c r="A1886" s="2252" t="s">
        <v>2021</v>
      </c>
      <c r="B1886" s="2263" t="str">
        <f>报表附注!E2071</f>
        <v>合计</v>
      </c>
      <c r="C1886" s="2260">
        <f>报表附注!G2071</f>
        <v>7123460.48</v>
      </c>
      <c r="D1886" s="2252" t="b">
        <f t="shared" si="39"/>
        <v>1</v>
      </c>
    </row>
    <row r="1887" spans="4:4">
      <c r="D1887" s="2252" t="b">
        <f t="shared" si="39"/>
        <v>1</v>
      </c>
    </row>
    <row r="1888" spans="1:4">
      <c r="A1888" s="2252" t="s">
        <v>2257</v>
      </c>
      <c r="B1888" s="2293" t="s">
        <v>2257</v>
      </c>
      <c r="D1888" s="2252" t="b">
        <f t="shared" si="39"/>
        <v>1</v>
      </c>
    </row>
    <row r="1889" spans="1:4">
      <c r="A1889" s="2252" t="s">
        <v>671</v>
      </c>
      <c r="B1889" s="2303" t="s">
        <v>671</v>
      </c>
      <c r="D1889" s="2252" t="b">
        <f t="shared" si="39"/>
        <v>1</v>
      </c>
    </row>
    <row r="1890" spans="1:4">
      <c r="A1890" s="2252" t="s">
        <v>2258</v>
      </c>
      <c r="B1890" s="2304" t="str">
        <f>报表附注!E2160</f>
        <v>对外提供担保</v>
      </c>
      <c r="C1890" s="2260">
        <f>报表附注!F2160</f>
        <v>0</v>
      </c>
      <c r="D1890" s="2252" t="b">
        <f t="shared" si="39"/>
        <v>1</v>
      </c>
    </row>
    <row r="1891" spans="1:4">
      <c r="A1891" s="2252" t="s">
        <v>2259</v>
      </c>
      <c r="B1891" s="2304" t="str">
        <f>报表附注!E2161</f>
        <v>未决诉讼</v>
      </c>
      <c r="C1891" s="2260">
        <f>报表附注!F2161</f>
        <v>0</v>
      </c>
      <c r="D1891" s="2252" t="b">
        <f t="shared" si="39"/>
        <v>1</v>
      </c>
    </row>
    <row r="1892" spans="1:4">
      <c r="A1892" s="2252" t="s">
        <v>2260</v>
      </c>
      <c r="B1892" s="2304" t="str">
        <f>报表附注!E2162</f>
        <v>产品质量保证</v>
      </c>
      <c r="C1892" s="2260">
        <f>报表附注!F2162</f>
        <v>450190.65</v>
      </c>
      <c r="D1892" s="2252" t="b">
        <f t="shared" si="39"/>
        <v>1</v>
      </c>
    </row>
    <row r="1893" spans="1:4">
      <c r="A1893" s="2252" t="s">
        <v>2261</v>
      </c>
      <c r="B1893" s="2304" t="str">
        <f>报表附注!E2163</f>
        <v>重组义务</v>
      </c>
      <c r="C1893" s="2260">
        <f>报表附注!F2163</f>
        <v>0</v>
      </c>
      <c r="D1893" s="2252" t="b">
        <f t="shared" si="39"/>
        <v>1</v>
      </c>
    </row>
    <row r="1894" spans="1:4">
      <c r="A1894" s="2252" t="s">
        <v>2262</v>
      </c>
      <c r="B1894" s="2304" t="str">
        <f>报表附注!E2164</f>
        <v>辞退福利</v>
      </c>
      <c r="C1894" s="2260">
        <f>报表附注!F2164</f>
        <v>0</v>
      </c>
      <c r="D1894" s="2252" t="b">
        <f t="shared" si="39"/>
        <v>1</v>
      </c>
    </row>
    <row r="1895" spans="1:4">
      <c r="A1895" s="2252" t="s">
        <v>2263</v>
      </c>
      <c r="B1895" s="2304" t="str">
        <f>报表附注!E2165</f>
        <v>待执行的亏损合同</v>
      </c>
      <c r="C1895" s="2260">
        <f>报表附注!F2165</f>
        <v>0</v>
      </c>
      <c r="D1895" s="2252" t="b">
        <f t="shared" si="39"/>
        <v>1</v>
      </c>
    </row>
    <row r="1896" spans="1:4">
      <c r="A1896" s="2252" t="s">
        <v>280</v>
      </c>
      <c r="B1896" s="2304" t="str">
        <f>报表附注!E2166</f>
        <v>其他</v>
      </c>
      <c r="C1896" s="2260">
        <f>报表附注!F2166</f>
        <v>0</v>
      </c>
      <c r="D1896" s="2252" t="b">
        <f t="shared" si="39"/>
        <v>1</v>
      </c>
    </row>
    <row r="1897" spans="1:4">
      <c r="A1897" s="2252" t="s">
        <v>347</v>
      </c>
      <c r="B1897" s="2305" t="str">
        <f>报表附注!E2167</f>
        <v>合 计</v>
      </c>
      <c r="C1897" s="2260">
        <f>报表附注!F2167</f>
        <v>450190.65</v>
      </c>
      <c r="D1897" s="2252" t="b">
        <f t="shared" si="39"/>
        <v>1</v>
      </c>
    </row>
    <row r="1898" spans="1:4">
      <c r="A1898" s="2252" t="s">
        <v>672</v>
      </c>
      <c r="B1898" s="2303" t="s">
        <v>672</v>
      </c>
      <c r="D1898" s="2252" t="b">
        <f t="shared" si="39"/>
        <v>1</v>
      </c>
    </row>
    <row r="1899" spans="1:4">
      <c r="A1899" s="2252" t="s">
        <v>2258</v>
      </c>
      <c r="B1899" s="2304" t="str">
        <f>报表附注!E2160</f>
        <v>对外提供担保</v>
      </c>
      <c r="C1899" s="2260">
        <f>报表附注!G2160</f>
        <v>0</v>
      </c>
      <c r="D1899" s="2252" t="b">
        <f t="shared" si="39"/>
        <v>1</v>
      </c>
    </row>
    <row r="1900" spans="1:4">
      <c r="A1900" s="2252" t="s">
        <v>2259</v>
      </c>
      <c r="B1900" s="2304" t="str">
        <f>报表附注!E2161</f>
        <v>未决诉讼</v>
      </c>
      <c r="C1900" s="2260">
        <f>报表附注!G2161</f>
        <v>0</v>
      </c>
      <c r="D1900" s="2252" t="b">
        <f t="shared" si="39"/>
        <v>1</v>
      </c>
    </row>
    <row r="1901" spans="1:4">
      <c r="A1901" s="2252" t="s">
        <v>2260</v>
      </c>
      <c r="B1901" s="2304" t="str">
        <f>报表附注!E2162</f>
        <v>产品质量保证</v>
      </c>
      <c r="C1901" s="2260">
        <f>报表附注!G2162</f>
        <v>0</v>
      </c>
      <c r="D1901" s="2252" t="b">
        <f t="shared" si="39"/>
        <v>1</v>
      </c>
    </row>
    <row r="1902" spans="1:4">
      <c r="A1902" s="2252" t="s">
        <v>2261</v>
      </c>
      <c r="B1902" s="2304" t="str">
        <f>报表附注!E2163</f>
        <v>重组义务</v>
      </c>
      <c r="C1902" s="2260">
        <f>报表附注!G2163</f>
        <v>0</v>
      </c>
      <c r="D1902" s="2252" t="b">
        <f t="shared" si="39"/>
        <v>1</v>
      </c>
    </row>
    <row r="1903" spans="1:4">
      <c r="A1903" s="2252" t="s">
        <v>2262</v>
      </c>
      <c r="B1903" s="2304" t="str">
        <f>报表附注!E2164</f>
        <v>辞退福利</v>
      </c>
      <c r="C1903" s="2260">
        <f>报表附注!G2164</f>
        <v>0</v>
      </c>
      <c r="D1903" s="2252" t="b">
        <f t="shared" si="39"/>
        <v>1</v>
      </c>
    </row>
    <row r="1904" spans="1:4">
      <c r="A1904" s="2252" t="s">
        <v>2263</v>
      </c>
      <c r="B1904" s="2304" t="str">
        <f>报表附注!E2165</f>
        <v>待执行的亏损合同</v>
      </c>
      <c r="C1904" s="2260">
        <f>报表附注!G2165</f>
        <v>0</v>
      </c>
      <c r="D1904" s="2252" t="b">
        <f t="shared" si="39"/>
        <v>1</v>
      </c>
    </row>
    <row r="1905" spans="1:4">
      <c r="A1905" s="2252" t="s">
        <v>280</v>
      </c>
      <c r="B1905" s="2304" t="str">
        <f>报表附注!E2166</f>
        <v>其他</v>
      </c>
      <c r="C1905" s="2260">
        <f>报表附注!G2166</f>
        <v>5395983.26</v>
      </c>
      <c r="D1905" s="2252" t="b">
        <f t="shared" si="39"/>
        <v>1</v>
      </c>
    </row>
    <row r="1906" spans="1:4">
      <c r="A1906" s="2252" t="s">
        <v>347</v>
      </c>
      <c r="B1906" s="2305" t="str">
        <f>报表附注!E2167</f>
        <v>合 计</v>
      </c>
      <c r="C1906" s="2260">
        <f>报表附注!G2167</f>
        <v>5395983.26</v>
      </c>
      <c r="D1906" s="2252" t="b">
        <f t="shared" si="39"/>
        <v>1</v>
      </c>
    </row>
    <row r="1907" spans="1:4">
      <c r="A1907" s="2252" t="s">
        <v>673</v>
      </c>
      <c r="B1907" s="2303" t="s">
        <v>673</v>
      </c>
      <c r="D1907" s="2252" t="b">
        <f t="shared" si="39"/>
        <v>1</v>
      </c>
    </row>
    <row r="1908" spans="1:4">
      <c r="A1908" s="2252" t="s">
        <v>2258</v>
      </c>
      <c r="B1908" s="2304" t="str">
        <f>报表附注!E2160</f>
        <v>对外提供担保</v>
      </c>
      <c r="C1908" s="2260">
        <f>报表附注!H2160</f>
        <v>0</v>
      </c>
      <c r="D1908" s="2252" t="b">
        <f t="shared" si="39"/>
        <v>1</v>
      </c>
    </row>
    <row r="1909" spans="1:4">
      <c r="A1909" s="2252" t="s">
        <v>2259</v>
      </c>
      <c r="B1909" s="2304" t="str">
        <f>报表附注!E2161</f>
        <v>未决诉讼</v>
      </c>
      <c r="C1909" s="2260">
        <f>报表附注!H2161</f>
        <v>0</v>
      </c>
      <c r="D1909" s="2252" t="b">
        <f t="shared" si="39"/>
        <v>1</v>
      </c>
    </row>
    <row r="1910" spans="1:4">
      <c r="A1910" s="2252" t="s">
        <v>2260</v>
      </c>
      <c r="B1910" s="2304" t="str">
        <f>报表附注!E2162</f>
        <v>产品质量保证</v>
      </c>
      <c r="C1910" s="2260">
        <f>报表附注!H2162</f>
        <v>450190.65</v>
      </c>
      <c r="D1910" s="2252" t="b">
        <f t="shared" si="39"/>
        <v>1</v>
      </c>
    </row>
    <row r="1911" spans="1:4">
      <c r="A1911" s="2252" t="s">
        <v>2261</v>
      </c>
      <c r="B1911" s="2304" t="str">
        <f>报表附注!E2163</f>
        <v>重组义务</v>
      </c>
      <c r="C1911" s="2260">
        <f>报表附注!H2163</f>
        <v>0</v>
      </c>
      <c r="D1911" s="2252" t="b">
        <f t="shared" si="39"/>
        <v>1</v>
      </c>
    </row>
    <row r="1912" spans="1:4">
      <c r="A1912" s="2252" t="s">
        <v>2262</v>
      </c>
      <c r="B1912" s="2304" t="str">
        <f>报表附注!E2164</f>
        <v>辞退福利</v>
      </c>
      <c r="C1912" s="2260">
        <f>报表附注!H2164</f>
        <v>0</v>
      </c>
      <c r="D1912" s="2252" t="b">
        <f t="shared" si="39"/>
        <v>1</v>
      </c>
    </row>
    <row r="1913" spans="1:4">
      <c r="A1913" s="2252" t="s">
        <v>2263</v>
      </c>
      <c r="B1913" s="2304" t="str">
        <f>报表附注!E2165</f>
        <v>待执行的亏损合同</v>
      </c>
      <c r="C1913" s="2260">
        <f>报表附注!H2165</f>
        <v>0</v>
      </c>
      <c r="D1913" s="2252" t="b">
        <f t="shared" si="39"/>
        <v>1</v>
      </c>
    </row>
    <row r="1914" spans="1:4">
      <c r="A1914" s="2252" t="s">
        <v>280</v>
      </c>
      <c r="B1914" s="2304" t="str">
        <f>报表附注!E2166</f>
        <v>其他</v>
      </c>
      <c r="C1914" s="2260">
        <f>报表附注!H2166</f>
        <v>0</v>
      </c>
      <c r="D1914" s="2252" t="b">
        <f t="shared" si="39"/>
        <v>1</v>
      </c>
    </row>
    <row r="1915" spans="1:4">
      <c r="A1915" s="2252" t="s">
        <v>347</v>
      </c>
      <c r="B1915" s="2305" t="str">
        <f>报表附注!E2167</f>
        <v>合 计</v>
      </c>
      <c r="C1915" s="2260">
        <f>报表附注!H2167</f>
        <v>450190.65</v>
      </c>
      <c r="D1915" s="2252" t="b">
        <f t="shared" si="39"/>
        <v>1</v>
      </c>
    </row>
    <row r="1916" spans="2:4">
      <c r="B1916" s="2304"/>
      <c r="D1916" s="2252" t="b">
        <f t="shared" si="39"/>
        <v>1</v>
      </c>
    </row>
    <row r="1917" spans="4:4">
      <c r="D1917" s="2252" t="b">
        <f t="shared" si="39"/>
        <v>1</v>
      </c>
    </row>
    <row r="1918" spans="1:4">
      <c r="A1918" s="2252" t="s">
        <v>2264</v>
      </c>
      <c r="B1918" s="2270" t="s">
        <v>2264</v>
      </c>
      <c r="D1918" s="2252" t="b">
        <f t="shared" ref="D1918:D1981" si="40">EXACT(A1918,B1918)</f>
        <v>1</v>
      </c>
    </row>
    <row r="1919" spans="1:4">
      <c r="A1919" s="2252" t="s">
        <v>2265</v>
      </c>
      <c r="B1919" s="376" t="s">
        <v>2265</v>
      </c>
      <c r="D1919" s="2252" t="b">
        <f t="shared" si="40"/>
        <v>1</v>
      </c>
    </row>
    <row r="1920" spans="1:4">
      <c r="A1920" s="2252" t="s">
        <v>516</v>
      </c>
      <c r="B1920" s="2273" t="s">
        <v>516</v>
      </c>
      <c r="D1920" s="2252" t="b">
        <f t="shared" si="40"/>
        <v>1</v>
      </c>
    </row>
    <row r="1921" spans="1:4">
      <c r="A1921" s="2252" t="s">
        <v>2266</v>
      </c>
      <c r="B1921" s="2253" t="str">
        <f>报表附注!E2176</f>
        <v>一年内到期的长期借款</v>
      </c>
      <c r="C1921" s="2260">
        <f>报表附注!F2176</f>
        <v>17334444.44</v>
      </c>
      <c r="D1921" s="2252" t="b">
        <f t="shared" si="40"/>
        <v>1</v>
      </c>
    </row>
    <row r="1922" spans="1:4">
      <c r="A1922" s="2252" t="s">
        <v>2267</v>
      </c>
      <c r="B1922" s="2253" t="str">
        <f>报表附注!E2177</f>
        <v>一年内到期的应付债券</v>
      </c>
      <c r="C1922" s="2260">
        <f>报表附注!F2177</f>
        <v>0</v>
      </c>
      <c r="D1922" s="2252" t="b">
        <f t="shared" si="40"/>
        <v>1</v>
      </c>
    </row>
    <row r="1923" spans="1:4">
      <c r="A1923" s="2252" t="s">
        <v>2268</v>
      </c>
      <c r="B1923" s="2253" t="str">
        <f>报表附注!E2178</f>
        <v>一年内到期的长期应付款</v>
      </c>
      <c r="C1923" s="2260">
        <f>报表附注!F2178</f>
        <v>6557196.07</v>
      </c>
      <c r="D1923" s="2252" t="b">
        <f t="shared" si="40"/>
        <v>1</v>
      </c>
    </row>
    <row r="1924" spans="1:4">
      <c r="A1924" s="2252" t="s">
        <v>2269</v>
      </c>
      <c r="B1924" s="2253" t="str">
        <f>报表附注!E2179</f>
        <v>一年内到期内的预计负债</v>
      </c>
      <c r="C1924" s="2260">
        <f>报表附注!F2179</f>
        <v>0</v>
      </c>
      <c r="D1924" s="2252" t="b">
        <f t="shared" si="40"/>
        <v>1</v>
      </c>
    </row>
    <row r="1925" spans="1:4">
      <c r="A1925" s="2252" t="s">
        <v>2203</v>
      </c>
      <c r="B1925" s="2263" t="str">
        <f>报表附注!E2180</f>
        <v>合   计</v>
      </c>
      <c r="C1925" s="2260">
        <f>报表附注!F2180</f>
        <v>23891640.51</v>
      </c>
      <c r="D1925" s="2252" t="b">
        <f t="shared" si="40"/>
        <v>1</v>
      </c>
    </row>
    <row r="1926" spans="1:4">
      <c r="A1926" s="2252" t="s">
        <v>671</v>
      </c>
      <c r="B1926" s="2273" t="s">
        <v>671</v>
      </c>
      <c r="D1926" s="2252" t="b">
        <f t="shared" si="40"/>
        <v>1</v>
      </c>
    </row>
    <row r="1927" spans="1:4">
      <c r="A1927" s="2252" t="s">
        <v>2266</v>
      </c>
      <c r="B1927" s="2253" t="str">
        <f>报表附注!E2176</f>
        <v>一年内到期的长期借款</v>
      </c>
      <c r="C1927" s="2260">
        <f>报表附注!G2176</f>
        <v>17624444.44</v>
      </c>
      <c r="D1927" s="2252" t="b">
        <f t="shared" si="40"/>
        <v>1</v>
      </c>
    </row>
    <row r="1928" spans="1:4">
      <c r="A1928" s="2252" t="s">
        <v>2267</v>
      </c>
      <c r="B1928" s="2253" t="str">
        <f>报表附注!E2177</f>
        <v>一年内到期的应付债券</v>
      </c>
      <c r="C1928" s="2260">
        <f>报表附注!G2177</f>
        <v>0</v>
      </c>
      <c r="D1928" s="2252" t="b">
        <f t="shared" si="40"/>
        <v>1</v>
      </c>
    </row>
    <row r="1929" spans="1:4">
      <c r="A1929" s="2252" t="s">
        <v>2268</v>
      </c>
      <c r="B1929" s="2253" t="str">
        <f>报表附注!E2178</f>
        <v>一年内到期的长期应付款</v>
      </c>
      <c r="C1929" s="2260">
        <f>报表附注!G2178</f>
        <v>6606039.24</v>
      </c>
      <c r="D1929" s="2252" t="b">
        <f t="shared" si="40"/>
        <v>1</v>
      </c>
    </row>
    <row r="1930" spans="1:4">
      <c r="A1930" s="2252" t="s">
        <v>2269</v>
      </c>
      <c r="B1930" s="2253" t="str">
        <f>报表附注!E2179</f>
        <v>一年内到期内的预计负债</v>
      </c>
      <c r="C1930" s="2260">
        <f>报表附注!G2179</f>
        <v>0</v>
      </c>
      <c r="D1930" s="2252" t="b">
        <f t="shared" si="40"/>
        <v>1</v>
      </c>
    </row>
    <row r="1931" spans="1:4">
      <c r="A1931" s="2252" t="s">
        <v>2203</v>
      </c>
      <c r="B1931" s="2263" t="str">
        <f>报表附注!E2180</f>
        <v>合   计</v>
      </c>
      <c r="C1931" s="2260">
        <f>报表附注!G2180</f>
        <v>24230483.68</v>
      </c>
      <c r="D1931" s="2252" t="b">
        <f t="shared" si="40"/>
        <v>1</v>
      </c>
    </row>
    <row r="1932" spans="4:4">
      <c r="D1932" s="2252" t="b">
        <f t="shared" si="40"/>
        <v>1</v>
      </c>
    </row>
    <row r="1933" spans="1:4">
      <c r="A1933" s="2252" t="s">
        <v>2270</v>
      </c>
      <c r="B1933" s="2257" t="s">
        <v>2270</v>
      </c>
      <c r="D1933" s="2252" t="b">
        <f t="shared" si="40"/>
        <v>1</v>
      </c>
    </row>
    <row r="1934" spans="1:4">
      <c r="A1934" s="2252" t="s">
        <v>316</v>
      </c>
      <c r="B1934" s="2273" t="s">
        <v>316</v>
      </c>
      <c r="D1934" s="2252" t="b">
        <f t="shared" si="40"/>
        <v>1</v>
      </c>
    </row>
    <row r="1935" spans="1:4">
      <c r="A1935" s="2252" t="s">
        <v>983</v>
      </c>
      <c r="B1935" s="2274" t="str">
        <f>报表附注!E2186</f>
        <v>信用借款</v>
      </c>
      <c r="C1935" s="2260">
        <f>报表附注!F2186</f>
        <v>0</v>
      </c>
      <c r="D1935" s="2252" t="b">
        <f t="shared" si="40"/>
        <v>1</v>
      </c>
    </row>
    <row r="1936" spans="1:4">
      <c r="A1936" s="2252" t="s">
        <v>985</v>
      </c>
      <c r="B1936" s="2274" t="str">
        <f>报表附注!E2187</f>
        <v>抵押借款</v>
      </c>
      <c r="C1936" s="2260">
        <f>报表附注!F2187</f>
        <v>0</v>
      </c>
      <c r="D1936" s="2252" t="b">
        <f t="shared" si="40"/>
        <v>1</v>
      </c>
    </row>
    <row r="1937" spans="1:4">
      <c r="A1937" s="2252" t="s">
        <v>987</v>
      </c>
      <c r="B1937" s="2274" t="str">
        <f>报表附注!E2188</f>
        <v>保证借款</v>
      </c>
      <c r="C1937" s="2260">
        <f>报表附注!F2188</f>
        <v>0</v>
      </c>
      <c r="D1937" s="2252" t="b">
        <f t="shared" si="40"/>
        <v>1</v>
      </c>
    </row>
    <row r="1938" spans="1:4">
      <c r="A1938" s="2252" t="s">
        <v>989</v>
      </c>
      <c r="B1938" s="2274" t="str">
        <f>报表附注!E2189</f>
        <v>质押借款</v>
      </c>
      <c r="C1938" s="2260">
        <f>报表附注!F2189</f>
        <v>17334444.44</v>
      </c>
      <c r="D1938" s="2252" t="b">
        <f t="shared" si="40"/>
        <v>1</v>
      </c>
    </row>
    <row r="1939" spans="1:4">
      <c r="A1939" s="2252" t="s">
        <v>2203</v>
      </c>
      <c r="B1939" s="2278" t="str">
        <f>报表附注!E2190</f>
        <v>合   计</v>
      </c>
      <c r="C1939" s="2260">
        <f>报表附注!F2190</f>
        <v>17334444.44</v>
      </c>
      <c r="D1939" s="2252" t="b">
        <f t="shared" si="40"/>
        <v>1</v>
      </c>
    </row>
    <row r="1940" spans="1:4">
      <c r="A1940" s="2252" t="s">
        <v>2020</v>
      </c>
      <c r="B1940" s="2273" t="s">
        <v>2020</v>
      </c>
      <c r="D1940" s="2252" t="b">
        <f t="shared" si="40"/>
        <v>1</v>
      </c>
    </row>
    <row r="1941" spans="1:4">
      <c r="A1941" s="2252" t="s">
        <v>983</v>
      </c>
      <c r="B1941" s="2274" t="str">
        <f>报表附注!E2186</f>
        <v>信用借款</v>
      </c>
      <c r="C1941" s="2260">
        <f>报表附注!G2186</f>
        <v>0</v>
      </c>
      <c r="D1941" s="2252" t="b">
        <f t="shared" si="40"/>
        <v>1</v>
      </c>
    </row>
    <row r="1942" spans="1:4">
      <c r="A1942" s="2252" t="s">
        <v>985</v>
      </c>
      <c r="B1942" s="2274" t="str">
        <f>报表附注!E2187</f>
        <v>抵押借款</v>
      </c>
      <c r="C1942" s="2260">
        <f>报表附注!G2187</f>
        <v>0</v>
      </c>
      <c r="D1942" s="2252" t="b">
        <f t="shared" si="40"/>
        <v>1</v>
      </c>
    </row>
    <row r="1943" spans="1:4">
      <c r="A1943" s="2252" t="s">
        <v>987</v>
      </c>
      <c r="B1943" s="2274" t="str">
        <f>报表附注!E2188</f>
        <v>保证借款</v>
      </c>
      <c r="C1943" s="2260">
        <f>报表附注!G2188</f>
        <v>0</v>
      </c>
      <c r="D1943" s="2252" t="b">
        <f t="shared" si="40"/>
        <v>1</v>
      </c>
    </row>
    <row r="1944" spans="1:4">
      <c r="A1944" s="2252" t="s">
        <v>989</v>
      </c>
      <c r="B1944" s="2274" t="str">
        <f>报表附注!E2189</f>
        <v>质押借款</v>
      </c>
      <c r="C1944" s="2260">
        <f>报表附注!G2189</f>
        <v>17624444.44</v>
      </c>
      <c r="D1944" s="2252" t="b">
        <f t="shared" si="40"/>
        <v>1</v>
      </c>
    </row>
    <row r="1945" spans="1:4">
      <c r="A1945" s="2252" t="s">
        <v>2203</v>
      </c>
      <c r="B1945" s="2278" t="str">
        <f>报表附注!E2190</f>
        <v>合   计</v>
      </c>
      <c r="C1945" s="2260">
        <f>报表附注!G2190</f>
        <v>17624444.44</v>
      </c>
      <c r="D1945" s="2252" t="b">
        <f t="shared" si="40"/>
        <v>1</v>
      </c>
    </row>
    <row r="1946" spans="4:4">
      <c r="D1946" s="2252" t="b">
        <f t="shared" si="40"/>
        <v>1</v>
      </c>
    </row>
    <row r="1947" spans="1:4">
      <c r="A1947" s="2252" t="s">
        <v>2271</v>
      </c>
      <c r="B1947" s="2272" t="s">
        <v>2271</v>
      </c>
      <c r="D1947" s="2252" t="b">
        <f t="shared" si="40"/>
        <v>1</v>
      </c>
    </row>
    <row r="1948" spans="4:4">
      <c r="D1948" s="2252" t="b">
        <f t="shared" si="40"/>
        <v>1</v>
      </c>
    </row>
    <row r="1949" spans="1:4">
      <c r="A1949" s="2252" t="s">
        <v>2272</v>
      </c>
      <c r="B1949" s="2270" t="s">
        <v>2272</v>
      </c>
      <c r="D1949" s="2252" t="b">
        <f t="shared" si="40"/>
        <v>1</v>
      </c>
    </row>
    <row r="1950" spans="1:4">
      <c r="A1950" s="2252" t="s">
        <v>316</v>
      </c>
      <c r="B1950" s="2273" t="s">
        <v>316</v>
      </c>
      <c r="D1950" s="2252" t="b">
        <f t="shared" si="40"/>
        <v>1</v>
      </c>
    </row>
    <row r="1951" spans="1:4">
      <c r="A1951" s="2252" t="s">
        <v>983</v>
      </c>
      <c r="B1951" s="2253" t="str">
        <f>报表附注!E2274</f>
        <v>信用借款</v>
      </c>
      <c r="C1951" s="2260">
        <f>报表附注!F2274</f>
        <v>0</v>
      </c>
      <c r="D1951" s="2252" t="b">
        <f t="shared" si="40"/>
        <v>1</v>
      </c>
    </row>
    <row r="1952" spans="1:4">
      <c r="A1952" s="2252" t="s">
        <v>985</v>
      </c>
      <c r="B1952" s="2253" t="str">
        <f>报表附注!E2275</f>
        <v>抵押借款</v>
      </c>
      <c r="C1952" s="2260">
        <f>报表附注!F2275</f>
        <v>0</v>
      </c>
      <c r="D1952" s="2252" t="b">
        <f t="shared" si="40"/>
        <v>1</v>
      </c>
    </row>
    <row r="1953" spans="1:4">
      <c r="A1953" s="2252" t="s">
        <v>987</v>
      </c>
      <c r="B1953" s="2253" t="str">
        <f>报表附注!E2276</f>
        <v>保证借款</v>
      </c>
      <c r="C1953" s="2260">
        <f>报表附注!F2276</f>
        <v>0</v>
      </c>
      <c r="D1953" s="2252" t="b">
        <f t="shared" si="40"/>
        <v>1</v>
      </c>
    </row>
    <row r="1954" spans="1:4">
      <c r="A1954" s="2252" t="s">
        <v>989</v>
      </c>
      <c r="B1954" s="2253" t="str">
        <f>报表附注!E2277</f>
        <v>质押借款</v>
      </c>
      <c r="C1954" s="2260">
        <f>报表附注!F2277</f>
        <v>30498148.16</v>
      </c>
      <c r="D1954" s="2252" t="b">
        <f t="shared" si="40"/>
        <v>1</v>
      </c>
    </row>
    <row r="1955" spans="1:4">
      <c r="A1955" s="2252" t="s">
        <v>2203</v>
      </c>
      <c r="B1955" s="2263" t="str">
        <f>报表附注!E2278</f>
        <v>合   计</v>
      </c>
      <c r="C1955" s="2260">
        <f>报表附注!F2278</f>
        <v>30498148.16</v>
      </c>
      <c r="D1955" s="2252" t="b">
        <f t="shared" si="40"/>
        <v>1</v>
      </c>
    </row>
    <row r="1956" spans="1:4">
      <c r="A1956" s="2252" t="s">
        <v>2020</v>
      </c>
      <c r="B1956" s="2273" t="s">
        <v>2020</v>
      </c>
      <c r="D1956" s="2252" t="b">
        <f t="shared" si="40"/>
        <v>1</v>
      </c>
    </row>
    <row r="1957" spans="1:4">
      <c r="A1957" s="2252" t="s">
        <v>983</v>
      </c>
      <c r="B1957" s="2253" t="str">
        <f>报表附注!E2274</f>
        <v>信用借款</v>
      </c>
      <c r="C1957" s="2260">
        <f>报表附注!G2274</f>
        <v>0</v>
      </c>
      <c r="D1957" s="2252" t="b">
        <f t="shared" si="40"/>
        <v>1</v>
      </c>
    </row>
    <row r="1958" spans="1:4">
      <c r="A1958" s="2252" t="s">
        <v>985</v>
      </c>
      <c r="B1958" s="2253" t="str">
        <f>报表附注!E2275</f>
        <v>抵押借款</v>
      </c>
      <c r="C1958" s="2260">
        <f>报表附注!G2275</f>
        <v>0</v>
      </c>
      <c r="D1958" s="2252" t="b">
        <f t="shared" si="40"/>
        <v>1</v>
      </c>
    </row>
    <row r="1959" spans="1:4">
      <c r="A1959" s="2252" t="s">
        <v>987</v>
      </c>
      <c r="B1959" s="2253" t="str">
        <f>报表附注!E2276</f>
        <v>保证借款</v>
      </c>
      <c r="C1959" s="2260">
        <f>报表附注!G2276</f>
        <v>0</v>
      </c>
      <c r="D1959" s="2252" t="b">
        <f t="shared" si="40"/>
        <v>1</v>
      </c>
    </row>
    <row r="1960" spans="1:4">
      <c r="A1960" s="2252" t="s">
        <v>989</v>
      </c>
      <c r="B1960" s="2253" t="str">
        <f>报表附注!E2277</f>
        <v>质押借款</v>
      </c>
      <c r="C1960" s="2260">
        <f>报表附注!G2277</f>
        <v>48202962.97</v>
      </c>
      <c r="D1960" s="2252" t="b">
        <f t="shared" si="40"/>
        <v>1</v>
      </c>
    </row>
    <row r="1961" spans="1:4">
      <c r="A1961" s="2252" t="s">
        <v>2203</v>
      </c>
      <c r="B1961" s="2263" t="str">
        <f>报表附注!E2278</f>
        <v>合   计</v>
      </c>
      <c r="C1961" s="2260">
        <f>报表附注!G2278</f>
        <v>48202962.97</v>
      </c>
      <c r="D1961" s="2252" t="b">
        <f t="shared" si="40"/>
        <v>1</v>
      </c>
    </row>
    <row r="1962" spans="4:4">
      <c r="D1962" s="2252" t="b">
        <f t="shared" si="40"/>
        <v>1</v>
      </c>
    </row>
    <row r="1963" spans="1:4">
      <c r="A1963" s="2252" t="s">
        <v>2273</v>
      </c>
      <c r="B1963" s="2272" t="s">
        <v>2274</v>
      </c>
      <c r="D1963" s="2252" t="b">
        <f t="shared" si="40"/>
        <v>1</v>
      </c>
    </row>
    <row r="1964" spans="4:4">
      <c r="D1964" s="2252" t="b">
        <f t="shared" si="40"/>
        <v>1</v>
      </c>
    </row>
    <row r="1965" spans="1:4">
      <c r="A1965" s="2252" t="s">
        <v>2275</v>
      </c>
      <c r="B1965" s="2272" t="s">
        <v>2276</v>
      </c>
      <c r="D1965" s="2252" t="b">
        <f t="shared" si="40"/>
        <v>1</v>
      </c>
    </row>
    <row r="1966" spans="4:4">
      <c r="D1966" s="2252" t="b">
        <f t="shared" si="40"/>
        <v>1</v>
      </c>
    </row>
    <row r="1967" spans="1:4">
      <c r="A1967" s="2252" t="s">
        <v>2277</v>
      </c>
      <c r="B1967" s="2272" t="s">
        <v>2278</v>
      </c>
      <c r="D1967" s="2252" t="b">
        <f t="shared" si="40"/>
        <v>1</v>
      </c>
    </row>
    <row r="1968" spans="4:4">
      <c r="D1968" s="2252" t="b">
        <f t="shared" si="40"/>
        <v>1</v>
      </c>
    </row>
    <row r="1969" spans="1:4">
      <c r="A1969" s="2252" t="s">
        <v>2279</v>
      </c>
      <c r="B1969" s="2306" t="s">
        <v>2279</v>
      </c>
      <c r="D1969" s="2252" t="b">
        <f t="shared" si="40"/>
        <v>1</v>
      </c>
    </row>
    <row r="1970" spans="4:4">
      <c r="D1970" s="2252" t="b">
        <f t="shared" si="40"/>
        <v>1</v>
      </c>
    </row>
    <row r="1971" spans="1:4">
      <c r="A1971" s="2252" t="s">
        <v>2280</v>
      </c>
      <c r="B1971" s="2306" t="s">
        <v>2281</v>
      </c>
      <c r="D1971" s="2252" t="b">
        <f t="shared" si="40"/>
        <v>1</v>
      </c>
    </row>
    <row r="1972" spans="4:4">
      <c r="D1972" s="2252" t="b">
        <f t="shared" si="40"/>
        <v>1</v>
      </c>
    </row>
    <row r="1973" spans="1:4">
      <c r="A1973" s="2252" t="s">
        <v>2282</v>
      </c>
      <c r="B1973" s="2297" t="s">
        <v>2282</v>
      </c>
      <c r="D1973" s="2252" t="b">
        <f t="shared" si="40"/>
        <v>1</v>
      </c>
    </row>
    <row r="1974" spans="4:4">
      <c r="D1974" s="2252" t="b">
        <f t="shared" si="40"/>
        <v>1</v>
      </c>
    </row>
    <row r="1975" spans="1:4">
      <c r="A1975" s="2252" t="s">
        <v>2283</v>
      </c>
      <c r="B1975" s="2307" t="s">
        <v>2283</v>
      </c>
      <c r="D1975" s="2252" t="b">
        <f t="shared" si="40"/>
        <v>1</v>
      </c>
    </row>
    <row r="1976" spans="4:4">
      <c r="D1976" s="2252" t="b">
        <f t="shared" si="40"/>
        <v>1</v>
      </c>
    </row>
    <row r="1977" spans="1:4">
      <c r="A1977" s="2252" t="s">
        <v>2284</v>
      </c>
      <c r="B1977" s="2270" t="s">
        <v>2284</v>
      </c>
      <c r="D1977" s="2252" t="b">
        <f t="shared" si="40"/>
        <v>1</v>
      </c>
    </row>
    <row r="1978" spans="1:4">
      <c r="A1978" s="2252" t="s">
        <v>2020</v>
      </c>
      <c r="B1978" s="2273" t="s">
        <v>2020</v>
      </c>
      <c r="D1978" s="2252" t="b">
        <f t="shared" si="40"/>
        <v>1</v>
      </c>
    </row>
    <row r="1979" spans="1:4">
      <c r="A1979" s="2252" t="s">
        <v>2285</v>
      </c>
      <c r="B1979" s="2253" t="str">
        <f>报表附注!E2472</f>
        <v>1、股本溢价</v>
      </c>
      <c r="C1979" s="2260">
        <f>报表附注!F2472</f>
        <v>5756259.26</v>
      </c>
      <c r="D1979" s="2252" t="b">
        <f t="shared" si="40"/>
        <v>1</v>
      </c>
    </row>
    <row r="1980" spans="1:4">
      <c r="A1980" s="2252" t="s">
        <v>2286</v>
      </c>
      <c r="B1980" s="2253" t="str">
        <f>报表附注!E2473</f>
        <v>2、其他资本公积</v>
      </c>
      <c r="C1980" s="2260">
        <f>报表附注!F2473</f>
        <v>0</v>
      </c>
      <c r="D1980" s="2252" t="b">
        <f t="shared" si="40"/>
        <v>1</v>
      </c>
    </row>
    <row r="1981" spans="1:4">
      <c r="A1981" s="2252" t="s">
        <v>2021</v>
      </c>
      <c r="B1981" s="2263" t="str">
        <f>报表附注!E2474</f>
        <v>合计</v>
      </c>
      <c r="C1981" s="2260">
        <f>报表附注!F2474</f>
        <v>5756259.26</v>
      </c>
      <c r="D1981" s="2252" t="b">
        <f t="shared" si="40"/>
        <v>1</v>
      </c>
    </row>
    <row r="1982" spans="1:4">
      <c r="A1982" s="2252" t="s">
        <v>672</v>
      </c>
      <c r="B1982" s="2273" t="s">
        <v>672</v>
      </c>
      <c r="D1982" s="2252" t="b">
        <f t="shared" ref="D1982:D2045" si="41">EXACT(A1982,B1982)</f>
        <v>1</v>
      </c>
    </row>
    <row r="1983" spans="1:4">
      <c r="A1983" s="2252" t="s">
        <v>2285</v>
      </c>
      <c r="B1983" s="2253" t="str">
        <f>报表附注!E2472</f>
        <v>1、股本溢价</v>
      </c>
      <c r="C1983" s="2260">
        <f>报表附注!G2472</f>
        <v>212842672</v>
      </c>
      <c r="D1983" s="2252" t="b">
        <f t="shared" si="41"/>
        <v>1</v>
      </c>
    </row>
    <row r="1984" spans="1:4">
      <c r="A1984" s="2252" t="s">
        <v>2286</v>
      </c>
      <c r="B1984" s="2253" t="str">
        <f>报表附注!E2473</f>
        <v>2、其他资本公积</v>
      </c>
      <c r="C1984" s="2260">
        <f>报表附注!G2473</f>
        <v>0</v>
      </c>
      <c r="D1984" s="2252" t="b">
        <f t="shared" si="41"/>
        <v>1</v>
      </c>
    </row>
    <row r="1985" spans="1:4">
      <c r="A1985" s="2252" t="s">
        <v>2021</v>
      </c>
      <c r="B1985" s="2263" t="str">
        <f>报表附注!E2474</f>
        <v>合计</v>
      </c>
      <c r="C1985" s="2260">
        <f>报表附注!G2474</f>
        <v>212842672</v>
      </c>
      <c r="D1985" s="2252" t="b">
        <f t="shared" si="41"/>
        <v>1</v>
      </c>
    </row>
    <row r="1986" spans="1:4">
      <c r="A1986" s="2252" t="s">
        <v>673</v>
      </c>
      <c r="B1986" s="2273" t="s">
        <v>673</v>
      </c>
      <c r="D1986" s="2252" t="b">
        <f t="shared" si="41"/>
        <v>1</v>
      </c>
    </row>
    <row r="1987" spans="1:4">
      <c r="A1987" s="2252" t="s">
        <v>2285</v>
      </c>
      <c r="B1987" s="2253" t="str">
        <f>报表附注!E2472</f>
        <v>1、股本溢价</v>
      </c>
      <c r="C1987" s="2260">
        <f>报表附注!H2472</f>
        <v>0</v>
      </c>
      <c r="D1987" s="2252" t="b">
        <f t="shared" si="41"/>
        <v>1</v>
      </c>
    </row>
    <row r="1988" spans="1:4">
      <c r="A1988" s="2252" t="s">
        <v>2286</v>
      </c>
      <c r="B1988" s="2253" t="str">
        <f>报表附注!E2473</f>
        <v>2、其他资本公积</v>
      </c>
      <c r="C1988" s="2260">
        <f>报表附注!H2473</f>
        <v>0</v>
      </c>
      <c r="D1988" s="2252" t="b">
        <f t="shared" si="41"/>
        <v>1</v>
      </c>
    </row>
    <row r="1989" spans="1:4">
      <c r="A1989" s="2252" t="s">
        <v>2021</v>
      </c>
      <c r="B1989" s="2263" t="str">
        <f>报表附注!E2474</f>
        <v>合计</v>
      </c>
      <c r="C1989" s="2260">
        <f>报表附注!H2474</f>
        <v>0</v>
      </c>
      <c r="D1989" s="2252" t="b">
        <f t="shared" si="41"/>
        <v>1</v>
      </c>
    </row>
    <row r="1990" spans="4:4">
      <c r="D1990" s="2252" t="b">
        <f t="shared" si="41"/>
        <v>1</v>
      </c>
    </row>
    <row r="1991" spans="1:4">
      <c r="A1991" s="2252" t="s">
        <v>2287</v>
      </c>
      <c r="B1991" s="2270" t="s">
        <v>2287</v>
      </c>
      <c r="D1991" s="2252" t="b">
        <f t="shared" si="41"/>
        <v>1</v>
      </c>
    </row>
    <row r="1992" spans="1:4">
      <c r="A1992" s="2252" t="s">
        <v>2020</v>
      </c>
      <c r="B1992" s="2273" t="s">
        <v>2020</v>
      </c>
      <c r="D1992" s="2252" t="b">
        <f t="shared" si="41"/>
        <v>1</v>
      </c>
    </row>
    <row r="1993" spans="1:4">
      <c r="A1993" s="2252" t="s">
        <v>2288</v>
      </c>
      <c r="B1993" s="2253" t="str">
        <f>报表附注!E2483</f>
        <v>法定盈余公积</v>
      </c>
      <c r="C1993" s="2260">
        <f>报表附注!F2483</f>
        <v>0</v>
      </c>
      <c r="D1993" s="2252" t="b">
        <f t="shared" si="41"/>
        <v>1</v>
      </c>
    </row>
    <row r="1994" spans="1:4">
      <c r="A1994" s="2252" t="s">
        <v>2289</v>
      </c>
      <c r="B1994" s="2253" t="str">
        <f>报表附注!E2484</f>
        <v>任意盈余公积</v>
      </c>
      <c r="C1994" s="2260">
        <f>报表附注!F2484</f>
        <v>0</v>
      </c>
      <c r="D1994" s="2252" t="b">
        <f t="shared" si="41"/>
        <v>1</v>
      </c>
    </row>
    <row r="1995" spans="1:4">
      <c r="A1995" s="2252" t="s">
        <v>1202</v>
      </c>
      <c r="B1995" s="2253" t="str">
        <f>报表附注!E2485</f>
        <v>储备基金</v>
      </c>
      <c r="C1995" s="2260">
        <f>报表附注!F2485</f>
        <v>0</v>
      </c>
      <c r="D1995" s="2252" t="b">
        <f t="shared" si="41"/>
        <v>1</v>
      </c>
    </row>
    <row r="1996" spans="1:4">
      <c r="A1996" s="2252" t="s">
        <v>1204</v>
      </c>
      <c r="B1996" s="2253" t="str">
        <f>报表附注!E2486</f>
        <v>企业发展基金</v>
      </c>
      <c r="C1996" s="2260">
        <f>报表附注!F2486</f>
        <v>0</v>
      </c>
      <c r="D1996" s="2252" t="b">
        <f t="shared" si="41"/>
        <v>1</v>
      </c>
    </row>
    <row r="1997" spans="1:4">
      <c r="A1997" s="2252" t="s">
        <v>2021</v>
      </c>
      <c r="B1997" s="2263" t="str">
        <f>报表附注!E2487</f>
        <v>合计</v>
      </c>
      <c r="C1997" s="2260">
        <f>报表附注!F2487</f>
        <v>0</v>
      </c>
      <c r="D1997" s="2252" t="b">
        <f t="shared" si="41"/>
        <v>1</v>
      </c>
    </row>
    <row r="1998" spans="1:4">
      <c r="A1998" s="2252" t="s">
        <v>672</v>
      </c>
      <c r="B1998" s="2273" t="s">
        <v>672</v>
      </c>
      <c r="D1998" s="2252" t="b">
        <f t="shared" si="41"/>
        <v>1</v>
      </c>
    </row>
    <row r="1999" spans="1:4">
      <c r="A1999" s="2252" t="s">
        <v>2288</v>
      </c>
      <c r="B1999" s="2253" t="str">
        <f>报表附注!E2483</f>
        <v>法定盈余公积</v>
      </c>
      <c r="C1999" s="2260">
        <f>报表附注!G2483</f>
        <v>0</v>
      </c>
      <c r="D1999" s="2252" t="b">
        <f t="shared" si="41"/>
        <v>1</v>
      </c>
    </row>
    <row r="2000" spans="1:4">
      <c r="A2000" s="2252" t="s">
        <v>2289</v>
      </c>
      <c r="B2000" s="2253" t="str">
        <f>报表附注!E2484</f>
        <v>任意盈余公积</v>
      </c>
      <c r="C2000" s="2260">
        <f>报表附注!G2484</f>
        <v>0</v>
      </c>
      <c r="D2000" s="2252" t="b">
        <f t="shared" si="41"/>
        <v>1</v>
      </c>
    </row>
    <row r="2001" spans="1:4">
      <c r="A2001" s="2252" t="s">
        <v>1202</v>
      </c>
      <c r="B2001" s="2253" t="str">
        <f>报表附注!E2485</f>
        <v>储备基金</v>
      </c>
      <c r="C2001" s="2260">
        <f>报表附注!G2485</f>
        <v>0</v>
      </c>
      <c r="D2001" s="2252" t="b">
        <f t="shared" si="41"/>
        <v>1</v>
      </c>
    </row>
    <row r="2002" spans="1:4">
      <c r="A2002" s="2252" t="s">
        <v>1204</v>
      </c>
      <c r="B2002" s="2253" t="str">
        <f>报表附注!E2486</f>
        <v>企业发展基金</v>
      </c>
      <c r="C2002" s="2260">
        <f>报表附注!G2486</f>
        <v>0</v>
      </c>
      <c r="D2002" s="2252" t="b">
        <f t="shared" si="41"/>
        <v>1</v>
      </c>
    </row>
    <row r="2003" spans="1:4">
      <c r="A2003" s="2252" t="s">
        <v>2021</v>
      </c>
      <c r="B2003" s="2263" t="str">
        <f>报表附注!E2487</f>
        <v>合计</v>
      </c>
      <c r="C2003" s="2260">
        <f>报表附注!G2487</f>
        <v>0</v>
      </c>
      <c r="D2003" s="2252" t="b">
        <f t="shared" si="41"/>
        <v>1</v>
      </c>
    </row>
    <row r="2004" spans="1:4">
      <c r="A2004" s="2252" t="s">
        <v>673</v>
      </c>
      <c r="B2004" s="2273" t="s">
        <v>673</v>
      </c>
      <c r="D2004" s="2252" t="b">
        <f t="shared" si="41"/>
        <v>1</v>
      </c>
    </row>
    <row r="2005" spans="1:4">
      <c r="A2005" s="2252" t="s">
        <v>2288</v>
      </c>
      <c r="B2005" s="2253" t="str">
        <f>报表附注!E2483</f>
        <v>法定盈余公积</v>
      </c>
      <c r="C2005" s="2260">
        <f>报表附注!H2483</f>
        <v>0</v>
      </c>
      <c r="D2005" s="2252" t="b">
        <f t="shared" si="41"/>
        <v>1</v>
      </c>
    </row>
    <row r="2006" spans="1:4">
      <c r="A2006" s="2252" t="s">
        <v>2289</v>
      </c>
      <c r="B2006" s="2253" t="str">
        <f>报表附注!E2484</f>
        <v>任意盈余公积</v>
      </c>
      <c r="C2006" s="2260">
        <f>报表附注!H2484</f>
        <v>0</v>
      </c>
      <c r="D2006" s="2252" t="b">
        <f t="shared" si="41"/>
        <v>1</v>
      </c>
    </row>
    <row r="2007" spans="1:4">
      <c r="A2007" s="2252" t="s">
        <v>1202</v>
      </c>
      <c r="B2007" s="2253" t="str">
        <f>报表附注!E2485</f>
        <v>储备基金</v>
      </c>
      <c r="C2007" s="2260">
        <f>报表附注!H2485</f>
        <v>0</v>
      </c>
      <c r="D2007" s="2252" t="b">
        <f t="shared" si="41"/>
        <v>1</v>
      </c>
    </row>
    <row r="2008" spans="1:4">
      <c r="A2008" s="2252" t="s">
        <v>1204</v>
      </c>
      <c r="B2008" s="2253" t="str">
        <f>报表附注!E2486</f>
        <v>企业发展基金</v>
      </c>
      <c r="C2008" s="2260">
        <f>报表附注!H2486</f>
        <v>0</v>
      </c>
      <c r="D2008" s="2252" t="b">
        <f t="shared" si="41"/>
        <v>1</v>
      </c>
    </row>
    <row r="2009" spans="1:4">
      <c r="A2009" s="2252" t="s">
        <v>2021</v>
      </c>
      <c r="B2009" s="2263" t="str">
        <f>报表附注!E2487</f>
        <v>合计</v>
      </c>
      <c r="C2009" s="2260">
        <f>报表附注!H2487</f>
        <v>0</v>
      </c>
      <c r="D2009" s="2252" t="b">
        <f t="shared" si="41"/>
        <v>1</v>
      </c>
    </row>
    <row r="2010" spans="4:4">
      <c r="D2010" s="2252" t="b">
        <f t="shared" si="41"/>
        <v>1</v>
      </c>
    </row>
    <row r="2011" spans="1:4">
      <c r="A2011" s="2252" t="s">
        <v>2290</v>
      </c>
      <c r="B2011" s="2272" t="s">
        <v>2290</v>
      </c>
      <c r="D2011" s="2252" t="b">
        <f t="shared" si="41"/>
        <v>1</v>
      </c>
    </row>
    <row r="2012" spans="4:4">
      <c r="D2012" s="2252" t="b">
        <f t="shared" si="41"/>
        <v>1</v>
      </c>
    </row>
    <row r="2013" spans="1:4">
      <c r="A2013" s="2252" t="s">
        <v>2291</v>
      </c>
      <c r="B2013" s="2270" t="s">
        <v>2291</v>
      </c>
      <c r="D2013" s="2252" t="b">
        <f t="shared" si="41"/>
        <v>1</v>
      </c>
    </row>
    <row r="2014" spans="2:4">
      <c r="B2014" s="2270"/>
      <c r="D2014" s="2252" t="b">
        <f t="shared" si="41"/>
        <v>1</v>
      </c>
    </row>
    <row r="2015" spans="1:4">
      <c r="A2015" s="2252" t="s">
        <v>2292</v>
      </c>
      <c r="B2015" s="2273" t="s">
        <v>2292</v>
      </c>
      <c r="D2015" s="2252" t="b">
        <f t="shared" si="41"/>
        <v>1</v>
      </c>
    </row>
    <row r="2016" spans="1:4">
      <c r="A2016" s="2252" t="s">
        <v>2293</v>
      </c>
      <c r="B2016" s="2253" t="str">
        <f>报表附注!E2529</f>
        <v>主营业务收入</v>
      </c>
      <c r="C2016" s="2260">
        <f>报表附注!F2529</f>
        <v>120055998.09</v>
      </c>
      <c r="D2016" s="2252" t="b">
        <f t="shared" si="41"/>
        <v>1</v>
      </c>
    </row>
    <row r="2017" spans="1:4">
      <c r="A2017" s="2252" t="s">
        <v>2294</v>
      </c>
      <c r="B2017" s="2253" t="str">
        <f>报表附注!E2530</f>
        <v>其他业务收入</v>
      </c>
      <c r="C2017" s="2260">
        <f>报表附注!F2530</f>
        <v>41565.87</v>
      </c>
      <c r="D2017" s="2252" t="b">
        <f t="shared" si="41"/>
        <v>1</v>
      </c>
    </row>
    <row r="2018" spans="1:4">
      <c r="A2018" s="2252" t="s">
        <v>347</v>
      </c>
      <c r="B2018" s="2263" t="str">
        <f>报表附注!E2531</f>
        <v>合 计</v>
      </c>
      <c r="C2018" s="2260">
        <f>报表附注!F2531</f>
        <v>120097563.96</v>
      </c>
      <c r="D2018" s="2252" t="b">
        <f t="shared" si="41"/>
        <v>1</v>
      </c>
    </row>
    <row r="2019" spans="1:4">
      <c r="A2019" s="2252" t="s">
        <v>2295</v>
      </c>
      <c r="B2019" s="2273" t="s">
        <v>2295</v>
      </c>
      <c r="D2019" s="2252" t="b">
        <f t="shared" si="41"/>
        <v>1</v>
      </c>
    </row>
    <row r="2020" spans="1:4">
      <c r="A2020" s="2252" t="s">
        <v>2293</v>
      </c>
      <c r="B2020" s="2253" t="str">
        <f>报表附注!E2529</f>
        <v>主营业务收入</v>
      </c>
      <c r="C2020" s="2260">
        <f>报表附注!G2529</f>
        <v>54865717.44</v>
      </c>
      <c r="D2020" s="2252" t="b">
        <f t="shared" si="41"/>
        <v>1</v>
      </c>
    </row>
    <row r="2021" spans="1:4">
      <c r="A2021" s="2252" t="s">
        <v>2294</v>
      </c>
      <c r="B2021" s="2253" t="str">
        <f>报表附注!E2530</f>
        <v>其他业务收入</v>
      </c>
      <c r="C2021" s="2260">
        <f>报表附注!G2530</f>
        <v>0</v>
      </c>
      <c r="D2021" s="2252" t="b">
        <f t="shared" si="41"/>
        <v>1</v>
      </c>
    </row>
    <row r="2022" spans="1:4">
      <c r="A2022" s="2252" t="s">
        <v>347</v>
      </c>
      <c r="B2022" s="2263" t="str">
        <f>报表附注!E2531</f>
        <v>合 计</v>
      </c>
      <c r="C2022" s="2260">
        <f>报表附注!G2531</f>
        <v>54865717.44</v>
      </c>
      <c r="D2022" s="2252" t="b">
        <f t="shared" si="41"/>
        <v>1</v>
      </c>
    </row>
    <row r="2023" spans="1:9">
      <c r="A2023" s="1995" t="s">
        <v>2296</v>
      </c>
      <c r="B2023" s="2273" t="s">
        <v>2296</v>
      </c>
      <c r="C2023" s="2283"/>
      <c r="D2023" s="2252" t="b">
        <f t="shared" si="41"/>
        <v>1</v>
      </c>
      <c r="F2023" s="2252"/>
      <c r="H2023" s="2283"/>
      <c r="I2023" s="2283"/>
    </row>
    <row r="2024" spans="1:9">
      <c r="A2024" s="1995" t="s">
        <v>2293</v>
      </c>
      <c r="B2024" s="2308" t="str">
        <f t="shared" ref="B2024:B2026" si="42">B2016</f>
        <v>主营业务收入</v>
      </c>
      <c r="C2024" s="2260">
        <f>报表附注!H2529</f>
        <v>65501451.94</v>
      </c>
      <c r="D2024" s="2252" t="b">
        <f t="shared" si="41"/>
        <v>1</v>
      </c>
      <c r="F2024" s="2252"/>
      <c r="H2024" s="2283"/>
      <c r="I2024" s="2283"/>
    </row>
    <row r="2025" spans="1:9">
      <c r="A2025" s="1995" t="s">
        <v>2294</v>
      </c>
      <c r="B2025" s="2308" t="str">
        <f t="shared" si="42"/>
        <v>其他业务收入</v>
      </c>
      <c r="C2025" s="2260">
        <f>报表附注!H2530</f>
        <v>0</v>
      </c>
      <c r="D2025" s="2252" t="b">
        <f t="shared" si="41"/>
        <v>1</v>
      </c>
      <c r="F2025" s="2252"/>
      <c r="H2025" s="2283"/>
      <c r="I2025" s="2283"/>
    </row>
    <row r="2026" spans="1:9">
      <c r="A2026" s="1995" t="s">
        <v>347</v>
      </c>
      <c r="B2026" s="2263" t="str">
        <f t="shared" si="42"/>
        <v>合 计</v>
      </c>
      <c r="C2026" s="2260">
        <f>报表附注!H2531</f>
        <v>65501451.94</v>
      </c>
      <c r="D2026" s="2252" t="b">
        <f t="shared" si="41"/>
        <v>1</v>
      </c>
      <c r="F2026" s="2252"/>
      <c r="H2026" s="2283"/>
      <c r="I2026" s="2283"/>
    </row>
    <row r="2027" spans="1:9">
      <c r="A2027" s="1995" t="s">
        <v>2297</v>
      </c>
      <c r="B2027" s="2273" t="s">
        <v>2297</v>
      </c>
      <c r="C2027" s="2283"/>
      <c r="D2027" s="2252" t="b">
        <f t="shared" si="41"/>
        <v>1</v>
      </c>
      <c r="F2027" s="2252"/>
      <c r="H2027" s="2283"/>
      <c r="I2027" s="2283"/>
    </row>
    <row r="2028" spans="1:9">
      <c r="A2028" s="1995" t="s">
        <v>2293</v>
      </c>
      <c r="B2028" s="2308" t="str">
        <f t="shared" ref="B2028:B2030" si="43">B2016</f>
        <v>主营业务收入</v>
      </c>
      <c r="C2028" s="2260">
        <f>报表附注!I2529</f>
        <v>29364509.85</v>
      </c>
      <c r="D2028" s="2252" t="b">
        <f t="shared" si="41"/>
        <v>1</v>
      </c>
      <c r="F2028" s="2252"/>
      <c r="H2028" s="2283"/>
      <c r="I2028" s="2283"/>
    </row>
    <row r="2029" spans="1:9">
      <c r="A2029" s="1995" t="s">
        <v>2294</v>
      </c>
      <c r="B2029" s="2308" t="str">
        <f t="shared" si="43"/>
        <v>其他业务收入</v>
      </c>
      <c r="C2029" s="2260">
        <f>报表附注!I2530</f>
        <v>0</v>
      </c>
      <c r="D2029" s="2252" t="b">
        <f t="shared" si="41"/>
        <v>1</v>
      </c>
      <c r="F2029" s="2252"/>
      <c r="H2029" s="2283"/>
      <c r="I2029" s="2283"/>
    </row>
    <row r="2030" spans="1:9">
      <c r="A2030" s="1995" t="s">
        <v>347</v>
      </c>
      <c r="B2030" s="2263" t="str">
        <f t="shared" si="43"/>
        <v>合 计</v>
      </c>
      <c r="C2030" s="2260">
        <f>报表附注!I2531</f>
        <v>29364509.85</v>
      </c>
      <c r="D2030" s="2252" t="b">
        <f t="shared" si="41"/>
        <v>1</v>
      </c>
      <c r="F2030" s="2252"/>
      <c r="H2030" s="2283"/>
      <c r="I2030" s="2283"/>
    </row>
    <row r="2031" spans="4:4">
      <c r="D2031" s="2252" t="b">
        <f t="shared" si="41"/>
        <v>1</v>
      </c>
    </row>
    <row r="2032" spans="1:4">
      <c r="A2032" s="2252" t="s">
        <v>2298</v>
      </c>
      <c r="B2032" s="2257" t="s">
        <v>2298</v>
      </c>
      <c r="D2032" s="2252" t="b">
        <f t="shared" si="41"/>
        <v>1</v>
      </c>
    </row>
    <row r="2033" spans="1:4">
      <c r="A2033" s="2252" t="s">
        <v>2299</v>
      </c>
      <c r="B2033" s="2273" t="s">
        <v>2299</v>
      </c>
      <c r="D2033" s="2252" t="b">
        <f t="shared" si="41"/>
        <v>1</v>
      </c>
    </row>
    <row r="2034" spans="1:4">
      <c r="A2034" s="2252" t="s">
        <v>2300</v>
      </c>
      <c r="B2034" s="2253" t="str">
        <f>报表附注!E2538</f>
        <v>产品销售</v>
      </c>
      <c r="C2034" s="2260">
        <f>报表附注!F2538</f>
        <v>11671476.87</v>
      </c>
      <c r="D2034" s="2252" t="b">
        <f t="shared" si="41"/>
        <v>0</v>
      </c>
    </row>
    <row r="2035" spans="1:4">
      <c r="A2035" s="2252" t="s">
        <v>2301</v>
      </c>
      <c r="B2035" s="2253" t="str">
        <f>报表附注!E2539</f>
        <v>EMC项目</v>
      </c>
      <c r="C2035" s="2260">
        <f>报表附注!F2539</f>
        <v>32487175.15</v>
      </c>
      <c r="D2035" s="2252" t="b">
        <f t="shared" si="41"/>
        <v>0</v>
      </c>
    </row>
    <row r="2036" spans="1:4">
      <c r="A2036" s="2252" t="s">
        <v>2302</v>
      </c>
      <c r="B2036" s="2253" t="str">
        <f>报表附注!E2540</f>
        <v>照明工程</v>
      </c>
      <c r="C2036" s="2260">
        <f>报表附注!F2540</f>
        <v>70714484.96</v>
      </c>
      <c r="D2036" s="2252" t="b">
        <f t="shared" si="41"/>
        <v>0</v>
      </c>
    </row>
    <row r="2037" spans="1:4">
      <c r="A2037" s="2252" t="s">
        <v>2303</v>
      </c>
      <c r="B2037" s="2253" t="str">
        <f>报表附注!E2541</f>
        <v>维护服务</v>
      </c>
      <c r="C2037" s="2260">
        <f>报表附注!F2541</f>
        <v>13478916.11</v>
      </c>
      <c r="D2037" s="2252" t="b">
        <f t="shared" si="41"/>
        <v>0</v>
      </c>
    </row>
    <row r="2038" spans="1:4">
      <c r="A2038" s="2252" t="s">
        <v>2304</v>
      </c>
      <c r="B2038" s="2253" t="str">
        <f>报表附注!E2542</f>
        <v>类别5-</v>
      </c>
      <c r="C2038" s="2260">
        <f>报表附注!F2542</f>
        <v>0</v>
      </c>
      <c r="D2038" s="2252" t="b">
        <f t="shared" si="41"/>
        <v>0</v>
      </c>
    </row>
    <row r="2039" spans="1:4">
      <c r="A2039" s="2252" t="s">
        <v>2305</v>
      </c>
      <c r="B2039" s="2253" t="str">
        <f>报表附注!E2543</f>
        <v>类别6--</v>
      </c>
      <c r="C2039" s="2260">
        <f>报表附注!F2543</f>
        <v>0</v>
      </c>
      <c r="D2039" s="2252" t="b">
        <f t="shared" si="41"/>
        <v>1</v>
      </c>
    </row>
    <row r="2040" spans="1:4">
      <c r="A2040" s="2252" t="s">
        <v>2306</v>
      </c>
      <c r="B2040" s="2253" t="str">
        <f>报表附注!E2544</f>
        <v>类别7-</v>
      </c>
      <c r="C2040" s="2260">
        <f>报表附注!F2544</f>
        <v>0</v>
      </c>
      <c r="D2040" s="2252" t="b">
        <f t="shared" si="41"/>
        <v>0</v>
      </c>
    </row>
    <row r="2041" spans="1:4">
      <c r="A2041" s="2252" t="s">
        <v>2307</v>
      </c>
      <c r="B2041" s="2253" t="str">
        <f>报表附注!E2545</f>
        <v>类别8--</v>
      </c>
      <c r="C2041" s="2260">
        <f>报表附注!F2545</f>
        <v>0</v>
      </c>
      <c r="D2041" s="2252" t="b">
        <f t="shared" si="41"/>
        <v>1</v>
      </c>
    </row>
    <row r="2042" spans="1:4">
      <c r="A2042" s="2252" t="s">
        <v>2308</v>
      </c>
      <c r="B2042" s="2253" t="str">
        <f>报表附注!E2546</f>
        <v>类别9--</v>
      </c>
      <c r="C2042" s="2260">
        <f>报表附注!F2546</f>
        <v>0</v>
      </c>
      <c r="D2042" s="2252" t="b">
        <f t="shared" si="41"/>
        <v>1</v>
      </c>
    </row>
    <row r="2043" spans="1:4">
      <c r="A2043" s="2252" t="s">
        <v>2309</v>
      </c>
      <c r="B2043" s="2253" t="str">
        <f>报表附注!E2547</f>
        <v>类别10--</v>
      </c>
      <c r="C2043" s="2260">
        <f>报表附注!F2547</f>
        <v>0</v>
      </c>
      <c r="D2043" s="2252" t="b">
        <f t="shared" si="41"/>
        <v>1</v>
      </c>
    </row>
    <row r="2044" spans="1:4">
      <c r="A2044" s="2252" t="s">
        <v>2310</v>
      </c>
      <c r="B2044" s="2253" t="str">
        <f>报表附注!E2548</f>
        <v>类别11--</v>
      </c>
      <c r="C2044" s="2260">
        <f>报表附注!F2548</f>
        <v>0</v>
      </c>
      <c r="D2044" s="2252" t="b">
        <f t="shared" si="41"/>
        <v>1</v>
      </c>
    </row>
    <row r="2045" spans="1:4">
      <c r="A2045" s="2252" t="s">
        <v>2311</v>
      </c>
      <c r="B2045" s="2253" t="str">
        <f>报表附注!E2549</f>
        <v>类别12--</v>
      </c>
      <c r="C2045" s="2260">
        <f>报表附注!F2549</f>
        <v>0</v>
      </c>
      <c r="D2045" s="2252" t="b">
        <f t="shared" si="41"/>
        <v>1</v>
      </c>
    </row>
    <row r="2046" spans="1:4">
      <c r="A2046" s="2252" t="s">
        <v>2312</v>
      </c>
      <c r="B2046" s="2253" t="str">
        <f>报表附注!E2550</f>
        <v>类别13--</v>
      </c>
      <c r="C2046" s="2260">
        <f>报表附注!F2550</f>
        <v>0</v>
      </c>
      <c r="D2046" s="2252" t="b">
        <f t="shared" ref="D2046:D2109" si="44">EXACT(A2046,B2046)</f>
        <v>1</v>
      </c>
    </row>
    <row r="2047" spans="1:4">
      <c r="A2047" s="2252" t="s">
        <v>2313</v>
      </c>
      <c r="B2047" s="2253" t="str">
        <f>报表附注!E2551</f>
        <v>类别14--</v>
      </c>
      <c r="C2047" s="2260">
        <f>报表附注!F2551</f>
        <v>0</v>
      </c>
      <c r="D2047" s="2252" t="b">
        <f t="shared" si="44"/>
        <v>1</v>
      </c>
    </row>
    <row r="2048" spans="1:4">
      <c r="A2048" s="2252" t="s">
        <v>2021</v>
      </c>
      <c r="B2048" s="2263" t="str">
        <f>报表附注!E2552</f>
        <v>合计</v>
      </c>
      <c r="C2048" s="2260">
        <f>报表附注!F2552</f>
        <v>128352053.09</v>
      </c>
      <c r="D2048" s="2252" t="b">
        <f t="shared" si="44"/>
        <v>1</v>
      </c>
    </row>
    <row r="2049" spans="1:4">
      <c r="A2049" s="2252" t="s">
        <v>2314</v>
      </c>
      <c r="B2049" s="2273" t="s">
        <v>2314</v>
      </c>
      <c r="D2049" s="2252" t="b">
        <f t="shared" si="44"/>
        <v>1</v>
      </c>
    </row>
    <row r="2050" spans="1:4">
      <c r="A2050" s="2252" t="s">
        <v>2300</v>
      </c>
      <c r="B2050" s="2253" t="str">
        <f>报表附注!E2538</f>
        <v>产品销售</v>
      </c>
      <c r="C2050" s="2260">
        <f>报表附注!G2538</f>
        <v>1843124.49</v>
      </c>
      <c r="D2050" s="2252" t="b">
        <f t="shared" si="44"/>
        <v>0</v>
      </c>
    </row>
    <row r="2051" spans="1:4">
      <c r="A2051" s="2252" t="s">
        <v>2301</v>
      </c>
      <c r="B2051" s="2253" t="str">
        <f>报表附注!E2539</f>
        <v>EMC项目</v>
      </c>
      <c r="C2051" s="2260">
        <f>报表附注!G2539</f>
        <v>29916803.07</v>
      </c>
      <c r="D2051" s="2252" t="b">
        <f t="shared" si="44"/>
        <v>0</v>
      </c>
    </row>
    <row r="2052" spans="1:4">
      <c r="A2052" s="2252" t="s">
        <v>2302</v>
      </c>
      <c r="B2052" s="2253" t="str">
        <f>报表附注!E2540</f>
        <v>照明工程</v>
      </c>
      <c r="C2052" s="2260">
        <f>报表附注!G2540</f>
        <v>18149154.14</v>
      </c>
      <c r="D2052" s="2252" t="b">
        <f t="shared" si="44"/>
        <v>0</v>
      </c>
    </row>
    <row r="2053" spans="1:4">
      <c r="A2053" s="2252" t="s">
        <v>2303</v>
      </c>
      <c r="B2053" s="2253" t="str">
        <f>报表附注!E2541</f>
        <v>维护服务</v>
      </c>
      <c r="C2053" s="2260">
        <f>报表附注!G2541</f>
        <v>1139624</v>
      </c>
      <c r="D2053" s="2252" t="b">
        <f t="shared" si="44"/>
        <v>0</v>
      </c>
    </row>
    <row r="2054" spans="1:4">
      <c r="A2054" s="2252" t="s">
        <v>2304</v>
      </c>
      <c r="B2054" s="2253" t="str">
        <f>报表附注!E2542</f>
        <v>类别5-</v>
      </c>
      <c r="C2054" s="2260">
        <f>报表附注!G2542</f>
        <v>0</v>
      </c>
      <c r="D2054" s="2252" t="b">
        <f t="shared" si="44"/>
        <v>0</v>
      </c>
    </row>
    <row r="2055" spans="1:4">
      <c r="A2055" s="2252" t="s">
        <v>2305</v>
      </c>
      <c r="B2055" s="2253" t="str">
        <f>报表附注!E2543</f>
        <v>类别6--</v>
      </c>
      <c r="C2055" s="2260">
        <f>报表附注!G2543</f>
        <v>0</v>
      </c>
      <c r="D2055" s="2252" t="b">
        <f t="shared" si="44"/>
        <v>1</v>
      </c>
    </row>
    <row r="2056" spans="1:4">
      <c r="A2056" s="2252" t="s">
        <v>2306</v>
      </c>
      <c r="B2056" s="2253" t="str">
        <f>报表附注!E2544</f>
        <v>类别7-</v>
      </c>
      <c r="C2056" s="2260">
        <f>报表附注!G2544</f>
        <v>0</v>
      </c>
      <c r="D2056" s="2252" t="b">
        <f t="shared" si="44"/>
        <v>0</v>
      </c>
    </row>
    <row r="2057" spans="1:4">
      <c r="A2057" s="2252" t="s">
        <v>2307</v>
      </c>
      <c r="B2057" s="2253" t="str">
        <f>报表附注!E2545</f>
        <v>类别8--</v>
      </c>
      <c r="C2057" s="2260">
        <f>报表附注!G2545</f>
        <v>0</v>
      </c>
      <c r="D2057" s="2252" t="b">
        <f t="shared" si="44"/>
        <v>1</v>
      </c>
    </row>
    <row r="2058" spans="1:4">
      <c r="A2058" s="2252" t="s">
        <v>2308</v>
      </c>
      <c r="B2058" s="2253" t="str">
        <f>报表附注!E2546</f>
        <v>类别9--</v>
      </c>
      <c r="C2058" s="2260">
        <f>报表附注!G2546</f>
        <v>0</v>
      </c>
      <c r="D2058" s="2252" t="b">
        <f t="shared" si="44"/>
        <v>1</v>
      </c>
    </row>
    <row r="2059" spans="1:4">
      <c r="A2059" s="2252" t="s">
        <v>2309</v>
      </c>
      <c r="B2059" s="2253" t="str">
        <f>报表附注!E2547</f>
        <v>类别10--</v>
      </c>
      <c r="C2059" s="2260">
        <f>报表附注!G2547</f>
        <v>0</v>
      </c>
      <c r="D2059" s="2252" t="b">
        <f t="shared" si="44"/>
        <v>1</v>
      </c>
    </row>
    <row r="2060" spans="1:4">
      <c r="A2060" s="2252" t="s">
        <v>2310</v>
      </c>
      <c r="B2060" s="2253" t="str">
        <f>报表附注!E2548</f>
        <v>类别11--</v>
      </c>
      <c r="C2060" s="2260">
        <f>报表附注!G2548</f>
        <v>0</v>
      </c>
      <c r="D2060" s="2252" t="b">
        <f t="shared" si="44"/>
        <v>1</v>
      </c>
    </row>
    <row r="2061" spans="1:4">
      <c r="A2061" s="2252" t="s">
        <v>2311</v>
      </c>
      <c r="B2061" s="2253" t="str">
        <f>报表附注!E2549</f>
        <v>类别12--</v>
      </c>
      <c r="C2061" s="2260">
        <f>报表附注!G2549</f>
        <v>0</v>
      </c>
      <c r="D2061" s="2252" t="b">
        <f t="shared" si="44"/>
        <v>1</v>
      </c>
    </row>
    <row r="2062" spans="1:4">
      <c r="A2062" s="2252" t="s">
        <v>2312</v>
      </c>
      <c r="B2062" s="2253" t="str">
        <f>报表附注!E2550</f>
        <v>类别13--</v>
      </c>
      <c r="C2062" s="2260">
        <f>报表附注!G2550</f>
        <v>0</v>
      </c>
      <c r="D2062" s="2252" t="b">
        <f t="shared" si="44"/>
        <v>1</v>
      </c>
    </row>
    <row r="2063" spans="1:4">
      <c r="A2063" s="2252" t="s">
        <v>2313</v>
      </c>
      <c r="B2063" s="2253" t="str">
        <f>报表附注!E2551</f>
        <v>类别14--</v>
      </c>
      <c r="C2063" s="2260">
        <f>报表附注!G2551</f>
        <v>0</v>
      </c>
      <c r="D2063" s="2252" t="b">
        <f t="shared" si="44"/>
        <v>1</v>
      </c>
    </row>
    <row r="2064" spans="1:4">
      <c r="A2064" s="2252" t="s">
        <v>2021</v>
      </c>
      <c r="B2064" s="2263" t="str">
        <f>报表附注!E2552</f>
        <v>合计</v>
      </c>
      <c r="C2064" s="2260">
        <f>报表附注!G2552</f>
        <v>51048705.7</v>
      </c>
      <c r="D2064" s="2252" t="b">
        <f t="shared" si="44"/>
        <v>1</v>
      </c>
    </row>
    <row r="2065" spans="1:4">
      <c r="A2065" s="2252" t="s">
        <v>2315</v>
      </c>
      <c r="B2065" s="2273" t="s">
        <v>2315</v>
      </c>
      <c r="D2065" s="2252" t="b">
        <f t="shared" si="44"/>
        <v>1</v>
      </c>
    </row>
    <row r="2066" spans="1:4">
      <c r="A2066" s="2252" t="s">
        <v>2300</v>
      </c>
      <c r="B2066" s="2253" t="str">
        <f>报表附注!E2538</f>
        <v>产品销售</v>
      </c>
      <c r="C2066" s="2260">
        <f>报表附注!H2538</f>
        <v>10115880.75</v>
      </c>
      <c r="D2066" s="2252" t="b">
        <f t="shared" si="44"/>
        <v>0</v>
      </c>
    </row>
    <row r="2067" spans="1:4">
      <c r="A2067" s="2252" t="s">
        <v>2301</v>
      </c>
      <c r="B2067" s="2253" t="str">
        <f>报表附注!E2539</f>
        <v>EMC项目</v>
      </c>
      <c r="C2067" s="2260">
        <f>报表附注!H2539</f>
        <v>10677338.52</v>
      </c>
      <c r="D2067" s="2252" t="b">
        <f t="shared" si="44"/>
        <v>0</v>
      </c>
    </row>
    <row r="2068" spans="1:4">
      <c r="A2068" s="2252" t="s">
        <v>2302</v>
      </c>
      <c r="B2068" s="2253" t="str">
        <f>报表附注!E2540</f>
        <v>照明工程</v>
      </c>
      <c r="C2068" s="2260">
        <f>报表附注!H2540</f>
        <v>42368929.7</v>
      </c>
      <c r="D2068" s="2252" t="b">
        <f t="shared" si="44"/>
        <v>0</v>
      </c>
    </row>
    <row r="2069" spans="1:4">
      <c r="A2069" s="2252" t="s">
        <v>2303</v>
      </c>
      <c r="B2069" s="2253" t="str">
        <f>报表附注!E2541</f>
        <v>维护服务</v>
      </c>
      <c r="C2069" s="2260">
        <f>报表附注!H2541</f>
        <v>763458.47</v>
      </c>
      <c r="D2069" s="2252" t="b">
        <f t="shared" si="44"/>
        <v>0</v>
      </c>
    </row>
    <row r="2070" spans="1:4">
      <c r="A2070" s="2252" t="s">
        <v>2304</v>
      </c>
      <c r="B2070" s="2253" t="str">
        <f>报表附注!E2542</f>
        <v>类别5-</v>
      </c>
      <c r="C2070" s="2260">
        <f>报表附注!H2542</f>
        <v>0</v>
      </c>
      <c r="D2070" s="2252" t="b">
        <f t="shared" si="44"/>
        <v>0</v>
      </c>
    </row>
    <row r="2071" spans="1:4">
      <c r="A2071" s="2252" t="s">
        <v>2305</v>
      </c>
      <c r="B2071" s="2253" t="str">
        <f>报表附注!E2543</f>
        <v>类别6--</v>
      </c>
      <c r="C2071" s="2260">
        <f>报表附注!H2543</f>
        <v>0</v>
      </c>
      <c r="D2071" s="2252" t="b">
        <f t="shared" si="44"/>
        <v>1</v>
      </c>
    </row>
    <row r="2072" spans="1:4">
      <c r="A2072" s="2252" t="s">
        <v>2306</v>
      </c>
      <c r="B2072" s="2253" t="str">
        <f>报表附注!E2544</f>
        <v>类别7-</v>
      </c>
      <c r="C2072" s="2260">
        <f>报表附注!H2544</f>
        <v>0</v>
      </c>
      <c r="D2072" s="2252" t="b">
        <f t="shared" si="44"/>
        <v>0</v>
      </c>
    </row>
    <row r="2073" spans="1:4">
      <c r="A2073" s="2252" t="s">
        <v>2307</v>
      </c>
      <c r="B2073" s="2253" t="str">
        <f>报表附注!E2545</f>
        <v>类别8--</v>
      </c>
      <c r="C2073" s="2260">
        <f>报表附注!H2545</f>
        <v>0</v>
      </c>
      <c r="D2073" s="2252" t="b">
        <f t="shared" si="44"/>
        <v>1</v>
      </c>
    </row>
    <row r="2074" spans="1:4">
      <c r="A2074" s="2252" t="s">
        <v>2308</v>
      </c>
      <c r="B2074" s="2253" t="str">
        <f>报表附注!E2546</f>
        <v>类别9--</v>
      </c>
      <c r="C2074" s="2260">
        <f>报表附注!H2546</f>
        <v>0</v>
      </c>
      <c r="D2074" s="2252" t="b">
        <f t="shared" si="44"/>
        <v>1</v>
      </c>
    </row>
    <row r="2075" spans="1:4">
      <c r="A2075" s="2252" t="s">
        <v>2309</v>
      </c>
      <c r="B2075" s="2253" t="str">
        <f>报表附注!E2547</f>
        <v>类别10--</v>
      </c>
      <c r="C2075" s="2260">
        <f>报表附注!H2547</f>
        <v>0</v>
      </c>
      <c r="D2075" s="2252" t="b">
        <f t="shared" si="44"/>
        <v>1</v>
      </c>
    </row>
    <row r="2076" spans="1:4">
      <c r="A2076" s="2252" t="s">
        <v>2310</v>
      </c>
      <c r="B2076" s="2253" t="str">
        <f>报表附注!E2548</f>
        <v>类别11--</v>
      </c>
      <c r="C2076" s="2260">
        <f>报表附注!H2548</f>
        <v>0</v>
      </c>
      <c r="D2076" s="2252" t="b">
        <f t="shared" si="44"/>
        <v>1</v>
      </c>
    </row>
    <row r="2077" spans="1:4">
      <c r="A2077" s="2252" t="s">
        <v>2311</v>
      </c>
      <c r="B2077" s="2253" t="str">
        <f>报表附注!E2549</f>
        <v>类别12--</v>
      </c>
      <c r="C2077" s="2260">
        <f>报表附注!H2549</f>
        <v>0</v>
      </c>
      <c r="D2077" s="2252" t="b">
        <f t="shared" si="44"/>
        <v>1</v>
      </c>
    </row>
    <row r="2078" spans="1:4">
      <c r="A2078" s="2252" t="s">
        <v>2312</v>
      </c>
      <c r="B2078" s="2253" t="str">
        <f>报表附注!E2550</f>
        <v>类别13--</v>
      </c>
      <c r="C2078" s="2260">
        <f>报表附注!H2550</f>
        <v>0</v>
      </c>
      <c r="D2078" s="2252" t="b">
        <f t="shared" si="44"/>
        <v>1</v>
      </c>
    </row>
    <row r="2079" spans="1:4">
      <c r="A2079" s="2252" t="s">
        <v>2313</v>
      </c>
      <c r="B2079" s="2253" t="str">
        <f>报表附注!E2551</f>
        <v>类别14--</v>
      </c>
      <c r="C2079" s="2260">
        <f>报表附注!H2551</f>
        <v>0</v>
      </c>
      <c r="D2079" s="2252" t="b">
        <f t="shared" si="44"/>
        <v>1</v>
      </c>
    </row>
    <row r="2080" spans="1:4">
      <c r="A2080" s="2252" t="s">
        <v>2021</v>
      </c>
      <c r="B2080" s="2263" t="str">
        <f>报表附注!E2552</f>
        <v>合计</v>
      </c>
      <c r="C2080" s="2260">
        <f>报表附注!H2552</f>
        <v>63925607.44</v>
      </c>
      <c r="D2080" s="2252" t="b">
        <f t="shared" si="44"/>
        <v>1</v>
      </c>
    </row>
    <row r="2081" spans="1:4">
      <c r="A2081" s="2252" t="s">
        <v>2316</v>
      </c>
      <c r="B2081" s="2273" t="s">
        <v>2316</v>
      </c>
      <c r="D2081" s="2252" t="b">
        <f t="shared" si="44"/>
        <v>1</v>
      </c>
    </row>
    <row r="2082" spans="1:4">
      <c r="A2082" s="2252" t="s">
        <v>2300</v>
      </c>
      <c r="B2082" s="2253" t="str">
        <f>报表附注!E2538</f>
        <v>产品销售</v>
      </c>
      <c r="C2082" s="2260">
        <f>报表附注!I2538</f>
        <v>3761933.16</v>
      </c>
      <c r="D2082" s="2252" t="b">
        <f t="shared" si="44"/>
        <v>0</v>
      </c>
    </row>
    <row r="2083" spans="1:4">
      <c r="A2083" s="2252" t="s">
        <v>2301</v>
      </c>
      <c r="B2083" s="2253" t="str">
        <f>报表附注!E2539</f>
        <v>EMC项目</v>
      </c>
      <c r="C2083" s="2260">
        <f>报表附注!I2539</f>
        <v>10326191.08</v>
      </c>
      <c r="D2083" s="2252" t="b">
        <f t="shared" si="44"/>
        <v>0</v>
      </c>
    </row>
    <row r="2084" spans="1:4">
      <c r="A2084" s="2252" t="s">
        <v>2302</v>
      </c>
      <c r="B2084" s="2253" t="str">
        <f>报表附注!E2540</f>
        <v>照明工程</v>
      </c>
      <c r="C2084" s="2260">
        <f>报表附注!I2540</f>
        <v>11750309.19</v>
      </c>
      <c r="D2084" s="2252" t="b">
        <f t="shared" si="44"/>
        <v>0</v>
      </c>
    </row>
    <row r="2085" spans="1:4">
      <c r="A2085" s="2252" t="s">
        <v>2303</v>
      </c>
      <c r="B2085" s="2253" t="str">
        <f>报表附注!E2541</f>
        <v>维护服务</v>
      </c>
      <c r="C2085" s="2260">
        <f>报表附注!I2541</f>
        <v>1012016.13</v>
      </c>
      <c r="D2085" s="2252" t="b">
        <f t="shared" si="44"/>
        <v>0</v>
      </c>
    </row>
    <row r="2086" spans="1:4">
      <c r="A2086" s="2252" t="s">
        <v>2304</v>
      </c>
      <c r="B2086" s="2253" t="str">
        <f>报表附注!E2542</f>
        <v>类别5-</v>
      </c>
      <c r="C2086" s="2260">
        <f>报表附注!I2542</f>
        <v>0</v>
      </c>
      <c r="D2086" s="2252" t="b">
        <f t="shared" si="44"/>
        <v>0</v>
      </c>
    </row>
    <row r="2087" spans="1:4">
      <c r="A2087" s="2252" t="s">
        <v>2305</v>
      </c>
      <c r="B2087" s="2253" t="str">
        <f>报表附注!E2543</f>
        <v>类别6--</v>
      </c>
      <c r="C2087" s="2260">
        <f>报表附注!I2543</f>
        <v>0</v>
      </c>
      <c r="D2087" s="2252" t="b">
        <f t="shared" si="44"/>
        <v>1</v>
      </c>
    </row>
    <row r="2088" spans="1:4">
      <c r="A2088" s="2252" t="s">
        <v>2306</v>
      </c>
      <c r="B2088" s="2253" t="str">
        <f>报表附注!E2544</f>
        <v>类别7-</v>
      </c>
      <c r="C2088" s="2260">
        <f>报表附注!I2544</f>
        <v>0</v>
      </c>
      <c r="D2088" s="2252" t="b">
        <f t="shared" si="44"/>
        <v>0</v>
      </c>
    </row>
    <row r="2089" spans="1:4">
      <c r="A2089" s="2252" t="s">
        <v>2307</v>
      </c>
      <c r="B2089" s="2253" t="str">
        <f>报表附注!E2545</f>
        <v>类别8--</v>
      </c>
      <c r="C2089" s="2260">
        <f>报表附注!I2545</f>
        <v>0</v>
      </c>
      <c r="D2089" s="2252" t="b">
        <f t="shared" si="44"/>
        <v>1</v>
      </c>
    </row>
    <row r="2090" spans="1:4">
      <c r="A2090" s="2252" t="s">
        <v>2308</v>
      </c>
      <c r="B2090" s="2253" t="str">
        <f>报表附注!E2546</f>
        <v>类别9--</v>
      </c>
      <c r="C2090" s="2260">
        <f>报表附注!I2546</f>
        <v>0</v>
      </c>
      <c r="D2090" s="2252" t="b">
        <f t="shared" si="44"/>
        <v>1</v>
      </c>
    </row>
    <row r="2091" spans="1:4">
      <c r="A2091" s="2252" t="s">
        <v>2309</v>
      </c>
      <c r="B2091" s="2253" t="str">
        <f>报表附注!E2547</f>
        <v>类别10--</v>
      </c>
      <c r="C2091" s="2260">
        <f>报表附注!I2547</f>
        <v>0</v>
      </c>
      <c r="D2091" s="2252" t="b">
        <f t="shared" si="44"/>
        <v>1</v>
      </c>
    </row>
    <row r="2092" spans="1:4">
      <c r="A2092" s="2252" t="s">
        <v>2310</v>
      </c>
      <c r="B2092" s="2253" t="str">
        <f>报表附注!E2548</f>
        <v>类别11--</v>
      </c>
      <c r="C2092" s="2260">
        <f>报表附注!I2548</f>
        <v>0</v>
      </c>
      <c r="D2092" s="2252" t="b">
        <f t="shared" si="44"/>
        <v>1</v>
      </c>
    </row>
    <row r="2093" spans="1:4">
      <c r="A2093" s="2252" t="s">
        <v>2311</v>
      </c>
      <c r="B2093" s="2253" t="str">
        <f>报表附注!E2549</f>
        <v>类别12--</v>
      </c>
      <c r="C2093" s="2260">
        <f>报表附注!I2549</f>
        <v>0</v>
      </c>
      <c r="D2093" s="2252" t="b">
        <f t="shared" si="44"/>
        <v>1</v>
      </c>
    </row>
    <row r="2094" spans="1:4">
      <c r="A2094" s="2252" t="s">
        <v>2312</v>
      </c>
      <c r="B2094" s="2253" t="str">
        <f>报表附注!E2550</f>
        <v>类别13--</v>
      </c>
      <c r="C2094" s="2260">
        <f>报表附注!I2550</f>
        <v>0</v>
      </c>
      <c r="D2094" s="2252" t="b">
        <f t="shared" si="44"/>
        <v>1</v>
      </c>
    </row>
    <row r="2095" spans="1:4">
      <c r="A2095" s="2252" t="s">
        <v>2313</v>
      </c>
      <c r="B2095" s="2253" t="str">
        <f>报表附注!E2551</f>
        <v>类别14--</v>
      </c>
      <c r="C2095" s="2260">
        <f>报表附注!I2551</f>
        <v>0</v>
      </c>
      <c r="D2095" s="2252" t="b">
        <f t="shared" si="44"/>
        <v>1</v>
      </c>
    </row>
    <row r="2096" spans="1:4">
      <c r="A2096" s="2252" t="s">
        <v>2021</v>
      </c>
      <c r="B2096" s="2263" t="str">
        <f>报表附注!E2552</f>
        <v>合计</v>
      </c>
      <c r="C2096" s="2260">
        <f>报表附注!I2552</f>
        <v>26850449.56</v>
      </c>
      <c r="D2096" s="2252" t="b">
        <f t="shared" si="44"/>
        <v>1</v>
      </c>
    </row>
    <row r="2097" spans="4:4">
      <c r="D2097" s="2252" t="b">
        <f t="shared" si="44"/>
        <v>1</v>
      </c>
    </row>
    <row r="2098" spans="1:4">
      <c r="A2098" s="2252" t="s">
        <v>2317</v>
      </c>
      <c r="B2098" s="385" t="s">
        <v>2317</v>
      </c>
      <c r="D2098" s="2252" t="b">
        <f t="shared" si="44"/>
        <v>1</v>
      </c>
    </row>
    <row r="2099" spans="1:4">
      <c r="A2099" s="2252" t="s">
        <v>2299</v>
      </c>
      <c r="B2099" s="2273" t="s">
        <v>2299</v>
      </c>
      <c r="D2099" s="2252" t="b">
        <f t="shared" si="44"/>
        <v>1</v>
      </c>
    </row>
    <row r="2100" spans="1:4">
      <c r="A2100" s="2252" t="s">
        <v>2318</v>
      </c>
      <c r="B2100" s="2253" t="str">
        <f>报表附注!E2557</f>
        <v>类别1--</v>
      </c>
      <c r="C2100" s="2260">
        <f>报表附注!F2557</f>
        <v>128352053.09</v>
      </c>
      <c r="D2100" s="2252" t="b">
        <f t="shared" si="44"/>
        <v>0</v>
      </c>
    </row>
    <row r="2101" spans="1:4">
      <c r="A2101" s="2252" t="s">
        <v>2319</v>
      </c>
      <c r="B2101" s="2253" t="str">
        <f>报表附注!E2558</f>
        <v>类别2--</v>
      </c>
      <c r="C2101" s="2260">
        <f>报表附注!F2558</f>
        <v>0</v>
      </c>
      <c r="D2101" s="2252" t="b">
        <f t="shared" si="44"/>
        <v>0</v>
      </c>
    </row>
    <row r="2102" spans="1:4">
      <c r="A2102" s="2252" t="s">
        <v>2320</v>
      </c>
      <c r="B2102" s="2253" t="str">
        <f>报表附注!E2559</f>
        <v>类别3--</v>
      </c>
      <c r="C2102" s="2260">
        <f>报表附注!F2559</f>
        <v>0</v>
      </c>
      <c r="D2102" s="2252" t="b">
        <f t="shared" si="44"/>
        <v>0</v>
      </c>
    </row>
    <row r="2103" spans="1:4">
      <c r="A2103" s="2252" t="s">
        <v>2321</v>
      </c>
      <c r="B2103" s="2253" t="str">
        <f>报表附注!E2560</f>
        <v>类别4-</v>
      </c>
      <c r="C2103" s="2260">
        <f>报表附注!F2560</f>
        <v>0</v>
      </c>
      <c r="D2103" s="2252" t="b">
        <f t="shared" si="44"/>
        <v>0</v>
      </c>
    </row>
    <row r="2104" spans="1:4">
      <c r="A2104" s="2252" t="s">
        <v>2322</v>
      </c>
      <c r="B2104" s="2253" t="str">
        <f>报表附注!E2561</f>
        <v>类别5-</v>
      </c>
      <c r="C2104" s="2260">
        <f>报表附注!F2561</f>
        <v>0</v>
      </c>
      <c r="D2104" s="2252" t="b">
        <f t="shared" si="44"/>
        <v>0</v>
      </c>
    </row>
    <row r="2105" spans="1:4">
      <c r="A2105" s="2252" t="s">
        <v>2323</v>
      </c>
      <c r="B2105" s="2253" t="str">
        <f>报表附注!E2562</f>
        <v>类别6--</v>
      </c>
      <c r="C2105" s="2260">
        <f>报表附注!F2562</f>
        <v>0</v>
      </c>
      <c r="D2105" s="2252" t="b">
        <f t="shared" si="44"/>
        <v>0</v>
      </c>
    </row>
    <row r="2106" spans="1:4">
      <c r="A2106" s="2252" t="s">
        <v>2324</v>
      </c>
      <c r="B2106" s="2253" t="str">
        <f>报表附注!E2563</f>
        <v>类别7-</v>
      </c>
      <c r="C2106" s="2260">
        <f>报表附注!F2563</f>
        <v>0</v>
      </c>
      <c r="D2106" s="2252" t="b">
        <f t="shared" si="44"/>
        <v>0</v>
      </c>
    </row>
    <row r="2107" spans="1:4">
      <c r="A2107" s="2252" t="s">
        <v>2325</v>
      </c>
      <c r="B2107" s="2253" t="str">
        <f>报表附注!E2564</f>
        <v>类别8--</v>
      </c>
      <c r="C2107" s="2260">
        <f>报表附注!F2564</f>
        <v>0</v>
      </c>
      <c r="D2107" s="2252" t="b">
        <f t="shared" si="44"/>
        <v>0</v>
      </c>
    </row>
    <row r="2108" spans="1:4">
      <c r="A2108" s="2252" t="s">
        <v>2326</v>
      </c>
      <c r="B2108" s="2253" t="str">
        <f>报表附注!E2565</f>
        <v>类别9--</v>
      </c>
      <c r="C2108" s="2260">
        <f>报表附注!F2565</f>
        <v>0</v>
      </c>
      <c r="D2108" s="2252" t="b">
        <f t="shared" si="44"/>
        <v>0</v>
      </c>
    </row>
    <row r="2109" spans="1:4">
      <c r="A2109" s="2252" t="s">
        <v>2327</v>
      </c>
      <c r="B2109" s="2253" t="str">
        <f>报表附注!E2566</f>
        <v>类别10--</v>
      </c>
      <c r="C2109" s="2260">
        <f>报表附注!F2566</f>
        <v>0</v>
      </c>
      <c r="D2109" s="2252" t="b">
        <f t="shared" si="44"/>
        <v>0</v>
      </c>
    </row>
    <row r="2110" spans="1:4">
      <c r="A2110" s="2252" t="s">
        <v>2328</v>
      </c>
      <c r="B2110" s="2253" t="str">
        <f>报表附注!E2567</f>
        <v>产品名称11--</v>
      </c>
      <c r="C2110" s="2260">
        <f>报表附注!F2567</f>
        <v>0</v>
      </c>
      <c r="D2110" s="2252" t="b">
        <f t="shared" ref="D2110:D2173" si="45">EXACT(A2110,B2110)</f>
        <v>1</v>
      </c>
    </row>
    <row r="2111" spans="1:4">
      <c r="A2111" s="2252" t="s">
        <v>2329</v>
      </c>
      <c r="B2111" s="2253" t="str">
        <f>报表附注!E2568</f>
        <v>产品名称12--</v>
      </c>
      <c r="C2111" s="2260">
        <f>报表附注!F2568</f>
        <v>0</v>
      </c>
      <c r="D2111" s="2252" t="b">
        <f t="shared" si="45"/>
        <v>1</v>
      </c>
    </row>
    <row r="2112" spans="1:4">
      <c r="A2112" s="2252" t="s">
        <v>2330</v>
      </c>
      <c r="B2112" s="2253" t="str">
        <f>报表附注!E2569</f>
        <v>产品名称13--</v>
      </c>
      <c r="C2112" s="2260">
        <f>报表附注!F2569</f>
        <v>0</v>
      </c>
      <c r="D2112" s="2252" t="b">
        <f t="shared" si="45"/>
        <v>1</v>
      </c>
    </row>
    <row r="2113" spans="1:4">
      <c r="A2113" s="2252" t="s">
        <v>2021</v>
      </c>
      <c r="B2113" s="2263" t="str">
        <f>报表附注!E2570</f>
        <v>合计</v>
      </c>
      <c r="C2113" s="2260">
        <f>报表附注!F2570</f>
        <v>128352053.09</v>
      </c>
      <c r="D2113" s="2252" t="b">
        <f t="shared" si="45"/>
        <v>1</v>
      </c>
    </row>
    <row r="2114" spans="1:4">
      <c r="A2114" s="2252" t="s">
        <v>2314</v>
      </c>
      <c r="B2114" s="2273" t="s">
        <v>2314</v>
      </c>
      <c r="D2114" s="2252" t="b">
        <f t="shared" si="45"/>
        <v>1</v>
      </c>
    </row>
    <row r="2115" spans="1:4">
      <c r="A2115" s="2252" t="s">
        <v>2318</v>
      </c>
      <c r="B2115" s="2253" t="str">
        <f>报表附注!E2557</f>
        <v>类别1--</v>
      </c>
      <c r="C2115" s="2260">
        <f>报表附注!G2557</f>
        <v>51048705.7</v>
      </c>
      <c r="D2115" s="2252" t="b">
        <f t="shared" si="45"/>
        <v>0</v>
      </c>
    </row>
    <row r="2116" spans="1:4">
      <c r="A2116" s="2252" t="s">
        <v>2319</v>
      </c>
      <c r="B2116" s="2253" t="str">
        <f>报表附注!E2558</f>
        <v>类别2--</v>
      </c>
      <c r="C2116" s="2260">
        <f>报表附注!G2558</f>
        <v>0</v>
      </c>
      <c r="D2116" s="2252" t="b">
        <f t="shared" si="45"/>
        <v>0</v>
      </c>
    </row>
    <row r="2117" spans="1:4">
      <c r="A2117" s="2252" t="s">
        <v>2320</v>
      </c>
      <c r="B2117" s="2253" t="str">
        <f>报表附注!E2559</f>
        <v>类别3--</v>
      </c>
      <c r="C2117" s="2260">
        <f>报表附注!G2559</f>
        <v>0</v>
      </c>
      <c r="D2117" s="2252" t="b">
        <f t="shared" si="45"/>
        <v>0</v>
      </c>
    </row>
    <row r="2118" spans="1:4">
      <c r="A2118" s="2252" t="s">
        <v>2321</v>
      </c>
      <c r="B2118" s="2253" t="str">
        <f>报表附注!E2560</f>
        <v>类别4-</v>
      </c>
      <c r="C2118" s="2260">
        <f>报表附注!G2560</f>
        <v>0</v>
      </c>
      <c r="D2118" s="2252" t="b">
        <f t="shared" si="45"/>
        <v>0</v>
      </c>
    </row>
    <row r="2119" spans="1:4">
      <c r="A2119" s="2252" t="s">
        <v>2322</v>
      </c>
      <c r="B2119" s="2253" t="str">
        <f>报表附注!E2561</f>
        <v>类别5-</v>
      </c>
      <c r="C2119" s="2260">
        <f>报表附注!G2561</f>
        <v>0</v>
      </c>
      <c r="D2119" s="2252" t="b">
        <f t="shared" si="45"/>
        <v>0</v>
      </c>
    </row>
    <row r="2120" spans="1:4">
      <c r="A2120" s="2252" t="s">
        <v>2323</v>
      </c>
      <c r="B2120" s="2253" t="str">
        <f>报表附注!E2562</f>
        <v>类别6--</v>
      </c>
      <c r="C2120" s="2260">
        <f>报表附注!G2562</f>
        <v>0</v>
      </c>
      <c r="D2120" s="2252" t="b">
        <f t="shared" si="45"/>
        <v>0</v>
      </c>
    </row>
    <row r="2121" spans="1:4">
      <c r="A2121" s="2252" t="s">
        <v>2324</v>
      </c>
      <c r="B2121" s="2253" t="str">
        <f>报表附注!E2563</f>
        <v>类别7-</v>
      </c>
      <c r="C2121" s="2260">
        <f>报表附注!G2563</f>
        <v>0</v>
      </c>
      <c r="D2121" s="2252" t="b">
        <f t="shared" si="45"/>
        <v>0</v>
      </c>
    </row>
    <row r="2122" spans="1:4">
      <c r="A2122" s="2252" t="s">
        <v>2325</v>
      </c>
      <c r="B2122" s="2253" t="str">
        <f>报表附注!E2564</f>
        <v>类别8--</v>
      </c>
      <c r="C2122" s="2260">
        <f>报表附注!G2564</f>
        <v>0</v>
      </c>
      <c r="D2122" s="2252" t="b">
        <f t="shared" si="45"/>
        <v>0</v>
      </c>
    </row>
    <row r="2123" spans="1:4">
      <c r="A2123" s="2252" t="s">
        <v>2326</v>
      </c>
      <c r="B2123" s="2253" t="str">
        <f>报表附注!E2565</f>
        <v>类别9--</v>
      </c>
      <c r="C2123" s="2260">
        <f>报表附注!G2565</f>
        <v>0</v>
      </c>
      <c r="D2123" s="2252" t="b">
        <f t="shared" si="45"/>
        <v>0</v>
      </c>
    </row>
    <row r="2124" spans="1:4">
      <c r="A2124" s="2252" t="s">
        <v>2327</v>
      </c>
      <c r="B2124" s="2253" t="str">
        <f>报表附注!E2566</f>
        <v>类别10--</v>
      </c>
      <c r="C2124" s="2260">
        <f>报表附注!G2566</f>
        <v>0</v>
      </c>
      <c r="D2124" s="2252" t="b">
        <f t="shared" si="45"/>
        <v>0</v>
      </c>
    </row>
    <row r="2125" spans="1:4">
      <c r="A2125" s="2252" t="s">
        <v>2328</v>
      </c>
      <c r="B2125" s="2253" t="str">
        <f>报表附注!E2567</f>
        <v>产品名称11--</v>
      </c>
      <c r="C2125" s="2260">
        <f>报表附注!G2567</f>
        <v>0</v>
      </c>
      <c r="D2125" s="2252" t="b">
        <f t="shared" si="45"/>
        <v>1</v>
      </c>
    </row>
    <row r="2126" spans="1:4">
      <c r="A2126" s="2252" t="s">
        <v>2329</v>
      </c>
      <c r="B2126" s="2253" t="str">
        <f>报表附注!E2568</f>
        <v>产品名称12--</v>
      </c>
      <c r="C2126" s="2260">
        <f>报表附注!G2568</f>
        <v>0</v>
      </c>
      <c r="D2126" s="2252" t="b">
        <f t="shared" si="45"/>
        <v>1</v>
      </c>
    </row>
    <row r="2127" spans="1:4">
      <c r="A2127" s="2252" t="s">
        <v>2330</v>
      </c>
      <c r="B2127" s="2253" t="str">
        <f>报表附注!E2569</f>
        <v>产品名称13--</v>
      </c>
      <c r="C2127" s="2260">
        <f>报表附注!G2569</f>
        <v>0</v>
      </c>
      <c r="D2127" s="2252" t="b">
        <f t="shared" si="45"/>
        <v>1</v>
      </c>
    </row>
    <row r="2128" spans="1:4">
      <c r="A2128" s="2252" t="s">
        <v>2021</v>
      </c>
      <c r="B2128" s="2263" t="str">
        <f>报表附注!E2570</f>
        <v>合计</v>
      </c>
      <c r="C2128" s="2260">
        <f>报表附注!G2570</f>
        <v>51048705.7</v>
      </c>
      <c r="D2128" s="2252" t="b">
        <f t="shared" si="45"/>
        <v>1</v>
      </c>
    </row>
    <row r="2129" spans="1:4">
      <c r="A2129" s="2252" t="s">
        <v>2315</v>
      </c>
      <c r="B2129" s="2273" t="s">
        <v>2315</v>
      </c>
      <c r="D2129" s="2252" t="b">
        <f t="shared" si="45"/>
        <v>1</v>
      </c>
    </row>
    <row r="2130" spans="1:4">
      <c r="A2130" s="2252" t="s">
        <v>2318</v>
      </c>
      <c r="B2130" s="2253" t="str">
        <f>报表附注!E2557</f>
        <v>类别1--</v>
      </c>
      <c r="C2130" s="2260">
        <f>报表附注!H2557</f>
        <v>63925607.44</v>
      </c>
      <c r="D2130" s="2252" t="b">
        <f t="shared" si="45"/>
        <v>0</v>
      </c>
    </row>
    <row r="2131" spans="1:4">
      <c r="A2131" s="2252" t="s">
        <v>2319</v>
      </c>
      <c r="B2131" s="2253" t="str">
        <f>报表附注!E2558</f>
        <v>类别2--</v>
      </c>
      <c r="C2131" s="2260">
        <f>报表附注!H2558</f>
        <v>0</v>
      </c>
      <c r="D2131" s="2252" t="b">
        <f t="shared" si="45"/>
        <v>0</v>
      </c>
    </row>
    <row r="2132" spans="1:4">
      <c r="A2132" s="2252" t="s">
        <v>2320</v>
      </c>
      <c r="B2132" s="2253" t="str">
        <f>报表附注!E2559</f>
        <v>类别3--</v>
      </c>
      <c r="C2132" s="2260">
        <f>报表附注!H2559</f>
        <v>0</v>
      </c>
      <c r="D2132" s="2252" t="b">
        <f t="shared" si="45"/>
        <v>0</v>
      </c>
    </row>
    <row r="2133" spans="1:4">
      <c r="A2133" s="2252" t="s">
        <v>2321</v>
      </c>
      <c r="B2133" s="2253" t="str">
        <f>报表附注!E2560</f>
        <v>类别4-</v>
      </c>
      <c r="C2133" s="2260">
        <f>报表附注!H2560</f>
        <v>0</v>
      </c>
      <c r="D2133" s="2252" t="b">
        <f t="shared" si="45"/>
        <v>0</v>
      </c>
    </row>
    <row r="2134" spans="1:4">
      <c r="A2134" s="2252" t="s">
        <v>2322</v>
      </c>
      <c r="B2134" s="2253" t="str">
        <f>报表附注!E2561</f>
        <v>类别5-</v>
      </c>
      <c r="C2134" s="2260">
        <f>报表附注!H2561</f>
        <v>0</v>
      </c>
      <c r="D2134" s="2252" t="b">
        <f t="shared" si="45"/>
        <v>0</v>
      </c>
    </row>
    <row r="2135" spans="1:4">
      <c r="A2135" s="2252" t="s">
        <v>2323</v>
      </c>
      <c r="B2135" s="2253" t="str">
        <f>报表附注!E2562</f>
        <v>类别6--</v>
      </c>
      <c r="C2135" s="2260">
        <f>报表附注!H2562</f>
        <v>0</v>
      </c>
      <c r="D2135" s="2252" t="b">
        <f t="shared" si="45"/>
        <v>0</v>
      </c>
    </row>
    <row r="2136" spans="1:4">
      <c r="A2136" s="2252" t="s">
        <v>2324</v>
      </c>
      <c r="B2136" s="2253" t="str">
        <f>报表附注!E2563</f>
        <v>类别7-</v>
      </c>
      <c r="C2136" s="2260">
        <f>报表附注!H2563</f>
        <v>0</v>
      </c>
      <c r="D2136" s="2252" t="b">
        <f t="shared" si="45"/>
        <v>0</v>
      </c>
    </row>
    <row r="2137" spans="1:4">
      <c r="A2137" s="2252" t="s">
        <v>2325</v>
      </c>
      <c r="B2137" s="2253" t="str">
        <f>报表附注!E2564</f>
        <v>类别8--</v>
      </c>
      <c r="C2137" s="2260">
        <f>报表附注!H2564</f>
        <v>0</v>
      </c>
      <c r="D2137" s="2252" t="b">
        <f t="shared" si="45"/>
        <v>0</v>
      </c>
    </row>
    <row r="2138" spans="1:4">
      <c r="A2138" s="2252" t="s">
        <v>2326</v>
      </c>
      <c r="B2138" s="2253" t="str">
        <f>报表附注!E2565</f>
        <v>类别9--</v>
      </c>
      <c r="C2138" s="2260">
        <f>报表附注!H2565</f>
        <v>0</v>
      </c>
      <c r="D2138" s="2252" t="b">
        <f t="shared" si="45"/>
        <v>0</v>
      </c>
    </row>
    <row r="2139" spans="1:4">
      <c r="A2139" s="2252" t="s">
        <v>2327</v>
      </c>
      <c r="B2139" s="2253" t="str">
        <f>报表附注!E2566</f>
        <v>类别10--</v>
      </c>
      <c r="C2139" s="2260">
        <f>报表附注!H2566</f>
        <v>0</v>
      </c>
      <c r="D2139" s="2252" t="b">
        <f t="shared" si="45"/>
        <v>0</v>
      </c>
    </row>
    <row r="2140" spans="1:4">
      <c r="A2140" s="2252" t="s">
        <v>2328</v>
      </c>
      <c r="B2140" s="2253" t="str">
        <f>报表附注!E2567</f>
        <v>产品名称11--</v>
      </c>
      <c r="C2140" s="2260">
        <f>报表附注!H2567</f>
        <v>0</v>
      </c>
      <c r="D2140" s="2252" t="b">
        <f t="shared" si="45"/>
        <v>1</v>
      </c>
    </row>
    <row r="2141" spans="1:4">
      <c r="A2141" s="2252" t="s">
        <v>2329</v>
      </c>
      <c r="B2141" s="2253" t="str">
        <f>报表附注!E2568</f>
        <v>产品名称12--</v>
      </c>
      <c r="C2141" s="2260">
        <f>报表附注!H2568</f>
        <v>0</v>
      </c>
      <c r="D2141" s="2252" t="b">
        <f t="shared" si="45"/>
        <v>1</v>
      </c>
    </row>
    <row r="2142" spans="1:4">
      <c r="A2142" s="2252" t="s">
        <v>2330</v>
      </c>
      <c r="B2142" s="2253" t="str">
        <f>报表附注!E2569</f>
        <v>产品名称13--</v>
      </c>
      <c r="C2142" s="2260">
        <f>报表附注!H2569</f>
        <v>0</v>
      </c>
      <c r="D2142" s="2252" t="b">
        <f t="shared" si="45"/>
        <v>1</v>
      </c>
    </row>
    <row r="2143" spans="1:4">
      <c r="A2143" s="2252" t="s">
        <v>2021</v>
      </c>
      <c r="B2143" s="2263" t="str">
        <f>报表附注!E2570</f>
        <v>合计</v>
      </c>
      <c r="C2143" s="2260">
        <f>报表附注!H2570</f>
        <v>63925607.44</v>
      </c>
      <c r="D2143" s="2252" t="b">
        <f t="shared" si="45"/>
        <v>1</v>
      </c>
    </row>
    <row r="2144" spans="1:4">
      <c r="A2144" s="2252" t="s">
        <v>2316</v>
      </c>
      <c r="B2144" s="2273" t="s">
        <v>2316</v>
      </c>
      <c r="D2144" s="2252" t="b">
        <f t="shared" si="45"/>
        <v>1</v>
      </c>
    </row>
    <row r="2145" spans="1:4">
      <c r="A2145" s="2252" t="s">
        <v>2318</v>
      </c>
      <c r="B2145" s="2259" t="str">
        <f>报表附注!E2557</f>
        <v>类别1--</v>
      </c>
      <c r="C2145" s="2260">
        <f>报表附注!I2557</f>
        <v>0</v>
      </c>
      <c r="D2145" s="2252" t="b">
        <f t="shared" si="45"/>
        <v>0</v>
      </c>
    </row>
    <row r="2146" spans="1:4">
      <c r="A2146" s="2252" t="s">
        <v>2319</v>
      </c>
      <c r="B2146" s="2259" t="str">
        <f>报表附注!E2558</f>
        <v>类别2--</v>
      </c>
      <c r="C2146" s="2260">
        <f>报表附注!I2558</f>
        <v>0</v>
      </c>
      <c r="D2146" s="2252" t="b">
        <f t="shared" si="45"/>
        <v>0</v>
      </c>
    </row>
    <row r="2147" spans="1:4">
      <c r="A2147" s="2252" t="s">
        <v>2320</v>
      </c>
      <c r="B2147" s="2259" t="str">
        <f>报表附注!E2559</f>
        <v>类别3--</v>
      </c>
      <c r="C2147" s="2260">
        <f>报表附注!I2559</f>
        <v>0</v>
      </c>
      <c r="D2147" s="2252" t="b">
        <f t="shared" si="45"/>
        <v>0</v>
      </c>
    </row>
    <row r="2148" spans="1:4">
      <c r="A2148" s="2252" t="s">
        <v>2321</v>
      </c>
      <c r="B2148" s="2259" t="str">
        <f>报表附注!E2560</f>
        <v>类别4-</v>
      </c>
      <c r="C2148" s="2260">
        <f>报表附注!I2560</f>
        <v>0</v>
      </c>
      <c r="D2148" s="2252" t="b">
        <f t="shared" si="45"/>
        <v>0</v>
      </c>
    </row>
    <row r="2149" spans="1:4">
      <c r="A2149" s="2252" t="s">
        <v>2322</v>
      </c>
      <c r="B2149" s="2259" t="str">
        <f>报表附注!E2561</f>
        <v>类别5-</v>
      </c>
      <c r="C2149" s="2260">
        <f>报表附注!I2561</f>
        <v>0</v>
      </c>
      <c r="D2149" s="2252" t="b">
        <f t="shared" si="45"/>
        <v>0</v>
      </c>
    </row>
    <row r="2150" spans="1:4">
      <c r="A2150" s="2252" t="s">
        <v>2323</v>
      </c>
      <c r="B2150" s="2259" t="str">
        <f>报表附注!E2562</f>
        <v>类别6--</v>
      </c>
      <c r="C2150" s="2260">
        <f>报表附注!I2562</f>
        <v>0</v>
      </c>
      <c r="D2150" s="2252" t="b">
        <f t="shared" si="45"/>
        <v>0</v>
      </c>
    </row>
    <row r="2151" spans="1:4">
      <c r="A2151" s="2252" t="s">
        <v>2324</v>
      </c>
      <c r="B2151" s="2259" t="str">
        <f>报表附注!E2563</f>
        <v>类别7-</v>
      </c>
      <c r="C2151" s="2260">
        <f>报表附注!I2563</f>
        <v>0</v>
      </c>
      <c r="D2151" s="2252" t="b">
        <f t="shared" si="45"/>
        <v>0</v>
      </c>
    </row>
    <row r="2152" spans="1:4">
      <c r="A2152" s="2252" t="s">
        <v>2325</v>
      </c>
      <c r="B2152" s="2259" t="str">
        <f>报表附注!E2564</f>
        <v>类别8--</v>
      </c>
      <c r="C2152" s="2260">
        <f>报表附注!I2564</f>
        <v>0</v>
      </c>
      <c r="D2152" s="2252" t="b">
        <f t="shared" si="45"/>
        <v>0</v>
      </c>
    </row>
    <row r="2153" spans="1:4">
      <c r="A2153" s="2252" t="s">
        <v>2326</v>
      </c>
      <c r="B2153" s="2259" t="str">
        <f>报表附注!E2565</f>
        <v>类别9--</v>
      </c>
      <c r="C2153" s="2260">
        <f>报表附注!I2565</f>
        <v>0</v>
      </c>
      <c r="D2153" s="2252" t="b">
        <f t="shared" si="45"/>
        <v>0</v>
      </c>
    </row>
    <row r="2154" spans="1:4">
      <c r="A2154" s="2252" t="s">
        <v>2327</v>
      </c>
      <c r="B2154" s="2259" t="str">
        <f>报表附注!E2566</f>
        <v>类别10--</v>
      </c>
      <c r="C2154" s="2260">
        <f>报表附注!I2566</f>
        <v>0</v>
      </c>
      <c r="D2154" s="2252" t="b">
        <f t="shared" si="45"/>
        <v>0</v>
      </c>
    </row>
    <row r="2155" spans="1:4">
      <c r="A2155" s="2252" t="s">
        <v>2328</v>
      </c>
      <c r="B2155" s="2259" t="str">
        <f>报表附注!E2567</f>
        <v>产品名称11--</v>
      </c>
      <c r="C2155" s="2260">
        <f>报表附注!I2567</f>
        <v>0</v>
      </c>
      <c r="D2155" s="2252" t="b">
        <f t="shared" si="45"/>
        <v>1</v>
      </c>
    </row>
    <row r="2156" spans="1:4">
      <c r="A2156" s="2252" t="s">
        <v>2329</v>
      </c>
      <c r="B2156" s="2259" t="str">
        <f>报表附注!E2568</f>
        <v>产品名称12--</v>
      </c>
      <c r="C2156" s="2260">
        <f>报表附注!I2568</f>
        <v>0</v>
      </c>
      <c r="D2156" s="2252" t="b">
        <f t="shared" si="45"/>
        <v>1</v>
      </c>
    </row>
    <row r="2157" spans="1:4">
      <c r="A2157" s="2252" t="s">
        <v>2330</v>
      </c>
      <c r="B2157" s="2259" t="str">
        <f>报表附注!E2569</f>
        <v>产品名称13--</v>
      </c>
      <c r="C2157" s="2260">
        <f>报表附注!I2569</f>
        <v>0</v>
      </c>
      <c r="D2157" s="2252" t="b">
        <f t="shared" si="45"/>
        <v>1</v>
      </c>
    </row>
    <row r="2158" spans="1:4">
      <c r="A2158" s="2252" t="s">
        <v>2021</v>
      </c>
      <c r="B2158" s="2262" t="str">
        <f>报表附注!E2570</f>
        <v>合计</v>
      </c>
      <c r="C2158" s="2260">
        <f>报表附注!I2570</f>
        <v>0</v>
      </c>
      <c r="D2158" s="2252" t="b">
        <f t="shared" si="45"/>
        <v>1</v>
      </c>
    </row>
    <row r="2159" spans="2:4">
      <c r="B2159" s="2273"/>
      <c r="D2159" s="2252" t="b">
        <f t="shared" si="45"/>
        <v>1</v>
      </c>
    </row>
    <row r="2160" spans="1:4">
      <c r="A2160" s="2252" t="s">
        <v>2331</v>
      </c>
      <c r="B2160" s="385" t="s">
        <v>2331</v>
      </c>
      <c r="D2160" s="2252" t="b">
        <f t="shared" si="45"/>
        <v>1</v>
      </c>
    </row>
    <row r="2161" spans="1:4">
      <c r="A2161" s="2252" t="s">
        <v>2299</v>
      </c>
      <c r="B2161" s="2273" t="s">
        <v>2299</v>
      </c>
      <c r="D2161" s="2252" t="b">
        <f t="shared" si="45"/>
        <v>1</v>
      </c>
    </row>
    <row r="2162" spans="1:4">
      <c r="A2162" s="2252" t="s">
        <v>2332</v>
      </c>
      <c r="B2162" s="386" t="str">
        <f>报表附注!E2575</f>
        <v>地区1--国内销售</v>
      </c>
      <c r="C2162" s="2260">
        <f>报表附注!F2575</f>
        <v>128352053.09</v>
      </c>
      <c r="D2162" s="2252" t="b">
        <f t="shared" si="45"/>
        <v>0</v>
      </c>
    </row>
    <row r="2163" spans="1:4">
      <c r="A2163" s="2252" t="s">
        <v>2333</v>
      </c>
      <c r="B2163" s="386" t="str">
        <f>报表附注!E2576</f>
        <v>地区2--国外销售</v>
      </c>
      <c r="C2163" s="2260">
        <f>报表附注!F2576</f>
        <v>0</v>
      </c>
      <c r="D2163" s="2252" t="b">
        <f t="shared" si="45"/>
        <v>0</v>
      </c>
    </row>
    <row r="2164" spans="1:4">
      <c r="A2164" s="2252" t="s">
        <v>2334</v>
      </c>
      <c r="B2164" s="386" t="str">
        <f>报表附注!E2577</f>
        <v>地区3--港澳台销售</v>
      </c>
      <c r="C2164" s="2260">
        <f>报表附注!F2577</f>
        <v>0</v>
      </c>
      <c r="D2164" s="2252" t="b">
        <f t="shared" si="45"/>
        <v>0</v>
      </c>
    </row>
    <row r="2165" spans="1:4">
      <c r="A2165" s="2252" t="s">
        <v>2335</v>
      </c>
      <c r="B2165" s="386">
        <f>报表附注!E2578</f>
        <v>0</v>
      </c>
      <c r="C2165" s="2260">
        <f>报表附注!F2578</f>
        <v>0</v>
      </c>
      <c r="D2165" s="2252" t="b">
        <f t="shared" si="45"/>
        <v>0</v>
      </c>
    </row>
    <row r="2166" spans="1:4">
      <c r="A2166" s="2252" t="s">
        <v>2336</v>
      </c>
      <c r="B2166" s="386">
        <f>报表附注!E2579</f>
        <v>0</v>
      </c>
      <c r="C2166" s="2260">
        <f>报表附注!F2579</f>
        <v>0</v>
      </c>
      <c r="D2166" s="2252" t="b">
        <f t="shared" si="45"/>
        <v>0</v>
      </c>
    </row>
    <row r="2167" spans="1:4">
      <c r="A2167" s="2252" t="s">
        <v>2337</v>
      </c>
      <c r="B2167" s="386" t="str">
        <f>报表附注!E2580</f>
        <v>地区6--</v>
      </c>
      <c r="C2167" s="2260">
        <f>报表附注!F2580</f>
        <v>0</v>
      </c>
      <c r="D2167" s="2252" t="b">
        <f t="shared" si="45"/>
        <v>1</v>
      </c>
    </row>
    <row r="2168" spans="1:4">
      <c r="A2168" s="2252" t="s">
        <v>2338</v>
      </c>
      <c r="B2168" s="386" t="str">
        <f>报表附注!E2581</f>
        <v>地区7--</v>
      </c>
      <c r="C2168" s="2260">
        <f>报表附注!F2581</f>
        <v>0</v>
      </c>
      <c r="D2168" s="2252" t="b">
        <f t="shared" si="45"/>
        <v>1</v>
      </c>
    </row>
    <row r="2169" spans="1:4">
      <c r="A2169" s="2252" t="s">
        <v>2339</v>
      </c>
      <c r="B2169" s="386" t="str">
        <f>报表附注!E2582</f>
        <v>地区8--</v>
      </c>
      <c r="C2169" s="2260">
        <f>报表附注!F2582</f>
        <v>0</v>
      </c>
      <c r="D2169" s="2252" t="b">
        <f t="shared" si="45"/>
        <v>1</v>
      </c>
    </row>
    <row r="2170" spans="1:4">
      <c r="A2170" s="2252" t="s">
        <v>2340</v>
      </c>
      <c r="B2170" s="386" t="str">
        <f>报表附注!E2583</f>
        <v>地区9--</v>
      </c>
      <c r="C2170" s="2260">
        <f>报表附注!F2583</f>
        <v>0</v>
      </c>
      <c r="D2170" s="2252" t="b">
        <f t="shared" si="45"/>
        <v>1</v>
      </c>
    </row>
    <row r="2171" spans="1:4">
      <c r="A2171" s="2252" t="s">
        <v>2341</v>
      </c>
      <c r="B2171" s="386" t="str">
        <f>报表附注!E2584</f>
        <v>地区10--</v>
      </c>
      <c r="C2171" s="2260">
        <f>报表附注!F2584</f>
        <v>0</v>
      </c>
      <c r="D2171" s="2252" t="b">
        <f t="shared" si="45"/>
        <v>1</v>
      </c>
    </row>
    <row r="2172" spans="1:4">
      <c r="A2172" s="2252" t="s">
        <v>2342</v>
      </c>
      <c r="B2172" s="386" t="str">
        <f>报表附注!E2585</f>
        <v>地区11--</v>
      </c>
      <c r="C2172" s="2260">
        <f>报表附注!F2585</f>
        <v>0</v>
      </c>
      <c r="D2172" s="2252" t="b">
        <f t="shared" si="45"/>
        <v>1</v>
      </c>
    </row>
    <row r="2173" spans="1:4">
      <c r="A2173" s="2252" t="s">
        <v>2343</v>
      </c>
      <c r="B2173" s="386" t="str">
        <f>报表附注!E2586</f>
        <v>地区12--</v>
      </c>
      <c r="C2173" s="2260">
        <f>报表附注!F2586</f>
        <v>0</v>
      </c>
      <c r="D2173" s="2252" t="b">
        <f t="shared" si="45"/>
        <v>1</v>
      </c>
    </row>
    <row r="2174" spans="1:4">
      <c r="A2174" s="2252" t="s">
        <v>2344</v>
      </c>
      <c r="B2174" s="386" t="str">
        <f>报表附注!E2587</f>
        <v>地区13--</v>
      </c>
      <c r="C2174" s="2260">
        <f>报表附注!F2587</f>
        <v>0</v>
      </c>
      <c r="D2174" s="2252" t="b">
        <f t="shared" ref="D2174:D2237" si="46">EXACT(A2174,B2174)</f>
        <v>1</v>
      </c>
    </row>
    <row r="2175" spans="1:4">
      <c r="A2175" s="2252" t="s">
        <v>2021</v>
      </c>
      <c r="B2175" s="387" t="str">
        <f>报表附注!E2588</f>
        <v>合计</v>
      </c>
      <c r="C2175" s="2260">
        <f>报表附注!F2588</f>
        <v>128352053.09</v>
      </c>
      <c r="D2175" s="2252" t="b">
        <f t="shared" si="46"/>
        <v>1</v>
      </c>
    </row>
    <row r="2176" spans="1:4">
      <c r="A2176" s="2252" t="s">
        <v>2314</v>
      </c>
      <c r="B2176" s="2273" t="s">
        <v>2314</v>
      </c>
      <c r="D2176" s="2252" t="b">
        <f t="shared" si="46"/>
        <v>1</v>
      </c>
    </row>
    <row r="2177" spans="1:4">
      <c r="A2177" s="2252" t="s">
        <v>2332</v>
      </c>
      <c r="B2177" s="386" t="str">
        <f>报表附注!E2575</f>
        <v>地区1--国内销售</v>
      </c>
      <c r="C2177" s="2260">
        <f>报表附注!G2575</f>
        <v>51048705.7</v>
      </c>
      <c r="D2177" s="2252" t="b">
        <f t="shared" si="46"/>
        <v>0</v>
      </c>
    </row>
    <row r="2178" spans="1:4">
      <c r="A2178" s="2252" t="s">
        <v>2333</v>
      </c>
      <c r="B2178" s="386" t="str">
        <f>报表附注!E2576</f>
        <v>地区2--国外销售</v>
      </c>
      <c r="C2178" s="2260">
        <f>报表附注!G2576</f>
        <v>0</v>
      </c>
      <c r="D2178" s="2252" t="b">
        <f t="shared" si="46"/>
        <v>0</v>
      </c>
    </row>
    <row r="2179" spans="1:4">
      <c r="A2179" s="2252" t="s">
        <v>2334</v>
      </c>
      <c r="B2179" s="386" t="str">
        <f>报表附注!E2577</f>
        <v>地区3--港澳台销售</v>
      </c>
      <c r="C2179" s="2260">
        <f>报表附注!G2577</f>
        <v>0</v>
      </c>
      <c r="D2179" s="2252" t="b">
        <f t="shared" si="46"/>
        <v>0</v>
      </c>
    </row>
    <row r="2180" spans="1:4">
      <c r="A2180" s="2252" t="s">
        <v>2335</v>
      </c>
      <c r="B2180" s="386">
        <f>报表附注!E2578</f>
        <v>0</v>
      </c>
      <c r="C2180" s="2260">
        <f>报表附注!G2578</f>
        <v>0</v>
      </c>
      <c r="D2180" s="2252" t="b">
        <f t="shared" si="46"/>
        <v>0</v>
      </c>
    </row>
    <row r="2181" spans="1:4">
      <c r="A2181" s="2252" t="s">
        <v>2336</v>
      </c>
      <c r="B2181" s="386">
        <f>报表附注!E2579</f>
        <v>0</v>
      </c>
      <c r="C2181" s="2260">
        <f>报表附注!G2579</f>
        <v>0</v>
      </c>
      <c r="D2181" s="2252" t="b">
        <f t="shared" si="46"/>
        <v>0</v>
      </c>
    </row>
    <row r="2182" spans="1:4">
      <c r="A2182" s="2252" t="s">
        <v>2337</v>
      </c>
      <c r="B2182" s="386" t="str">
        <f>报表附注!E2580</f>
        <v>地区6--</v>
      </c>
      <c r="C2182" s="2260">
        <f>报表附注!G2580</f>
        <v>0</v>
      </c>
      <c r="D2182" s="2252" t="b">
        <f t="shared" si="46"/>
        <v>1</v>
      </c>
    </row>
    <row r="2183" spans="1:4">
      <c r="A2183" s="2252" t="s">
        <v>2338</v>
      </c>
      <c r="B2183" s="386" t="str">
        <f>报表附注!E2581</f>
        <v>地区7--</v>
      </c>
      <c r="C2183" s="2260">
        <f>报表附注!G2581</f>
        <v>0</v>
      </c>
      <c r="D2183" s="2252" t="b">
        <f t="shared" si="46"/>
        <v>1</v>
      </c>
    </row>
    <row r="2184" spans="1:4">
      <c r="A2184" s="2252" t="s">
        <v>2339</v>
      </c>
      <c r="B2184" s="386" t="str">
        <f>报表附注!E2582</f>
        <v>地区8--</v>
      </c>
      <c r="C2184" s="2260">
        <f>报表附注!G2582</f>
        <v>0</v>
      </c>
      <c r="D2184" s="2252" t="b">
        <f t="shared" si="46"/>
        <v>1</v>
      </c>
    </row>
    <row r="2185" spans="1:4">
      <c r="A2185" s="2252" t="s">
        <v>2340</v>
      </c>
      <c r="B2185" s="386" t="str">
        <f>报表附注!E2583</f>
        <v>地区9--</v>
      </c>
      <c r="C2185" s="2260">
        <f>报表附注!G2583</f>
        <v>0</v>
      </c>
      <c r="D2185" s="2252" t="b">
        <f t="shared" si="46"/>
        <v>1</v>
      </c>
    </row>
    <row r="2186" spans="1:4">
      <c r="A2186" s="2252" t="s">
        <v>2341</v>
      </c>
      <c r="B2186" s="386" t="str">
        <f>报表附注!E2584</f>
        <v>地区10--</v>
      </c>
      <c r="C2186" s="2260">
        <f>报表附注!G2584</f>
        <v>0</v>
      </c>
      <c r="D2186" s="2252" t="b">
        <f t="shared" si="46"/>
        <v>1</v>
      </c>
    </row>
    <row r="2187" spans="1:4">
      <c r="A2187" s="2252" t="s">
        <v>2342</v>
      </c>
      <c r="B2187" s="386" t="str">
        <f>报表附注!E2585</f>
        <v>地区11--</v>
      </c>
      <c r="C2187" s="2260">
        <f>报表附注!G2585</f>
        <v>0</v>
      </c>
      <c r="D2187" s="2252" t="b">
        <f t="shared" si="46"/>
        <v>1</v>
      </c>
    </row>
    <row r="2188" spans="1:4">
      <c r="A2188" s="2252" t="s">
        <v>2343</v>
      </c>
      <c r="B2188" s="386" t="str">
        <f>报表附注!E2586</f>
        <v>地区12--</v>
      </c>
      <c r="C2188" s="2260">
        <f>报表附注!G2586</f>
        <v>0</v>
      </c>
      <c r="D2188" s="2252" t="b">
        <f t="shared" si="46"/>
        <v>1</v>
      </c>
    </row>
    <row r="2189" spans="1:4">
      <c r="A2189" s="2252" t="s">
        <v>2344</v>
      </c>
      <c r="B2189" s="386" t="str">
        <f>报表附注!E2587</f>
        <v>地区13--</v>
      </c>
      <c r="C2189" s="2260">
        <f>报表附注!G2587</f>
        <v>0</v>
      </c>
      <c r="D2189" s="2252" t="b">
        <f t="shared" si="46"/>
        <v>1</v>
      </c>
    </row>
    <row r="2190" spans="1:4">
      <c r="A2190" s="2252" t="s">
        <v>2021</v>
      </c>
      <c r="B2190" s="387" t="str">
        <f>报表附注!E2588</f>
        <v>合计</v>
      </c>
      <c r="C2190" s="2260">
        <f>报表附注!G2588</f>
        <v>51048705.7</v>
      </c>
      <c r="D2190" s="2252" t="b">
        <f t="shared" si="46"/>
        <v>1</v>
      </c>
    </row>
    <row r="2191" spans="1:4">
      <c r="A2191" s="2252" t="s">
        <v>2315</v>
      </c>
      <c r="B2191" s="2273" t="s">
        <v>2315</v>
      </c>
      <c r="D2191" s="2252" t="b">
        <f t="shared" si="46"/>
        <v>1</v>
      </c>
    </row>
    <row r="2192" spans="1:4">
      <c r="A2192" s="2252" t="s">
        <v>2332</v>
      </c>
      <c r="B2192" s="2259" t="str">
        <f>报表附注!E2575</f>
        <v>地区1--国内销售</v>
      </c>
      <c r="C2192" s="2260">
        <f>报表附注!H2575</f>
        <v>63925607.44</v>
      </c>
      <c r="D2192" s="2252" t="b">
        <f t="shared" si="46"/>
        <v>0</v>
      </c>
    </row>
    <row r="2193" spans="1:4">
      <c r="A2193" s="2252" t="s">
        <v>2333</v>
      </c>
      <c r="B2193" s="2259" t="str">
        <f>报表附注!E2576</f>
        <v>地区2--国外销售</v>
      </c>
      <c r="C2193" s="2260">
        <f>报表附注!H2576</f>
        <v>0</v>
      </c>
      <c r="D2193" s="2252" t="b">
        <f t="shared" si="46"/>
        <v>0</v>
      </c>
    </row>
    <row r="2194" spans="1:4">
      <c r="A2194" s="2252" t="s">
        <v>2334</v>
      </c>
      <c r="B2194" s="2259" t="str">
        <f>报表附注!E2577</f>
        <v>地区3--港澳台销售</v>
      </c>
      <c r="C2194" s="2260">
        <f>报表附注!H2577</f>
        <v>0</v>
      </c>
      <c r="D2194" s="2252" t="b">
        <f t="shared" si="46"/>
        <v>0</v>
      </c>
    </row>
    <row r="2195" spans="1:4">
      <c r="A2195" s="2252" t="s">
        <v>2335</v>
      </c>
      <c r="B2195" s="2259">
        <f>报表附注!E2578</f>
        <v>0</v>
      </c>
      <c r="C2195" s="2260">
        <f>报表附注!H2578</f>
        <v>0</v>
      </c>
      <c r="D2195" s="2252" t="b">
        <f t="shared" si="46"/>
        <v>0</v>
      </c>
    </row>
    <row r="2196" spans="1:4">
      <c r="A2196" s="2252" t="s">
        <v>2336</v>
      </c>
      <c r="B2196" s="2259">
        <f>报表附注!E2579</f>
        <v>0</v>
      </c>
      <c r="C2196" s="2260">
        <f>报表附注!H2579</f>
        <v>0</v>
      </c>
      <c r="D2196" s="2252" t="b">
        <f t="shared" si="46"/>
        <v>0</v>
      </c>
    </row>
    <row r="2197" spans="1:4">
      <c r="A2197" s="2252" t="s">
        <v>2337</v>
      </c>
      <c r="B2197" s="2259" t="str">
        <f>报表附注!E2580</f>
        <v>地区6--</v>
      </c>
      <c r="C2197" s="2260">
        <f>报表附注!H2580</f>
        <v>0</v>
      </c>
      <c r="D2197" s="2252" t="b">
        <f t="shared" si="46"/>
        <v>1</v>
      </c>
    </row>
    <row r="2198" spans="1:4">
      <c r="A2198" s="2252" t="s">
        <v>2338</v>
      </c>
      <c r="B2198" s="2259" t="str">
        <f>报表附注!E2581</f>
        <v>地区7--</v>
      </c>
      <c r="C2198" s="2260">
        <f>报表附注!H2581</f>
        <v>0</v>
      </c>
      <c r="D2198" s="2252" t="b">
        <f t="shared" si="46"/>
        <v>1</v>
      </c>
    </row>
    <row r="2199" spans="1:4">
      <c r="A2199" s="2252" t="s">
        <v>2339</v>
      </c>
      <c r="B2199" s="2259" t="str">
        <f>报表附注!E2582</f>
        <v>地区8--</v>
      </c>
      <c r="C2199" s="2260">
        <f>报表附注!H2582</f>
        <v>0</v>
      </c>
      <c r="D2199" s="2252" t="b">
        <f t="shared" si="46"/>
        <v>1</v>
      </c>
    </row>
    <row r="2200" spans="1:4">
      <c r="A2200" s="2252" t="s">
        <v>2340</v>
      </c>
      <c r="B2200" s="2259" t="str">
        <f>报表附注!E2583</f>
        <v>地区9--</v>
      </c>
      <c r="C2200" s="2260">
        <f>报表附注!H2583</f>
        <v>0</v>
      </c>
      <c r="D2200" s="2252" t="b">
        <f t="shared" si="46"/>
        <v>1</v>
      </c>
    </row>
    <row r="2201" spans="1:4">
      <c r="A2201" s="2252" t="s">
        <v>2341</v>
      </c>
      <c r="B2201" s="2259" t="str">
        <f>报表附注!E2584</f>
        <v>地区10--</v>
      </c>
      <c r="C2201" s="2260">
        <f>报表附注!H2584</f>
        <v>0</v>
      </c>
      <c r="D2201" s="2252" t="b">
        <f t="shared" si="46"/>
        <v>1</v>
      </c>
    </row>
    <row r="2202" spans="1:4">
      <c r="A2202" s="2252" t="s">
        <v>2342</v>
      </c>
      <c r="B2202" s="2259" t="str">
        <f>报表附注!E2585</f>
        <v>地区11--</v>
      </c>
      <c r="C2202" s="2260">
        <f>报表附注!H2585</f>
        <v>0</v>
      </c>
      <c r="D2202" s="2252" t="b">
        <f t="shared" si="46"/>
        <v>1</v>
      </c>
    </row>
    <row r="2203" spans="1:4">
      <c r="A2203" s="2252" t="s">
        <v>2343</v>
      </c>
      <c r="B2203" s="2259" t="str">
        <f>报表附注!E2586</f>
        <v>地区12--</v>
      </c>
      <c r="C2203" s="2260">
        <f>报表附注!H2586</f>
        <v>0</v>
      </c>
      <c r="D2203" s="2252" t="b">
        <f t="shared" si="46"/>
        <v>1</v>
      </c>
    </row>
    <row r="2204" spans="1:4">
      <c r="A2204" s="2252" t="s">
        <v>2344</v>
      </c>
      <c r="B2204" s="2259" t="str">
        <f>报表附注!E2587</f>
        <v>地区13--</v>
      </c>
      <c r="C2204" s="2260">
        <f>报表附注!H2587</f>
        <v>0</v>
      </c>
      <c r="D2204" s="2252" t="b">
        <f t="shared" si="46"/>
        <v>1</v>
      </c>
    </row>
    <row r="2205" spans="1:4">
      <c r="A2205" s="2252" t="s">
        <v>2021</v>
      </c>
      <c r="B2205" s="2262" t="str">
        <f>报表附注!E2588</f>
        <v>合计</v>
      </c>
      <c r="C2205" s="2260">
        <f>报表附注!H2588</f>
        <v>63925607.44</v>
      </c>
      <c r="D2205" s="2252" t="b">
        <f t="shared" si="46"/>
        <v>1</v>
      </c>
    </row>
    <row r="2206" spans="1:4">
      <c r="A2206" s="2252" t="s">
        <v>2316</v>
      </c>
      <c r="B2206" s="2273" t="s">
        <v>2316</v>
      </c>
      <c r="D2206" s="2252" t="b">
        <f t="shared" si="46"/>
        <v>1</v>
      </c>
    </row>
    <row r="2207" spans="1:4">
      <c r="A2207" s="2252" t="s">
        <v>2332</v>
      </c>
      <c r="B2207" s="2259" t="str">
        <f>报表附注!E2575</f>
        <v>地区1--国内销售</v>
      </c>
      <c r="C2207" s="2260">
        <f>报表附注!I2575</f>
        <v>0</v>
      </c>
      <c r="D2207" s="2252" t="b">
        <f t="shared" si="46"/>
        <v>0</v>
      </c>
    </row>
    <row r="2208" spans="1:4">
      <c r="A2208" s="2252" t="s">
        <v>2333</v>
      </c>
      <c r="B2208" s="2259" t="str">
        <f>报表附注!E2576</f>
        <v>地区2--国外销售</v>
      </c>
      <c r="C2208" s="2260">
        <f>报表附注!I2576</f>
        <v>0</v>
      </c>
      <c r="D2208" s="2252" t="b">
        <f t="shared" si="46"/>
        <v>0</v>
      </c>
    </row>
    <row r="2209" spans="1:4">
      <c r="A2209" s="2252" t="s">
        <v>2334</v>
      </c>
      <c r="B2209" s="2259" t="str">
        <f>报表附注!E2577</f>
        <v>地区3--港澳台销售</v>
      </c>
      <c r="C2209" s="2260">
        <f>报表附注!I2577</f>
        <v>0</v>
      </c>
      <c r="D2209" s="2252" t="b">
        <f t="shared" si="46"/>
        <v>0</v>
      </c>
    </row>
    <row r="2210" spans="1:4">
      <c r="A2210" s="2252" t="s">
        <v>2335</v>
      </c>
      <c r="B2210" s="2259">
        <f>报表附注!E2578</f>
        <v>0</v>
      </c>
      <c r="C2210" s="2260">
        <f>报表附注!I2578</f>
        <v>0</v>
      </c>
      <c r="D2210" s="2252" t="b">
        <f t="shared" si="46"/>
        <v>0</v>
      </c>
    </row>
    <row r="2211" spans="1:4">
      <c r="A2211" s="2252" t="s">
        <v>2336</v>
      </c>
      <c r="B2211" s="2259">
        <f>报表附注!E2579</f>
        <v>0</v>
      </c>
      <c r="C2211" s="2260">
        <f>报表附注!I2579</f>
        <v>0</v>
      </c>
      <c r="D2211" s="2252" t="b">
        <f t="shared" si="46"/>
        <v>0</v>
      </c>
    </row>
    <row r="2212" spans="1:4">
      <c r="A2212" s="2252" t="s">
        <v>2337</v>
      </c>
      <c r="B2212" s="2259" t="str">
        <f>报表附注!E2580</f>
        <v>地区6--</v>
      </c>
      <c r="C2212" s="2260">
        <f>报表附注!I2580</f>
        <v>0</v>
      </c>
      <c r="D2212" s="2252" t="b">
        <f t="shared" si="46"/>
        <v>1</v>
      </c>
    </row>
    <row r="2213" spans="1:4">
      <c r="A2213" s="2252" t="s">
        <v>2338</v>
      </c>
      <c r="B2213" s="2259" t="str">
        <f>报表附注!E2581</f>
        <v>地区7--</v>
      </c>
      <c r="C2213" s="2260">
        <f>报表附注!I2581</f>
        <v>0</v>
      </c>
      <c r="D2213" s="2252" t="b">
        <f t="shared" si="46"/>
        <v>1</v>
      </c>
    </row>
    <row r="2214" spans="1:4">
      <c r="A2214" s="2252" t="s">
        <v>2339</v>
      </c>
      <c r="B2214" s="2259" t="str">
        <f>报表附注!E2582</f>
        <v>地区8--</v>
      </c>
      <c r="C2214" s="2260">
        <f>报表附注!I2582</f>
        <v>0</v>
      </c>
      <c r="D2214" s="2252" t="b">
        <f t="shared" si="46"/>
        <v>1</v>
      </c>
    </row>
    <row r="2215" spans="1:4">
      <c r="A2215" s="2252" t="s">
        <v>2340</v>
      </c>
      <c r="B2215" s="2259" t="str">
        <f>报表附注!E2583</f>
        <v>地区9--</v>
      </c>
      <c r="C2215" s="2260">
        <f>报表附注!I2583</f>
        <v>0</v>
      </c>
      <c r="D2215" s="2252" t="b">
        <f t="shared" si="46"/>
        <v>1</v>
      </c>
    </row>
    <row r="2216" spans="1:4">
      <c r="A2216" s="2252" t="s">
        <v>2341</v>
      </c>
      <c r="B2216" s="2259" t="str">
        <f>报表附注!E2584</f>
        <v>地区10--</v>
      </c>
      <c r="C2216" s="2260">
        <f>报表附注!I2584</f>
        <v>0</v>
      </c>
      <c r="D2216" s="2252" t="b">
        <f t="shared" si="46"/>
        <v>1</v>
      </c>
    </row>
    <row r="2217" spans="1:4">
      <c r="A2217" s="2252" t="s">
        <v>2342</v>
      </c>
      <c r="B2217" s="2259" t="str">
        <f>报表附注!E2585</f>
        <v>地区11--</v>
      </c>
      <c r="C2217" s="2260">
        <f>报表附注!I2585</f>
        <v>0</v>
      </c>
      <c r="D2217" s="2252" t="b">
        <f t="shared" si="46"/>
        <v>1</v>
      </c>
    </row>
    <row r="2218" spans="1:4">
      <c r="A2218" s="2252" t="s">
        <v>2343</v>
      </c>
      <c r="B2218" s="2259" t="str">
        <f>报表附注!E2586</f>
        <v>地区12--</v>
      </c>
      <c r="C2218" s="2260">
        <f>报表附注!I2586</f>
        <v>0</v>
      </c>
      <c r="D2218" s="2252" t="b">
        <f t="shared" si="46"/>
        <v>1</v>
      </c>
    </row>
    <row r="2219" spans="1:4">
      <c r="A2219" s="2252" t="s">
        <v>2344</v>
      </c>
      <c r="B2219" s="2259" t="str">
        <f>报表附注!E2587</f>
        <v>地区13--</v>
      </c>
      <c r="C2219" s="2260">
        <f>报表附注!I2587</f>
        <v>0</v>
      </c>
      <c r="D2219" s="2252" t="b">
        <f t="shared" si="46"/>
        <v>1</v>
      </c>
    </row>
    <row r="2220" spans="1:4">
      <c r="A2220" s="2252" t="s">
        <v>2021</v>
      </c>
      <c r="B2220" s="2262" t="str">
        <f>报表附注!E2588</f>
        <v>合计</v>
      </c>
      <c r="C2220" s="2260">
        <f>报表附注!I2588</f>
        <v>0</v>
      </c>
      <c r="D2220" s="2252" t="b">
        <f t="shared" si="46"/>
        <v>1</v>
      </c>
    </row>
    <row r="2221" spans="2:4">
      <c r="B2221" s="2273"/>
      <c r="D2221" s="2252" t="b">
        <f t="shared" si="46"/>
        <v>1</v>
      </c>
    </row>
    <row r="2222" spans="1:4">
      <c r="A2222" s="2252" t="s">
        <v>2345</v>
      </c>
      <c r="B2222" s="2307" t="s">
        <v>2345</v>
      </c>
      <c r="D2222" s="2252" t="b">
        <f t="shared" si="46"/>
        <v>1</v>
      </c>
    </row>
    <row r="2223" spans="4:4">
      <c r="D2223" s="2252" t="b">
        <f t="shared" si="46"/>
        <v>1</v>
      </c>
    </row>
    <row r="2224" spans="1:4">
      <c r="A2224" s="2252" t="s">
        <v>2346</v>
      </c>
      <c r="B2224" s="2270" t="s">
        <v>2346</v>
      </c>
      <c r="D2224" s="2252" t="b">
        <f t="shared" si="46"/>
        <v>1</v>
      </c>
    </row>
    <row r="2225" spans="1:4">
      <c r="A2225" s="2252" t="s">
        <v>2347</v>
      </c>
      <c r="B2225" s="2273" t="s">
        <v>2347</v>
      </c>
      <c r="D2225" s="2252" t="b">
        <f t="shared" si="46"/>
        <v>1</v>
      </c>
    </row>
    <row r="2226" spans="1:4">
      <c r="A2226" s="2252" t="s">
        <v>1088</v>
      </c>
      <c r="B2226" s="2253" t="str">
        <f>报表附注!E2623</f>
        <v>营业税</v>
      </c>
      <c r="C2226" s="2260">
        <f>报表附注!F2623</f>
        <v>183606.79</v>
      </c>
      <c r="D2226" s="2252" t="b">
        <f t="shared" si="46"/>
        <v>1</v>
      </c>
    </row>
    <row r="2227" spans="1:4">
      <c r="A2227" s="2252" t="s">
        <v>1090</v>
      </c>
      <c r="B2227" s="2253" t="str">
        <f>报表附注!E2624</f>
        <v>消费税</v>
      </c>
      <c r="C2227" s="2260">
        <f>报表附注!F2624</f>
        <v>0</v>
      </c>
      <c r="D2227" s="2252" t="b">
        <f t="shared" si="46"/>
        <v>1</v>
      </c>
    </row>
    <row r="2228" spans="1:4">
      <c r="A2228" s="2252" t="s">
        <v>1104</v>
      </c>
      <c r="B2228" s="2253" t="str">
        <f>报表附注!E2625</f>
        <v>资源税</v>
      </c>
      <c r="C2228" s="2260">
        <f>报表附注!F2625</f>
        <v>0</v>
      </c>
      <c r="D2228" s="2252" t="b">
        <f t="shared" si="46"/>
        <v>1</v>
      </c>
    </row>
    <row r="2229" spans="1:4">
      <c r="A2229" s="2252" t="s">
        <v>2348</v>
      </c>
      <c r="B2229" s="2253" t="str">
        <f>报表附注!E2626</f>
        <v>城市维护建设税</v>
      </c>
      <c r="C2229" s="2260">
        <f>报表附注!F2626</f>
        <v>37375.58</v>
      </c>
      <c r="D2229" s="2252" t="b">
        <f t="shared" si="46"/>
        <v>1</v>
      </c>
    </row>
    <row r="2230" spans="1:4">
      <c r="A2230" s="2252" t="s">
        <v>2349</v>
      </c>
      <c r="B2230" s="2253" t="str">
        <f>报表附注!E2627</f>
        <v>教育费附加</v>
      </c>
      <c r="C2230" s="2260">
        <f>报表附注!F2627</f>
        <v>16018.11</v>
      </c>
      <c r="D2230" s="2252" t="b">
        <f t="shared" si="46"/>
        <v>1</v>
      </c>
    </row>
    <row r="2231" spans="1:4">
      <c r="A2231" s="2252" t="s">
        <v>2350</v>
      </c>
      <c r="B2231" s="2253" t="str">
        <f>报表附注!E2628</f>
        <v>地方费附加</v>
      </c>
      <c r="C2231" s="2260">
        <f>报表附注!F2628</f>
        <v>10678.74</v>
      </c>
      <c r="D2231" s="2252" t="b">
        <f t="shared" si="46"/>
        <v>1</v>
      </c>
    </row>
    <row r="2232" spans="1:4">
      <c r="A2232" s="2252" t="s">
        <v>280</v>
      </c>
      <c r="B2232" s="2253" t="str">
        <f>报表附注!E2629</f>
        <v>其他</v>
      </c>
      <c r="C2232" s="2260">
        <f>报表附注!F2629</f>
        <v>125964.61</v>
      </c>
      <c r="D2232" s="2252" t="b">
        <f t="shared" si="46"/>
        <v>1</v>
      </c>
    </row>
    <row r="2233" spans="1:4">
      <c r="A2233" s="2252" t="s">
        <v>2021</v>
      </c>
      <c r="B2233" s="2263" t="str">
        <f>报表附注!E2630</f>
        <v>合计</v>
      </c>
      <c r="C2233" s="2260">
        <f>报表附注!F2630</f>
        <v>373643.83</v>
      </c>
      <c r="D2233" s="2252" t="b">
        <f t="shared" si="46"/>
        <v>1</v>
      </c>
    </row>
    <row r="2234" spans="1:4">
      <c r="A2234" s="2252" t="s">
        <v>2351</v>
      </c>
      <c r="B2234" s="2273" t="s">
        <v>2351</v>
      </c>
      <c r="D2234" s="2252" t="b">
        <f t="shared" si="46"/>
        <v>1</v>
      </c>
    </row>
    <row r="2235" spans="1:4">
      <c r="A2235" s="2252" t="s">
        <v>1088</v>
      </c>
      <c r="B2235" s="2253" t="str">
        <f>报表附注!E2623</f>
        <v>营业税</v>
      </c>
      <c r="C2235" s="2260">
        <f>报表附注!G2623</f>
        <v>29310.81</v>
      </c>
      <c r="D2235" s="2252" t="b">
        <f t="shared" si="46"/>
        <v>1</v>
      </c>
    </row>
    <row r="2236" spans="1:4">
      <c r="A2236" s="2252" t="s">
        <v>1090</v>
      </c>
      <c r="B2236" s="2253" t="str">
        <f>报表附注!E2624</f>
        <v>消费税</v>
      </c>
      <c r="C2236" s="2260">
        <f>报表附注!G2624</f>
        <v>0</v>
      </c>
      <c r="D2236" s="2252" t="b">
        <f t="shared" si="46"/>
        <v>1</v>
      </c>
    </row>
    <row r="2237" spans="1:4">
      <c r="A2237" s="2252" t="s">
        <v>1104</v>
      </c>
      <c r="B2237" s="2253" t="str">
        <f>报表附注!E2625</f>
        <v>资源税</v>
      </c>
      <c r="C2237" s="2260">
        <f>报表附注!G2625</f>
        <v>0</v>
      </c>
      <c r="D2237" s="2252" t="b">
        <f t="shared" si="46"/>
        <v>1</v>
      </c>
    </row>
    <row r="2238" spans="1:4">
      <c r="A2238" s="2252" t="s">
        <v>2348</v>
      </c>
      <c r="B2238" s="2253" t="str">
        <f>报表附注!E2626</f>
        <v>城市维护建设税</v>
      </c>
      <c r="C2238" s="2260">
        <f>报表附注!G2626</f>
        <v>120706.21</v>
      </c>
      <c r="D2238" s="2252" t="b">
        <f t="shared" ref="D2238:D2301" si="47">EXACT(A2238,B2238)</f>
        <v>1</v>
      </c>
    </row>
    <row r="2239" spans="1:4">
      <c r="A2239" s="2252" t="s">
        <v>2349</v>
      </c>
      <c r="B2239" s="2253" t="str">
        <f>报表附注!E2627</f>
        <v>教育费附加</v>
      </c>
      <c r="C2239" s="2260">
        <f>报表附注!G2627</f>
        <v>51724.01</v>
      </c>
      <c r="D2239" s="2252" t="b">
        <f t="shared" si="47"/>
        <v>1</v>
      </c>
    </row>
    <row r="2240" spans="1:4">
      <c r="A2240" s="2252" t="s">
        <v>2350</v>
      </c>
      <c r="B2240" s="2253" t="str">
        <f>报表附注!E2628</f>
        <v>地方费附加</v>
      </c>
      <c r="C2240" s="2260">
        <f>报表附注!G2628</f>
        <v>34482.68</v>
      </c>
      <c r="D2240" s="2252" t="b">
        <f t="shared" si="47"/>
        <v>1</v>
      </c>
    </row>
    <row r="2241" spans="1:4">
      <c r="A2241" s="2252" t="s">
        <v>280</v>
      </c>
      <c r="B2241" s="2253" t="str">
        <f>报表附注!E2629</f>
        <v>其他</v>
      </c>
      <c r="C2241" s="2260">
        <f>报表附注!G2629</f>
        <v>6370.03</v>
      </c>
      <c r="D2241" s="2252" t="b">
        <f t="shared" si="47"/>
        <v>1</v>
      </c>
    </row>
    <row r="2242" spans="1:4">
      <c r="A2242" s="2252" t="s">
        <v>2021</v>
      </c>
      <c r="B2242" s="2263" t="str">
        <f>报表附注!E2630</f>
        <v>合计</v>
      </c>
      <c r="C2242" s="2260">
        <f>报表附注!G2630</f>
        <v>242593.74</v>
      </c>
      <c r="D2242" s="2252" t="b">
        <f t="shared" si="47"/>
        <v>1</v>
      </c>
    </row>
    <row r="2243" spans="4:4">
      <c r="D2243" s="2252" t="b">
        <f t="shared" si="47"/>
        <v>1</v>
      </c>
    </row>
    <row r="2244" spans="1:4">
      <c r="A2244" s="2252" t="s">
        <v>2352</v>
      </c>
      <c r="B2244" s="2272" t="s">
        <v>2352</v>
      </c>
      <c r="D2244" s="2252" t="b">
        <f t="shared" si="47"/>
        <v>1</v>
      </c>
    </row>
    <row r="2245" spans="4:4">
      <c r="D2245" s="2252" t="b">
        <f t="shared" si="47"/>
        <v>1</v>
      </c>
    </row>
    <row r="2246" spans="1:4">
      <c r="A2246" s="2252" t="s">
        <v>2353</v>
      </c>
      <c r="B2246" s="2270" t="s">
        <v>2353</v>
      </c>
      <c r="D2246" s="2252" t="b">
        <f t="shared" si="47"/>
        <v>1</v>
      </c>
    </row>
    <row r="2247" spans="1:4">
      <c r="A2247" s="2252" t="s">
        <v>2347</v>
      </c>
      <c r="B2247" s="2273" t="s">
        <v>2347</v>
      </c>
      <c r="D2247" s="2252" t="b">
        <f t="shared" si="47"/>
        <v>1</v>
      </c>
    </row>
    <row r="2248" spans="1:4">
      <c r="A2248" s="2252" t="s">
        <v>2354</v>
      </c>
      <c r="B2248" s="2274" t="str">
        <f>报表附注!E2661</f>
        <v>成本法核算的长期股权投资收益</v>
      </c>
      <c r="C2248" s="2260">
        <f>报表附注!F2661</f>
        <v>0</v>
      </c>
      <c r="D2248" s="2252" t="b">
        <f t="shared" si="47"/>
        <v>1</v>
      </c>
    </row>
    <row r="2249" spans="1:4">
      <c r="A2249" s="2252" t="s">
        <v>2355</v>
      </c>
      <c r="B2249" s="2274" t="str">
        <f>报表附注!E2662</f>
        <v>权益法核算的长期股权投资收益</v>
      </c>
      <c r="C2249" s="2260">
        <f>报表附注!F2662</f>
        <v>0</v>
      </c>
      <c r="D2249" s="2252" t="b">
        <f t="shared" si="47"/>
        <v>1</v>
      </c>
    </row>
    <row r="2250" spans="1:4">
      <c r="A2250" s="2252" t="s">
        <v>2356</v>
      </c>
      <c r="B2250" s="2274" t="str">
        <f>报表附注!E2663</f>
        <v>处置长期股权投资产生的投资收益</v>
      </c>
      <c r="C2250" s="2260">
        <f>报表附注!F2663</f>
        <v>0</v>
      </c>
      <c r="D2250" s="2252" t="b">
        <f t="shared" si="47"/>
        <v>1</v>
      </c>
    </row>
    <row r="2251" spans="1:4">
      <c r="A2251" s="2252" t="s">
        <v>2357</v>
      </c>
      <c r="B2251" s="2274" t="str">
        <f>报表附注!E2664</f>
        <v>持有交易性金融资产期间取得的投资收益</v>
      </c>
      <c r="C2251" s="2260">
        <f>报表附注!F2664</f>
        <v>0</v>
      </c>
      <c r="D2251" s="2252" t="b">
        <f t="shared" si="47"/>
        <v>1</v>
      </c>
    </row>
    <row r="2252" spans="1:4">
      <c r="A2252" s="2252" t="s">
        <v>2358</v>
      </c>
      <c r="B2252" s="2274" t="str">
        <f>报表附注!E2665</f>
        <v>持有至到期投资期间取得的投资收益</v>
      </c>
      <c r="C2252" s="2260">
        <f>报表附注!F2665</f>
        <v>0</v>
      </c>
      <c r="D2252" s="2252" t="b">
        <f t="shared" si="47"/>
        <v>1</v>
      </c>
    </row>
    <row r="2253" spans="1:4">
      <c r="A2253" s="2252" t="s">
        <v>2359</v>
      </c>
      <c r="B2253" s="2274" t="str">
        <f>报表附注!E2666</f>
        <v>持有可供出售金融资产等期间取得的投资收益</v>
      </c>
      <c r="C2253" s="2260">
        <f>报表附注!F2666</f>
        <v>0</v>
      </c>
      <c r="D2253" s="2252" t="b">
        <f t="shared" si="47"/>
        <v>1</v>
      </c>
    </row>
    <row r="2254" spans="1:4">
      <c r="A2254" s="2252" t="s">
        <v>2360</v>
      </c>
      <c r="B2254" s="2274" t="str">
        <f>报表附注!E2667</f>
        <v>处置交易性金融资产取得的投资收益</v>
      </c>
      <c r="C2254" s="2260">
        <f>报表附注!F2667</f>
        <v>0</v>
      </c>
      <c r="D2254" s="2252" t="b">
        <f t="shared" si="47"/>
        <v>1</v>
      </c>
    </row>
    <row r="2255" spans="1:4">
      <c r="A2255" s="2252" t="s">
        <v>2361</v>
      </c>
      <c r="B2255" s="2274" t="str">
        <f>报表附注!E2668</f>
        <v>持有至到期投资取得的投资收益</v>
      </c>
      <c r="C2255" s="2260">
        <f>报表附注!F2668</f>
        <v>0</v>
      </c>
      <c r="D2255" s="2252" t="b">
        <f t="shared" si="47"/>
        <v>1</v>
      </c>
    </row>
    <row r="2256" spans="1:4">
      <c r="A2256" s="2252" t="s">
        <v>2362</v>
      </c>
      <c r="B2256" s="2274" t="str">
        <f>报表附注!E2669</f>
        <v>处置可供出售金融资产等取得的投资收益</v>
      </c>
      <c r="C2256" s="2260">
        <f>报表附注!F2669</f>
        <v>0</v>
      </c>
      <c r="D2256" s="2252" t="b">
        <f t="shared" si="47"/>
        <v>0</v>
      </c>
    </row>
    <row r="2257" spans="1:4">
      <c r="A2257" s="2252" t="s">
        <v>280</v>
      </c>
      <c r="B2257" s="2274" t="str">
        <f>报表附注!E2670</f>
        <v>其他</v>
      </c>
      <c r="C2257" s="2260">
        <f>报表附注!F2670</f>
        <v>0</v>
      </c>
      <c r="D2257" s="2252" t="b">
        <f t="shared" si="47"/>
        <v>1</v>
      </c>
    </row>
    <row r="2258" spans="1:4">
      <c r="A2258" s="2252" t="s">
        <v>2363</v>
      </c>
      <c r="B2258" s="2274" t="str">
        <f>报表附注!E2671</f>
        <v>增加项目1--</v>
      </c>
      <c r="C2258" s="2260">
        <f>报表附注!F2671</f>
        <v>0</v>
      </c>
      <c r="D2258" s="2252" t="b">
        <f t="shared" si="47"/>
        <v>1</v>
      </c>
    </row>
    <row r="2259" spans="1:4">
      <c r="A2259" s="2252" t="s">
        <v>2364</v>
      </c>
      <c r="B2259" s="2274" t="str">
        <f>报表附注!E2672</f>
        <v>增加项目2--</v>
      </c>
      <c r="C2259" s="2260">
        <f>报表附注!F2672</f>
        <v>0</v>
      </c>
      <c r="D2259" s="2252" t="b">
        <f t="shared" si="47"/>
        <v>1</v>
      </c>
    </row>
    <row r="2260" spans="1:4">
      <c r="A2260" s="2252" t="s">
        <v>2365</v>
      </c>
      <c r="B2260" s="2278" t="str">
        <f>报表附注!E2673</f>
        <v>合       计</v>
      </c>
      <c r="C2260" s="2260">
        <f>报表附注!F2673</f>
        <v>0</v>
      </c>
      <c r="D2260" s="2252" t="b">
        <f t="shared" si="47"/>
        <v>1</v>
      </c>
    </row>
    <row r="2261" spans="1:4">
      <c r="A2261" s="2252" t="s">
        <v>2351</v>
      </c>
      <c r="B2261" s="2273" t="s">
        <v>2351</v>
      </c>
      <c r="D2261" s="2252" t="b">
        <f t="shared" si="47"/>
        <v>1</v>
      </c>
    </row>
    <row r="2262" spans="1:4">
      <c r="A2262" s="2252" t="s">
        <v>2354</v>
      </c>
      <c r="B2262" s="2274" t="str">
        <f>报表附注!E2661</f>
        <v>成本法核算的长期股权投资收益</v>
      </c>
      <c r="C2262" s="2260">
        <f>报表附注!G2661</f>
        <v>0</v>
      </c>
      <c r="D2262" s="2252" t="b">
        <f t="shared" si="47"/>
        <v>1</v>
      </c>
    </row>
    <row r="2263" spans="1:4">
      <c r="A2263" s="2252" t="s">
        <v>2355</v>
      </c>
      <c r="B2263" s="2274" t="str">
        <f>报表附注!E2662</f>
        <v>权益法核算的长期股权投资收益</v>
      </c>
      <c r="C2263" s="2260">
        <f>报表附注!G2662</f>
        <v>0</v>
      </c>
      <c r="D2263" s="2252" t="b">
        <f t="shared" si="47"/>
        <v>1</v>
      </c>
    </row>
    <row r="2264" spans="1:4">
      <c r="A2264" s="2252" t="s">
        <v>2356</v>
      </c>
      <c r="B2264" s="2274" t="str">
        <f>报表附注!E2663</f>
        <v>处置长期股权投资产生的投资收益</v>
      </c>
      <c r="C2264" s="2260">
        <f>报表附注!G2663</f>
        <v>0</v>
      </c>
      <c r="D2264" s="2252" t="b">
        <f t="shared" si="47"/>
        <v>1</v>
      </c>
    </row>
    <row r="2265" spans="1:4">
      <c r="A2265" s="2252" t="s">
        <v>2357</v>
      </c>
      <c r="B2265" s="2274" t="str">
        <f>报表附注!E2664</f>
        <v>持有交易性金融资产期间取得的投资收益</v>
      </c>
      <c r="C2265" s="2260">
        <f>报表附注!G2664</f>
        <v>0</v>
      </c>
      <c r="D2265" s="2252" t="b">
        <f t="shared" si="47"/>
        <v>1</v>
      </c>
    </row>
    <row r="2266" spans="1:4">
      <c r="A2266" s="2252" t="s">
        <v>2358</v>
      </c>
      <c r="B2266" s="2274" t="str">
        <f>报表附注!E2665</f>
        <v>持有至到期投资期间取得的投资收益</v>
      </c>
      <c r="C2266" s="2260">
        <f>报表附注!G2665</f>
        <v>0</v>
      </c>
      <c r="D2266" s="2252" t="b">
        <f t="shared" si="47"/>
        <v>1</v>
      </c>
    </row>
    <row r="2267" spans="1:4">
      <c r="A2267" s="2252" t="s">
        <v>2359</v>
      </c>
      <c r="B2267" s="2274" t="str">
        <f>报表附注!E2666</f>
        <v>持有可供出售金融资产等期间取得的投资收益</v>
      </c>
      <c r="C2267" s="2260">
        <f>报表附注!G2666</f>
        <v>0</v>
      </c>
      <c r="D2267" s="2252" t="b">
        <f t="shared" si="47"/>
        <v>1</v>
      </c>
    </row>
    <row r="2268" spans="1:4">
      <c r="A2268" s="2252" t="s">
        <v>2360</v>
      </c>
      <c r="B2268" s="2274" t="str">
        <f>报表附注!E2667</f>
        <v>处置交易性金融资产取得的投资收益</v>
      </c>
      <c r="C2268" s="2260">
        <f>报表附注!G2667</f>
        <v>0</v>
      </c>
      <c r="D2268" s="2252" t="b">
        <f t="shared" si="47"/>
        <v>1</v>
      </c>
    </row>
    <row r="2269" spans="1:4">
      <c r="A2269" s="2252" t="s">
        <v>2361</v>
      </c>
      <c r="B2269" s="2274" t="str">
        <f>报表附注!E2668</f>
        <v>持有至到期投资取得的投资收益</v>
      </c>
      <c r="C2269" s="2260">
        <f>报表附注!G2668</f>
        <v>0</v>
      </c>
      <c r="D2269" s="2252" t="b">
        <f t="shared" si="47"/>
        <v>1</v>
      </c>
    </row>
    <row r="2270" spans="1:4">
      <c r="A2270" s="2252" t="s">
        <v>2362</v>
      </c>
      <c r="B2270" s="2274" t="str">
        <f>报表附注!E2669</f>
        <v>处置可供出售金融资产等取得的投资收益</v>
      </c>
      <c r="C2270" s="2260">
        <f>报表附注!G2669</f>
        <v>0</v>
      </c>
      <c r="D2270" s="2252" t="b">
        <f t="shared" si="47"/>
        <v>0</v>
      </c>
    </row>
    <row r="2271" spans="1:4">
      <c r="A2271" s="2252" t="s">
        <v>280</v>
      </c>
      <c r="B2271" s="2274" t="str">
        <f>报表附注!E2670</f>
        <v>其他</v>
      </c>
      <c r="C2271" s="2260">
        <f>报表附注!G2670</f>
        <v>0</v>
      </c>
      <c r="D2271" s="2252" t="b">
        <f t="shared" si="47"/>
        <v>1</v>
      </c>
    </row>
    <row r="2272" spans="1:4">
      <c r="A2272" s="2252" t="s">
        <v>2363</v>
      </c>
      <c r="B2272" s="2274" t="str">
        <f>报表附注!E2671</f>
        <v>增加项目1--</v>
      </c>
      <c r="C2272" s="2260">
        <f>报表附注!G2671</f>
        <v>0</v>
      </c>
      <c r="D2272" s="2252" t="b">
        <f t="shared" si="47"/>
        <v>1</v>
      </c>
    </row>
    <row r="2273" spans="1:4">
      <c r="A2273" s="2252" t="s">
        <v>2364</v>
      </c>
      <c r="B2273" s="2274" t="str">
        <f>报表附注!E2672</f>
        <v>增加项目2--</v>
      </c>
      <c r="C2273" s="2260">
        <f>报表附注!G2672</f>
        <v>0</v>
      </c>
      <c r="D2273" s="2252" t="b">
        <f t="shared" si="47"/>
        <v>1</v>
      </c>
    </row>
    <row r="2274" spans="1:4">
      <c r="A2274" s="2252" t="s">
        <v>2365</v>
      </c>
      <c r="B2274" s="2263" t="str">
        <f>报表附注!E2673</f>
        <v>合       计</v>
      </c>
      <c r="C2274" s="2260">
        <f>报表附注!G2673</f>
        <v>0</v>
      </c>
      <c r="D2274" s="2252" t="b">
        <f t="shared" si="47"/>
        <v>1</v>
      </c>
    </row>
    <row r="2275" spans="4:4">
      <c r="D2275" s="2252" t="b">
        <f t="shared" si="47"/>
        <v>1</v>
      </c>
    </row>
    <row r="2276" spans="1:4">
      <c r="A2276" s="2252" t="s">
        <v>2366</v>
      </c>
      <c r="B2276" s="2270" t="s">
        <v>2366</v>
      </c>
      <c r="D2276" s="2252" t="b">
        <f t="shared" si="47"/>
        <v>1</v>
      </c>
    </row>
    <row r="2277" spans="1:4">
      <c r="A2277" s="2252" t="s">
        <v>2347</v>
      </c>
      <c r="B2277" s="2273" t="s">
        <v>2347</v>
      </c>
      <c r="D2277" s="2252" t="b">
        <f t="shared" si="47"/>
        <v>1</v>
      </c>
    </row>
    <row r="2278" spans="1:4">
      <c r="A2278" s="2252" t="s">
        <v>2367</v>
      </c>
      <c r="B2278" s="2253" t="str">
        <f>报表附注!E2712</f>
        <v>1．坏账损失</v>
      </c>
      <c r="C2278" s="2260">
        <f>报表附注!F2712</f>
        <v>1792140.07</v>
      </c>
      <c r="D2278" s="2252" t="b">
        <f t="shared" si="47"/>
        <v>1</v>
      </c>
    </row>
    <row r="2279" spans="1:4">
      <c r="A2279" s="2252" t="s">
        <v>2368</v>
      </c>
      <c r="B2279" s="2253" t="str">
        <f>报表附注!E2713</f>
        <v>2．存货跌价损失</v>
      </c>
      <c r="C2279" s="2260">
        <f>报表附注!F2713</f>
        <v>0</v>
      </c>
      <c r="D2279" s="2252" t="b">
        <f t="shared" si="47"/>
        <v>1</v>
      </c>
    </row>
    <row r="2280" spans="1:4">
      <c r="A2280" s="2252" t="s">
        <v>2369</v>
      </c>
      <c r="B2280" s="2253" t="str">
        <f>报表附注!E2714</f>
        <v>3．可供出售金融资产减值损失</v>
      </c>
      <c r="C2280" s="2260">
        <f>报表附注!F2714</f>
        <v>0</v>
      </c>
      <c r="D2280" s="2252" t="b">
        <f t="shared" si="47"/>
        <v>1</v>
      </c>
    </row>
    <row r="2281" spans="1:4">
      <c r="A2281" s="2252" t="s">
        <v>2370</v>
      </c>
      <c r="B2281" s="2253" t="str">
        <f>报表附注!E2715</f>
        <v>4．持有至到期投资减值损失</v>
      </c>
      <c r="C2281" s="2260">
        <f>报表附注!F2715</f>
        <v>0</v>
      </c>
      <c r="D2281" s="2252" t="b">
        <f t="shared" si="47"/>
        <v>1</v>
      </c>
    </row>
    <row r="2282" spans="1:4">
      <c r="A2282" s="2252" t="s">
        <v>2371</v>
      </c>
      <c r="B2282" s="2253" t="str">
        <f>报表附注!E2716</f>
        <v>5．长期股权投资减值损失</v>
      </c>
      <c r="C2282" s="2260">
        <f>报表附注!F2716</f>
        <v>0</v>
      </c>
      <c r="D2282" s="2252" t="b">
        <f t="shared" si="47"/>
        <v>1</v>
      </c>
    </row>
    <row r="2283" spans="1:4">
      <c r="A2283" s="2252" t="s">
        <v>2372</v>
      </c>
      <c r="B2283" s="2253" t="str">
        <f>报表附注!E2717</f>
        <v>6．投资性房地产减值损失</v>
      </c>
      <c r="C2283" s="2260">
        <f>报表附注!F2717</f>
        <v>0</v>
      </c>
      <c r="D2283" s="2252" t="b">
        <f t="shared" si="47"/>
        <v>1</v>
      </c>
    </row>
    <row r="2284" spans="1:4">
      <c r="A2284" s="2252" t="s">
        <v>2373</v>
      </c>
      <c r="B2284" s="2253" t="str">
        <f>报表附注!E2718</f>
        <v>7．固定资产减值损失</v>
      </c>
      <c r="C2284" s="2260">
        <f>报表附注!F2718</f>
        <v>0</v>
      </c>
      <c r="D2284" s="2252" t="b">
        <f t="shared" si="47"/>
        <v>1</v>
      </c>
    </row>
    <row r="2285" spans="1:4">
      <c r="A2285" s="2252" t="s">
        <v>2374</v>
      </c>
      <c r="B2285" s="2253" t="str">
        <f>报表附注!E2719</f>
        <v>8．工程物资减值损失</v>
      </c>
      <c r="C2285" s="2260">
        <f>报表附注!F2719</f>
        <v>0</v>
      </c>
      <c r="D2285" s="2252" t="b">
        <f t="shared" si="47"/>
        <v>1</v>
      </c>
    </row>
    <row r="2286" spans="1:4">
      <c r="A2286" s="2252" t="s">
        <v>2375</v>
      </c>
      <c r="B2286" s="2253" t="str">
        <f>报表附注!E2720</f>
        <v>9．在建工程减值损失</v>
      </c>
      <c r="C2286" s="2260">
        <f>报表附注!F2720</f>
        <v>0</v>
      </c>
      <c r="D2286" s="2252" t="b">
        <f t="shared" si="47"/>
        <v>1</v>
      </c>
    </row>
    <row r="2287" spans="1:4">
      <c r="A2287" s="2252" t="s">
        <v>2376</v>
      </c>
      <c r="B2287" s="2253" t="str">
        <f>报表附注!E2721</f>
        <v>10．生产性生物资产减值损失</v>
      </c>
      <c r="C2287" s="2260">
        <f>报表附注!F2721</f>
        <v>0</v>
      </c>
      <c r="D2287" s="2252" t="b">
        <f t="shared" si="47"/>
        <v>1</v>
      </c>
    </row>
    <row r="2288" spans="1:4">
      <c r="A2288" s="2252" t="s">
        <v>2377</v>
      </c>
      <c r="B2288" s="2253" t="str">
        <f>报表附注!E2722</f>
        <v>11．油气资产减值损失</v>
      </c>
      <c r="C2288" s="2260">
        <f>报表附注!F2722</f>
        <v>0</v>
      </c>
      <c r="D2288" s="2252" t="b">
        <f t="shared" si="47"/>
        <v>1</v>
      </c>
    </row>
    <row r="2289" spans="1:4">
      <c r="A2289" s="2252" t="s">
        <v>2378</v>
      </c>
      <c r="B2289" s="2253" t="str">
        <f>报表附注!E2723</f>
        <v>12．无形资产减值损失</v>
      </c>
      <c r="C2289" s="2260">
        <f>报表附注!F2723</f>
        <v>0</v>
      </c>
      <c r="D2289" s="2252" t="b">
        <f t="shared" si="47"/>
        <v>1</v>
      </c>
    </row>
    <row r="2290" spans="1:4">
      <c r="A2290" s="2252" t="s">
        <v>2379</v>
      </c>
      <c r="B2290" s="2253" t="str">
        <f>报表附注!E2724</f>
        <v>13．商誉减值损失</v>
      </c>
      <c r="C2290" s="2260">
        <f>报表附注!F2724</f>
        <v>0</v>
      </c>
      <c r="D2290" s="2252" t="b">
        <f t="shared" si="47"/>
        <v>1</v>
      </c>
    </row>
    <row r="2291" spans="1:4">
      <c r="A2291" s="2252" t="s">
        <v>2380</v>
      </c>
      <c r="B2291" s="2253" t="str">
        <f>报表附注!E2725</f>
        <v>14．其他</v>
      </c>
      <c r="C2291" s="2260">
        <f>报表附注!F2725</f>
        <v>0</v>
      </c>
      <c r="D2291" s="2252" t="b">
        <f t="shared" si="47"/>
        <v>1</v>
      </c>
    </row>
    <row r="2292" spans="1:4">
      <c r="A2292" s="2252" t="s">
        <v>347</v>
      </c>
      <c r="B2292" s="2263" t="str">
        <f>报表附注!E2726</f>
        <v>合 计</v>
      </c>
      <c r="C2292" s="2260">
        <f>报表附注!F2726</f>
        <v>1792140.07</v>
      </c>
      <c r="D2292" s="2252" t="b">
        <f t="shared" si="47"/>
        <v>1</v>
      </c>
    </row>
    <row r="2293" spans="1:4">
      <c r="A2293" s="2252" t="s">
        <v>2351</v>
      </c>
      <c r="B2293" s="2273" t="s">
        <v>2351</v>
      </c>
      <c r="D2293" s="2252" t="b">
        <f t="shared" si="47"/>
        <v>1</v>
      </c>
    </row>
    <row r="2294" spans="1:4">
      <c r="A2294" s="2252" t="s">
        <v>2367</v>
      </c>
      <c r="B2294" s="2253" t="str">
        <f>报表附注!E2712</f>
        <v>1．坏账损失</v>
      </c>
      <c r="C2294" s="2260">
        <f>报表附注!G2712</f>
        <v>4558848.14</v>
      </c>
      <c r="D2294" s="2252" t="b">
        <f t="shared" si="47"/>
        <v>1</v>
      </c>
    </row>
    <row r="2295" spans="1:4">
      <c r="A2295" s="2252" t="s">
        <v>2368</v>
      </c>
      <c r="B2295" s="2253" t="str">
        <f>报表附注!E2713</f>
        <v>2．存货跌价损失</v>
      </c>
      <c r="C2295" s="2260">
        <f>报表附注!G2713</f>
        <v>432021.28</v>
      </c>
      <c r="D2295" s="2252" t="b">
        <f t="shared" si="47"/>
        <v>1</v>
      </c>
    </row>
    <row r="2296" spans="1:4">
      <c r="A2296" s="2252" t="s">
        <v>2369</v>
      </c>
      <c r="B2296" s="2253" t="str">
        <f>报表附注!E2714</f>
        <v>3．可供出售金融资产减值损失</v>
      </c>
      <c r="C2296" s="2260">
        <f>报表附注!G2714</f>
        <v>0</v>
      </c>
      <c r="D2296" s="2252" t="b">
        <f t="shared" si="47"/>
        <v>1</v>
      </c>
    </row>
    <row r="2297" spans="1:4">
      <c r="A2297" s="2252" t="s">
        <v>2370</v>
      </c>
      <c r="B2297" s="2253" t="str">
        <f>报表附注!E2715</f>
        <v>4．持有至到期投资减值损失</v>
      </c>
      <c r="C2297" s="2260">
        <f>报表附注!G2715</f>
        <v>0</v>
      </c>
      <c r="D2297" s="2252" t="b">
        <f t="shared" si="47"/>
        <v>1</v>
      </c>
    </row>
    <row r="2298" spans="1:4">
      <c r="A2298" s="2252" t="s">
        <v>2371</v>
      </c>
      <c r="B2298" s="2253" t="str">
        <f>报表附注!E2716</f>
        <v>5．长期股权投资减值损失</v>
      </c>
      <c r="C2298" s="2260">
        <f>报表附注!G2716</f>
        <v>0</v>
      </c>
      <c r="D2298" s="2252" t="b">
        <f t="shared" si="47"/>
        <v>1</v>
      </c>
    </row>
    <row r="2299" spans="1:4">
      <c r="A2299" s="2252" t="s">
        <v>2372</v>
      </c>
      <c r="B2299" s="2253" t="str">
        <f>报表附注!E2717</f>
        <v>6．投资性房地产减值损失</v>
      </c>
      <c r="C2299" s="2260">
        <f>报表附注!G2717</f>
        <v>0</v>
      </c>
      <c r="D2299" s="2252" t="b">
        <f t="shared" si="47"/>
        <v>1</v>
      </c>
    </row>
    <row r="2300" spans="1:4">
      <c r="A2300" s="2252" t="s">
        <v>2373</v>
      </c>
      <c r="B2300" s="2253" t="str">
        <f>报表附注!E2718</f>
        <v>7．固定资产减值损失</v>
      </c>
      <c r="C2300" s="2260">
        <f>报表附注!G2718</f>
        <v>0</v>
      </c>
      <c r="D2300" s="2252" t="b">
        <f t="shared" si="47"/>
        <v>1</v>
      </c>
    </row>
    <row r="2301" spans="1:4">
      <c r="A2301" s="2252" t="s">
        <v>2374</v>
      </c>
      <c r="B2301" s="2253" t="str">
        <f>报表附注!E2719</f>
        <v>8．工程物资减值损失</v>
      </c>
      <c r="C2301" s="2260">
        <f>报表附注!G2719</f>
        <v>0</v>
      </c>
      <c r="D2301" s="2252" t="b">
        <f t="shared" si="47"/>
        <v>1</v>
      </c>
    </row>
    <row r="2302" spans="1:4">
      <c r="A2302" s="2252" t="s">
        <v>2375</v>
      </c>
      <c r="B2302" s="2253" t="str">
        <f>报表附注!E2720</f>
        <v>9．在建工程减值损失</v>
      </c>
      <c r="C2302" s="2260">
        <f>报表附注!G2720</f>
        <v>0</v>
      </c>
      <c r="D2302" s="2252" t="b">
        <f t="shared" ref="D2302:D2365" si="48">EXACT(A2302,B2302)</f>
        <v>1</v>
      </c>
    </row>
    <row r="2303" spans="1:4">
      <c r="A2303" s="2252" t="s">
        <v>2376</v>
      </c>
      <c r="B2303" s="2253" t="str">
        <f>报表附注!E2721</f>
        <v>10．生产性生物资产减值损失</v>
      </c>
      <c r="C2303" s="2260">
        <f>报表附注!G2721</f>
        <v>0</v>
      </c>
      <c r="D2303" s="2252" t="b">
        <f t="shared" si="48"/>
        <v>1</v>
      </c>
    </row>
    <row r="2304" spans="1:4">
      <c r="A2304" s="2252" t="s">
        <v>2377</v>
      </c>
      <c r="B2304" s="2253" t="str">
        <f>报表附注!E2722</f>
        <v>11．油气资产减值损失</v>
      </c>
      <c r="C2304" s="2260">
        <f>报表附注!G2722</f>
        <v>0</v>
      </c>
      <c r="D2304" s="2252" t="b">
        <f t="shared" si="48"/>
        <v>1</v>
      </c>
    </row>
    <row r="2305" spans="1:4">
      <c r="A2305" s="2252" t="s">
        <v>2378</v>
      </c>
      <c r="B2305" s="2253" t="str">
        <f>报表附注!E2723</f>
        <v>12．无形资产减值损失</v>
      </c>
      <c r="C2305" s="2260">
        <f>报表附注!G2723</f>
        <v>0</v>
      </c>
      <c r="D2305" s="2252" t="b">
        <f t="shared" si="48"/>
        <v>1</v>
      </c>
    </row>
    <row r="2306" spans="1:4">
      <c r="A2306" s="2252" t="s">
        <v>2379</v>
      </c>
      <c r="B2306" s="2253" t="str">
        <f>报表附注!E2724</f>
        <v>13．商誉减值损失</v>
      </c>
      <c r="C2306" s="2260">
        <f>报表附注!G2724</f>
        <v>0</v>
      </c>
      <c r="D2306" s="2252" t="b">
        <f t="shared" si="48"/>
        <v>1</v>
      </c>
    </row>
    <row r="2307" spans="1:4">
      <c r="A2307" s="2252" t="s">
        <v>2380</v>
      </c>
      <c r="B2307" s="2253" t="str">
        <f>报表附注!E2725</f>
        <v>14．其他</v>
      </c>
      <c r="C2307" s="2260">
        <f>报表附注!G2725</f>
        <v>0</v>
      </c>
      <c r="D2307" s="2252" t="b">
        <f t="shared" si="48"/>
        <v>1</v>
      </c>
    </row>
    <row r="2308" spans="1:4">
      <c r="A2308" s="2252" t="s">
        <v>347</v>
      </c>
      <c r="B2308" s="2263" t="str">
        <f>报表附注!E2726</f>
        <v>合 计</v>
      </c>
      <c r="C2308" s="2260">
        <f>报表附注!G2726</f>
        <v>4990869.42</v>
      </c>
      <c r="D2308" s="2252" t="b">
        <f t="shared" si="48"/>
        <v>1</v>
      </c>
    </row>
    <row r="2309" spans="4:4">
      <c r="D2309" s="2252" t="b">
        <f t="shared" si="48"/>
        <v>1</v>
      </c>
    </row>
    <row r="2310" spans="1:4">
      <c r="A2310" s="2252" t="s">
        <v>2381</v>
      </c>
      <c r="B2310" s="2270" t="s">
        <v>2381</v>
      </c>
      <c r="D2310" s="2252" t="b">
        <f t="shared" si="48"/>
        <v>1</v>
      </c>
    </row>
    <row r="2311" spans="1:4">
      <c r="A2311" s="2252" t="s">
        <v>2347</v>
      </c>
      <c r="B2311" s="2273" t="s">
        <v>2347</v>
      </c>
      <c r="D2311" s="2252" t="b">
        <f t="shared" si="48"/>
        <v>1</v>
      </c>
    </row>
    <row r="2312" spans="1:4">
      <c r="A2312" s="2252" t="s">
        <v>1284</v>
      </c>
      <c r="B2312" s="2285" t="str">
        <f>报表附注!E2734</f>
        <v>利息支出</v>
      </c>
      <c r="C2312" s="2260">
        <f>报表附注!F2734</f>
        <v>6277143.46</v>
      </c>
      <c r="D2312" s="2252" t="b">
        <f t="shared" si="48"/>
        <v>1</v>
      </c>
    </row>
    <row r="2313" spans="1:4">
      <c r="A2313" s="2252" t="s">
        <v>1590</v>
      </c>
      <c r="B2313" s="2285" t="str">
        <f>报表附注!E2735</f>
        <v>利息收入</v>
      </c>
      <c r="C2313" s="2260">
        <f>报表附注!F2735</f>
        <v>-1112994.49</v>
      </c>
      <c r="D2313" s="2252" t="b">
        <f t="shared" si="48"/>
        <v>1</v>
      </c>
    </row>
    <row r="2314" spans="1:4">
      <c r="A2314" s="2252" t="s">
        <v>2382</v>
      </c>
      <c r="B2314" s="2285" t="str">
        <f>报表附注!E2736</f>
        <v>手续费</v>
      </c>
      <c r="C2314" s="2260">
        <f>报表附注!F2736</f>
        <v>483646.96</v>
      </c>
      <c r="D2314" s="2252" t="b">
        <f t="shared" si="48"/>
        <v>1</v>
      </c>
    </row>
    <row r="2315" spans="1:4">
      <c r="A2315" s="2252" t="s">
        <v>2383</v>
      </c>
      <c r="B2315" s="2285" t="str">
        <f>报表附注!E2737</f>
        <v>汇兑损益</v>
      </c>
      <c r="C2315" s="2260">
        <f>报表附注!F2737</f>
        <v>11936131.72</v>
      </c>
      <c r="D2315" s="2252" t="b">
        <f t="shared" si="48"/>
        <v>1</v>
      </c>
    </row>
    <row r="2316" spans="1:4">
      <c r="A2316" s="2252" t="s">
        <v>2384</v>
      </c>
      <c r="B2316" s="2285" t="str">
        <f>报表附注!E2738</f>
        <v>   其 中：货币资金引起汇兑损益</v>
      </c>
      <c r="C2316" s="2260">
        <f>报表附注!F2738</f>
        <v>-32553.99</v>
      </c>
      <c r="D2316" s="2252" t="b">
        <f t="shared" si="48"/>
        <v>1</v>
      </c>
    </row>
    <row r="2317" ht="13.5" customHeight="1" spans="1:4">
      <c r="A2317" s="2252" t="s">
        <v>2385</v>
      </c>
      <c r="B2317" s="2285" t="str">
        <f>报表附注!E2739</f>
        <v>                      应收账款引起汇兑损益</v>
      </c>
      <c r="C2317" s="2260">
        <f>报表附注!F2739</f>
        <v>-83571.02</v>
      </c>
      <c r="D2317" s="2252" t="b">
        <f t="shared" si="48"/>
        <v>1</v>
      </c>
    </row>
    <row r="2318" ht="13.5" customHeight="1" spans="1:4">
      <c r="A2318" s="2252" t="s">
        <v>2386</v>
      </c>
      <c r="B2318" s="2285" t="str">
        <f>报表附注!E2740</f>
        <v>                      其他应收账款引起汇兑损益</v>
      </c>
      <c r="C2318" s="2260">
        <f>报表附注!F2740</f>
        <v>0</v>
      </c>
      <c r="D2318" s="2252" t="b">
        <f t="shared" si="48"/>
        <v>1</v>
      </c>
    </row>
    <row r="2319" ht="13.5" customHeight="1" spans="1:4">
      <c r="A2319" s="2252" t="s">
        <v>2387</v>
      </c>
      <c r="B2319" s="2285" t="str">
        <f>报表附注!E2741</f>
        <v>                       应付账款引起汇兑损益</v>
      </c>
      <c r="C2319" s="2260">
        <f>报表附注!F2741</f>
        <v>0</v>
      </c>
      <c r="D2319" s="2252" t="b">
        <f t="shared" si="48"/>
        <v>1</v>
      </c>
    </row>
    <row r="2320" ht="13.5" customHeight="1" spans="1:4">
      <c r="A2320" s="2252" t="s">
        <v>2388</v>
      </c>
      <c r="B2320" s="2285" t="str">
        <f>报表附注!E2742</f>
        <v>                      其他应付款引起汇兑损益</v>
      </c>
      <c r="C2320" s="2260">
        <f>报表附注!F2742</f>
        <v>0</v>
      </c>
      <c r="D2320" s="2252" t="b">
        <f t="shared" si="48"/>
        <v>1</v>
      </c>
    </row>
    <row r="2321" ht="13.5" customHeight="1" spans="1:4">
      <c r="A2321" s="2252" t="s">
        <v>2389</v>
      </c>
      <c r="B2321" s="2285" t="str">
        <f>报表附注!E2743</f>
        <v>现金折扣</v>
      </c>
      <c r="C2321" s="2260">
        <f>报表附注!F2743</f>
        <v>29455.75</v>
      </c>
      <c r="D2321" s="2252" t="b">
        <f t="shared" si="48"/>
        <v>0</v>
      </c>
    </row>
    <row r="2322" ht="13.5" customHeight="1" spans="1:4">
      <c r="A2322" s="2252" t="s">
        <v>2390</v>
      </c>
      <c r="B2322" s="2285" t="str">
        <f>报表附注!E2744</f>
        <v>融资费用</v>
      </c>
      <c r="C2322" s="2260">
        <f>报表附注!F2744</f>
        <v>12022800.98</v>
      </c>
      <c r="D2322" s="2252" t="b">
        <f t="shared" si="48"/>
        <v>0</v>
      </c>
    </row>
    <row r="2323" spans="1:4">
      <c r="A2323" s="2252" t="s">
        <v>280</v>
      </c>
      <c r="B2323" s="2285" t="str">
        <f>报表附注!E2745</f>
        <v>其他</v>
      </c>
      <c r="C2323" s="2260">
        <f>报表附注!F2745</f>
        <v>0</v>
      </c>
      <c r="D2323" s="2252" t="b">
        <f t="shared" si="48"/>
        <v>1</v>
      </c>
    </row>
    <row r="2324" spans="1:4">
      <c r="A2324" s="2252" t="s">
        <v>2021</v>
      </c>
      <c r="B2324" s="2294" t="str">
        <f>报表附注!E2746</f>
        <v>合计</v>
      </c>
      <c r="C2324" s="2260">
        <f>报表附注!F2746</f>
        <v>17583927.65</v>
      </c>
      <c r="D2324" s="2252" t="b">
        <f t="shared" si="48"/>
        <v>1</v>
      </c>
    </row>
    <row r="2325" spans="1:4">
      <c r="A2325" s="2252" t="s">
        <v>2351</v>
      </c>
      <c r="B2325" s="2273" t="s">
        <v>2351</v>
      </c>
      <c r="D2325" s="2252" t="b">
        <f t="shared" si="48"/>
        <v>1</v>
      </c>
    </row>
    <row r="2326" spans="1:4">
      <c r="A2326" s="2252" t="s">
        <v>1284</v>
      </c>
      <c r="B2326" s="2285" t="str">
        <f>报表附注!E2734</f>
        <v>利息支出</v>
      </c>
      <c r="C2326" s="2260">
        <f>报表附注!G2734</f>
        <v>6623057.53</v>
      </c>
      <c r="D2326" s="2252" t="b">
        <f t="shared" si="48"/>
        <v>1</v>
      </c>
    </row>
    <row r="2327" spans="1:4">
      <c r="A2327" s="2252" t="s">
        <v>1590</v>
      </c>
      <c r="B2327" s="2285" t="str">
        <f>报表附注!E2735</f>
        <v>利息收入</v>
      </c>
      <c r="C2327" s="2260">
        <f>报表附注!G2735</f>
        <v>-7053316.31</v>
      </c>
      <c r="D2327" s="2252" t="b">
        <f t="shared" si="48"/>
        <v>1</v>
      </c>
    </row>
    <row r="2328" spans="1:4">
      <c r="A2328" s="2252" t="s">
        <v>2382</v>
      </c>
      <c r="B2328" s="2285" t="str">
        <f>报表附注!E2736</f>
        <v>手续费</v>
      </c>
      <c r="C2328" s="2260">
        <f>报表附注!G2736</f>
        <v>315433.67</v>
      </c>
      <c r="D2328" s="2252" t="b">
        <f t="shared" si="48"/>
        <v>1</v>
      </c>
    </row>
    <row r="2329" spans="1:4">
      <c r="A2329" s="2252" t="s">
        <v>2383</v>
      </c>
      <c r="B2329" s="2285" t="str">
        <f>报表附注!E2737</f>
        <v>汇兑损益</v>
      </c>
      <c r="C2329" s="2260">
        <f>报表附注!G2737</f>
        <v>-59680.03</v>
      </c>
      <c r="D2329" s="2252" t="b">
        <f t="shared" si="48"/>
        <v>1</v>
      </c>
    </row>
    <row r="2330" spans="1:4">
      <c r="A2330" s="2252" t="s">
        <v>2384</v>
      </c>
      <c r="B2330" s="2285" t="str">
        <f>报表附注!E2738</f>
        <v>   其 中：货币资金引起汇兑损益</v>
      </c>
      <c r="C2330" s="2260">
        <f>报表附注!G2738</f>
        <v>0</v>
      </c>
      <c r="D2330" s="2252" t="b">
        <f t="shared" si="48"/>
        <v>1</v>
      </c>
    </row>
    <row r="2331" ht="15" customHeight="1" spans="1:4">
      <c r="A2331" s="2252" t="s">
        <v>2385</v>
      </c>
      <c r="B2331" s="2285" t="str">
        <f>报表附注!E2739</f>
        <v>                      应收账款引起汇兑损益</v>
      </c>
      <c r="C2331" s="2260">
        <f>报表附注!G2739</f>
        <v>-59680.03</v>
      </c>
      <c r="D2331" s="2252" t="b">
        <f t="shared" si="48"/>
        <v>1</v>
      </c>
    </row>
    <row r="2332" ht="15" customHeight="1" spans="1:4">
      <c r="A2332" s="2252" t="s">
        <v>2386</v>
      </c>
      <c r="B2332" s="2285" t="str">
        <f>报表附注!E2740</f>
        <v>                      其他应收账款引起汇兑损益</v>
      </c>
      <c r="C2332" s="2260">
        <f>报表附注!G2740</f>
        <v>0</v>
      </c>
      <c r="D2332" s="2252" t="b">
        <f t="shared" si="48"/>
        <v>1</v>
      </c>
    </row>
    <row r="2333" ht="15" customHeight="1" spans="1:4">
      <c r="A2333" s="2252" t="s">
        <v>2387</v>
      </c>
      <c r="B2333" s="2285" t="str">
        <f>报表附注!E2741</f>
        <v>                       应付账款引起汇兑损益</v>
      </c>
      <c r="C2333" s="2260">
        <f>报表附注!G2741</f>
        <v>0</v>
      </c>
      <c r="D2333" s="2252" t="b">
        <f t="shared" si="48"/>
        <v>1</v>
      </c>
    </row>
    <row r="2334" ht="15" customHeight="1" spans="1:4">
      <c r="A2334" s="2252" t="s">
        <v>2388</v>
      </c>
      <c r="B2334" s="2285" t="str">
        <f>报表附注!E2742</f>
        <v>                      其他应付款引起汇兑损益</v>
      </c>
      <c r="C2334" s="2260">
        <f>报表附注!G2742</f>
        <v>0</v>
      </c>
      <c r="D2334" s="2252" t="b">
        <f t="shared" si="48"/>
        <v>1</v>
      </c>
    </row>
    <row r="2335" ht="15" customHeight="1" spans="1:4">
      <c r="A2335" s="2252" t="s">
        <v>2389</v>
      </c>
      <c r="B2335" s="2285" t="str">
        <f>报表附注!E2743</f>
        <v>现金折扣</v>
      </c>
      <c r="C2335" s="2260">
        <f>报表附注!G2743</f>
        <v>0</v>
      </c>
      <c r="D2335" s="2252" t="b">
        <f t="shared" si="48"/>
        <v>0</v>
      </c>
    </row>
    <row r="2336" spans="1:4">
      <c r="A2336" s="2252" t="s">
        <v>2390</v>
      </c>
      <c r="B2336" s="2285" t="str">
        <f>报表附注!E2744</f>
        <v>融资费用</v>
      </c>
      <c r="C2336" s="2260">
        <f>报表附注!G2744</f>
        <v>0</v>
      </c>
      <c r="D2336" s="2252" t="b">
        <f t="shared" si="48"/>
        <v>0</v>
      </c>
    </row>
    <row r="2337" spans="1:4">
      <c r="A2337" s="2252" t="s">
        <v>280</v>
      </c>
      <c r="B2337" s="2285" t="str">
        <f>报表附注!E2745</f>
        <v>其他</v>
      </c>
      <c r="C2337" s="2260">
        <f>报表附注!G2745</f>
        <v>0</v>
      </c>
      <c r="D2337" s="2252" t="b">
        <f t="shared" si="48"/>
        <v>1</v>
      </c>
    </row>
    <row r="2338" spans="1:4">
      <c r="A2338" s="2252" t="s">
        <v>2021</v>
      </c>
      <c r="B2338" s="2294" t="str">
        <f>报表附注!E2746</f>
        <v>合计</v>
      </c>
      <c r="C2338" s="2260">
        <f>报表附注!G2746</f>
        <v>-174505.139999999</v>
      </c>
      <c r="D2338" s="2252" t="b">
        <f t="shared" si="48"/>
        <v>1</v>
      </c>
    </row>
    <row r="2339" spans="4:4">
      <c r="D2339" s="2252" t="b">
        <f t="shared" si="48"/>
        <v>1</v>
      </c>
    </row>
    <row r="2340" spans="1:4">
      <c r="A2340" s="2252" t="s">
        <v>2391</v>
      </c>
      <c r="B2340" s="2270" t="s">
        <v>2391</v>
      </c>
      <c r="D2340" s="2252" t="b">
        <f t="shared" si="48"/>
        <v>1</v>
      </c>
    </row>
    <row r="2341" spans="1:4">
      <c r="A2341" s="2252" t="s">
        <v>2347</v>
      </c>
      <c r="B2341" s="2273" t="s">
        <v>2347</v>
      </c>
      <c r="D2341" s="2252" t="b">
        <f t="shared" si="48"/>
        <v>1</v>
      </c>
    </row>
    <row r="2342" spans="1:4">
      <c r="A2342" s="2252" t="s">
        <v>2392</v>
      </c>
      <c r="B2342" s="2253" t="str">
        <f>报表附注!E2915</f>
        <v>1．处置非流动资产利得小计</v>
      </c>
      <c r="C2342" s="2260">
        <f>报表附注!F2915</f>
        <v>0</v>
      </c>
      <c r="D2342" s="2252" t="b">
        <f t="shared" si="48"/>
        <v>1</v>
      </c>
    </row>
    <row r="2343" spans="1:4">
      <c r="A2343" s="2252" t="s">
        <v>2393</v>
      </c>
      <c r="B2343" s="2253" t="str">
        <f>报表附注!E2916</f>
        <v>其中：处置固定资产利得</v>
      </c>
      <c r="C2343" s="2260">
        <f>报表附注!F2916</f>
        <v>0</v>
      </c>
      <c r="D2343" s="2252" t="b">
        <f t="shared" si="48"/>
        <v>1</v>
      </c>
    </row>
    <row r="2344" spans="1:4">
      <c r="A2344" s="2252" t="s">
        <v>2394</v>
      </c>
      <c r="B2344" s="2253" t="str">
        <f>报表附注!E2917</f>
        <v>      处置无形资产利得</v>
      </c>
      <c r="C2344" s="2260">
        <f>报表附注!F2917</f>
        <v>0</v>
      </c>
      <c r="D2344" s="2252" t="b">
        <f t="shared" si="48"/>
        <v>1</v>
      </c>
    </row>
    <row r="2345" spans="1:4">
      <c r="A2345" s="2252" t="s">
        <v>2395</v>
      </c>
      <c r="B2345" s="2253" t="str">
        <f>报表附注!E2918</f>
        <v>2．非货币性资产交换利得</v>
      </c>
      <c r="C2345" s="2260">
        <f>报表附注!F2918</f>
        <v>0</v>
      </c>
      <c r="D2345" s="2252" t="b">
        <f t="shared" si="48"/>
        <v>1</v>
      </c>
    </row>
    <row r="2346" spans="1:4">
      <c r="A2346" s="2252" t="s">
        <v>2396</v>
      </c>
      <c r="B2346" s="2253" t="str">
        <f>报表附注!E2919</f>
        <v>3．债务重组利得</v>
      </c>
      <c r="C2346" s="2260">
        <f>报表附注!F2919</f>
        <v>0</v>
      </c>
      <c r="D2346" s="2252" t="b">
        <f t="shared" si="48"/>
        <v>1</v>
      </c>
    </row>
    <row r="2347" spans="1:4">
      <c r="A2347" s="2252" t="s">
        <v>2397</v>
      </c>
      <c r="B2347" s="2253" t="str">
        <f>报表附注!E2920</f>
        <v>4．政府补助</v>
      </c>
      <c r="C2347" s="2260">
        <f>报表附注!F2920</f>
        <v>853546.58</v>
      </c>
      <c r="D2347" s="2252" t="b">
        <f t="shared" si="48"/>
        <v>1</v>
      </c>
    </row>
    <row r="2348" spans="1:4">
      <c r="A2348" s="2252" t="s">
        <v>2398</v>
      </c>
      <c r="B2348" s="2253" t="str">
        <f>报表附注!E2921</f>
        <v>5．盘盈利得</v>
      </c>
      <c r="C2348" s="2260">
        <f>报表附注!F2921</f>
        <v>0</v>
      </c>
      <c r="D2348" s="2252" t="b">
        <f t="shared" si="48"/>
        <v>1</v>
      </c>
    </row>
    <row r="2349" spans="1:4">
      <c r="A2349" s="2252" t="s">
        <v>2399</v>
      </c>
      <c r="B2349" s="2253" t="str">
        <f>报表附注!E2922</f>
        <v>6．捐赠利得</v>
      </c>
      <c r="C2349" s="2260">
        <f>报表附注!F2922</f>
        <v>0</v>
      </c>
      <c r="D2349" s="2252" t="b">
        <f t="shared" si="48"/>
        <v>1</v>
      </c>
    </row>
    <row r="2350" spans="1:4">
      <c r="A2350" s="2252" t="s">
        <v>2400</v>
      </c>
      <c r="B2350" s="2253" t="str">
        <f>报表附注!E2923</f>
        <v>7．罚款收入</v>
      </c>
      <c r="C2350" s="2260">
        <f>报表附注!F2923</f>
        <v>0</v>
      </c>
      <c r="D2350" s="2252" t="b">
        <f t="shared" si="48"/>
        <v>1</v>
      </c>
    </row>
    <row r="2351" spans="1:4">
      <c r="A2351" s="2252" t="s">
        <v>2401</v>
      </c>
      <c r="B2351" s="2253" t="str">
        <f>报表附注!E2924</f>
        <v>8．其他</v>
      </c>
      <c r="C2351" s="2260">
        <f>报表附注!F2924</f>
        <v>0</v>
      </c>
      <c r="D2351" s="2252" t="b">
        <f t="shared" si="48"/>
        <v>1</v>
      </c>
    </row>
    <row r="2352" spans="1:4">
      <c r="A2352" s="2252" t="s">
        <v>1207</v>
      </c>
      <c r="B2352" s="2263" t="str">
        <f>报表附注!E2925</f>
        <v>合  计</v>
      </c>
      <c r="C2352" s="2260">
        <f>报表附注!F2925</f>
        <v>853546.58</v>
      </c>
      <c r="D2352" s="2252" t="b">
        <f t="shared" si="48"/>
        <v>1</v>
      </c>
    </row>
    <row r="2353" spans="1:4">
      <c r="A2353" s="2252" t="s">
        <v>2351</v>
      </c>
      <c r="B2353" s="2273" t="s">
        <v>2351</v>
      </c>
      <c r="D2353" s="2252" t="b">
        <f t="shared" si="48"/>
        <v>1</v>
      </c>
    </row>
    <row r="2354" spans="1:4">
      <c r="A2354" s="2252" t="s">
        <v>2392</v>
      </c>
      <c r="B2354" s="2253" t="str">
        <f>报表附注!E2915</f>
        <v>1．处置非流动资产利得小计</v>
      </c>
      <c r="C2354" s="2260">
        <f>报表附注!G2915</f>
        <v>0</v>
      </c>
      <c r="D2354" s="2252" t="b">
        <f t="shared" si="48"/>
        <v>1</v>
      </c>
    </row>
    <row r="2355" spans="1:4">
      <c r="A2355" s="2252" t="s">
        <v>2393</v>
      </c>
      <c r="B2355" s="2253" t="str">
        <f>报表附注!E2916</f>
        <v>其中：处置固定资产利得</v>
      </c>
      <c r="C2355" s="2260">
        <f>报表附注!G2916</f>
        <v>0</v>
      </c>
      <c r="D2355" s="2252" t="b">
        <f t="shared" si="48"/>
        <v>1</v>
      </c>
    </row>
    <row r="2356" spans="1:4">
      <c r="A2356" s="2252" t="s">
        <v>2394</v>
      </c>
      <c r="B2356" s="2253" t="str">
        <f>报表附注!E2917</f>
        <v>      处置无形资产利得</v>
      </c>
      <c r="C2356" s="2260">
        <f>报表附注!G2917</f>
        <v>0</v>
      </c>
      <c r="D2356" s="2252" t="b">
        <f t="shared" si="48"/>
        <v>1</v>
      </c>
    </row>
    <row r="2357" spans="1:4">
      <c r="A2357" s="2252" t="s">
        <v>2395</v>
      </c>
      <c r="B2357" s="2253" t="str">
        <f>报表附注!E2918</f>
        <v>2．非货币性资产交换利得</v>
      </c>
      <c r="C2357" s="2260">
        <f>报表附注!G2918</f>
        <v>0</v>
      </c>
      <c r="D2357" s="2252" t="b">
        <f t="shared" si="48"/>
        <v>1</v>
      </c>
    </row>
    <row r="2358" spans="1:4">
      <c r="A2358" s="2252" t="s">
        <v>2396</v>
      </c>
      <c r="B2358" s="2253" t="str">
        <f>报表附注!E2919</f>
        <v>3．债务重组利得</v>
      </c>
      <c r="C2358" s="2260">
        <f>报表附注!G2919</f>
        <v>0</v>
      </c>
      <c r="D2358" s="2252" t="b">
        <f t="shared" si="48"/>
        <v>1</v>
      </c>
    </row>
    <row r="2359" spans="1:4">
      <c r="A2359" s="2252" t="s">
        <v>2397</v>
      </c>
      <c r="B2359" s="2253" t="str">
        <f>报表附注!E2920</f>
        <v>4．政府补助</v>
      </c>
      <c r="C2359" s="2260">
        <f>报表附注!G2920</f>
        <v>341459.24</v>
      </c>
      <c r="D2359" s="2252" t="b">
        <f t="shared" si="48"/>
        <v>1</v>
      </c>
    </row>
    <row r="2360" spans="1:4">
      <c r="A2360" s="2252" t="s">
        <v>2398</v>
      </c>
      <c r="B2360" s="2253" t="str">
        <f>报表附注!E2921</f>
        <v>5．盘盈利得</v>
      </c>
      <c r="C2360" s="2260">
        <f>报表附注!G2921</f>
        <v>0</v>
      </c>
      <c r="D2360" s="2252" t="b">
        <f t="shared" si="48"/>
        <v>1</v>
      </c>
    </row>
    <row r="2361" spans="1:4">
      <c r="A2361" s="2252" t="s">
        <v>2399</v>
      </c>
      <c r="B2361" s="2253" t="str">
        <f>报表附注!E2922</f>
        <v>6．捐赠利得</v>
      </c>
      <c r="C2361" s="2260">
        <f>报表附注!G2922</f>
        <v>0</v>
      </c>
      <c r="D2361" s="2252" t="b">
        <f t="shared" si="48"/>
        <v>1</v>
      </c>
    </row>
    <row r="2362" spans="1:4">
      <c r="A2362" s="2252" t="s">
        <v>2400</v>
      </c>
      <c r="B2362" s="2253" t="str">
        <f>报表附注!E2923</f>
        <v>7．罚款收入</v>
      </c>
      <c r="C2362" s="2260">
        <f>报表附注!G2923</f>
        <v>0</v>
      </c>
      <c r="D2362" s="2252" t="b">
        <f t="shared" si="48"/>
        <v>1</v>
      </c>
    </row>
    <row r="2363" spans="1:4">
      <c r="A2363" s="2252" t="s">
        <v>2401</v>
      </c>
      <c r="B2363" s="2253" t="str">
        <f>报表附注!E2924</f>
        <v>8．其他</v>
      </c>
      <c r="C2363" s="2260">
        <f>报表附注!G2924</f>
        <v>20593.68</v>
      </c>
      <c r="D2363" s="2252" t="b">
        <f t="shared" si="48"/>
        <v>1</v>
      </c>
    </row>
    <row r="2364" spans="1:4">
      <c r="A2364" s="2252" t="s">
        <v>1207</v>
      </c>
      <c r="B2364" s="2263" t="str">
        <f>报表附注!E2925</f>
        <v>合  计</v>
      </c>
      <c r="C2364" s="2260">
        <f>报表附注!G2925</f>
        <v>362052.92</v>
      </c>
      <c r="D2364" s="2252" t="b">
        <f t="shared" si="48"/>
        <v>1</v>
      </c>
    </row>
    <row r="2365" spans="1:4">
      <c r="A2365" s="2252" t="s">
        <v>2402</v>
      </c>
      <c r="B2365" s="2273" t="s">
        <v>2402</v>
      </c>
      <c r="D2365" s="2252" t="b">
        <f t="shared" si="48"/>
        <v>1</v>
      </c>
    </row>
    <row r="2366" spans="1:4">
      <c r="A2366" s="2252" t="s">
        <v>2392</v>
      </c>
      <c r="B2366" s="2267" t="str">
        <f>报表附注!E2915</f>
        <v>1．处置非流动资产利得小计</v>
      </c>
      <c r="C2366" s="2260">
        <f>报表附注!H2915</f>
        <v>0</v>
      </c>
      <c r="D2366" s="2252" t="b">
        <f t="shared" ref="D2366:D2429" si="49">EXACT(A2366,B2366)</f>
        <v>1</v>
      </c>
    </row>
    <row r="2367" spans="1:4">
      <c r="A2367" s="2252" t="s">
        <v>2393</v>
      </c>
      <c r="B2367" s="2267" t="str">
        <f>报表附注!E2916</f>
        <v>其中：处置固定资产利得</v>
      </c>
      <c r="C2367" s="2260">
        <f>报表附注!H2916</f>
        <v>0</v>
      </c>
      <c r="D2367" s="2252" t="b">
        <f t="shared" si="49"/>
        <v>1</v>
      </c>
    </row>
    <row r="2368" spans="1:4">
      <c r="A2368" s="2252" t="s">
        <v>2394</v>
      </c>
      <c r="B2368" s="2267" t="str">
        <f>报表附注!E2917</f>
        <v>      处置无形资产利得</v>
      </c>
      <c r="C2368" s="2260">
        <f>报表附注!H2917</f>
        <v>0</v>
      </c>
      <c r="D2368" s="2252" t="b">
        <f t="shared" si="49"/>
        <v>1</v>
      </c>
    </row>
    <row r="2369" spans="1:4">
      <c r="A2369" s="2252" t="s">
        <v>2395</v>
      </c>
      <c r="B2369" s="2267" t="str">
        <f>报表附注!E2918</f>
        <v>2．非货币性资产交换利得</v>
      </c>
      <c r="C2369" s="2260">
        <f>报表附注!H2918</f>
        <v>0</v>
      </c>
      <c r="D2369" s="2252" t="b">
        <f t="shared" si="49"/>
        <v>1</v>
      </c>
    </row>
    <row r="2370" spans="1:4">
      <c r="A2370" s="2252" t="s">
        <v>2396</v>
      </c>
      <c r="B2370" s="2267" t="str">
        <f>报表附注!E2919</f>
        <v>3．债务重组利得</v>
      </c>
      <c r="C2370" s="2260">
        <f>报表附注!H2919</f>
        <v>0</v>
      </c>
      <c r="D2370" s="2252" t="b">
        <f t="shared" si="49"/>
        <v>1</v>
      </c>
    </row>
    <row r="2371" spans="1:4">
      <c r="A2371" s="2252" t="s">
        <v>2397</v>
      </c>
      <c r="B2371" s="2267" t="str">
        <f>报表附注!E2920</f>
        <v>4．政府补助</v>
      </c>
      <c r="C2371" s="2260">
        <f>报表附注!H2920</f>
        <v>0</v>
      </c>
      <c r="D2371" s="2252" t="b">
        <f t="shared" si="49"/>
        <v>1</v>
      </c>
    </row>
    <row r="2372" spans="1:4">
      <c r="A2372" s="2252" t="s">
        <v>2398</v>
      </c>
      <c r="B2372" s="2267" t="str">
        <f>报表附注!E2921</f>
        <v>5．盘盈利得</v>
      </c>
      <c r="C2372" s="2260">
        <f>报表附注!H2921</f>
        <v>0</v>
      </c>
      <c r="D2372" s="2252" t="b">
        <f t="shared" si="49"/>
        <v>1</v>
      </c>
    </row>
    <row r="2373" spans="1:4">
      <c r="A2373" s="2252" t="s">
        <v>2399</v>
      </c>
      <c r="B2373" s="2267" t="str">
        <f>报表附注!E2922</f>
        <v>6．捐赠利得</v>
      </c>
      <c r="C2373" s="2260">
        <f>报表附注!H2922</f>
        <v>0</v>
      </c>
      <c r="D2373" s="2252" t="b">
        <f t="shared" si="49"/>
        <v>1</v>
      </c>
    </row>
    <row r="2374" spans="1:4">
      <c r="A2374" s="2252" t="s">
        <v>2400</v>
      </c>
      <c r="B2374" s="2267" t="str">
        <f>报表附注!E2923</f>
        <v>7．罚款收入</v>
      </c>
      <c r="C2374" s="2260">
        <f>报表附注!H2923</f>
        <v>0</v>
      </c>
      <c r="D2374" s="2252" t="b">
        <f t="shared" si="49"/>
        <v>1</v>
      </c>
    </row>
    <row r="2375" spans="1:4">
      <c r="A2375" s="2252" t="s">
        <v>2401</v>
      </c>
      <c r="B2375" s="2267" t="str">
        <f>报表附注!E2924</f>
        <v>8．其他</v>
      </c>
      <c r="C2375" s="2260">
        <f>报表附注!H2924</f>
        <v>0</v>
      </c>
      <c r="D2375" s="2252" t="b">
        <f t="shared" si="49"/>
        <v>1</v>
      </c>
    </row>
    <row r="2376" spans="1:4">
      <c r="A2376" s="2252" t="s">
        <v>1207</v>
      </c>
      <c r="B2376" s="2263" t="str">
        <f>报表附注!E2925</f>
        <v>合  计</v>
      </c>
      <c r="C2376" s="2260">
        <f>报表附注!H2925</f>
        <v>0</v>
      </c>
      <c r="D2376" s="2252" t="b">
        <f t="shared" si="49"/>
        <v>1</v>
      </c>
    </row>
    <row r="2377" spans="1:4">
      <c r="A2377" s="2252" t="s">
        <v>2403</v>
      </c>
      <c r="B2377" s="2273" t="s">
        <v>2403</v>
      </c>
      <c r="D2377" s="2252" t="b">
        <f t="shared" si="49"/>
        <v>1</v>
      </c>
    </row>
    <row r="2378" spans="1:4">
      <c r="A2378" s="2252" t="s">
        <v>2392</v>
      </c>
      <c r="B2378" s="2267" t="str">
        <f>报表附注!E2915</f>
        <v>1．处置非流动资产利得小计</v>
      </c>
      <c r="C2378" s="2260" t="str">
        <f>报表附注!H2914</f>
        <v>“其他”项目大于20万元，在右边表说明</v>
      </c>
      <c r="D2378" s="2252" t="b">
        <f t="shared" si="49"/>
        <v>1</v>
      </c>
    </row>
    <row r="2379" spans="1:4">
      <c r="A2379" s="2252" t="s">
        <v>2393</v>
      </c>
      <c r="B2379" s="2267" t="str">
        <f>报表附注!E2916</f>
        <v>其中：处置固定资产利得</v>
      </c>
      <c r="C2379" s="2260">
        <f>报表附注!I2916</f>
        <v>0</v>
      </c>
      <c r="D2379" s="2252" t="b">
        <f t="shared" si="49"/>
        <v>1</v>
      </c>
    </row>
    <row r="2380" spans="1:4">
      <c r="A2380" s="2252" t="s">
        <v>2394</v>
      </c>
      <c r="B2380" s="2267" t="str">
        <f>报表附注!E2917</f>
        <v>      处置无形资产利得</v>
      </c>
      <c r="C2380" s="2260">
        <f>报表附注!I2917</f>
        <v>0</v>
      </c>
      <c r="D2380" s="2252" t="b">
        <f t="shared" si="49"/>
        <v>1</v>
      </c>
    </row>
    <row r="2381" spans="1:4">
      <c r="A2381" s="2252" t="s">
        <v>2395</v>
      </c>
      <c r="B2381" s="2267" t="str">
        <f>报表附注!E2918</f>
        <v>2．非货币性资产交换利得</v>
      </c>
      <c r="C2381" s="2260">
        <f>报表附注!I2918</f>
        <v>0</v>
      </c>
      <c r="D2381" s="2252" t="b">
        <f t="shared" si="49"/>
        <v>1</v>
      </c>
    </row>
    <row r="2382" spans="1:4">
      <c r="A2382" s="2252" t="s">
        <v>2396</v>
      </c>
      <c r="B2382" s="2267" t="str">
        <f>报表附注!E2919</f>
        <v>3．债务重组利得</v>
      </c>
      <c r="C2382" s="2260">
        <f>报表附注!I2919</f>
        <v>0</v>
      </c>
      <c r="D2382" s="2252" t="b">
        <f t="shared" si="49"/>
        <v>1</v>
      </c>
    </row>
    <row r="2383" spans="1:4">
      <c r="A2383" s="2252" t="s">
        <v>2397</v>
      </c>
      <c r="B2383" s="2267" t="str">
        <f>报表附注!E2920</f>
        <v>4．政府补助</v>
      </c>
      <c r="C2383" s="2260">
        <f>报表附注!I2920</f>
        <v>0</v>
      </c>
      <c r="D2383" s="2252" t="b">
        <f t="shared" si="49"/>
        <v>1</v>
      </c>
    </row>
    <row r="2384" spans="1:4">
      <c r="A2384" s="2252" t="s">
        <v>2398</v>
      </c>
      <c r="B2384" s="2267" t="str">
        <f>报表附注!E2921</f>
        <v>5．盘盈利得</v>
      </c>
      <c r="C2384" s="2260">
        <f>报表附注!I2921</f>
        <v>0</v>
      </c>
      <c r="D2384" s="2252" t="b">
        <f t="shared" si="49"/>
        <v>1</v>
      </c>
    </row>
    <row r="2385" spans="1:4">
      <c r="A2385" s="2252" t="s">
        <v>2399</v>
      </c>
      <c r="B2385" s="2267" t="str">
        <f>报表附注!E2922</f>
        <v>6．捐赠利得</v>
      </c>
      <c r="C2385" s="2260">
        <f>报表附注!I2922</f>
        <v>0</v>
      </c>
      <c r="D2385" s="2252" t="b">
        <f t="shared" si="49"/>
        <v>1</v>
      </c>
    </row>
    <row r="2386" spans="1:4">
      <c r="A2386" s="2252" t="s">
        <v>2400</v>
      </c>
      <c r="B2386" s="2267" t="str">
        <f>报表附注!E2923</f>
        <v>7．罚款收入</v>
      </c>
      <c r="C2386" s="2260">
        <f>报表附注!I2923</f>
        <v>0</v>
      </c>
      <c r="D2386" s="2252" t="b">
        <f t="shared" si="49"/>
        <v>1</v>
      </c>
    </row>
    <row r="2387" spans="1:4">
      <c r="A2387" s="2252" t="s">
        <v>2401</v>
      </c>
      <c r="B2387" s="2267" t="str">
        <f>报表附注!E2924</f>
        <v>8．其他</v>
      </c>
      <c r="C2387" s="2260">
        <f>报表附注!I2924</f>
        <v>0</v>
      </c>
      <c r="D2387" s="2252" t="b">
        <f t="shared" si="49"/>
        <v>1</v>
      </c>
    </row>
    <row r="2388" spans="1:4">
      <c r="A2388" s="2252" t="s">
        <v>1207</v>
      </c>
      <c r="B2388" s="2263" t="str">
        <f>报表附注!E2925</f>
        <v>合  计</v>
      </c>
      <c r="C2388" s="2260" t="str">
        <f>报表附注!I2925</f>
        <v>合  计</v>
      </c>
      <c r="D2388" s="2252" t="b">
        <f t="shared" si="49"/>
        <v>1</v>
      </c>
    </row>
    <row r="2389" spans="4:4">
      <c r="D2389" s="2252" t="b">
        <f t="shared" si="49"/>
        <v>1</v>
      </c>
    </row>
    <row r="2390" spans="1:4">
      <c r="A2390" s="2252" t="s">
        <v>2404</v>
      </c>
      <c r="B2390" s="2270" t="s">
        <v>2404</v>
      </c>
      <c r="D2390" s="2252" t="b">
        <f t="shared" si="49"/>
        <v>1</v>
      </c>
    </row>
    <row r="2391" spans="1:4">
      <c r="A2391" s="2252" t="s">
        <v>2347</v>
      </c>
      <c r="B2391" s="2273" t="s">
        <v>2347</v>
      </c>
      <c r="D2391" s="2252" t="b">
        <f t="shared" si="49"/>
        <v>1</v>
      </c>
    </row>
    <row r="2392" spans="1:4">
      <c r="A2392" s="2252" t="s">
        <v>2405</v>
      </c>
      <c r="B2392" s="2253" t="str">
        <f>报表附注!E2981</f>
        <v>１．处置非流动资损失合计</v>
      </c>
      <c r="C2392" s="2260">
        <f>报表附注!F2981</f>
        <v>68120.1</v>
      </c>
      <c r="D2392" s="2252" t="b">
        <f t="shared" si="49"/>
        <v>1</v>
      </c>
    </row>
    <row r="2393" spans="1:4">
      <c r="A2393" s="2252" t="s">
        <v>2406</v>
      </c>
      <c r="B2393" s="2253" t="str">
        <f>报表附注!E2982</f>
        <v>  其中：处置固定资产损失</v>
      </c>
      <c r="C2393" s="2260">
        <f>报表附注!F2982</f>
        <v>68120.1</v>
      </c>
      <c r="D2393" s="2252" t="b">
        <f t="shared" si="49"/>
        <v>1</v>
      </c>
    </row>
    <row r="2394" spans="1:4">
      <c r="A2394" s="2252" t="s">
        <v>2407</v>
      </c>
      <c r="B2394" s="2253" t="str">
        <f>报表附注!E2983</f>
        <v>          处置无形资产损失</v>
      </c>
      <c r="C2394" s="2260">
        <f>报表附注!F2983</f>
        <v>0</v>
      </c>
      <c r="D2394" s="2252" t="b">
        <f t="shared" si="49"/>
        <v>1</v>
      </c>
    </row>
    <row r="2395" spans="1:4">
      <c r="A2395" s="2252" t="s">
        <v>2408</v>
      </c>
      <c r="B2395" s="2253" t="str">
        <f>报表附注!E2984</f>
        <v>２．非贷币性资产交换损失</v>
      </c>
      <c r="C2395" s="2260">
        <f>报表附注!F2984</f>
        <v>0</v>
      </c>
      <c r="D2395" s="2252" t="b">
        <f t="shared" si="49"/>
        <v>1</v>
      </c>
    </row>
    <row r="2396" spans="1:4">
      <c r="A2396" s="2252" t="s">
        <v>2409</v>
      </c>
      <c r="B2396" s="2253" t="str">
        <f>报表附注!E2985</f>
        <v>３．债务重组损失</v>
      </c>
      <c r="C2396" s="2260">
        <f>报表附注!F2985</f>
        <v>0</v>
      </c>
      <c r="D2396" s="2252" t="b">
        <f t="shared" si="49"/>
        <v>1</v>
      </c>
    </row>
    <row r="2397" spans="1:4">
      <c r="A2397" s="2252" t="s">
        <v>2410</v>
      </c>
      <c r="B2397" s="2253" t="str">
        <f>报表附注!E2986</f>
        <v>４．公益性捐赠支出</v>
      </c>
      <c r="C2397" s="2260">
        <f>报表附注!F2986</f>
        <v>20000</v>
      </c>
      <c r="D2397" s="2252" t="b">
        <f t="shared" si="49"/>
        <v>1</v>
      </c>
    </row>
    <row r="2398" spans="1:4">
      <c r="A2398" s="2252" t="s">
        <v>2411</v>
      </c>
      <c r="B2398" s="2253" t="str">
        <f>报表附注!E2987</f>
        <v>５．非常损失</v>
      </c>
      <c r="C2398" s="2260">
        <f>报表附注!F2987</f>
        <v>0</v>
      </c>
      <c r="D2398" s="2252" t="b">
        <f t="shared" si="49"/>
        <v>1</v>
      </c>
    </row>
    <row r="2399" spans="1:4">
      <c r="A2399" s="2252" t="s">
        <v>2412</v>
      </c>
      <c r="B2399" s="2253" t="str">
        <f>报表附注!E2988</f>
        <v>６．盘亏损失</v>
      </c>
      <c r="C2399" s="2260">
        <f>报表附注!F2988</f>
        <v>0</v>
      </c>
      <c r="D2399" s="2252" t="b">
        <f t="shared" si="49"/>
        <v>1</v>
      </c>
    </row>
    <row r="2400" spans="1:4">
      <c r="A2400" s="2252" t="s">
        <v>2413</v>
      </c>
      <c r="B2400" s="2253" t="str">
        <f>报表附注!E2989</f>
        <v>７．罚款支出</v>
      </c>
      <c r="C2400" s="2260">
        <f>报表附注!F2989</f>
        <v>1833.65</v>
      </c>
      <c r="D2400" s="2252" t="b">
        <f t="shared" si="49"/>
        <v>1</v>
      </c>
    </row>
    <row r="2401" spans="1:4">
      <c r="A2401" s="2252" t="s">
        <v>2414</v>
      </c>
      <c r="B2401" s="2253" t="str">
        <f>报表附注!E2990</f>
        <v>８．其他</v>
      </c>
      <c r="C2401" s="2260">
        <f>报表附注!F2990</f>
        <v>2050008.73</v>
      </c>
      <c r="D2401" s="2252" t="b">
        <f t="shared" si="49"/>
        <v>1</v>
      </c>
    </row>
    <row r="2402" spans="1:4">
      <c r="A2402" s="2252" t="s">
        <v>1207</v>
      </c>
      <c r="B2402" s="2263" t="str">
        <f>报表附注!E2991</f>
        <v>合  计</v>
      </c>
      <c r="C2402" s="2260">
        <f>报表附注!F2991</f>
        <v>2139962.48</v>
      </c>
      <c r="D2402" s="2252" t="b">
        <f t="shared" si="49"/>
        <v>1</v>
      </c>
    </row>
    <row r="2403" spans="1:4">
      <c r="A2403" s="2252" t="s">
        <v>2351</v>
      </c>
      <c r="B2403" s="2273" t="s">
        <v>2351</v>
      </c>
      <c r="D2403" s="2252" t="b">
        <f t="shared" si="49"/>
        <v>1</v>
      </c>
    </row>
    <row r="2404" spans="1:4">
      <c r="A2404" s="2252" t="s">
        <v>2405</v>
      </c>
      <c r="B2404" s="2253" t="str">
        <f>报表附注!E2981</f>
        <v>１．处置非流动资损失合计</v>
      </c>
      <c r="C2404" s="2260">
        <f>报表附注!G2981</f>
        <v>24270.57</v>
      </c>
      <c r="D2404" s="2252" t="b">
        <f t="shared" si="49"/>
        <v>1</v>
      </c>
    </row>
    <row r="2405" spans="1:4">
      <c r="A2405" s="2252" t="s">
        <v>2406</v>
      </c>
      <c r="B2405" s="2253" t="str">
        <f>报表附注!E2982</f>
        <v>  其中：处置固定资产损失</v>
      </c>
      <c r="C2405" s="2260">
        <f>报表附注!G2982</f>
        <v>24270.57</v>
      </c>
      <c r="D2405" s="2252" t="b">
        <f t="shared" si="49"/>
        <v>1</v>
      </c>
    </row>
    <row r="2406" spans="1:4">
      <c r="A2406" s="2252" t="s">
        <v>2407</v>
      </c>
      <c r="B2406" s="2253" t="str">
        <f>报表附注!E2983</f>
        <v>          处置无形资产损失</v>
      </c>
      <c r="C2406" s="2260">
        <f>报表附注!G2983</f>
        <v>0</v>
      </c>
      <c r="D2406" s="2252" t="b">
        <f t="shared" si="49"/>
        <v>1</v>
      </c>
    </row>
    <row r="2407" spans="1:4">
      <c r="A2407" s="2252" t="s">
        <v>2408</v>
      </c>
      <c r="B2407" s="2253" t="str">
        <f>报表附注!E2984</f>
        <v>２．非贷币性资产交换损失</v>
      </c>
      <c r="C2407" s="2260">
        <f>报表附注!G2984</f>
        <v>0</v>
      </c>
      <c r="D2407" s="2252" t="b">
        <f t="shared" si="49"/>
        <v>1</v>
      </c>
    </row>
    <row r="2408" spans="1:4">
      <c r="A2408" s="2252" t="s">
        <v>2409</v>
      </c>
      <c r="B2408" s="2253" t="str">
        <f>报表附注!E2985</f>
        <v>３．债务重组损失</v>
      </c>
      <c r="C2408" s="2260">
        <f>报表附注!G2985</f>
        <v>0</v>
      </c>
      <c r="D2408" s="2252" t="b">
        <f t="shared" si="49"/>
        <v>1</v>
      </c>
    </row>
    <row r="2409" spans="1:4">
      <c r="A2409" s="2252" t="s">
        <v>2410</v>
      </c>
      <c r="B2409" s="2253" t="str">
        <f>报表附注!E2986</f>
        <v>４．公益性捐赠支出</v>
      </c>
      <c r="C2409" s="2260">
        <f>报表附注!G2986</f>
        <v>0</v>
      </c>
      <c r="D2409" s="2252" t="b">
        <f t="shared" si="49"/>
        <v>1</v>
      </c>
    </row>
    <row r="2410" spans="1:4">
      <c r="A2410" s="2252" t="s">
        <v>2411</v>
      </c>
      <c r="B2410" s="2253" t="str">
        <f>报表附注!E2987</f>
        <v>５．非常损失</v>
      </c>
      <c r="C2410" s="2260">
        <f>报表附注!G2987</f>
        <v>0</v>
      </c>
      <c r="D2410" s="2252" t="b">
        <f t="shared" si="49"/>
        <v>1</v>
      </c>
    </row>
    <row r="2411" spans="1:4">
      <c r="A2411" s="2252" t="s">
        <v>2412</v>
      </c>
      <c r="B2411" s="2253" t="str">
        <f>报表附注!E2988</f>
        <v>６．盘亏损失</v>
      </c>
      <c r="C2411" s="2260">
        <f>报表附注!G2988</f>
        <v>0</v>
      </c>
      <c r="D2411" s="2252" t="b">
        <f t="shared" si="49"/>
        <v>1</v>
      </c>
    </row>
    <row r="2412" spans="1:4">
      <c r="A2412" s="2252" t="s">
        <v>2413</v>
      </c>
      <c r="B2412" s="2253" t="str">
        <f>报表附注!E2989</f>
        <v>７．罚款支出</v>
      </c>
      <c r="C2412" s="2260">
        <f>报表附注!G2989</f>
        <v>11.08</v>
      </c>
      <c r="D2412" s="2252" t="b">
        <f t="shared" si="49"/>
        <v>1</v>
      </c>
    </row>
    <row r="2413" spans="1:4">
      <c r="A2413" s="2252" t="s">
        <v>2414</v>
      </c>
      <c r="B2413" s="2253" t="str">
        <f>报表附注!E2990</f>
        <v>８．其他</v>
      </c>
      <c r="C2413" s="2260">
        <f>报表附注!G2990</f>
        <v>0</v>
      </c>
      <c r="D2413" s="2252" t="b">
        <f t="shared" si="49"/>
        <v>1</v>
      </c>
    </row>
    <row r="2414" spans="1:4">
      <c r="A2414" s="2252" t="s">
        <v>1207</v>
      </c>
      <c r="B2414" s="2263" t="str">
        <f>报表附注!E2991</f>
        <v>合  计</v>
      </c>
      <c r="C2414" s="2260">
        <f>报表附注!G2991</f>
        <v>24281.65</v>
      </c>
      <c r="D2414" s="2252" t="b">
        <f t="shared" si="49"/>
        <v>1</v>
      </c>
    </row>
    <row r="2415" spans="1:4">
      <c r="A2415" s="2252" t="s">
        <v>2402</v>
      </c>
      <c r="B2415" s="2273" t="s">
        <v>2402</v>
      </c>
      <c r="D2415" s="2252" t="b">
        <f t="shared" si="49"/>
        <v>1</v>
      </c>
    </row>
    <row r="2416" spans="1:4">
      <c r="A2416" s="2252" t="s">
        <v>2405</v>
      </c>
      <c r="B2416" s="2267" t="str">
        <f>报表附注!E2981</f>
        <v>１．处置非流动资损失合计</v>
      </c>
      <c r="C2416" s="2260">
        <f>报表附注!H2981</f>
        <v>0</v>
      </c>
      <c r="D2416" s="2252" t="b">
        <f t="shared" si="49"/>
        <v>1</v>
      </c>
    </row>
    <row r="2417" spans="1:4">
      <c r="A2417" s="2252" t="s">
        <v>2406</v>
      </c>
      <c r="B2417" s="2267" t="str">
        <f>报表附注!E2982</f>
        <v>  其中：处置固定资产损失</v>
      </c>
      <c r="C2417" s="2260">
        <f>报表附注!H2982</f>
        <v>506430.66</v>
      </c>
      <c r="D2417" s="2252" t="b">
        <f t="shared" si="49"/>
        <v>1</v>
      </c>
    </row>
    <row r="2418" spans="1:4">
      <c r="A2418" s="2252" t="s">
        <v>2407</v>
      </c>
      <c r="B2418" s="2267" t="str">
        <f>报表附注!E2983</f>
        <v>          处置无形资产损失</v>
      </c>
      <c r="C2418" s="2260">
        <f>报表附注!H2983</f>
        <v>438310.56</v>
      </c>
      <c r="D2418" s="2252" t="b">
        <f t="shared" si="49"/>
        <v>1</v>
      </c>
    </row>
    <row r="2419" spans="1:4">
      <c r="A2419" s="2252" t="s">
        <v>2408</v>
      </c>
      <c r="B2419" s="2267" t="str">
        <f>报表附注!E2984</f>
        <v>２．非贷币性资产交换损失</v>
      </c>
      <c r="C2419" s="2260">
        <f>报表附注!H2984</f>
        <v>7149.23</v>
      </c>
      <c r="D2419" s="2252" t="b">
        <f t="shared" si="49"/>
        <v>1</v>
      </c>
    </row>
    <row r="2420" spans="1:4">
      <c r="A2420" s="2252" t="s">
        <v>2409</v>
      </c>
      <c r="B2420" s="2267" t="str">
        <f>报表附注!E2985</f>
        <v>３．债务重组损失</v>
      </c>
      <c r="C2420" s="2260">
        <f>报表附注!H2985</f>
        <v>513579.89</v>
      </c>
      <c r="D2420" s="2252" t="b">
        <f t="shared" si="49"/>
        <v>1</v>
      </c>
    </row>
    <row r="2421" spans="1:4">
      <c r="A2421" s="2252" t="s">
        <v>2410</v>
      </c>
      <c r="B2421" s="2267" t="str">
        <f>报表附注!E2986</f>
        <v>４．公益性捐赠支出</v>
      </c>
      <c r="C2421" s="2260">
        <f>报表附注!H2986</f>
        <v>445459.79</v>
      </c>
      <c r="D2421" s="2252" t="b">
        <f t="shared" si="49"/>
        <v>1</v>
      </c>
    </row>
    <row r="2422" spans="1:4">
      <c r="A2422" s="2252" t="s">
        <v>2411</v>
      </c>
      <c r="B2422" s="2267" t="str">
        <f>报表附注!E2987</f>
        <v>５．非常损失</v>
      </c>
      <c r="C2422" s="2260">
        <f>报表附注!H2987</f>
        <v>68120.1</v>
      </c>
      <c r="D2422" s="2252" t="b">
        <f t="shared" si="49"/>
        <v>1</v>
      </c>
    </row>
    <row r="2423" spans="1:4">
      <c r="A2423" s="2252" t="s">
        <v>2412</v>
      </c>
      <c r="B2423" s="2267" t="str">
        <f>报表附注!E2988</f>
        <v>６．盘亏损失</v>
      </c>
      <c r="C2423" s="2260">
        <f>报表附注!H2988</f>
        <v>0</v>
      </c>
      <c r="D2423" s="2252" t="b">
        <f t="shared" si="49"/>
        <v>1</v>
      </c>
    </row>
    <row r="2424" spans="1:4">
      <c r="A2424" s="2252" t="s">
        <v>2413</v>
      </c>
      <c r="B2424" s="2267" t="str">
        <f>报表附注!E2989</f>
        <v>７．罚款支出</v>
      </c>
      <c r="C2424" s="2260">
        <f>报表附注!H2989</f>
        <v>0</v>
      </c>
      <c r="D2424" s="2252" t="b">
        <f t="shared" si="49"/>
        <v>1</v>
      </c>
    </row>
    <row r="2425" spans="1:4">
      <c r="A2425" s="2252" t="s">
        <v>2414</v>
      </c>
      <c r="B2425" s="2267" t="str">
        <f>报表附注!E2990</f>
        <v>８．其他</v>
      </c>
      <c r="C2425" s="2260">
        <f>报表附注!H2990</f>
        <v>0</v>
      </c>
      <c r="D2425" s="2252" t="b">
        <f t="shared" si="49"/>
        <v>1</v>
      </c>
    </row>
    <row r="2426" spans="1:4">
      <c r="A2426" s="2252" t="s">
        <v>1207</v>
      </c>
      <c r="B2426" s="2263" t="str">
        <f>报表附注!E2991</f>
        <v>合  计</v>
      </c>
      <c r="C2426" s="2260">
        <f>报表附注!H2991</f>
        <v>0</v>
      </c>
      <c r="D2426" s="2252" t="b">
        <f t="shared" si="49"/>
        <v>1</v>
      </c>
    </row>
    <row r="2427" spans="1:4">
      <c r="A2427" s="2252" t="s">
        <v>2403</v>
      </c>
      <c r="B2427" s="2273" t="s">
        <v>2403</v>
      </c>
      <c r="D2427" s="2252" t="b">
        <f t="shared" si="49"/>
        <v>1</v>
      </c>
    </row>
    <row r="2428" spans="1:4">
      <c r="A2428" s="2252" t="s">
        <v>2405</v>
      </c>
      <c r="B2428" s="2267" t="str">
        <f>报表附注!E2981</f>
        <v>１．处置非流动资损失合计</v>
      </c>
      <c r="C2428" s="2260">
        <f>报表附注!I2981</f>
        <v>0</v>
      </c>
      <c r="D2428" s="2252" t="b">
        <f t="shared" si="49"/>
        <v>1</v>
      </c>
    </row>
    <row r="2429" spans="1:4">
      <c r="A2429" s="2252" t="s">
        <v>2406</v>
      </c>
      <c r="B2429" s="2267" t="str">
        <f>报表附注!E2982</f>
        <v>  其中：处置固定资产损失</v>
      </c>
      <c r="C2429" s="2260">
        <f>报表附注!I2982</f>
        <v>0</v>
      </c>
      <c r="D2429" s="2252" t="b">
        <f t="shared" si="49"/>
        <v>1</v>
      </c>
    </row>
    <row r="2430" spans="1:4">
      <c r="A2430" s="2252" t="s">
        <v>2407</v>
      </c>
      <c r="B2430" s="2267" t="str">
        <f>报表附注!E2983</f>
        <v>          处置无形资产损失</v>
      </c>
      <c r="C2430" s="2260">
        <f>报表附注!I2983</f>
        <v>0</v>
      </c>
      <c r="D2430" s="2252" t="b">
        <f t="shared" ref="D2430:D2493" si="50">EXACT(A2430,B2430)</f>
        <v>1</v>
      </c>
    </row>
    <row r="2431" spans="1:4">
      <c r="A2431" s="2252" t="s">
        <v>2408</v>
      </c>
      <c r="B2431" s="2267" t="str">
        <f>报表附注!E2984</f>
        <v>２．非贷币性资产交换损失</v>
      </c>
      <c r="C2431" s="2260">
        <f>报表附注!I2984</f>
        <v>0</v>
      </c>
      <c r="D2431" s="2252" t="b">
        <f t="shared" si="50"/>
        <v>1</v>
      </c>
    </row>
    <row r="2432" spans="1:4">
      <c r="A2432" s="2252" t="s">
        <v>2409</v>
      </c>
      <c r="B2432" s="2267" t="str">
        <f>报表附注!E2985</f>
        <v>３．债务重组损失</v>
      </c>
      <c r="C2432" s="2260">
        <f>报表附注!I2985</f>
        <v>0</v>
      </c>
      <c r="D2432" s="2252" t="b">
        <f t="shared" si="50"/>
        <v>1</v>
      </c>
    </row>
    <row r="2433" spans="1:4">
      <c r="A2433" s="2252" t="s">
        <v>2410</v>
      </c>
      <c r="B2433" s="2267" t="str">
        <f>报表附注!E2986</f>
        <v>４．公益性捐赠支出</v>
      </c>
      <c r="C2433" s="2260">
        <f>报表附注!I2986</f>
        <v>0</v>
      </c>
      <c r="D2433" s="2252" t="b">
        <f t="shared" si="50"/>
        <v>1</v>
      </c>
    </row>
    <row r="2434" spans="1:4">
      <c r="A2434" s="2252" t="s">
        <v>2411</v>
      </c>
      <c r="B2434" s="2267" t="str">
        <f>报表附注!E2987</f>
        <v>５．非常损失</v>
      </c>
      <c r="C2434" s="2260">
        <f>报表附注!I2987</f>
        <v>0</v>
      </c>
      <c r="D2434" s="2252" t="b">
        <f t="shared" si="50"/>
        <v>1</v>
      </c>
    </row>
    <row r="2435" spans="1:4">
      <c r="A2435" s="2252" t="s">
        <v>2412</v>
      </c>
      <c r="B2435" s="2267" t="str">
        <f>报表附注!E2988</f>
        <v>６．盘亏损失</v>
      </c>
      <c r="C2435" s="2260">
        <f>报表附注!I2988</f>
        <v>0</v>
      </c>
      <c r="D2435" s="2252" t="b">
        <f t="shared" si="50"/>
        <v>1</v>
      </c>
    </row>
    <row r="2436" spans="1:4">
      <c r="A2436" s="2252" t="s">
        <v>2413</v>
      </c>
      <c r="B2436" s="2267" t="str">
        <f>报表附注!E2989</f>
        <v>７．罚款支出</v>
      </c>
      <c r="C2436" s="2260">
        <f>报表附注!I2989</f>
        <v>0</v>
      </c>
      <c r="D2436" s="2252" t="b">
        <f t="shared" si="50"/>
        <v>1</v>
      </c>
    </row>
    <row r="2437" spans="1:4">
      <c r="A2437" s="2252" t="s">
        <v>2414</v>
      </c>
      <c r="B2437" s="2267" t="str">
        <f>报表附注!E2990</f>
        <v>８．其他</v>
      </c>
      <c r="C2437" s="2260">
        <f>报表附注!I2990</f>
        <v>0</v>
      </c>
      <c r="D2437" s="2252" t="b">
        <f t="shared" si="50"/>
        <v>1</v>
      </c>
    </row>
    <row r="2438" spans="1:4">
      <c r="A2438" s="2252" t="s">
        <v>1207</v>
      </c>
      <c r="B2438" s="2263" t="str">
        <f>报表附注!E2991</f>
        <v>合  计</v>
      </c>
      <c r="C2438" s="2260">
        <f>报表附注!I2991</f>
        <v>0</v>
      </c>
      <c r="D2438" s="2252" t="b">
        <f t="shared" si="50"/>
        <v>1</v>
      </c>
    </row>
    <row r="2439" spans="4:4">
      <c r="D2439" s="2252" t="b">
        <f t="shared" si="50"/>
        <v>1</v>
      </c>
    </row>
    <row r="2440" spans="1:4">
      <c r="A2440" s="2252" t="s">
        <v>2415</v>
      </c>
      <c r="B2440" s="2270" t="s">
        <v>2415</v>
      </c>
      <c r="D2440" s="2252" t="b">
        <f t="shared" si="50"/>
        <v>1</v>
      </c>
    </row>
    <row r="2441" spans="1:4">
      <c r="A2441" s="2252" t="s">
        <v>2347</v>
      </c>
      <c r="B2441" s="2273" t="s">
        <v>2347</v>
      </c>
      <c r="D2441" s="2252" t="b">
        <f t="shared" si="50"/>
        <v>1</v>
      </c>
    </row>
    <row r="2442" spans="1:4">
      <c r="A2442" s="2252" t="s">
        <v>1670</v>
      </c>
      <c r="B2442" s="2253" t="str">
        <f>报表附注!E3000</f>
        <v>所得税费用</v>
      </c>
      <c r="C2442" s="2260">
        <f>报表附注!F3000</f>
        <v>-283323.52</v>
      </c>
      <c r="D2442" s="2252" t="b">
        <f t="shared" si="50"/>
        <v>1</v>
      </c>
    </row>
    <row r="2443" spans="1:4">
      <c r="A2443" s="2252" t="s">
        <v>2416</v>
      </c>
      <c r="B2443" s="2253" t="str">
        <f>报表附注!E3001</f>
        <v>其中：当期所得税</v>
      </c>
      <c r="C2443" s="2260">
        <f>报表附注!F3001</f>
        <v>460594.83</v>
      </c>
      <c r="D2443" s="2252" t="b">
        <f t="shared" si="50"/>
        <v>1</v>
      </c>
    </row>
    <row r="2444" spans="1:4">
      <c r="A2444" s="2252" t="s">
        <v>2417</v>
      </c>
      <c r="B2444" s="2253" t="str">
        <f>报表附注!E3002</f>
        <v>      递延所得税</v>
      </c>
      <c r="C2444" s="2260">
        <f>报表附注!F3002</f>
        <v>-743918.35</v>
      </c>
      <c r="D2444" s="2252" t="b">
        <f t="shared" si="50"/>
        <v>1</v>
      </c>
    </row>
    <row r="2445" spans="1:4">
      <c r="A2445" s="2252" t="s">
        <v>2351</v>
      </c>
      <c r="B2445" s="2273" t="s">
        <v>2351</v>
      </c>
      <c r="D2445" s="2252" t="b">
        <f t="shared" si="50"/>
        <v>1</v>
      </c>
    </row>
    <row r="2446" spans="1:4">
      <c r="A2446" s="2252" t="s">
        <v>1670</v>
      </c>
      <c r="B2446" s="2253" t="str">
        <f>报表附注!E3000</f>
        <v>所得税费用</v>
      </c>
      <c r="C2446" s="2260">
        <f>报表附注!G3000</f>
        <v>842798.93</v>
      </c>
      <c r="D2446" s="2252" t="b">
        <f t="shared" si="50"/>
        <v>1</v>
      </c>
    </row>
    <row r="2447" spans="1:4">
      <c r="A2447" s="2252" t="s">
        <v>2416</v>
      </c>
      <c r="B2447" s="2253" t="str">
        <f>报表附注!E3001</f>
        <v>其中：当期所得税</v>
      </c>
      <c r="C2447" s="2260">
        <f>报表附注!G3001</f>
        <v>842798.93</v>
      </c>
      <c r="D2447" s="2252" t="b">
        <f t="shared" si="50"/>
        <v>1</v>
      </c>
    </row>
    <row r="2448" spans="1:4">
      <c r="A2448" s="2252" t="s">
        <v>2417</v>
      </c>
      <c r="B2448" s="2253" t="str">
        <f>报表附注!E3002</f>
        <v>      递延所得税</v>
      </c>
      <c r="C2448" s="2260">
        <f>报表附注!G3002</f>
        <v>0</v>
      </c>
      <c r="D2448" s="2252" t="b">
        <f t="shared" si="50"/>
        <v>1</v>
      </c>
    </row>
    <row r="2449" spans="4:4">
      <c r="D2449" s="2252" t="b">
        <f t="shared" si="50"/>
        <v>1</v>
      </c>
    </row>
    <row r="2450" spans="4:4">
      <c r="D2450" s="2252" t="b">
        <f t="shared" si="50"/>
        <v>1</v>
      </c>
    </row>
    <row r="2451" spans="1:4">
      <c r="A2451" s="2252" t="s">
        <v>2418</v>
      </c>
      <c r="B2451" s="2293" t="s">
        <v>2418</v>
      </c>
      <c r="D2451" s="2252" t="b">
        <f t="shared" si="50"/>
        <v>1</v>
      </c>
    </row>
    <row r="2452" spans="4:4">
      <c r="D2452" s="2252" t="b">
        <f t="shared" si="50"/>
        <v>1</v>
      </c>
    </row>
    <row r="2453" spans="1:4">
      <c r="A2453" s="2252" t="s">
        <v>2419</v>
      </c>
      <c r="B2453" s="2270" t="s">
        <v>2419</v>
      </c>
      <c r="D2453" s="2252" t="b">
        <f t="shared" si="50"/>
        <v>1</v>
      </c>
    </row>
    <row r="2454" spans="1:4">
      <c r="A2454" s="2252" t="s">
        <v>2420</v>
      </c>
      <c r="B2454" s="2309" t="s">
        <v>2420</v>
      </c>
      <c r="D2454" s="2252" t="b">
        <f t="shared" si="50"/>
        <v>1</v>
      </c>
    </row>
    <row r="2455" spans="1:4">
      <c r="A2455" s="2252" t="s">
        <v>2421</v>
      </c>
      <c r="B2455" s="2253" t="str">
        <f>报表附注!E3114</f>
        <v>   减：与其他计入其他综合收益相关的所得税影响</v>
      </c>
      <c r="C2455" s="2260">
        <f>报表附注!F3114</f>
        <v>0</v>
      </c>
      <c r="D2455" s="2252" t="b">
        <f t="shared" si="50"/>
        <v>0</v>
      </c>
    </row>
    <row r="2456" spans="1:4">
      <c r="A2456" s="2252" t="s">
        <v>2422</v>
      </c>
      <c r="B2456" s="2253" t="str">
        <f>报表附注!E3115</f>
        <v>       前期其他计入其他综合收益当期转入损益的净额</v>
      </c>
      <c r="C2456" s="2260">
        <f>报表附注!F3115</f>
        <v>0</v>
      </c>
      <c r="D2456" s="2252" t="b">
        <f t="shared" si="50"/>
        <v>0</v>
      </c>
    </row>
    <row r="2457" spans="1:4">
      <c r="A2457" s="2252" t="s">
        <v>2423</v>
      </c>
      <c r="B2457" s="2253" t="str">
        <f>报表附注!E3116</f>
        <v>小  计</v>
      </c>
      <c r="C2457" s="2260">
        <f>报表附注!F3116</f>
        <v>0</v>
      </c>
      <c r="D2457" s="2252" t="b">
        <f t="shared" si="50"/>
        <v>0</v>
      </c>
    </row>
    <row r="2458" spans="1:4">
      <c r="A2458" s="2252" t="s">
        <v>2424</v>
      </c>
      <c r="B2458" s="2253" t="str">
        <f>报表附注!E3117</f>
        <v>合   计</v>
      </c>
      <c r="C2458" s="2260">
        <f>报表附注!F3117</f>
        <v>0</v>
      </c>
      <c r="D2458" s="2252" t="b">
        <f t="shared" si="50"/>
        <v>0</v>
      </c>
    </row>
    <row r="2459" spans="1:4">
      <c r="A2459" s="2252" t="s">
        <v>2425</v>
      </c>
      <c r="B2459" s="2253">
        <f>报表附注!E3118</f>
        <v>0</v>
      </c>
      <c r="C2459" s="2260">
        <f>报表附注!F3118</f>
        <v>0</v>
      </c>
      <c r="D2459" s="2252" t="b">
        <f t="shared" si="50"/>
        <v>0</v>
      </c>
    </row>
    <row r="2460" spans="1:4">
      <c r="A2460" s="2252" t="s">
        <v>2426</v>
      </c>
      <c r="B2460" s="2253">
        <f>报表附注!E3119</f>
        <v>0</v>
      </c>
      <c r="C2460" s="2260">
        <f>报表附注!F3119</f>
        <v>0</v>
      </c>
      <c r="D2460" s="2252" t="b">
        <f t="shared" si="50"/>
        <v>0</v>
      </c>
    </row>
    <row r="2461" spans="1:4">
      <c r="A2461" s="2252" t="s">
        <v>2423</v>
      </c>
      <c r="B2461" s="2253">
        <f>报表附注!E3120</f>
        <v>0</v>
      </c>
      <c r="C2461" s="2260">
        <f>报表附注!F3120</f>
        <v>0</v>
      </c>
      <c r="D2461" s="2252" t="b">
        <f t="shared" si="50"/>
        <v>0</v>
      </c>
    </row>
    <row r="2462" spans="1:4">
      <c r="A2462" s="2252" t="s">
        <v>2424</v>
      </c>
      <c r="B2462" s="2253" t="str">
        <f>报表附注!E3121</f>
        <v>（六十六）收到或支付的其他与经营活动有关的现金</v>
      </c>
      <c r="C2462" s="2260">
        <f>报表附注!F3121</f>
        <v>0</v>
      </c>
      <c r="D2462" s="2252" t="b">
        <f t="shared" si="50"/>
        <v>0</v>
      </c>
    </row>
    <row r="2463" spans="1:4">
      <c r="A2463" s="2252" t="s">
        <v>2427</v>
      </c>
      <c r="B2463" s="2253" t="str">
        <f>报表附注!E3122</f>
        <v>大额项目</v>
      </c>
      <c r="C2463" s="2260" t="str">
        <f>报表附注!F3122</f>
        <v>本期数</v>
      </c>
      <c r="D2463" s="2252" t="b">
        <f t="shared" si="50"/>
        <v>0</v>
      </c>
    </row>
    <row r="2464" spans="1:4">
      <c r="A2464" s="2252" t="s">
        <v>2428</v>
      </c>
      <c r="B2464" s="2253" t="str">
        <f>报表附注!E3123</f>
        <v>一、收到的其他与经营活动有关的现金</v>
      </c>
      <c r="C2464" s="2260">
        <f>报表附注!F3123</f>
        <v>0</v>
      </c>
      <c r="D2464" s="2252" t="b">
        <f t="shared" si="50"/>
        <v>0</v>
      </c>
    </row>
    <row r="2465" spans="1:4">
      <c r="A2465" s="2252" t="s">
        <v>2423</v>
      </c>
      <c r="B2465" s="2253" t="str">
        <f>报表附注!E3124</f>
        <v>其中：往来款</v>
      </c>
      <c r="C2465" s="2260">
        <f>报表附注!F3124</f>
        <v>0</v>
      </c>
      <c r="D2465" s="2252" t="b">
        <f t="shared" si="50"/>
        <v>0</v>
      </c>
    </row>
    <row r="2466" spans="1:4">
      <c r="A2466" s="2252" t="s">
        <v>2429</v>
      </c>
      <c r="B2466" s="2253" t="str">
        <f>报表附注!E3125</f>
        <v>      利息收入</v>
      </c>
      <c r="C2466" s="2260">
        <f>报表附注!F3125</f>
        <v>0</v>
      </c>
      <c r="D2466" s="2252" t="b">
        <f t="shared" si="50"/>
        <v>0</v>
      </c>
    </row>
    <row r="2467" spans="1:4">
      <c r="A2467" s="2252" t="s">
        <v>2424</v>
      </c>
      <c r="B2467" s="2253" t="str">
        <f>报表附注!E3126</f>
        <v>政府补助</v>
      </c>
      <c r="C2467" s="2260">
        <f>报表附注!F3126</f>
        <v>0</v>
      </c>
      <c r="D2467" s="2252" t="b">
        <f t="shared" si="50"/>
        <v>0</v>
      </c>
    </row>
    <row r="2468" spans="1:4">
      <c r="A2468" s="2252" t="s">
        <v>2430</v>
      </c>
      <c r="B2468" s="2253" t="str">
        <f>报表附注!E3127</f>
        <v>其他…….</v>
      </c>
      <c r="C2468" s="2260">
        <f>报表附注!F3127</f>
        <v>0</v>
      </c>
      <c r="D2468" s="2252" t="b">
        <f t="shared" si="50"/>
        <v>0</v>
      </c>
    </row>
    <row r="2469" spans="1:4">
      <c r="A2469" s="2252" t="s">
        <v>2431</v>
      </c>
      <c r="B2469" s="2253" t="str">
        <f>报表附注!E3128</f>
        <v>非关联方租金收入</v>
      </c>
      <c r="C2469" s="2260">
        <f>报表附注!F3128</f>
        <v>0</v>
      </c>
      <c r="D2469" s="2252" t="b">
        <f t="shared" si="50"/>
        <v>0</v>
      </c>
    </row>
    <row r="2470" spans="1:4">
      <c r="A2470" s="2252" t="s">
        <v>2424</v>
      </c>
      <c r="B2470" s="2253" t="str">
        <f>报表附注!E3129</f>
        <v>关联方租金收入</v>
      </c>
      <c r="C2470" s="2260">
        <f>报表附注!F3129</f>
        <v>0</v>
      </c>
      <c r="D2470" s="2252" t="b">
        <f t="shared" si="50"/>
        <v>0</v>
      </c>
    </row>
    <row r="2471" spans="1:4">
      <c r="A2471" s="2252" t="s">
        <v>2432</v>
      </c>
      <c r="B2471" s="2253" t="str">
        <f>报表附注!E3130</f>
        <v>银行承兑汇票保证金收入</v>
      </c>
      <c r="C2471" s="2260">
        <f>报表附注!F3130</f>
        <v>0</v>
      </c>
      <c r="D2471" s="2252" t="b">
        <f t="shared" si="50"/>
        <v>0</v>
      </c>
    </row>
    <row r="2472" spans="1:4">
      <c r="A2472" s="2252" t="s">
        <v>2433</v>
      </c>
      <c r="B2472" s="2253">
        <f>报表附注!E3131</f>
        <v>0</v>
      </c>
      <c r="C2472" s="2260">
        <f>报表附注!F3131</f>
        <v>0</v>
      </c>
      <c r="D2472" s="2252" t="b">
        <f t="shared" si="50"/>
        <v>0</v>
      </c>
    </row>
    <row r="2473" spans="1:4">
      <c r="A2473" s="2252" t="s">
        <v>2434</v>
      </c>
      <c r="B2473" s="2253">
        <f>报表附注!E3132</f>
        <v>0</v>
      </c>
      <c r="C2473" s="2260">
        <f>报表附注!F3132</f>
        <v>0</v>
      </c>
      <c r="D2473" s="2252" t="b">
        <f t="shared" si="50"/>
        <v>0</v>
      </c>
    </row>
    <row r="2474" spans="1:4">
      <c r="A2474" s="2252" t="s">
        <v>2424</v>
      </c>
      <c r="B2474" s="2253">
        <f>报表附注!E3133</f>
        <v>0</v>
      </c>
      <c r="C2474" s="2260">
        <f>报表附注!F3133</f>
        <v>0</v>
      </c>
      <c r="D2474" s="2252" t="b">
        <f t="shared" si="50"/>
        <v>0</v>
      </c>
    </row>
    <row r="2475" spans="1:4">
      <c r="A2475" s="2252" t="s">
        <v>2203</v>
      </c>
      <c r="B2475" s="2263">
        <f>报表附注!E3134</f>
        <v>0</v>
      </c>
      <c r="C2475" s="2260">
        <f>报表附注!F3134</f>
        <v>0</v>
      </c>
      <c r="D2475" s="2252" t="b">
        <f t="shared" si="50"/>
        <v>0</v>
      </c>
    </row>
    <row r="2476" spans="1:4">
      <c r="A2476" s="2252" t="s">
        <v>2435</v>
      </c>
      <c r="B2476" s="2273" t="s">
        <v>2435</v>
      </c>
      <c r="D2476" s="2252" t="b">
        <f t="shared" si="50"/>
        <v>1</v>
      </c>
    </row>
    <row r="2477" spans="1:4">
      <c r="A2477" s="2252" t="s">
        <v>2421</v>
      </c>
      <c r="B2477" s="2253" t="str">
        <f>报表附注!E3114</f>
        <v>   减：与其他计入其他综合收益相关的所得税影响</v>
      </c>
      <c r="C2477" s="2260">
        <f>报表附注!G3114</f>
        <v>0</v>
      </c>
      <c r="D2477" s="2252" t="b">
        <f t="shared" si="50"/>
        <v>0</v>
      </c>
    </row>
    <row r="2478" spans="1:4">
      <c r="A2478" s="2252" t="s">
        <v>2422</v>
      </c>
      <c r="B2478" s="2253" t="str">
        <f>报表附注!E3115</f>
        <v>       前期其他计入其他综合收益当期转入损益的净额</v>
      </c>
      <c r="C2478" s="2260">
        <f>报表附注!G3115</f>
        <v>0</v>
      </c>
      <c r="D2478" s="2252" t="b">
        <f t="shared" si="50"/>
        <v>0</v>
      </c>
    </row>
    <row r="2479" spans="1:4">
      <c r="A2479" s="2252" t="s">
        <v>2423</v>
      </c>
      <c r="B2479" s="2253" t="str">
        <f>报表附注!E3116</f>
        <v>小  计</v>
      </c>
      <c r="C2479" s="2260">
        <f>报表附注!G3116</f>
        <v>0</v>
      </c>
      <c r="D2479" s="2252" t="b">
        <f t="shared" si="50"/>
        <v>0</v>
      </c>
    </row>
    <row r="2480" spans="1:4">
      <c r="A2480" s="2252" t="s">
        <v>2424</v>
      </c>
      <c r="B2480" s="2253" t="str">
        <f>报表附注!E3117</f>
        <v>合   计</v>
      </c>
      <c r="C2480" s="2260">
        <f>报表附注!G3117</f>
        <v>0</v>
      </c>
      <c r="D2480" s="2252" t="b">
        <f t="shared" si="50"/>
        <v>0</v>
      </c>
    </row>
    <row r="2481" spans="1:4">
      <c r="A2481" s="2252" t="s">
        <v>2425</v>
      </c>
      <c r="B2481" s="2253">
        <f>报表附注!E3118</f>
        <v>0</v>
      </c>
      <c r="C2481" s="2260">
        <f>报表附注!G3118</f>
        <v>0</v>
      </c>
      <c r="D2481" s="2252" t="b">
        <f t="shared" si="50"/>
        <v>0</v>
      </c>
    </row>
    <row r="2482" spans="1:4">
      <c r="A2482" s="2252" t="s">
        <v>2426</v>
      </c>
      <c r="B2482" s="2253">
        <f>报表附注!E3119</f>
        <v>0</v>
      </c>
      <c r="C2482" s="2260">
        <f>报表附注!G3119</f>
        <v>0</v>
      </c>
      <c r="D2482" s="2252" t="b">
        <f t="shared" si="50"/>
        <v>0</v>
      </c>
    </row>
    <row r="2483" spans="1:4">
      <c r="A2483" s="2252" t="s">
        <v>2423</v>
      </c>
      <c r="B2483" s="2253">
        <f>报表附注!E3120</f>
        <v>0</v>
      </c>
      <c r="C2483" s="2260">
        <f>报表附注!G3120</f>
        <v>0</v>
      </c>
      <c r="D2483" s="2252" t="b">
        <f t="shared" si="50"/>
        <v>0</v>
      </c>
    </row>
    <row r="2484" spans="1:4">
      <c r="A2484" s="2252" t="s">
        <v>2424</v>
      </c>
      <c r="B2484" s="2253" t="str">
        <f>报表附注!E3121</f>
        <v>（六十六）收到或支付的其他与经营活动有关的现金</v>
      </c>
      <c r="C2484" s="2260" t="str">
        <f>报表附注!G3121</f>
        <v>（单独合并）</v>
      </c>
      <c r="D2484" s="2252" t="b">
        <f t="shared" si="50"/>
        <v>0</v>
      </c>
    </row>
    <row r="2485" spans="1:4">
      <c r="A2485" s="2252" t="s">
        <v>2427</v>
      </c>
      <c r="B2485" s="2253" t="str">
        <f>报表附注!E3122</f>
        <v>大额项目</v>
      </c>
      <c r="C2485" s="2260" t="str">
        <f>报表附注!G3122</f>
        <v>上期数</v>
      </c>
      <c r="D2485" s="2252" t="b">
        <f t="shared" si="50"/>
        <v>0</v>
      </c>
    </row>
    <row r="2486" spans="1:4">
      <c r="A2486" s="2252" t="s">
        <v>2428</v>
      </c>
      <c r="B2486" s="2253" t="str">
        <f>报表附注!E3123</f>
        <v>一、收到的其他与经营活动有关的现金</v>
      </c>
      <c r="C2486" s="2260">
        <f>报表附注!G3123</f>
        <v>0</v>
      </c>
      <c r="D2486" s="2252" t="b">
        <f t="shared" si="50"/>
        <v>0</v>
      </c>
    </row>
    <row r="2487" spans="1:4">
      <c r="A2487" s="2252" t="s">
        <v>2423</v>
      </c>
      <c r="B2487" s="2253" t="str">
        <f>报表附注!E3124</f>
        <v>其中：往来款</v>
      </c>
      <c r="C2487" s="2260">
        <f>报表附注!G3124</f>
        <v>0</v>
      </c>
      <c r="D2487" s="2252" t="b">
        <f t="shared" si="50"/>
        <v>0</v>
      </c>
    </row>
    <row r="2488" spans="1:4">
      <c r="A2488" s="2252" t="s">
        <v>2429</v>
      </c>
      <c r="B2488" s="2253" t="str">
        <f>报表附注!E3125</f>
        <v>      利息收入</v>
      </c>
      <c r="C2488" s="2260">
        <f>报表附注!G3125</f>
        <v>0</v>
      </c>
      <c r="D2488" s="2252" t="b">
        <f t="shared" si="50"/>
        <v>0</v>
      </c>
    </row>
    <row r="2489" spans="1:4">
      <c r="A2489" s="2252" t="s">
        <v>2424</v>
      </c>
      <c r="B2489" s="2253" t="str">
        <f>报表附注!E3126</f>
        <v>政府补助</v>
      </c>
      <c r="C2489" s="2260">
        <f>报表附注!G3126</f>
        <v>0</v>
      </c>
      <c r="D2489" s="2252" t="b">
        <f t="shared" si="50"/>
        <v>0</v>
      </c>
    </row>
    <row r="2490" spans="1:4">
      <c r="A2490" s="2252" t="s">
        <v>2430</v>
      </c>
      <c r="B2490" s="2253" t="str">
        <f>报表附注!E3127</f>
        <v>其他…….</v>
      </c>
      <c r="C2490" s="2260">
        <f>报表附注!G3127</f>
        <v>0</v>
      </c>
      <c r="D2490" s="2252" t="b">
        <f t="shared" si="50"/>
        <v>0</v>
      </c>
    </row>
    <row r="2491" spans="1:4">
      <c r="A2491" s="2252" t="s">
        <v>2431</v>
      </c>
      <c r="B2491" s="2253" t="str">
        <f>报表附注!E3128</f>
        <v>非关联方租金收入</v>
      </c>
      <c r="C2491" s="2260">
        <f>报表附注!G3128</f>
        <v>0</v>
      </c>
      <c r="D2491" s="2252" t="b">
        <f t="shared" si="50"/>
        <v>0</v>
      </c>
    </row>
    <row r="2492" spans="1:4">
      <c r="A2492" s="2252" t="s">
        <v>2424</v>
      </c>
      <c r="B2492" s="2253" t="str">
        <f>报表附注!E3129</f>
        <v>关联方租金收入</v>
      </c>
      <c r="C2492" s="2260">
        <f>报表附注!G3129</f>
        <v>0</v>
      </c>
      <c r="D2492" s="2252" t="b">
        <f t="shared" si="50"/>
        <v>0</v>
      </c>
    </row>
    <row r="2493" spans="1:4">
      <c r="A2493" s="2252" t="s">
        <v>2432</v>
      </c>
      <c r="B2493" s="2253" t="str">
        <f>报表附注!E3130</f>
        <v>银行承兑汇票保证金收入</v>
      </c>
      <c r="C2493" s="2260">
        <f>报表附注!G3130</f>
        <v>0</v>
      </c>
      <c r="D2493" s="2252" t="b">
        <f t="shared" si="50"/>
        <v>0</v>
      </c>
    </row>
    <row r="2494" spans="1:4">
      <c r="A2494" s="2252" t="s">
        <v>2433</v>
      </c>
      <c r="B2494" s="2253">
        <f>报表附注!E3131</f>
        <v>0</v>
      </c>
      <c r="C2494" s="2260">
        <f>报表附注!G3131</f>
        <v>0</v>
      </c>
      <c r="D2494" s="2252" t="b">
        <f t="shared" ref="D2494:D2497" si="51">EXACT(A2494,B2494)</f>
        <v>0</v>
      </c>
    </row>
    <row r="2495" spans="1:4">
      <c r="A2495" s="2252" t="s">
        <v>2434</v>
      </c>
      <c r="B2495" s="2253">
        <f>报表附注!E3132</f>
        <v>0</v>
      </c>
      <c r="C2495" s="2260">
        <f>报表附注!G3132</f>
        <v>0</v>
      </c>
      <c r="D2495" s="2252" t="b">
        <f t="shared" si="51"/>
        <v>0</v>
      </c>
    </row>
    <row r="2496" spans="1:4">
      <c r="A2496" s="2252" t="s">
        <v>2424</v>
      </c>
      <c r="B2496" s="2253">
        <f>报表附注!E3133</f>
        <v>0</v>
      </c>
      <c r="C2496" s="2260">
        <f>报表附注!G3133</f>
        <v>0</v>
      </c>
      <c r="D2496" s="2252" t="b">
        <f t="shared" si="51"/>
        <v>0</v>
      </c>
    </row>
    <row r="2497" spans="1:4">
      <c r="A2497" s="2252" t="s">
        <v>2203</v>
      </c>
      <c r="B2497" s="2263">
        <f>报表附注!E3134</f>
        <v>0</v>
      </c>
      <c r="C2497" s="2260">
        <f>报表附注!G3134</f>
        <v>0</v>
      </c>
      <c r="D2497" s="2252" t="b">
        <f t="shared" si="51"/>
        <v>0</v>
      </c>
    </row>
    <row r="2500" spans="1:2">
      <c r="A2500" s="2252" t="s">
        <v>2436</v>
      </c>
      <c r="B2500" s="2310" t="s">
        <v>2436</v>
      </c>
    </row>
    <row r="2502" spans="2:2">
      <c r="B2502" s="2257" t="s">
        <v>2437</v>
      </c>
    </row>
    <row r="2503" spans="2:2">
      <c r="B2503" s="2257" t="s">
        <v>2438</v>
      </c>
    </row>
    <row r="2504" spans="2:3">
      <c r="B2504" s="2257" t="s">
        <v>2347</v>
      </c>
      <c r="C2504" s="2289"/>
    </row>
    <row r="2505" spans="2:3">
      <c r="B2505" s="2274" t="str">
        <f>'1.管理费用'!B4</f>
        <v>职工薪酬</v>
      </c>
      <c r="C2505" s="2260">
        <f>'1.管理费用'!C4</f>
        <v>0</v>
      </c>
    </row>
    <row r="2506" spans="2:3">
      <c r="B2506" s="2274" t="str">
        <f>'1.管理费用'!B5</f>
        <v>研发费</v>
      </c>
      <c r="C2506" s="2260">
        <f>'1.管理费用'!C5</f>
        <v>0</v>
      </c>
    </row>
    <row r="2507" spans="2:3">
      <c r="B2507" s="2274" t="str">
        <f>'1.管理费用'!B6</f>
        <v>机物料</v>
      </c>
      <c r="C2507" s="2260">
        <f>'1.管理费用'!C6</f>
        <v>0</v>
      </c>
    </row>
    <row r="2508" spans="2:3">
      <c r="B2508" s="2274" t="str">
        <f>'1.管理费用'!B7</f>
        <v>办公费</v>
      </c>
      <c r="C2508" s="2260">
        <f>'1.管理费用'!C7</f>
        <v>0</v>
      </c>
    </row>
    <row r="2509" spans="2:3">
      <c r="B2509" s="2274" t="str">
        <f>'1.管理费用'!B8</f>
        <v>税金</v>
      </c>
      <c r="C2509" s="2260">
        <f>'1.管理费用'!C8</f>
        <v>0</v>
      </c>
    </row>
    <row r="2510" spans="2:3">
      <c r="B2510" s="2274" t="str">
        <f>'1.管理费用'!B9</f>
        <v>业务费</v>
      </c>
      <c r="C2510" s="2260">
        <f>'1.管理费用'!C9</f>
        <v>0</v>
      </c>
    </row>
    <row r="2511" spans="2:3">
      <c r="B2511" s="2274" t="str">
        <f>'1.管理费用'!B10</f>
        <v>折旧与摊销</v>
      </c>
      <c r="C2511" s="2260">
        <f>'1.管理费用'!C10</f>
        <v>0</v>
      </c>
    </row>
    <row r="2512" spans="2:3">
      <c r="B2512" s="2274" t="str">
        <f>'1.管理费用'!B11</f>
        <v>差旅费</v>
      </c>
      <c r="C2512" s="2260">
        <f>'1.管理费用'!C11</f>
        <v>0</v>
      </c>
    </row>
    <row r="2513" spans="2:3">
      <c r="B2513" s="2274" t="str">
        <f>'1.管理费用'!B12</f>
        <v>中介机构费</v>
      </c>
      <c r="C2513" s="2260">
        <f>'1.管理费用'!C12</f>
        <v>0</v>
      </c>
    </row>
    <row r="2514" spans="2:3">
      <c r="B2514" s="2274" t="str">
        <f>'1.管理费用'!B13</f>
        <v>保险费</v>
      </c>
      <c r="C2514" s="2260">
        <f>'1.管理费用'!C13</f>
        <v>0</v>
      </c>
    </row>
    <row r="2515" spans="2:3">
      <c r="B2515" s="2274" t="str">
        <f>'1.管理费用'!B14</f>
        <v>其他费用</v>
      </c>
      <c r="C2515" s="2260">
        <f>'1.管理费用'!C14</f>
        <v>0</v>
      </c>
    </row>
    <row r="2516" spans="2:3">
      <c r="B2516" s="2278" t="str">
        <f>'1.管理费用'!B15</f>
        <v>合计</v>
      </c>
      <c r="C2516" s="2260">
        <f>'1.管理费用'!C15</f>
        <v>0</v>
      </c>
    </row>
    <row r="2517" spans="2:3">
      <c r="B2517" s="2257" t="s">
        <v>2351</v>
      </c>
      <c r="C2517" s="2289"/>
    </row>
    <row r="2518" spans="2:3">
      <c r="B2518" s="2274" t="str">
        <f>B2505</f>
        <v>职工薪酬</v>
      </c>
      <c r="C2518" s="2260">
        <f>'1.管理费用'!D4</f>
        <v>0</v>
      </c>
    </row>
    <row r="2519" spans="2:3">
      <c r="B2519" s="2274" t="str">
        <f t="shared" ref="B2519:B2529" si="52">B2506</f>
        <v>研发费</v>
      </c>
      <c r="C2519" s="2260">
        <f>'1.管理费用'!D5</f>
        <v>0</v>
      </c>
    </row>
    <row r="2520" spans="2:3">
      <c r="B2520" s="2274" t="str">
        <f t="shared" si="52"/>
        <v>机物料</v>
      </c>
      <c r="C2520" s="2260">
        <f>'1.管理费用'!D6</f>
        <v>0</v>
      </c>
    </row>
    <row r="2521" spans="2:3">
      <c r="B2521" s="2274" t="str">
        <f t="shared" si="52"/>
        <v>办公费</v>
      </c>
      <c r="C2521" s="2260">
        <f>'1.管理费用'!D7</f>
        <v>0</v>
      </c>
    </row>
    <row r="2522" spans="2:3">
      <c r="B2522" s="2274" t="str">
        <f t="shared" si="52"/>
        <v>税金</v>
      </c>
      <c r="C2522" s="2260">
        <f>'1.管理费用'!D8</f>
        <v>0</v>
      </c>
    </row>
    <row r="2523" spans="2:3">
      <c r="B2523" s="2274" t="str">
        <f t="shared" si="52"/>
        <v>业务费</v>
      </c>
      <c r="C2523" s="2260">
        <f>'1.管理费用'!D9</f>
        <v>0</v>
      </c>
    </row>
    <row r="2524" spans="2:3">
      <c r="B2524" s="2274" t="str">
        <f t="shared" si="52"/>
        <v>折旧与摊销</v>
      </c>
      <c r="C2524" s="2260">
        <f>'1.管理费用'!D10</f>
        <v>0</v>
      </c>
    </row>
    <row r="2525" spans="2:3">
      <c r="B2525" s="2274" t="str">
        <f t="shared" si="52"/>
        <v>差旅费</v>
      </c>
      <c r="C2525" s="2260">
        <f>'1.管理费用'!D11</f>
        <v>0</v>
      </c>
    </row>
    <row r="2526" spans="2:3">
      <c r="B2526" s="2274" t="str">
        <f t="shared" si="52"/>
        <v>中介机构费</v>
      </c>
      <c r="C2526" s="2260">
        <f>'1.管理费用'!D12</f>
        <v>0</v>
      </c>
    </row>
    <row r="2527" spans="2:3">
      <c r="B2527" s="2274" t="str">
        <f t="shared" si="52"/>
        <v>保险费</v>
      </c>
      <c r="C2527" s="2260">
        <f>'1.管理费用'!D13</f>
        <v>0</v>
      </c>
    </row>
    <row r="2528" spans="2:3">
      <c r="B2528" s="2274" t="str">
        <f t="shared" si="52"/>
        <v>其他费用</v>
      </c>
      <c r="C2528" s="2260">
        <f>'1.管理费用'!D14</f>
        <v>0</v>
      </c>
    </row>
    <row r="2529" spans="2:3">
      <c r="B2529" s="2263" t="str">
        <f t="shared" si="52"/>
        <v>合计</v>
      </c>
      <c r="C2529" s="2260">
        <f>'1.管理费用'!D15</f>
        <v>0</v>
      </c>
    </row>
    <row r="2531" spans="2:2">
      <c r="B2531" s="2257" t="s">
        <v>2439</v>
      </c>
    </row>
    <row r="2532" spans="2:2">
      <c r="B2532" s="2257" t="s">
        <v>2438</v>
      </c>
    </row>
    <row r="2533" spans="2:3">
      <c r="B2533" s="2257" t="s">
        <v>2347</v>
      </c>
      <c r="C2533" s="2289"/>
    </row>
    <row r="2534" spans="2:3">
      <c r="B2534" s="2274" t="str">
        <f>'2.销售费用'!B4</f>
        <v>运输费及物料消耗 </v>
      </c>
      <c r="C2534" s="2260">
        <f>'2.销售费用'!C4</f>
        <v>0</v>
      </c>
    </row>
    <row r="2535" spans="2:3">
      <c r="B2535" s="2274" t="str">
        <f>'2.销售费用'!B5</f>
        <v>业务费 </v>
      </c>
      <c r="C2535" s="2260">
        <f>'2.销售费用'!C5</f>
        <v>0</v>
      </c>
    </row>
    <row r="2536" spans="2:3">
      <c r="B2536" s="2274" t="str">
        <f>'2.销售费用'!B6</f>
        <v>职工薪酬</v>
      </c>
      <c r="C2536" s="2260">
        <f>'2.销售费用'!C6</f>
        <v>0</v>
      </c>
    </row>
    <row r="2537" spans="2:3">
      <c r="B2537" s="2274" t="str">
        <f>'2.销售费用'!B7</f>
        <v>差旅费 </v>
      </c>
      <c r="C2537" s="2260">
        <f>'2.销售费用'!C7</f>
        <v>0</v>
      </c>
    </row>
    <row r="2538" spans="2:3">
      <c r="B2538" s="2274" t="str">
        <f>'2.销售费用'!B8</f>
        <v>折旧 </v>
      </c>
      <c r="C2538" s="2260">
        <f>'2.销售费用'!C8</f>
        <v>0</v>
      </c>
    </row>
    <row r="2539" spans="2:3">
      <c r="B2539" s="2274" t="str">
        <f>'2.销售费用'!B9</f>
        <v>办公费 </v>
      </c>
      <c r="C2539" s="2260">
        <f>'2.销售费用'!C9</f>
        <v>0</v>
      </c>
    </row>
    <row r="2540" spans="2:3">
      <c r="B2540" s="2274" t="str">
        <f>'2.销售费用'!B10</f>
        <v>其他 </v>
      </c>
      <c r="C2540" s="2260">
        <f>'2.销售费用'!C10</f>
        <v>0</v>
      </c>
    </row>
    <row r="2541" spans="2:3">
      <c r="B2541" s="2278" t="str">
        <f>'2.销售费用'!B11</f>
        <v>合计</v>
      </c>
      <c r="C2541" s="2311">
        <f>'2.销售费用'!C11</f>
        <v>0</v>
      </c>
    </row>
    <row r="2542" spans="2:3">
      <c r="B2542" s="2257" t="s">
        <v>2351</v>
      </c>
      <c r="C2542" s="2289"/>
    </row>
    <row r="2543" spans="2:3">
      <c r="B2543" s="2274" t="str">
        <f>B2534</f>
        <v>运输费及物料消耗 </v>
      </c>
      <c r="C2543" s="2260">
        <f>'2.销售费用'!D4</f>
        <v>0</v>
      </c>
    </row>
    <row r="2544" spans="2:3">
      <c r="B2544" s="2274" t="str">
        <f t="shared" ref="B2544:B2550" si="53">B2535</f>
        <v>业务费 </v>
      </c>
      <c r="C2544" s="2260">
        <f>'2.销售费用'!D5</f>
        <v>0</v>
      </c>
    </row>
    <row r="2545" spans="2:3">
      <c r="B2545" s="2274" t="str">
        <f t="shared" si="53"/>
        <v>职工薪酬</v>
      </c>
      <c r="C2545" s="2260">
        <f>'2.销售费用'!D6</f>
        <v>0</v>
      </c>
    </row>
    <row r="2546" spans="2:3">
      <c r="B2546" s="2274" t="str">
        <f t="shared" si="53"/>
        <v>差旅费 </v>
      </c>
      <c r="C2546" s="2260">
        <f>'2.销售费用'!D7</f>
        <v>0</v>
      </c>
    </row>
    <row r="2547" spans="2:3">
      <c r="B2547" s="2274" t="str">
        <f t="shared" si="53"/>
        <v>折旧 </v>
      </c>
      <c r="C2547" s="2260">
        <f>'2.销售费用'!D8</f>
        <v>0</v>
      </c>
    </row>
    <row r="2548" spans="2:3">
      <c r="B2548" s="2274" t="str">
        <f t="shared" si="53"/>
        <v>办公费 </v>
      </c>
      <c r="C2548" s="2260">
        <f>'2.销售费用'!D9</f>
        <v>0</v>
      </c>
    </row>
    <row r="2549" spans="2:3">
      <c r="B2549" s="2274" t="str">
        <f t="shared" si="53"/>
        <v>其他 </v>
      </c>
      <c r="C2549" s="2260">
        <f>'2.销售费用'!D10</f>
        <v>0</v>
      </c>
    </row>
    <row r="2550" spans="2:3">
      <c r="B2550" s="2263" t="str">
        <f t="shared" si="53"/>
        <v>合计</v>
      </c>
      <c r="C2550" s="2311">
        <f>'2.销售费用'!D11</f>
        <v>0</v>
      </c>
    </row>
    <row r="2552" spans="2:3">
      <c r="B2552" s="2253" t="str">
        <f>报表附注!H3155</f>
        <v>收到其他-利息收入与财务费用利息收入核对</v>
      </c>
      <c r="C2552" s="2312" t="str">
        <f>报表附注!I3155&amp;报表附注!J3155</f>
        <v>不相符，请说明差异：-1112994.49原因是：</v>
      </c>
    </row>
    <row r="2553" spans="2:3">
      <c r="B2553" s="2253" t="str">
        <f>附注其他核对!$B$182</f>
        <v>收到其他-政府补助与营业外收入政府补助收入核对</v>
      </c>
      <c r="C2553" s="2312" t="str">
        <f>报表附注!I3158&amp;报表附注!J3158</f>
        <v>不合理原因是：</v>
      </c>
    </row>
    <row r="2554" spans="2:3">
      <c r="B2554" s="2313" t="str">
        <f>报表附注!E3121</f>
        <v>（六十六）收到或支付的其他与经营活动有关的现金</v>
      </c>
      <c r="C2554" s="2260">
        <f>报表附注!F3121</f>
        <v>0</v>
      </c>
    </row>
    <row r="2555" spans="2:3">
      <c r="B2555" s="2314" t="str">
        <f>报表附注!E3122</f>
        <v>大额项目</v>
      </c>
      <c r="C2555" s="2260" t="str">
        <f>报表附注!F3122</f>
        <v>本期数</v>
      </c>
    </row>
    <row r="2556" spans="2:3">
      <c r="B2556" s="2315" t="str">
        <f>报表附注!E3123</f>
        <v>一、收到的其他与经营活动有关的现金</v>
      </c>
      <c r="C2556" s="2311">
        <f>报表附注!F3123</f>
        <v>0</v>
      </c>
    </row>
    <row r="2557" spans="2:3">
      <c r="B2557" s="2314" t="str">
        <f>报表附注!E3124</f>
        <v>其中：往来款</v>
      </c>
      <c r="C2557" s="2260">
        <f>报表附注!F3124</f>
        <v>0</v>
      </c>
    </row>
    <row r="2558" spans="2:3">
      <c r="B2558" s="2314" t="str">
        <f>报表附注!E3125</f>
        <v>      利息收入</v>
      </c>
      <c r="C2558" s="2260">
        <f>报表附注!F3125</f>
        <v>0</v>
      </c>
    </row>
    <row r="2559" spans="2:3">
      <c r="B2559" s="2314" t="str">
        <f>报表附注!E3126</f>
        <v>政府补助</v>
      </c>
      <c r="C2559" s="2260">
        <f>报表附注!F3126</f>
        <v>0</v>
      </c>
    </row>
    <row r="2560" spans="2:3">
      <c r="B2560" s="2314" t="str">
        <f>报表附注!E3127</f>
        <v>其他…….</v>
      </c>
      <c r="C2560" s="2260">
        <f>报表附注!F3127</f>
        <v>0</v>
      </c>
    </row>
    <row r="2561" spans="2:3">
      <c r="B2561" s="2314" t="str">
        <f>报表附注!E3128</f>
        <v>非关联方租金收入</v>
      </c>
      <c r="C2561" s="2260">
        <f>报表附注!F3128</f>
        <v>0</v>
      </c>
    </row>
    <row r="2562" spans="2:3">
      <c r="B2562" s="2314" t="str">
        <f>报表附注!E3129</f>
        <v>关联方租金收入</v>
      </c>
      <c r="C2562" s="2260">
        <f>报表附注!F3129</f>
        <v>0</v>
      </c>
    </row>
    <row r="2563" spans="2:3">
      <c r="B2563" s="2314" t="str">
        <f>报表附注!E3130</f>
        <v>银行承兑汇票保证金收入</v>
      </c>
      <c r="C2563" s="2260">
        <f>报表附注!F3130</f>
        <v>0</v>
      </c>
    </row>
    <row r="2564" spans="2:3">
      <c r="B2564" s="2314">
        <f>报表附注!E3131</f>
        <v>0</v>
      </c>
      <c r="C2564" s="2260">
        <f>报表附注!F3131</f>
        <v>0</v>
      </c>
    </row>
    <row r="2565" spans="2:3">
      <c r="B2565" s="2314">
        <f>报表附注!E3132</f>
        <v>0</v>
      </c>
      <c r="C2565" s="2260">
        <f>报表附注!F3132</f>
        <v>0</v>
      </c>
    </row>
    <row r="2566" spans="2:3">
      <c r="B2566" s="2314">
        <f>报表附注!E3133</f>
        <v>0</v>
      </c>
      <c r="C2566" s="2260">
        <f>报表附注!F3133</f>
        <v>0</v>
      </c>
    </row>
    <row r="2567" spans="2:3">
      <c r="B2567" s="2314">
        <f>报表附注!E3134</f>
        <v>0</v>
      </c>
      <c r="C2567" s="2260">
        <f>报表附注!F3134</f>
        <v>0</v>
      </c>
    </row>
    <row r="2568" spans="2:3">
      <c r="B2568" s="2314">
        <f>报表附注!E3135</f>
        <v>0</v>
      </c>
      <c r="C2568" s="2260">
        <f>报表附注!F3135</f>
        <v>0</v>
      </c>
    </row>
    <row r="2569" spans="2:3">
      <c r="B2569" s="2314">
        <f>报表附注!E3136</f>
        <v>0</v>
      </c>
      <c r="C2569" s="2260">
        <f>报表附注!F3136</f>
        <v>0</v>
      </c>
    </row>
    <row r="2570" spans="2:3">
      <c r="B2570" s="2314">
        <f>报表附注!E3137</f>
        <v>0</v>
      </c>
      <c r="C2570" s="2260">
        <f>报表附注!F3137</f>
        <v>0</v>
      </c>
    </row>
    <row r="2571" spans="2:2">
      <c r="B2571" s="2253" t="s">
        <v>2440</v>
      </c>
    </row>
    <row r="2572" spans="2:2">
      <c r="B2572" s="2253" t="str">
        <f>报表附注!H3123</f>
        <v>往来单位</v>
      </c>
    </row>
    <row r="2573" spans="2:3">
      <c r="B2573" s="2314">
        <f>报表附注!H3124</f>
        <v>0</v>
      </c>
      <c r="C2573" s="2260">
        <f>报表附注!I3124</f>
        <v>0</v>
      </c>
    </row>
    <row r="2574" spans="2:3">
      <c r="B2574" s="2314">
        <f>报表附注!H3125</f>
        <v>0</v>
      </c>
      <c r="C2574" s="2260">
        <f>报表附注!I3125</f>
        <v>0</v>
      </c>
    </row>
    <row r="2575" spans="2:3">
      <c r="B2575" s="2314">
        <f>报表附注!H3126</f>
        <v>0</v>
      </c>
      <c r="C2575" s="2260">
        <f>报表附注!I3126</f>
        <v>0</v>
      </c>
    </row>
    <row r="2576" spans="2:3">
      <c r="B2576" s="2314">
        <f>报表附注!H3127</f>
        <v>0</v>
      </c>
      <c r="C2576" s="2260">
        <f>报表附注!I3127</f>
        <v>0</v>
      </c>
    </row>
    <row r="2577" spans="2:3">
      <c r="B2577" s="2314">
        <f>报表附注!H3128</f>
        <v>0</v>
      </c>
      <c r="C2577" s="2260">
        <f>报表附注!I3128</f>
        <v>0</v>
      </c>
    </row>
    <row r="2578" spans="2:3">
      <c r="B2578" s="2314">
        <f>报表附注!H3129</f>
        <v>0</v>
      </c>
      <c r="C2578" s="2260">
        <f>报表附注!I3129</f>
        <v>0</v>
      </c>
    </row>
    <row r="2579" spans="2:3">
      <c r="B2579" s="2314">
        <f>报表附注!H3130</f>
        <v>0</v>
      </c>
      <c r="C2579" s="2260">
        <f>报表附注!I3130</f>
        <v>0</v>
      </c>
    </row>
    <row r="2580" spans="2:3">
      <c r="B2580" s="2314">
        <f>报表附注!H3131</f>
        <v>0</v>
      </c>
      <c r="C2580" s="2260">
        <f>报表附注!I3131</f>
        <v>0</v>
      </c>
    </row>
    <row r="2581" spans="2:3">
      <c r="B2581" s="2314">
        <f>报表附注!H3132</f>
        <v>0</v>
      </c>
      <c r="C2581" s="2260">
        <f>报表附注!I3132</f>
        <v>0</v>
      </c>
    </row>
    <row r="2582" spans="2:3">
      <c r="B2582" s="2314">
        <f>报表附注!H3133</f>
        <v>0</v>
      </c>
      <c r="C2582" s="2260">
        <f>报表附注!I3133</f>
        <v>0</v>
      </c>
    </row>
    <row r="2583" spans="2:3">
      <c r="B2583" s="2314">
        <f>报表附注!H3134</f>
        <v>0</v>
      </c>
      <c r="C2583" s="2260">
        <f>报表附注!I3134</f>
        <v>0</v>
      </c>
    </row>
    <row r="2584" spans="2:3">
      <c r="B2584" s="2314">
        <f>报表附注!H3135</f>
        <v>0</v>
      </c>
      <c r="C2584" s="2260">
        <f>报表附注!I3135</f>
        <v>0</v>
      </c>
    </row>
    <row r="2585" spans="2:3">
      <c r="B2585" s="2314">
        <f>报表附注!H3136</f>
        <v>0</v>
      </c>
      <c r="C2585" s="2260">
        <f>报表附注!I3136</f>
        <v>0</v>
      </c>
    </row>
    <row r="2586" spans="2:3">
      <c r="B2586" s="2315" t="str">
        <f>报表附注!H3137</f>
        <v>合计</v>
      </c>
      <c r="C2586" s="2260">
        <f>报表附注!I3137</f>
        <v>0</v>
      </c>
    </row>
    <row r="2588" spans="2:3">
      <c r="B2588" s="2313" t="s">
        <v>20</v>
      </c>
      <c r="C2588" s="2316" t="str">
        <f>报表附注!G3122</f>
        <v>上期数</v>
      </c>
    </row>
    <row r="2589" spans="2:3">
      <c r="B2589" s="2315" t="str">
        <f t="shared" ref="B2589:B2619" si="54">B2556</f>
        <v>一、收到的其他与经营活动有关的现金</v>
      </c>
      <c r="C2589" s="2311">
        <f>报表附注!G3123</f>
        <v>0</v>
      </c>
    </row>
    <row r="2590" spans="2:3">
      <c r="B2590" s="2314" t="str">
        <f t="shared" si="54"/>
        <v>其中：往来款</v>
      </c>
      <c r="C2590" s="2260">
        <f>报表附注!G3124</f>
        <v>0</v>
      </c>
    </row>
    <row r="2591" spans="2:3">
      <c r="B2591" s="2314" t="str">
        <f t="shared" si="54"/>
        <v>      利息收入</v>
      </c>
      <c r="C2591" s="2260">
        <f>报表附注!G3125</f>
        <v>0</v>
      </c>
    </row>
    <row r="2592" spans="2:3">
      <c r="B2592" s="2314" t="str">
        <f t="shared" si="54"/>
        <v>政府补助</v>
      </c>
      <c r="C2592" s="2260">
        <f>报表附注!G3126</f>
        <v>0</v>
      </c>
    </row>
    <row r="2593" spans="2:3">
      <c r="B2593" s="2314" t="str">
        <f t="shared" si="54"/>
        <v>其他…….</v>
      </c>
      <c r="C2593" s="2260">
        <f>报表附注!G3127</f>
        <v>0</v>
      </c>
    </row>
    <row r="2594" spans="2:3">
      <c r="B2594" s="2314" t="str">
        <f t="shared" si="54"/>
        <v>非关联方租金收入</v>
      </c>
      <c r="C2594" s="2260">
        <f>报表附注!G3128</f>
        <v>0</v>
      </c>
    </row>
    <row r="2595" spans="2:3">
      <c r="B2595" s="2314" t="str">
        <f t="shared" si="54"/>
        <v>关联方租金收入</v>
      </c>
      <c r="C2595" s="2260">
        <f>报表附注!G3129</f>
        <v>0</v>
      </c>
    </row>
    <row r="2596" spans="2:3">
      <c r="B2596" s="2314" t="str">
        <f t="shared" si="54"/>
        <v>银行承兑汇票保证金收入</v>
      </c>
      <c r="C2596" s="2260">
        <f>报表附注!G3130</f>
        <v>0</v>
      </c>
    </row>
    <row r="2597" spans="2:3">
      <c r="B2597" s="2314">
        <f t="shared" si="54"/>
        <v>0</v>
      </c>
      <c r="C2597" s="2260">
        <f>报表附注!G3131</f>
        <v>0</v>
      </c>
    </row>
    <row r="2598" spans="2:3">
      <c r="B2598" s="2314">
        <f t="shared" si="54"/>
        <v>0</v>
      </c>
      <c r="C2598" s="2260">
        <f>报表附注!G3132</f>
        <v>0</v>
      </c>
    </row>
    <row r="2599" spans="2:3">
      <c r="B2599" s="2314">
        <f t="shared" si="54"/>
        <v>0</v>
      </c>
      <c r="C2599" s="2260">
        <f>报表附注!G3133</f>
        <v>0</v>
      </c>
    </row>
    <row r="2600" spans="2:3">
      <c r="B2600" s="2314">
        <f t="shared" si="54"/>
        <v>0</v>
      </c>
      <c r="C2600" s="2260">
        <f>报表附注!G3134</f>
        <v>0</v>
      </c>
    </row>
    <row r="2601" spans="2:3">
      <c r="B2601" s="2314">
        <f t="shared" si="54"/>
        <v>0</v>
      </c>
      <c r="C2601" s="2260">
        <f>报表附注!G3135</f>
        <v>0</v>
      </c>
    </row>
    <row r="2602" spans="2:3">
      <c r="B2602" s="2314">
        <f t="shared" si="54"/>
        <v>0</v>
      </c>
      <c r="C2602" s="2260">
        <f>报表附注!G3136</f>
        <v>0</v>
      </c>
    </row>
    <row r="2603" spans="2:3">
      <c r="B2603" s="2314">
        <f t="shared" si="54"/>
        <v>0</v>
      </c>
      <c r="C2603" s="2260">
        <f>报表附注!G3137</f>
        <v>0</v>
      </c>
    </row>
    <row r="2604" spans="2:2">
      <c r="B2604" s="2314" t="str">
        <f t="shared" si="54"/>
        <v>本期往来款-大额往来款明细：</v>
      </c>
    </row>
    <row r="2605" spans="2:2">
      <c r="B2605" s="2253" t="str">
        <f t="shared" si="54"/>
        <v>往来单位</v>
      </c>
    </row>
    <row r="2606" spans="2:3">
      <c r="B2606" s="2314">
        <f t="shared" si="54"/>
        <v>0</v>
      </c>
      <c r="C2606" s="2260">
        <f>报表附注!K3124</f>
        <v>0</v>
      </c>
    </row>
    <row r="2607" spans="2:3">
      <c r="B2607" s="2314">
        <f t="shared" si="54"/>
        <v>0</v>
      </c>
      <c r="C2607" s="2260">
        <f>报表附注!K3125</f>
        <v>0</v>
      </c>
    </row>
    <row r="2608" spans="2:3">
      <c r="B2608" s="2314">
        <f t="shared" si="54"/>
        <v>0</v>
      </c>
      <c r="C2608" s="2260">
        <f>报表附注!K3126</f>
        <v>0</v>
      </c>
    </row>
    <row r="2609" spans="2:3">
      <c r="B2609" s="2314">
        <f t="shared" si="54"/>
        <v>0</v>
      </c>
      <c r="C2609" s="2260">
        <f>报表附注!K3127</f>
        <v>0</v>
      </c>
    </row>
    <row r="2610" spans="2:3">
      <c r="B2610" s="2314">
        <f t="shared" si="54"/>
        <v>0</v>
      </c>
      <c r="C2610" s="2260">
        <f>报表附注!K3128</f>
        <v>0</v>
      </c>
    </row>
    <row r="2611" spans="2:3">
      <c r="B2611" s="2314">
        <f t="shared" si="54"/>
        <v>0</v>
      </c>
      <c r="C2611" s="2260">
        <f>报表附注!K3129</f>
        <v>0</v>
      </c>
    </row>
    <row r="2612" spans="2:3">
      <c r="B2612" s="2314">
        <f t="shared" si="54"/>
        <v>0</v>
      </c>
      <c r="C2612" s="2260">
        <f>报表附注!K3130</f>
        <v>0</v>
      </c>
    </row>
    <row r="2613" spans="2:3">
      <c r="B2613" s="2314">
        <f t="shared" si="54"/>
        <v>0</v>
      </c>
      <c r="C2613" s="2260">
        <f>报表附注!K3131</f>
        <v>0</v>
      </c>
    </row>
    <row r="2614" spans="2:3">
      <c r="B2614" s="2314">
        <f t="shared" si="54"/>
        <v>0</v>
      </c>
      <c r="C2614" s="2260">
        <f>报表附注!K3132</f>
        <v>0</v>
      </c>
    </row>
    <row r="2615" spans="2:3">
      <c r="B2615" s="2314">
        <f t="shared" si="54"/>
        <v>0</v>
      </c>
      <c r="C2615" s="2260">
        <f>报表附注!K3133</f>
        <v>0</v>
      </c>
    </row>
    <row r="2616" spans="2:3">
      <c r="B2616" s="2314">
        <f t="shared" si="54"/>
        <v>0</v>
      </c>
      <c r="C2616" s="2260">
        <f>报表附注!K3134</f>
        <v>0</v>
      </c>
    </row>
    <row r="2617" spans="2:3">
      <c r="B2617" s="2314">
        <f t="shared" si="54"/>
        <v>0</v>
      </c>
      <c r="C2617" s="2260">
        <f>报表附注!K3135</f>
        <v>0</v>
      </c>
    </row>
    <row r="2618" spans="2:3">
      <c r="B2618" s="2314">
        <f t="shared" si="54"/>
        <v>0</v>
      </c>
      <c r="C2618" s="2260">
        <f>报表附注!K3136</f>
        <v>0</v>
      </c>
    </row>
    <row r="2619" spans="2:3">
      <c r="B2619" s="2315" t="str">
        <f t="shared" si="54"/>
        <v>合计</v>
      </c>
      <c r="C2619" s="2260">
        <f>报表附注!K3137</f>
        <v>0</v>
      </c>
    </row>
    <row r="2622" spans="2:3">
      <c r="B2622" s="2315" t="str">
        <f>报表附注!E3138</f>
        <v>二、支付的其他与经营活动有关的现金</v>
      </c>
      <c r="C2622" s="2311">
        <f>报表附注!F3138</f>
        <v>0</v>
      </c>
    </row>
    <row r="2623" spans="2:3">
      <c r="B2623" s="2314" t="str">
        <f>报表附注!E3139</f>
        <v>其中：管理费用</v>
      </c>
      <c r="C2623" s="2260">
        <f>报表附注!F3139</f>
        <v>0</v>
      </c>
    </row>
    <row r="2624" spans="2:3">
      <c r="B2624" s="2314" t="str">
        <f>报表附注!E3140</f>
        <v>往来款</v>
      </c>
      <c r="C2624" s="2260">
        <f>报表附注!F3140</f>
        <v>0</v>
      </c>
    </row>
    <row r="2625" spans="2:3">
      <c r="B2625" s="2314" t="str">
        <f>报表附注!E3141</f>
        <v>营业费用</v>
      </c>
      <c r="C2625" s="2260">
        <f>报表附注!F3141</f>
        <v>0</v>
      </c>
    </row>
    <row r="2626" spans="2:3">
      <c r="B2626" s="2314" t="str">
        <f>报表附注!E3142</f>
        <v>手续费支出</v>
      </c>
      <c r="C2626" s="2260">
        <f>报表附注!F3142</f>
        <v>0</v>
      </c>
    </row>
    <row r="2627" spans="2:3">
      <c r="B2627" s="2314" t="str">
        <f>报表附注!E3143</f>
        <v>其他…….</v>
      </c>
      <c r="C2627" s="2260">
        <f>报表附注!F3143</f>
        <v>0</v>
      </c>
    </row>
    <row r="2628" spans="2:3">
      <c r="B2628" s="2314" t="str">
        <f>报表附注!E3144</f>
        <v>支付银行承兑汇票保证金</v>
      </c>
      <c r="C2628" s="2260">
        <f>报表附注!F3144</f>
        <v>0</v>
      </c>
    </row>
    <row r="2629" spans="2:3">
      <c r="B2629" s="2314">
        <f>报表附注!E3145</f>
        <v>0</v>
      </c>
      <c r="C2629" s="2260">
        <f>报表附注!F3145</f>
        <v>0</v>
      </c>
    </row>
    <row r="2630" spans="2:3">
      <c r="B2630" s="2314">
        <f>报表附注!E3146</f>
        <v>0</v>
      </c>
      <c r="C2630" s="2260">
        <f>报表附注!F3146</f>
        <v>0</v>
      </c>
    </row>
    <row r="2631" spans="2:3">
      <c r="B2631" s="2314">
        <f>报表附注!E3147</f>
        <v>0</v>
      </c>
      <c r="C2631" s="2260">
        <f>报表附注!F3147</f>
        <v>0</v>
      </c>
    </row>
    <row r="2632" spans="2:3">
      <c r="B2632" s="2314">
        <f>报表附注!E3148</f>
        <v>0</v>
      </c>
      <c r="C2632" s="2260">
        <f>报表附注!F3148</f>
        <v>0</v>
      </c>
    </row>
    <row r="2633" spans="2:3">
      <c r="B2633" s="2314">
        <f>报表附注!E3149</f>
        <v>0</v>
      </c>
      <c r="C2633" s="2260">
        <f>报表附注!F3149</f>
        <v>0</v>
      </c>
    </row>
    <row r="2634" spans="2:3">
      <c r="B2634" s="2314">
        <f>报表附注!E3150</f>
        <v>0</v>
      </c>
      <c r="C2634" s="2260">
        <f>报表附注!F3150</f>
        <v>0</v>
      </c>
    </row>
    <row r="2635" spans="2:3">
      <c r="B2635" s="2314">
        <f>报表附注!E3151</f>
        <v>0</v>
      </c>
      <c r="C2635" s="2260">
        <f>报表附注!F3151</f>
        <v>0</v>
      </c>
    </row>
    <row r="2636" spans="2:3">
      <c r="B2636" s="2314">
        <f>报表附注!E3152</f>
        <v>0</v>
      </c>
      <c r="C2636" s="2260">
        <f>报表附注!F3152</f>
        <v>0</v>
      </c>
    </row>
    <row r="2637" spans="2:3">
      <c r="B2637" s="2314">
        <f>报表附注!E3153</f>
        <v>0</v>
      </c>
      <c r="C2637" s="2260">
        <f>报表附注!F3153</f>
        <v>0</v>
      </c>
    </row>
    <row r="2638" spans="2:2">
      <c r="B2638" s="2253" t="s">
        <v>2440</v>
      </c>
    </row>
    <row r="2639" spans="2:2">
      <c r="B2639" s="2314" t="str">
        <f>报表附注!H3139</f>
        <v>往来单位</v>
      </c>
    </row>
    <row r="2640" spans="2:3">
      <c r="B2640" s="2314">
        <f>报表附注!H3140</f>
        <v>0</v>
      </c>
      <c r="C2640" s="2260">
        <f>报表附注!I3140</f>
        <v>0</v>
      </c>
    </row>
    <row r="2641" spans="2:3">
      <c r="B2641" s="2314">
        <f>报表附注!H3141</f>
        <v>0</v>
      </c>
      <c r="C2641" s="2260">
        <f>报表附注!I3141</f>
        <v>0</v>
      </c>
    </row>
    <row r="2642" spans="2:3">
      <c r="B2642" s="2314">
        <f>报表附注!H3142</f>
        <v>0</v>
      </c>
      <c r="C2642" s="2260">
        <f>报表附注!I3142</f>
        <v>0</v>
      </c>
    </row>
    <row r="2643" spans="2:3">
      <c r="B2643" s="2314">
        <f>报表附注!H3143</f>
        <v>0</v>
      </c>
      <c r="C2643" s="2260">
        <f>报表附注!I3143</f>
        <v>0</v>
      </c>
    </row>
    <row r="2644" spans="2:3">
      <c r="B2644" s="2314">
        <f>报表附注!H3144</f>
        <v>0</v>
      </c>
      <c r="C2644" s="2260">
        <f>报表附注!I3144</f>
        <v>0</v>
      </c>
    </row>
    <row r="2645" spans="2:3">
      <c r="B2645" s="2314">
        <f>报表附注!H3145</f>
        <v>0</v>
      </c>
      <c r="C2645" s="2260">
        <f>报表附注!I3145</f>
        <v>0</v>
      </c>
    </row>
    <row r="2646" spans="2:3">
      <c r="B2646" s="2314">
        <f>报表附注!H3146</f>
        <v>0</v>
      </c>
      <c r="C2646" s="2260">
        <f>报表附注!I3146</f>
        <v>0</v>
      </c>
    </row>
    <row r="2647" spans="2:3">
      <c r="B2647" s="2314">
        <f>报表附注!H3147</f>
        <v>0</v>
      </c>
      <c r="C2647" s="2260">
        <f>报表附注!I3147</f>
        <v>0</v>
      </c>
    </row>
    <row r="2648" spans="2:3">
      <c r="B2648" s="2314">
        <f>报表附注!H3148</f>
        <v>0</v>
      </c>
      <c r="C2648" s="2260">
        <f>报表附注!I3148</f>
        <v>0</v>
      </c>
    </row>
    <row r="2649" spans="2:3">
      <c r="B2649" s="2314">
        <f>报表附注!H3149</f>
        <v>0</v>
      </c>
      <c r="C2649" s="2260">
        <f>报表附注!I3149</f>
        <v>0</v>
      </c>
    </row>
    <row r="2650" spans="2:3">
      <c r="B2650" s="2314">
        <f>报表附注!H3150</f>
        <v>0</v>
      </c>
      <c r="C2650" s="2260">
        <f>报表附注!I3150</f>
        <v>0</v>
      </c>
    </row>
    <row r="2651" spans="2:3">
      <c r="B2651" s="2314">
        <f>报表附注!H3151</f>
        <v>0</v>
      </c>
      <c r="C2651" s="2260">
        <f>报表附注!I3151</f>
        <v>0</v>
      </c>
    </row>
    <row r="2652" spans="2:3">
      <c r="B2652" s="2314">
        <f>报表附注!H3152</f>
        <v>0</v>
      </c>
      <c r="C2652" s="2260">
        <f>报表附注!I3152</f>
        <v>0</v>
      </c>
    </row>
    <row r="2653" spans="2:3">
      <c r="B2653" s="2315" t="str">
        <f>报表附注!H3153</f>
        <v>合计</v>
      </c>
      <c r="C2653" s="2260">
        <f>报表附注!I3153</f>
        <v>0</v>
      </c>
    </row>
    <row r="2655" spans="2:3">
      <c r="B2655" s="2253" t="s">
        <v>20</v>
      </c>
      <c r="C2655" s="2312" t="s">
        <v>2441</v>
      </c>
    </row>
    <row r="2656" spans="2:3">
      <c r="B2656" s="2315" t="str">
        <f t="shared" ref="B2656:B2672" si="55">B2622</f>
        <v>二、支付的其他与经营活动有关的现金</v>
      </c>
      <c r="C2656" s="2311">
        <f>报表附注!G3138</f>
        <v>0</v>
      </c>
    </row>
    <row r="2657" spans="2:3">
      <c r="B2657" s="2314" t="str">
        <f t="shared" si="55"/>
        <v>其中：管理费用</v>
      </c>
      <c r="C2657" s="2260">
        <f>报表附注!G3139</f>
        <v>0</v>
      </c>
    </row>
    <row r="2658" spans="2:3">
      <c r="B2658" s="2314" t="str">
        <f t="shared" si="55"/>
        <v>往来款</v>
      </c>
      <c r="C2658" s="2260">
        <f>报表附注!G3140</f>
        <v>0</v>
      </c>
    </row>
    <row r="2659" spans="2:3">
      <c r="B2659" s="2314" t="str">
        <f t="shared" si="55"/>
        <v>营业费用</v>
      </c>
      <c r="C2659" s="2260">
        <f>报表附注!G3141</f>
        <v>0</v>
      </c>
    </row>
    <row r="2660" spans="2:3">
      <c r="B2660" s="2314" t="str">
        <f t="shared" si="55"/>
        <v>手续费支出</v>
      </c>
      <c r="C2660" s="2260">
        <f>报表附注!G3142</f>
        <v>0</v>
      </c>
    </row>
    <row r="2661" spans="2:3">
      <c r="B2661" s="2314" t="str">
        <f t="shared" si="55"/>
        <v>其他…….</v>
      </c>
      <c r="C2661" s="2260">
        <f>报表附注!G3143</f>
        <v>0</v>
      </c>
    </row>
    <row r="2662" spans="2:3">
      <c r="B2662" s="2314" t="str">
        <f t="shared" si="55"/>
        <v>支付银行承兑汇票保证金</v>
      </c>
      <c r="C2662" s="2260">
        <f>报表附注!G3144</f>
        <v>0</v>
      </c>
    </row>
    <row r="2663" spans="2:3">
      <c r="B2663" s="2314">
        <f t="shared" si="55"/>
        <v>0</v>
      </c>
      <c r="C2663" s="2260">
        <f>报表附注!G3145</f>
        <v>0</v>
      </c>
    </row>
    <row r="2664" spans="2:3">
      <c r="B2664" s="2314">
        <f t="shared" si="55"/>
        <v>0</v>
      </c>
      <c r="C2664" s="2260">
        <f>报表附注!G3146</f>
        <v>0</v>
      </c>
    </row>
    <row r="2665" spans="2:3">
      <c r="B2665" s="2314">
        <f t="shared" si="55"/>
        <v>0</v>
      </c>
      <c r="C2665" s="2260">
        <f>报表附注!G3147</f>
        <v>0</v>
      </c>
    </row>
    <row r="2666" spans="2:3">
      <c r="B2666" s="2314">
        <f t="shared" si="55"/>
        <v>0</v>
      </c>
      <c r="C2666" s="2260">
        <f>报表附注!G3148</f>
        <v>0</v>
      </c>
    </row>
    <row r="2667" spans="2:3">
      <c r="B2667" s="2314">
        <f t="shared" si="55"/>
        <v>0</v>
      </c>
      <c r="C2667" s="2260">
        <f>报表附注!G3149</f>
        <v>0</v>
      </c>
    </row>
    <row r="2668" spans="2:3">
      <c r="B2668" s="2314">
        <f t="shared" si="55"/>
        <v>0</v>
      </c>
      <c r="C2668" s="2260">
        <f>报表附注!G3150</f>
        <v>0</v>
      </c>
    </row>
    <row r="2669" spans="2:3">
      <c r="B2669" s="2314">
        <f t="shared" si="55"/>
        <v>0</v>
      </c>
      <c r="C2669" s="2260">
        <f>报表附注!G3151</f>
        <v>0</v>
      </c>
    </row>
    <row r="2670" spans="2:3">
      <c r="B2670" s="2314">
        <f t="shared" si="55"/>
        <v>0</v>
      </c>
      <c r="C2670" s="2260">
        <f>报表附注!G3152</f>
        <v>0</v>
      </c>
    </row>
    <row r="2671" spans="2:3">
      <c r="B2671" s="2314">
        <f t="shared" si="55"/>
        <v>0</v>
      </c>
      <c r="C2671" s="2260">
        <f>报表附注!G3153</f>
        <v>0</v>
      </c>
    </row>
    <row r="2672" spans="2:2">
      <c r="B2672" s="2274" t="str">
        <f t="shared" si="55"/>
        <v>本期往来款-大额往来款明细：</v>
      </c>
    </row>
    <row r="2673" spans="2:2">
      <c r="B2673" s="2314" t="str">
        <f>报表附注!J3139</f>
        <v>往来单位</v>
      </c>
    </row>
    <row r="2674" spans="2:3">
      <c r="B2674" s="2314">
        <f>报表附注!J3140</f>
        <v>0</v>
      </c>
      <c r="C2674" s="2260">
        <f>报表附注!K3140</f>
        <v>0</v>
      </c>
    </row>
    <row r="2675" spans="2:3">
      <c r="B2675" s="2314">
        <f>报表附注!J3141</f>
        <v>0</v>
      </c>
      <c r="C2675" s="2260">
        <f>报表附注!K3141</f>
        <v>0</v>
      </c>
    </row>
    <row r="2676" spans="2:3">
      <c r="B2676" s="2314">
        <f>报表附注!J3142</f>
        <v>0</v>
      </c>
      <c r="C2676" s="2260">
        <f>报表附注!K3142</f>
        <v>0</v>
      </c>
    </row>
    <row r="2677" spans="2:3">
      <c r="B2677" s="2314">
        <f>报表附注!J3143</f>
        <v>0</v>
      </c>
      <c r="C2677" s="2260">
        <f>报表附注!K3143</f>
        <v>0</v>
      </c>
    </row>
    <row r="2678" spans="2:3">
      <c r="B2678" s="2314">
        <f>报表附注!J3144</f>
        <v>0</v>
      </c>
      <c r="C2678" s="2260">
        <f>报表附注!K3144</f>
        <v>0</v>
      </c>
    </row>
    <row r="2679" spans="2:3">
      <c r="B2679" s="2314">
        <f>报表附注!J3145</f>
        <v>0</v>
      </c>
      <c r="C2679" s="2260">
        <f>报表附注!K3145</f>
        <v>0</v>
      </c>
    </row>
    <row r="2680" spans="2:3">
      <c r="B2680" s="2314">
        <f>报表附注!J3146</f>
        <v>0</v>
      </c>
      <c r="C2680" s="2260">
        <f>报表附注!K3146</f>
        <v>0</v>
      </c>
    </row>
    <row r="2681" spans="2:3">
      <c r="B2681" s="2314">
        <f>报表附注!J3147</f>
        <v>0</v>
      </c>
      <c r="C2681" s="2260">
        <f>报表附注!K3147</f>
        <v>0</v>
      </c>
    </row>
    <row r="2682" spans="2:3">
      <c r="B2682" s="2314">
        <f>报表附注!J3148</f>
        <v>0</v>
      </c>
      <c r="C2682" s="2260">
        <f>报表附注!K3148</f>
        <v>0</v>
      </c>
    </row>
    <row r="2683" spans="2:3">
      <c r="B2683" s="2314">
        <f>报表附注!J3149</f>
        <v>0</v>
      </c>
      <c r="C2683" s="2260">
        <f>报表附注!K3149</f>
        <v>0</v>
      </c>
    </row>
    <row r="2684" spans="2:3">
      <c r="B2684" s="2314">
        <f>报表附注!J3150</f>
        <v>0</v>
      </c>
      <c r="C2684" s="2260">
        <f>报表附注!K3150</f>
        <v>0</v>
      </c>
    </row>
    <row r="2685" spans="2:3">
      <c r="B2685" s="2314">
        <f>报表附注!J3151</f>
        <v>0</v>
      </c>
      <c r="C2685" s="2260">
        <f>报表附注!K3151</f>
        <v>0</v>
      </c>
    </row>
    <row r="2686" spans="2:3">
      <c r="B2686" s="2314">
        <f>报表附注!J3152</f>
        <v>0</v>
      </c>
      <c r="C2686" s="2260">
        <f>报表附注!K3152</f>
        <v>0</v>
      </c>
    </row>
    <row r="2687" spans="2:3">
      <c r="B2687" s="2315" t="str">
        <f>报表附注!J3153</f>
        <v>合计</v>
      </c>
      <c r="C2687" s="2260">
        <f>报表附注!K3153</f>
        <v>0</v>
      </c>
    </row>
    <row r="2690" spans="2:2">
      <c r="B2690" s="2257" t="str">
        <f>报表附注!E943</f>
        <v>（十）其他流动资产-披露表</v>
      </c>
    </row>
    <row r="2691" spans="2:2">
      <c r="B2691" s="2273" t="s">
        <v>516</v>
      </c>
    </row>
    <row r="2692" spans="2:3">
      <c r="B2692" s="2253" t="str">
        <f>报表附注!E946</f>
        <v>待认证进项</v>
      </c>
      <c r="C2692" s="2260">
        <f>报表附注!F946</f>
        <v>0</v>
      </c>
    </row>
    <row r="2693" spans="2:3">
      <c r="B2693" s="2253" t="str">
        <f>报表附注!E947</f>
        <v>企业所得税</v>
      </c>
      <c r="C2693" s="2260">
        <f>报表附注!F947</f>
        <v>0</v>
      </c>
    </row>
    <row r="2694" spans="2:3">
      <c r="B2694" s="2253" t="str">
        <f>报表附注!E948</f>
        <v>其他预交税金</v>
      </c>
      <c r="C2694" s="2260">
        <f>报表附注!F948</f>
        <v>0</v>
      </c>
    </row>
    <row r="2695" spans="2:3">
      <c r="B2695" s="2253" t="str">
        <f>报表附注!E949</f>
        <v>委托贷款</v>
      </c>
      <c r="C2695" s="2260">
        <f>报表附注!F949</f>
        <v>0</v>
      </c>
    </row>
    <row r="2696" spans="2:3">
      <c r="B2696" s="2314" t="str">
        <f>报表附注!E950</f>
        <v>一年以内保本理财产品</v>
      </c>
      <c r="C2696" s="2260">
        <f>报表附注!F950</f>
        <v>0</v>
      </c>
    </row>
    <row r="2697" spans="2:3">
      <c r="B2697" s="2314" t="str">
        <f>报表附注!E951</f>
        <v>待摊销短期美金借款远期结汇差额</v>
      </c>
      <c r="C2697" s="2260">
        <f>报表附注!F951</f>
        <v>0</v>
      </c>
    </row>
    <row r="2698" spans="2:3">
      <c r="B2698" s="2314" t="str">
        <f>报表附注!E952</f>
        <v>留抵增值税</v>
      </c>
      <c r="C2698" s="2260">
        <f>报表附注!F952</f>
        <v>2044868.72</v>
      </c>
    </row>
    <row r="2699" spans="2:3">
      <c r="B2699" s="2314" t="str">
        <f>报表附注!E953</f>
        <v>多缴增值税</v>
      </c>
      <c r="C2699" s="2260">
        <f>报表附注!F953</f>
        <v>0</v>
      </c>
    </row>
    <row r="2700" spans="2:3">
      <c r="B2700" s="2315" t="str">
        <f>报表附注!E954</f>
        <v>合计</v>
      </c>
      <c r="C2700" s="2260">
        <f>报表附注!F954</f>
        <v>2044868.72</v>
      </c>
    </row>
    <row r="2701" spans="2:2">
      <c r="B2701" s="2273" t="s">
        <v>671</v>
      </c>
    </row>
    <row r="2702" spans="2:3">
      <c r="B2702" s="2253" t="str">
        <f t="shared" ref="B2702:B2710" si="56">B2692</f>
        <v>待认证进项</v>
      </c>
      <c r="C2702" s="2260">
        <f>报表附注!G946</f>
        <v>0</v>
      </c>
    </row>
    <row r="2703" spans="2:3">
      <c r="B2703" s="2253" t="str">
        <f t="shared" si="56"/>
        <v>企业所得税</v>
      </c>
      <c r="C2703" s="2260">
        <f>报表附注!G947</f>
        <v>0</v>
      </c>
    </row>
    <row r="2704" spans="2:3">
      <c r="B2704" s="2253" t="str">
        <f t="shared" si="56"/>
        <v>其他预交税金</v>
      </c>
      <c r="C2704" s="2260">
        <f>报表附注!G948</f>
        <v>0</v>
      </c>
    </row>
    <row r="2705" spans="2:3">
      <c r="B2705" s="2253" t="str">
        <f t="shared" si="56"/>
        <v>委托贷款</v>
      </c>
      <c r="C2705" s="2260">
        <f>报表附注!G949</f>
        <v>0</v>
      </c>
    </row>
    <row r="2706" spans="2:3">
      <c r="B2706" s="2314" t="str">
        <f t="shared" si="56"/>
        <v>一年以内保本理财产品</v>
      </c>
      <c r="C2706" s="2260">
        <f>报表附注!G950</f>
        <v>0</v>
      </c>
    </row>
    <row r="2707" spans="2:3">
      <c r="B2707" s="2314" t="str">
        <f t="shared" si="56"/>
        <v>待摊销短期美金借款远期结汇差额</v>
      </c>
      <c r="C2707" s="2260">
        <f>报表附注!G951</f>
        <v>0</v>
      </c>
    </row>
    <row r="2708" spans="2:3">
      <c r="B2708" s="2314" t="str">
        <f t="shared" si="56"/>
        <v>留抵增值税</v>
      </c>
      <c r="C2708" s="2260">
        <f>报表附注!G952</f>
        <v>893168.56</v>
      </c>
    </row>
    <row r="2709" spans="2:3">
      <c r="B2709" s="2314" t="str">
        <f t="shared" si="56"/>
        <v>多缴增值税</v>
      </c>
      <c r="C2709" s="2317">
        <f>报表附注!G953</f>
        <v>0</v>
      </c>
    </row>
    <row r="2710" spans="2:3">
      <c r="B2710" s="2315" t="str">
        <f t="shared" si="56"/>
        <v>合计</v>
      </c>
      <c r="C2710" s="2317">
        <f>报表附注!G954</f>
        <v>893168.56</v>
      </c>
    </row>
    <row r="2712" spans="2:2">
      <c r="B2712" s="2257" t="str">
        <f>报表附注!$E$155</f>
        <v>（五）应收利息-披露表</v>
      </c>
    </row>
    <row r="2713" spans="2:2">
      <c r="B2713" s="2257" t="str">
        <f>报表附注!$F$157</f>
        <v>期初余额</v>
      </c>
    </row>
    <row r="2714" spans="2:3">
      <c r="B2714" s="2314" t="str">
        <f>报表附注!E158</f>
        <v>账龄1年以内的应收利息：</v>
      </c>
      <c r="C2714" s="2317">
        <f>报表附注!F158</f>
        <v>0</v>
      </c>
    </row>
    <row r="2715" spans="2:3">
      <c r="B2715" s="2314" t="str">
        <f>报表附注!E159</f>
        <v>1定期存款利息</v>
      </c>
      <c r="C2715" s="2317">
        <f>报表附注!F159</f>
        <v>0</v>
      </c>
    </row>
    <row r="2716" spans="2:3">
      <c r="B2716" s="2314" t="str">
        <f>报表附注!E160</f>
        <v>2其他应收利息-集团外</v>
      </c>
      <c r="C2716" s="2317">
        <f>报表附注!F160</f>
        <v>0</v>
      </c>
    </row>
    <row r="2717" spans="2:3">
      <c r="B2717" s="2314" t="str">
        <f>报表附注!E161</f>
        <v>2其他应收利息-集团内</v>
      </c>
      <c r="C2717" s="2317">
        <f>报表附注!F161</f>
        <v>0</v>
      </c>
    </row>
    <row r="2718" spans="2:3">
      <c r="B2718" s="2314" t="str">
        <f>报表附注!E162</f>
        <v>3委托贷款应收利息</v>
      </c>
      <c r="C2718" s="2317">
        <f>报表附注!F162</f>
        <v>0</v>
      </c>
    </row>
    <row r="2719" spans="2:3">
      <c r="B2719" s="2314" t="str">
        <f>报表附注!E163</f>
        <v>4债券投资应收利息</v>
      </c>
      <c r="C2719" s="2317">
        <f>报表附注!F163</f>
        <v>0</v>
      </c>
    </row>
    <row r="2720" spans="2:3">
      <c r="B2720" s="2314" t="str">
        <f>报表附注!E164</f>
        <v>5理财产品计提应收利息</v>
      </c>
      <c r="C2720" s="2317">
        <f>报表附注!F164</f>
        <v>0</v>
      </c>
    </row>
    <row r="2721" spans="2:3">
      <c r="B2721" s="2314" t="str">
        <f>报表附注!E165</f>
        <v>项目7…….</v>
      </c>
      <c r="C2721" s="2317">
        <f>报表附注!F165</f>
        <v>0</v>
      </c>
    </row>
    <row r="2722" spans="2:3">
      <c r="B2722" s="2314" t="str">
        <f>报表附注!E166</f>
        <v>项目8…….</v>
      </c>
      <c r="C2722" s="2317">
        <f>报表附注!F166</f>
        <v>0</v>
      </c>
    </row>
    <row r="2723" spans="2:3">
      <c r="B2723" s="2314" t="str">
        <f>报表附注!E167</f>
        <v>项目9…….</v>
      </c>
      <c r="C2723" s="2317">
        <f>报表附注!F167</f>
        <v>0</v>
      </c>
    </row>
    <row r="2724" spans="2:3">
      <c r="B2724" s="2314" t="str">
        <f>报表附注!E168</f>
        <v>项目10…….</v>
      </c>
      <c r="C2724" s="2317">
        <f>报表附注!F168</f>
        <v>0</v>
      </c>
    </row>
    <row r="2725" spans="2:3">
      <c r="B2725" s="2314" t="str">
        <f>报表附注!E169</f>
        <v>账龄1年以上的应收利息:</v>
      </c>
      <c r="C2725" s="2317">
        <f>报表附注!F169</f>
        <v>5230925.94089743</v>
      </c>
    </row>
    <row r="2726" spans="2:3">
      <c r="B2726" s="2314" t="str">
        <f>报表附注!E170</f>
        <v>1定期存款利息</v>
      </c>
      <c r="C2726" s="2317">
        <f>报表附注!F170</f>
        <v>0</v>
      </c>
    </row>
    <row r="2727" spans="2:3">
      <c r="B2727" s="2314" t="str">
        <f>报表附注!E171</f>
        <v>2其他应收利息-集团外</v>
      </c>
      <c r="C2727" s="2317">
        <f>报表附注!F171</f>
        <v>5230925.94089743</v>
      </c>
    </row>
    <row r="2728" spans="2:3">
      <c r="B2728" s="2314" t="str">
        <f>报表附注!E172</f>
        <v>2其他应收利息-集团内</v>
      </c>
      <c r="C2728" s="2317">
        <f>报表附注!F172</f>
        <v>0</v>
      </c>
    </row>
    <row r="2729" spans="2:3">
      <c r="B2729" s="2314" t="str">
        <f>报表附注!E173</f>
        <v>3委托贷款应收利息</v>
      </c>
      <c r="C2729" s="2317">
        <f>报表附注!F173</f>
        <v>0</v>
      </c>
    </row>
    <row r="2730" spans="2:3">
      <c r="B2730" s="2314" t="str">
        <f>报表附注!E174</f>
        <v>4债券投资应收利息</v>
      </c>
      <c r="C2730" s="2317">
        <f>报表附注!F174</f>
        <v>0</v>
      </c>
    </row>
    <row r="2731" spans="2:3">
      <c r="B2731" s="2314" t="str">
        <f>报表附注!E175</f>
        <v>5理财产品计提应收利息</v>
      </c>
      <c r="C2731" s="2317">
        <f>报表附注!F175</f>
        <v>0</v>
      </c>
    </row>
    <row r="2732" spans="2:3">
      <c r="B2732" s="2314" t="str">
        <f>报表附注!E176</f>
        <v>项目7…….</v>
      </c>
      <c r="C2732" s="2317">
        <f>报表附注!F176</f>
        <v>0</v>
      </c>
    </row>
    <row r="2733" spans="2:3">
      <c r="B2733" s="2314" t="str">
        <f>报表附注!E177</f>
        <v>项目8…….</v>
      </c>
      <c r="C2733" s="2317">
        <f>报表附注!F177</f>
        <v>0</v>
      </c>
    </row>
    <row r="2734" spans="2:3">
      <c r="B2734" s="2314" t="str">
        <f>报表附注!E178</f>
        <v>项目9…….</v>
      </c>
      <c r="C2734" s="2317">
        <f>报表附注!F178</f>
        <v>0</v>
      </c>
    </row>
    <row r="2735" spans="2:3">
      <c r="B2735" s="2314" t="str">
        <f>报表附注!E179</f>
        <v>项目10…….</v>
      </c>
      <c r="C2735" s="2317">
        <f>报表附注!F179</f>
        <v>0</v>
      </c>
    </row>
    <row r="2736" spans="2:3">
      <c r="B2736" s="2315" t="str">
        <f>报表附注!E180</f>
        <v>合计</v>
      </c>
      <c r="C2736" s="2317">
        <f>报表附注!F180</f>
        <v>5230925.94089743</v>
      </c>
    </row>
    <row r="2737" spans="2:2">
      <c r="B2737" s="2302" t="str">
        <f>报表附注!G157</f>
        <v>本期增加</v>
      </c>
    </row>
    <row r="2738" spans="2:3">
      <c r="B2738" s="2252" t="str">
        <f>报表附注!E158</f>
        <v>账龄1年以内的应收利息：</v>
      </c>
      <c r="C2738" s="2317">
        <f>报表附注!G158</f>
        <v>0</v>
      </c>
    </row>
    <row r="2739" spans="2:3">
      <c r="B2739" s="2252" t="str">
        <f>报表附注!E159</f>
        <v>1定期存款利息</v>
      </c>
      <c r="C2739" s="2317">
        <f>报表附注!G159</f>
        <v>0</v>
      </c>
    </row>
    <row r="2740" spans="2:3">
      <c r="B2740" s="2252" t="str">
        <f>报表附注!E160</f>
        <v>2其他应收利息-集团外</v>
      </c>
      <c r="C2740" s="2317">
        <f>报表附注!G160</f>
        <v>0</v>
      </c>
    </row>
    <row r="2741" spans="2:3">
      <c r="B2741" s="2252" t="str">
        <f>报表附注!E161</f>
        <v>2其他应收利息-集团内</v>
      </c>
      <c r="C2741" s="2317">
        <f>报表附注!G161</f>
        <v>0</v>
      </c>
    </row>
    <row r="2742" spans="2:3">
      <c r="B2742" s="2252" t="str">
        <f>报表附注!E162</f>
        <v>3委托贷款应收利息</v>
      </c>
      <c r="C2742" s="2317">
        <f>报表附注!G162</f>
        <v>0</v>
      </c>
    </row>
    <row r="2743" spans="2:3">
      <c r="B2743" s="2252" t="str">
        <f>报表附注!E163</f>
        <v>4债券投资应收利息</v>
      </c>
      <c r="C2743" s="2317">
        <f>报表附注!G163</f>
        <v>0</v>
      </c>
    </row>
    <row r="2744" spans="2:3">
      <c r="B2744" s="2252" t="str">
        <f>报表附注!E164</f>
        <v>5理财产品计提应收利息</v>
      </c>
      <c r="C2744" s="2317">
        <f>报表附注!G164</f>
        <v>0</v>
      </c>
    </row>
    <row r="2745" spans="2:3">
      <c r="B2745" s="2252" t="str">
        <f>报表附注!E165</f>
        <v>项目7…….</v>
      </c>
      <c r="C2745" s="2317">
        <f>报表附注!G165</f>
        <v>0</v>
      </c>
    </row>
    <row r="2746" spans="2:3">
      <c r="B2746" s="2252" t="str">
        <f>报表附注!E166</f>
        <v>项目8…….</v>
      </c>
      <c r="C2746" s="2317">
        <f>报表附注!G166</f>
        <v>0</v>
      </c>
    </row>
    <row r="2747" spans="2:3">
      <c r="B2747" s="2252" t="str">
        <f>报表附注!E167</f>
        <v>项目9…….</v>
      </c>
      <c r="C2747" s="2317">
        <f>报表附注!G167</f>
        <v>0</v>
      </c>
    </row>
    <row r="2748" spans="2:3">
      <c r="B2748" s="2252" t="str">
        <f>报表附注!E168</f>
        <v>项目10…….</v>
      </c>
      <c r="C2748" s="2317">
        <f>报表附注!G168</f>
        <v>0</v>
      </c>
    </row>
    <row r="2749" spans="2:3">
      <c r="B2749" s="2252" t="str">
        <f>报表附注!E169</f>
        <v>账龄1年以上的应收利息:</v>
      </c>
      <c r="C2749" s="2317">
        <f>报表附注!G169</f>
        <v>0</v>
      </c>
    </row>
    <row r="2750" spans="2:3">
      <c r="B2750" s="2252" t="str">
        <f>报表附注!E170</f>
        <v>1定期存款利息</v>
      </c>
      <c r="C2750" s="2317">
        <f>报表附注!G170</f>
        <v>0</v>
      </c>
    </row>
    <row r="2751" spans="2:3">
      <c r="B2751" s="2252" t="str">
        <f>报表附注!E171</f>
        <v>2其他应收利息-集团外</v>
      </c>
      <c r="C2751" s="2317">
        <f>报表附注!G171</f>
        <v>0</v>
      </c>
    </row>
    <row r="2752" spans="2:3">
      <c r="B2752" s="2252" t="str">
        <f>报表附注!E172</f>
        <v>2其他应收利息-集团内</v>
      </c>
      <c r="C2752" s="2317">
        <f>报表附注!G172</f>
        <v>0</v>
      </c>
    </row>
    <row r="2753" spans="2:3">
      <c r="B2753" s="2252" t="str">
        <f>报表附注!E173</f>
        <v>3委托贷款应收利息</v>
      </c>
      <c r="C2753" s="2317">
        <f>报表附注!G173</f>
        <v>0</v>
      </c>
    </row>
    <row r="2754" spans="2:3">
      <c r="B2754" s="2252" t="str">
        <f>报表附注!E174</f>
        <v>4债券投资应收利息</v>
      </c>
      <c r="C2754" s="2317">
        <f>报表附注!G174</f>
        <v>0</v>
      </c>
    </row>
    <row r="2755" spans="2:3">
      <c r="B2755" s="2252" t="str">
        <f>报表附注!E175</f>
        <v>5理财产品计提应收利息</v>
      </c>
      <c r="C2755" s="2317">
        <f>报表附注!G175</f>
        <v>0</v>
      </c>
    </row>
    <row r="2756" spans="2:3">
      <c r="B2756" s="2252" t="str">
        <f>报表附注!E176</f>
        <v>项目7…….</v>
      </c>
      <c r="C2756" s="2317">
        <f>报表附注!G176</f>
        <v>0</v>
      </c>
    </row>
    <row r="2757" spans="2:3">
      <c r="B2757" s="2252" t="str">
        <f>报表附注!E177</f>
        <v>项目8…….</v>
      </c>
      <c r="C2757" s="2317">
        <f>报表附注!G177</f>
        <v>0</v>
      </c>
    </row>
    <row r="2758" spans="2:3">
      <c r="B2758" s="2252" t="str">
        <f>报表附注!E178</f>
        <v>项目9…….</v>
      </c>
      <c r="C2758" s="2317">
        <f>报表附注!G178</f>
        <v>0</v>
      </c>
    </row>
    <row r="2759" spans="2:3">
      <c r="B2759" s="2252" t="str">
        <f>报表附注!E179</f>
        <v>项目10…….</v>
      </c>
      <c r="C2759" s="2317">
        <f>报表附注!G179</f>
        <v>0</v>
      </c>
    </row>
    <row r="2760" spans="2:3">
      <c r="B2760" s="2315" t="str">
        <f>报表附注!E180</f>
        <v>合计</v>
      </c>
      <c r="C2760" s="2317">
        <f>报表附注!G180</f>
        <v>0</v>
      </c>
    </row>
    <row r="2761" spans="2:2">
      <c r="B2761" s="2257" t="str">
        <f>报表附注!$I$157</f>
        <v>期末账面余额</v>
      </c>
    </row>
    <row r="2762" spans="2:3">
      <c r="B2762" s="2253" t="str">
        <f>报表附注!E158</f>
        <v>账龄1年以内的应收利息：</v>
      </c>
      <c r="C2762" s="2260">
        <f>报表附注!I158</f>
        <v>0</v>
      </c>
    </row>
    <row r="2763" spans="2:3">
      <c r="B2763" s="2253" t="str">
        <f>报表附注!E159</f>
        <v>1定期存款利息</v>
      </c>
      <c r="C2763" s="2260">
        <f>报表附注!I159</f>
        <v>0</v>
      </c>
    </row>
    <row r="2764" spans="2:3">
      <c r="B2764" s="2253" t="str">
        <f>报表附注!E160</f>
        <v>2其他应收利息-集团外</v>
      </c>
      <c r="C2764" s="2260">
        <f>报表附注!I160</f>
        <v>0</v>
      </c>
    </row>
    <row r="2765" spans="2:3">
      <c r="B2765" s="2253" t="str">
        <f>报表附注!E161</f>
        <v>2其他应收利息-集团内</v>
      </c>
      <c r="C2765" s="2260">
        <f>报表附注!I161</f>
        <v>0</v>
      </c>
    </row>
    <row r="2766" spans="2:3">
      <c r="B2766" s="2253" t="str">
        <f>报表附注!E162</f>
        <v>3委托贷款应收利息</v>
      </c>
      <c r="C2766" s="2260">
        <f>报表附注!I162</f>
        <v>0</v>
      </c>
    </row>
    <row r="2767" spans="2:3">
      <c r="B2767" s="2253" t="str">
        <f>报表附注!E163</f>
        <v>4债券投资应收利息</v>
      </c>
      <c r="C2767" s="2260">
        <f>报表附注!I163</f>
        <v>0</v>
      </c>
    </row>
    <row r="2768" spans="2:3">
      <c r="B2768" s="2253" t="str">
        <f>报表附注!E164</f>
        <v>5理财产品计提应收利息</v>
      </c>
      <c r="C2768" s="2260">
        <f>报表附注!I164</f>
        <v>0</v>
      </c>
    </row>
    <row r="2769" spans="2:3">
      <c r="B2769" s="2253" t="str">
        <f>报表附注!E165</f>
        <v>项目7…….</v>
      </c>
      <c r="C2769" s="2260">
        <f>报表附注!I165</f>
        <v>0</v>
      </c>
    </row>
    <row r="2770" spans="2:3">
      <c r="B2770" s="2253" t="str">
        <f>报表附注!E166</f>
        <v>项目8…….</v>
      </c>
      <c r="C2770" s="2260">
        <f>报表附注!I166</f>
        <v>0</v>
      </c>
    </row>
    <row r="2771" spans="2:3">
      <c r="B2771" s="2253" t="str">
        <f>报表附注!E167</f>
        <v>项目9…….</v>
      </c>
      <c r="C2771" s="2260">
        <f>报表附注!I167</f>
        <v>0</v>
      </c>
    </row>
    <row r="2772" spans="2:3">
      <c r="B2772" s="2253" t="str">
        <f>报表附注!E168</f>
        <v>项目10…….</v>
      </c>
      <c r="C2772" s="2260">
        <f>报表附注!I168</f>
        <v>0</v>
      </c>
    </row>
    <row r="2773" spans="2:3">
      <c r="B2773" s="2253" t="str">
        <f>报表附注!E169</f>
        <v>账龄1年以上的应收利息:</v>
      </c>
      <c r="C2773" s="2260">
        <f>报表附注!I169</f>
        <v>5230925.94089743</v>
      </c>
    </row>
    <row r="2774" spans="2:3">
      <c r="B2774" s="2253" t="str">
        <f>报表附注!E170</f>
        <v>1定期存款利息</v>
      </c>
      <c r="C2774" s="2260">
        <f>报表附注!I170</f>
        <v>0</v>
      </c>
    </row>
    <row r="2775" spans="2:3">
      <c r="B2775" s="2253" t="str">
        <f>报表附注!E171</f>
        <v>2其他应收利息-集团外</v>
      </c>
      <c r="C2775" s="2260">
        <f>报表附注!I171</f>
        <v>5230925.94089743</v>
      </c>
    </row>
    <row r="2776" spans="2:3">
      <c r="B2776" s="2253" t="str">
        <f>报表附注!E172</f>
        <v>2其他应收利息-集团内</v>
      </c>
      <c r="C2776" s="2260">
        <f>报表附注!I172</f>
        <v>0</v>
      </c>
    </row>
    <row r="2777" spans="2:3">
      <c r="B2777" s="2253" t="str">
        <f>报表附注!E173</f>
        <v>3委托贷款应收利息</v>
      </c>
      <c r="C2777" s="2260">
        <f>报表附注!I173</f>
        <v>0</v>
      </c>
    </row>
    <row r="2778" spans="2:3">
      <c r="B2778" s="2253" t="str">
        <f>报表附注!E174</f>
        <v>4债券投资应收利息</v>
      </c>
      <c r="C2778" s="2260">
        <f>报表附注!I174</f>
        <v>0</v>
      </c>
    </row>
    <row r="2779" spans="2:3">
      <c r="B2779" s="2253" t="str">
        <f>报表附注!E175</f>
        <v>5理财产品计提应收利息</v>
      </c>
      <c r="C2779" s="2260">
        <f>报表附注!I175</f>
        <v>0</v>
      </c>
    </row>
    <row r="2780" spans="2:3">
      <c r="B2780" s="2253" t="str">
        <f>报表附注!E176</f>
        <v>项目7…….</v>
      </c>
      <c r="C2780" s="2260">
        <f>报表附注!I176</f>
        <v>0</v>
      </c>
    </row>
    <row r="2781" spans="2:3">
      <c r="B2781" s="2253" t="str">
        <f>报表附注!E177</f>
        <v>项目8…….</v>
      </c>
      <c r="C2781" s="2260">
        <f>报表附注!I177</f>
        <v>0</v>
      </c>
    </row>
    <row r="2782" spans="2:3">
      <c r="B2782" s="2253" t="str">
        <f>报表附注!E178</f>
        <v>项目9…….</v>
      </c>
      <c r="C2782" s="2260">
        <f>报表附注!I178</f>
        <v>0</v>
      </c>
    </row>
    <row r="2783" spans="2:3">
      <c r="B2783" s="2253" t="str">
        <f>报表附注!E179</f>
        <v>项目10…….</v>
      </c>
      <c r="C2783" s="2260">
        <f>报表附注!I179</f>
        <v>0</v>
      </c>
    </row>
    <row r="2784" spans="2:3">
      <c r="B2784" s="2263" t="str">
        <f>报表附注!E180</f>
        <v>合计</v>
      </c>
      <c r="C2784" s="2260">
        <f>报表附注!I180</f>
        <v>5230925.94089743</v>
      </c>
    </row>
    <row r="2786" spans="2:2">
      <c r="B2786" s="2257" t="str">
        <f>报表附注!$E$1582</f>
        <v>(二十六)其他非流动资产-批露表</v>
      </c>
    </row>
    <row r="2787" spans="2:2">
      <c r="B2787" s="2257" t="s">
        <v>516</v>
      </c>
    </row>
    <row r="2788" spans="2:3">
      <c r="B2788" s="2274" t="str">
        <f>报表附注!E1585</f>
        <v>预付工程款</v>
      </c>
      <c r="C2788" s="2317">
        <f>报表附注!G1585</f>
        <v>0</v>
      </c>
    </row>
    <row r="2789" spans="2:3">
      <c r="B2789" s="2274" t="str">
        <f>报表附注!E1586</f>
        <v>预付设备款</v>
      </c>
      <c r="C2789" s="2317">
        <f>报表附注!G1586</f>
        <v>0</v>
      </c>
    </row>
    <row r="2790" spans="2:3">
      <c r="B2790" s="2274">
        <f>报表附注!E1587</f>
        <v>0</v>
      </c>
      <c r="C2790" s="2317">
        <f>报表附注!G1587</f>
        <v>0</v>
      </c>
    </row>
    <row r="2791" spans="2:3">
      <c r="B2791" s="2274">
        <f>报表附注!E1588</f>
        <v>0</v>
      </c>
      <c r="C2791" s="2317">
        <f>报表附注!G1588</f>
        <v>0</v>
      </c>
    </row>
    <row r="2792" spans="2:3">
      <c r="B2792" s="2274">
        <f>报表附注!E1589</f>
        <v>0</v>
      </c>
      <c r="C2792" s="2317">
        <f>报表附注!G1589</f>
        <v>0</v>
      </c>
    </row>
    <row r="2793" spans="2:3">
      <c r="B2793" s="2274">
        <f>报表附注!E1590</f>
        <v>0</v>
      </c>
      <c r="C2793" s="2317">
        <f>报表附注!G1590</f>
        <v>0</v>
      </c>
    </row>
    <row r="2794" spans="2:3">
      <c r="B2794" s="2278" t="str">
        <f>报表附注!E1591</f>
        <v>合计</v>
      </c>
      <c r="C2794" s="2317">
        <f>报表附注!G1591</f>
        <v>0</v>
      </c>
    </row>
    <row r="2795" spans="2:2">
      <c r="B2795" s="2257" t="s">
        <v>671</v>
      </c>
    </row>
    <row r="2796" spans="2:3">
      <c r="B2796" s="2274" t="str">
        <f>报表附注!E1585</f>
        <v>预付工程款</v>
      </c>
      <c r="C2796" s="2260">
        <f>报表附注!H1585</f>
        <v>0</v>
      </c>
    </row>
    <row r="2797" spans="2:3">
      <c r="B2797" s="2274" t="str">
        <f>报表附注!E1586</f>
        <v>预付设备款</v>
      </c>
      <c r="C2797" s="2260">
        <f>报表附注!H1586</f>
        <v>0</v>
      </c>
    </row>
    <row r="2798" spans="2:3">
      <c r="B2798" s="2274">
        <f>报表附注!E1587</f>
        <v>0</v>
      </c>
      <c r="C2798" s="2260">
        <f>报表附注!H1587</f>
        <v>0</v>
      </c>
    </row>
    <row r="2799" spans="2:3">
      <c r="B2799" s="2274">
        <f>报表附注!E1588</f>
        <v>0</v>
      </c>
      <c r="C2799" s="2260">
        <f>报表附注!H1588</f>
        <v>0</v>
      </c>
    </row>
    <row r="2800" spans="2:3">
      <c r="B2800" s="2274">
        <f>报表附注!E1589</f>
        <v>0</v>
      </c>
      <c r="C2800" s="2260">
        <f>报表附注!H1589</f>
        <v>0</v>
      </c>
    </row>
    <row r="2801" spans="2:3">
      <c r="B2801" s="2274">
        <f>报表附注!E1590</f>
        <v>0</v>
      </c>
      <c r="C2801" s="2260">
        <f>报表附注!H1590</f>
        <v>0</v>
      </c>
    </row>
    <row r="2802" spans="2:3">
      <c r="B2802" s="2278" t="str">
        <f>报表附注!E1591</f>
        <v>合计</v>
      </c>
      <c r="C2802" s="2260">
        <f>报表附注!H1591</f>
        <v>0</v>
      </c>
    </row>
    <row r="2804" spans="2:2">
      <c r="B2804" s="2257" t="str">
        <f>报表附注!$E$2037</f>
        <v>（三十八）应付股利-披露表</v>
      </c>
    </row>
    <row r="2805" spans="2:3">
      <c r="B2805" s="2314" t="str">
        <f>报表附注!E2039</f>
        <v>主要投资者名称</v>
      </c>
      <c r="C2805" s="2316" t="str">
        <f>报表附注!E2039</f>
        <v>主要投资者名称</v>
      </c>
    </row>
    <row r="2806" spans="2:3">
      <c r="B2806" s="2314">
        <f>报表附注!E2040</f>
        <v>0</v>
      </c>
      <c r="C2806" s="2260">
        <f>报表附注!E2040</f>
        <v>0</v>
      </c>
    </row>
    <row r="2807" spans="2:3">
      <c r="B2807" s="2314">
        <f>报表附注!E2041</f>
        <v>0</v>
      </c>
      <c r="C2807" s="2260">
        <f>报表附注!E2041</f>
        <v>0</v>
      </c>
    </row>
    <row r="2808" spans="2:3">
      <c r="B2808" s="2314">
        <f>报表附注!E2042</f>
        <v>0</v>
      </c>
      <c r="C2808" s="2260">
        <f>报表附注!E2042</f>
        <v>0</v>
      </c>
    </row>
    <row r="2809" spans="2:3">
      <c r="B2809" s="2314">
        <f>报表附注!E2043</f>
        <v>0</v>
      </c>
      <c r="C2809" s="2260">
        <f>报表附注!E2043</f>
        <v>0</v>
      </c>
    </row>
    <row r="2810" spans="2:3">
      <c r="B2810" s="2314">
        <f>报表附注!E2044</f>
        <v>0</v>
      </c>
      <c r="C2810" s="2260">
        <f>报表附注!E2044</f>
        <v>0</v>
      </c>
    </row>
    <row r="2811" spans="2:3">
      <c r="B2811" s="2314">
        <f>报表附注!E2045</f>
        <v>0</v>
      </c>
      <c r="C2811" s="2260">
        <f>报表附注!E2045</f>
        <v>0</v>
      </c>
    </row>
    <row r="2812" spans="2:3">
      <c r="B2812" s="2314">
        <f>报表附注!E2046</f>
        <v>0</v>
      </c>
      <c r="C2812" s="2260">
        <f>报表附注!E2046</f>
        <v>0</v>
      </c>
    </row>
    <row r="2813" spans="2:3">
      <c r="B2813" s="2314">
        <f>报表附注!E2047</f>
        <v>0</v>
      </c>
      <c r="C2813" s="2260">
        <f>报表附注!E2047</f>
        <v>0</v>
      </c>
    </row>
    <row r="2814" spans="2:3">
      <c r="B2814" s="2314">
        <f>报表附注!E2048</f>
        <v>0</v>
      </c>
      <c r="C2814" s="2260">
        <f>报表附注!E2048</f>
        <v>0</v>
      </c>
    </row>
    <row r="2815" spans="2:3">
      <c r="B2815" s="2314">
        <f>报表附注!E2049</f>
        <v>0</v>
      </c>
      <c r="C2815" s="2260">
        <f>报表附注!E2049</f>
        <v>0</v>
      </c>
    </row>
    <row r="2816" spans="2:3">
      <c r="B2816" s="2314">
        <f>报表附注!E2050</f>
        <v>0</v>
      </c>
      <c r="C2816" s="2260">
        <f>报表附注!E2050</f>
        <v>0</v>
      </c>
    </row>
    <row r="2817" spans="2:3">
      <c r="B2817" s="2314">
        <f>报表附注!E2051</f>
        <v>0</v>
      </c>
      <c r="C2817" s="2260">
        <f>报表附注!E2051</f>
        <v>0</v>
      </c>
    </row>
    <row r="2818" spans="2:3">
      <c r="B2818" s="2314">
        <f>报表附注!E2052</f>
        <v>0</v>
      </c>
      <c r="C2818" s="2260">
        <f>报表附注!E2052</f>
        <v>0</v>
      </c>
    </row>
    <row r="2819" spans="2:3">
      <c r="B2819" s="2314">
        <f>报表附注!E2053</f>
        <v>0</v>
      </c>
      <c r="C2819" s="2260">
        <f>报表附注!E2053</f>
        <v>0</v>
      </c>
    </row>
    <row r="2820" spans="2:3">
      <c r="B2820" s="2314">
        <f>报表附注!E2054</f>
        <v>0</v>
      </c>
      <c r="C2820" s="2260">
        <f>报表附注!E2054</f>
        <v>0</v>
      </c>
    </row>
    <row r="2821" spans="2:3">
      <c r="B2821" s="2314">
        <f>报表附注!E2055</f>
        <v>0</v>
      </c>
      <c r="C2821" s="2260">
        <f>报表附注!E2055</f>
        <v>0</v>
      </c>
    </row>
    <row r="2822" spans="2:3">
      <c r="B2822" s="2314">
        <f>报表附注!E2056</f>
        <v>0</v>
      </c>
      <c r="C2822" s="2260">
        <f>报表附注!E2056</f>
        <v>0</v>
      </c>
    </row>
    <row r="2823" spans="2:3">
      <c r="B2823" s="2315" t="str">
        <f>报表附注!E2057</f>
        <v>合计</v>
      </c>
      <c r="C2823" s="2289"/>
    </row>
    <row r="2824" spans="2:2">
      <c r="B2824" s="2253" t="str">
        <f>报表附注!F2039</f>
        <v>期末账面余额</v>
      </c>
    </row>
    <row r="2825" spans="2:3">
      <c r="B2825" s="2274">
        <f>报表附注!E2040</f>
        <v>0</v>
      </c>
      <c r="C2825" s="2260">
        <f>报表附注!F2040</f>
        <v>0</v>
      </c>
    </row>
    <row r="2826" spans="2:3">
      <c r="B2826" s="2274">
        <f>报表附注!E2041</f>
        <v>0</v>
      </c>
      <c r="C2826" s="2260">
        <f>报表附注!F2041</f>
        <v>0</v>
      </c>
    </row>
    <row r="2827" spans="2:3">
      <c r="B2827" s="2274">
        <f>报表附注!E2042</f>
        <v>0</v>
      </c>
      <c r="C2827" s="2260">
        <f>报表附注!F2042</f>
        <v>0</v>
      </c>
    </row>
    <row r="2828" spans="2:3">
      <c r="B2828" s="2274">
        <f>报表附注!E2043</f>
        <v>0</v>
      </c>
      <c r="C2828" s="2260">
        <f>报表附注!F2043</f>
        <v>0</v>
      </c>
    </row>
    <row r="2829" spans="2:3">
      <c r="B2829" s="2274">
        <f>报表附注!E2044</f>
        <v>0</v>
      </c>
      <c r="C2829" s="2260">
        <f>报表附注!F2044</f>
        <v>0</v>
      </c>
    </row>
    <row r="2830" spans="2:3">
      <c r="B2830" s="2274">
        <f>报表附注!E2045</f>
        <v>0</v>
      </c>
      <c r="C2830" s="2260">
        <f>报表附注!F2045</f>
        <v>0</v>
      </c>
    </row>
    <row r="2831" spans="2:3">
      <c r="B2831" s="2274">
        <f>报表附注!E2046</f>
        <v>0</v>
      </c>
      <c r="C2831" s="2260">
        <f>报表附注!F2046</f>
        <v>0</v>
      </c>
    </row>
    <row r="2832" spans="2:3">
      <c r="B2832" s="2274">
        <f>报表附注!E2047</f>
        <v>0</v>
      </c>
      <c r="C2832" s="2260">
        <f>报表附注!F2047</f>
        <v>0</v>
      </c>
    </row>
    <row r="2833" spans="2:3">
      <c r="B2833" s="2274">
        <f>报表附注!E2048</f>
        <v>0</v>
      </c>
      <c r="C2833" s="2260">
        <f>报表附注!F2048</f>
        <v>0</v>
      </c>
    </row>
    <row r="2834" spans="2:3">
      <c r="B2834" s="2274">
        <f>报表附注!E2049</f>
        <v>0</v>
      </c>
      <c r="C2834" s="2260">
        <f>报表附注!F2049</f>
        <v>0</v>
      </c>
    </row>
    <row r="2835" spans="2:3">
      <c r="B2835" s="2274">
        <f>报表附注!E2050</f>
        <v>0</v>
      </c>
      <c r="C2835" s="2260">
        <f>报表附注!F2050</f>
        <v>0</v>
      </c>
    </row>
    <row r="2836" spans="2:3">
      <c r="B2836" s="2274">
        <f>报表附注!E2051</f>
        <v>0</v>
      </c>
      <c r="C2836" s="2260">
        <f>报表附注!F2051</f>
        <v>0</v>
      </c>
    </row>
    <row r="2837" spans="2:3">
      <c r="B2837" s="2274">
        <f>报表附注!E2052</f>
        <v>0</v>
      </c>
      <c r="C2837" s="2260">
        <f>报表附注!F2052</f>
        <v>0</v>
      </c>
    </row>
    <row r="2838" spans="2:3">
      <c r="B2838" s="2274">
        <f>报表附注!E2053</f>
        <v>0</v>
      </c>
      <c r="C2838" s="2260">
        <f>报表附注!F2053</f>
        <v>0</v>
      </c>
    </row>
    <row r="2839" spans="2:3">
      <c r="B2839" s="2274">
        <f>报表附注!E2054</f>
        <v>0</v>
      </c>
      <c r="C2839" s="2260">
        <f>报表附注!F2054</f>
        <v>0</v>
      </c>
    </row>
    <row r="2840" spans="2:3">
      <c r="B2840" s="2274">
        <f>报表附注!E2055</f>
        <v>0</v>
      </c>
      <c r="C2840" s="2260">
        <f>报表附注!F2055</f>
        <v>0</v>
      </c>
    </row>
    <row r="2841" spans="2:3">
      <c r="B2841" s="2274">
        <f>报表附注!E2056</f>
        <v>0</v>
      </c>
      <c r="C2841" s="2260">
        <f>报表附注!F2056</f>
        <v>0</v>
      </c>
    </row>
    <row r="2842" spans="2:3">
      <c r="B2842" s="2278" t="str">
        <f>报表附注!E2057</f>
        <v>合计</v>
      </c>
      <c r="C2842" s="2260">
        <f>报表附注!F2057</f>
        <v>0</v>
      </c>
    </row>
    <row r="2843" spans="2:2">
      <c r="B2843" s="2274" t="s">
        <v>2020</v>
      </c>
    </row>
    <row r="2844" spans="2:3">
      <c r="B2844" s="2274">
        <f>报表附注!E2040</f>
        <v>0</v>
      </c>
      <c r="C2844" s="2260">
        <f>报表附注!G2040</f>
        <v>0</v>
      </c>
    </row>
    <row r="2845" spans="2:3">
      <c r="B2845" s="2274">
        <f>报表附注!E2041</f>
        <v>0</v>
      </c>
      <c r="C2845" s="2260">
        <f>报表附注!G2041</f>
        <v>0</v>
      </c>
    </row>
    <row r="2846" spans="2:3">
      <c r="B2846" s="2274">
        <f>报表附注!E2042</f>
        <v>0</v>
      </c>
      <c r="C2846" s="2260">
        <f>报表附注!G2042</f>
        <v>0</v>
      </c>
    </row>
    <row r="2847" spans="2:3">
      <c r="B2847" s="2274">
        <f>报表附注!E2043</f>
        <v>0</v>
      </c>
      <c r="C2847" s="2260">
        <f>报表附注!G2043</f>
        <v>0</v>
      </c>
    </row>
    <row r="2848" spans="2:3">
      <c r="B2848" s="2274">
        <f>报表附注!E2044</f>
        <v>0</v>
      </c>
      <c r="C2848" s="2260">
        <f>报表附注!G2044</f>
        <v>0</v>
      </c>
    </row>
    <row r="2849" spans="2:3">
      <c r="B2849" s="2274">
        <f>报表附注!E2045</f>
        <v>0</v>
      </c>
      <c r="C2849" s="2260">
        <f>报表附注!G2045</f>
        <v>0</v>
      </c>
    </row>
    <row r="2850" spans="2:3">
      <c r="B2850" s="2274">
        <f>报表附注!E2046</f>
        <v>0</v>
      </c>
      <c r="C2850" s="2260">
        <f>报表附注!G2046</f>
        <v>0</v>
      </c>
    </row>
    <row r="2851" spans="2:3">
      <c r="B2851" s="2274">
        <f>报表附注!E2047</f>
        <v>0</v>
      </c>
      <c r="C2851" s="2260">
        <f>报表附注!G2047</f>
        <v>0</v>
      </c>
    </row>
    <row r="2852" spans="2:3">
      <c r="B2852" s="2274">
        <f>报表附注!E2048</f>
        <v>0</v>
      </c>
      <c r="C2852" s="2260">
        <f>报表附注!G2048</f>
        <v>0</v>
      </c>
    </row>
    <row r="2853" spans="2:3">
      <c r="B2853" s="2274">
        <f>报表附注!E2049</f>
        <v>0</v>
      </c>
      <c r="C2853" s="2260">
        <f>报表附注!G2049</f>
        <v>0</v>
      </c>
    </row>
    <row r="2854" spans="2:3">
      <c r="B2854" s="2274">
        <f>报表附注!E2050</f>
        <v>0</v>
      </c>
      <c r="C2854" s="2260">
        <f>报表附注!G2050</f>
        <v>0</v>
      </c>
    </row>
    <row r="2855" spans="2:3">
      <c r="B2855" s="2274">
        <f>报表附注!E2051</f>
        <v>0</v>
      </c>
      <c r="C2855" s="2260">
        <f>报表附注!G2051</f>
        <v>0</v>
      </c>
    </row>
    <row r="2856" spans="2:3">
      <c r="B2856" s="2274">
        <f>报表附注!E2052</f>
        <v>0</v>
      </c>
      <c r="C2856" s="2260">
        <f>报表附注!G2052</f>
        <v>0</v>
      </c>
    </row>
    <row r="2857" spans="2:3">
      <c r="B2857" s="2274">
        <f>报表附注!E2053</f>
        <v>0</v>
      </c>
      <c r="C2857" s="2260">
        <f>报表附注!G2053</f>
        <v>0</v>
      </c>
    </row>
    <row r="2858" spans="2:3">
      <c r="B2858" s="2274">
        <f>报表附注!E2054</f>
        <v>0</v>
      </c>
      <c r="C2858" s="2260">
        <f>报表附注!G2054</f>
        <v>0</v>
      </c>
    </row>
    <row r="2859" spans="2:3">
      <c r="B2859" s="2274">
        <f>报表附注!E2055</f>
        <v>0</v>
      </c>
      <c r="C2859" s="2260">
        <f>报表附注!G2055</f>
        <v>0</v>
      </c>
    </row>
    <row r="2860" spans="2:3">
      <c r="B2860" s="2274">
        <f>报表附注!E2056</f>
        <v>0</v>
      </c>
      <c r="C2860" s="2260">
        <f>报表附注!G2056</f>
        <v>0</v>
      </c>
    </row>
    <row r="2861" spans="2:3">
      <c r="B2861" s="2278" t="str">
        <f>报表附注!E2057</f>
        <v>合计</v>
      </c>
      <c r="C2861" s="2260">
        <f>报表附注!G2057</f>
        <v>0</v>
      </c>
    </row>
    <row r="2863" spans="2:2">
      <c r="B2863" s="2257" t="str">
        <f>报表附注!$E$2998</f>
        <v>（六十三）所得税费用-披露表</v>
      </c>
    </row>
    <row r="2864" spans="2:2">
      <c r="B2864" s="2257" t="str">
        <f>报表附注!$F$2999</f>
        <v>本期实际数</v>
      </c>
    </row>
    <row r="2865" spans="2:3">
      <c r="B2865" s="2263" t="str">
        <f>报表附注!E3000</f>
        <v>所得税费用</v>
      </c>
      <c r="C2865" s="2260">
        <f>报表附注!F3000</f>
        <v>-283323.52</v>
      </c>
    </row>
    <row r="2866" spans="2:3">
      <c r="B2866" s="2253" t="str">
        <f>报表附注!E3001</f>
        <v>其中：当期所得税</v>
      </c>
      <c r="C2866" s="2260">
        <f>报表附注!F3001</f>
        <v>460594.83</v>
      </c>
    </row>
    <row r="2867" spans="2:3">
      <c r="B2867" s="2253" t="str">
        <f>报表附注!E3002</f>
        <v>      递延所得税</v>
      </c>
      <c r="C2867" s="2260">
        <f>报表附注!F3002</f>
        <v>-743918.35</v>
      </c>
    </row>
    <row r="2868" spans="2:3">
      <c r="B2868" s="2253" t="str">
        <f>报表附注!E3003</f>
        <v>报表项目</v>
      </c>
      <c r="C2868" s="2316">
        <f>报表附注!F3003</f>
        <v>-283323.52</v>
      </c>
    </row>
    <row r="2869" spans="2:3">
      <c r="B2869" s="2253" t="str">
        <f>报表附注!E3004</f>
        <v>差异</v>
      </c>
      <c r="C2869" s="2316">
        <f>报表附注!F3004</f>
        <v>0</v>
      </c>
    </row>
    <row r="2871" spans="2:2">
      <c r="B2871" s="2318" t="str">
        <f>报表附注!$F$3009</f>
        <v>期未金额</v>
      </c>
    </row>
    <row r="2872" spans="2:3">
      <c r="B2872" s="2253" t="str">
        <f>报表附注!E3010</f>
        <v>一、利润总额</v>
      </c>
      <c r="C2872" s="2260">
        <f>报表附注!F3010</f>
        <v>8548321.03</v>
      </c>
    </row>
    <row r="2873" spans="2:3">
      <c r="B2873" s="2253" t="str">
        <f>报表附注!E3011</f>
        <v>二、调整事项：</v>
      </c>
      <c r="C2873" s="2260">
        <f>报表附注!F3011</f>
        <v>0</v>
      </c>
    </row>
    <row r="2874" spans="2:3">
      <c r="B2874" s="2253" t="str">
        <f>报表附注!E3012</f>
        <v>1、归属于合营企业和联营企业的损益</v>
      </c>
      <c r="C2874" s="2260">
        <f>报表附注!F3012</f>
        <v>0</v>
      </c>
    </row>
    <row r="2875" spans="2:3">
      <c r="B2875" s="2253" t="str">
        <f>报表附注!E3013</f>
        <v>2、无须纳税的收入:</v>
      </c>
      <c r="C2875" s="2260">
        <f>报表附注!F3013</f>
        <v>0</v>
      </c>
    </row>
    <row r="2876" spans="2:3">
      <c r="B2876" s="2253" t="str">
        <f>报表附注!E3014</f>
        <v>其中：项目1-收到政府补助</v>
      </c>
      <c r="C2876" s="2260">
        <f>报表附注!F3014</f>
        <v>0</v>
      </c>
    </row>
    <row r="2877" spans="2:3">
      <c r="B2877" s="2253" t="str">
        <f>报表附注!E3015</f>
        <v>            项目2-成本法-子公司分红</v>
      </c>
      <c r="C2877" s="2260">
        <f>报表附注!F3015</f>
        <v>0</v>
      </c>
    </row>
    <row r="2878" spans="2:3">
      <c r="B2878" s="2253" t="str">
        <f>报表附注!E3016</f>
        <v>            项目3-其他投资分红</v>
      </c>
      <c r="C2878" s="2260">
        <f>报表附注!F3016</f>
        <v>0</v>
      </c>
    </row>
    <row r="2879" spans="2:3">
      <c r="B2879" s="2253" t="str">
        <f>报表附注!E3017</f>
        <v>            项目4-</v>
      </c>
      <c r="C2879" s="2260">
        <f>报表附注!F3017</f>
        <v>0</v>
      </c>
    </row>
    <row r="2880" spans="2:3">
      <c r="B2880" s="2253" t="str">
        <f>报表附注!E3018</f>
        <v>            项目5-</v>
      </c>
      <c r="C2880" s="2260">
        <f>报表附注!F3018</f>
        <v>0</v>
      </c>
    </row>
    <row r="2881" spans="2:3">
      <c r="B2881" s="2253" t="str">
        <f>报表附注!E3019</f>
        <v>3、不可抵扣的费用:</v>
      </c>
      <c r="C2881" s="2260">
        <f>报表附注!F3019</f>
        <v>21515546.45</v>
      </c>
    </row>
    <row r="2882" spans="2:3">
      <c r="B2882" s="2253" t="str">
        <f>报表附注!E3020</f>
        <v>其中：项目1-超标准业务费</v>
      </c>
      <c r="C2882" s="2260">
        <f>报表附注!F3020</f>
        <v>547130.27</v>
      </c>
    </row>
    <row r="2883" spans="2:3">
      <c r="B2883" s="2253" t="str">
        <f>报表附注!E3021</f>
        <v>            项目2-财产损失</v>
      </c>
      <c r="C2883" s="2260">
        <f>报表附注!F3021</f>
        <v>0</v>
      </c>
    </row>
    <row r="2884" spans="2:3">
      <c r="B2884" s="2253" t="str">
        <f>报表附注!E3022</f>
        <v>            项目3-其他</v>
      </c>
      <c r="C2884" s="2260">
        <f>报表附注!F3022</f>
        <v>20966573.8</v>
      </c>
    </row>
    <row r="2885" spans="2:3">
      <c r="B2885" s="2253" t="str">
        <f>报表附注!E3023</f>
        <v>            项目4-罚款及滞纳金</v>
      </c>
      <c r="C2885" s="2260">
        <f>报表附注!F3023</f>
        <v>1842.38</v>
      </c>
    </row>
    <row r="2886" spans="2:3">
      <c r="B2886" s="2253" t="str">
        <f>报表附注!E3024</f>
        <v>            项目5-资产增值调整折旧</v>
      </c>
      <c r="C2886" s="2260">
        <f>报表附注!F3024</f>
        <v>0</v>
      </c>
    </row>
    <row r="2887" spans="2:3">
      <c r="B2887" s="2253" t="str">
        <f>报表附注!E3025</f>
        <v>4、利用以前年度可抵扣亏损</v>
      </c>
      <c r="C2887" s="2260">
        <f>报表附注!F3025</f>
        <v>0</v>
      </c>
    </row>
    <row r="2888" spans="2:3">
      <c r="B2888" s="2253" t="str">
        <f>报表附注!E3026</f>
        <v>5、加计扣除的技术开发费用</v>
      </c>
      <c r="C2888" s="2260">
        <f>报表附注!F3026</f>
        <v>1223853.02</v>
      </c>
    </row>
    <row r="2889" spans="2:3">
      <c r="B2889" s="2259" t="str">
        <f>报表附注!E3027</f>
        <v>     加计扣除的安置残疾人员所支付的工资</v>
      </c>
      <c r="C2889" s="2260">
        <f>报表附注!F3027</f>
        <v>0</v>
      </c>
    </row>
    <row r="2890" spans="2:3">
      <c r="B2890" s="2253" t="str">
        <f>报表附注!E3028</f>
        <v>6、抵扣应纳税所得额</v>
      </c>
      <c r="C2890" s="2260">
        <f>报表附注!F3028</f>
        <v>43927698.92</v>
      </c>
    </row>
    <row r="2891" spans="2:3">
      <c r="B2891" s="2253" t="str">
        <f>报表附注!E3029</f>
        <v>其中：项目1-EMC项目减免税所得</v>
      </c>
      <c r="C2891" s="2260">
        <f>报表附注!F3029</f>
        <v>10887733.97</v>
      </c>
    </row>
    <row r="2892" spans="2:3">
      <c r="B2892" s="2253" t="str">
        <f>报表附注!E3030</f>
        <v>      项目2-</v>
      </c>
      <c r="C2892" s="2260">
        <f>报表附注!F3030</f>
        <v>33039964.95</v>
      </c>
    </row>
    <row r="2893" spans="2:3">
      <c r="B2893" s="2253" t="str">
        <f>报表附注!E3031</f>
        <v>      项目3-</v>
      </c>
      <c r="C2893" s="2260">
        <f>报表附注!F3031</f>
        <v>0</v>
      </c>
    </row>
    <row r="2894" spans="2:3">
      <c r="B2894" s="2253" t="str">
        <f>报表附注!E3032</f>
        <v>7、其他调整</v>
      </c>
      <c r="C2894" s="2260">
        <f>报表附注!F3032</f>
        <v>231321.21</v>
      </c>
    </row>
    <row r="2895" spans="2:3">
      <c r="B2895" s="2253" t="str">
        <f>报表附注!E3033</f>
        <v>其中：1-坏账损失</v>
      </c>
      <c r="C2895" s="2260">
        <f>报表附注!F3033</f>
        <v>2020102.49</v>
      </c>
    </row>
    <row r="2896" spans="2:3">
      <c r="B2896" s="2253" t="str">
        <f>报表附注!E3034</f>
        <v>            2-存货跌价损失</v>
      </c>
      <c r="C2896" s="2260">
        <f>报表附注!F3034</f>
        <v>-1788781.28</v>
      </c>
    </row>
    <row r="2897" spans="2:3">
      <c r="B2897" s="2253" t="str">
        <f>报表附注!E3035</f>
        <v>未确认融资费用</v>
      </c>
      <c r="C2897" s="2260">
        <f>报表附注!F3035</f>
        <v>0</v>
      </c>
    </row>
    <row r="2898" spans="2:3">
      <c r="B2898" s="2253" t="str">
        <f>报表附注!E3036</f>
        <v>              项目4-未计入营业外收入的政府补助</v>
      </c>
      <c r="C2898" s="2260">
        <f>报表附注!F3036</f>
        <v>0</v>
      </c>
    </row>
    <row r="2899" spans="2:3">
      <c r="B2899" s="2253" t="str">
        <f>报表附注!E3037</f>
        <v>三、应纳税所得额</v>
      </c>
      <c r="C2899" s="2260">
        <f>报表附注!F3037</f>
        <v>0</v>
      </c>
    </row>
    <row r="2900" spans="2:3">
      <c r="B2900" s="2253" t="str">
        <f>报表附注!E3038</f>
        <v>四、当期适用税率</v>
      </c>
      <c r="C2900" s="2260">
        <f>报表附注!F3038</f>
        <v>0.15</v>
      </c>
    </row>
    <row r="2901" spans="2:3">
      <c r="B2901" s="2253" t="str">
        <f>报表附注!E3039</f>
        <v>五、按法定(或适用)税率计算的所得税费用</v>
      </c>
      <c r="C2901" s="2260">
        <f>报表附注!F3039</f>
        <v>0</v>
      </c>
    </row>
    <row r="2902" spans="2:3">
      <c r="B2902" s="2253" t="str">
        <f>报表附注!E3040</f>
        <v>六、对以前期间当期所得税的调整</v>
      </c>
      <c r="C2902" s="2260">
        <f>报表附注!F3040</f>
        <v>0</v>
      </c>
    </row>
    <row r="2903" spans="2:3">
      <c r="B2903" s="2253" t="str">
        <f>报表附注!E3041</f>
        <v>七、调整后当期所得税费用</v>
      </c>
      <c r="C2903" s="2260">
        <f>报表附注!F3041</f>
        <v>0</v>
      </c>
    </row>
    <row r="2904" spans="2:3">
      <c r="B2904" s="2253" t="str">
        <f>报表附注!E3042</f>
        <v>八、递延所得税费用</v>
      </c>
      <c r="C2904" s="2260">
        <f>报表附注!F3042</f>
        <v>-743918.35</v>
      </c>
    </row>
    <row r="2905" spans="2:3">
      <c r="B2905" s="2253" t="str">
        <f>报表附注!E3043</f>
        <v>1、期初确认递延所得税使用税率</v>
      </c>
      <c r="C2905" s="2260">
        <f>报表附注!F3043</f>
        <v>0</v>
      </c>
    </row>
    <row r="2906" spans="2:3">
      <c r="B2906" s="2253" t="str">
        <f>报表附注!E3044</f>
        <v>2、当期确认递延所得税使用税率</v>
      </c>
      <c r="C2906" s="2260">
        <f>报表附注!F3044</f>
        <v>0.15</v>
      </c>
    </row>
    <row r="2907" spans="2:3">
      <c r="B2907" s="2253" t="str">
        <f>报表附注!E3045</f>
        <v>3、税率变动对期初递延所得税余额的影响</v>
      </c>
      <c r="C2907" s="2260">
        <f>报表附注!F3045</f>
        <v>0</v>
      </c>
    </row>
    <row r="2908" spans="2:3">
      <c r="B2908" s="2253" t="str">
        <f>报表附注!E3046</f>
        <v>①期初确认的可抵扣暂时性差异</v>
      </c>
      <c r="C2908" s="2260">
        <f>报表附注!F3046</f>
        <v>0</v>
      </c>
    </row>
    <row r="2909" spans="2:3">
      <c r="B2909" s="2253" t="str">
        <f>报表附注!E3047</f>
        <v>其中：项目1-</v>
      </c>
      <c r="C2909" s="2260">
        <f>报表附注!F3047</f>
        <v>0</v>
      </c>
    </row>
    <row r="2910" spans="2:3">
      <c r="B2910" s="2253" t="str">
        <f>报表附注!E3048</f>
        <v>      项目2-</v>
      </c>
      <c r="C2910" s="2260">
        <f>报表附注!F3048</f>
        <v>0</v>
      </c>
    </row>
    <row r="2911" spans="2:3">
      <c r="B2911" s="2253" t="str">
        <f>报表附注!E3049</f>
        <v>      项目3-</v>
      </c>
      <c r="C2911" s="2260">
        <f>报表附注!F3049</f>
        <v>0</v>
      </c>
    </row>
    <row r="2912" spans="2:3">
      <c r="B2912" s="2253" t="str">
        <f>报表附注!E3050</f>
        <v>      项目4-</v>
      </c>
      <c r="C2912" s="2260">
        <f>报表附注!F3050</f>
        <v>0</v>
      </c>
    </row>
    <row r="2913" spans="2:3">
      <c r="B2913" s="2253" t="str">
        <f>报表附注!E3051</f>
        <v>②已确认可抵扣暂时性差异转销</v>
      </c>
      <c r="C2913" s="2260">
        <f>报表附注!F3051</f>
        <v>0</v>
      </c>
    </row>
    <row r="2914" spans="2:3">
      <c r="B2914" s="2253" t="str">
        <f>报表附注!E3052</f>
        <v>4、未确认的可抵扣暂时性差异的影响和可抵扣亏损</v>
      </c>
      <c r="C2914" s="2260">
        <f>报表附注!F3052</f>
        <v>0</v>
      </c>
    </row>
    <row r="2915" spans="2:3">
      <c r="B2915" s="2253" t="str">
        <f>报表附注!E3053</f>
        <v>①未确认的可抵扣暂时性差异</v>
      </c>
      <c r="C2915" s="2260">
        <f>报表附注!F3053</f>
        <v>0</v>
      </c>
    </row>
    <row r="2916" spans="2:3">
      <c r="B2916" s="2253" t="str">
        <f>报表附注!E3054</f>
        <v>其中：1-坏账损失</v>
      </c>
      <c r="C2916" s="2260">
        <f>报表附注!F3054</f>
        <v>0</v>
      </c>
    </row>
    <row r="2917" spans="2:3">
      <c r="B2917" s="2253" t="str">
        <f>报表附注!E3055</f>
        <v>            2-存货跌价损失</v>
      </c>
      <c r="C2917" s="2260">
        <f>报表附注!F3055</f>
        <v>0</v>
      </c>
    </row>
    <row r="2918" spans="2:3">
      <c r="B2918" s="2253" t="str">
        <f>报表附注!E3056</f>
        <v>      项目3-</v>
      </c>
      <c r="C2918" s="2260">
        <f>报表附注!F3056</f>
        <v>0</v>
      </c>
    </row>
    <row r="2919" spans="2:3">
      <c r="B2919" s="2253" t="str">
        <f>报表附注!E3057</f>
        <v>      项目4-</v>
      </c>
      <c r="C2919" s="2260">
        <f>报表附注!F3057</f>
        <v>0</v>
      </c>
    </row>
    <row r="2920" spans="2:3">
      <c r="B2920" s="2253" t="str">
        <f>报表附注!E3058</f>
        <v>      项目5-</v>
      </c>
      <c r="C2920" s="2260">
        <f>报表附注!F3058</f>
        <v>0</v>
      </c>
    </row>
    <row r="2921" spans="2:3">
      <c r="B2921" s="2253" t="str">
        <f>报表附注!E3059</f>
        <v>②未确认可抵扣亏损</v>
      </c>
      <c r="C2921" s="2260">
        <f>报表附注!F3059</f>
        <v>0</v>
      </c>
    </row>
    <row r="2922" spans="2:3">
      <c r="B2922" s="2257" t="str">
        <f>报表附注!E3060</f>
        <v>附注批露表：</v>
      </c>
      <c r="C2922" s="2316">
        <f>报表附注!F3060</f>
        <v>0</v>
      </c>
    </row>
    <row r="2923" spans="2:3">
      <c r="B2923" s="2253" t="str">
        <f>报表附注!E3061</f>
        <v>项目</v>
      </c>
      <c r="C2923" s="2316" t="str">
        <f>报表附注!F3061</f>
        <v>期未金额</v>
      </c>
    </row>
    <row r="2924" spans="2:3">
      <c r="B2924" s="2253" t="str">
        <f>报表附注!E3062</f>
        <v>利润总额</v>
      </c>
      <c r="C2924" s="2260">
        <f>报表附注!F3062</f>
        <v>8548321.03</v>
      </c>
    </row>
    <row r="2925" spans="2:3">
      <c r="B2925" s="2253" t="str">
        <f>报表附注!E3063</f>
        <v>按法定(或适用)税率计算的所得税费用</v>
      </c>
      <c r="C2925" s="2260">
        <f>报表附注!F3063</f>
        <v>1282248.15</v>
      </c>
    </row>
    <row r="2926" spans="2:3">
      <c r="B2926" s="2253" t="str">
        <f>报表附注!E3064</f>
        <v>子公司适用不同税率的影响（合并用）</v>
      </c>
      <c r="C2926" s="2260">
        <f>报表附注!F3064</f>
        <v>0</v>
      </c>
    </row>
    <row r="2927" spans="2:3">
      <c r="B2927" s="2253" t="str">
        <f>报表附注!E3065</f>
        <v>核定征收的子公司的纳税影响</v>
      </c>
      <c r="C2927" s="2260">
        <f>报表附注!F3065</f>
        <v>0</v>
      </c>
    </row>
    <row r="2928" spans="2:3">
      <c r="B2928" s="2253" t="str">
        <f>报表附注!E3066</f>
        <v>对以前期间当期所得税的调整</v>
      </c>
      <c r="C2928" s="2260">
        <f>报表附注!F3066</f>
        <v>0</v>
      </c>
    </row>
    <row r="2929" spans="2:3">
      <c r="B2929" s="2253" t="str">
        <f>报表附注!E3067</f>
        <v>归属于合营企业和联营企业的损益</v>
      </c>
      <c r="C2929" s="2260">
        <f>报表附注!F3067</f>
        <v>0</v>
      </c>
    </row>
    <row r="2930" spans="2:3">
      <c r="B2930" s="2253" t="str">
        <f>报表附注!E3068</f>
        <v>无须纳税的收入</v>
      </c>
      <c r="C2930" s="2260">
        <f>报表附注!F3068</f>
        <v>0</v>
      </c>
    </row>
    <row r="2931" spans="2:3">
      <c r="B2931" s="2253" t="str">
        <f>报表附注!E3069</f>
        <v>不可抵扣的费用</v>
      </c>
      <c r="C2931" s="2260">
        <f>报表附注!F3069</f>
        <v>-3361822.87</v>
      </c>
    </row>
    <row r="2932" spans="2:3">
      <c r="B2932" s="2253" t="str">
        <f>报表附注!E3070</f>
        <v>加计扣除的技术开发费用</v>
      </c>
      <c r="C2932" s="2260">
        <f>报表附注!F3070</f>
        <v>-183577.95</v>
      </c>
    </row>
    <row r="2933" spans="2:3">
      <c r="B2933" s="2253" t="str">
        <f>报表附注!E3072</f>
        <v>利用以前年度可抵扣亏损</v>
      </c>
      <c r="C2933" s="2260">
        <f>报表附注!F3072</f>
        <v>0</v>
      </c>
    </row>
    <row r="2934" spans="2:3">
      <c r="B2934" s="2253" t="str">
        <f>报表附注!E3073</f>
        <v>其他调整影响</v>
      </c>
      <c r="C2934" s="2260">
        <f>报表附注!F3073</f>
        <v>0</v>
      </c>
    </row>
    <row r="2935" spans="2:3">
      <c r="B2935" s="2253" t="str">
        <f>报表附注!E3074</f>
        <v>税率变动对期初递延所得税余额的影响</v>
      </c>
      <c r="C2935" s="2260">
        <f>报表附注!F3074</f>
        <v>0</v>
      </c>
    </row>
    <row r="2936" spans="2:3">
      <c r="B2936" s="2253" t="str">
        <f>报表附注!E3075</f>
        <v>未确认的可抵扣暂时性差异的影响和可抵扣亏损</v>
      </c>
      <c r="C2936" s="2260">
        <f>报表附注!F3075</f>
        <v>0</v>
      </c>
    </row>
    <row r="2937" spans="2:3">
      <c r="B2937" s="2263" t="str">
        <f>报表附注!E3076</f>
        <v>所得税费用</v>
      </c>
      <c r="C2937" s="2260">
        <f>报表附注!F3076</f>
        <v>-2263152.67</v>
      </c>
    </row>
    <row r="2939" spans="2:2">
      <c r="B2939" s="2257" t="str">
        <f>报表附注!$E$3078</f>
        <v>(4)补充表：弥补亏损明细表</v>
      </c>
    </row>
    <row r="2940" spans="2:2">
      <c r="B2940" s="2253" t="str">
        <f>报表附注!$G$3079</f>
        <v>年　度</v>
      </c>
    </row>
    <row r="2941" spans="2:3">
      <c r="B2941" s="2253">
        <f>报表附注!G3083</f>
        <v>2010</v>
      </c>
      <c r="C2941" s="2319" t="str">
        <f>报表附注!O3083</f>
        <v>*</v>
      </c>
    </row>
    <row r="2942" spans="2:3">
      <c r="B2942" s="2253">
        <f>报表附注!G3084</f>
        <v>2011</v>
      </c>
      <c r="C2942" s="2260">
        <f>报表附注!O3084</f>
        <v>0</v>
      </c>
    </row>
    <row r="2943" spans="2:3">
      <c r="B2943" s="2253">
        <f>报表附注!G3085</f>
        <v>2012</v>
      </c>
      <c r="C2943" s="2260">
        <f>报表附注!O3085</f>
        <v>0</v>
      </c>
    </row>
    <row r="2944" spans="2:3">
      <c r="B2944" s="2253">
        <f>报表附注!G3086</f>
        <v>2013</v>
      </c>
      <c r="C2944" s="2260">
        <f>报表附注!O3086</f>
        <v>0</v>
      </c>
    </row>
    <row r="2945" spans="2:3">
      <c r="B2945" s="2253">
        <f>报表附注!G3087</f>
        <v>2014</v>
      </c>
      <c r="C2945" s="2260">
        <f>报表附注!O3087</f>
        <v>0</v>
      </c>
    </row>
    <row r="2946" spans="2:3">
      <c r="B2946" s="2253">
        <f>报表附注!G3088</f>
        <v>2015</v>
      </c>
      <c r="C2946" s="2260">
        <f>报表附注!O3088</f>
        <v>0</v>
      </c>
    </row>
    <row r="2947" spans="2:3">
      <c r="B2947" s="2263" t="str">
        <f>报表附注!$E$3089</f>
        <v>　可结转下一年度未弥补完的亏损额</v>
      </c>
      <c r="C2947" s="2260">
        <f>报表附注!O3089</f>
        <v>0</v>
      </c>
    </row>
    <row r="2949" spans="2:2">
      <c r="B2949" s="2320" t="str">
        <f>报表附注!$E$1646</f>
        <v>（3）未确认递延所得税资产的可抵扣亏损将于以下年度到期</v>
      </c>
    </row>
    <row r="2950" spans="2:2">
      <c r="B2950" s="2320" t="s">
        <v>516</v>
      </c>
    </row>
    <row r="2951" spans="2:2">
      <c r="B2951" s="2253" t="str">
        <f>报表附注!E1647</f>
        <v>年份</v>
      </c>
    </row>
    <row r="2952" spans="2:3">
      <c r="B2952" s="2253">
        <f>报表附注!E1648</f>
        <v>2016</v>
      </c>
      <c r="C2952" s="2260">
        <f>报表附注!F1648</f>
        <v>0</v>
      </c>
    </row>
    <row r="2953" spans="2:3">
      <c r="B2953" s="2253">
        <f>报表附注!E1649</f>
        <v>2017</v>
      </c>
      <c r="C2953" s="2260">
        <f>报表附注!F1649</f>
        <v>0</v>
      </c>
    </row>
    <row r="2954" spans="2:3">
      <c r="B2954" s="2253">
        <f>报表附注!E1650</f>
        <v>2018</v>
      </c>
      <c r="C2954" s="2260">
        <f>报表附注!F1650</f>
        <v>0</v>
      </c>
    </row>
    <row r="2955" spans="2:3">
      <c r="B2955" s="2253">
        <f>报表附注!E1651</f>
        <v>2019</v>
      </c>
      <c r="C2955" s="2260">
        <f>报表附注!F1651</f>
        <v>0</v>
      </c>
    </row>
    <row r="2956" spans="2:3">
      <c r="B2956" s="2253">
        <f>报表附注!E1652</f>
        <v>2020</v>
      </c>
      <c r="C2956" s="2260">
        <f>报表附注!F1652</f>
        <v>0</v>
      </c>
    </row>
    <row r="2957" spans="2:3">
      <c r="B2957" s="2263" t="str">
        <f>报表附注!E1653</f>
        <v>合计</v>
      </c>
      <c r="C2957" s="2260">
        <f>报表附注!F1653</f>
        <v>0</v>
      </c>
    </row>
    <row r="2958" spans="2:2">
      <c r="B2958" s="2257" t="s">
        <v>671</v>
      </c>
    </row>
    <row r="2959" spans="2:3">
      <c r="B2959" s="2253">
        <f>报表附注!E1648</f>
        <v>2016</v>
      </c>
      <c r="C2959" s="2260">
        <f>报表附注!G1648</f>
        <v>0</v>
      </c>
    </row>
    <row r="2960" spans="2:3">
      <c r="B2960" s="2253">
        <f>报表附注!E1649</f>
        <v>2017</v>
      </c>
      <c r="C2960" s="2260">
        <f>报表附注!G1649</f>
        <v>0</v>
      </c>
    </row>
    <row r="2961" spans="2:3">
      <c r="B2961" s="2253">
        <f>报表附注!E1650</f>
        <v>2018</v>
      </c>
      <c r="C2961" s="2260">
        <f>报表附注!G1650</f>
        <v>0</v>
      </c>
    </row>
    <row r="2962" spans="2:3">
      <c r="B2962" s="2253">
        <f>报表附注!E1651</f>
        <v>2019</v>
      </c>
      <c r="C2962" s="2260">
        <f>报表附注!G1651</f>
        <v>0</v>
      </c>
    </row>
    <row r="2963" spans="2:3">
      <c r="B2963" s="2253">
        <f>报表附注!E1652</f>
        <v>2020</v>
      </c>
      <c r="C2963" s="2260">
        <f>报表附注!G1652</f>
        <v>0</v>
      </c>
    </row>
    <row r="2964" spans="2:3">
      <c r="B2964" s="2263" t="str">
        <f>报表附注!E1653</f>
        <v>合计</v>
      </c>
      <c r="C2964" s="2260">
        <f>报表附注!G1653</f>
        <v>0</v>
      </c>
    </row>
    <row r="2966" spans="2:2">
      <c r="B2966" s="2257" t="str">
        <f>报表附注!$E$3903</f>
        <v>（五十四）递延收益-披露表</v>
      </c>
    </row>
    <row r="2967" spans="2:2">
      <c r="B2967" s="2287" t="str">
        <f>报表附注!$E$3905</f>
        <v>项 目</v>
      </c>
    </row>
    <row r="2968" spans="2:3">
      <c r="B2968" s="2253" t="str">
        <f>报表附注!$E$3905</f>
        <v>项 目</v>
      </c>
      <c r="C2968" s="2260" t="str">
        <f>报表附注!E3906</f>
        <v>广深高速公路全线低杆路灯合同能源管理EPC节能工程项目</v>
      </c>
    </row>
    <row r="2969" spans="2:3">
      <c r="B2969" s="2253" t="str">
        <f>报表附注!$E$3905</f>
        <v>项 目</v>
      </c>
      <c r="C2969" s="2260" t="str">
        <f>报表附注!E3907</f>
        <v>市老干部活动中心办公楼综合节能改造项目</v>
      </c>
    </row>
    <row r="2970" spans="2:3">
      <c r="B2970" s="2253" t="str">
        <f>报表附注!$E$3905</f>
        <v>项 目</v>
      </c>
      <c r="C2970" s="2260" t="str">
        <f>报表附注!E3908</f>
        <v>江门市市区LED路灯节能改造合同能源管理服务项目</v>
      </c>
    </row>
    <row r="2971" spans="2:3">
      <c r="B2971" s="2253" t="str">
        <f>报表附注!$E$3905</f>
        <v>项 目</v>
      </c>
      <c r="C2971" s="2260" t="str">
        <f>报表附注!E3909</f>
        <v>深圳市LED路灯节能改造标段二项目</v>
      </c>
    </row>
    <row r="2972" spans="2:3">
      <c r="B2972" s="2253" t="str">
        <f>报表附注!$E$3905</f>
        <v>项 目</v>
      </c>
      <c r="C2972" s="2260" t="str">
        <f>报表附注!E3910</f>
        <v>深圳市宝安区石岩街道办事处LED照明节能改造工程（F包）项目</v>
      </c>
    </row>
    <row r="2973" spans="2:3">
      <c r="B2973" s="2253" t="str">
        <f>报表附注!$E$3905</f>
        <v>项 目</v>
      </c>
      <c r="C2973" s="2260">
        <f>报表附注!E3911</f>
        <v>0</v>
      </c>
    </row>
    <row r="2974" spans="2:3">
      <c r="B2974" s="2253" t="str">
        <f>报表附注!$E$3905</f>
        <v>项 目</v>
      </c>
      <c r="C2974" s="2260">
        <f>报表附注!E3912</f>
        <v>0</v>
      </c>
    </row>
    <row r="2975" spans="2:3">
      <c r="B2975" s="2253" t="str">
        <f>报表附注!$E$3905</f>
        <v>项 目</v>
      </c>
      <c r="C2975" s="2260">
        <f>报表附注!E3913</f>
        <v>0</v>
      </c>
    </row>
    <row r="2976" spans="2:3">
      <c r="B2976" s="2253" t="str">
        <f>报表附注!$E$3905</f>
        <v>项 目</v>
      </c>
      <c r="C2976" s="2260">
        <f>报表附注!E3914</f>
        <v>0</v>
      </c>
    </row>
    <row r="2977" spans="2:3">
      <c r="B2977" s="2253" t="str">
        <f>报表附注!$E$3905</f>
        <v>项 目</v>
      </c>
      <c r="C2977" s="2260">
        <f>报表附注!E3915</f>
        <v>0</v>
      </c>
    </row>
    <row r="2978" spans="2:3">
      <c r="B2978" s="2263" t="str">
        <f>报表附注!$E$3905</f>
        <v>项 目</v>
      </c>
      <c r="C2978" s="2289"/>
    </row>
    <row r="2979" spans="2:2">
      <c r="B2979" s="2257" t="str">
        <f>报表附注!$F$3905</f>
        <v>项目金额</v>
      </c>
    </row>
    <row r="2980" spans="2:3">
      <c r="B2980" s="2314" t="str">
        <f>报表附注!E3906</f>
        <v>广深高速公路全线低杆路灯合同能源管理EPC节能工程项目</v>
      </c>
      <c r="C2980" s="2260">
        <f>报表附注!F3906</f>
        <v>434360.08</v>
      </c>
    </row>
    <row r="2981" spans="2:3">
      <c r="B2981" s="2314" t="str">
        <f>报表附注!E3907</f>
        <v>市老干部活动中心办公楼综合节能改造项目</v>
      </c>
      <c r="C2981" s="2260">
        <f>报表附注!F3907</f>
        <v>391328.4</v>
      </c>
    </row>
    <row r="2982" spans="2:3">
      <c r="B2982" s="2314" t="str">
        <f>报表附注!E3908</f>
        <v>江门市市区LED路灯节能改造合同能源管理服务项目</v>
      </c>
      <c r="C2982" s="2260">
        <f>报表附注!F3908</f>
        <v>1256835.52</v>
      </c>
    </row>
    <row r="2983" spans="2:3">
      <c r="B2983" s="2314" t="str">
        <f>报表附注!E3909</f>
        <v>深圳市LED路灯节能改造标段二项目</v>
      </c>
      <c r="C2983" s="2260">
        <f>报表附注!F3909</f>
        <v>0</v>
      </c>
    </row>
    <row r="2984" ht="22.5" spans="2:3">
      <c r="B2984" s="2314" t="str">
        <f>报表附注!E3910</f>
        <v>深圳市宝安区石岩街道办事处LED照明节能改造工程（F包）项目</v>
      </c>
      <c r="C2984" s="2260">
        <f>报表附注!F3910</f>
        <v>0</v>
      </c>
    </row>
    <row r="2985" spans="2:3">
      <c r="B2985" s="2314">
        <f>报表附注!E3911</f>
        <v>0</v>
      </c>
      <c r="C2985" s="2260">
        <f>报表附注!F3911</f>
        <v>0</v>
      </c>
    </row>
    <row r="2986" spans="2:3">
      <c r="B2986" s="2314">
        <f>报表附注!E3912</f>
        <v>0</v>
      </c>
      <c r="C2986" s="2260">
        <f>报表附注!F3912</f>
        <v>0</v>
      </c>
    </row>
    <row r="2987" spans="2:3">
      <c r="B2987" s="2314">
        <f>报表附注!E3913</f>
        <v>0</v>
      </c>
      <c r="C2987" s="2260">
        <f>报表附注!F3913</f>
        <v>0</v>
      </c>
    </row>
    <row r="2988" spans="2:3">
      <c r="B2988" s="2314">
        <f>报表附注!E3914</f>
        <v>0</v>
      </c>
      <c r="C2988" s="2260">
        <f>报表附注!F3914</f>
        <v>0</v>
      </c>
    </row>
    <row r="2989" spans="2:3">
      <c r="B2989" s="2314">
        <f>报表附注!E3915</f>
        <v>0</v>
      </c>
      <c r="C2989" s="2260">
        <f>报表附注!F3915</f>
        <v>0</v>
      </c>
    </row>
    <row r="2990" spans="2:3">
      <c r="B2990" s="2315" t="str">
        <f>报表附注!E3916</f>
        <v>合计</v>
      </c>
      <c r="C2990" s="2260">
        <f>报表附注!F3916</f>
        <v>2082524</v>
      </c>
    </row>
    <row r="2991" spans="2:2">
      <c r="B2991" s="2257" t="str">
        <f>报表附注!$H$3905</f>
        <v>期初账面余额</v>
      </c>
    </row>
    <row r="2992" spans="2:3">
      <c r="B2992" s="2314" t="str">
        <f>报表附注!E3906</f>
        <v>广深高速公路全线低杆路灯合同能源管理EPC节能工程项目</v>
      </c>
      <c r="C2992" s="2316">
        <f>报表附注!H3906</f>
        <v>434360.08</v>
      </c>
    </row>
    <row r="2993" spans="2:3">
      <c r="B2993" s="2314" t="str">
        <f>报表附注!E3907</f>
        <v>市老干部活动中心办公楼综合节能改造项目</v>
      </c>
      <c r="C2993" s="2260">
        <f>报表附注!H3907</f>
        <v>391328.4</v>
      </c>
    </row>
    <row r="2994" spans="2:3">
      <c r="B2994" s="2314" t="str">
        <f>报表附注!E3908</f>
        <v>江门市市区LED路灯节能改造合同能源管理服务项目</v>
      </c>
      <c r="C2994" s="2260">
        <f>报表附注!H3908</f>
        <v>1256835.52</v>
      </c>
    </row>
    <row r="2995" spans="2:3">
      <c r="B2995" s="2314" t="str">
        <f>报表附注!E3909</f>
        <v>深圳市LED路灯节能改造标段二项目</v>
      </c>
      <c r="C2995" s="2260">
        <f>报表附注!H3909</f>
        <v>0</v>
      </c>
    </row>
    <row r="2996" ht="22.5" spans="2:3">
      <c r="B2996" s="2314" t="str">
        <f>报表附注!E3910</f>
        <v>深圳市宝安区石岩街道办事处LED照明节能改造工程（F包）项目</v>
      </c>
      <c r="C2996" s="2260">
        <f>报表附注!H3910</f>
        <v>0</v>
      </c>
    </row>
    <row r="2997" spans="2:3">
      <c r="B2997" s="2314">
        <f>报表附注!E3911</f>
        <v>0</v>
      </c>
      <c r="C2997" s="2260">
        <f>报表附注!H3911</f>
        <v>0</v>
      </c>
    </row>
    <row r="2998" spans="2:3">
      <c r="B2998" s="2314">
        <f>报表附注!E3912</f>
        <v>0</v>
      </c>
      <c r="C2998" s="2260">
        <f>报表附注!H3912</f>
        <v>0</v>
      </c>
    </row>
    <row r="2999" spans="2:3">
      <c r="B2999" s="2314">
        <f>报表附注!E3913</f>
        <v>0</v>
      </c>
      <c r="C2999" s="2260">
        <f>报表附注!H3913</f>
        <v>0</v>
      </c>
    </row>
    <row r="3000" spans="2:3">
      <c r="B3000" s="2314">
        <f>报表附注!E3914</f>
        <v>0</v>
      </c>
      <c r="C3000" s="2260">
        <f>报表附注!H3914</f>
        <v>0</v>
      </c>
    </row>
    <row r="3001" spans="2:3">
      <c r="B3001" s="2314">
        <f>报表附注!E3915</f>
        <v>0</v>
      </c>
      <c r="C3001" s="2260">
        <f>报表附注!H3915</f>
        <v>0</v>
      </c>
    </row>
    <row r="3002" spans="2:3">
      <c r="B3002" s="2315" t="str">
        <f>报表附注!E3916</f>
        <v>合计</v>
      </c>
      <c r="C3002" s="2260">
        <f>报表附注!H3916</f>
        <v>2082524</v>
      </c>
    </row>
    <row r="3003" spans="2:2">
      <c r="B3003" s="2313" t="str">
        <f>报表附注!$I$3905</f>
        <v>本期增加</v>
      </c>
    </row>
    <row r="3004" spans="2:3">
      <c r="B3004" s="2314" t="str">
        <f>报表附注!E3906</f>
        <v>广深高速公路全线低杆路灯合同能源管理EPC节能工程项目</v>
      </c>
      <c r="C3004" s="2260">
        <f>报表附注!I3906</f>
        <v>0</v>
      </c>
    </row>
    <row r="3005" spans="2:3">
      <c r="B3005" s="2314" t="str">
        <f>报表附注!E3907</f>
        <v>市老干部活动中心办公楼综合节能改造项目</v>
      </c>
      <c r="C3005" s="2260">
        <f>报表附注!I3907</f>
        <v>99010.8</v>
      </c>
    </row>
    <row r="3006" spans="2:3">
      <c r="B3006" s="2314" t="str">
        <f>报表附注!E3908</f>
        <v>江门市市区LED路灯节能改造合同能源管理服务项目</v>
      </c>
      <c r="C3006" s="2260">
        <f>报表附注!I3908</f>
        <v>0</v>
      </c>
    </row>
    <row r="3007" spans="2:3">
      <c r="B3007" s="2314" t="str">
        <f>报表附注!E3909</f>
        <v>深圳市LED路灯节能改造标段二项目</v>
      </c>
      <c r="C3007" s="2260">
        <f>报表附注!I3909</f>
        <v>1895200</v>
      </c>
    </row>
    <row r="3008" ht="22.5" spans="2:3">
      <c r="B3008" s="2314" t="str">
        <f>报表附注!E3910</f>
        <v>深圳市宝安区石岩街道办事处LED照明节能改造工程（F包）项目</v>
      </c>
      <c r="C3008" s="2260">
        <f>报表附注!I3910</f>
        <v>554600</v>
      </c>
    </row>
    <row r="3009" spans="2:3">
      <c r="B3009" s="2314">
        <f>报表附注!E3911</f>
        <v>0</v>
      </c>
      <c r="C3009" s="2260">
        <f>报表附注!I3911</f>
        <v>0</v>
      </c>
    </row>
    <row r="3010" spans="2:3">
      <c r="B3010" s="2314">
        <f>报表附注!E3912</f>
        <v>0</v>
      </c>
      <c r="C3010" s="2260">
        <f>报表附注!I3912</f>
        <v>0</v>
      </c>
    </row>
    <row r="3011" spans="2:3">
      <c r="B3011" s="2314">
        <f>报表附注!E3913</f>
        <v>0</v>
      </c>
      <c r="C3011" s="2260">
        <f>报表附注!I3913</f>
        <v>0</v>
      </c>
    </row>
    <row r="3012" spans="2:3">
      <c r="B3012" s="2314">
        <f>报表附注!E3914</f>
        <v>0</v>
      </c>
      <c r="C3012" s="2260">
        <f>报表附注!I3914</f>
        <v>0</v>
      </c>
    </row>
    <row r="3013" spans="2:3">
      <c r="B3013" s="2314">
        <f>报表附注!E3915</f>
        <v>0</v>
      </c>
      <c r="C3013" s="2260">
        <f>报表附注!I3915</f>
        <v>0</v>
      </c>
    </row>
    <row r="3014" spans="2:3">
      <c r="B3014" s="2315" t="str">
        <f>报表附注!E3916</f>
        <v>合计</v>
      </c>
      <c r="C3014" s="2260">
        <f>报表附注!I3916</f>
        <v>2548810.8</v>
      </c>
    </row>
    <row r="3015" spans="2:2">
      <c r="B3015" s="2314" t="str">
        <f>报表附注!$J$3905</f>
        <v>本期计入营业外收入金额</v>
      </c>
    </row>
    <row r="3016" spans="2:3">
      <c r="B3016" s="2314" t="str">
        <f>报表附注!E3906</f>
        <v>广深高速公路全线低杆路灯合同能源管理EPC节能工程项目</v>
      </c>
      <c r="C3016" s="2260">
        <f>报表附注!J3906</f>
        <v>56046.48</v>
      </c>
    </row>
    <row r="3017" spans="2:3">
      <c r="B3017" s="2314" t="str">
        <f>报表附注!E3907</f>
        <v>市老干部活动中心办公楼综合节能改造项目</v>
      </c>
      <c r="C3017" s="2260">
        <f>报表附注!J3907</f>
        <v>60591.54</v>
      </c>
    </row>
    <row r="3018" spans="2:3">
      <c r="B3018" s="2314" t="str">
        <f>报表附注!E3908</f>
        <v>江门市市区LED路灯节能改造合同能源管理服务项目</v>
      </c>
      <c r="C3018" s="2260">
        <f>报表附注!J3908</f>
        <v>290039.04</v>
      </c>
    </row>
    <row r="3019" spans="2:3">
      <c r="B3019" s="2314" t="str">
        <f>报表附注!E3909</f>
        <v>深圳市LED路灯节能改造标段二项目</v>
      </c>
      <c r="C3019" s="2260">
        <f>报表附注!J3909</f>
        <v>189520.02</v>
      </c>
    </row>
    <row r="3020" ht="22.5" spans="2:3">
      <c r="B3020" s="2314" t="str">
        <f>报表附注!E3910</f>
        <v>深圳市宝安区石岩街道办事处LED照明节能改造工程（F包）项目</v>
      </c>
      <c r="C3020" s="2260">
        <f>报表附注!J3910</f>
        <v>61622.19</v>
      </c>
    </row>
    <row r="3021" spans="2:3">
      <c r="B3021" s="2314">
        <f>报表附注!E3911</f>
        <v>0</v>
      </c>
      <c r="C3021" s="2260">
        <f>报表附注!J3911</f>
        <v>0</v>
      </c>
    </row>
    <row r="3022" spans="2:3">
      <c r="B3022" s="2314">
        <f>报表附注!E3912</f>
        <v>0</v>
      </c>
      <c r="C3022" s="2260">
        <f>报表附注!J3912</f>
        <v>0</v>
      </c>
    </row>
    <row r="3023" spans="2:3">
      <c r="B3023" s="2314">
        <f>报表附注!E3913</f>
        <v>0</v>
      </c>
      <c r="C3023" s="2260">
        <f>报表附注!J3913</f>
        <v>0</v>
      </c>
    </row>
    <row r="3024" spans="2:3">
      <c r="B3024" s="2314">
        <f>报表附注!E3914</f>
        <v>0</v>
      </c>
      <c r="C3024" s="2260">
        <f>报表附注!J3914</f>
        <v>0</v>
      </c>
    </row>
    <row r="3025" spans="2:3">
      <c r="B3025" s="2314">
        <f>报表附注!E3915</f>
        <v>0</v>
      </c>
      <c r="C3025" s="2260">
        <f>报表附注!J3915</f>
        <v>0</v>
      </c>
    </row>
    <row r="3026" spans="2:3">
      <c r="B3026" s="2315" t="str">
        <f>报表附注!E3916</f>
        <v>合计</v>
      </c>
      <c r="C3026" s="2260">
        <f>报表附注!J3916</f>
        <v>657819.27</v>
      </c>
    </row>
    <row r="3027" spans="2:2">
      <c r="B3027" s="2313" t="str">
        <f>报表附注!$K$3905</f>
        <v>其他变动</v>
      </c>
    </row>
    <row r="3028" spans="2:3">
      <c r="B3028" s="2314" t="str">
        <f>报表附注!E3906</f>
        <v>广深高速公路全线低杆路灯合同能源管理EPC节能工程项目</v>
      </c>
      <c r="C3028" s="2260">
        <f>报表附注!K3906</f>
        <v>0</v>
      </c>
    </row>
    <row r="3029" spans="2:3">
      <c r="B3029" s="2314" t="str">
        <f>报表附注!E3907</f>
        <v>市老干部活动中心办公楼综合节能改造项目</v>
      </c>
      <c r="C3029" s="2260">
        <f>报表附注!K3907</f>
        <v>0</v>
      </c>
    </row>
    <row r="3030" spans="2:3">
      <c r="B3030" s="2314" t="str">
        <f>报表附注!E3908</f>
        <v>江门市市区LED路灯节能改造合同能源管理服务项目</v>
      </c>
      <c r="C3030" s="2260">
        <f>报表附注!K3908</f>
        <v>0</v>
      </c>
    </row>
    <row r="3031" spans="2:3">
      <c r="B3031" s="2314" t="str">
        <f>报表附注!E3909</f>
        <v>深圳市LED路灯节能改造标段二项目</v>
      </c>
      <c r="C3031" s="2260">
        <f>报表附注!K3909</f>
        <v>0</v>
      </c>
    </row>
    <row r="3032" ht="22.5" spans="2:3">
      <c r="B3032" s="2314" t="str">
        <f>报表附注!E3910</f>
        <v>深圳市宝安区石岩街道办事处LED照明节能改造工程（F包）项目</v>
      </c>
      <c r="C3032" s="2260">
        <f>报表附注!K3910</f>
        <v>0</v>
      </c>
    </row>
    <row r="3033" spans="2:3">
      <c r="B3033" s="2314">
        <f>报表附注!E3911</f>
        <v>0</v>
      </c>
      <c r="C3033" s="2260">
        <f>报表附注!K3911</f>
        <v>0</v>
      </c>
    </row>
    <row r="3034" spans="2:3">
      <c r="B3034" s="2314">
        <f>报表附注!E3912</f>
        <v>0</v>
      </c>
      <c r="C3034" s="2260">
        <f>报表附注!K3912</f>
        <v>0</v>
      </c>
    </row>
    <row r="3035" spans="2:3">
      <c r="B3035" s="2314">
        <f>报表附注!E3913</f>
        <v>0</v>
      </c>
      <c r="C3035" s="2260">
        <f>报表附注!K3913</f>
        <v>0</v>
      </c>
    </row>
    <row r="3036" spans="2:3">
      <c r="B3036" s="2314">
        <f>报表附注!E3914</f>
        <v>0</v>
      </c>
      <c r="C3036" s="2260">
        <f>报表附注!K3914</f>
        <v>0</v>
      </c>
    </row>
    <row r="3037" spans="2:3">
      <c r="B3037" s="2314">
        <f>报表附注!E3915</f>
        <v>0</v>
      </c>
      <c r="C3037" s="2260">
        <f>报表附注!K3915</f>
        <v>0</v>
      </c>
    </row>
    <row r="3038" spans="2:3">
      <c r="B3038" s="2315" t="str">
        <f>报表附注!E3916</f>
        <v>合计</v>
      </c>
      <c r="C3038" s="2260">
        <f>报表附注!K3916</f>
        <v>0</v>
      </c>
    </row>
    <row r="3039" spans="2:2">
      <c r="B3039" s="2313" t="str">
        <f>报表附注!$L$3905</f>
        <v>期末账面余额</v>
      </c>
    </row>
    <row r="3040" spans="2:3">
      <c r="B3040" s="2314" t="str">
        <f>报表附注!E3906</f>
        <v>广深高速公路全线低杆路灯合同能源管理EPC节能工程项目</v>
      </c>
      <c r="C3040" s="2260">
        <f>报表附注!L3906</f>
        <v>378313.6</v>
      </c>
    </row>
    <row r="3041" spans="2:3">
      <c r="B3041" s="2314" t="str">
        <f>报表附注!E3907</f>
        <v>市老干部活动中心办公楼综合节能改造项目</v>
      </c>
      <c r="C3041" s="2260">
        <f>报表附注!L3907</f>
        <v>429747.66</v>
      </c>
    </row>
    <row r="3042" spans="2:3">
      <c r="B3042" s="2314" t="str">
        <f>报表附注!E3908</f>
        <v>江门市市区LED路灯节能改造合同能源管理服务项目</v>
      </c>
      <c r="C3042" s="2260">
        <f>报表附注!L3908</f>
        <v>966796.48</v>
      </c>
    </row>
    <row r="3043" spans="2:3">
      <c r="B3043" s="2314" t="str">
        <f>报表附注!E3909</f>
        <v>深圳市LED路灯节能改造标段二项目</v>
      </c>
      <c r="C3043" s="2260">
        <f>报表附注!L3909</f>
        <v>1705679.98</v>
      </c>
    </row>
    <row r="3044" ht="22.5" spans="2:3">
      <c r="B3044" s="2314" t="str">
        <f>报表附注!E3910</f>
        <v>深圳市宝安区石岩街道办事处LED照明节能改造工程（F包）项目</v>
      </c>
      <c r="C3044" s="2260">
        <f>报表附注!L3910</f>
        <v>492977.81</v>
      </c>
    </row>
    <row r="3045" spans="2:3">
      <c r="B3045" s="2314">
        <f>报表附注!E3911</f>
        <v>0</v>
      </c>
      <c r="C3045" s="2260">
        <f>报表附注!L3911</f>
        <v>0</v>
      </c>
    </row>
    <row r="3046" spans="2:3">
      <c r="B3046" s="2314">
        <f>报表附注!E3912</f>
        <v>0</v>
      </c>
      <c r="C3046" s="2260">
        <f>报表附注!L3912</f>
        <v>0</v>
      </c>
    </row>
    <row r="3047" spans="2:3">
      <c r="B3047" s="2314">
        <f>报表附注!E3913</f>
        <v>0</v>
      </c>
      <c r="C3047" s="2260">
        <f>报表附注!L3913</f>
        <v>0</v>
      </c>
    </row>
    <row r="3048" spans="2:3">
      <c r="B3048" s="2314">
        <f>报表附注!E3914</f>
        <v>0</v>
      </c>
      <c r="C3048" s="2260">
        <f>报表附注!L3914</f>
        <v>0</v>
      </c>
    </row>
    <row r="3049" spans="2:3">
      <c r="B3049" s="2314">
        <f>报表附注!E3915</f>
        <v>0</v>
      </c>
      <c r="C3049" s="2260">
        <f>报表附注!L3915</f>
        <v>0</v>
      </c>
    </row>
    <row r="3050" spans="2:3">
      <c r="B3050" s="2315" t="str">
        <f>报表附注!E3916</f>
        <v>合计</v>
      </c>
      <c r="C3050" s="2260">
        <f>报表附注!L3916</f>
        <v>3973515.53</v>
      </c>
    </row>
    <row r="3051" spans="3:3">
      <c r="C3051" s="2314"/>
    </row>
    <row r="3052" spans="2:2">
      <c r="B3052" s="2257" t="str">
        <f>报表附注!$E$2913</f>
        <v>（六十一）营业外收入-披露表</v>
      </c>
    </row>
    <row r="3053" spans="2:2">
      <c r="B3053" s="2257" t="s">
        <v>2442</v>
      </c>
    </row>
    <row r="3054" spans="2:2">
      <c r="B3054" s="2314" t="str">
        <f>报表附注!E2930</f>
        <v>项目</v>
      </c>
    </row>
    <row r="3055" spans="2:3">
      <c r="B3055" s="2314" t="str">
        <f>报表附注!E2931</f>
        <v>江门市市区LED路灯节能改造合同能源管理服务项目</v>
      </c>
      <c r="C3055" s="2260" t="str">
        <f>报表附注!E2931</f>
        <v>江门市市区LED路灯节能改造合同能源管理服务项目</v>
      </c>
    </row>
    <row r="3056" spans="2:3">
      <c r="B3056" s="2314" t="str">
        <f>报表附注!E2932</f>
        <v>广深高速公路全线低杆路灯合同能源管理EPC节能工程项目</v>
      </c>
      <c r="C3056" s="2260" t="str">
        <f>报表附注!E2932</f>
        <v>广深高速公路全线低杆路灯合同能源管理EPC节能工程项目</v>
      </c>
    </row>
    <row r="3057" spans="2:3">
      <c r="B3057" s="2314" t="str">
        <f>报表附注!E2933</f>
        <v>市老干部活动中心办公楼综合节能改造项目</v>
      </c>
      <c r="C3057" s="2260" t="str">
        <f>报表附注!E2933</f>
        <v>市老干部活动中心办公楼综合节能改造项目</v>
      </c>
    </row>
    <row r="3058" spans="2:3">
      <c r="B3058" s="2314" t="str">
        <f>报表附注!E2934</f>
        <v>深圳市LED路灯节能改造标段二项目</v>
      </c>
      <c r="C3058" s="2260" t="str">
        <f>报表附注!E2934</f>
        <v>深圳市LED路灯节能改造标段二项目</v>
      </c>
    </row>
    <row r="3059" ht="22.5" spans="2:3">
      <c r="B3059" s="2314" t="str">
        <f>报表附注!E2935</f>
        <v>深圳市宝安区石岩街道办事处LED照明节能改造工程（F包）项目</v>
      </c>
      <c r="C3059" s="2260" t="str">
        <f>报表附注!E2935</f>
        <v>深圳市宝安区石岩街道办事处LED照明节能改造工程（F包）项目</v>
      </c>
    </row>
    <row r="3060" spans="2:3">
      <c r="B3060" s="2314" t="str">
        <f>报表附注!E2936</f>
        <v>深圳市科技创新委员会示范区科研资金</v>
      </c>
      <c r="C3060" s="2260" t="str">
        <f>报表附注!E2936</f>
        <v>深圳市科技创新委员会示范区科研资金</v>
      </c>
    </row>
    <row r="3061" spans="2:3">
      <c r="B3061" s="2314" t="str">
        <f>报表附注!E2937</f>
        <v>社保局返还失业稳岗补贴</v>
      </c>
      <c r="C3061" s="2260" t="str">
        <f>报表附注!E2937</f>
        <v>社保局返还失业稳岗补贴</v>
      </c>
    </row>
    <row r="3062" spans="2:3">
      <c r="B3062" s="2314">
        <f>报表附注!E2938</f>
        <v>0</v>
      </c>
      <c r="C3062" s="2260">
        <f>报表附注!E2938</f>
        <v>0</v>
      </c>
    </row>
    <row r="3063" spans="2:3">
      <c r="B3063" s="2314">
        <f>报表附注!E2939</f>
        <v>0</v>
      </c>
      <c r="C3063" s="2260">
        <f>报表附注!E2939</f>
        <v>0</v>
      </c>
    </row>
    <row r="3064" spans="2:3">
      <c r="B3064" s="2314">
        <f>报表附注!E2940</f>
        <v>0</v>
      </c>
      <c r="C3064" s="2260">
        <f>报表附注!E2940</f>
        <v>0</v>
      </c>
    </row>
    <row r="3065" spans="2:3">
      <c r="B3065" s="2314">
        <f>报表附注!E2941</f>
        <v>0</v>
      </c>
      <c r="C3065" s="2260">
        <f>报表附注!E2941</f>
        <v>0</v>
      </c>
    </row>
    <row r="3066" spans="2:3">
      <c r="B3066" s="2314">
        <f>报表附注!E2942</f>
        <v>0</v>
      </c>
      <c r="C3066" s="2260">
        <f>报表附注!E2942</f>
        <v>0</v>
      </c>
    </row>
    <row r="3067" spans="2:3">
      <c r="B3067" s="2314">
        <f>报表附注!E2943</f>
        <v>0</v>
      </c>
      <c r="C3067" s="2260">
        <f>报表附注!E2943</f>
        <v>0</v>
      </c>
    </row>
    <row r="3068" spans="2:3">
      <c r="B3068" s="2314">
        <f>报表附注!E2944</f>
        <v>0</v>
      </c>
      <c r="C3068" s="2260">
        <f>报表附注!E2944</f>
        <v>0</v>
      </c>
    </row>
    <row r="3069" spans="2:3">
      <c r="B3069" s="2314">
        <f>报表附注!E2945</f>
        <v>0</v>
      </c>
      <c r="C3069" s="2260">
        <f>报表附注!E2945</f>
        <v>0</v>
      </c>
    </row>
    <row r="3070" spans="2:3">
      <c r="B3070" s="2314">
        <f>报表附注!E2946</f>
        <v>0</v>
      </c>
      <c r="C3070" s="2260">
        <f>报表附注!E2946</f>
        <v>0</v>
      </c>
    </row>
    <row r="3071" spans="2:3">
      <c r="B3071" s="2314">
        <f>报表附注!E2947</f>
        <v>0</v>
      </c>
      <c r="C3071" s="2260">
        <f>报表附注!E2947</f>
        <v>0</v>
      </c>
    </row>
    <row r="3072" spans="2:3">
      <c r="B3072" s="2314">
        <f>报表附注!E2948</f>
        <v>0</v>
      </c>
      <c r="C3072" s="2260">
        <f>报表附注!E2948</f>
        <v>0</v>
      </c>
    </row>
    <row r="3073" spans="2:3">
      <c r="B3073" s="2314">
        <f>报表附注!E2949</f>
        <v>0</v>
      </c>
      <c r="C3073" s="2260">
        <f>报表附注!E2949</f>
        <v>0</v>
      </c>
    </row>
    <row r="3074" spans="2:3">
      <c r="B3074" s="2314">
        <f>报表附注!E2950</f>
        <v>0</v>
      </c>
      <c r="C3074" s="2260">
        <f>报表附注!E2950</f>
        <v>0</v>
      </c>
    </row>
    <row r="3075" spans="2:3">
      <c r="B3075" s="2314">
        <f>报表附注!E2951</f>
        <v>0</v>
      </c>
      <c r="C3075" s="2260">
        <f>报表附注!E2951</f>
        <v>0</v>
      </c>
    </row>
    <row r="3076" spans="2:3">
      <c r="B3076" s="2314">
        <f>报表附注!E2952</f>
        <v>0</v>
      </c>
      <c r="C3076" s="2260">
        <f>报表附注!E2952</f>
        <v>0</v>
      </c>
    </row>
    <row r="3077" spans="2:3">
      <c r="B3077" s="2314">
        <f>报表附注!E2953</f>
        <v>0</v>
      </c>
      <c r="C3077" s="2260">
        <f>报表附注!E2953</f>
        <v>0</v>
      </c>
    </row>
    <row r="3078" spans="2:3">
      <c r="B3078" s="2314">
        <f>报表附注!E2954</f>
        <v>0</v>
      </c>
      <c r="C3078" s="2260">
        <f>报表附注!E2954</f>
        <v>0</v>
      </c>
    </row>
    <row r="3079" spans="2:3">
      <c r="B3079" s="2314">
        <f>报表附注!E2955</f>
        <v>0</v>
      </c>
      <c r="C3079" s="2260">
        <f>报表附注!E2955</f>
        <v>0</v>
      </c>
    </row>
    <row r="3080" spans="2:3">
      <c r="B3080" s="2314">
        <f>报表附注!E2956</f>
        <v>0</v>
      </c>
      <c r="C3080" s="2260">
        <f>报表附注!E2956</f>
        <v>0</v>
      </c>
    </row>
    <row r="3081" spans="2:3">
      <c r="B3081" s="2315" t="str">
        <f>报表附注!E2957</f>
        <v>合计</v>
      </c>
      <c r="C3081" s="2289"/>
    </row>
    <row r="3082" spans="2:2">
      <c r="B3082" s="2257" t="str">
        <f>报表附注!$F$2930</f>
        <v>本期金额</v>
      </c>
    </row>
    <row r="3083" spans="2:3">
      <c r="B3083" s="2253" t="str">
        <f>报表附注!E2931</f>
        <v>江门市市区LED路灯节能改造合同能源管理服务项目</v>
      </c>
      <c r="C3083" s="2260">
        <f>报表附注!F2931</f>
        <v>290039.04</v>
      </c>
    </row>
    <row r="3084" spans="2:3">
      <c r="B3084" s="2253" t="str">
        <f>报表附注!E2932</f>
        <v>广深高速公路全线低杆路灯合同能源管理EPC节能工程项目</v>
      </c>
      <c r="C3084" s="2260">
        <f>报表附注!F2932</f>
        <v>56046.48</v>
      </c>
    </row>
    <row r="3085" spans="2:3">
      <c r="B3085" s="2253" t="str">
        <f>报表附注!E2933</f>
        <v>市老干部活动中心办公楼综合节能改造项目</v>
      </c>
      <c r="C3085" s="2260">
        <f>报表附注!F2933</f>
        <v>60591.54</v>
      </c>
    </row>
    <row r="3086" spans="2:3">
      <c r="B3086" s="2253" t="str">
        <f>报表附注!E2934</f>
        <v>深圳市LED路灯节能改造标段二项目</v>
      </c>
      <c r="C3086" s="2260">
        <f>报表附注!F2934</f>
        <v>189520.02</v>
      </c>
    </row>
    <row r="3087" ht="22.5" spans="2:3">
      <c r="B3087" s="2253" t="str">
        <f>报表附注!E2935</f>
        <v>深圳市宝安区石岩街道办事处LED照明节能改造工程（F包）项目</v>
      </c>
      <c r="C3087" s="2260">
        <f>报表附注!F2935</f>
        <v>61622.19</v>
      </c>
    </row>
    <row r="3088" spans="2:3">
      <c r="B3088" s="2253" t="str">
        <f>报表附注!E2936</f>
        <v>深圳市科技创新委员会示范区科研资金</v>
      </c>
      <c r="C3088" s="2260">
        <f>报表附注!F2936</f>
        <v>185000</v>
      </c>
    </row>
    <row r="3089" spans="2:3">
      <c r="B3089" s="2253" t="str">
        <f>报表附注!E2937</f>
        <v>社保局返还失业稳岗补贴</v>
      </c>
      <c r="C3089" s="2260">
        <f>报表附注!F2937</f>
        <v>10727.31</v>
      </c>
    </row>
    <row r="3090" spans="2:3">
      <c r="B3090" s="2253">
        <f>报表附注!E2938</f>
        <v>0</v>
      </c>
      <c r="C3090" s="2260">
        <f>报表附注!F2938</f>
        <v>0</v>
      </c>
    </row>
    <row r="3091" spans="2:3">
      <c r="B3091" s="2253">
        <f>报表附注!E2939</f>
        <v>0</v>
      </c>
      <c r="C3091" s="2260">
        <f>报表附注!F2939</f>
        <v>0</v>
      </c>
    </row>
    <row r="3092" spans="2:3">
      <c r="B3092" s="2253">
        <f>报表附注!E2940</f>
        <v>0</v>
      </c>
      <c r="C3092" s="2260">
        <f>报表附注!F2940</f>
        <v>0</v>
      </c>
    </row>
    <row r="3093" spans="2:3">
      <c r="B3093" s="2253">
        <f>报表附注!E2941</f>
        <v>0</v>
      </c>
      <c r="C3093" s="2260">
        <f>报表附注!F2941</f>
        <v>0</v>
      </c>
    </row>
    <row r="3094" spans="2:3">
      <c r="B3094" s="2253">
        <f>报表附注!E2942</f>
        <v>0</v>
      </c>
      <c r="C3094" s="2260">
        <f>报表附注!F2942</f>
        <v>0</v>
      </c>
    </row>
    <row r="3095" spans="2:3">
      <c r="B3095" s="2253">
        <f>报表附注!E2943</f>
        <v>0</v>
      </c>
      <c r="C3095" s="2260">
        <f>报表附注!F2943</f>
        <v>0</v>
      </c>
    </row>
    <row r="3096" spans="2:3">
      <c r="B3096" s="2253">
        <f>报表附注!E2944</f>
        <v>0</v>
      </c>
      <c r="C3096" s="2260">
        <f>报表附注!F2944</f>
        <v>0</v>
      </c>
    </row>
    <row r="3097" spans="2:3">
      <c r="B3097" s="2253">
        <f>报表附注!E2945</f>
        <v>0</v>
      </c>
      <c r="C3097" s="2260">
        <f>报表附注!F2945</f>
        <v>0</v>
      </c>
    </row>
    <row r="3098" spans="2:3">
      <c r="B3098" s="2253">
        <f>报表附注!E2946</f>
        <v>0</v>
      </c>
      <c r="C3098" s="2260">
        <f>报表附注!F2946</f>
        <v>0</v>
      </c>
    </row>
    <row r="3099" spans="2:3">
      <c r="B3099" s="2253">
        <f>报表附注!E2947</f>
        <v>0</v>
      </c>
      <c r="C3099" s="2260">
        <f>报表附注!F2947</f>
        <v>0</v>
      </c>
    </row>
    <row r="3100" spans="2:3">
      <c r="B3100" s="2253">
        <f>报表附注!E2948</f>
        <v>0</v>
      </c>
      <c r="C3100" s="2260">
        <f>报表附注!F2948</f>
        <v>0</v>
      </c>
    </row>
    <row r="3101" spans="2:3">
      <c r="B3101" s="2253">
        <f>报表附注!E2949</f>
        <v>0</v>
      </c>
      <c r="C3101" s="2260">
        <f>报表附注!F2949</f>
        <v>0</v>
      </c>
    </row>
    <row r="3102" spans="2:3">
      <c r="B3102" s="2253">
        <f>报表附注!E2950</f>
        <v>0</v>
      </c>
      <c r="C3102" s="2260">
        <f>报表附注!F2950</f>
        <v>0</v>
      </c>
    </row>
    <row r="3103" spans="2:3">
      <c r="B3103" s="2253">
        <f>报表附注!E2951</f>
        <v>0</v>
      </c>
      <c r="C3103" s="2260">
        <f>报表附注!F2951</f>
        <v>0</v>
      </c>
    </row>
    <row r="3104" spans="2:3">
      <c r="B3104" s="2253">
        <f>报表附注!E2952</f>
        <v>0</v>
      </c>
      <c r="C3104" s="2260">
        <f>报表附注!F2952</f>
        <v>0</v>
      </c>
    </row>
    <row r="3105" spans="2:3">
      <c r="B3105" s="2253">
        <f>报表附注!E2953</f>
        <v>0</v>
      </c>
      <c r="C3105" s="2260">
        <f>报表附注!F2953</f>
        <v>0</v>
      </c>
    </row>
    <row r="3106" spans="2:3">
      <c r="B3106" s="2253">
        <f>报表附注!E2954</f>
        <v>0</v>
      </c>
      <c r="C3106" s="2260">
        <f>报表附注!F2954</f>
        <v>0</v>
      </c>
    </row>
    <row r="3107" spans="2:3">
      <c r="B3107" s="2253">
        <f>报表附注!E2955</f>
        <v>0</v>
      </c>
      <c r="C3107" s="2260">
        <f>报表附注!F2955</f>
        <v>0</v>
      </c>
    </row>
    <row r="3108" spans="2:3">
      <c r="B3108" s="2253">
        <f>报表附注!E2956</f>
        <v>0</v>
      </c>
      <c r="C3108" s="2260">
        <f>报表附注!F2956</f>
        <v>0</v>
      </c>
    </row>
    <row r="3109" spans="2:3">
      <c r="B3109" s="2263" t="str">
        <f>报表附注!E2957</f>
        <v>合计</v>
      </c>
      <c r="C3109" s="2260">
        <f>报表附注!F2957</f>
        <v>853546.58</v>
      </c>
    </row>
    <row r="3110" spans="2:2">
      <c r="B3110" s="2257" t="str">
        <f>报表附注!$G$2930</f>
        <v>上期金额</v>
      </c>
    </row>
    <row r="3111" spans="2:3">
      <c r="B3111" s="2253" t="str">
        <f>报表附注!E2931</f>
        <v>江门市市区LED路灯节能改造合同能源管理服务项目</v>
      </c>
      <c r="C3111" s="2260">
        <f>报表附注!G2931</f>
        <v>290039.04</v>
      </c>
    </row>
    <row r="3112" spans="2:3">
      <c r="B3112" s="2253" t="str">
        <f>报表附注!E2932</f>
        <v>广深高速公路全线低杆路灯合同能源管理EPC节能工程项目</v>
      </c>
      <c r="C3112" s="2260">
        <f>报表附注!G2932</f>
        <v>46705.4</v>
      </c>
    </row>
    <row r="3113" spans="2:3">
      <c r="B3113" s="2253" t="str">
        <f>报表附注!E2933</f>
        <v>市老干部活动中心办公楼综合节能改造项目</v>
      </c>
      <c r="C3113" s="2260">
        <f>报表附注!G2933</f>
        <v>4714.8</v>
      </c>
    </row>
    <row r="3114" spans="2:3">
      <c r="B3114" s="2253" t="str">
        <f>报表附注!E2934</f>
        <v>深圳市LED路灯节能改造标段二项目</v>
      </c>
      <c r="C3114" s="2260">
        <f>报表附注!G2934</f>
        <v>0</v>
      </c>
    </row>
    <row r="3115" ht="22.5" spans="2:3">
      <c r="B3115" s="2253" t="str">
        <f>报表附注!E2935</f>
        <v>深圳市宝安区石岩街道办事处LED照明节能改造工程（F包）项目</v>
      </c>
      <c r="C3115" s="2260">
        <f>报表附注!G2935</f>
        <v>0</v>
      </c>
    </row>
    <row r="3116" spans="2:3">
      <c r="B3116" s="2253" t="str">
        <f>报表附注!E2936</f>
        <v>深圳市科技创新委员会示范区科研资金</v>
      </c>
      <c r="C3116" s="2260">
        <f>报表附注!G2936</f>
        <v>0</v>
      </c>
    </row>
    <row r="3117" spans="2:3">
      <c r="B3117" s="2253" t="str">
        <f>报表附注!E2937</f>
        <v>社保局返还失业稳岗补贴</v>
      </c>
      <c r="C3117" s="2260">
        <f>报表附注!G2937</f>
        <v>0</v>
      </c>
    </row>
    <row r="3118" spans="2:3">
      <c r="B3118" s="2253">
        <f>报表附注!E2938</f>
        <v>0</v>
      </c>
      <c r="C3118" s="2260">
        <f>报表附注!G2938</f>
        <v>0</v>
      </c>
    </row>
    <row r="3119" spans="2:3">
      <c r="B3119" s="2253">
        <f>报表附注!E2939</f>
        <v>0</v>
      </c>
      <c r="C3119" s="2260">
        <f>报表附注!G2939</f>
        <v>0</v>
      </c>
    </row>
    <row r="3120" spans="2:3">
      <c r="B3120" s="2253">
        <f>报表附注!E2940</f>
        <v>0</v>
      </c>
      <c r="C3120" s="2260">
        <f>报表附注!G2940</f>
        <v>0</v>
      </c>
    </row>
    <row r="3121" spans="2:3">
      <c r="B3121" s="2253">
        <f>报表附注!E2941</f>
        <v>0</v>
      </c>
      <c r="C3121" s="2260">
        <f>报表附注!G2941</f>
        <v>0</v>
      </c>
    </row>
    <row r="3122" spans="2:3">
      <c r="B3122" s="2253">
        <f>报表附注!E2942</f>
        <v>0</v>
      </c>
      <c r="C3122" s="2260">
        <f>报表附注!G2942</f>
        <v>0</v>
      </c>
    </row>
    <row r="3123" spans="2:3">
      <c r="B3123" s="2253">
        <f>报表附注!E2943</f>
        <v>0</v>
      </c>
      <c r="C3123" s="2260">
        <f>报表附注!G2943</f>
        <v>0</v>
      </c>
    </row>
    <row r="3124" spans="2:3">
      <c r="B3124" s="2253">
        <f>报表附注!E2944</f>
        <v>0</v>
      </c>
      <c r="C3124" s="2260">
        <f>报表附注!G2944</f>
        <v>0</v>
      </c>
    </row>
    <row r="3125" spans="2:3">
      <c r="B3125" s="2253">
        <f>报表附注!E2945</f>
        <v>0</v>
      </c>
      <c r="C3125" s="2260">
        <f>报表附注!G2945</f>
        <v>0</v>
      </c>
    </row>
    <row r="3126" spans="2:3">
      <c r="B3126" s="2253">
        <f>报表附注!E2946</f>
        <v>0</v>
      </c>
      <c r="C3126" s="2260">
        <f>报表附注!G2946</f>
        <v>0</v>
      </c>
    </row>
    <row r="3127" spans="2:3">
      <c r="B3127" s="2253">
        <f>报表附注!E2947</f>
        <v>0</v>
      </c>
      <c r="C3127" s="2260">
        <f>报表附注!G2947</f>
        <v>0</v>
      </c>
    </row>
    <row r="3128" spans="2:3">
      <c r="B3128" s="2253">
        <f>报表附注!E2948</f>
        <v>0</v>
      </c>
      <c r="C3128" s="2260">
        <f>报表附注!G2948</f>
        <v>0</v>
      </c>
    </row>
    <row r="3129" spans="2:3">
      <c r="B3129" s="2253">
        <f>报表附注!E2949</f>
        <v>0</v>
      </c>
      <c r="C3129" s="2260">
        <f>报表附注!G2949</f>
        <v>0</v>
      </c>
    </row>
    <row r="3130" spans="2:3">
      <c r="B3130" s="2253">
        <f>报表附注!E2950</f>
        <v>0</v>
      </c>
      <c r="C3130" s="2260">
        <f>报表附注!G2950</f>
        <v>0</v>
      </c>
    </row>
    <row r="3131" spans="2:3">
      <c r="B3131" s="2253">
        <f>报表附注!E2951</f>
        <v>0</v>
      </c>
      <c r="C3131" s="2260">
        <f>报表附注!G2951</f>
        <v>0</v>
      </c>
    </row>
    <row r="3132" spans="2:3">
      <c r="B3132" s="2253">
        <f>报表附注!E2952</f>
        <v>0</v>
      </c>
      <c r="C3132" s="2260">
        <f>报表附注!G2952</f>
        <v>0</v>
      </c>
    </row>
    <row r="3133" spans="2:3">
      <c r="B3133" s="2253">
        <f>报表附注!E2953</f>
        <v>0</v>
      </c>
      <c r="C3133" s="2260">
        <f>报表附注!G2953</f>
        <v>0</v>
      </c>
    </row>
    <row r="3134" spans="2:3">
      <c r="B3134" s="2253">
        <f>报表附注!E2954</f>
        <v>0</v>
      </c>
      <c r="C3134" s="2260">
        <f>报表附注!G2954</f>
        <v>0</v>
      </c>
    </row>
    <row r="3135" spans="2:3">
      <c r="B3135" s="2253">
        <f>报表附注!E2955</f>
        <v>0</v>
      </c>
      <c r="C3135" s="2260">
        <f>报表附注!G2955</f>
        <v>0</v>
      </c>
    </row>
    <row r="3136" spans="2:3">
      <c r="B3136" s="2253">
        <f>报表附注!E2956</f>
        <v>0</v>
      </c>
      <c r="C3136" s="2260">
        <f>报表附注!G2956</f>
        <v>0</v>
      </c>
    </row>
    <row r="3137" spans="2:3">
      <c r="B3137" s="2263" t="str">
        <f>报表附注!E2957</f>
        <v>合计</v>
      </c>
      <c r="C3137" s="2260">
        <f>报表附注!G2957</f>
        <v>341459.24</v>
      </c>
    </row>
    <row r="3138" spans="2:2">
      <c r="B3138" s="2257" t="str">
        <f>报表附注!$H$2930</f>
        <v>来源和依据</v>
      </c>
    </row>
    <row r="3139" spans="2:3">
      <c r="B3139" s="2253" t="str">
        <f>报表附注!E2931</f>
        <v>江门市市区LED路灯节能改造合同能源管理服务项目</v>
      </c>
      <c r="C3139" s="2260">
        <f>报表附注!H2931</f>
        <v>0</v>
      </c>
    </row>
    <row r="3140" spans="2:3">
      <c r="B3140" s="2253" t="str">
        <f>报表附注!E2932</f>
        <v>广深高速公路全线低杆路灯合同能源管理EPC节能工程项目</v>
      </c>
      <c r="C3140" s="2260">
        <f>报表附注!H2932</f>
        <v>0</v>
      </c>
    </row>
    <row r="3141" spans="2:3">
      <c r="B3141" s="2253" t="str">
        <f>报表附注!E2933</f>
        <v>市老干部活动中心办公楼综合节能改造项目</v>
      </c>
      <c r="C3141" s="2260">
        <f>报表附注!H2933</f>
        <v>0</v>
      </c>
    </row>
    <row r="3142" spans="2:3">
      <c r="B3142" s="2253" t="str">
        <f>报表附注!E2934</f>
        <v>深圳市LED路灯节能改造标段二项目</v>
      </c>
      <c r="C3142" s="2260">
        <f>报表附注!H2934</f>
        <v>0</v>
      </c>
    </row>
    <row r="3143" ht="22.5" spans="2:3">
      <c r="B3143" s="2253" t="str">
        <f>报表附注!E2935</f>
        <v>深圳市宝安区石岩街道办事处LED照明节能改造工程（F包）项目</v>
      </c>
      <c r="C3143" s="2260">
        <f>报表附注!H2935</f>
        <v>0</v>
      </c>
    </row>
    <row r="3144" spans="2:3">
      <c r="B3144" s="2253" t="str">
        <f>报表附注!E2936</f>
        <v>深圳市科技创新委员会示范区科研资金</v>
      </c>
      <c r="C3144" s="2260">
        <f>报表附注!H2936</f>
        <v>0</v>
      </c>
    </row>
    <row r="3145" spans="2:3">
      <c r="B3145" s="2253" t="str">
        <f>报表附注!E2937</f>
        <v>社保局返还失业稳岗补贴</v>
      </c>
      <c r="C3145" s="2260">
        <f>报表附注!H2937</f>
        <v>0</v>
      </c>
    </row>
    <row r="3146" spans="2:3">
      <c r="B3146" s="2253">
        <f>报表附注!E2938</f>
        <v>0</v>
      </c>
      <c r="C3146" s="2260">
        <f>报表附注!H2938</f>
        <v>0</v>
      </c>
    </row>
    <row r="3147" spans="2:3">
      <c r="B3147" s="2253">
        <f>报表附注!E2939</f>
        <v>0</v>
      </c>
      <c r="C3147" s="2260">
        <f>报表附注!H2939</f>
        <v>0</v>
      </c>
    </row>
    <row r="3148" spans="2:3">
      <c r="B3148" s="2253">
        <f>报表附注!E2940</f>
        <v>0</v>
      </c>
      <c r="C3148" s="2260">
        <f>报表附注!H2940</f>
        <v>0</v>
      </c>
    </row>
    <row r="3149" spans="2:3">
      <c r="B3149" s="2253">
        <f>报表附注!E2941</f>
        <v>0</v>
      </c>
      <c r="C3149" s="2260">
        <f>报表附注!H2941</f>
        <v>0</v>
      </c>
    </row>
    <row r="3150" spans="2:3">
      <c r="B3150" s="2253">
        <f>报表附注!E2942</f>
        <v>0</v>
      </c>
      <c r="C3150" s="2260">
        <f>报表附注!H2942</f>
        <v>0</v>
      </c>
    </row>
    <row r="3151" spans="2:3">
      <c r="B3151" s="2253">
        <f>报表附注!E2943</f>
        <v>0</v>
      </c>
      <c r="C3151" s="2260">
        <f>报表附注!H2943</f>
        <v>0</v>
      </c>
    </row>
    <row r="3152" spans="2:3">
      <c r="B3152" s="2253">
        <f>报表附注!E2944</f>
        <v>0</v>
      </c>
      <c r="C3152" s="2260">
        <f>报表附注!H2944</f>
        <v>0</v>
      </c>
    </row>
    <row r="3153" spans="2:3">
      <c r="B3153" s="2253">
        <f>报表附注!E2945</f>
        <v>0</v>
      </c>
      <c r="C3153" s="2260">
        <f>报表附注!H2945</f>
        <v>0</v>
      </c>
    </row>
    <row r="3154" spans="2:3">
      <c r="B3154" s="2253">
        <f>报表附注!E2946</f>
        <v>0</v>
      </c>
      <c r="C3154" s="2260">
        <f>报表附注!H2946</f>
        <v>0</v>
      </c>
    </row>
    <row r="3155" spans="2:3">
      <c r="B3155" s="2253">
        <f>报表附注!E2947</f>
        <v>0</v>
      </c>
      <c r="C3155" s="2260">
        <f>报表附注!H2947</f>
        <v>0</v>
      </c>
    </row>
    <row r="3156" spans="2:3">
      <c r="B3156" s="2253">
        <f>报表附注!E2948</f>
        <v>0</v>
      </c>
      <c r="C3156" s="2260">
        <f>报表附注!H2948</f>
        <v>0</v>
      </c>
    </row>
    <row r="3157" spans="2:3">
      <c r="B3157" s="2253">
        <f>报表附注!E2949</f>
        <v>0</v>
      </c>
      <c r="C3157" s="2260">
        <f>报表附注!H2949</f>
        <v>0</v>
      </c>
    </row>
    <row r="3158" spans="2:3">
      <c r="B3158" s="2253">
        <f>报表附注!E2950</f>
        <v>0</v>
      </c>
      <c r="C3158" s="2260">
        <f>报表附注!H2950</f>
        <v>0</v>
      </c>
    </row>
    <row r="3159" spans="2:3">
      <c r="B3159" s="2253">
        <f>报表附注!E2951</f>
        <v>0</v>
      </c>
      <c r="C3159" s="2260">
        <f>报表附注!H2951</f>
        <v>0</v>
      </c>
    </row>
    <row r="3160" spans="2:3">
      <c r="B3160" s="2253">
        <f>报表附注!E2952</f>
        <v>0</v>
      </c>
      <c r="C3160" s="2260">
        <f>报表附注!H2952</f>
        <v>0</v>
      </c>
    </row>
    <row r="3161" spans="2:3">
      <c r="B3161" s="2253">
        <f>报表附注!E2953</f>
        <v>0</v>
      </c>
      <c r="C3161" s="2260">
        <f>报表附注!H2953</f>
        <v>0</v>
      </c>
    </row>
    <row r="3162" spans="2:3">
      <c r="B3162" s="2253">
        <f>报表附注!E2954</f>
        <v>0</v>
      </c>
      <c r="C3162" s="2260">
        <f>报表附注!H2954</f>
        <v>0</v>
      </c>
    </row>
    <row r="3163" spans="2:3">
      <c r="B3163" s="2253">
        <f>报表附注!E2955</f>
        <v>0</v>
      </c>
      <c r="C3163" s="2260">
        <f>报表附注!H2955</f>
        <v>0</v>
      </c>
    </row>
    <row r="3164" spans="2:3">
      <c r="B3164" s="2253">
        <f>报表附注!E2956</f>
        <v>0</v>
      </c>
      <c r="C3164" s="2260">
        <f>报表附注!H2956</f>
        <v>0</v>
      </c>
    </row>
    <row r="3165" spans="2:3">
      <c r="B3165" s="2263" t="str">
        <f>报表附注!E2957</f>
        <v>合计</v>
      </c>
      <c r="C3165" s="2260">
        <f>报表附注!H2957</f>
        <v>0</v>
      </c>
    </row>
    <row r="3167" spans="2:2">
      <c r="B3167" s="2257" t="str">
        <f>报表附注!$E$3749</f>
        <v>(十六)投资性房地产-披露表</v>
      </c>
    </row>
    <row r="3168" spans="2:2">
      <c r="B3168" s="2257"/>
    </row>
    <row r="3169" spans="2:3">
      <c r="B3169" s="2313" t="s">
        <v>2443</v>
      </c>
      <c r="C3169" s="2321" t="str">
        <f>报表附注!F3751</f>
        <v>房屋、建筑物</v>
      </c>
    </row>
    <row r="3170" spans="2:3">
      <c r="B3170" s="2314" t="str">
        <f>报表附注!E3752</f>
        <v>一、账面原值</v>
      </c>
      <c r="C3170" s="2260">
        <f>报表附注!F3752</f>
        <v>0</v>
      </c>
    </row>
    <row r="3171" spans="2:3">
      <c r="B3171" s="2314" t="str">
        <f>报表附注!E3753</f>
        <v>　　1.期初余额</v>
      </c>
      <c r="C3171" s="2260">
        <f>报表附注!F3753</f>
        <v>0</v>
      </c>
    </row>
    <row r="3172" spans="2:3">
      <c r="B3172" s="2314" t="str">
        <f>报表附注!E3754</f>
        <v>　　2.本期增加金额</v>
      </c>
      <c r="C3172" s="2260">
        <f>报表附注!F3754</f>
        <v>0</v>
      </c>
    </row>
    <row r="3173" spans="2:3">
      <c r="B3173" s="2314" t="str">
        <f>报表附注!E3755</f>
        <v>　　（1）外购</v>
      </c>
      <c r="C3173" s="2260">
        <f>报表附注!F3755</f>
        <v>0</v>
      </c>
    </row>
    <row r="3174" spans="2:3">
      <c r="B3174" s="2314" t="str">
        <f>报表附注!E3756</f>
        <v>　　（2）存货\固定资产\在建工程转入</v>
      </c>
      <c r="C3174" s="2260">
        <f>报表附注!F3756</f>
        <v>0</v>
      </c>
    </row>
    <row r="3175" spans="2:3">
      <c r="B3175" s="2314" t="str">
        <f>报表附注!E3757</f>
        <v>　　（3）企业合并增加</v>
      </c>
      <c r="C3175" s="2260">
        <f>报表附注!F3757</f>
        <v>0</v>
      </c>
    </row>
    <row r="3176" spans="2:3">
      <c r="B3176" s="2314">
        <f>报表附注!E3758</f>
        <v>0</v>
      </c>
      <c r="C3176" s="2260">
        <f>报表附注!F3758</f>
        <v>0</v>
      </c>
    </row>
    <row r="3177" spans="2:3">
      <c r="B3177" s="2314" t="str">
        <f>报表附注!E3759</f>
        <v>　　3.本期减少金额</v>
      </c>
      <c r="C3177" s="2260">
        <f>报表附注!F3759</f>
        <v>0</v>
      </c>
    </row>
    <row r="3178" spans="2:3">
      <c r="B3178" s="2314" t="str">
        <f>报表附注!E3760</f>
        <v>　　（1）处置</v>
      </c>
      <c r="C3178" s="2260">
        <f>报表附注!F3760</f>
        <v>0</v>
      </c>
    </row>
    <row r="3179" spans="2:3">
      <c r="B3179" s="2314" t="str">
        <f>报表附注!E3761</f>
        <v>　　（2）其他转出</v>
      </c>
      <c r="C3179" s="2260">
        <f>报表附注!F3761</f>
        <v>0</v>
      </c>
    </row>
    <row r="3180" spans="2:3">
      <c r="B3180" s="2314" t="str">
        <f>报表附注!E3762</f>
        <v>　　（3）企业合并减少</v>
      </c>
      <c r="C3180" s="2260">
        <f>报表附注!F3762</f>
        <v>0</v>
      </c>
    </row>
    <row r="3181" spans="2:3">
      <c r="B3181" s="2314" t="str">
        <f>报表附注!E3763</f>
        <v>　　4.期末余额</v>
      </c>
      <c r="C3181" s="2260">
        <f>报表附注!F3763</f>
        <v>0</v>
      </c>
    </row>
    <row r="3182" spans="2:3">
      <c r="B3182" s="2314" t="str">
        <f>报表附注!E3764</f>
        <v>二、累计折旧和累计摊销</v>
      </c>
      <c r="C3182" s="2260">
        <f>报表附注!F3764</f>
        <v>0</v>
      </c>
    </row>
    <row r="3183" spans="2:3">
      <c r="B3183" s="2314" t="str">
        <f>报表附注!E3765</f>
        <v>　　1.期初余额</v>
      </c>
      <c r="C3183" s="2260">
        <f>报表附注!F3765</f>
        <v>0</v>
      </c>
    </row>
    <row r="3184" spans="2:3">
      <c r="B3184" s="2314" t="str">
        <f>报表附注!E3766</f>
        <v>　　2.本期增加金额</v>
      </c>
      <c r="C3184" s="2260">
        <f>报表附注!F3766</f>
        <v>0</v>
      </c>
    </row>
    <row r="3185" spans="2:3">
      <c r="B3185" s="2314" t="str">
        <f>报表附注!E3767</f>
        <v>　　（1）计提或摊销</v>
      </c>
      <c r="C3185" s="2260">
        <f>报表附注!F3767</f>
        <v>0</v>
      </c>
    </row>
    <row r="3186" spans="2:3">
      <c r="B3186" s="2314" t="str">
        <f>报表附注!E3768</f>
        <v>　　（2）固定资产\无形资产转入</v>
      </c>
      <c r="C3186" s="2260">
        <f>报表附注!F3768</f>
        <v>0</v>
      </c>
    </row>
    <row r="3187" spans="2:3">
      <c r="B3187" s="2314" t="str">
        <f>报表附注!E3769</f>
        <v>　　（3）企业合并增加</v>
      </c>
      <c r="C3187" s="2260">
        <f>报表附注!F3769</f>
        <v>0</v>
      </c>
    </row>
    <row r="3188" spans="2:3">
      <c r="B3188" s="2314" t="str">
        <f>报表附注!E3770</f>
        <v>　　3.本期减少金额</v>
      </c>
      <c r="C3188" s="2260">
        <f>报表附注!F3770</f>
        <v>0</v>
      </c>
    </row>
    <row r="3189" spans="2:3">
      <c r="B3189" s="2314" t="str">
        <f>报表附注!E3771</f>
        <v>　　（1）处置</v>
      </c>
      <c r="C3189" s="2260">
        <f>报表附注!F3771</f>
        <v>0</v>
      </c>
    </row>
    <row r="3190" spans="2:3">
      <c r="B3190" s="2314" t="str">
        <f>报表附注!E3772</f>
        <v>　　（2）其他转出</v>
      </c>
      <c r="C3190" s="2260">
        <f>报表附注!F3772</f>
        <v>0</v>
      </c>
    </row>
    <row r="3191" spans="2:3">
      <c r="B3191" s="2314" t="str">
        <f>报表附注!E3773</f>
        <v>　　（3）企业合并减少</v>
      </c>
      <c r="C3191" s="2260">
        <f>报表附注!F3773</f>
        <v>0</v>
      </c>
    </row>
    <row r="3192" spans="2:3">
      <c r="B3192" s="2314" t="str">
        <f>报表附注!E3774</f>
        <v>　　4.期末余额</v>
      </c>
      <c r="C3192" s="2260">
        <f>报表附注!F3774</f>
        <v>0</v>
      </c>
    </row>
    <row r="3193" spans="2:3">
      <c r="B3193" s="2314" t="str">
        <f>报表附注!E3775</f>
        <v>三、减值准备</v>
      </c>
      <c r="C3193" s="2260">
        <f>报表附注!F3775</f>
        <v>0</v>
      </c>
    </row>
    <row r="3194" spans="2:3">
      <c r="B3194" s="2314" t="str">
        <f>报表附注!E3776</f>
        <v>　　1.期初余额</v>
      </c>
      <c r="C3194" s="2260">
        <f>报表附注!F3776</f>
        <v>0</v>
      </c>
    </row>
    <row r="3195" spans="2:3">
      <c r="B3195" s="2314" t="str">
        <f>报表附注!E3777</f>
        <v>　　2.本期增加金额</v>
      </c>
      <c r="C3195" s="2260">
        <f>报表附注!F3777</f>
        <v>0</v>
      </c>
    </row>
    <row r="3196" spans="2:3">
      <c r="B3196" s="2314" t="str">
        <f>报表附注!E3778</f>
        <v>　　（1）计提</v>
      </c>
      <c r="C3196" s="2260">
        <f>报表附注!F3778</f>
        <v>0</v>
      </c>
    </row>
    <row r="3197" spans="2:3">
      <c r="B3197" s="2314">
        <f>报表附注!E3779</f>
        <v>0</v>
      </c>
      <c r="C3197" s="2260">
        <f>报表附注!F3779</f>
        <v>0</v>
      </c>
    </row>
    <row r="3198" spans="2:3">
      <c r="B3198" s="2314" t="str">
        <f>报表附注!E3780</f>
        <v>　　3、本期减少金额</v>
      </c>
      <c r="C3198" s="2260">
        <f>报表附注!F3780</f>
        <v>0</v>
      </c>
    </row>
    <row r="3199" spans="2:3">
      <c r="B3199" s="2314" t="str">
        <f>报表附注!E3781</f>
        <v>　　（1）处置</v>
      </c>
      <c r="C3199" s="2260">
        <f>报表附注!F3781</f>
        <v>0</v>
      </c>
    </row>
    <row r="3200" spans="2:3">
      <c r="B3200" s="2314" t="str">
        <f>报表附注!E3782</f>
        <v>　　（2）其他转出</v>
      </c>
      <c r="C3200" s="2260">
        <f>报表附注!F3782</f>
        <v>0</v>
      </c>
    </row>
    <row r="3201" spans="2:3">
      <c r="B3201" s="2314">
        <f>报表附注!E3783</f>
        <v>0</v>
      </c>
      <c r="C3201" s="2260">
        <f>报表附注!F3783</f>
        <v>0</v>
      </c>
    </row>
    <row r="3202" spans="2:3">
      <c r="B3202" s="2314" t="str">
        <f>报表附注!E3784</f>
        <v>　　4.期末余额</v>
      </c>
      <c r="C3202" s="2260">
        <f>报表附注!F3784</f>
        <v>0</v>
      </c>
    </row>
    <row r="3203" spans="2:3">
      <c r="B3203" s="2322" t="str">
        <f>报表附注!E3785</f>
        <v>四、账面价值</v>
      </c>
      <c r="C3203" s="2260">
        <f>报表附注!F3785</f>
        <v>0</v>
      </c>
    </row>
    <row r="3204" spans="2:3">
      <c r="B3204" s="2315" t="str">
        <f>报表附注!E3786</f>
        <v>　　1.期末账面价值</v>
      </c>
      <c r="C3204" s="2260">
        <f>报表附注!F3786</f>
        <v>0</v>
      </c>
    </row>
    <row r="3205" spans="2:3">
      <c r="B3205" s="2315" t="str">
        <f>报表附注!E3787</f>
        <v>　　2.期初账面价值</v>
      </c>
      <c r="C3205" s="2260">
        <f>报表附注!F3787</f>
        <v>0</v>
      </c>
    </row>
    <row r="3206" spans="2:3">
      <c r="B3206" s="2257" t="str">
        <f>报表附注!$G$3751</f>
        <v>土地使用权</v>
      </c>
      <c r="C3206" s="2316" t="str">
        <f>报表附注!G3751</f>
        <v>土地使用权</v>
      </c>
    </row>
    <row r="3207" spans="2:3">
      <c r="B3207" s="2253" t="str">
        <f>报表附注!E3752</f>
        <v>一、账面原值</v>
      </c>
      <c r="C3207" s="2260">
        <f>报表附注!G3752</f>
        <v>0</v>
      </c>
    </row>
    <row r="3208" spans="2:3">
      <c r="B3208" s="2253" t="str">
        <f>报表附注!E3753</f>
        <v>　　1.期初余额</v>
      </c>
      <c r="C3208" s="2260">
        <f>报表附注!G3753</f>
        <v>0</v>
      </c>
    </row>
    <row r="3209" spans="2:3">
      <c r="B3209" s="2253" t="str">
        <f>报表附注!E3754</f>
        <v>　　2.本期增加金额</v>
      </c>
      <c r="C3209" s="2260">
        <f>报表附注!G3754</f>
        <v>0</v>
      </c>
    </row>
    <row r="3210" spans="2:3">
      <c r="B3210" s="2253" t="str">
        <f>报表附注!E3755</f>
        <v>　　（1）外购</v>
      </c>
      <c r="C3210" s="2260">
        <f>报表附注!G3755</f>
        <v>0</v>
      </c>
    </row>
    <row r="3211" spans="2:3">
      <c r="B3211" s="2253" t="str">
        <f>报表附注!E3756</f>
        <v>　　（2）存货\固定资产\在建工程转入</v>
      </c>
      <c r="C3211" s="2260">
        <f>报表附注!G3756</f>
        <v>0</v>
      </c>
    </row>
    <row r="3212" spans="2:3">
      <c r="B3212" s="2253" t="str">
        <f>报表附注!E3757</f>
        <v>　　（3）企业合并增加</v>
      </c>
      <c r="C3212" s="2260">
        <f>报表附注!G3757</f>
        <v>0</v>
      </c>
    </row>
    <row r="3213" spans="2:3">
      <c r="B3213" s="2253">
        <f>报表附注!E3758</f>
        <v>0</v>
      </c>
      <c r="C3213" s="2260">
        <f>报表附注!G3758</f>
        <v>0</v>
      </c>
    </row>
    <row r="3214" spans="2:3">
      <c r="B3214" s="2253" t="str">
        <f>报表附注!E3759</f>
        <v>　　3.本期减少金额</v>
      </c>
      <c r="C3214" s="2260">
        <f>报表附注!G3759</f>
        <v>0</v>
      </c>
    </row>
    <row r="3215" spans="2:3">
      <c r="B3215" s="2253" t="str">
        <f>报表附注!E3760</f>
        <v>　　（1）处置</v>
      </c>
      <c r="C3215" s="2260">
        <f>报表附注!G3760</f>
        <v>0</v>
      </c>
    </row>
    <row r="3216" spans="2:3">
      <c r="B3216" s="2253" t="str">
        <f>报表附注!E3761</f>
        <v>　　（2）其他转出</v>
      </c>
      <c r="C3216" s="2260">
        <f>报表附注!G3761</f>
        <v>0</v>
      </c>
    </row>
    <row r="3217" spans="2:3">
      <c r="B3217" s="2253" t="str">
        <f>报表附注!E3762</f>
        <v>　　（3）企业合并减少</v>
      </c>
      <c r="C3217" s="2260">
        <f>报表附注!G3762</f>
        <v>0</v>
      </c>
    </row>
    <row r="3218" spans="2:3">
      <c r="B3218" s="2253" t="str">
        <f>报表附注!E3763</f>
        <v>　　4.期末余额</v>
      </c>
      <c r="C3218" s="2260">
        <f>报表附注!G3763</f>
        <v>0</v>
      </c>
    </row>
    <row r="3219" spans="2:3">
      <c r="B3219" s="2253" t="str">
        <f>报表附注!E3764</f>
        <v>二、累计折旧和累计摊销</v>
      </c>
      <c r="C3219" s="2260">
        <f>报表附注!G3764</f>
        <v>0</v>
      </c>
    </row>
    <row r="3220" spans="2:3">
      <c r="B3220" s="2253" t="str">
        <f>报表附注!E3765</f>
        <v>　　1.期初余额</v>
      </c>
      <c r="C3220" s="2260">
        <f>报表附注!G3765</f>
        <v>0</v>
      </c>
    </row>
    <row r="3221" spans="2:3">
      <c r="B3221" s="2253" t="str">
        <f>报表附注!E3766</f>
        <v>　　2.本期增加金额</v>
      </c>
      <c r="C3221" s="2260">
        <f>报表附注!G3766</f>
        <v>0</v>
      </c>
    </row>
    <row r="3222" spans="2:3">
      <c r="B3222" s="2253" t="str">
        <f>报表附注!E3767</f>
        <v>　　（1）计提或摊销</v>
      </c>
      <c r="C3222" s="2260">
        <f>报表附注!G3767</f>
        <v>0</v>
      </c>
    </row>
    <row r="3223" spans="2:3">
      <c r="B3223" s="2253" t="str">
        <f>报表附注!E3768</f>
        <v>　　（2）固定资产\无形资产转入</v>
      </c>
      <c r="C3223" s="2260">
        <f>报表附注!G3768</f>
        <v>0</v>
      </c>
    </row>
    <row r="3224" spans="2:3">
      <c r="B3224" s="2253" t="str">
        <f>报表附注!E3769</f>
        <v>　　（3）企业合并增加</v>
      </c>
      <c r="C3224" s="2260">
        <f>报表附注!G3769</f>
        <v>0</v>
      </c>
    </row>
    <row r="3225" spans="2:3">
      <c r="B3225" s="2253" t="str">
        <f>报表附注!E3770</f>
        <v>　　3.本期减少金额</v>
      </c>
      <c r="C3225" s="2260">
        <f>报表附注!G3770</f>
        <v>0</v>
      </c>
    </row>
    <row r="3226" spans="2:3">
      <c r="B3226" s="2253" t="str">
        <f>报表附注!E3771</f>
        <v>　　（1）处置</v>
      </c>
      <c r="C3226" s="2260">
        <f>报表附注!G3771</f>
        <v>0</v>
      </c>
    </row>
    <row r="3227" spans="2:3">
      <c r="B3227" s="2253" t="str">
        <f>报表附注!E3772</f>
        <v>　　（2）其他转出</v>
      </c>
      <c r="C3227" s="2260">
        <f>报表附注!G3772</f>
        <v>0</v>
      </c>
    </row>
    <row r="3228" spans="2:3">
      <c r="B3228" s="2253" t="str">
        <f>报表附注!E3773</f>
        <v>　　（3）企业合并减少</v>
      </c>
      <c r="C3228" s="2260">
        <f>报表附注!G3773</f>
        <v>0</v>
      </c>
    </row>
    <row r="3229" spans="2:3">
      <c r="B3229" s="2253" t="str">
        <f>报表附注!E3774</f>
        <v>　　4.期末余额</v>
      </c>
      <c r="C3229" s="2260">
        <f>报表附注!G3774</f>
        <v>0</v>
      </c>
    </row>
    <row r="3230" spans="2:3">
      <c r="B3230" s="2253" t="str">
        <f>报表附注!E3775</f>
        <v>三、减值准备</v>
      </c>
      <c r="C3230" s="2260">
        <f>报表附注!G3775</f>
        <v>0</v>
      </c>
    </row>
    <row r="3231" spans="2:3">
      <c r="B3231" s="2253" t="str">
        <f>报表附注!E3776</f>
        <v>　　1.期初余额</v>
      </c>
      <c r="C3231" s="2260">
        <f>报表附注!G3776</f>
        <v>0</v>
      </c>
    </row>
    <row r="3232" spans="2:3">
      <c r="B3232" s="2253" t="str">
        <f>报表附注!E3777</f>
        <v>　　2.本期增加金额</v>
      </c>
      <c r="C3232" s="2260">
        <f>报表附注!G3777</f>
        <v>0</v>
      </c>
    </row>
    <row r="3233" spans="2:3">
      <c r="B3233" s="2253" t="str">
        <f>报表附注!E3778</f>
        <v>　　（1）计提</v>
      </c>
      <c r="C3233" s="2260">
        <f>报表附注!G3778</f>
        <v>0</v>
      </c>
    </row>
    <row r="3234" spans="2:3">
      <c r="B3234" s="2253">
        <f>报表附注!E3779</f>
        <v>0</v>
      </c>
      <c r="C3234" s="2260">
        <f>报表附注!G3779</f>
        <v>0</v>
      </c>
    </row>
    <row r="3235" spans="2:3">
      <c r="B3235" s="2253" t="str">
        <f>报表附注!E3780</f>
        <v>　　3、本期减少金额</v>
      </c>
      <c r="C3235" s="2260">
        <f>报表附注!G3780</f>
        <v>0</v>
      </c>
    </row>
    <row r="3236" spans="2:3">
      <c r="B3236" s="2253" t="str">
        <f>报表附注!E3781</f>
        <v>　　（1）处置</v>
      </c>
      <c r="C3236" s="2260">
        <f>报表附注!G3781</f>
        <v>0</v>
      </c>
    </row>
    <row r="3237" spans="2:3">
      <c r="B3237" s="2253" t="str">
        <f>报表附注!E3782</f>
        <v>　　（2）其他转出</v>
      </c>
      <c r="C3237" s="2260">
        <f>报表附注!G3782</f>
        <v>0</v>
      </c>
    </row>
    <row r="3238" spans="2:3">
      <c r="B3238" s="2253">
        <f>报表附注!E3783</f>
        <v>0</v>
      </c>
      <c r="C3238" s="2260">
        <f>报表附注!G3783</f>
        <v>0</v>
      </c>
    </row>
    <row r="3239" spans="2:3">
      <c r="B3239" s="2253" t="str">
        <f>报表附注!E3784</f>
        <v>　　4.期末余额</v>
      </c>
      <c r="C3239" s="2260">
        <f>报表附注!G3784</f>
        <v>0</v>
      </c>
    </row>
    <row r="3240" spans="2:3">
      <c r="B3240" s="2253" t="str">
        <f>报表附注!E3785</f>
        <v>四、账面价值</v>
      </c>
      <c r="C3240" s="2260">
        <f>报表附注!G3785</f>
        <v>0</v>
      </c>
    </row>
    <row r="3241" spans="2:3">
      <c r="B3241" s="2263" t="str">
        <f>报表附注!E3786</f>
        <v>　　1.期末账面价值</v>
      </c>
      <c r="C3241" s="2260">
        <f>报表附注!G3786</f>
        <v>0</v>
      </c>
    </row>
    <row r="3242" spans="2:3">
      <c r="B3242" s="2263" t="str">
        <f>报表附注!E3787</f>
        <v>　　2.期初账面价值</v>
      </c>
      <c r="C3242" s="2260">
        <f>报表附注!G3787</f>
        <v>0</v>
      </c>
    </row>
    <row r="3243" spans="2:3">
      <c r="B3243" s="2257" t="str">
        <f>报表附注!$H$3751</f>
        <v>在建工程</v>
      </c>
      <c r="C3243" s="2316" t="str">
        <f>报表附注!H3751</f>
        <v>在建工程</v>
      </c>
    </row>
    <row r="3244" spans="2:3">
      <c r="B3244" s="2253" t="str">
        <f>报表附注!E3752</f>
        <v>一、账面原值</v>
      </c>
      <c r="C3244" s="2260">
        <f>报表附注!H3752</f>
        <v>0</v>
      </c>
    </row>
    <row r="3245" spans="2:3">
      <c r="B3245" s="2253" t="str">
        <f>报表附注!E3753</f>
        <v>　　1.期初余额</v>
      </c>
      <c r="C3245" s="2260">
        <f>报表附注!H3753</f>
        <v>0</v>
      </c>
    </row>
    <row r="3246" spans="2:3">
      <c r="B3246" s="2253" t="str">
        <f>报表附注!E3754</f>
        <v>　　2.本期增加金额</v>
      </c>
      <c r="C3246" s="2260">
        <f>报表附注!H3754</f>
        <v>0</v>
      </c>
    </row>
    <row r="3247" spans="2:3">
      <c r="B3247" s="2253" t="str">
        <f>报表附注!E3755</f>
        <v>　　（1）外购</v>
      </c>
      <c r="C3247" s="2260">
        <f>报表附注!H3755</f>
        <v>0</v>
      </c>
    </row>
    <row r="3248" spans="2:3">
      <c r="B3248" s="2253" t="str">
        <f>报表附注!E3756</f>
        <v>　　（2）存货\固定资产\在建工程转入</v>
      </c>
      <c r="C3248" s="2260">
        <f>报表附注!H3756</f>
        <v>0</v>
      </c>
    </row>
    <row r="3249" spans="2:3">
      <c r="B3249" s="2253" t="str">
        <f>报表附注!E3757</f>
        <v>　　（3）企业合并增加</v>
      </c>
      <c r="C3249" s="2260">
        <f>报表附注!H3757</f>
        <v>0</v>
      </c>
    </row>
    <row r="3250" spans="2:3">
      <c r="B3250" s="2253">
        <f>报表附注!E3758</f>
        <v>0</v>
      </c>
      <c r="C3250" s="2260">
        <f>报表附注!H3758</f>
        <v>0</v>
      </c>
    </row>
    <row r="3251" spans="2:3">
      <c r="B3251" s="2253" t="str">
        <f>报表附注!E3759</f>
        <v>　　3.本期减少金额</v>
      </c>
      <c r="C3251" s="2260">
        <f>报表附注!H3759</f>
        <v>0</v>
      </c>
    </row>
    <row r="3252" spans="2:3">
      <c r="B3252" s="2253" t="str">
        <f>报表附注!E3760</f>
        <v>　　（1）处置</v>
      </c>
      <c r="C3252" s="2260">
        <f>报表附注!H3760</f>
        <v>0</v>
      </c>
    </row>
    <row r="3253" spans="2:3">
      <c r="B3253" s="2253" t="str">
        <f>报表附注!E3761</f>
        <v>　　（2）其他转出</v>
      </c>
      <c r="C3253" s="2260">
        <f>报表附注!H3761</f>
        <v>0</v>
      </c>
    </row>
    <row r="3254" spans="2:3">
      <c r="B3254" s="2253" t="str">
        <f>报表附注!E3762</f>
        <v>　　（3）企业合并减少</v>
      </c>
      <c r="C3254" s="2260">
        <f>报表附注!H3762</f>
        <v>0</v>
      </c>
    </row>
    <row r="3255" spans="2:3">
      <c r="B3255" s="2253" t="str">
        <f>报表附注!E3763</f>
        <v>　　4.期末余额</v>
      </c>
      <c r="C3255" s="2260">
        <f>报表附注!H3763</f>
        <v>0</v>
      </c>
    </row>
    <row r="3256" spans="2:3">
      <c r="B3256" s="2253" t="str">
        <f>报表附注!E3764</f>
        <v>二、累计折旧和累计摊销</v>
      </c>
      <c r="C3256" s="2260">
        <f>报表附注!H3764</f>
        <v>0</v>
      </c>
    </row>
    <row r="3257" spans="2:3">
      <c r="B3257" s="2253" t="str">
        <f>报表附注!E3765</f>
        <v>　　1.期初余额</v>
      </c>
      <c r="C3257" s="2260">
        <f>报表附注!H3765</f>
        <v>0</v>
      </c>
    </row>
    <row r="3258" spans="2:3">
      <c r="B3258" s="2253" t="str">
        <f>报表附注!E3766</f>
        <v>　　2.本期增加金额</v>
      </c>
      <c r="C3258" s="2260">
        <f>报表附注!H3766</f>
        <v>0</v>
      </c>
    </row>
    <row r="3259" spans="2:3">
      <c r="B3259" s="2253" t="str">
        <f>报表附注!E3767</f>
        <v>　　（1）计提或摊销</v>
      </c>
      <c r="C3259" s="2260">
        <f>报表附注!H3767</f>
        <v>0</v>
      </c>
    </row>
    <row r="3260" spans="2:3">
      <c r="B3260" s="2253" t="str">
        <f>报表附注!E3768</f>
        <v>　　（2）固定资产\无形资产转入</v>
      </c>
      <c r="C3260" s="2260">
        <f>报表附注!H3768</f>
        <v>0</v>
      </c>
    </row>
    <row r="3261" spans="2:3">
      <c r="B3261" s="2253" t="str">
        <f>报表附注!E3769</f>
        <v>　　（3）企业合并增加</v>
      </c>
      <c r="C3261" s="2260">
        <f>报表附注!H3769</f>
        <v>0</v>
      </c>
    </row>
    <row r="3262" spans="2:3">
      <c r="B3262" s="2253" t="str">
        <f>报表附注!E3770</f>
        <v>　　3.本期减少金额</v>
      </c>
      <c r="C3262" s="2260">
        <f>报表附注!H3770</f>
        <v>0</v>
      </c>
    </row>
    <row r="3263" spans="2:3">
      <c r="B3263" s="2253" t="str">
        <f>报表附注!E3771</f>
        <v>　　（1）处置</v>
      </c>
      <c r="C3263" s="2260">
        <f>报表附注!H3771</f>
        <v>0</v>
      </c>
    </row>
    <row r="3264" spans="2:3">
      <c r="B3264" s="2253" t="str">
        <f>报表附注!E3772</f>
        <v>　　（2）其他转出</v>
      </c>
      <c r="C3264" s="2260">
        <f>报表附注!H3772</f>
        <v>0</v>
      </c>
    </row>
    <row r="3265" spans="2:3">
      <c r="B3265" s="2253" t="str">
        <f>报表附注!E3773</f>
        <v>　　（3）企业合并减少</v>
      </c>
      <c r="C3265" s="2260">
        <f>报表附注!H3773</f>
        <v>0</v>
      </c>
    </row>
    <row r="3266" spans="2:3">
      <c r="B3266" s="2253" t="str">
        <f>报表附注!E3774</f>
        <v>　　4.期末余额</v>
      </c>
      <c r="C3266" s="2260">
        <f>报表附注!H3774</f>
        <v>0</v>
      </c>
    </row>
    <row r="3267" spans="2:3">
      <c r="B3267" s="2253" t="str">
        <f>报表附注!E3775</f>
        <v>三、减值准备</v>
      </c>
      <c r="C3267" s="2260">
        <f>报表附注!H3775</f>
        <v>0</v>
      </c>
    </row>
    <row r="3268" spans="2:3">
      <c r="B3268" s="2253" t="str">
        <f>报表附注!E3776</f>
        <v>　　1.期初余额</v>
      </c>
      <c r="C3268" s="2260">
        <f>报表附注!H3776</f>
        <v>0</v>
      </c>
    </row>
    <row r="3269" spans="2:3">
      <c r="B3269" s="2253" t="str">
        <f>报表附注!E3777</f>
        <v>　　2.本期增加金额</v>
      </c>
      <c r="C3269" s="2260">
        <f>报表附注!H3777</f>
        <v>0</v>
      </c>
    </row>
    <row r="3270" spans="2:3">
      <c r="B3270" s="2253" t="str">
        <f>报表附注!E3778</f>
        <v>　　（1）计提</v>
      </c>
      <c r="C3270" s="2260">
        <f>报表附注!H3778</f>
        <v>0</v>
      </c>
    </row>
    <row r="3271" spans="2:3">
      <c r="B3271" s="2253">
        <f>报表附注!E3779</f>
        <v>0</v>
      </c>
      <c r="C3271" s="2260">
        <f>报表附注!H3779</f>
        <v>0</v>
      </c>
    </row>
    <row r="3272" spans="2:3">
      <c r="B3272" s="2253" t="str">
        <f>报表附注!E3780</f>
        <v>　　3、本期减少金额</v>
      </c>
      <c r="C3272" s="2260">
        <f>报表附注!H3780</f>
        <v>0</v>
      </c>
    </row>
    <row r="3273" spans="2:3">
      <c r="B3273" s="2253" t="str">
        <f>报表附注!E3781</f>
        <v>　　（1）处置</v>
      </c>
      <c r="C3273" s="2260">
        <f>报表附注!H3781</f>
        <v>0</v>
      </c>
    </row>
    <row r="3274" spans="2:3">
      <c r="B3274" s="2253" t="str">
        <f>报表附注!E3782</f>
        <v>　　（2）其他转出</v>
      </c>
      <c r="C3274" s="2260">
        <f>报表附注!H3782</f>
        <v>0</v>
      </c>
    </row>
    <row r="3275" spans="2:3">
      <c r="B3275" s="2253">
        <f>报表附注!E3783</f>
        <v>0</v>
      </c>
      <c r="C3275" s="2260">
        <f>报表附注!H3783</f>
        <v>0</v>
      </c>
    </row>
    <row r="3276" spans="2:3">
      <c r="B3276" s="2253" t="str">
        <f>报表附注!E3784</f>
        <v>　　4.期末余额</v>
      </c>
      <c r="C3276" s="2260">
        <f>报表附注!H3784</f>
        <v>0</v>
      </c>
    </row>
    <row r="3277" spans="2:3">
      <c r="B3277" s="2253" t="str">
        <f>报表附注!E3785</f>
        <v>四、账面价值</v>
      </c>
      <c r="C3277" s="2260">
        <f>报表附注!H3785</f>
        <v>0</v>
      </c>
    </row>
    <row r="3278" spans="2:3">
      <c r="B3278" s="2263" t="str">
        <f>报表附注!E3786</f>
        <v>　　1.期末账面价值</v>
      </c>
      <c r="C3278" s="2260">
        <f>报表附注!H3786</f>
        <v>0</v>
      </c>
    </row>
    <row r="3279" spans="2:3">
      <c r="B3279" s="2263" t="str">
        <f>报表附注!E3787</f>
        <v>　　2.期初账面价值</v>
      </c>
      <c r="C3279" s="2260">
        <f>报表附注!H3787</f>
        <v>0</v>
      </c>
    </row>
    <row r="3280" spans="2:3">
      <c r="B3280" s="2257" t="str">
        <f>报表附注!$I$3751</f>
        <v>合计</v>
      </c>
      <c r="C3280" s="2316" t="str">
        <f>报表附注!I3751</f>
        <v>合计</v>
      </c>
    </row>
    <row r="3281" spans="2:3">
      <c r="B3281" s="2253" t="str">
        <f>报表附注!E3752</f>
        <v>一、账面原值</v>
      </c>
      <c r="C3281" s="2260">
        <f>报表附注!I3752</f>
        <v>0</v>
      </c>
    </row>
    <row r="3282" spans="2:3">
      <c r="B3282" s="2253" t="str">
        <f>报表附注!E3753</f>
        <v>　　1.期初余额</v>
      </c>
      <c r="C3282" s="2260">
        <f>报表附注!I3753</f>
        <v>0</v>
      </c>
    </row>
    <row r="3283" spans="2:3">
      <c r="B3283" s="2253" t="str">
        <f>报表附注!E3754</f>
        <v>　　2.本期增加金额</v>
      </c>
      <c r="C3283" s="2260">
        <f>报表附注!I3754</f>
        <v>0</v>
      </c>
    </row>
    <row r="3284" spans="2:3">
      <c r="B3284" s="2253" t="str">
        <f>报表附注!E3755</f>
        <v>　　（1）外购</v>
      </c>
      <c r="C3284" s="2260">
        <f>报表附注!I3755</f>
        <v>0</v>
      </c>
    </row>
    <row r="3285" spans="2:3">
      <c r="B3285" s="2253" t="str">
        <f>报表附注!E3756</f>
        <v>　　（2）存货\固定资产\在建工程转入</v>
      </c>
      <c r="C3285" s="2260">
        <f>报表附注!I3756</f>
        <v>0</v>
      </c>
    </row>
    <row r="3286" spans="2:3">
      <c r="B3286" s="2253" t="str">
        <f>报表附注!E3757</f>
        <v>　　（3）企业合并增加</v>
      </c>
      <c r="C3286" s="2260">
        <f>报表附注!I3757</f>
        <v>0</v>
      </c>
    </row>
    <row r="3287" spans="2:3">
      <c r="B3287" s="2253">
        <f>报表附注!E3758</f>
        <v>0</v>
      </c>
      <c r="C3287" s="2260">
        <f>报表附注!I3758</f>
        <v>0</v>
      </c>
    </row>
    <row r="3288" spans="2:3">
      <c r="B3288" s="2253" t="str">
        <f>报表附注!E3759</f>
        <v>　　3.本期减少金额</v>
      </c>
      <c r="C3288" s="2260">
        <f>报表附注!I3759</f>
        <v>0</v>
      </c>
    </row>
    <row r="3289" spans="2:3">
      <c r="B3289" s="2253" t="str">
        <f>报表附注!E3760</f>
        <v>　　（1）处置</v>
      </c>
      <c r="C3289" s="2260">
        <f>报表附注!I3760</f>
        <v>0</v>
      </c>
    </row>
    <row r="3290" spans="2:3">
      <c r="B3290" s="2253" t="str">
        <f>报表附注!E3761</f>
        <v>　　（2）其他转出</v>
      </c>
      <c r="C3290" s="2260">
        <f>报表附注!I3761</f>
        <v>0</v>
      </c>
    </row>
    <row r="3291" spans="2:3">
      <c r="B3291" s="2253" t="str">
        <f>报表附注!E3762</f>
        <v>　　（3）企业合并减少</v>
      </c>
      <c r="C3291" s="2260">
        <f>报表附注!I3762</f>
        <v>0</v>
      </c>
    </row>
    <row r="3292" spans="2:3">
      <c r="B3292" s="2253" t="str">
        <f>报表附注!E3763</f>
        <v>　　4.期末余额</v>
      </c>
      <c r="C3292" s="2260">
        <f>报表附注!I3763</f>
        <v>0</v>
      </c>
    </row>
    <row r="3293" spans="2:3">
      <c r="B3293" s="2253" t="str">
        <f>报表附注!E3764</f>
        <v>二、累计折旧和累计摊销</v>
      </c>
      <c r="C3293" s="2260">
        <f>报表附注!I3764</f>
        <v>0</v>
      </c>
    </row>
    <row r="3294" spans="2:3">
      <c r="B3294" s="2253" t="str">
        <f>报表附注!E3765</f>
        <v>　　1.期初余额</v>
      </c>
      <c r="C3294" s="2260">
        <f>报表附注!I3765</f>
        <v>0</v>
      </c>
    </row>
    <row r="3295" spans="2:3">
      <c r="B3295" s="2253" t="str">
        <f>报表附注!E3766</f>
        <v>　　2.本期增加金额</v>
      </c>
      <c r="C3295" s="2260">
        <f>报表附注!I3766</f>
        <v>0</v>
      </c>
    </row>
    <row r="3296" spans="2:3">
      <c r="B3296" s="2253" t="str">
        <f>报表附注!E3767</f>
        <v>　　（1）计提或摊销</v>
      </c>
      <c r="C3296" s="2260">
        <f>报表附注!I3767</f>
        <v>0</v>
      </c>
    </row>
    <row r="3297" spans="2:3">
      <c r="B3297" s="2253" t="str">
        <f>报表附注!E3768</f>
        <v>　　（2）固定资产\无形资产转入</v>
      </c>
      <c r="C3297" s="2260">
        <f>报表附注!I3768</f>
        <v>0</v>
      </c>
    </row>
    <row r="3298" spans="2:3">
      <c r="B3298" s="2253" t="str">
        <f>报表附注!E3769</f>
        <v>　　（3）企业合并增加</v>
      </c>
      <c r="C3298" s="2260">
        <f>报表附注!I3769</f>
        <v>0</v>
      </c>
    </row>
    <row r="3299" spans="2:3">
      <c r="B3299" s="2253" t="str">
        <f>报表附注!E3770</f>
        <v>　　3.本期减少金额</v>
      </c>
      <c r="C3299" s="2260">
        <f>报表附注!I3770</f>
        <v>0</v>
      </c>
    </row>
    <row r="3300" spans="2:3">
      <c r="B3300" s="2253" t="str">
        <f>报表附注!E3771</f>
        <v>　　（1）处置</v>
      </c>
      <c r="C3300" s="2260">
        <f>报表附注!I3771</f>
        <v>0</v>
      </c>
    </row>
    <row r="3301" spans="2:3">
      <c r="B3301" s="2253" t="str">
        <f>报表附注!E3772</f>
        <v>　　（2）其他转出</v>
      </c>
      <c r="C3301" s="2260">
        <f>报表附注!I3772</f>
        <v>0</v>
      </c>
    </row>
    <row r="3302" spans="2:3">
      <c r="B3302" s="2253" t="str">
        <f>报表附注!E3773</f>
        <v>　　（3）企业合并减少</v>
      </c>
      <c r="C3302" s="2260">
        <f>报表附注!I3773</f>
        <v>0</v>
      </c>
    </row>
    <row r="3303" spans="2:3">
      <c r="B3303" s="2253" t="str">
        <f>报表附注!E3774</f>
        <v>　　4.期末余额</v>
      </c>
      <c r="C3303" s="2260">
        <f>报表附注!I3774</f>
        <v>0</v>
      </c>
    </row>
    <row r="3304" spans="2:3">
      <c r="B3304" s="2253" t="str">
        <f>报表附注!E3775</f>
        <v>三、减值准备</v>
      </c>
      <c r="C3304" s="2260">
        <f>报表附注!I3775</f>
        <v>0</v>
      </c>
    </row>
    <row r="3305" spans="2:3">
      <c r="B3305" s="2253" t="str">
        <f>报表附注!E3776</f>
        <v>　　1.期初余额</v>
      </c>
      <c r="C3305" s="2260">
        <f>报表附注!I3776</f>
        <v>0</v>
      </c>
    </row>
    <row r="3306" spans="2:3">
      <c r="B3306" s="2253" t="str">
        <f>报表附注!E3777</f>
        <v>　　2.本期增加金额</v>
      </c>
      <c r="C3306" s="2260">
        <f>报表附注!I3777</f>
        <v>0</v>
      </c>
    </row>
    <row r="3307" spans="2:3">
      <c r="B3307" s="2253" t="str">
        <f>报表附注!E3778</f>
        <v>　　（1）计提</v>
      </c>
      <c r="C3307" s="2260">
        <f>报表附注!I3778</f>
        <v>0</v>
      </c>
    </row>
    <row r="3308" spans="2:3">
      <c r="B3308" s="2314">
        <f>报表附注!E3779</f>
        <v>0</v>
      </c>
      <c r="C3308" s="2260">
        <f>报表附注!I3779</f>
        <v>0</v>
      </c>
    </row>
    <row r="3309" spans="2:3">
      <c r="B3309" s="2314" t="str">
        <f>报表附注!E3780</f>
        <v>　　3、本期减少金额</v>
      </c>
      <c r="C3309" s="2260">
        <f>报表附注!I3780</f>
        <v>0</v>
      </c>
    </row>
    <row r="3310" spans="2:3">
      <c r="B3310" s="2314" t="str">
        <f>报表附注!E3781</f>
        <v>　　（1）处置</v>
      </c>
      <c r="C3310" s="2260">
        <f>报表附注!I3781</f>
        <v>0</v>
      </c>
    </row>
    <row r="3311" spans="2:3">
      <c r="B3311" s="2314" t="str">
        <f>报表附注!E3782</f>
        <v>　　（2）其他转出</v>
      </c>
      <c r="C3311" s="2260">
        <f>报表附注!I3782</f>
        <v>0</v>
      </c>
    </row>
    <row r="3312" spans="2:3">
      <c r="B3312" s="2314">
        <f>报表附注!E3783</f>
        <v>0</v>
      </c>
      <c r="C3312" s="2260">
        <f>报表附注!I3783</f>
        <v>0</v>
      </c>
    </row>
    <row r="3313" spans="2:3">
      <c r="B3313" s="2253" t="str">
        <f>报表附注!E3784</f>
        <v>　　4.期末余额</v>
      </c>
      <c r="C3313" s="2260">
        <f>报表附注!I3784</f>
        <v>0</v>
      </c>
    </row>
    <row r="3314" spans="2:3">
      <c r="B3314" s="2308" t="str">
        <f>报表附注!E3785</f>
        <v>四、账面价值</v>
      </c>
      <c r="C3314" s="2260">
        <f>报表附注!I3785</f>
        <v>0</v>
      </c>
    </row>
    <row r="3315" spans="2:3">
      <c r="B3315" s="2263" t="str">
        <f>报表附注!E3786</f>
        <v>　　1.期末账面价值</v>
      </c>
      <c r="C3315" s="2260">
        <f>报表附注!I3786</f>
        <v>0</v>
      </c>
    </row>
    <row r="3316" spans="2:3">
      <c r="B3316" s="2263" t="str">
        <f>报表附注!E3787</f>
        <v>　　2.期初账面价值</v>
      </c>
      <c r="C3316" s="2260">
        <f>报表附注!I3787</f>
        <v>0</v>
      </c>
    </row>
    <row r="3318" spans="2:2">
      <c r="B3318" s="2257" t="str">
        <f>报表附注!$E$3795</f>
        <v>(十七)固定资产-披露表</v>
      </c>
    </row>
    <row r="3319" spans="2:3">
      <c r="B3319" s="2257" t="str">
        <f>报表附注!$F$3796</f>
        <v>节能服务资产</v>
      </c>
      <c r="C3319" s="2316" t="str">
        <f>报表附注!F3796</f>
        <v>节能服务资产</v>
      </c>
    </row>
    <row r="3320" spans="2:3">
      <c r="B3320" s="2253" t="str">
        <f>报表附注!E3797</f>
        <v>一、账面原值：</v>
      </c>
      <c r="C3320" s="2260">
        <f>报表附注!F3797</f>
        <v>0</v>
      </c>
    </row>
    <row r="3321" spans="2:3">
      <c r="B3321" s="2253" t="str">
        <f>报表附注!E3798</f>
        <v>　　1.期初余额</v>
      </c>
      <c r="C3321" s="2260">
        <f>报表附注!F3798</f>
        <v>81847437.29</v>
      </c>
    </row>
    <row r="3322" spans="2:3">
      <c r="B3322" s="2253" t="str">
        <f>报表附注!E3799</f>
        <v>　　2.本期增加金额</v>
      </c>
      <c r="C3322" s="2260">
        <f>报表附注!F3799</f>
        <v>6792196.69</v>
      </c>
    </row>
    <row r="3323" spans="2:3">
      <c r="B3323" s="2253" t="str">
        <f>报表附注!E3800</f>
        <v>　　　（1）购置</v>
      </c>
      <c r="C3323" s="2260">
        <f>报表附注!F3800</f>
        <v>0</v>
      </c>
    </row>
    <row r="3324" spans="2:3">
      <c r="B3324" s="2253" t="str">
        <f>报表附注!E3801</f>
        <v>　　　（2）在建工程转入</v>
      </c>
      <c r="C3324" s="2260">
        <f>报表附注!F3801</f>
        <v>6792196.69</v>
      </c>
    </row>
    <row r="3325" spans="2:3">
      <c r="B3325" s="2253" t="str">
        <f>报表附注!E3802</f>
        <v>　　　（3）企业合并增加</v>
      </c>
      <c r="C3325" s="2260">
        <f>报表附注!F3802</f>
        <v>0</v>
      </c>
    </row>
    <row r="3326" spans="2:3">
      <c r="B3326" s="2253" t="str">
        <f>报表附注!E3803</f>
        <v>　　　（4）投资性房地产转回</v>
      </c>
      <c r="C3326" s="2260">
        <f>报表附注!F3803</f>
        <v>0</v>
      </c>
    </row>
    <row r="3327" spans="2:3">
      <c r="B3327" s="2253" t="str">
        <f>报表附注!E3804</f>
        <v>　　　（5）业务并购</v>
      </c>
      <c r="C3327" s="2260">
        <f>报表附注!F3804</f>
        <v>0</v>
      </c>
    </row>
    <row r="3328" spans="2:3">
      <c r="B3328" s="2253" t="str">
        <f>报表附注!E3805</f>
        <v>　　　（6）其他</v>
      </c>
      <c r="C3328" s="2260">
        <f>报表附注!F3805</f>
        <v>0</v>
      </c>
    </row>
    <row r="3329" spans="2:3">
      <c r="B3329" s="2253" t="str">
        <f>报表附注!E3806</f>
        <v>　　3.本期减少金额</v>
      </c>
      <c r="C3329" s="2260">
        <f>报表附注!F3806</f>
        <v>0</v>
      </c>
    </row>
    <row r="3330" spans="2:3">
      <c r="B3330" s="2253" t="str">
        <f>报表附注!E3807</f>
        <v>　　　（1）处置或报废</v>
      </c>
      <c r="C3330" s="2260">
        <f>报表附注!F3807</f>
        <v>0</v>
      </c>
    </row>
    <row r="3331" spans="2:3">
      <c r="B3331" s="2253" t="str">
        <f>报表附注!E3808</f>
        <v>　　　（2）转入投资性房地产</v>
      </c>
      <c r="C3331" s="2260">
        <f>报表附注!F3808</f>
        <v>0</v>
      </c>
    </row>
    <row r="3332" spans="2:3">
      <c r="B3332" s="2253" t="str">
        <f>报表附注!E3809</f>
        <v>      （3）企业合并减少</v>
      </c>
      <c r="C3332" s="2260">
        <f>报表附注!F3809</f>
        <v>0</v>
      </c>
    </row>
    <row r="3333" spans="2:3">
      <c r="B3333" s="2253" t="str">
        <f>报表附注!E3810</f>
        <v>      （4）其他减少</v>
      </c>
      <c r="C3333" s="2260">
        <f>报表附注!F3810</f>
        <v>0</v>
      </c>
    </row>
    <row r="3334" spans="2:3">
      <c r="B3334" s="2253" t="str">
        <f>报表附注!E3811</f>
        <v>　　4.期末余额</v>
      </c>
      <c r="C3334" s="2260">
        <f>报表附注!F3811</f>
        <v>88639633.98</v>
      </c>
    </row>
    <row r="3335" spans="2:3">
      <c r="B3335" s="2253" t="str">
        <f>报表附注!E3812</f>
        <v>二、累计折旧</v>
      </c>
      <c r="C3335" s="2260">
        <f>报表附注!F3812</f>
        <v>0</v>
      </c>
    </row>
    <row r="3336" spans="2:3">
      <c r="B3336" s="2253" t="str">
        <f>报表附注!E3813</f>
        <v>　　1.期初余额</v>
      </c>
      <c r="C3336" s="2260">
        <f>报表附注!F3813</f>
        <v>15277280.8</v>
      </c>
    </row>
    <row r="3337" spans="2:3">
      <c r="B3337" s="2253" t="str">
        <f>报表附注!E3814</f>
        <v>　　2.本期增加金额</v>
      </c>
      <c r="C3337" s="2260">
        <f>报表附注!F3814</f>
        <v>10829306.89</v>
      </c>
    </row>
    <row r="3338" spans="2:3">
      <c r="B3338" s="2253" t="str">
        <f>报表附注!E3815</f>
        <v>　　　（1）计提</v>
      </c>
      <c r="C3338" s="2260">
        <f>报表附注!F3815</f>
        <v>10829306.89</v>
      </c>
    </row>
    <row r="3339" spans="2:3">
      <c r="B3339" s="2253" t="str">
        <f>报表附注!E3816</f>
        <v>      （2）企业合并增加</v>
      </c>
      <c r="C3339" s="2260">
        <f>报表附注!F3816</f>
        <v>0</v>
      </c>
    </row>
    <row r="3340" spans="2:3">
      <c r="B3340" s="2253" t="str">
        <f>报表附注!E3817</f>
        <v>　　　（3）投资性房地产转回</v>
      </c>
      <c r="C3340" s="2260">
        <f>报表附注!F3817</f>
        <v>0</v>
      </c>
    </row>
    <row r="3341" spans="2:3">
      <c r="B3341" s="2253" t="str">
        <f>报表附注!E3818</f>
        <v>　　　（4）其他转入</v>
      </c>
      <c r="C3341" s="2260">
        <f>报表附注!F3818</f>
        <v>0</v>
      </c>
    </row>
    <row r="3342" spans="2:3">
      <c r="B3342" s="2253" t="str">
        <f>报表附注!E3819</f>
        <v>　　3.本期减少金额</v>
      </c>
      <c r="C3342" s="2260">
        <f>报表附注!F3819</f>
        <v>0</v>
      </c>
    </row>
    <row r="3343" spans="2:3">
      <c r="B3343" s="2253" t="str">
        <f>报表附注!E3820</f>
        <v>　　　（1）处置或报废</v>
      </c>
      <c r="C3343" s="2260">
        <f>报表附注!F3820</f>
        <v>0</v>
      </c>
    </row>
    <row r="3344" spans="2:3">
      <c r="B3344" s="2253" t="str">
        <f>报表附注!E3821</f>
        <v>　　　（2）转入投资性房地产</v>
      </c>
      <c r="C3344" s="2260">
        <f>报表附注!F3821</f>
        <v>0</v>
      </c>
    </row>
    <row r="3345" spans="2:3">
      <c r="B3345" s="2253" t="str">
        <f>报表附注!E3822</f>
        <v>      （3）企业合并减少</v>
      </c>
      <c r="C3345" s="2260">
        <f>报表附注!F3822</f>
        <v>0</v>
      </c>
    </row>
    <row r="3346" spans="2:3">
      <c r="B3346" s="2253" t="str">
        <f>报表附注!E3823</f>
        <v>　　　（4）其他转出</v>
      </c>
      <c r="C3346" s="2260">
        <f>报表附注!F3823</f>
        <v>0</v>
      </c>
    </row>
    <row r="3347" spans="2:3">
      <c r="B3347" s="2253" t="str">
        <f>报表附注!E3824</f>
        <v>　　4.期末余额</v>
      </c>
      <c r="C3347" s="2260">
        <f>报表附注!F3824</f>
        <v>26106587.69</v>
      </c>
    </row>
    <row r="3348" spans="2:3">
      <c r="B3348" s="2253" t="str">
        <f>报表附注!E3825</f>
        <v>三、减值准备</v>
      </c>
      <c r="C3348" s="2260">
        <f>报表附注!F3825</f>
        <v>0</v>
      </c>
    </row>
    <row r="3349" spans="2:3">
      <c r="B3349" s="2253" t="str">
        <f>报表附注!E3826</f>
        <v>　　1.期初余额</v>
      </c>
      <c r="C3349" s="2260">
        <f>报表附注!F3826</f>
        <v>0</v>
      </c>
    </row>
    <row r="3350" spans="2:3">
      <c r="B3350" s="2253" t="str">
        <f>报表附注!E3827</f>
        <v>　　2.本期增加金额</v>
      </c>
      <c r="C3350" s="2260">
        <f>报表附注!F3827</f>
        <v>0</v>
      </c>
    </row>
    <row r="3351" spans="2:3">
      <c r="B3351" s="2253" t="str">
        <f>报表附注!E3828</f>
        <v>　　　（1）计提</v>
      </c>
      <c r="C3351" s="2260">
        <f>报表附注!F3828</f>
        <v>0</v>
      </c>
    </row>
    <row r="3352" spans="2:3">
      <c r="B3352" s="2253">
        <f>报表附注!E3829</f>
        <v>0</v>
      </c>
      <c r="C3352" s="2260">
        <f>报表附注!F3829</f>
        <v>0</v>
      </c>
    </row>
    <row r="3353" spans="2:3">
      <c r="B3353" s="2253" t="str">
        <f>报表附注!E3830</f>
        <v>　　3.本期减少金额</v>
      </c>
      <c r="C3353" s="2260">
        <f>报表附注!F3830</f>
        <v>0</v>
      </c>
    </row>
    <row r="3354" spans="2:3">
      <c r="B3354" s="2253" t="str">
        <f>报表附注!E3831</f>
        <v>　　　（1）处置或报废</v>
      </c>
      <c r="C3354" s="2260">
        <f>报表附注!F3831</f>
        <v>0</v>
      </c>
    </row>
    <row r="3355" spans="2:3">
      <c r="B3355" s="2253">
        <f>报表附注!E3832</f>
        <v>0</v>
      </c>
      <c r="C3355" s="2260">
        <f>报表附注!F3832</f>
        <v>0</v>
      </c>
    </row>
    <row r="3356" spans="2:3">
      <c r="B3356" s="2253" t="str">
        <f>报表附注!E3833</f>
        <v>　　4.期末余额</v>
      </c>
      <c r="C3356" s="2260">
        <f>报表附注!F3833</f>
        <v>0</v>
      </c>
    </row>
    <row r="3357" spans="2:3">
      <c r="B3357" s="2253" t="str">
        <f>报表附注!E3834</f>
        <v>四、账面价值</v>
      </c>
      <c r="C3357" s="2260">
        <f>报表附注!F3834</f>
        <v>0</v>
      </c>
    </row>
    <row r="3358" spans="2:3">
      <c r="B3358" s="2263" t="str">
        <f>报表附注!E3835</f>
        <v>　　1.期末账面价值</v>
      </c>
      <c r="C3358" s="2260">
        <f>报表附注!F3835</f>
        <v>62533046.29</v>
      </c>
    </row>
    <row r="3359" spans="2:3">
      <c r="B3359" s="2263" t="str">
        <f>报表附注!E3836</f>
        <v>　　2.期初账面价值</v>
      </c>
      <c r="C3359" s="2260">
        <f>报表附注!F3836</f>
        <v>66570156.49</v>
      </c>
    </row>
    <row r="3360" spans="2:3">
      <c r="B3360" s="2257" t="str">
        <f>报表附注!$G$3796</f>
        <v>机器设备</v>
      </c>
      <c r="C3360" s="2316" t="str">
        <f>报表附注!G3796</f>
        <v>机器设备</v>
      </c>
    </row>
    <row r="3361" spans="2:3">
      <c r="B3361" s="2253" t="str">
        <f>报表附注!E3797</f>
        <v>一、账面原值：</v>
      </c>
      <c r="C3361" s="2316">
        <f>报表附注!G3797</f>
        <v>0</v>
      </c>
    </row>
    <row r="3362" spans="2:3">
      <c r="B3362" s="2253" t="str">
        <f>报表附注!E3798</f>
        <v>　　1.期初余额</v>
      </c>
      <c r="C3362" s="2260">
        <f>报表附注!G3798</f>
        <v>300000</v>
      </c>
    </row>
    <row r="3363" spans="2:3">
      <c r="B3363" s="2253" t="str">
        <f>报表附注!E3799</f>
        <v>　　2.本期增加金额</v>
      </c>
      <c r="C3363" s="2260">
        <f>报表附注!G3799</f>
        <v>0</v>
      </c>
    </row>
    <row r="3364" spans="2:3">
      <c r="B3364" s="2253" t="str">
        <f>报表附注!E3800</f>
        <v>　　　（1）购置</v>
      </c>
      <c r="C3364" s="2260">
        <f>报表附注!G3800</f>
        <v>0</v>
      </c>
    </row>
    <row r="3365" spans="2:3">
      <c r="B3365" s="2253" t="str">
        <f>报表附注!E3801</f>
        <v>　　　（2）在建工程转入</v>
      </c>
      <c r="C3365" s="2260">
        <f>报表附注!G3801</f>
        <v>0</v>
      </c>
    </row>
    <row r="3366" spans="2:3">
      <c r="B3366" s="2253" t="str">
        <f>报表附注!E3802</f>
        <v>　　　（3）企业合并增加</v>
      </c>
      <c r="C3366" s="2260">
        <f>报表附注!G3802</f>
        <v>0</v>
      </c>
    </row>
    <row r="3367" spans="2:3">
      <c r="B3367" s="2253" t="str">
        <f>报表附注!E3803</f>
        <v>　　　（4）投资性房地产转回</v>
      </c>
      <c r="C3367" s="2260">
        <f>报表附注!G3803</f>
        <v>0</v>
      </c>
    </row>
    <row r="3368" spans="2:3">
      <c r="B3368" s="2253" t="str">
        <f>报表附注!E3804</f>
        <v>　　　（5）业务并购</v>
      </c>
      <c r="C3368" s="2260">
        <f>报表附注!G3804</f>
        <v>0</v>
      </c>
    </row>
    <row r="3369" spans="2:3">
      <c r="B3369" s="2253" t="str">
        <f>报表附注!E3805</f>
        <v>　　　（6）其他</v>
      </c>
      <c r="C3369" s="2260">
        <f>报表附注!G3805</f>
        <v>0</v>
      </c>
    </row>
    <row r="3370" spans="2:3">
      <c r="B3370" s="2253" t="str">
        <f>报表附注!E3806</f>
        <v>　　3.本期减少金额</v>
      </c>
      <c r="C3370" s="2260">
        <f>报表附注!G3806</f>
        <v>0</v>
      </c>
    </row>
    <row r="3371" spans="2:3">
      <c r="B3371" s="2253" t="str">
        <f>报表附注!E3807</f>
        <v>　　　（1）处置或报废</v>
      </c>
      <c r="C3371" s="2260">
        <f>报表附注!G3807</f>
        <v>0</v>
      </c>
    </row>
    <row r="3372" spans="2:3">
      <c r="B3372" s="2253" t="str">
        <f>报表附注!E3808</f>
        <v>　　　（2）转入投资性房地产</v>
      </c>
      <c r="C3372" s="2260">
        <f>报表附注!G3808</f>
        <v>0</v>
      </c>
    </row>
    <row r="3373" spans="2:3">
      <c r="B3373" s="2253" t="str">
        <f>报表附注!E3809</f>
        <v>      （3）企业合并减少</v>
      </c>
      <c r="C3373" s="2260">
        <f>报表附注!G3809</f>
        <v>0</v>
      </c>
    </row>
    <row r="3374" spans="2:3">
      <c r="B3374" s="2253" t="str">
        <f>报表附注!E3810</f>
        <v>      （4）其他减少</v>
      </c>
      <c r="C3374" s="2260">
        <f>报表附注!G3810</f>
        <v>0</v>
      </c>
    </row>
    <row r="3375" spans="2:3">
      <c r="B3375" s="2253" t="str">
        <f>报表附注!E3811</f>
        <v>　　4.期末余额</v>
      </c>
      <c r="C3375" s="2260">
        <f>报表附注!G3811</f>
        <v>300000</v>
      </c>
    </row>
    <row r="3376" spans="2:3">
      <c r="B3376" s="2253" t="str">
        <f>报表附注!E3812</f>
        <v>二、累计折旧</v>
      </c>
      <c r="C3376" s="2260">
        <f>报表附注!G3812</f>
        <v>0</v>
      </c>
    </row>
    <row r="3377" spans="2:3">
      <c r="B3377" s="2253" t="str">
        <f>报表附注!E3813</f>
        <v>　　1.期初余额</v>
      </c>
      <c r="C3377" s="2260">
        <f>报表附注!G3813</f>
        <v>78375</v>
      </c>
    </row>
    <row r="3378" spans="2:3">
      <c r="B3378" s="2253" t="str">
        <f>报表附注!E3814</f>
        <v>　　2.本期增加金额</v>
      </c>
      <c r="C3378" s="2260">
        <f>报表附注!G3814</f>
        <v>28500</v>
      </c>
    </row>
    <row r="3379" spans="2:3">
      <c r="B3379" s="2253" t="str">
        <f>报表附注!E3815</f>
        <v>　　　（1）计提</v>
      </c>
      <c r="C3379" s="2260">
        <f>报表附注!G3815</f>
        <v>28500</v>
      </c>
    </row>
    <row r="3380" spans="2:3">
      <c r="B3380" s="2253" t="str">
        <f>报表附注!E3816</f>
        <v>      （2）企业合并增加</v>
      </c>
      <c r="C3380" s="2260">
        <f>报表附注!G3816</f>
        <v>0</v>
      </c>
    </row>
    <row r="3381" spans="2:3">
      <c r="B3381" s="2253" t="str">
        <f>报表附注!E3817</f>
        <v>　　　（3）投资性房地产转回</v>
      </c>
      <c r="C3381" s="2260">
        <f>报表附注!G3817</f>
        <v>0</v>
      </c>
    </row>
    <row r="3382" spans="2:3">
      <c r="B3382" s="2253" t="str">
        <f>报表附注!E3818</f>
        <v>　　　（4）其他转入</v>
      </c>
      <c r="C3382" s="2260">
        <f>报表附注!G3818</f>
        <v>0</v>
      </c>
    </row>
    <row r="3383" spans="2:3">
      <c r="B3383" s="2253" t="str">
        <f>报表附注!E3819</f>
        <v>　　3.本期减少金额</v>
      </c>
      <c r="C3383" s="2260">
        <f>报表附注!G3819</f>
        <v>0</v>
      </c>
    </row>
    <row r="3384" spans="2:3">
      <c r="B3384" s="2253" t="str">
        <f>报表附注!E3820</f>
        <v>　　　（1）处置或报废</v>
      </c>
      <c r="C3384" s="2260">
        <f>报表附注!G3820</f>
        <v>0</v>
      </c>
    </row>
    <row r="3385" spans="2:3">
      <c r="B3385" s="2253" t="str">
        <f>报表附注!E3821</f>
        <v>　　　（2）转入投资性房地产</v>
      </c>
      <c r="C3385" s="2260">
        <f>报表附注!G3821</f>
        <v>0</v>
      </c>
    </row>
    <row r="3386" spans="2:3">
      <c r="B3386" s="2253" t="str">
        <f>报表附注!E3822</f>
        <v>      （3）企业合并减少</v>
      </c>
      <c r="C3386" s="2260">
        <f>报表附注!G3822</f>
        <v>0</v>
      </c>
    </row>
    <row r="3387" spans="2:3">
      <c r="B3387" s="2253" t="str">
        <f>报表附注!E3823</f>
        <v>　　　（4）其他转出</v>
      </c>
      <c r="C3387" s="2260">
        <f>报表附注!G3823</f>
        <v>0</v>
      </c>
    </row>
    <row r="3388" spans="2:3">
      <c r="B3388" s="2253" t="str">
        <f>报表附注!E3824</f>
        <v>　　4.期末余额</v>
      </c>
      <c r="C3388" s="2260">
        <f>报表附注!G3824</f>
        <v>106875</v>
      </c>
    </row>
    <row r="3389" spans="2:3">
      <c r="B3389" s="2253" t="str">
        <f>报表附注!E3825</f>
        <v>三、减值准备</v>
      </c>
      <c r="C3389" s="2260">
        <f>报表附注!G3825</f>
        <v>0</v>
      </c>
    </row>
    <row r="3390" spans="2:3">
      <c r="B3390" s="2253" t="str">
        <f>报表附注!E3826</f>
        <v>　　1.期初余额</v>
      </c>
      <c r="C3390" s="2260">
        <f>报表附注!G3826</f>
        <v>0</v>
      </c>
    </row>
    <row r="3391" spans="2:3">
      <c r="B3391" s="2253" t="str">
        <f>报表附注!E3827</f>
        <v>　　2.本期增加金额</v>
      </c>
      <c r="C3391" s="2260">
        <f>报表附注!G3827</f>
        <v>0</v>
      </c>
    </row>
    <row r="3392" spans="2:3">
      <c r="B3392" s="2253" t="str">
        <f>报表附注!E3828</f>
        <v>　　　（1）计提</v>
      </c>
      <c r="C3392" s="2260">
        <f>报表附注!G3828</f>
        <v>0</v>
      </c>
    </row>
    <row r="3393" spans="2:3">
      <c r="B3393" s="2253">
        <f>报表附注!E3829</f>
        <v>0</v>
      </c>
      <c r="C3393" s="2260">
        <f>报表附注!G3829</f>
        <v>0</v>
      </c>
    </row>
    <row r="3394" spans="2:3">
      <c r="B3394" s="2253" t="str">
        <f>报表附注!E3830</f>
        <v>　　3.本期减少金额</v>
      </c>
      <c r="C3394" s="2260">
        <f>报表附注!G3830</f>
        <v>0</v>
      </c>
    </row>
    <row r="3395" spans="2:3">
      <c r="B3395" s="2253" t="str">
        <f>报表附注!E3831</f>
        <v>　　　（1）处置或报废</v>
      </c>
      <c r="C3395" s="2260">
        <f>报表附注!G3831</f>
        <v>0</v>
      </c>
    </row>
    <row r="3396" spans="2:3">
      <c r="B3396" s="2253">
        <f>报表附注!E3832</f>
        <v>0</v>
      </c>
      <c r="C3396" s="2260">
        <f>报表附注!G3832</f>
        <v>0</v>
      </c>
    </row>
    <row r="3397" spans="2:3">
      <c r="B3397" s="2253" t="str">
        <f>报表附注!E3833</f>
        <v>　　4.期末余额</v>
      </c>
      <c r="C3397" s="2260">
        <f>报表附注!G3833</f>
        <v>0</v>
      </c>
    </row>
    <row r="3398" spans="2:3">
      <c r="B3398" s="2253" t="str">
        <f>报表附注!E3834</f>
        <v>四、账面价值</v>
      </c>
      <c r="C3398" s="2260">
        <f>报表附注!G3834</f>
        <v>0</v>
      </c>
    </row>
    <row r="3399" spans="2:3">
      <c r="B3399" s="2263" t="str">
        <f>报表附注!E3835</f>
        <v>　　1.期末账面价值</v>
      </c>
      <c r="C3399" s="2260">
        <f>报表附注!G3835</f>
        <v>193125</v>
      </c>
    </row>
    <row r="3400" spans="2:3">
      <c r="B3400" s="2263" t="str">
        <f>报表附注!E3836</f>
        <v>　　2.期初账面价值</v>
      </c>
      <c r="C3400" s="2260">
        <f>报表附注!G3836</f>
        <v>221625</v>
      </c>
    </row>
    <row r="3401" spans="2:3">
      <c r="B3401" s="2257" t="str">
        <f>报表附注!$H$3796</f>
        <v>运输设备</v>
      </c>
      <c r="C3401" s="2254" t="str">
        <f>报表附注!H3796</f>
        <v>运输设备</v>
      </c>
    </row>
    <row r="3402" spans="2:3">
      <c r="B3402" s="2253" t="str">
        <f>报表附注!E3797</f>
        <v>一、账面原值：</v>
      </c>
      <c r="C3402" s="2254">
        <f>报表附注!H3797</f>
        <v>0</v>
      </c>
    </row>
    <row r="3403" spans="2:3">
      <c r="B3403" s="2253" t="str">
        <f>报表附注!E3798</f>
        <v>　　1.期初余额</v>
      </c>
      <c r="C3403" s="2260">
        <f>报表附注!H3798</f>
        <v>1717158</v>
      </c>
    </row>
    <row r="3404" spans="2:3">
      <c r="B3404" s="2253" t="str">
        <f>报表附注!E3799</f>
        <v>　　2.本期增加金额</v>
      </c>
      <c r="C3404" s="2260">
        <f>报表附注!H3799</f>
        <v>78343.34</v>
      </c>
    </row>
    <row r="3405" spans="2:3">
      <c r="B3405" s="2253" t="str">
        <f>报表附注!E3800</f>
        <v>　　　（1）购置</v>
      </c>
      <c r="C3405" s="2260">
        <f>报表附注!H3800</f>
        <v>78343.34</v>
      </c>
    </row>
    <row r="3406" spans="2:3">
      <c r="B3406" s="2253" t="str">
        <f>报表附注!E3801</f>
        <v>　　　（2）在建工程转入</v>
      </c>
      <c r="C3406" s="2260">
        <f>报表附注!H3801</f>
        <v>0</v>
      </c>
    </row>
    <row r="3407" spans="2:3">
      <c r="B3407" s="2253" t="str">
        <f>报表附注!E3802</f>
        <v>　　　（3）企业合并增加</v>
      </c>
      <c r="C3407" s="2260">
        <f>报表附注!H3802</f>
        <v>0</v>
      </c>
    </row>
    <row r="3408" spans="2:3">
      <c r="B3408" s="2253" t="str">
        <f>报表附注!E3803</f>
        <v>　　　（4）投资性房地产转回</v>
      </c>
      <c r="C3408" s="2260">
        <f>报表附注!H3803</f>
        <v>0</v>
      </c>
    </row>
    <row r="3409" spans="2:3">
      <c r="B3409" s="2253" t="str">
        <f>报表附注!E3804</f>
        <v>　　　（5）业务并购</v>
      </c>
      <c r="C3409" s="2260">
        <f>报表附注!H3804</f>
        <v>0</v>
      </c>
    </row>
    <row r="3410" spans="2:3">
      <c r="B3410" s="2253" t="str">
        <f>报表附注!E3805</f>
        <v>　　　（6）其他</v>
      </c>
      <c r="C3410" s="2260">
        <f>报表附注!H3805</f>
        <v>0</v>
      </c>
    </row>
    <row r="3411" spans="2:3">
      <c r="B3411" s="2253" t="str">
        <f>报表附注!E3806</f>
        <v>　　3.本期减少金额</v>
      </c>
      <c r="C3411" s="2260">
        <f>报表附注!H3806</f>
        <v>300000</v>
      </c>
    </row>
    <row r="3412" spans="2:3">
      <c r="B3412" s="2253" t="str">
        <f>报表附注!E3807</f>
        <v>　　　（1）处置或报废</v>
      </c>
      <c r="C3412" s="2260">
        <f>报表附注!H3807</f>
        <v>300000</v>
      </c>
    </row>
    <row r="3413" spans="2:3">
      <c r="B3413" s="2253" t="str">
        <f>报表附注!E3808</f>
        <v>　　　（2）转入投资性房地产</v>
      </c>
      <c r="C3413" s="2260">
        <f>报表附注!H3808</f>
        <v>0</v>
      </c>
    </row>
    <row r="3414" spans="2:3">
      <c r="B3414" s="2253" t="str">
        <f>报表附注!E3809</f>
        <v>      （3）企业合并减少</v>
      </c>
      <c r="C3414" s="2260">
        <f>报表附注!H3809</f>
        <v>0</v>
      </c>
    </row>
    <row r="3415" spans="2:3">
      <c r="B3415" s="2253" t="str">
        <f>报表附注!E3810</f>
        <v>      （4）其他减少</v>
      </c>
      <c r="C3415" s="2260">
        <f>报表附注!H3810</f>
        <v>0</v>
      </c>
    </row>
    <row r="3416" spans="2:3">
      <c r="B3416" s="2253" t="str">
        <f>报表附注!E3811</f>
        <v>　　4.期末余额</v>
      </c>
      <c r="C3416" s="2260">
        <f>报表附注!H3811</f>
        <v>1495501.34</v>
      </c>
    </row>
    <row r="3417" spans="2:3">
      <c r="B3417" s="2253" t="str">
        <f>报表附注!E3812</f>
        <v>二、累计折旧</v>
      </c>
      <c r="C3417" s="2260">
        <f>报表附注!H3812</f>
        <v>0</v>
      </c>
    </row>
    <row r="3418" spans="2:3">
      <c r="B3418" s="2253" t="str">
        <f>报表附注!E3813</f>
        <v>　　1.期初余额</v>
      </c>
      <c r="C3418" s="2260">
        <f>报表附注!H3813</f>
        <v>1007572.78</v>
      </c>
    </row>
    <row r="3419" spans="2:3">
      <c r="B3419" s="2253" t="str">
        <f>报表附注!E3814</f>
        <v>　　2.本期增加金额</v>
      </c>
      <c r="C3419" s="2260">
        <f>报表附注!H3814</f>
        <v>351042.55</v>
      </c>
    </row>
    <row r="3420" spans="2:3">
      <c r="B3420" s="2253" t="str">
        <f>报表附注!E3815</f>
        <v>　　　（1）计提</v>
      </c>
      <c r="C3420" s="2260">
        <f>报表附注!H3815</f>
        <v>351042.55</v>
      </c>
    </row>
    <row r="3421" spans="2:3">
      <c r="B3421" s="2253" t="str">
        <f>报表附注!E3816</f>
        <v>      （2）企业合并增加</v>
      </c>
      <c r="C3421" s="2260">
        <f>报表附注!H3816</f>
        <v>0</v>
      </c>
    </row>
    <row r="3422" spans="2:3">
      <c r="B3422" s="2253" t="str">
        <f>报表附注!E3817</f>
        <v>　　　（3）投资性房地产转回</v>
      </c>
      <c r="C3422" s="2260">
        <f>报表附注!H3817</f>
        <v>0</v>
      </c>
    </row>
    <row r="3423" spans="2:3">
      <c r="B3423" s="2253" t="str">
        <f>报表附注!E3818</f>
        <v>　　　（4）其他转入</v>
      </c>
      <c r="C3423" s="2260">
        <f>报表附注!H3818</f>
        <v>0</v>
      </c>
    </row>
    <row r="3424" spans="2:3">
      <c r="B3424" s="2253" t="str">
        <f>报表附注!E3819</f>
        <v>　　3.本期减少金额</v>
      </c>
      <c r="C3424" s="2260">
        <f>报表附注!H3819</f>
        <v>190000</v>
      </c>
    </row>
    <row r="3425" spans="2:3">
      <c r="B3425" s="2253" t="str">
        <f>报表附注!E3820</f>
        <v>　　　（1）处置或报废</v>
      </c>
      <c r="C3425" s="2260">
        <f>报表附注!H3820</f>
        <v>190000</v>
      </c>
    </row>
    <row r="3426" spans="2:3">
      <c r="B3426" s="2253" t="str">
        <f>报表附注!E3821</f>
        <v>　　　（2）转入投资性房地产</v>
      </c>
      <c r="C3426" s="2260">
        <f>报表附注!H3821</f>
        <v>0</v>
      </c>
    </row>
    <row r="3427" spans="2:3">
      <c r="B3427" s="2253" t="str">
        <f>报表附注!E3822</f>
        <v>      （3）企业合并减少</v>
      </c>
      <c r="C3427" s="2260">
        <f>报表附注!H3822</f>
        <v>0</v>
      </c>
    </row>
    <row r="3428" spans="2:3">
      <c r="B3428" s="2253" t="str">
        <f>报表附注!E3823</f>
        <v>　　　（4）其他转出</v>
      </c>
      <c r="C3428" s="2260">
        <f>报表附注!H3823</f>
        <v>0</v>
      </c>
    </row>
    <row r="3429" spans="2:3">
      <c r="B3429" s="2253" t="str">
        <f>报表附注!E3824</f>
        <v>　　4.期末余额</v>
      </c>
      <c r="C3429" s="2260">
        <f>报表附注!H3824</f>
        <v>1168615.33</v>
      </c>
    </row>
    <row r="3430" spans="2:3">
      <c r="B3430" s="2253" t="str">
        <f>报表附注!E3825</f>
        <v>三、减值准备</v>
      </c>
      <c r="C3430" s="2260">
        <f>报表附注!H3825</f>
        <v>0</v>
      </c>
    </row>
    <row r="3431" spans="2:3">
      <c r="B3431" s="2253" t="str">
        <f>报表附注!E3826</f>
        <v>　　1.期初余额</v>
      </c>
      <c r="C3431" s="2260">
        <f>报表附注!H3826</f>
        <v>0</v>
      </c>
    </row>
    <row r="3432" spans="2:3">
      <c r="B3432" s="2253" t="str">
        <f>报表附注!E3827</f>
        <v>　　2.本期增加金额</v>
      </c>
      <c r="C3432" s="2260">
        <f>报表附注!H3827</f>
        <v>0</v>
      </c>
    </row>
    <row r="3433" spans="2:3">
      <c r="B3433" s="2253" t="str">
        <f>报表附注!E3828</f>
        <v>　　　（1）计提</v>
      </c>
      <c r="C3433" s="2260">
        <f>报表附注!H3828</f>
        <v>0</v>
      </c>
    </row>
    <row r="3434" spans="2:3">
      <c r="B3434" s="2253">
        <f>报表附注!E3829</f>
        <v>0</v>
      </c>
      <c r="C3434" s="2260">
        <f>报表附注!H3829</f>
        <v>0</v>
      </c>
    </row>
    <row r="3435" spans="2:3">
      <c r="B3435" s="2253" t="str">
        <f>报表附注!E3830</f>
        <v>　　3.本期减少金额</v>
      </c>
      <c r="C3435" s="2260">
        <f>报表附注!H3830</f>
        <v>0</v>
      </c>
    </row>
    <row r="3436" spans="2:3">
      <c r="B3436" s="2253" t="str">
        <f>报表附注!E3831</f>
        <v>　　　（1）处置或报废</v>
      </c>
      <c r="C3436" s="2260">
        <f>报表附注!H3831</f>
        <v>0</v>
      </c>
    </row>
    <row r="3437" spans="2:3">
      <c r="B3437" s="2253">
        <f>报表附注!E3832</f>
        <v>0</v>
      </c>
      <c r="C3437" s="2260">
        <f>报表附注!H3832</f>
        <v>0</v>
      </c>
    </row>
    <row r="3438" spans="2:3">
      <c r="B3438" s="2253" t="str">
        <f>报表附注!E3833</f>
        <v>　　4.期末余额</v>
      </c>
      <c r="C3438" s="2260">
        <f>报表附注!H3833</f>
        <v>0</v>
      </c>
    </row>
    <row r="3439" spans="2:3">
      <c r="B3439" s="2253" t="str">
        <f>报表附注!E3834</f>
        <v>四、账面价值</v>
      </c>
      <c r="C3439" s="2260">
        <f>报表附注!H3834</f>
        <v>0</v>
      </c>
    </row>
    <row r="3440" spans="2:3">
      <c r="B3440" s="2263" t="str">
        <f>报表附注!E3835</f>
        <v>　　1.期末账面价值</v>
      </c>
      <c r="C3440" s="2260">
        <f>报表附注!H3835</f>
        <v>326886.01</v>
      </c>
    </row>
    <row r="3441" spans="2:3">
      <c r="B3441" s="2263" t="str">
        <f>报表附注!E3836</f>
        <v>　　2.期初账面价值</v>
      </c>
      <c r="C3441" s="2260">
        <f>报表附注!H3836</f>
        <v>709585.22</v>
      </c>
    </row>
    <row r="3442" spans="2:3">
      <c r="B3442" s="2257" t="str">
        <f>报表附注!$I$3796</f>
        <v>电子设备及其他</v>
      </c>
      <c r="C3442" s="2254" t="str">
        <f>报表附注!I3796</f>
        <v>电子设备及其他</v>
      </c>
    </row>
    <row r="3443" spans="2:3">
      <c r="B3443" s="2253" t="str">
        <f>报表附注!E3797</f>
        <v>一、账面原值：</v>
      </c>
      <c r="C3443" s="2254">
        <f>报表附注!I3797</f>
        <v>0</v>
      </c>
    </row>
    <row r="3444" spans="2:3">
      <c r="B3444" s="2253" t="str">
        <f>报表附注!E3798</f>
        <v>　　1.期初余额</v>
      </c>
      <c r="C3444" s="2260">
        <f>报表附注!I3798</f>
        <v>416187.98</v>
      </c>
    </row>
    <row r="3445" spans="2:3">
      <c r="B3445" s="2253" t="str">
        <f>报表附注!E3799</f>
        <v>　　2.本期增加金额</v>
      </c>
      <c r="C3445" s="2260">
        <f>报表附注!I3799</f>
        <v>47775.65</v>
      </c>
    </row>
    <row r="3446" spans="2:3">
      <c r="B3446" s="2253" t="str">
        <f>报表附注!E3800</f>
        <v>　　　（1）购置</v>
      </c>
      <c r="C3446" s="2260">
        <f>报表附注!I3800</f>
        <v>47775.65</v>
      </c>
    </row>
    <row r="3447" spans="2:3">
      <c r="B3447" s="2253" t="str">
        <f>报表附注!E3801</f>
        <v>　　　（2）在建工程转入</v>
      </c>
      <c r="C3447" s="2260">
        <f>报表附注!I3801</f>
        <v>0</v>
      </c>
    </row>
    <row r="3448" spans="2:3">
      <c r="B3448" s="2253" t="str">
        <f>报表附注!E3802</f>
        <v>　　　（3）企业合并增加</v>
      </c>
      <c r="C3448" s="2260">
        <f>报表附注!I3802</f>
        <v>0</v>
      </c>
    </row>
    <row r="3449" spans="2:3">
      <c r="B3449" s="2253" t="str">
        <f>报表附注!E3803</f>
        <v>　　　（4）投资性房地产转回</v>
      </c>
      <c r="C3449" s="2260">
        <f>报表附注!I3803</f>
        <v>0</v>
      </c>
    </row>
    <row r="3450" spans="2:3">
      <c r="B3450" s="2253" t="str">
        <f>报表附注!E3804</f>
        <v>　　　（5）业务并购</v>
      </c>
      <c r="C3450" s="2260">
        <f>报表附注!I3804</f>
        <v>0</v>
      </c>
    </row>
    <row r="3451" spans="2:3">
      <c r="B3451" s="2253" t="str">
        <f>报表附注!E3805</f>
        <v>　　　（6）其他</v>
      </c>
      <c r="C3451" s="2260">
        <f>报表附注!I3805</f>
        <v>0</v>
      </c>
    </row>
    <row r="3452" spans="2:3">
      <c r="B3452" s="2253" t="str">
        <f>报表附注!E3806</f>
        <v>　　3.本期减少金额</v>
      </c>
      <c r="C3452" s="2260">
        <f>报表附注!I3806</f>
        <v>176159.98</v>
      </c>
    </row>
    <row r="3453" spans="2:3">
      <c r="B3453" s="2253" t="str">
        <f>报表附注!E3807</f>
        <v>　　　（1）处置或报废</v>
      </c>
      <c r="C3453" s="2260">
        <f>报表附注!I3807</f>
        <v>176159.98</v>
      </c>
    </row>
    <row r="3454" spans="2:3">
      <c r="B3454" s="2253" t="str">
        <f>报表附注!E3808</f>
        <v>　　　（2）转入投资性房地产</v>
      </c>
      <c r="C3454" s="2260">
        <f>报表附注!I3808</f>
        <v>0</v>
      </c>
    </row>
    <row r="3455" spans="2:3">
      <c r="B3455" s="2253" t="str">
        <f>报表附注!E3809</f>
        <v>      （3）企业合并减少</v>
      </c>
      <c r="C3455" s="2260">
        <f>报表附注!I3809</f>
        <v>0</v>
      </c>
    </row>
    <row r="3456" spans="2:3">
      <c r="B3456" s="2253" t="str">
        <f>报表附注!E3810</f>
        <v>      （4）其他减少</v>
      </c>
      <c r="C3456" s="2260">
        <f>报表附注!I3810</f>
        <v>0</v>
      </c>
    </row>
    <row r="3457" spans="2:3">
      <c r="B3457" s="2253" t="str">
        <f>报表附注!E3811</f>
        <v>　　4.期末余额</v>
      </c>
      <c r="C3457" s="2260">
        <f>报表附注!I3811</f>
        <v>287803.65</v>
      </c>
    </row>
    <row r="3458" spans="2:3">
      <c r="B3458" s="2253" t="str">
        <f>报表附注!E3812</f>
        <v>二、累计折旧</v>
      </c>
      <c r="C3458" s="2260">
        <f>报表附注!I3812</f>
        <v>0</v>
      </c>
    </row>
    <row r="3459" spans="2:3">
      <c r="B3459" s="2253" t="str">
        <f>报表附注!E3813</f>
        <v>　　1.期初余额</v>
      </c>
      <c r="C3459" s="2260">
        <f>报表附注!I3813</f>
        <v>303764.39</v>
      </c>
    </row>
    <row r="3460" spans="2:3">
      <c r="B3460" s="2253" t="str">
        <f>报表附注!E3814</f>
        <v>　　2.本期增加金额</v>
      </c>
      <c r="C3460" s="2260">
        <f>报表附注!I3814</f>
        <v>65814.94</v>
      </c>
    </row>
    <row r="3461" spans="2:3">
      <c r="B3461" s="2253" t="str">
        <f>报表附注!E3815</f>
        <v>　　　（1）计提</v>
      </c>
      <c r="C3461" s="2260">
        <f>报表附注!I3815</f>
        <v>65814.94</v>
      </c>
    </row>
    <row r="3462" spans="2:3">
      <c r="B3462" s="2253" t="str">
        <f>报表附注!E3816</f>
        <v>      （2）企业合并增加</v>
      </c>
      <c r="C3462" s="2260">
        <f>报表附注!I3816</f>
        <v>0</v>
      </c>
    </row>
    <row r="3463" spans="2:3">
      <c r="B3463" s="2253" t="str">
        <f>报表附注!E3817</f>
        <v>　　　（3）投资性房地产转回</v>
      </c>
      <c r="C3463" s="2260">
        <f>报表附注!I3817</f>
        <v>0</v>
      </c>
    </row>
    <row r="3464" spans="2:3">
      <c r="B3464" s="2253" t="str">
        <f>报表附注!E3818</f>
        <v>　　　（4）其他转入</v>
      </c>
      <c r="C3464" s="2260">
        <f>报表附注!I3818</f>
        <v>0</v>
      </c>
    </row>
    <row r="3465" spans="2:3">
      <c r="B3465" s="2253" t="str">
        <f>报表附注!E3819</f>
        <v>　　3.本期减少金额</v>
      </c>
      <c r="C3465" s="2260">
        <f>报表附注!I3819</f>
        <v>166910.75</v>
      </c>
    </row>
    <row r="3466" spans="2:3">
      <c r="B3466" s="2253" t="str">
        <f>报表附注!E3820</f>
        <v>　　　（1）处置或报废</v>
      </c>
      <c r="C3466" s="2260">
        <f>报表附注!I3820</f>
        <v>166910.75</v>
      </c>
    </row>
    <row r="3467" spans="2:3">
      <c r="B3467" s="2253" t="str">
        <f>报表附注!E3821</f>
        <v>　　　（2）转入投资性房地产</v>
      </c>
      <c r="C3467" s="2260">
        <f>报表附注!I3821</f>
        <v>0</v>
      </c>
    </row>
    <row r="3468" spans="2:3">
      <c r="B3468" s="2253" t="str">
        <f>报表附注!E3822</f>
        <v>      （3）企业合并减少</v>
      </c>
      <c r="C3468" s="2260">
        <f>报表附注!I3822</f>
        <v>0</v>
      </c>
    </row>
    <row r="3469" spans="2:3">
      <c r="B3469" s="2253" t="str">
        <f>报表附注!E3823</f>
        <v>　　　（4）其他转出</v>
      </c>
      <c r="C3469" s="2260">
        <f>报表附注!I3823</f>
        <v>0</v>
      </c>
    </row>
    <row r="3470" spans="2:3">
      <c r="B3470" s="2253" t="str">
        <f>报表附注!E3824</f>
        <v>　　4.期末余额</v>
      </c>
      <c r="C3470" s="2260">
        <f>报表附注!I3824</f>
        <v>202668.58</v>
      </c>
    </row>
    <row r="3471" spans="2:3">
      <c r="B3471" s="2253" t="str">
        <f>报表附注!E3825</f>
        <v>三、减值准备</v>
      </c>
      <c r="C3471" s="2260">
        <f>报表附注!I3825</f>
        <v>0</v>
      </c>
    </row>
    <row r="3472" spans="2:3">
      <c r="B3472" s="2253" t="str">
        <f>报表附注!E3826</f>
        <v>　　1.期初余额</v>
      </c>
      <c r="C3472" s="2260">
        <f>报表附注!I3826</f>
        <v>0</v>
      </c>
    </row>
    <row r="3473" spans="2:3">
      <c r="B3473" s="2253" t="str">
        <f>报表附注!E3827</f>
        <v>　　2.本期增加金额</v>
      </c>
      <c r="C3473" s="2260">
        <f>报表附注!I3827</f>
        <v>0</v>
      </c>
    </row>
    <row r="3474" spans="2:3">
      <c r="B3474" s="2253" t="str">
        <f>报表附注!E3828</f>
        <v>　　　（1）计提</v>
      </c>
      <c r="C3474" s="2260">
        <f>报表附注!I3828</f>
        <v>0</v>
      </c>
    </row>
    <row r="3475" spans="2:3">
      <c r="B3475" s="2253">
        <f>报表附注!E3829</f>
        <v>0</v>
      </c>
      <c r="C3475" s="2260">
        <f>报表附注!I3829</f>
        <v>0</v>
      </c>
    </row>
    <row r="3476" spans="2:3">
      <c r="B3476" s="2253" t="str">
        <f>报表附注!E3830</f>
        <v>　　3.本期减少金额</v>
      </c>
      <c r="C3476" s="2260">
        <f>报表附注!I3830</f>
        <v>0</v>
      </c>
    </row>
    <row r="3477" spans="2:3">
      <c r="B3477" s="2253" t="str">
        <f>报表附注!E3831</f>
        <v>　　　（1）处置或报废</v>
      </c>
      <c r="C3477" s="2260">
        <f>报表附注!I3831</f>
        <v>0</v>
      </c>
    </row>
    <row r="3478" spans="2:3">
      <c r="B3478" s="2253">
        <f>报表附注!E3832</f>
        <v>0</v>
      </c>
      <c r="C3478" s="2260">
        <f>报表附注!I3832</f>
        <v>0</v>
      </c>
    </row>
    <row r="3479" spans="2:3">
      <c r="B3479" s="2253" t="str">
        <f>报表附注!E3833</f>
        <v>　　4.期末余额</v>
      </c>
      <c r="C3479" s="2260">
        <f>报表附注!I3833</f>
        <v>0</v>
      </c>
    </row>
    <row r="3480" spans="2:3">
      <c r="B3480" s="2253" t="str">
        <f>报表附注!E3834</f>
        <v>四、账面价值</v>
      </c>
      <c r="C3480" s="2260">
        <f>报表附注!I3834</f>
        <v>0</v>
      </c>
    </row>
    <row r="3481" spans="2:3">
      <c r="B3481" s="2263" t="str">
        <f>报表附注!E3835</f>
        <v>　　1.期末账面价值</v>
      </c>
      <c r="C3481" s="2260">
        <f>报表附注!I3835</f>
        <v>85135.07</v>
      </c>
    </row>
    <row r="3482" spans="2:3">
      <c r="B3482" s="2263" t="str">
        <f>报表附注!E3836</f>
        <v>　　2.期初账面价值</v>
      </c>
      <c r="C3482" s="2260">
        <f>报表附注!I3836</f>
        <v>112423.59</v>
      </c>
    </row>
    <row r="3483" spans="2:3">
      <c r="B3483" s="2257" t="str">
        <f>报表附注!$J$3796</f>
        <v>合计</v>
      </c>
      <c r="C3483" s="2254" t="str">
        <f>报表附注!J3796</f>
        <v>合计</v>
      </c>
    </row>
    <row r="3484" spans="2:3">
      <c r="B3484" s="2253" t="str">
        <f>报表附注!E3797</f>
        <v>一、账面原值：</v>
      </c>
      <c r="C3484" s="2254">
        <f>报表附注!J3797</f>
        <v>0</v>
      </c>
    </row>
    <row r="3485" spans="2:3">
      <c r="B3485" s="2253" t="str">
        <f>报表附注!E3798</f>
        <v>　　1.期初余额</v>
      </c>
      <c r="C3485" s="2260">
        <f>报表附注!J3798</f>
        <v>84280783.27</v>
      </c>
    </row>
    <row r="3486" spans="2:3">
      <c r="B3486" s="2253" t="str">
        <f>报表附注!E3799</f>
        <v>　　2.本期增加金额</v>
      </c>
      <c r="C3486" s="2260">
        <f>报表附注!J3799</f>
        <v>6918315.68</v>
      </c>
    </row>
    <row r="3487" spans="2:3">
      <c r="B3487" s="2253" t="str">
        <f>报表附注!E3800</f>
        <v>　　　（1）购置</v>
      </c>
      <c r="C3487" s="2260">
        <f>报表附注!J3800</f>
        <v>126118.99</v>
      </c>
    </row>
    <row r="3488" spans="2:3">
      <c r="B3488" s="2253" t="str">
        <f>报表附注!E3801</f>
        <v>　　　（2）在建工程转入</v>
      </c>
      <c r="C3488" s="2260">
        <f>报表附注!J3801</f>
        <v>6792196.69</v>
      </c>
    </row>
    <row r="3489" spans="2:3">
      <c r="B3489" s="2253" t="str">
        <f>报表附注!E3802</f>
        <v>　　　（3）企业合并增加</v>
      </c>
      <c r="C3489" s="2260">
        <f>报表附注!J3802</f>
        <v>0</v>
      </c>
    </row>
    <row r="3490" spans="2:3">
      <c r="B3490" s="2253" t="str">
        <f>报表附注!E3803</f>
        <v>　　　（4）投资性房地产转回</v>
      </c>
      <c r="C3490" s="2260">
        <f>报表附注!J3803</f>
        <v>0</v>
      </c>
    </row>
    <row r="3491" spans="2:3">
      <c r="B3491" s="2253" t="str">
        <f>报表附注!E3804</f>
        <v>　　　（5）业务并购</v>
      </c>
      <c r="C3491" s="2260">
        <f>报表附注!J3804</f>
        <v>0</v>
      </c>
    </row>
    <row r="3492" spans="2:3">
      <c r="B3492" s="2253" t="str">
        <f>报表附注!E3805</f>
        <v>　　　（6）其他</v>
      </c>
      <c r="C3492" s="2260">
        <f>报表附注!J3805</f>
        <v>0</v>
      </c>
    </row>
    <row r="3493" spans="2:3">
      <c r="B3493" s="2253" t="str">
        <f>报表附注!E3806</f>
        <v>　　3.本期减少金额</v>
      </c>
      <c r="C3493" s="2260">
        <f>报表附注!J3806</f>
        <v>476159.98</v>
      </c>
    </row>
    <row r="3494" spans="2:3">
      <c r="B3494" s="2253" t="str">
        <f>报表附注!E3807</f>
        <v>　　　（1）处置或报废</v>
      </c>
      <c r="C3494" s="2260">
        <f>报表附注!J3807</f>
        <v>476159.98</v>
      </c>
    </row>
    <row r="3495" spans="2:3">
      <c r="B3495" s="2253" t="str">
        <f>报表附注!E3808</f>
        <v>　　　（2）转入投资性房地产</v>
      </c>
      <c r="C3495" s="2260">
        <f>报表附注!J3808</f>
        <v>0</v>
      </c>
    </row>
    <row r="3496" spans="2:3">
      <c r="B3496" s="2253" t="str">
        <f>报表附注!E3809</f>
        <v>      （3）企业合并减少</v>
      </c>
      <c r="C3496" s="2260">
        <f>报表附注!J3809</f>
        <v>0</v>
      </c>
    </row>
    <row r="3497" spans="2:3">
      <c r="B3497" s="2253" t="str">
        <f>报表附注!E3810</f>
        <v>      （4）其他减少</v>
      </c>
      <c r="C3497" s="2260">
        <f>报表附注!J3810</f>
        <v>0</v>
      </c>
    </row>
    <row r="3498" spans="2:3">
      <c r="B3498" s="2253" t="str">
        <f>报表附注!E3811</f>
        <v>　　4.期末余额</v>
      </c>
      <c r="C3498" s="2260">
        <f>报表附注!J3811</f>
        <v>90722938.97</v>
      </c>
    </row>
    <row r="3499" spans="2:3">
      <c r="B3499" s="2253" t="str">
        <f>报表附注!E3812</f>
        <v>二、累计折旧</v>
      </c>
      <c r="C3499" s="2260">
        <f>报表附注!J3812</f>
        <v>0</v>
      </c>
    </row>
    <row r="3500" spans="2:3">
      <c r="B3500" s="2253" t="str">
        <f>报表附注!E3813</f>
        <v>　　1.期初余额</v>
      </c>
      <c r="C3500" s="2260">
        <f>报表附注!J3813</f>
        <v>16666992.97</v>
      </c>
    </row>
    <row r="3501" spans="2:3">
      <c r="B3501" s="2253" t="str">
        <f>报表附注!E3814</f>
        <v>　　2.本期增加金额</v>
      </c>
      <c r="C3501" s="2260">
        <f>报表附注!J3814</f>
        <v>11274664.38</v>
      </c>
    </row>
    <row r="3502" spans="2:3">
      <c r="B3502" s="2253" t="str">
        <f>报表附注!E3815</f>
        <v>　　　（1）计提</v>
      </c>
      <c r="C3502" s="2260">
        <f>报表附注!J3815</f>
        <v>11274664.38</v>
      </c>
    </row>
    <row r="3503" spans="2:3">
      <c r="B3503" s="2253" t="str">
        <f>报表附注!E3816</f>
        <v>      （2）企业合并增加</v>
      </c>
      <c r="C3503" s="2260">
        <f>报表附注!J3816</f>
        <v>0</v>
      </c>
    </row>
    <row r="3504" spans="2:3">
      <c r="B3504" s="2253" t="str">
        <f>报表附注!E3817</f>
        <v>　　　（3）投资性房地产转回</v>
      </c>
      <c r="C3504" s="2260">
        <f>报表附注!J3817</f>
        <v>0</v>
      </c>
    </row>
    <row r="3505" spans="2:3">
      <c r="B3505" s="2253" t="str">
        <f>报表附注!E3818</f>
        <v>　　　（4）其他转入</v>
      </c>
      <c r="C3505" s="2260">
        <f>报表附注!J3818</f>
        <v>0</v>
      </c>
    </row>
    <row r="3506" spans="2:3">
      <c r="B3506" s="2253" t="str">
        <f>报表附注!E3819</f>
        <v>　　3.本期减少金额</v>
      </c>
      <c r="C3506" s="2260">
        <f>报表附注!J3819</f>
        <v>356910.75</v>
      </c>
    </row>
    <row r="3507" spans="2:3">
      <c r="B3507" s="2253" t="str">
        <f>报表附注!E3820</f>
        <v>　　　（1）处置或报废</v>
      </c>
      <c r="C3507" s="2260">
        <f>报表附注!J3820</f>
        <v>356910.75</v>
      </c>
    </row>
    <row r="3508" spans="2:3">
      <c r="B3508" s="2253" t="str">
        <f>报表附注!E3821</f>
        <v>　　　（2）转入投资性房地产</v>
      </c>
      <c r="C3508" s="2260">
        <f>报表附注!J3821</f>
        <v>0</v>
      </c>
    </row>
    <row r="3509" spans="2:3">
      <c r="B3509" s="2253" t="str">
        <f>报表附注!E3822</f>
        <v>      （3）企业合并减少</v>
      </c>
      <c r="C3509" s="2260">
        <f>报表附注!J3822</f>
        <v>0</v>
      </c>
    </row>
    <row r="3510" spans="2:3">
      <c r="B3510" s="2253" t="str">
        <f>报表附注!E3823</f>
        <v>　　　（4）其他转出</v>
      </c>
      <c r="C3510" s="2260">
        <f>报表附注!J3823</f>
        <v>0</v>
      </c>
    </row>
    <row r="3511" spans="2:3">
      <c r="B3511" s="2253" t="str">
        <f>报表附注!E3824</f>
        <v>　　4.期末余额</v>
      </c>
      <c r="C3511" s="2260">
        <f>报表附注!J3824</f>
        <v>27584746.6</v>
      </c>
    </row>
    <row r="3512" spans="2:3">
      <c r="B3512" s="2253" t="str">
        <f>报表附注!E3825</f>
        <v>三、减值准备</v>
      </c>
      <c r="C3512" s="2260">
        <f>报表附注!J3825</f>
        <v>0</v>
      </c>
    </row>
    <row r="3513" spans="2:3">
      <c r="B3513" s="2253" t="str">
        <f>报表附注!E3826</f>
        <v>　　1.期初余额</v>
      </c>
      <c r="C3513" s="2260">
        <f>报表附注!J3826</f>
        <v>0</v>
      </c>
    </row>
    <row r="3514" spans="2:3">
      <c r="B3514" s="2253" t="str">
        <f>报表附注!E3827</f>
        <v>　　2.本期增加金额</v>
      </c>
      <c r="C3514" s="2260">
        <f>报表附注!J3827</f>
        <v>0</v>
      </c>
    </row>
    <row r="3515" spans="2:3">
      <c r="B3515" s="2253" t="str">
        <f>报表附注!E3828</f>
        <v>　　　（1）计提</v>
      </c>
      <c r="C3515" s="2260">
        <f>报表附注!J3828</f>
        <v>0</v>
      </c>
    </row>
    <row r="3516" spans="2:3">
      <c r="B3516" s="2314">
        <f>报表附注!E3829</f>
        <v>0</v>
      </c>
      <c r="C3516" s="2260">
        <f>报表附注!J3829</f>
        <v>0</v>
      </c>
    </row>
    <row r="3517" spans="2:3">
      <c r="B3517" s="2314" t="str">
        <f>报表附注!E3830</f>
        <v>　　3.本期减少金额</v>
      </c>
      <c r="C3517" s="2260">
        <f>报表附注!J3830</f>
        <v>0</v>
      </c>
    </row>
    <row r="3518" spans="2:3">
      <c r="B3518" s="2314" t="str">
        <f>报表附注!E3831</f>
        <v>　　　（1）处置或报废</v>
      </c>
      <c r="C3518" s="2260">
        <f>报表附注!J3831</f>
        <v>0</v>
      </c>
    </row>
    <row r="3519" spans="2:3">
      <c r="B3519" s="2314">
        <f>报表附注!E3832</f>
        <v>0</v>
      </c>
      <c r="C3519" s="2260">
        <f>报表附注!J3832</f>
        <v>0</v>
      </c>
    </row>
    <row r="3520" spans="2:3">
      <c r="B3520" s="2314" t="str">
        <f>报表附注!E3833</f>
        <v>　　4.期末余额</v>
      </c>
      <c r="C3520" s="2260">
        <f>报表附注!J3833</f>
        <v>0</v>
      </c>
    </row>
    <row r="3521" spans="2:3">
      <c r="B3521" s="2253" t="str">
        <f>报表附注!E3834</f>
        <v>四、账面价值</v>
      </c>
      <c r="C3521" s="2260">
        <f>报表附注!J3834</f>
        <v>0</v>
      </c>
    </row>
    <row r="3522" spans="2:3">
      <c r="B3522" s="2263" t="str">
        <f>报表附注!E3835</f>
        <v>　　1.期末账面价值</v>
      </c>
      <c r="C3522" s="2260">
        <f>报表附注!J3835</f>
        <v>63138192.37</v>
      </c>
    </row>
    <row r="3523" spans="2:3">
      <c r="B3523" s="2263" t="str">
        <f>报表附注!E3836</f>
        <v>　　2.期初账面价值</v>
      </c>
      <c r="C3523" s="2260">
        <f>报表附注!J3836</f>
        <v>67613790.3</v>
      </c>
    </row>
    <row r="3525" spans="2:2">
      <c r="B3525" s="2320" t="str">
        <f>报表附注!$E$3850</f>
        <v>(二十三)无形资产-披露表（请填此表）</v>
      </c>
    </row>
    <row r="3526" spans="2:3">
      <c r="B3526" s="2257" t="str">
        <f>报表附注!F3851</f>
        <v>土地使用权</v>
      </c>
      <c r="C3526" s="2323" t="str">
        <f>报表附注!F3851</f>
        <v>土地使用权</v>
      </c>
    </row>
    <row r="3527" spans="2:3">
      <c r="B3527" s="2253" t="str">
        <f>报表附注!E3852</f>
        <v>一、账面原值</v>
      </c>
      <c r="C3527" s="2323">
        <f>报表附注!F3852</f>
        <v>0</v>
      </c>
    </row>
    <row r="3528" spans="2:3">
      <c r="B3528" s="2253" t="str">
        <f>报表附注!E3853</f>
        <v>　　1.期初余额</v>
      </c>
      <c r="C3528" s="2260">
        <f>报表附注!F3853</f>
        <v>0</v>
      </c>
    </row>
    <row r="3529" spans="2:3">
      <c r="B3529" s="2253" t="str">
        <f>报表附注!E3854</f>
        <v>　　2.本期增加金额</v>
      </c>
      <c r="C3529" s="2260">
        <f>报表附注!F3854</f>
        <v>0</v>
      </c>
    </row>
    <row r="3530" spans="2:3">
      <c r="B3530" s="2253" t="str">
        <f>报表附注!E3855</f>
        <v>　　　（1）购置</v>
      </c>
      <c r="C3530" s="2260">
        <f>报表附注!F3855</f>
        <v>0</v>
      </c>
    </row>
    <row r="3531" spans="2:3">
      <c r="B3531" s="2253" t="str">
        <f>报表附注!E3856</f>
        <v>　　　（2）内部研发</v>
      </c>
      <c r="C3531" s="2260">
        <f>报表附注!F3856</f>
        <v>0</v>
      </c>
    </row>
    <row r="3532" spans="2:3">
      <c r="B3532" s="2253" t="str">
        <f>报表附注!E3857</f>
        <v>　　　（3）企业合并增加</v>
      </c>
      <c r="C3532" s="2260">
        <f>报表附注!F3857</f>
        <v>0</v>
      </c>
    </row>
    <row r="3533" spans="2:3">
      <c r="B3533" s="2253" t="str">
        <f>报表附注!E3858</f>
        <v>　　　（4）投资性房地产转回</v>
      </c>
      <c r="C3533" s="2260">
        <f>报表附注!F3858</f>
        <v>0</v>
      </c>
    </row>
    <row r="3534" spans="2:3">
      <c r="B3534" s="2253" t="str">
        <f>报表附注!E3859</f>
        <v>　　　（5）其他</v>
      </c>
      <c r="C3534" s="2260">
        <f>报表附注!F3859</f>
        <v>0</v>
      </c>
    </row>
    <row r="3535" spans="2:3">
      <c r="B3535" s="2253" t="str">
        <f>报表附注!E3860</f>
        <v>　　3.本期减少金额</v>
      </c>
      <c r="C3535" s="2260">
        <f>报表附注!F3860</f>
        <v>0</v>
      </c>
    </row>
    <row r="3536" spans="2:3">
      <c r="B3536" s="2253" t="str">
        <f>报表附注!E3861</f>
        <v>　　　（1）处置</v>
      </c>
      <c r="C3536" s="2260">
        <f>报表附注!F3861</f>
        <v>0</v>
      </c>
    </row>
    <row r="3537" spans="2:3">
      <c r="B3537" s="2253" t="str">
        <f>报表附注!E3862</f>
        <v>　　　（2）转入投资性房地产</v>
      </c>
      <c r="C3537" s="2260">
        <f>报表附注!F3862</f>
        <v>0</v>
      </c>
    </row>
    <row r="3538" spans="2:3">
      <c r="B3538" s="2253" t="str">
        <f>报表附注!E3863</f>
        <v>      （3）企业合并减少</v>
      </c>
      <c r="C3538" s="2260">
        <f>报表附注!F3863</f>
        <v>0</v>
      </c>
    </row>
    <row r="3539" spans="2:3">
      <c r="B3539" s="2253" t="str">
        <f>报表附注!E3864</f>
        <v>      （4）其他减少</v>
      </c>
      <c r="C3539" s="2260">
        <f>报表附注!F3864</f>
        <v>0</v>
      </c>
    </row>
    <row r="3540" spans="2:3">
      <c r="B3540" s="2253" t="str">
        <f>报表附注!E3865</f>
        <v>　　4.期末余额</v>
      </c>
      <c r="C3540" s="2260">
        <f>报表附注!F3865</f>
        <v>0</v>
      </c>
    </row>
    <row r="3541" spans="2:3">
      <c r="B3541" s="2253" t="str">
        <f>报表附注!E3866</f>
        <v>二、累计摊销</v>
      </c>
      <c r="C3541" s="2260">
        <f>报表附注!F3866</f>
        <v>0</v>
      </c>
    </row>
    <row r="3542" spans="2:3">
      <c r="B3542" s="2253" t="str">
        <f>报表附注!E3867</f>
        <v>　　1.期初余额</v>
      </c>
      <c r="C3542" s="2260">
        <f>报表附注!F3867</f>
        <v>0</v>
      </c>
    </row>
    <row r="3543" spans="2:3">
      <c r="B3543" s="2253" t="str">
        <f>报表附注!E3868</f>
        <v>　　2.本期增加金额</v>
      </c>
      <c r="C3543" s="2260">
        <f>报表附注!F3868</f>
        <v>0</v>
      </c>
    </row>
    <row r="3544" spans="2:3">
      <c r="B3544" s="2253" t="str">
        <f>报表附注!E3869</f>
        <v>　　　（1）计提</v>
      </c>
      <c r="C3544" s="2260">
        <f>报表附注!F3869</f>
        <v>0</v>
      </c>
    </row>
    <row r="3545" spans="2:3">
      <c r="B3545" s="2253" t="str">
        <f>报表附注!E3870</f>
        <v>      （2）企业合并增加</v>
      </c>
      <c r="C3545" s="2260">
        <f>报表附注!F3870</f>
        <v>0</v>
      </c>
    </row>
    <row r="3546" spans="2:3">
      <c r="B3546" s="2253" t="str">
        <f>报表附注!E3871</f>
        <v>　　　（3）投资性房地产转回</v>
      </c>
      <c r="C3546" s="2260">
        <f>报表附注!F3871</f>
        <v>0</v>
      </c>
    </row>
    <row r="3547" spans="2:3">
      <c r="B3547" s="2253" t="str">
        <f>报表附注!E3872</f>
        <v>　　　（4）其他转入</v>
      </c>
      <c r="C3547" s="2260">
        <f>报表附注!F3872</f>
        <v>0</v>
      </c>
    </row>
    <row r="3548" spans="2:3">
      <c r="B3548" s="2253" t="str">
        <f>报表附注!E3873</f>
        <v>　　3.本期减少金额</v>
      </c>
      <c r="C3548" s="2260">
        <f>报表附注!F3873</f>
        <v>0</v>
      </c>
    </row>
    <row r="3549" spans="2:3">
      <c r="B3549" s="2253" t="str">
        <f>报表附注!E3874</f>
        <v>　　　（1）处置</v>
      </c>
      <c r="C3549" s="2260">
        <f>报表附注!F3874</f>
        <v>0</v>
      </c>
    </row>
    <row r="3550" spans="2:3">
      <c r="B3550" s="2253" t="str">
        <f>报表附注!E3875</f>
        <v>　　　（2）转入投资性房地产</v>
      </c>
      <c r="C3550" s="2260">
        <f>报表附注!F3875</f>
        <v>0</v>
      </c>
    </row>
    <row r="3551" spans="2:3">
      <c r="B3551" s="2253" t="str">
        <f>报表附注!E3876</f>
        <v>      （3）企业合并减少</v>
      </c>
      <c r="C3551" s="2260">
        <f>报表附注!F3876</f>
        <v>0</v>
      </c>
    </row>
    <row r="3552" spans="2:3">
      <c r="B3552" s="2253" t="str">
        <f>报表附注!E3877</f>
        <v>　　　（4）其他转出</v>
      </c>
      <c r="C3552" s="2260">
        <f>报表附注!F3877</f>
        <v>0</v>
      </c>
    </row>
    <row r="3553" spans="2:3">
      <c r="B3553" s="2253" t="str">
        <f>报表附注!E3878</f>
        <v>　　4.期末余额</v>
      </c>
      <c r="C3553" s="2260">
        <f>报表附注!F3878</f>
        <v>0</v>
      </c>
    </row>
    <row r="3554" spans="2:3">
      <c r="B3554" s="2253" t="str">
        <f>报表附注!E3879</f>
        <v>三、减值准备</v>
      </c>
      <c r="C3554" s="2260">
        <f>报表附注!F3879</f>
        <v>0</v>
      </c>
    </row>
    <row r="3555" spans="2:3">
      <c r="B3555" s="2253" t="str">
        <f>报表附注!E3880</f>
        <v>　　1.期初余额</v>
      </c>
      <c r="C3555" s="2260">
        <f>报表附注!F3880</f>
        <v>0</v>
      </c>
    </row>
    <row r="3556" spans="2:3">
      <c r="B3556" s="2253" t="str">
        <f>报表附注!E3881</f>
        <v>　　2.本期增加金额</v>
      </c>
      <c r="C3556" s="2260">
        <f>报表附注!F3881</f>
        <v>0</v>
      </c>
    </row>
    <row r="3557" spans="2:3">
      <c r="B3557" s="2253" t="str">
        <f>报表附注!E3882</f>
        <v>　　　（1）计提</v>
      </c>
      <c r="C3557" s="2260">
        <f>报表附注!F3882</f>
        <v>0</v>
      </c>
    </row>
    <row r="3558" spans="2:3">
      <c r="B3558" s="2253">
        <f>报表附注!E3883</f>
        <v>0</v>
      </c>
      <c r="C3558" s="2260">
        <f>报表附注!F3883</f>
        <v>0</v>
      </c>
    </row>
    <row r="3559" spans="2:3">
      <c r="B3559" s="2253" t="str">
        <f>报表附注!E3884</f>
        <v>　　3.本期减少金额</v>
      </c>
      <c r="C3559" s="2260">
        <f>报表附注!F3884</f>
        <v>0</v>
      </c>
    </row>
    <row r="3560" spans="2:3">
      <c r="B3560" s="2253" t="str">
        <f>报表附注!E3885</f>
        <v>　　（1）处置</v>
      </c>
      <c r="C3560" s="2260">
        <f>报表附注!F3885</f>
        <v>0</v>
      </c>
    </row>
    <row r="3561" spans="2:3">
      <c r="B3561" s="2253">
        <f>报表附注!E3886</f>
        <v>0</v>
      </c>
      <c r="C3561" s="2260">
        <f>报表附注!F3886</f>
        <v>0</v>
      </c>
    </row>
    <row r="3562" spans="2:3">
      <c r="B3562" s="2253" t="str">
        <f>报表附注!E3887</f>
        <v>　　4.期末余额</v>
      </c>
      <c r="C3562" s="2260">
        <f>报表附注!F3887</f>
        <v>0</v>
      </c>
    </row>
    <row r="3563" spans="2:3">
      <c r="B3563" s="2253" t="str">
        <f>报表附注!E3888</f>
        <v>四、账面价值</v>
      </c>
      <c r="C3563" s="2260">
        <f>报表附注!F3888</f>
        <v>0</v>
      </c>
    </row>
    <row r="3564" spans="2:3">
      <c r="B3564" s="2263" t="str">
        <f>报表附注!E3889</f>
        <v>　　1.期末账面价值</v>
      </c>
      <c r="C3564" s="2260">
        <f>报表附注!F3889</f>
        <v>0</v>
      </c>
    </row>
    <row r="3565" spans="2:3">
      <c r="B3565" s="2263" t="str">
        <f>报表附注!E3890</f>
        <v>　　2.期初账面价值</v>
      </c>
      <c r="C3565" s="2260">
        <f>报表附注!F3890</f>
        <v>0</v>
      </c>
    </row>
    <row r="3566" spans="2:3">
      <c r="B3566" s="2257" t="str">
        <f>报表附注!$G$3851</f>
        <v>专利权</v>
      </c>
      <c r="C3566" s="2323" t="str">
        <f>报表附注!G3851</f>
        <v>专利权</v>
      </c>
    </row>
    <row r="3567" spans="2:3">
      <c r="B3567" s="2253" t="str">
        <f>报表附注!E3852</f>
        <v>一、账面原值</v>
      </c>
      <c r="C3567" s="2323">
        <f>报表附注!G3852</f>
        <v>0</v>
      </c>
    </row>
    <row r="3568" spans="2:3">
      <c r="B3568" s="2253" t="str">
        <f>报表附注!E3853</f>
        <v>　　1.期初余额</v>
      </c>
      <c r="C3568" s="2260">
        <f>报表附注!G3853</f>
        <v>0</v>
      </c>
    </row>
    <row r="3569" spans="2:3">
      <c r="B3569" s="2253" t="str">
        <f>报表附注!E3854</f>
        <v>　　2.本期增加金额</v>
      </c>
      <c r="C3569" s="2260">
        <f>报表附注!G3854</f>
        <v>0</v>
      </c>
    </row>
    <row r="3570" spans="2:3">
      <c r="B3570" s="2253" t="str">
        <f>报表附注!E3855</f>
        <v>　　　（1）购置</v>
      </c>
      <c r="C3570" s="2260">
        <f>报表附注!G3855</f>
        <v>0</v>
      </c>
    </row>
    <row r="3571" spans="2:3">
      <c r="B3571" s="2253" t="str">
        <f>报表附注!E3856</f>
        <v>　　　（2）内部研发</v>
      </c>
      <c r="C3571" s="2260">
        <f>报表附注!G3856</f>
        <v>0</v>
      </c>
    </row>
    <row r="3572" spans="2:3">
      <c r="B3572" s="2253" t="str">
        <f>报表附注!E3857</f>
        <v>　　　（3）企业合并增加</v>
      </c>
      <c r="C3572" s="2260">
        <f>报表附注!G3857</f>
        <v>0</v>
      </c>
    </row>
    <row r="3573" spans="2:3">
      <c r="B3573" s="2253" t="str">
        <f>报表附注!E3858</f>
        <v>　　　（4）投资性房地产转回</v>
      </c>
      <c r="C3573" s="2260">
        <f>报表附注!G3858</f>
        <v>0</v>
      </c>
    </row>
    <row r="3574" spans="2:3">
      <c r="B3574" s="2253" t="str">
        <f>报表附注!E3859</f>
        <v>　　　（5）其他</v>
      </c>
      <c r="C3574" s="2260">
        <f>报表附注!G3859</f>
        <v>0</v>
      </c>
    </row>
    <row r="3575" spans="2:3">
      <c r="B3575" s="2253" t="str">
        <f>报表附注!E3860</f>
        <v>　　3.本期减少金额</v>
      </c>
      <c r="C3575" s="2260">
        <f>报表附注!G3860</f>
        <v>0</v>
      </c>
    </row>
    <row r="3576" spans="2:3">
      <c r="B3576" s="2253" t="str">
        <f>报表附注!E3861</f>
        <v>　　　（1）处置</v>
      </c>
      <c r="C3576" s="2260">
        <f>报表附注!G3861</f>
        <v>0</v>
      </c>
    </row>
    <row r="3577" spans="2:3">
      <c r="B3577" s="2253" t="str">
        <f>报表附注!E3862</f>
        <v>　　　（2）转入投资性房地产</v>
      </c>
      <c r="C3577" s="2260">
        <f>报表附注!G3862</f>
        <v>0</v>
      </c>
    </row>
    <row r="3578" spans="2:3">
      <c r="B3578" s="2253" t="str">
        <f>报表附注!E3863</f>
        <v>      （3）企业合并减少</v>
      </c>
      <c r="C3578" s="2260">
        <f>报表附注!G3863</f>
        <v>0</v>
      </c>
    </row>
    <row r="3579" spans="2:3">
      <c r="B3579" s="2253" t="str">
        <f>报表附注!E3864</f>
        <v>      （4）其他减少</v>
      </c>
      <c r="C3579" s="2260">
        <f>报表附注!G3864</f>
        <v>0</v>
      </c>
    </row>
    <row r="3580" spans="2:3">
      <c r="B3580" s="2253" t="str">
        <f>报表附注!E3865</f>
        <v>　　4.期末余额</v>
      </c>
      <c r="C3580" s="2260">
        <f>报表附注!G3865</f>
        <v>0</v>
      </c>
    </row>
    <row r="3581" spans="2:3">
      <c r="B3581" s="2253" t="str">
        <f>报表附注!E3866</f>
        <v>二、累计摊销</v>
      </c>
      <c r="C3581" s="2260">
        <f>报表附注!G3866</f>
        <v>0</v>
      </c>
    </row>
    <row r="3582" spans="2:3">
      <c r="B3582" s="2253" t="str">
        <f>报表附注!E3867</f>
        <v>　　1.期初余额</v>
      </c>
      <c r="C3582" s="2260">
        <f>报表附注!G3867</f>
        <v>0</v>
      </c>
    </row>
    <row r="3583" spans="2:3">
      <c r="B3583" s="2253" t="str">
        <f>报表附注!E3868</f>
        <v>　　2.本期增加金额</v>
      </c>
      <c r="C3583" s="2260">
        <f>报表附注!G3868</f>
        <v>0</v>
      </c>
    </row>
    <row r="3584" spans="2:3">
      <c r="B3584" s="2253" t="str">
        <f>报表附注!E3869</f>
        <v>　　　（1）计提</v>
      </c>
      <c r="C3584" s="2260">
        <f>报表附注!G3869</f>
        <v>0</v>
      </c>
    </row>
    <row r="3585" spans="2:3">
      <c r="B3585" s="2253" t="str">
        <f>报表附注!E3870</f>
        <v>      （2）企业合并增加</v>
      </c>
      <c r="C3585" s="2260">
        <f>报表附注!G3870</f>
        <v>0</v>
      </c>
    </row>
    <row r="3586" spans="2:3">
      <c r="B3586" s="2253" t="str">
        <f>报表附注!E3871</f>
        <v>　　　（3）投资性房地产转回</v>
      </c>
      <c r="C3586" s="2260">
        <f>报表附注!G3871</f>
        <v>0</v>
      </c>
    </row>
    <row r="3587" spans="2:3">
      <c r="B3587" s="2253" t="str">
        <f>报表附注!E3872</f>
        <v>　　　（4）其他转入</v>
      </c>
      <c r="C3587" s="2260">
        <f>报表附注!G3872</f>
        <v>0</v>
      </c>
    </row>
    <row r="3588" spans="2:3">
      <c r="B3588" s="2253" t="str">
        <f>报表附注!E3873</f>
        <v>　　3.本期减少金额</v>
      </c>
      <c r="C3588" s="2260">
        <f>报表附注!G3873</f>
        <v>0</v>
      </c>
    </row>
    <row r="3589" spans="2:3">
      <c r="B3589" s="2253" t="str">
        <f>报表附注!E3874</f>
        <v>　　　（1）处置</v>
      </c>
      <c r="C3589" s="2260">
        <f>报表附注!G3874</f>
        <v>0</v>
      </c>
    </row>
    <row r="3590" spans="2:3">
      <c r="B3590" s="2253" t="str">
        <f>报表附注!E3875</f>
        <v>　　　（2）转入投资性房地产</v>
      </c>
      <c r="C3590" s="2260">
        <f>报表附注!G3875</f>
        <v>0</v>
      </c>
    </row>
    <row r="3591" spans="2:3">
      <c r="B3591" s="2253" t="str">
        <f>报表附注!E3876</f>
        <v>      （3）企业合并减少</v>
      </c>
      <c r="C3591" s="2260">
        <f>报表附注!G3876</f>
        <v>0</v>
      </c>
    </row>
    <row r="3592" spans="2:3">
      <c r="B3592" s="2253" t="str">
        <f>报表附注!E3877</f>
        <v>　　　（4）其他转出</v>
      </c>
      <c r="C3592" s="2260">
        <f>报表附注!G3877</f>
        <v>0</v>
      </c>
    </row>
    <row r="3593" spans="2:3">
      <c r="B3593" s="2253" t="str">
        <f>报表附注!E3878</f>
        <v>　　4.期末余额</v>
      </c>
      <c r="C3593" s="2260">
        <f>报表附注!G3878</f>
        <v>0</v>
      </c>
    </row>
    <row r="3594" spans="2:3">
      <c r="B3594" s="2253" t="str">
        <f>报表附注!E3879</f>
        <v>三、减值准备</v>
      </c>
      <c r="C3594" s="2260">
        <f>报表附注!G3879</f>
        <v>0</v>
      </c>
    </row>
    <row r="3595" spans="2:3">
      <c r="B3595" s="2253" t="str">
        <f>报表附注!E3880</f>
        <v>　　1.期初余额</v>
      </c>
      <c r="C3595" s="2260">
        <f>报表附注!G3880</f>
        <v>0</v>
      </c>
    </row>
    <row r="3596" spans="2:3">
      <c r="B3596" s="2253" t="str">
        <f>报表附注!E3881</f>
        <v>　　2.本期增加金额</v>
      </c>
      <c r="C3596" s="2260">
        <f>报表附注!G3881</f>
        <v>0</v>
      </c>
    </row>
    <row r="3597" spans="2:3">
      <c r="B3597" s="2253" t="str">
        <f>报表附注!E3882</f>
        <v>　　　（1）计提</v>
      </c>
      <c r="C3597" s="2260">
        <f>报表附注!G3882</f>
        <v>0</v>
      </c>
    </row>
    <row r="3598" spans="2:3">
      <c r="B3598" s="2253">
        <f>报表附注!E3883</f>
        <v>0</v>
      </c>
      <c r="C3598" s="2260">
        <f>报表附注!G3883</f>
        <v>0</v>
      </c>
    </row>
    <row r="3599" spans="2:3">
      <c r="B3599" s="2253" t="str">
        <f>报表附注!E3884</f>
        <v>　　3.本期减少金额</v>
      </c>
      <c r="C3599" s="2260">
        <f>报表附注!G3884</f>
        <v>0</v>
      </c>
    </row>
    <row r="3600" spans="2:3">
      <c r="B3600" s="2253" t="str">
        <f>报表附注!E3885</f>
        <v>　　（1）处置</v>
      </c>
      <c r="C3600" s="2260">
        <f>报表附注!G3885</f>
        <v>0</v>
      </c>
    </row>
    <row r="3601" spans="2:3">
      <c r="B3601" s="2253">
        <f>报表附注!E3886</f>
        <v>0</v>
      </c>
      <c r="C3601" s="2260">
        <f>报表附注!G3886</f>
        <v>0</v>
      </c>
    </row>
    <row r="3602" spans="2:3">
      <c r="B3602" s="2253" t="str">
        <f>报表附注!E3887</f>
        <v>　　4.期末余额</v>
      </c>
      <c r="C3602" s="2260">
        <f>报表附注!G3887</f>
        <v>0</v>
      </c>
    </row>
    <row r="3603" spans="2:3">
      <c r="B3603" s="2253" t="str">
        <f>报表附注!E3888</f>
        <v>四、账面价值</v>
      </c>
      <c r="C3603" s="2260">
        <f>报表附注!G3888</f>
        <v>0</v>
      </c>
    </row>
    <row r="3604" spans="2:3">
      <c r="B3604" s="2263" t="str">
        <f>报表附注!E3889</f>
        <v>　　1.期末账面价值</v>
      </c>
      <c r="C3604" s="2260">
        <f>报表附注!G3889</f>
        <v>0</v>
      </c>
    </row>
    <row r="3605" spans="2:3">
      <c r="B3605" s="2263" t="str">
        <f>报表附注!E3890</f>
        <v>　　2.期初账面价值</v>
      </c>
      <c r="C3605" s="2260">
        <f>报表附注!G3890</f>
        <v>0</v>
      </c>
    </row>
    <row r="3606" spans="2:3">
      <c r="B3606" s="2257" t="str">
        <f>报表附注!$H$3851</f>
        <v>软件</v>
      </c>
      <c r="C3606" s="2323" t="str">
        <f>报表附注!H3851</f>
        <v>软件</v>
      </c>
    </row>
    <row r="3607" spans="2:3">
      <c r="B3607" s="2253" t="str">
        <f>报表附注!E3852</f>
        <v>一、账面原值</v>
      </c>
      <c r="C3607" s="2323">
        <f>报表附注!H3852</f>
        <v>0</v>
      </c>
    </row>
    <row r="3608" spans="2:3">
      <c r="B3608" s="2253" t="str">
        <f>报表附注!E3853</f>
        <v>　　1.期初余额</v>
      </c>
      <c r="C3608" s="2319">
        <f>报表附注!H3853</f>
        <v>18000</v>
      </c>
    </row>
    <row r="3609" spans="2:3">
      <c r="B3609" s="2253" t="str">
        <f>报表附注!E3854</f>
        <v>　　2.本期增加金额</v>
      </c>
      <c r="C3609" s="2319">
        <f>报表附注!H3854</f>
        <v>0</v>
      </c>
    </row>
    <row r="3610" spans="2:3">
      <c r="B3610" s="2253" t="str">
        <f>报表附注!E3855</f>
        <v>　　　（1）购置</v>
      </c>
      <c r="C3610" s="2319">
        <f>报表附注!H3855</f>
        <v>0</v>
      </c>
    </row>
    <row r="3611" spans="2:3">
      <c r="B3611" s="2253" t="str">
        <f>报表附注!E3856</f>
        <v>　　　（2）内部研发</v>
      </c>
      <c r="C3611" s="2319">
        <f>报表附注!H3856</f>
        <v>0</v>
      </c>
    </row>
    <row r="3612" spans="2:3">
      <c r="B3612" s="2253" t="str">
        <f>报表附注!E3857</f>
        <v>　　　（3）企业合并增加</v>
      </c>
      <c r="C3612" s="2319">
        <f>报表附注!H3857</f>
        <v>0</v>
      </c>
    </row>
    <row r="3613" spans="2:3">
      <c r="B3613" s="2253" t="str">
        <f>报表附注!E3858</f>
        <v>　　　（4）投资性房地产转回</v>
      </c>
      <c r="C3613" s="2319">
        <f>报表附注!H3858</f>
        <v>0</v>
      </c>
    </row>
    <row r="3614" spans="2:3">
      <c r="B3614" s="2253" t="str">
        <f>报表附注!E3859</f>
        <v>　　　（5）其他</v>
      </c>
      <c r="C3614" s="2319">
        <f>报表附注!H3859</f>
        <v>0</v>
      </c>
    </row>
    <row r="3615" spans="2:3">
      <c r="B3615" s="2253" t="str">
        <f>报表附注!E3860</f>
        <v>　　3.本期减少金额</v>
      </c>
      <c r="C3615" s="2319">
        <f>报表附注!H3860</f>
        <v>0</v>
      </c>
    </row>
    <row r="3616" spans="2:3">
      <c r="B3616" s="2253" t="str">
        <f>报表附注!E3861</f>
        <v>　　　（1）处置</v>
      </c>
      <c r="C3616" s="2319">
        <f>报表附注!H3861</f>
        <v>0</v>
      </c>
    </row>
    <row r="3617" spans="2:3">
      <c r="B3617" s="2253" t="str">
        <f>报表附注!E3862</f>
        <v>　　　（2）转入投资性房地产</v>
      </c>
      <c r="C3617" s="2319">
        <f>报表附注!H3862</f>
        <v>0</v>
      </c>
    </row>
    <row r="3618" spans="2:3">
      <c r="B3618" s="2253" t="str">
        <f>报表附注!E3863</f>
        <v>      （3）企业合并减少</v>
      </c>
      <c r="C3618" s="2319">
        <f>报表附注!H3863</f>
        <v>0</v>
      </c>
    </row>
    <row r="3619" spans="2:3">
      <c r="B3619" s="2253" t="str">
        <f>报表附注!E3864</f>
        <v>      （4）其他减少</v>
      </c>
      <c r="C3619" s="2319">
        <f>报表附注!H3864</f>
        <v>0</v>
      </c>
    </row>
    <row r="3620" spans="2:3">
      <c r="B3620" s="2253" t="str">
        <f>报表附注!E3865</f>
        <v>　　4.期末余额</v>
      </c>
      <c r="C3620" s="2319">
        <f>报表附注!H3865</f>
        <v>18000</v>
      </c>
    </row>
    <row r="3621" spans="2:3">
      <c r="B3621" s="2253" t="str">
        <f>报表附注!E3866</f>
        <v>二、累计摊销</v>
      </c>
      <c r="C3621" s="2319">
        <f>报表附注!H3866</f>
        <v>0</v>
      </c>
    </row>
    <row r="3622" spans="2:3">
      <c r="B3622" s="2253" t="str">
        <f>报表附注!E3867</f>
        <v>　　1.期初余额</v>
      </c>
      <c r="C3622" s="2319">
        <f>报表附注!H3867</f>
        <v>2000</v>
      </c>
    </row>
    <row r="3623" spans="2:3">
      <c r="B3623" s="2253" t="str">
        <f>报表附注!E3868</f>
        <v>　　2.本期增加金额</v>
      </c>
      <c r="C3623" s="2319">
        <f>报表附注!H3868</f>
        <v>6000</v>
      </c>
    </row>
    <row r="3624" spans="2:3">
      <c r="B3624" s="2253" t="str">
        <f>报表附注!E3869</f>
        <v>　　　（1）计提</v>
      </c>
      <c r="C3624" s="2319">
        <f>报表附注!H3869</f>
        <v>6000</v>
      </c>
    </row>
    <row r="3625" spans="2:3">
      <c r="B3625" s="2253" t="str">
        <f>报表附注!E3870</f>
        <v>      （2）企业合并增加</v>
      </c>
      <c r="C3625" s="2319">
        <f>报表附注!H3870</f>
        <v>0</v>
      </c>
    </row>
    <row r="3626" spans="2:3">
      <c r="B3626" s="2253" t="str">
        <f>报表附注!E3871</f>
        <v>　　　（3）投资性房地产转回</v>
      </c>
      <c r="C3626" s="2319">
        <f>报表附注!H3871</f>
        <v>0</v>
      </c>
    </row>
    <row r="3627" spans="2:3">
      <c r="B3627" s="2253" t="str">
        <f>报表附注!E3872</f>
        <v>　　　（4）其他转入</v>
      </c>
      <c r="C3627" s="2319">
        <f>报表附注!H3872</f>
        <v>0</v>
      </c>
    </row>
    <row r="3628" spans="2:3">
      <c r="B3628" s="2253" t="str">
        <f>报表附注!E3873</f>
        <v>　　3.本期减少金额</v>
      </c>
      <c r="C3628" s="2319">
        <f>报表附注!H3873</f>
        <v>0</v>
      </c>
    </row>
    <row r="3629" spans="2:3">
      <c r="B3629" s="2253" t="str">
        <f>报表附注!E3874</f>
        <v>　　　（1）处置</v>
      </c>
      <c r="C3629" s="2319">
        <f>报表附注!H3874</f>
        <v>0</v>
      </c>
    </row>
    <row r="3630" spans="2:3">
      <c r="B3630" s="2253" t="str">
        <f>报表附注!E3875</f>
        <v>　　　（2）转入投资性房地产</v>
      </c>
      <c r="C3630" s="2319">
        <f>报表附注!H3875</f>
        <v>0</v>
      </c>
    </row>
    <row r="3631" spans="2:3">
      <c r="B3631" s="2253" t="str">
        <f>报表附注!E3876</f>
        <v>      （3）企业合并减少</v>
      </c>
      <c r="C3631" s="2319">
        <f>报表附注!H3876</f>
        <v>0</v>
      </c>
    </row>
    <row r="3632" spans="2:3">
      <c r="B3632" s="2253" t="str">
        <f>报表附注!E3877</f>
        <v>　　　（4）其他转出</v>
      </c>
      <c r="C3632" s="2319">
        <f>报表附注!H3877</f>
        <v>0</v>
      </c>
    </row>
    <row r="3633" spans="2:3">
      <c r="B3633" s="2253" t="str">
        <f>报表附注!E3878</f>
        <v>　　4.期末余额</v>
      </c>
      <c r="C3633" s="2319">
        <f>报表附注!H3878</f>
        <v>8000</v>
      </c>
    </row>
    <row r="3634" spans="2:3">
      <c r="B3634" s="2253" t="str">
        <f>报表附注!E3879</f>
        <v>三、减值准备</v>
      </c>
      <c r="C3634" s="2319">
        <f>报表附注!H3879</f>
        <v>0</v>
      </c>
    </row>
    <row r="3635" spans="2:3">
      <c r="B3635" s="2253" t="str">
        <f>报表附注!E3880</f>
        <v>　　1.期初余额</v>
      </c>
      <c r="C3635" s="2319">
        <f>报表附注!H3880</f>
        <v>0</v>
      </c>
    </row>
    <row r="3636" spans="2:3">
      <c r="B3636" s="2253" t="str">
        <f>报表附注!E3881</f>
        <v>　　2.本期增加金额</v>
      </c>
      <c r="C3636" s="2319">
        <f>报表附注!H3881</f>
        <v>0</v>
      </c>
    </row>
    <row r="3637" spans="2:3">
      <c r="B3637" s="2253" t="str">
        <f>报表附注!E3882</f>
        <v>　　　（1）计提</v>
      </c>
      <c r="C3637" s="2319">
        <f>报表附注!H3882</f>
        <v>0</v>
      </c>
    </row>
    <row r="3638" spans="2:3">
      <c r="B3638" s="2253">
        <f>报表附注!E3883</f>
        <v>0</v>
      </c>
      <c r="C3638" s="2319">
        <f>报表附注!H3883</f>
        <v>0</v>
      </c>
    </row>
    <row r="3639" spans="2:3">
      <c r="B3639" s="2253" t="str">
        <f>报表附注!E3884</f>
        <v>　　3.本期减少金额</v>
      </c>
      <c r="C3639" s="2319">
        <f>报表附注!H3884</f>
        <v>0</v>
      </c>
    </row>
    <row r="3640" spans="2:3">
      <c r="B3640" s="2253" t="str">
        <f>报表附注!E3885</f>
        <v>　　（1）处置</v>
      </c>
      <c r="C3640" s="2319">
        <f>报表附注!H3885</f>
        <v>0</v>
      </c>
    </row>
    <row r="3641" spans="2:3">
      <c r="B3641" s="2253">
        <f>报表附注!E3886</f>
        <v>0</v>
      </c>
      <c r="C3641" s="2319">
        <f>报表附注!H3886</f>
        <v>0</v>
      </c>
    </row>
    <row r="3642" spans="2:3">
      <c r="B3642" s="2253" t="str">
        <f>报表附注!E3887</f>
        <v>　　4.期末余额</v>
      </c>
      <c r="C3642" s="2319">
        <f>报表附注!H3887</f>
        <v>0</v>
      </c>
    </row>
    <row r="3643" spans="2:3">
      <c r="B3643" s="2253" t="str">
        <f>报表附注!E3888</f>
        <v>四、账面价值</v>
      </c>
      <c r="C3643" s="2319">
        <f>报表附注!H3888</f>
        <v>0</v>
      </c>
    </row>
    <row r="3644" spans="2:3">
      <c r="B3644" s="2263" t="str">
        <f>报表附注!E3889</f>
        <v>　　1.期末账面价值</v>
      </c>
      <c r="C3644" s="2319">
        <f>报表附注!H3889</f>
        <v>10000</v>
      </c>
    </row>
    <row r="3645" spans="2:3">
      <c r="B3645" s="2263" t="str">
        <f>报表附注!E3890</f>
        <v>　　2.期初账面价值</v>
      </c>
      <c r="C3645" s="2319">
        <f>报表附注!H3890</f>
        <v>16000</v>
      </c>
    </row>
    <row r="3646" spans="2:3">
      <c r="B3646" s="2324" t="str">
        <f>报表附注!$I$3851</f>
        <v>其他</v>
      </c>
      <c r="C3646" s="2254" t="str">
        <f>报表附注!I3851</f>
        <v>其他</v>
      </c>
    </row>
    <row r="3647" spans="2:3">
      <c r="B3647" s="2253" t="str">
        <f>报表附注!E3852</f>
        <v>一、账面原值</v>
      </c>
      <c r="C3647" s="2254">
        <f>报表附注!I3852</f>
        <v>0</v>
      </c>
    </row>
    <row r="3648" spans="2:3">
      <c r="B3648" s="2253" t="str">
        <f>报表附注!E3853</f>
        <v>　　1.期初余额</v>
      </c>
      <c r="C3648" s="2319">
        <f>报表附注!I3853</f>
        <v>0</v>
      </c>
    </row>
    <row r="3649" spans="2:3">
      <c r="B3649" s="2253" t="str">
        <f>报表附注!E3854</f>
        <v>　　2.本期增加金额</v>
      </c>
      <c r="C3649" s="2319">
        <f>报表附注!I3854</f>
        <v>0</v>
      </c>
    </row>
    <row r="3650" spans="2:3">
      <c r="B3650" s="2253" t="str">
        <f>报表附注!E3855</f>
        <v>　　　（1）购置</v>
      </c>
      <c r="C3650" s="2319">
        <f>报表附注!I3855</f>
        <v>0</v>
      </c>
    </row>
    <row r="3651" spans="2:3">
      <c r="B3651" s="2253" t="str">
        <f>报表附注!E3856</f>
        <v>　　　（2）内部研发</v>
      </c>
      <c r="C3651" s="2319">
        <f>报表附注!I3856</f>
        <v>0</v>
      </c>
    </row>
    <row r="3652" spans="2:3">
      <c r="B3652" s="2253" t="str">
        <f>报表附注!E3857</f>
        <v>　　　（3）企业合并增加</v>
      </c>
      <c r="C3652" s="2319">
        <f>报表附注!I3857</f>
        <v>0</v>
      </c>
    </row>
    <row r="3653" spans="2:3">
      <c r="B3653" s="2253" t="str">
        <f>报表附注!E3858</f>
        <v>　　　（4）投资性房地产转回</v>
      </c>
      <c r="C3653" s="2319">
        <f>报表附注!I3858</f>
        <v>0</v>
      </c>
    </row>
    <row r="3654" spans="2:3">
      <c r="B3654" s="2253" t="str">
        <f>报表附注!E3859</f>
        <v>　　　（5）其他</v>
      </c>
      <c r="C3654" s="2319">
        <f>报表附注!I3859</f>
        <v>0</v>
      </c>
    </row>
    <row r="3655" spans="2:3">
      <c r="B3655" s="2253" t="str">
        <f>报表附注!E3860</f>
        <v>　　3.本期减少金额</v>
      </c>
      <c r="C3655" s="2319">
        <f>报表附注!I3860</f>
        <v>0</v>
      </c>
    </row>
    <row r="3656" spans="2:3">
      <c r="B3656" s="2253" t="str">
        <f>报表附注!E3861</f>
        <v>　　　（1）处置</v>
      </c>
      <c r="C3656" s="2319">
        <f>报表附注!I3861</f>
        <v>0</v>
      </c>
    </row>
    <row r="3657" spans="2:3">
      <c r="B3657" s="2253" t="str">
        <f>报表附注!E3862</f>
        <v>　　　（2）转入投资性房地产</v>
      </c>
      <c r="C3657" s="2319">
        <f>报表附注!I3862</f>
        <v>0</v>
      </c>
    </row>
    <row r="3658" spans="2:3">
      <c r="B3658" s="2253" t="str">
        <f>报表附注!E3863</f>
        <v>      （3）企业合并减少</v>
      </c>
      <c r="C3658" s="2319">
        <f>报表附注!I3863</f>
        <v>0</v>
      </c>
    </row>
    <row r="3659" spans="2:3">
      <c r="B3659" s="2253" t="str">
        <f>报表附注!E3864</f>
        <v>      （4）其他减少</v>
      </c>
      <c r="C3659" s="2319">
        <f>报表附注!I3864</f>
        <v>0</v>
      </c>
    </row>
    <row r="3660" spans="2:3">
      <c r="B3660" s="2253" t="str">
        <f>报表附注!E3865</f>
        <v>　　4.期末余额</v>
      </c>
      <c r="C3660" s="2319">
        <f>报表附注!I3865</f>
        <v>0</v>
      </c>
    </row>
    <row r="3661" spans="2:3">
      <c r="B3661" s="2253" t="str">
        <f>报表附注!E3866</f>
        <v>二、累计摊销</v>
      </c>
      <c r="C3661" s="2319">
        <f>报表附注!I3866</f>
        <v>0</v>
      </c>
    </row>
    <row r="3662" spans="2:3">
      <c r="B3662" s="2253" t="str">
        <f>报表附注!E3867</f>
        <v>　　1.期初余额</v>
      </c>
      <c r="C3662" s="2319">
        <f>报表附注!I3867</f>
        <v>0</v>
      </c>
    </row>
    <row r="3663" spans="2:3">
      <c r="B3663" s="2253" t="str">
        <f>报表附注!E3868</f>
        <v>　　2.本期增加金额</v>
      </c>
      <c r="C3663" s="2319">
        <f>报表附注!I3868</f>
        <v>0</v>
      </c>
    </row>
    <row r="3664" spans="2:3">
      <c r="B3664" s="2253" t="str">
        <f>报表附注!E3869</f>
        <v>　　　（1）计提</v>
      </c>
      <c r="C3664" s="2319">
        <f>报表附注!I3869</f>
        <v>0</v>
      </c>
    </row>
    <row r="3665" spans="2:3">
      <c r="B3665" s="2253" t="str">
        <f>报表附注!E3870</f>
        <v>      （2）企业合并增加</v>
      </c>
      <c r="C3665" s="2319">
        <f>报表附注!I3870</f>
        <v>0</v>
      </c>
    </row>
    <row r="3666" spans="2:3">
      <c r="B3666" s="2253" t="str">
        <f>报表附注!E3871</f>
        <v>　　　（3）投资性房地产转回</v>
      </c>
      <c r="C3666" s="2319">
        <f>报表附注!I3871</f>
        <v>0</v>
      </c>
    </row>
    <row r="3667" spans="2:3">
      <c r="B3667" s="2253" t="str">
        <f>报表附注!E3872</f>
        <v>　　　（4）其他转入</v>
      </c>
      <c r="C3667" s="2319">
        <f>报表附注!I3872</f>
        <v>0</v>
      </c>
    </row>
    <row r="3668" spans="2:3">
      <c r="B3668" s="2253" t="str">
        <f>报表附注!E3873</f>
        <v>　　3.本期减少金额</v>
      </c>
      <c r="C3668" s="2319">
        <f>报表附注!I3873</f>
        <v>0</v>
      </c>
    </row>
    <row r="3669" spans="2:3">
      <c r="B3669" s="2253" t="str">
        <f>报表附注!E3874</f>
        <v>　　　（1）处置</v>
      </c>
      <c r="C3669" s="2319">
        <f>报表附注!I3874</f>
        <v>0</v>
      </c>
    </row>
    <row r="3670" spans="2:3">
      <c r="B3670" s="2253" t="str">
        <f>报表附注!E3875</f>
        <v>　　　（2）转入投资性房地产</v>
      </c>
      <c r="C3670" s="2319">
        <f>报表附注!I3875</f>
        <v>0</v>
      </c>
    </row>
    <row r="3671" spans="2:3">
      <c r="B3671" s="2253" t="str">
        <f>报表附注!E3876</f>
        <v>      （3）企业合并减少</v>
      </c>
      <c r="C3671" s="2319">
        <f>报表附注!I3876</f>
        <v>0</v>
      </c>
    </row>
    <row r="3672" spans="2:3">
      <c r="B3672" s="2253" t="str">
        <f>报表附注!E3877</f>
        <v>　　　（4）其他转出</v>
      </c>
      <c r="C3672" s="2319">
        <f>报表附注!I3877</f>
        <v>0</v>
      </c>
    </row>
    <row r="3673" spans="2:3">
      <c r="B3673" s="2253" t="str">
        <f>报表附注!E3878</f>
        <v>　　4.期末余额</v>
      </c>
      <c r="C3673" s="2319">
        <f>报表附注!I3878</f>
        <v>0</v>
      </c>
    </row>
    <row r="3674" spans="2:3">
      <c r="B3674" s="2253" t="str">
        <f>报表附注!E3879</f>
        <v>三、减值准备</v>
      </c>
      <c r="C3674" s="2319">
        <f>报表附注!I3879</f>
        <v>0</v>
      </c>
    </row>
    <row r="3675" spans="2:3">
      <c r="B3675" s="2253" t="str">
        <f>报表附注!E3880</f>
        <v>　　1.期初余额</v>
      </c>
      <c r="C3675" s="2319">
        <f>报表附注!I3880</f>
        <v>0</v>
      </c>
    </row>
    <row r="3676" spans="2:3">
      <c r="B3676" s="2253" t="str">
        <f>报表附注!E3881</f>
        <v>　　2.本期增加金额</v>
      </c>
      <c r="C3676" s="2319">
        <f>报表附注!I3881</f>
        <v>0</v>
      </c>
    </row>
    <row r="3677" spans="2:3">
      <c r="B3677" s="2253" t="str">
        <f>报表附注!E3882</f>
        <v>　　　（1）计提</v>
      </c>
      <c r="C3677" s="2319">
        <f>报表附注!I3882</f>
        <v>0</v>
      </c>
    </row>
    <row r="3678" spans="2:3">
      <c r="B3678" s="2253">
        <f>报表附注!E3883</f>
        <v>0</v>
      </c>
      <c r="C3678" s="2319">
        <f>报表附注!I3883</f>
        <v>0</v>
      </c>
    </row>
    <row r="3679" spans="2:3">
      <c r="B3679" s="2253" t="str">
        <f>报表附注!E3884</f>
        <v>　　3.本期减少金额</v>
      </c>
      <c r="C3679" s="2319">
        <f>报表附注!I3884</f>
        <v>0</v>
      </c>
    </row>
    <row r="3680" spans="2:3">
      <c r="B3680" s="2253" t="str">
        <f>报表附注!E3885</f>
        <v>　　（1）处置</v>
      </c>
      <c r="C3680" s="2319">
        <f>报表附注!I3885</f>
        <v>0</v>
      </c>
    </row>
    <row r="3681" spans="2:3">
      <c r="B3681" s="2253">
        <f>报表附注!E3886</f>
        <v>0</v>
      </c>
      <c r="C3681" s="2319">
        <f>报表附注!I3886</f>
        <v>0</v>
      </c>
    </row>
    <row r="3682" spans="2:3">
      <c r="B3682" s="2253" t="str">
        <f>报表附注!E3887</f>
        <v>　　4.期末余额</v>
      </c>
      <c r="C3682" s="2319">
        <f>报表附注!I3887</f>
        <v>0</v>
      </c>
    </row>
    <row r="3683" spans="2:3">
      <c r="B3683" s="2253" t="str">
        <f>报表附注!E3888</f>
        <v>四、账面价值</v>
      </c>
      <c r="C3683" s="2319">
        <f>报表附注!I3888</f>
        <v>0</v>
      </c>
    </row>
    <row r="3684" spans="2:3">
      <c r="B3684" s="2263" t="str">
        <f>报表附注!E3889</f>
        <v>　　1.期末账面价值</v>
      </c>
      <c r="C3684" s="2319">
        <f>报表附注!I3889</f>
        <v>0</v>
      </c>
    </row>
    <row r="3685" spans="2:3">
      <c r="B3685" s="2263" t="str">
        <f>报表附注!E3890</f>
        <v>　　2.期初账面价值</v>
      </c>
      <c r="C3685" s="2319">
        <f>报表附注!I3890</f>
        <v>0</v>
      </c>
    </row>
    <row r="3686" spans="2:3">
      <c r="B3686" s="2257" t="str">
        <f>报表附注!J3851</f>
        <v>合计</v>
      </c>
      <c r="C3686" s="2325" t="str">
        <f>报表附注!J3851</f>
        <v>合计</v>
      </c>
    </row>
    <row r="3687" spans="2:3">
      <c r="B3687" s="2253" t="str">
        <f>报表附注!E3852</f>
        <v>一、账面原值</v>
      </c>
      <c r="C3687" s="2325">
        <f>报表附注!J3852</f>
        <v>0</v>
      </c>
    </row>
    <row r="3688" spans="2:3">
      <c r="B3688" s="2253" t="str">
        <f>报表附注!E3853</f>
        <v>　　1.期初余额</v>
      </c>
      <c r="C3688" s="2326">
        <f>报表附注!J3853</f>
        <v>18000</v>
      </c>
    </row>
    <row r="3689" spans="2:3">
      <c r="B3689" s="2253" t="str">
        <f>报表附注!E3854</f>
        <v>　　2.本期增加金额</v>
      </c>
      <c r="C3689" s="2326">
        <f>报表附注!J3854</f>
        <v>0</v>
      </c>
    </row>
    <row r="3690" spans="2:3">
      <c r="B3690" s="2253" t="str">
        <f>报表附注!E3855</f>
        <v>　　　（1）购置</v>
      </c>
      <c r="C3690" s="2326">
        <f>报表附注!J3855</f>
        <v>0</v>
      </c>
    </row>
    <row r="3691" spans="2:3">
      <c r="B3691" s="2253" t="str">
        <f>报表附注!E3856</f>
        <v>　　　（2）内部研发</v>
      </c>
      <c r="C3691" s="2326">
        <f>报表附注!J3856</f>
        <v>0</v>
      </c>
    </row>
    <row r="3692" spans="2:3">
      <c r="B3692" s="2253" t="str">
        <f>报表附注!E3857</f>
        <v>　　　（3）企业合并增加</v>
      </c>
      <c r="C3692" s="2326">
        <f>报表附注!J3857</f>
        <v>0</v>
      </c>
    </row>
    <row r="3693" spans="2:3">
      <c r="B3693" s="2253" t="str">
        <f>报表附注!E3858</f>
        <v>　　　（4）投资性房地产转回</v>
      </c>
      <c r="C3693" s="2326">
        <f>报表附注!J3858</f>
        <v>0</v>
      </c>
    </row>
    <row r="3694" spans="2:3">
      <c r="B3694" s="2253" t="str">
        <f>报表附注!E3859</f>
        <v>　　　（5）其他</v>
      </c>
      <c r="C3694" s="2326">
        <f>报表附注!J3859</f>
        <v>0</v>
      </c>
    </row>
    <row r="3695" spans="2:3">
      <c r="B3695" s="2253" t="str">
        <f>报表附注!E3860</f>
        <v>　　3.本期减少金额</v>
      </c>
      <c r="C3695" s="2326">
        <f>报表附注!J3860</f>
        <v>0</v>
      </c>
    </row>
    <row r="3696" spans="2:3">
      <c r="B3696" s="2253" t="str">
        <f>报表附注!E3861</f>
        <v>　　　（1）处置</v>
      </c>
      <c r="C3696" s="2326">
        <f>报表附注!J3861</f>
        <v>0</v>
      </c>
    </row>
    <row r="3697" spans="2:3">
      <c r="B3697" s="2253" t="str">
        <f>报表附注!E3862</f>
        <v>　　　（2）转入投资性房地产</v>
      </c>
      <c r="C3697" s="2326">
        <f>报表附注!J3862</f>
        <v>0</v>
      </c>
    </row>
    <row r="3698" spans="2:3">
      <c r="B3698" s="2253" t="str">
        <f>报表附注!E3863</f>
        <v>      （3）企业合并减少</v>
      </c>
      <c r="C3698" s="2326">
        <f>报表附注!J3863</f>
        <v>0</v>
      </c>
    </row>
    <row r="3699" spans="2:3">
      <c r="B3699" s="2253" t="str">
        <f>报表附注!E3864</f>
        <v>      （4）其他减少</v>
      </c>
      <c r="C3699" s="2326">
        <f>报表附注!J3864</f>
        <v>0</v>
      </c>
    </row>
    <row r="3700" spans="2:3">
      <c r="B3700" s="2253" t="str">
        <f>报表附注!E3865</f>
        <v>　　4.期末余额</v>
      </c>
      <c r="C3700" s="2326">
        <f>报表附注!J3865</f>
        <v>18000</v>
      </c>
    </row>
    <row r="3701" spans="2:3">
      <c r="B3701" s="2253" t="str">
        <f>报表附注!E3866</f>
        <v>二、累计摊销</v>
      </c>
      <c r="C3701" s="2326">
        <f>报表附注!J3866</f>
        <v>0</v>
      </c>
    </row>
    <row r="3702" spans="2:3">
      <c r="B3702" s="2253" t="str">
        <f>报表附注!E3867</f>
        <v>　　1.期初余额</v>
      </c>
      <c r="C3702" s="2326">
        <f>报表附注!J3867</f>
        <v>2000</v>
      </c>
    </row>
    <row r="3703" spans="2:3">
      <c r="B3703" s="2253" t="str">
        <f>报表附注!E3868</f>
        <v>　　2.本期增加金额</v>
      </c>
      <c r="C3703" s="2326">
        <f>报表附注!J3868</f>
        <v>6000</v>
      </c>
    </row>
    <row r="3704" spans="2:3">
      <c r="B3704" s="2253" t="str">
        <f>报表附注!E3869</f>
        <v>　　　（1）计提</v>
      </c>
      <c r="C3704" s="2326">
        <f>报表附注!J3869</f>
        <v>6000</v>
      </c>
    </row>
    <row r="3705" spans="2:3">
      <c r="B3705" s="2253" t="str">
        <f>报表附注!E3870</f>
        <v>      （2）企业合并增加</v>
      </c>
      <c r="C3705" s="2326">
        <f>报表附注!J3870</f>
        <v>0</v>
      </c>
    </row>
    <row r="3706" spans="2:3">
      <c r="B3706" s="2253" t="str">
        <f>报表附注!E3871</f>
        <v>　　　（3）投资性房地产转回</v>
      </c>
      <c r="C3706" s="2326">
        <f>报表附注!J3871</f>
        <v>0</v>
      </c>
    </row>
    <row r="3707" spans="2:3">
      <c r="B3707" s="2253" t="str">
        <f>报表附注!E3872</f>
        <v>　　　（4）其他转入</v>
      </c>
      <c r="C3707" s="2326">
        <f>报表附注!J3872</f>
        <v>0</v>
      </c>
    </row>
    <row r="3708" spans="2:3">
      <c r="B3708" s="2253" t="str">
        <f>报表附注!E3873</f>
        <v>　　3.本期减少金额</v>
      </c>
      <c r="C3708" s="2326">
        <f>报表附注!J3873</f>
        <v>0</v>
      </c>
    </row>
    <row r="3709" spans="2:3">
      <c r="B3709" s="2253" t="str">
        <f>报表附注!E3874</f>
        <v>　　　（1）处置</v>
      </c>
      <c r="C3709" s="2326">
        <f>报表附注!J3874</f>
        <v>0</v>
      </c>
    </row>
    <row r="3710" spans="2:3">
      <c r="B3710" s="2253" t="str">
        <f>报表附注!E3875</f>
        <v>　　　（2）转入投资性房地产</v>
      </c>
      <c r="C3710" s="2326">
        <f>报表附注!J3875</f>
        <v>0</v>
      </c>
    </row>
    <row r="3711" spans="2:3">
      <c r="B3711" s="2253" t="str">
        <f>报表附注!E3876</f>
        <v>      （3）企业合并减少</v>
      </c>
      <c r="C3711" s="2326">
        <f>报表附注!J3876</f>
        <v>0</v>
      </c>
    </row>
    <row r="3712" spans="2:3">
      <c r="B3712" s="2253" t="str">
        <f>报表附注!E3877</f>
        <v>　　　（4）其他转出</v>
      </c>
      <c r="C3712" s="2326">
        <f>报表附注!J3877</f>
        <v>0</v>
      </c>
    </row>
    <row r="3713" spans="2:3">
      <c r="B3713" s="2253" t="str">
        <f>报表附注!E3878</f>
        <v>　　4.期末余额</v>
      </c>
      <c r="C3713" s="2326">
        <f>报表附注!J3878</f>
        <v>8000</v>
      </c>
    </row>
    <row r="3714" spans="2:3">
      <c r="B3714" s="2253" t="str">
        <f>报表附注!E3879</f>
        <v>三、减值准备</v>
      </c>
      <c r="C3714" s="2326">
        <f>报表附注!J3879</f>
        <v>0</v>
      </c>
    </row>
    <row r="3715" spans="2:3">
      <c r="B3715" s="2253" t="str">
        <f>报表附注!E3880</f>
        <v>　　1.期初余额</v>
      </c>
      <c r="C3715" s="2326">
        <f>报表附注!J3880</f>
        <v>0</v>
      </c>
    </row>
    <row r="3716" spans="2:3">
      <c r="B3716" s="2253" t="str">
        <f>报表附注!E3881</f>
        <v>　　2.本期增加金额</v>
      </c>
      <c r="C3716" s="2326">
        <f>报表附注!J3881</f>
        <v>0</v>
      </c>
    </row>
    <row r="3717" spans="2:3">
      <c r="B3717" s="2253" t="str">
        <f>报表附注!E3882</f>
        <v>　　　（1）计提</v>
      </c>
      <c r="C3717" s="2326">
        <f>报表附注!J3882</f>
        <v>0</v>
      </c>
    </row>
    <row r="3718" spans="2:3">
      <c r="B3718" s="2314">
        <f>报表附注!E3883</f>
        <v>0</v>
      </c>
      <c r="C3718" s="2326">
        <f>报表附注!J3883</f>
        <v>0</v>
      </c>
    </row>
    <row r="3719" spans="2:3">
      <c r="B3719" s="2314" t="str">
        <f>报表附注!E3884</f>
        <v>　　3.本期减少金额</v>
      </c>
      <c r="C3719" s="2326">
        <f>报表附注!J3884</f>
        <v>0</v>
      </c>
    </row>
    <row r="3720" spans="2:3">
      <c r="B3720" s="2314" t="str">
        <f>报表附注!E3885</f>
        <v>　　（1）处置</v>
      </c>
      <c r="C3720" s="2326">
        <f>报表附注!J3885</f>
        <v>0</v>
      </c>
    </row>
    <row r="3721" spans="2:3">
      <c r="B3721" s="2314">
        <f>报表附注!E3886</f>
        <v>0</v>
      </c>
      <c r="C3721" s="2326">
        <f>报表附注!J3886</f>
        <v>0</v>
      </c>
    </row>
    <row r="3722" spans="2:3">
      <c r="B3722" s="2253" t="str">
        <f>报表附注!E3887</f>
        <v>　　4.期末余额</v>
      </c>
      <c r="C3722" s="2326">
        <f>报表附注!J3887</f>
        <v>0</v>
      </c>
    </row>
    <row r="3723" spans="2:3">
      <c r="B3723" s="2253" t="str">
        <f>报表附注!E3888</f>
        <v>四、账面价值</v>
      </c>
      <c r="C3723" s="2326">
        <f>报表附注!J3888</f>
        <v>0</v>
      </c>
    </row>
    <row r="3724" spans="2:3">
      <c r="B3724" s="2263" t="str">
        <f>报表附注!E3889</f>
        <v>　　1.期末账面价值</v>
      </c>
      <c r="C3724" s="2326">
        <f>报表附注!J3889</f>
        <v>10000</v>
      </c>
    </row>
    <row r="3725" spans="2:3">
      <c r="B3725" s="2263" t="str">
        <f>报表附注!E3890</f>
        <v>　　2.期初账面价值</v>
      </c>
      <c r="C3725" s="2326">
        <f>报表附注!J3890</f>
        <v>16000</v>
      </c>
    </row>
    <row r="3726" spans="2:3">
      <c r="B3726" s="2257" t="str">
        <f>'4、非经常性损益'!A1</f>
        <v>非经常性损益项目</v>
      </c>
      <c r="C3726" s="2327" t="str">
        <f>'4、非经常性损益'!B1</f>
        <v>金额</v>
      </c>
    </row>
    <row r="3727" spans="2:3">
      <c r="B3727" s="2253" t="str">
        <f>'4、非经常性损益'!A2</f>
        <v>1．处置非流动资产利得小计</v>
      </c>
      <c r="C3727" s="2326">
        <f>'4、非经常性损益'!B2</f>
        <v>0</v>
      </c>
    </row>
    <row r="3728" spans="2:3">
      <c r="B3728" s="2253" t="str">
        <f>'4、非经常性损益'!A3</f>
        <v>其中：处置固定资产利得</v>
      </c>
      <c r="C3728" s="2326">
        <f>'4、非经常性损益'!B3</f>
        <v>0</v>
      </c>
    </row>
    <row r="3729" spans="2:3">
      <c r="B3729" s="2253" t="str">
        <f>'4、非经常性损益'!A4</f>
        <v>      处置无形资产利得</v>
      </c>
      <c r="C3729" s="2326">
        <f>'4、非经常性损益'!B4</f>
        <v>0</v>
      </c>
    </row>
    <row r="3730" spans="2:3">
      <c r="B3730" s="2253" t="str">
        <f>'4、非经常性损益'!A5</f>
        <v>2．非货币性资产交换利得</v>
      </c>
      <c r="C3730" s="2326">
        <f>'4、非经常性损益'!B5</f>
        <v>0</v>
      </c>
    </row>
    <row r="3731" spans="2:3">
      <c r="B3731" s="2253" t="str">
        <f>'4、非经常性损益'!A6</f>
        <v>3．债务重组利得</v>
      </c>
      <c r="C3731" s="2326">
        <f>'4、非经常性损益'!B6</f>
        <v>0</v>
      </c>
    </row>
    <row r="3732" spans="2:3">
      <c r="B3732" s="2253" t="str">
        <f>'4、非经常性损益'!A7</f>
        <v>4．政府补助</v>
      </c>
      <c r="C3732" s="2326">
        <f>'4、非经常性损益'!B7</f>
        <v>853546.58</v>
      </c>
    </row>
    <row r="3733" spans="2:3">
      <c r="B3733" s="2253" t="str">
        <f>'4、非经常性损益'!A8</f>
        <v>5．盘盈利得</v>
      </c>
      <c r="C3733" s="2326">
        <f>'4、非经常性损益'!B8</f>
        <v>0</v>
      </c>
    </row>
    <row r="3734" spans="2:3">
      <c r="B3734" s="2253" t="str">
        <f>'4、非经常性损益'!A9</f>
        <v>6．捐赠利得</v>
      </c>
      <c r="C3734" s="2326">
        <f>'4、非经常性损益'!B9</f>
        <v>0</v>
      </c>
    </row>
    <row r="3735" spans="2:3">
      <c r="B3735" s="2253" t="str">
        <f>'4、非经常性损益'!A10</f>
        <v>7．罚款收入</v>
      </c>
      <c r="C3735" s="2326">
        <f>'4、非经常性损益'!B10</f>
        <v>0</v>
      </c>
    </row>
    <row r="3736" spans="2:3">
      <c r="B3736" s="2253" t="str">
        <f>'4、非经常性损益'!A11</f>
        <v>8．其他</v>
      </c>
      <c r="C3736" s="2326">
        <f>'4、非经常性损益'!B11</f>
        <v>0</v>
      </c>
    </row>
    <row r="3737" spans="2:3">
      <c r="B3737" s="2263" t="str">
        <f>'4、非经常性损益'!A12</f>
        <v>营业外收入合计</v>
      </c>
      <c r="C3737" s="2326">
        <f>'4、非经常性损益'!B12</f>
        <v>853546.58</v>
      </c>
    </row>
    <row r="3738" spans="2:3">
      <c r="B3738" s="2253" t="str">
        <f>'4、非经常性损益'!A13</f>
        <v>１．处置非流动资损失合计</v>
      </c>
      <c r="C3738" s="2326">
        <f>'4、非经常性损益'!B13</f>
        <v>68120.1</v>
      </c>
    </row>
    <row r="3739" spans="2:3">
      <c r="B3739" s="2253" t="str">
        <f>'4、非经常性损益'!A14</f>
        <v>  其中：处置固定资产损失</v>
      </c>
      <c r="C3739" s="2326">
        <f>'4、非经常性损益'!B14</f>
        <v>68120.1</v>
      </c>
    </row>
    <row r="3740" spans="2:3">
      <c r="B3740" s="2253" t="str">
        <f>'4、非经常性损益'!A15</f>
        <v>          处置无形资产损失</v>
      </c>
      <c r="C3740" s="2326">
        <f>'4、非经常性损益'!B15</f>
        <v>0</v>
      </c>
    </row>
    <row r="3741" spans="2:3">
      <c r="B3741" s="2253" t="str">
        <f>'4、非经常性损益'!A16</f>
        <v>２．非贷币性资产交换损失</v>
      </c>
      <c r="C3741" s="2326">
        <f>'4、非经常性损益'!B16</f>
        <v>0</v>
      </c>
    </row>
    <row r="3742" spans="2:3">
      <c r="B3742" s="2253" t="str">
        <f>'4、非经常性损益'!A17</f>
        <v>３．债务重组损失</v>
      </c>
      <c r="C3742" s="2326">
        <f>'4、非经常性损益'!B17</f>
        <v>0</v>
      </c>
    </row>
    <row r="3743" spans="2:3">
      <c r="B3743" s="2253" t="str">
        <f>'4、非经常性损益'!A18</f>
        <v>４．公益性捐赠支出</v>
      </c>
      <c r="C3743" s="2326">
        <f>'4、非经常性损益'!B18</f>
        <v>20000</v>
      </c>
    </row>
    <row r="3744" spans="2:3">
      <c r="B3744" s="2253" t="str">
        <f>'4、非经常性损益'!A19</f>
        <v>５．非常损失</v>
      </c>
      <c r="C3744" s="2326">
        <f>'4、非经常性损益'!B19</f>
        <v>0</v>
      </c>
    </row>
    <row r="3745" spans="2:3">
      <c r="B3745" s="2253" t="str">
        <f>'4、非经常性损益'!A20</f>
        <v>６．盘亏损失</v>
      </c>
      <c r="C3745" s="2326">
        <f>'4、非经常性损益'!B20</f>
        <v>0</v>
      </c>
    </row>
    <row r="3746" spans="2:3">
      <c r="B3746" s="2253" t="str">
        <f>'4、非经常性损益'!A21</f>
        <v>７．罚款支出</v>
      </c>
      <c r="C3746" s="2326">
        <f>'4、非经常性损益'!B21</f>
        <v>1833.65</v>
      </c>
    </row>
    <row r="3747" spans="2:3">
      <c r="B3747" s="2253" t="str">
        <f>'4、非经常性损益'!A22</f>
        <v>８．其他</v>
      </c>
      <c r="C3747" s="2326">
        <f>'4、非经常性损益'!B22</f>
        <v>2050008.73</v>
      </c>
    </row>
    <row r="3748" spans="2:3">
      <c r="B3748" s="2263" t="str">
        <f>'4、非经常性损益'!A23</f>
        <v>营业外支出合计</v>
      </c>
      <c r="C3748" s="2326">
        <f>'4、非经常性损益'!B23</f>
        <v>2139962.48</v>
      </c>
    </row>
    <row r="3749" spans="2:3">
      <c r="B3749" s="2253" t="str">
        <f>'4、非经常性损益'!A24</f>
        <v>投资收益-理财产品收入</v>
      </c>
      <c r="C3749" s="2326">
        <f>'4、非经常性损益'!B24</f>
        <v>0</v>
      </c>
    </row>
    <row r="3750" spans="2:3">
      <c r="B3750" s="2253" t="str">
        <f>'4、非经常性损益'!A25</f>
        <v>新增项目1-</v>
      </c>
      <c r="C3750" s="2326">
        <f>'4、非经常性损益'!B25</f>
        <v>0</v>
      </c>
    </row>
    <row r="3751" spans="2:3">
      <c r="B3751" s="2253" t="str">
        <f>'4、非经常性损益'!A26</f>
        <v>新增项目2-</v>
      </c>
      <c r="C3751" s="2326">
        <f>'4、非经常性损益'!B26</f>
        <v>0</v>
      </c>
    </row>
    <row r="3752" spans="2:3">
      <c r="B3752" s="2253" t="str">
        <f>'4、非经常性损益'!A27</f>
        <v>新增项目3-</v>
      </c>
      <c r="C3752" s="2326">
        <f>'4、非经常性损益'!B27</f>
        <v>0</v>
      </c>
    </row>
    <row r="3753" spans="2:3">
      <c r="B3753" s="2253" t="str">
        <f>'4、非经常性损益'!A28</f>
        <v>非经常性损益金额</v>
      </c>
      <c r="C3753" s="2326">
        <f>'4、非经常性损益'!B28</f>
        <v>-1286415.9</v>
      </c>
    </row>
    <row r="3754" spans="2:3">
      <c r="B3754" s="2253" t="str">
        <f>'4、非经常性损益'!A29</f>
        <v>税率</v>
      </c>
      <c r="C3754" s="2326">
        <f>'4、非经常性损益'!B29</f>
        <v>0</v>
      </c>
    </row>
    <row r="3755" spans="2:3">
      <c r="B3755" s="2253" t="str">
        <f>'4、非经常性损益'!A30</f>
        <v>不影响所得税金额（上述事项中的纳税调增调减事项）</v>
      </c>
      <c r="C3755" s="2326">
        <f>'4、非经常性损益'!B30</f>
        <v>0</v>
      </c>
    </row>
    <row r="3756" spans="2:3">
      <c r="B3756" s="2253" t="str">
        <f>'4、非经常性损益'!A31</f>
        <v>非经常损益所得税影响额</v>
      </c>
      <c r="C3756" s="2326">
        <f>'4、非经常性损益'!B31</f>
        <v>0</v>
      </c>
    </row>
    <row r="3757" spans="2:3">
      <c r="B3757" s="2328" t="str">
        <f>'4、非经常性损益'!A32</f>
        <v>扣除所得税影响后的非经常性损益合计</v>
      </c>
      <c r="C3757" s="2326">
        <f>'4、非经常性损益'!B32</f>
        <v>-1286415.9</v>
      </c>
    </row>
    <row r="3758" spans="2:3">
      <c r="B3758" s="2253" t="str">
        <f>'4、非经常性损益'!A33</f>
        <v>江粉持股比例</v>
      </c>
      <c r="C3758" s="2326">
        <f>'4、非经常性损益'!B33</f>
        <v>0</v>
      </c>
    </row>
    <row r="3759" spans="2:3">
      <c r="B3759" s="2253" t="str">
        <f>'4、非经常性损益'!A34</f>
        <v>其中：归属于母公司的非经常性损益</v>
      </c>
      <c r="C3759" s="2326">
        <f>'4、非经常性损益'!B34</f>
        <v>0</v>
      </c>
    </row>
    <row r="3760" spans="2:3">
      <c r="B3760" s="2253" t="str">
        <f>'4、非经常性损益'!A35</f>
        <v>其中：归属于少数股东的非经常性损益</v>
      </c>
      <c r="C3760" s="2326">
        <f>'4、非经常性损益'!B35</f>
        <v>0</v>
      </c>
    </row>
    <row r="3761" spans="2:3">
      <c r="B3761" s="2274"/>
      <c r="C3761" s="2318"/>
    </row>
    <row r="3762" spans="2:3">
      <c r="B3762" s="2320" t="str">
        <f>报表附注!E3163</f>
        <v>(六十七) 收到或支付的其他与投资活动有关的现金（上期可不填）</v>
      </c>
      <c r="C3762" s="2318">
        <f>报表附注!F3163</f>
        <v>0</v>
      </c>
    </row>
    <row r="3763" spans="2:3">
      <c r="B3763" s="2274" t="str">
        <f>报表附注!E3164</f>
        <v>大额项目</v>
      </c>
      <c r="C3763" s="2318" t="str">
        <f>报表附注!F3164</f>
        <v>本期数</v>
      </c>
    </row>
    <row r="3764" spans="2:3">
      <c r="B3764" s="2278" t="str">
        <f>报表附注!E3165</f>
        <v>一、收到的其他与投资活动有关的现金</v>
      </c>
      <c r="C3764" s="2329">
        <f>报表附注!F3165</f>
        <v>0</v>
      </c>
    </row>
    <row r="3765" spans="2:3">
      <c r="B3765" s="2274" t="str">
        <f>报表附注!E3166</f>
        <v>投资性利息收入</v>
      </c>
      <c r="C3765" s="2329">
        <f>报表附注!F3166</f>
        <v>0</v>
      </c>
    </row>
    <row r="3766" spans="2:3">
      <c r="B3766" s="2274">
        <f>报表附注!E3167</f>
        <v>0</v>
      </c>
      <c r="C3766" s="2329">
        <f>报表附注!F3167</f>
        <v>0</v>
      </c>
    </row>
    <row r="3767" spans="2:3">
      <c r="B3767" s="2274">
        <f>报表附注!E3168</f>
        <v>0</v>
      </c>
      <c r="C3767" s="2329">
        <f>报表附注!F3168</f>
        <v>0</v>
      </c>
    </row>
    <row r="3768" spans="2:3">
      <c r="B3768" s="2274">
        <f>报表附注!E3169</f>
        <v>0</v>
      </c>
      <c r="C3768" s="2329">
        <f>报表附注!F3169</f>
        <v>0</v>
      </c>
    </row>
    <row r="3769" spans="2:3">
      <c r="B3769" s="2274">
        <f>报表附注!E3170</f>
        <v>0</v>
      </c>
      <c r="C3769" s="2329">
        <f>报表附注!F3170</f>
        <v>0</v>
      </c>
    </row>
    <row r="3770" spans="2:3">
      <c r="B3770" s="2274">
        <f>报表附注!E3171</f>
        <v>0</v>
      </c>
      <c r="C3770" s="2329">
        <f>报表附注!F3171</f>
        <v>0</v>
      </c>
    </row>
    <row r="3771" spans="2:3">
      <c r="B3771" s="2274">
        <f>报表附注!E3172</f>
        <v>0</v>
      </c>
      <c r="C3771" s="2329">
        <f>报表附注!F3172</f>
        <v>0</v>
      </c>
    </row>
    <row r="3772" spans="2:3">
      <c r="B3772" s="2274">
        <f>报表附注!E3173</f>
        <v>0</v>
      </c>
      <c r="C3772" s="2329">
        <f>报表附注!F3173</f>
        <v>0</v>
      </c>
    </row>
    <row r="3773" spans="2:3">
      <c r="B3773" s="2274">
        <f>报表附注!E3174</f>
        <v>0</v>
      </c>
      <c r="C3773" s="2329">
        <f>报表附注!F3174</f>
        <v>0</v>
      </c>
    </row>
    <row r="3774" spans="2:3">
      <c r="B3774" s="2274">
        <f>报表附注!E3175</f>
        <v>0</v>
      </c>
      <c r="C3774" s="2329">
        <f>报表附注!F3175</f>
        <v>0</v>
      </c>
    </row>
    <row r="3775" spans="2:3">
      <c r="B3775" s="2274">
        <f>报表附注!E3176</f>
        <v>0</v>
      </c>
      <c r="C3775" s="2329">
        <f>报表附注!F3176</f>
        <v>0</v>
      </c>
    </row>
    <row r="3776" spans="2:3">
      <c r="B3776" s="2278" t="str">
        <f>报表附注!E3177</f>
        <v>二、支付的其他与投资活动有关的现金</v>
      </c>
      <c r="C3776" s="2329">
        <f>报表附注!F3177</f>
        <v>0</v>
      </c>
    </row>
    <row r="3777" spans="2:3">
      <c r="B3777" s="2274" t="str">
        <f>报表附注!E3178</f>
        <v>委托贷款</v>
      </c>
      <c r="C3777" s="2329">
        <f>报表附注!F3178</f>
        <v>0</v>
      </c>
    </row>
    <row r="3778" spans="2:3">
      <c r="B3778" s="2274" t="str">
        <f>报表附注!E3179</f>
        <v>理财产品</v>
      </c>
      <c r="C3778" s="2329">
        <f>报表附注!F3179</f>
        <v>0</v>
      </c>
    </row>
    <row r="3779" spans="2:3">
      <c r="B3779" s="2274">
        <f>报表附注!E3180</f>
        <v>0</v>
      </c>
      <c r="C3779" s="2329">
        <f>报表附注!F3180</f>
        <v>0</v>
      </c>
    </row>
    <row r="3780" spans="2:3">
      <c r="B3780" s="2274">
        <f>报表附注!E3181</f>
        <v>0</v>
      </c>
      <c r="C3780" s="2329">
        <f>报表附注!F3181</f>
        <v>0</v>
      </c>
    </row>
    <row r="3781" spans="2:3">
      <c r="B3781" s="2274">
        <f>报表附注!E3182</f>
        <v>0</v>
      </c>
      <c r="C3781" s="2329">
        <f>报表附注!F3182</f>
        <v>0</v>
      </c>
    </row>
    <row r="3782" spans="2:3">
      <c r="B3782" s="2274">
        <f>报表附注!E3183</f>
        <v>0</v>
      </c>
      <c r="C3782" s="2329">
        <f>报表附注!F3183</f>
        <v>0</v>
      </c>
    </row>
    <row r="3783" spans="2:3">
      <c r="B3783" s="2274">
        <f>报表附注!E3184</f>
        <v>0</v>
      </c>
      <c r="C3783" s="2329">
        <f>报表附注!F3184</f>
        <v>0</v>
      </c>
    </row>
    <row r="3784" spans="2:3">
      <c r="B3784" s="2274">
        <f>报表附注!E3185</f>
        <v>0</v>
      </c>
      <c r="C3784" s="2329">
        <f>报表附注!F3185</f>
        <v>0</v>
      </c>
    </row>
    <row r="3785" spans="2:3">
      <c r="B3785" s="2274">
        <f>报表附注!E3186</f>
        <v>0</v>
      </c>
      <c r="C3785" s="2329">
        <f>报表附注!F3186</f>
        <v>0</v>
      </c>
    </row>
    <row r="3786" spans="2:3">
      <c r="B3786" s="2274">
        <f>报表附注!E3187</f>
        <v>0</v>
      </c>
      <c r="C3786" s="2329">
        <f>报表附注!F3187</f>
        <v>0</v>
      </c>
    </row>
    <row r="3787" spans="2:3">
      <c r="B3787" s="2274">
        <f>报表附注!E3188</f>
        <v>0</v>
      </c>
      <c r="C3787" s="2329">
        <f>报表附注!F3188</f>
        <v>0</v>
      </c>
    </row>
    <row r="3788" spans="2:3">
      <c r="B3788" s="2274" t="str">
        <f>报表附注!E3189</f>
        <v>报表项目-收到其他投资</v>
      </c>
      <c r="C3788" s="2330">
        <f>报表附注!F3189</f>
        <v>0</v>
      </c>
    </row>
    <row r="3789" spans="2:3">
      <c r="B3789" s="2274" t="str">
        <f>报表附注!E3190</f>
        <v>核对</v>
      </c>
      <c r="C3789" s="2330">
        <f>报表附注!F3190</f>
        <v>0</v>
      </c>
    </row>
    <row r="3790" spans="2:3">
      <c r="B3790" s="2274" t="str">
        <f>报表附注!E3191</f>
        <v>报表项目-支付其他投资</v>
      </c>
      <c r="C3790" s="2330">
        <f>报表附注!F3191</f>
        <v>0</v>
      </c>
    </row>
    <row r="3791" spans="2:3">
      <c r="B3791" s="2274" t="str">
        <f>报表附注!E3192</f>
        <v>核对</v>
      </c>
      <c r="C3791" s="2330">
        <f>报表附注!F3192</f>
        <v>0</v>
      </c>
    </row>
    <row r="3792" spans="2:3">
      <c r="B3792" s="2252"/>
      <c r="C3792" s="2252"/>
    </row>
    <row r="3793" spans="2:3">
      <c r="B3793" s="2320" t="str">
        <f>报表附注!E3199</f>
        <v>(六十八) 收到或支付的其他与筹资活动有关的现金（上期可不填）</v>
      </c>
      <c r="C3793" s="2252"/>
    </row>
    <row r="3794" spans="2:3">
      <c r="B3794" s="2252" t="str">
        <f>报表附注!E3200</f>
        <v>大额项目</v>
      </c>
      <c r="C3794" s="2252" t="str">
        <f>报表附注!F3200</f>
        <v>本期数</v>
      </c>
    </row>
    <row r="3795" spans="2:3">
      <c r="B3795" s="2256" t="str">
        <f>报表附注!E3201</f>
        <v>一、收到的其他与筹资活动有关的现金</v>
      </c>
      <c r="C3795" s="2289">
        <f>报表附注!F3201</f>
        <v>0</v>
      </c>
    </row>
    <row r="3796" spans="2:3">
      <c r="B3796" s="2312" t="str">
        <f>报表附注!E3202</f>
        <v>收回的贷款质押保证金</v>
      </c>
      <c r="C3796" s="2289">
        <f>报表附注!F3202</f>
        <v>0</v>
      </c>
    </row>
    <row r="3797" spans="2:3">
      <c r="B3797" s="2314">
        <f>报表附注!E3203</f>
        <v>0</v>
      </c>
      <c r="C3797" s="2331">
        <f>报表附注!F3203</f>
        <v>0</v>
      </c>
    </row>
    <row r="3798" spans="2:3">
      <c r="B3798" s="2314">
        <f>报表附注!E3204</f>
        <v>0</v>
      </c>
      <c r="C3798" s="2331">
        <f>报表附注!F3204</f>
        <v>0</v>
      </c>
    </row>
    <row r="3799" spans="2:3">
      <c r="B3799" s="2314">
        <f>报表附注!E3205</f>
        <v>0</v>
      </c>
      <c r="C3799" s="2331">
        <f>报表附注!F3205</f>
        <v>0</v>
      </c>
    </row>
    <row r="3800" spans="2:3">
      <c r="B3800" s="2314">
        <f>报表附注!E3206</f>
        <v>0</v>
      </c>
      <c r="C3800" s="2331">
        <f>报表附注!F3206</f>
        <v>0</v>
      </c>
    </row>
    <row r="3801" spans="2:3">
      <c r="B3801" s="2314">
        <f>报表附注!E3207</f>
        <v>0</v>
      </c>
      <c r="C3801" s="2331">
        <f>报表附注!F3207</f>
        <v>0</v>
      </c>
    </row>
    <row r="3802" spans="2:3">
      <c r="B3802" s="2314">
        <f>报表附注!E3208</f>
        <v>0</v>
      </c>
      <c r="C3802" s="2331">
        <f>报表附注!F3208</f>
        <v>0</v>
      </c>
    </row>
    <row r="3803" spans="2:3">
      <c r="B3803" s="2314">
        <f>报表附注!E3209</f>
        <v>0</v>
      </c>
      <c r="C3803" s="2331">
        <f>报表附注!F3209</f>
        <v>0</v>
      </c>
    </row>
    <row r="3804" spans="2:3">
      <c r="B3804" s="2315" t="str">
        <f>报表附注!E3210</f>
        <v>二、支付的其他与筹资活动有关的现金</v>
      </c>
      <c r="C3804" s="2331">
        <f>报表附注!F3210</f>
        <v>0</v>
      </c>
    </row>
    <row r="3805" spans="2:3">
      <c r="B3805" s="2314" t="str">
        <f>报表附注!E3211</f>
        <v>支付的贷款质押保证金</v>
      </c>
      <c r="C3805" s="2331">
        <f>报表附注!F3211</f>
        <v>0</v>
      </c>
    </row>
    <row r="3806" spans="2:3">
      <c r="B3806" s="2314" t="str">
        <f>报表附注!E3212</f>
        <v>支付的西南证券融资顾问费</v>
      </c>
      <c r="C3806" s="2331">
        <f>报表附注!F3212</f>
        <v>0</v>
      </c>
    </row>
    <row r="3807" spans="2:3">
      <c r="B3807" s="2314" t="str">
        <f>报表附注!E3213</f>
        <v>财务顾问费</v>
      </c>
      <c r="C3807" s="2331">
        <f>报表附注!F3213</f>
        <v>0</v>
      </c>
    </row>
    <row r="3808" spans="2:3">
      <c r="B3808" s="2314">
        <f>报表附注!E3214</f>
        <v>0</v>
      </c>
      <c r="C3808" s="2331">
        <f>报表附注!F3214</f>
        <v>0</v>
      </c>
    </row>
    <row r="3809" spans="2:3">
      <c r="B3809" s="2314">
        <f>报表附注!E3215</f>
        <v>0</v>
      </c>
      <c r="C3809" s="2331">
        <f>报表附注!F3215</f>
        <v>0</v>
      </c>
    </row>
    <row r="3810" spans="2:3">
      <c r="B3810" s="2314">
        <f>报表附注!E3216</f>
        <v>0</v>
      </c>
      <c r="C3810" s="2331">
        <f>报表附注!F3216</f>
        <v>0</v>
      </c>
    </row>
    <row r="3811" spans="2:3">
      <c r="B3811" s="2314">
        <f>报表附注!E3217</f>
        <v>0</v>
      </c>
      <c r="C3811" s="2331">
        <f>报表附注!F3217</f>
        <v>0</v>
      </c>
    </row>
    <row r="3812" spans="2:3">
      <c r="B3812" s="2314">
        <f>报表附注!E3218</f>
        <v>0</v>
      </c>
      <c r="C3812" s="2331">
        <f>报表附注!F3218</f>
        <v>0</v>
      </c>
    </row>
    <row r="3813" spans="2:3">
      <c r="B3813" s="2314">
        <f>报表附注!E3219</f>
        <v>0</v>
      </c>
      <c r="C3813" s="2331">
        <f>报表附注!F3219</f>
        <v>0</v>
      </c>
    </row>
    <row r="3814" spans="2:3">
      <c r="B3814" s="2314" t="str">
        <f>报表附注!E3220</f>
        <v>报表项目-收到其他筹资</v>
      </c>
      <c r="C3814" s="2312">
        <f>报表附注!F3220</f>
        <v>0</v>
      </c>
    </row>
    <row r="3815" spans="2:3">
      <c r="B3815" s="2314" t="str">
        <f>报表附注!E3221</f>
        <v>核对</v>
      </c>
      <c r="C3815" s="2312">
        <f>报表附注!F3221</f>
        <v>0</v>
      </c>
    </row>
    <row r="3816" spans="2:3">
      <c r="B3816" s="2314" t="str">
        <f>报表附注!E3222</f>
        <v>报表项目-支付其他筹资</v>
      </c>
      <c r="C3816" s="2312">
        <f>报表附注!F3222</f>
        <v>10873286.42</v>
      </c>
    </row>
    <row r="3817" spans="2:3">
      <c r="B3817" s="2314" t="str">
        <f>报表附注!E3223</f>
        <v>核对</v>
      </c>
      <c r="C3817" s="2312">
        <f>报表附注!F3223</f>
        <v>-10873286.42</v>
      </c>
    </row>
    <row r="3819" spans="2:3">
      <c r="B3819" s="2332" t="s">
        <v>2444</v>
      </c>
      <c r="C3819" s="2333"/>
    </row>
    <row r="3820" spans="2:2">
      <c r="B3820" s="2314" t="s">
        <v>2445</v>
      </c>
    </row>
    <row r="3821" spans="2:3">
      <c r="B3821" s="2314" t="str">
        <f>'4、非经常性损益'!A2</f>
        <v>1．处置非流动资产利得小计</v>
      </c>
      <c r="C3821" s="2312">
        <f>'4、非经常性损益'!B2</f>
        <v>0</v>
      </c>
    </row>
    <row r="3822" spans="2:3">
      <c r="B3822" s="2314" t="str">
        <f>'4、非经常性损益'!A3</f>
        <v>其中：处置固定资产利得</v>
      </c>
      <c r="C3822" s="2312">
        <f>'4、非经常性损益'!B3</f>
        <v>0</v>
      </c>
    </row>
    <row r="3823" spans="2:3">
      <c r="B3823" s="2314" t="str">
        <f>'4、非经常性损益'!A4</f>
        <v>      处置无形资产利得</v>
      </c>
      <c r="C3823" s="2312">
        <f>'4、非经常性损益'!B4</f>
        <v>0</v>
      </c>
    </row>
    <row r="3824" spans="2:3">
      <c r="B3824" s="2314" t="str">
        <f>'4、非经常性损益'!A5</f>
        <v>2．非货币性资产交换利得</v>
      </c>
      <c r="C3824" s="2312">
        <f>'4、非经常性损益'!B5</f>
        <v>0</v>
      </c>
    </row>
    <row r="3825" spans="2:3">
      <c r="B3825" s="2314" t="str">
        <f>'4、非经常性损益'!A6</f>
        <v>3．债务重组利得</v>
      </c>
      <c r="C3825" s="2312">
        <f>'4、非经常性损益'!B6</f>
        <v>0</v>
      </c>
    </row>
    <row r="3826" spans="2:3">
      <c r="B3826" s="2314" t="str">
        <f>'4、非经常性损益'!A7</f>
        <v>4．政府补助</v>
      </c>
      <c r="C3826" s="2312">
        <f>'4、非经常性损益'!B7</f>
        <v>853546.58</v>
      </c>
    </row>
    <row r="3827" spans="2:3">
      <c r="B3827" s="2314" t="str">
        <f>'4、非经常性损益'!A8</f>
        <v>5．盘盈利得</v>
      </c>
      <c r="C3827" s="2312">
        <f>'4、非经常性损益'!B8</f>
        <v>0</v>
      </c>
    </row>
    <row r="3828" spans="2:3">
      <c r="B3828" s="2314" t="str">
        <f>'4、非经常性损益'!A9</f>
        <v>6．捐赠利得</v>
      </c>
      <c r="C3828" s="2312">
        <f>'4、非经常性损益'!B9</f>
        <v>0</v>
      </c>
    </row>
    <row r="3829" spans="2:3">
      <c r="B3829" s="2314" t="str">
        <f>'4、非经常性损益'!A10</f>
        <v>7．罚款收入</v>
      </c>
      <c r="C3829" s="2312">
        <f>'4、非经常性损益'!B10</f>
        <v>0</v>
      </c>
    </row>
    <row r="3830" spans="2:3">
      <c r="B3830" s="2314" t="str">
        <f>'4、非经常性损益'!A11</f>
        <v>8．其他</v>
      </c>
      <c r="C3830" s="2312">
        <f>'4、非经常性损益'!B11</f>
        <v>0</v>
      </c>
    </row>
    <row r="3831" spans="2:3">
      <c r="B3831" s="2314" t="str">
        <f>'4、非经常性损益'!A12</f>
        <v>营业外收入合计</v>
      </c>
      <c r="C3831" s="2312">
        <f>'4、非经常性损益'!B12</f>
        <v>853546.58</v>
      </c>
    </row>
    <row r="3832" spans="2:3">
      <c r="B3832" s="2314" t="str">
        <f>'4、非经常性损益'!A13</f>
        <v>１．处置非流动资损失合计</v>
      </c>
      <c r="C3832" s="2312">
        <f>'4、非经常性损益'!B13</f>
        <v>68120.1</v>
      </c>
    </row>
    <row r="3833" spans="2:3">
      <c r="B3833" s="2314" t="str">
        <f>'4、非经常性损益'!A14</f>
        <v>  其中：处置固定资产损失</v>
      </c>
      <c r="C3833" s="2312">
        <f>'4、非经常性损益'!B14</f>
        <v>68120.1</v>
      </c>
    </row>
    <row r="3834" spans="2:3">
      <c r="B3834" s="2314" t="str">
        <f>'4、非经常性损益'!A15</f>
        <v>          处置无形资产损失</v>
      </c>
      <c r="C3834" s="2312">
        <f>'4、非经常性损益'!B15</f>
        <v>0</v>
      </c>
    </row>
    <row r="3835" spans="2:3">
      <c r="B3835" s="2314" t="str">
        <f>'4、非经常性损益'!A16</f>
        <v>２．非贷币性资产交换损失</v>
      </c>
      <c r="C3835" s="2312">
        <f>'4、非经常性损益'!B16</f>
        <v>0</v>
      </c>
    </row>
    <row r="3836" spans="2:3">
      <c r="B3836" s="2314" t="str">
        <f>'4、非经常性损益'!A17</f>
        <v>３．债务重组损失</v>
      </c>
      <c r="C3836" s="2312">
        <f>'4、非经常性损益'!B17</f>
        <v>0</v>
      </c>
    </row>
    <row r="3837" spans="2:3">
      <c r="B3837" s="2314" t="str">
        <f>'4、非经常性损益'!A18</f>
        <v>４．公益性捐赠支出</v>
      </c>
      <c r="C3837" s="2312">
        <f>'4、非经常性损益'!B18</f>
        <v>20000</v>
      </c>
    </row>
    <row r="3838" spans="2:3">
      <c r="B3838" s="2314" t="str">
        <f>'4、非经常性损益'!A19</f>
        <v>５．非常损失</v>
      </c>
      <c r="C3838" s="2312">
        <f>'4、非经常性损益'!B19</f>
        <v>0</v>
      </c>
    </row>
    <row r="3839" spans="2:3">
      <c r="B3839" s="2314" t="str">
        <f>'4、非经常性损益'!A20</f>
        <v>６．盘亏损失</v>
      </c>
      <c r="C3839" s="2312">
        <f>'4、非经常性损益'!B20</f>
        <v>0</v>
      </c>
    </row>
    <row r="3840" spans="2:3">
      <c r="B3840" s="2314" t="str">
        <f>'4、非经常性损益'!A21</f>
        <v>７．罚款支出</v>
      </c>
      <c r="C3840" s="2312">
        <f>'4、非经常性损益'!B21</f>
        <v>1833.65</v>
      </c>
    </row>
    <row r="3841" spans="2:3">
      <c r="B3841" s="2314" t="str">
        <f>'4、非经常性损益'!A22</f>
        <v>８．其他</v>
      </c>
      <c r="C3841" s="2312">
        <f>'4、非经常性损益'!B22</f>
        <v>2050008.73</v>
      </c>
    </row>
    <row r="3842" spans="2:3">
      <c r="B3842" s="2314" t="str">
        <f>'4、非经常性损益'!A23</f>
        <v>营业外支出合计</v>
      </c>
      <c r="C3842" s="2312">
        <f>'4、非经常性损益'!B23</f>
        <v>2139962.48</v>
      </c>
    </row>
    <row r="3843" spans="2:3">
      <c r="B3843" s="2314" t="str">
        <f>'4、非经常性损益'!A24</f>
        <v>投资收益-理财产品收入</v>
      </c>
      <c r="C3843" s="2312">
        <f>'4、非经常性损益'!B24</f>
        <v>0</v>
      </c>
    </row>
    <row r="3844" spans="2:3">
      <c r="B3844" s="2314" t="str">
        <f>'4、非经常性损益'!A25</f>
        <v>新增项目1-</v>
      </c>
      <c r="C3844" s="2312">
        <f>'4、非经常性损益'!B25</f>
        <v>0</v>
      </c>
    </row>
    <row r="3845" spans="2:3">
      <c r="B3845" s="2314" t="str">
        <f>'4、非经常性损益'!A26</f>
        <v>新增项目2-</v>
      </c>
      <c r="C3845" s="2312">
        <f>'4、非经常性损益'!B26</f>
        <v>0</v>
      </c>
    </row>
    <row r="3846" spans="2:3">
      <c r="B3846" s="2314" t="str">
        <f>'4、非经常性损益'!A27</f>
        <v>新增项目3-</v>
      </c>
      <c r="C3846" s="2312">
        <f>'4、非经常性损益'!B27</f>
        <v>0</v>
      </c>
    </row>
    <row r="3847" spans="2:3">
      <c r="B3847" s="2314" t="str">
        <f>'4、非经常性损益'!A28</f>
        <v>非经常性损益金额</v>
      </c>
      <c r="C3847" s="2312">
        <f>'4、非经常性损益'!B28</f>
        <v>-1286415.9</v>
      </c>
    </row>
    <row r="3848" spans="2:3">
      <c r="B3848" s="2314" t="str">
        <f>'4、非经常性损益'!A29</f>
        <v>税率</v>
      </c>
      <c r="C3848" s="2312">
        <f>'4、非经常性损益'!B29</f>
        <v>0</v>
      </c>
    </row>
    <row r="3849" spans="2:3">
      <c r="B3849" s="2314" t="str">
        <f>'4、非经常性损益'!A30</f>
        <v>不影响所得税金额（上述事项中的纳税调增调减事项）</v>
      </c>
      <c r="C3849" s="2312">
        <f>'4、非经常性损益'!B30</f>
        <v>0</v>
      </c>
    </row>
    <row r="3850" spans="2:3">
      <c r="B3850" s="2314" t="str">
        <f>'4、非经常性损益'!A31</f>
        <v>非经常损益所得税影响额</v>
      </c>
      <c r="C3850" s="2312">
        <f>'4、非经常性损益'!B31</f>
        <v>0</v>
      </c>
    </row>
    <row r="3851" spans="2:3">
      <c r="B3851" s="2314" t="str">
        <f>'4、非经常性损益'!A32</f>
        <v>扣除所得税影响后的非经常性损益合计</v>
      </c>
      <c r="C3851" s="2312">
        <f>'4、非经常性损益'!B32</f>
        <v>-1286415.9</v>
      </c>
    </row>
    <row r="3852" spans="2:3">
      <c r="B3852" s="2314" t="str">
        <f>'4、非经常性损益'!A33</f>
        <v>江粉持股比例</v>
      </c>
      <c r="C3852" s="2312">
        <f>'4、非经常性损益'!B33</f>
        <v>0</v>
      </c>
    </row>
    <row r="3853" spans="2:3">
      <c r="B3853" s="2314" t="str">
        <f>'4、非经常性损益'!A34</f>
        <v>其中：归属于母公司的非经常性损益</v>
      </c>
      <c r="C3853" s="2312">
        <f>'4、非经常性损益'!B34</f>
        <v>0</v>
      </c>
    </row>
    <row r="3854" spans="2:3">
      <c r="B3854" s="2314" t="str">
        <f>'4、非经常性损益'!A35</f>
        <v>其中：归属于少数股东的非经常性损益</v>
      </c>
      <c r="C3854" s="2312">
        <f>'4、非经常性损益'!B35</f>
        <v>0</v>
      </c>
    </row>
    <row r="3855" spans="2:2">
      <c r="B3855" s="2314"/>
    </row>
    <row r="3856" spans="2:3">
      <c r="B3856" s="2334" t="s">
        <v>2446</v>
      </c>
      <c r="C3856" s="2333"/>
    </row>
    <row r="3857" spans="2:3">
      <c r="B3857" s="2314" t="str">
        <f>'5、所得税调整'!A2</f>
        <v>利润总额</v>
      </c>
      <c r="C3857" s="2314">
        <f>'5、所得税调整'!B2</f>
        <v>8548321.03</v>
      </c>
    </row>
    <row r="3858" spans="2:3">
      <c r="B3858" s="2314" t="str">
        <f>'5、所得税调整'!A3</f>
        <v>纳税调增项目：</v>
      </c>
      <c r="C3858" s="2314">
        <f>'5、所得税调整'!B3</f>
        <v>0</v>
      </c>
    </row>
    <row r="3859" spans="2:3">
      <c r="B3859" s="2314" t="str">
        <f>'5、所得税调整'!A4</f>
        <v>超标业务费</v>
      </c>
      <c r="C3859" s="2314">
        <f>'5、所得税调整'!B4</f>
        <v>0</v>
      </c>
    </row>
    <row r="3860" spans="2:3">
      <c r="B3860" s="2314" t="str">
        <f>'5、所得税调整'!A5</f>
        <v>资产减值准备（期末资产减值准备-期初资产减值准备）</v>
      </c>
      <c r="C3860" s="2314">
        <f>'5、所得税调整'!B5</f>
        <v>0</v>
      </c>
    </row>
    <row r="3861" ht="22.5" spans="2:3">
      <c r="B3861" s="2314" t="str">
        <f>'5、所得税调整'!A6</f>
        <v>资产评估增值折旧（仅适用于非同一控制下的资产评估增值的公司）</v>
      </c>
      <c r="C3861" s="2314">
        <f>'5、所得税调整'!B6</f>
        <v>0</v>
      </c>
    </row>
    <row r="3862" spans="2:3">
      <c r="B3862" s="2314" t="str">
        <f>'5、所得税调整'!A7</f>
        <v>赞助费</v>
      </c>
      <c r="C3862" s="2314">
        <f>'5、所得税调整'!B7</f>
        <v>0</v>
      </c>
    </row>
    <row r="3863" spans="2:3">
      <c r="B3863" s="2314" t="str">
        <f>'5、所得税调整'!A8</f>
        <v>罚款</v>
      </c>
      <c r="C3863" s="2314">
        <f>'5、所得税调整'!B8</f>
        <v>0</v>
      </c>
    </row>
    <row r="3864" spans="2:3">
      <c r="B3864" s="2314" t="str">
        <f>'5、所得税调整'!A9</f>
        <v>财产损失（如报废存货、处置固定资产损失）</v>
      </c>
      <c r="C3864" s="2314">
        <f>'5、所得税调整'!B9</f>
        <v>0</v>
      </c>
    </row>
    <row r="3865" ht="22.5" spans="2:3">
      <c r="B3865" s="2314" t="str">
        <f>'5、所得税调整'!A10</f>
        <v>未付工资（历年税审调整了未付工资才进行调整，否则不调整该项）</v>
      </c>
      <c r="C3865" s="2314">
        <f>'5、所得税调整'!B10</f>
        <v>0</v>
      </c>
    </row>
    <row r="3866" spans="2:3">
      <c r="B3866" s="2314" t="str">
        <f>'5、所得税调整'!A11</f>
        <v>其他纳税调增事项：</v>
      </c>
      <c r="C3866" s="2314">
        <f>'5、所得税调整'!B11</f>
        <v>0</v>
      </c>
    </row>
    <row r="3867" spans="2:3">
      <c r="B3867" s="2314" t="str">
        <f>'5、所得税调整'!A12</f>
        <v>纳税调减项目：</v>
      </c>
      <c r="C3867" s="2314">
        <f>'5、所得税调整'!B12</f>
        <v>0</v>
      </c>
    </row>
    <row r="3868" spans="2:3">
      <c r="B3868" s="2314" t="str">
        <f>'5、所得税调整'!A13</f>
        <v>子公司分红</v>
      </c>
      <c r="C3868" s="2314">
        <f>'5、所得税调整'!B13</f>
        <v>0</v>
      </c>
    </row>
    <row r="3869" spans="2:3">
      <c r="B3869" s="2314" t="str">
        <f>'5、所得税调整'!A14</f>
        <v>权益法核算的长期股权投资收益</v>
      </c>
      <c r="C3869" s="2314">
        <f>'5、所得税调整'!B14</f>
        <v>0</v>
      </c>
    </row>
    <row r="3870" spans="2:3">
      <c r="B3870" s="2314" t="str">
        <f>'5、所得税调整'!A15</f>
        <v>其他投资分红</v>
      </c>
      <c r="C3870" s="2314">
        <f>'5、所得税调整'!B15</f>
        <v>0</v>
      </c>
    </row>
    <row r="3871" spans="2:3">
      <c r="B3871" s="2314" t="str">
        <f>'5、所得税调整'!A16</f>
        <v>其他纳税调减事项</v>
      </c>
      <c r="C3871" s="2314">
        <f>'5、所得税调整'!B16</f>
        <v>0</v>
      </c>
    </row>
    <row r="3872" spans="2:3">
      <c r="B3872" s="2314" t="str">
        <f>'5、所得税调整'!A17</f>
        <v>应纳税所得额</v>
      </c>
      <c r="C3872" s="2314">
        <f>'5、所得税调整'!B17</f>
        <v>0</v>
      </c>
    </row>
  </sheetData>
  <sheetProtection sheet="1" formatCells="0" formatColumns="0" formatRows="0" insertHyperlinks="0" autoFilter="0" pivotTables="0" objects="1" scenarios="1"/>
  <autoFilter ref="A1:F3760">
    <extLst/>
  </autoFilter>
  <conditionalFormatting sqref="B190 B293">
    <cfRule type="containsText" dxfId="6" priority="2" operator="between" text="文字描述">
      <formula>NOT(ISERROR(SEARCH("文字描述",B190)))</formula>
    </cfRule>
  </conditionalFormatting>
  <pageMargins left="0.7" right="0.7" top="0.75" bottom="0.75" header="0.3" footer="0.3"/>
  <pageSetup paperSize="9" orientation="portrait"/>
  <headerFooter/>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49"/>
  <sheetViews>
    <sheetView showZeros="0" workbookViewId="0">
      <pane xSplit="2" ySplit="5" topLeftCell="C6" activePane="bottomRight" state="frozen"/>
      <selection/>
      <selection pane="topRight"/>
      <selection pane="bottomLeft"/>
      <selection pane="bottomRight" activeCell="L39" sqref="L39"/>
    </sheetView>
  </sheetViews>
  <sheetFormatPr defaultColWidth="9" defaultRowHeight="14.25" outlineLevelCol="7"/>
  <cols>
    <col min="1" max="1" width="18" customWidth="1"/>
    <col min="2" max="2" width="5.375" customWidth="1"/>
    <col min="3" max="4" width="11.125" customWidth="1"/>
    <col min="5" max="5" width="18" customWidth="1"/>
    <col min="6" max="6" width="5.375" customWidth="1"/>
    <col min="7" max="8" width="11.125" customWidth="1"/>
  </cols>
  <sheetData>
    <row r="1" ht="25.5" spans="1:8">
      <c r="A1" s="2103" t="s">
        <v>190</v>
      </c>
      <c r="B1" s="2204"/>
      <c r="C1" s="2204"/>
      <c r="D1" s="2204"/>
      <c r="E1" s="2204"/>
      <c r="F1" s="2204"/>
      <c r="G1" s="2204"/>
      <c r="H1" s="2204"/>
    </row>
    <row r="2" ht="16.5" customHeight="1" spans="1:8">
      <c r="A2" s="2205" t="s">
        <v>1847</v>
      </c>
      <c r="B2" s="2205"/>
      <c r="C2" s="2105"/>
      <c r="D2" s="2105"/>
      <c r="E2" s="2108"/>
      <c r="F2" s="2136"/>
      <c r="G2" s="2206"/>
      <c r="H2" s="2207" t="s">
        <v>191</v>
      </c>
    </row>
    <row r="3" ht="16.5" customHeight="1" spans="1:8">
      <c r="A3" s="2208" t="str">
        <f>审定资负表!A3</f>
        <v>编制单位：深圳新阳蓝光能源管理科技股份有限公司</v>
      </c>
      <c r="B3" s="2208"/>
      <c r="C3" s="2208"/>
      <c r="D3" s="2208"/>
      <c r="E3" s="2209">
        <f>审定资负表!E3</f>
        <v>42735</v>
      </c>
      <c r="F3" s="2136"/>
      <c r="G3" s="2206"/>
      <c r="H3" s="2210" t="s">
        <v>1904</v>
      </c>
    </row>
    <row r="4" ht="16.5" customHeight="1" spans="1:8">
      <c r="A4" s="2211" t="s">
        <v>192</v>
      </c>
      <c r="B4" s="2212" t="s">
        <v>62</v>
      </c>
      <c r="C4" s="2213" t="s">
        <v>1970</v>
      </c>
      <c r="D4" s="2213" t="s">
        <v>1971</v>
      </c>
      <c r="E4" s="2212" t="s">
        <v>193</v>
      </c>
      <c r="F4" s="2212" t="s">
        <v>62</v>
      </c>
      <c r="G4" s="2213" t="s">
        <v>1970</v>
      </c>
      <c r="H4" s="2214" t="s">
        <v>1971</v>
      </c>
    </row>
    <row r="5" ht="16.5" customHeight="1" spans="1:8">
      <c r="A5" s="2215"/>
      <c r="B5" s="2216"/>
      <c r="C5" s="2217"/>
      <c r="D5" s="2217"/>
      <c r="E5" s="2216"/>
      <c r="F5" s="2216"/>
      <c r="G5" s="2217"/>
      <c r="H5" s="2218"/>
    </row>
    <row r="6" ht="16.5" customHeight="1" spans="1:8">
      <c r="A6" s="2219" t="str">
        <f>IF(审定资负表!A6="","",审定资负表!A6)</f>
        <v>流动资产：</v>
      </c>
      <c r="B6" s="2220"/>
      <c r="C6" s="2221"/>
      <c r="D6" s="2222"/>
      <c r="E6" s="2223" t="str">
        <f>IF(审定资负表!E6="","",审定资负表!E6)</f>
        <v>流动负债：</v>
      </c>
      <c r="F6" s="2223"/>
      <c r="G6" s="2224"/>
      <c r="H6" s="2225"/>
    </row>
    <row r="7" ht="16.5" customHeight="1" spans="1:8">
      <c r="A7" s="2226" t="str">
        <f>IF(审定资负表!A7="","",审定资负表!A7)</f>
        <v>货币资金</v>
      </c>
      <c r="B7" s="2227"/>
      <c r="C7" s="2222">
        <f>审定资负表!C7</f>
        <v>203715132.36</v>
      </c>
      <c r="D7" s="2222">
        <f>审定资负表!D7</f>
        <v>76914775.62</v>
      </c>
      <c r="E7" s="2228" t="str">
        <f>IF(审定资负表!E7="","",审定资负表!E7)</f>
        <v>短期借款</v>
      </c>
      <c r="F7" s="2227"/>
      <c r="G7" s="2222">
        <f>审定资负表!G7</f>
        <v>4850000</v>
      </c>
      <c r="H7" s="2229">
        <f>审定资负表!H7</f>
        <v>0</v>
      </c>
    </row>
    <row r="8" ht="16.5" customHeight="1" spans="1:8">
      <c r="A8" s="2226" t="str">
        <f>IF(审定资负表!A8="","",审定资负表!A8)</f>
        <v>以公允价值计量且其变动计入当期损益的金融资产</v>
      </c>
      <c r="B8" s="2227"/>
      <c r="C8" s="2222">
        <f>审定资负表!C8</f>
        <v>0</v>
      </c>
      <c r="D8" s="2222">
        <f>审定资负表!D8</f>
        <v>0</v>
      </c>
      <c r="E8" s="2228" t="str">
        <f>IF(审定资负表!E8="","",审定资负表!E8)</f>
        <v>以公允价值计量且其变动计入当期损益的金融负债</v>
      </c>
      <c r="F8" s="2227"/>
      <c r="G8" s="2222">
        <f>审定资负表!G8</f>
        <v>0</v>
      </c>
      <c r="H8" s="2229">
        <f>审定资负表!H8</f>
        <v>0</v>
      </c>
    </row>
    <row r="9" ht="16.5" customHeight="1" spans="1:8">
      <c r="A9" s="2226" t="str">
        <f>IF(审定资负表!A9="","",审定资负表!A9)</f>
        <v>应收票据</v>
      </c>
      <c r="B9" s="2227"/>
      <c r="C9" s="2230">
        <f>审定资负表!C9</f>
        <v>0</v>
      </c>
      <c r="D9" s="2230">
        <f>审定资负表!D9</f>
        <v>0</v>
      </c>
      <c r="E9" s="2228" t="str">
        <f>IF(审定资负表!E9="","",审定资负表!E9)</f>
        <v>应付票据</v>
      </c>
      <c r="F9" s="2227"/>
      <c r="G9" s="2222">
        <f>审定资负表!G9</f>
        <v>4117111</v>
      </c>
      <c r="H9" s="2229">
        <f>审定资负表!H9</f>
        <v>7000000</v>
      </c>
    </row>
    <row r="10" ht="16.5" customHeight="1" spans="1:8">
      <c r="A10" s="2226" t="str">
        <f>IF(审定资负表!A10="","",审定资负表!A10)</f>
        <v>应收账款</v>
      </c>
      <c r="B10" s="2227"/>
      <c r="C10" s="2230">
        <f>审定资负表!C10</f>
        <v>21581677.38</v>
      </c>
      <c r="D10" s="2230">
        <f>审定资负表!D10</f>
        <v>26136913.6</v>
      </c>
      <c r="E10" s="2228" t="str">
        <f>IF(审定资负表!E10="","",审定资负表!E10)</f>
        <v>应付账款</v>
      </c>
      <c r="F10" s="2227"/>
      <c r="G10" s="2222">
        <f>审定资负表!G10</f>
        <v>41707145.22</v>
      </c>
      <c r="H10" s="2229">
        <f>审定资负表!H10</f>
        <v>16368470.98</v>
      </c>
    </row>
    <row r="11" ht="16.5" customHeight="1" spans="1:8">
      <c r="A11" s="2226" t="str">
        <f>IF(审定资负表!A11="","",审定资负表!A11)</f>
        <v>预付款项</v>
      </c>
      <c r="B11" s="2227"/>
      <c r="C11" s="2230">
        <f>审定资负表!C11</f>
        <v>1579739.99</v>
      </c>
      <c r="D11" s="2230">
        <f>审定资负表!D11</f>
        <v>2096781.42</v>
      </c>
      <c r="E11" s="2228" t="str">
        <f>IF(审定资负表!E11="","",审定资负表!E11)</f>
        <v>预收款项</v>
      </c>
      <c r="F11" s="2227"/>
      <c r="G11" s="2222">
        <f>审定资负表!G11</f>
        <v>0</v>
      </c>
      <c r="H11" s="2229">
        <f>审定资负表!H11</f>
        <v>4711102.57</v>
      </c>
    </row>
    <row r="12" ht="16.5" customHeight="1" spans="1:8">
      <c r="A12" s="2226" t="str">
        <f>IF(审定资负表!A12="","",审定资负表!A12)</f>
        <v>应收利息</v>
      </c>
      <c r="B12" s="2227"/>
      <c r="C12" s="2230">
        <f>审定资负表!C12</f>
        <v>5230925.94</v>
      </c>
      <c r="D12" s="2230">
        <f>审定资负表!D12</f>
        <v>5230925.94</v>
      </c>
      <c r="E12" s="2228" t="str">
        <f>IF(审定资负表!E12="","",审定资负表!E12)</f>
        <v>应付职工薪酬</v>
      </c>
      <c r="F12" s="2227"/>
      <c r="G12" s="2222">
        <f>审定资负表!G12</f>
        <v>1416018.5</v>
      </c>
      <c r="H12" s="2229">
        <f>审定资负表!H12</f>
        <v>1116508.51</v>
      </c>
    </row>
    <row r="13" ht="16.5" customHeight="1" spans="1:8">
      <c r="A13" s="2226" t="str">
        <f>IF(审定资负表!A13="","",审定资负表!A13)</f>
        <v>应收股利</v>
      </c>
      <c r="B13" s="2227"/>
      <c r="C13" s="2230">
        <f>审定资负表!C13</f>
        <v>0</v>
      </c>
      <c r="D13" s="2230">
        <f>审定资负表!D13</f>
        <v>0</v>
      </c>
      <c r="E13" s="2228" t="str">
        <f>IF(审定资负表!E13="","",审定资负表!E13)</f>
        <v>应交税费</v>
      </c>
      <c r="F13" s="2227"/>
      <c r="G13" s="2222">
        <f>审定资负表!G13</f>
        <v>431322.26</v>
      </c>
      <c r="H13" s="2229">
        <f>审定资负表!H13</f>
        <v>5639504.07</v>
      </c>
    </row>
    <row r="14" ht="16.5" customHeight="1" spans="1:8">
      <c r="A14" s="2226" t="str">
        <f>IF(审定资负表!A14="","",审定资负表!A14)</f>
        <v>其他应收款</v>
      </c>
      <c r="B14" s="2227"/>
      <c r="C14" s="2230">
        <f>审定资负表!C14</f>
        <v>17472054.83</v>
      </c>
      <c r="D14" s="2230">
        <f>审定资负表!D14</f>
        <v>16982264.67</v>
      </c>
      <c r="E14" s="2228" t="str">
        <f>IF(审定资负表!E14="","",审定资负表!E14)</f>
        <v>应付利息</v>
      </c>
      <c r="F14" s="2227"/>
      <c r="G14" s="2222">
        <f>审定资负表!G14</f>
        <v>120815.96</v>
      </c>
      <c r="H14" s="2229">
        <f>审定资负表!H14</f>
        <v>151896.35</v>
      </c>
    </row>
    <row r="15" ht="16.5" customHeight="1" spans="1:8">
      <c r="A15" s="2226" t="str">
        <f>IF(审定资负表!A15="","",审定资负表!A15)</f>
        <v>存货</v>
      </c>
      <c r="B15" s="2227"/>
      <c r="C15" s="2230">
        <f>审定资负表!C15</f>
        <v>31962413.89</v>
      </c>
      <c r="D15" s="2230">
        <f>审定资负表!D15</f>
        <v>9826768.95</v>
      </c>
      <c r="E15" s="2228" t="str">
        <f>IF(审定资负表!E15="","",审定资负表!E15)</f>
        <v>应付股利</v>
      </c>
      <c r="F15" s="2227"/>
      <c r="G15" s="2222">
        <f>审定资负表!G15</f>
        <v>0</v>
      </c>
      <c r="H15" s="2229">
        <f>审定资负表!H15</f>
        <v>0</v>
      </c>
    </row>
    <row r="16" ht="16.5" customHeight="1" spans="1:8">
      <c r="A16" s="2226" t="str">
        <f>IF(审定资负表!A16="","",审定资负表!A16)</f>
        <v>一年内到期的非流动资产</v>
      </c>
      <c r="B16" s="2227"/>
      <c r="C16" s="2230">
        <f>审定资负表!C16</f>
        <v>10231163.73</v>
      </c>
      <c r="D16" s="2230">
        <f>审定资负表!D16</f>
        <v>2192971</v>
      </c>
      <c r="E16" s="2228" t="str">
        <f>IF(审定资负表!E16="","",审定资负表!E16)</f>
        <v>其他应付款</v>
      </c>
      <c r="F16" s="2227"/>
      <c r="G16" s="2222">
        <f>审定资负表!G16</f>
        <v>19669739.82</v>
      </c>
      <c r="H16" s="2229">
        <f>审定资负表!H16</f>
        <v>7123460.48</v>
      </c>
    </row>
    <row r="17" ht="16.5" customHeight="1" spans="1:8">
      <c r="A17" s="2226" t="str">
        <f>IF(审定资负表!A17="","",审定资负表!A17)</f>
        <v>其他流动资产</v>
      </c>
      <c r="B17" s="2227"/>
      <c r="C17" s="2230">
        <f>审定资负表!C17</f>
        <v>2044868.72</v>
      </c>
      <c r="D17" s="2230">
        <f>审定资负表!D17</f>
        <v>893168.56</v>
      </c>
      <c r="E17" s="2228" t="str">
        <f>IF(审定资负表!E17="","",审定资负表!E17)</f>
        <v>一年内到期的非流动负债</v>
      </c>
      <c r="F17" s="2227"/>
      <c r="G17" s="2222">
        <f>审定资负表!G17</f>
        <v>23891640.51</v>
      </c>
      <c r="H17" s="2229">
        <f>审定资负表!H17</f>
        <v>24230483.68</v>
      </c>
    </row>
    <row r="18" ht="16.5" customHeight="1" spans="1:8">
      <c r="A18" s="2226" t="str">
        <f>IF(审定资负表!A18="","",审定资负表!A18)</f>
        <v>持有待售资产</v>
      </c>
      <c r="B18" s="2227"/>
      <c r="C18" s="2230">
        <f>审定资负表!C18</f>
        <v>0</v>
      </c>
      <c r="D18" s="2230">
        <f>审定资负表!D18</f>
        <v>0</v>
      </c>
      <c r="E18" s="2228" t="str">
        <f>IF(审定资负表!E18="","",审定资负表!E18)</f>
        <v>其他流动负债</v>
      </c>
      <c r="F18" s="2227"/>
      <c r="G18" s="2222">
        <f>审定资负表!G18</f>
        <v>8287528.07</v>
      </c>
      <c r="H18" s="2229">
        <f>审定资负表!H18</f>
        <v>0</v>
      </c>
    </row>
    <row r="19" ht="16.5" customHeight="1" spans="1:8">
      <c r="A19" s="2231" t="str">
        <f>IF(审定资负表!A19="","",审定资负表!A19)</f>
        <v>流动资产合计</v>
      </c>
      <c r="B19" s="2232"/>
      <c r="C19" s="2230">
        <f>审定资负表!C19</f>
        <v>293817976.84</v>
      </c>
      <c r="D19" s="2230">
        <f>审定资负表!D19</f>
        <v>140274569.76</v>
      </c>
      <c r="E19" s="2228" t="str">
        <f>IF(审定资负表!E19="","",审定资负表!E19)</f>
        <v>持有待售负债</v>
      </c>
      <c r="F19" s="2227"/>
      <c r="G19" s="2222">
        <f>审定资负表!G19</f>
        <v>0</v>
      </c>
      <c r="H19" s="2229">
        <f>审定资负表!H19</f>
        <v>0</v>
      </c>
    </row>
    <row r="20" ht="16.5" customHeight="1" spans="1:8">
      <c r="A20" s="2233" t="str">
        <f>IF(审定资负表!A20="","",审定资负表!A20)</f>
        <v/>
      </c>
      <c r="B20" s="2234"/>
      <c r="C20" s="2230">
        <f>审定资负表!C20</f>
        <v>0</v>
      </c>
      <c r="D20" s="2230">
        <f>审定资负表!D20</f>
        <v>0</v>
      </c>
      <c r="E20" s="2235" t="str">
        <f>IF(审定资负表!E20="","",审定资负表!E20)</f>
        <v>流动负债合计</v>
      </c>
      <c r="F20" s="2232"/>
      <c r="G20" s="2236">
        <f>审定资负表!G20</f>
        <v>104491321.34</v>
      </c>
      <c r="H20" s="2237">
        <f>审定资负表!H20</f>
        <v>66341426.64</v>
      </c>
    </row>
    <row r="21" ht="16.5" customHeight="1" spans="1:8">
      <c r="A21" s="2219" t="str">
        <f>IF(审定资负表!A21="","",审定资负表!A21)</f>
        <v>非流动资产：</v>
      </c>
      <c r="B21" s="2227"/>
      <c r="C21" s="2230">
        <f>审定资负表!C21</f>
        <v>0</v>
      </c>
      <c r="D21" s="2230">
        <f>审定资负表!D21</f>
        <v>0</v>
      </c>
      <c r="E21" s="2238" t="str">
        <f>IF(审定资负表!E21="","",审定资负表!E21)</f>
        <v/>
      </c>
      <c r="F21" s="2238"/>
      <c r="G21" s="2239">
        <f>审定资负表!G21</f>
        <v>0</v>
      </c>
      <c r="H21" s="2229">
        <f>审定资负表!H21</f>
        <v>0</v>
      </c>
    </row>
    <row r="22" ht="16.5" customHeight="1" spans="1:8">
      <c r="A22" s="2226" t="str">
        <f>IF(审定资负表!A22="","",审定资负表!A22)</f>
        <v>可供出售金融资产</v>
      </c>
      <c r="B22" s="2227"/>
      <c r="C22" s="2230">
        <f>审定资负表!C22</f>
        <v>0</v>
      </c>
      <c r="D22" s="2230">
        <f>审定资负表!D22</f>
        <v>0</v>
      </c>
      <c r="E22" s="2223" t="str">
        <f>IF(审定资负表!E22="","",审定资负表!E22)</f>
        <v>非流动负债：</v>
      </c>
      <c r="F22" s="2238"/>
      <c r="G22" s="2240">
        <f>审定资负表!G22</f>
        <v>0</v>
      </c>
      <c r="H22" s="2229">
        <f>审定资负表!H22</f>
        <v>0</v>
      </c>
    </row>
    <row r="23" ht="16.5" customHeight="1" spans="1:8">
      <c r="A23" s="2226" t="str">
        <f>IF(审定资负表!A23="","",审定资负表!A23)</f>
        <v>持有至到期投资</v>
      </c>
      <c r="B23" s="2227"/>
      <c r="C23" s="2230">
        <f>审定资负表!C23</f>
        <v>0</v>
      </c>
      <c r="D23" s="2230">
        <f>审定资负表!D23</f>
        <v>0</v>
      </c>
      <c r="E23" s="2228" t="str">
        <f>IF(审定资负表!E23="","",审定资负表!E23)</f>
        <v>长期借款</v>
      </c>
      <c r="F23" s="2227"/>
      <c r="G23" s="2222">
        <f>审定资负表!G23</f>
        <v>30498148.16</v>
      </c>
      <c r="H23" s="2229">
        <f>审定资负表!H23</f>
        <v>48202962.97</v>
      </c>
    </row>
    <row r="24" ht="16.5" customHeight="1" spans="1:8">
      <c r="A24" s="2226" t="str">
        <f>IF(审定资负表!A24="","",审定资负表!A24)</f>
        <v>长期应收款</v>
      </c>
      <c r="B24" s="2227"/>
      <c r="C24" s="2230">
        <f>审定资负表!C24</f>
        <v>71889420.62</v>
      </c>
      <c r="D24" s="2230">
        <f>审定资负表!D24</f>
        <v>9658781.06</v>
      </c>
      <c r="E24" s="2228" t="str">
        <f>IF(审定资负表!E24="","",审定资负表!E24)</f>
        <v>应付债券</v>
      </c>
      <c r="F24" s="2227"/>
      <c r="G24" s="2222">
        <f>审定资负表!G24</f>
        <v>0</v>
      </c>
      <c r="H24" s="2229">
        <f>审定资负表!H24</f>
        <v>0</v>
      </c>
    </row>
    <row r="25" ht="16.5" customHeight="1" spans="1:8">
      <c r="A25" s="2226" t="str">
        <f>IF(审定资负表!A25="","",审定资负表!A25)</f>
        <v>长期股权投资</v>
      </c>
      <c r="B25" s="2227"/>
      <c r="C25" s="2230">
        <f>审定资负表!C25</f>
        <v>4000000</v>
      </c>
      <c r="D25" s="2230">
        <f>审定资负表!D25</f>
        <v>4000000</v>
      </c>
      <c r="E25" s="2228" t="str">
        <f>IF(审定资负表!E25="","",审定资负表!E25)</f>
        <v>长期应付款</v>
      </c>
      <c r="F25" s="2227"/>
      <c r="G25" s="2222">
        <f>审定资负表!G25</f>
        <v>12375398.73</v>
      </c>
      <c r="H25" s="2229">
        <f>审定资负表!H25</f>
        <v>18932594.8</v>
      </c>
    </row>
    <row r="26" ht="16.5" customHeight="1" spans="1:8">
      <c r="A26" s="2226" t="str">
        <f>IF(审定资负表!A26="","",审定资负表!A26)</f>
        <v>投资性房地产</v>
      </c>
      <c r="B26" s="2227"/>
      <c r="C26" s="2230">
        <f>审定资负表!C26</f>
        <v>0</v>
      </c>
      <c r="D26" s="2230">
        <f>审定资负表!D26</f>
        <v>0</v>
      </c>
      <c r="E26" s="2228" t="str">
        <f>IF(审定资负表!E26="","",审定资负表!E26)</f>
        <v>专项应付款</v>
      </c>
      <c r="F26" s="2227"/>
      <c r="G26" s="2222">
        <f>审定资负表!G26</f>
        <v>0</v>
      </c>
      <c r="H26" s="2229">
        <f>审定资负表!H26</f>
        <v>0</v>
      </c>
    </row>
    <row r="27" ht="16.5" customHeight="1" spans="1:8">
      <c r="A27" s="2226" t="str">
        <f>IF(审定资负表!A27="","",审定资负表!A27)</f>
        <v>固定资产</v>
      </c>
      <c r="B27" s="2227"/>
      <c r="C27" s="2230">
        <f>审定资负表!C27</f>
        <v>63138192.37</v>
      </c>
      <c r="D27" s="2230">
        <f>审定资负表!D27</f>
        <v>67613790.3</v>
      </c>
      <c r="E27" s="2228" t="str">
        <f>IF(审定资负表!E27="","",审定资负表!E27)</f>
        <v>预计负债</v>
      </c>
      <c r="F27" s="2227"/>
      <c r="G27" s="2222">
        <f>审定资负表!G27</f>
        <v>5395983.26</v>
      </c>
      <c r="H27" s="2229">
        <f>审定资负表!H27</f>
        <v>450190.65</v>
      </c>
    </row>
    <row r="28" ht="16.5" customHeight="1" spans="1:8">
      <c r="A28" s="2226" t="str">
        <f>IF(审定资负表!A28="","",审定资负表!A28)</f>
        <v>在建工程</v>
      </c>
      <c r="B28" s="2227"/>
      <c r="C28" s="2230">
        <f>审定资负表!C28</f>
        <v>50697993.93</v>
      </c>
      <c r="D28" s="2230">
        <f>审定资负表!D28</f>
        <v>2327419.91</v>
      </c>
      <c r="E28" s="2228" t="str">
        <f>IF(审定资负表!E28="","",审定资负表!E28)</f>
        <v>递延所得税负债</v>
      </c>
      <c r="F28" s="2227"/>
      <c r="G28" s="2222">
        <f>审定资负表!G28</f>
        <v>0</v>
      </c>
      <c r="H28" s="2229">
        <f>审定资负表!H28</f>
        <v>0</v>
      </c>
    </row>
    <row r="29" ht="16.5" customHeight="1" spans="1:8">
      <c r="A29" s="2226" t="str">
        <f>IF(审定资负表!A29="","",审定资负表!A29)</f>
        <v>工程物资</v>
      </c>
      <c r="B29" s="2227"/>
      <c r="C29" s="2230">
        <f>审定资负表!C29</f>
        <v>0</v>
      </c>
      <c r="D29" s="2230">
        <f>审定资负表!D29</f>
        <v>0</v>
      </c>
      <c r="E29" s="2228" t="str">
        <f>IF(审定资负表!E29="","",审定资负表!E29)</f>
        <v>其他非流动负债</v>
      </c>
      <c r="F29" s="2227"/>
      <c r="G29" s="2222">
        <f>审定资负表!G29</f>
        <v>0</v>
      </c>
      <c r="H29" s="2229">
        <f>审定资负表!H29</f>
        <v>0</v>
      </c>
    </row>
    <row r="30" ht="16.5" customHeight="1" spans="1:8">
      <c r="A30" s="2226" t="str">
        <f>IF(审定资负表!A30="","",审定资负表!A30)</f>
        <v>固定资产清理</v>
      </c>
      <c r="B30" s="2227"/>
      <c r="C30" s="2230">
        <f>审定资负表!C30</f>
        <v>0</v>
      </c>
      <c r="D30" s="2230">
        <f>审定资负表!D30</f>
        <v>0</v>
      </c>
      <c r="E30" s="2228" t="str">
        <f>IF(审定资负表!E30="","",审定资负表!E30)</f>
        <v>递延收益</v>
      </c>
      <c r="F30" s="2227"/>
      <c r="G30" s="2222">
        <f>审定资负表!G30</f>
        <v>3973515.53</v>
      </c>
      <c r="H30" s="2229">
        <f>审定资负表!H30</f>
        <v>2082524</v>
      </c>
    </row>
    <row r="31" ht="16.5" customHeight="1" spans="1:8">
      <c r="A31" s="2226" t="str">
        <f>IF(审定资负表!A31="","",审定资负表!A31)</f>
        <v>生产性生物资产</v>
      </c>
      <c r="B31" s="2227"/>
      <c r="C31" s="2230">
        <f>审定资负表!C31</f>
        <v>0</v>
      </c>
      <c r="D31" s="2230">
        <f>审定资负表!D31</f>
        <v>0</v>
      </c>
      <c r="E31" s="2241" t="str">
        <f>IF(审定资负表!E31="","",审定资负表!E31)</f>
        <v>非流动负债合计</v>
      </c>
      <c r="F31" s="2238"/>
      <c r="G31" s="2236">
        <f>审定资负表!G31</f>
        <v>52243045.68</v>
      </c>
      <c r="H31" s="2237">
        <f>审定资负表!H31</f>
        <v>69668272.42</v>
      </c>
    </row>
    <row r="32" ht="16.5" customHeight="1" spans="1:8">
      <c r="A32" s="2226" t="str">
        <f>IF(审定资负表!A32="","",审定资负表!A32)</f>
        <v>油气资产</v>
      </c>
      <c r="B32" s="2227"/>
      <c r="C32" s="2230">
        <f>审定资负表!C32</f>
        <v>0</v>
      </c>
      <c r="D32" s="2230">
        <f>审定资负表!D32</f>
        <v>0</v>
      </c>
      <c r="E32" s="2238" t="str">
        <f>IF(审定资负表!E32="","",审定资负表!E32)</f>
        <v/>
      </c>
      <c r="F32" s="2238"/>
      <c r="G32" s="2239">
        <f>审定资负表!G32</f>
        <v>0</v>
      </c>
      <c r="H32" s="2229">
        <f>审定资负表!H32</f>
        <v>0</v>
      </c>
    </row>
    <row r="33" ht="16.5" customHeight="1" spans="1:8">
      <c r="A33" s="2226" t="str">
        <f>IF(审定资负表!A33="","",审定资负表!A33)</f>
        <v>无形资产</v>
      </c>
      <c r="B33" s="2227"/>
      <c r="C33" s="2230">
        <f>审定资负表!C33</f>
        <v>10000</v>
      </c>
      <c r="D33" s="2230">
        <f>审定资负表!D33</f>
        <v>16000</v>
      </c>
      <c r="E33" s="2241" t="str">
        <f>IF(审定资负表!E33="","",审定资负表!E33)</f>
        <v>负债合计</v>
      </c>
      <c r="F33" s="2238"/>
      <c r="G33" s="2236">
        <f>审定资负表!G33</f>
        <v>156734367.02</v>
      </c>
      <c r="H33" s="2237">
        <f>审定资负表!H33</f>
        <v>136009699.06</v>
      </c>
    </row>
    <row r="34" ht="16.5" customHeight="1" spans="1:8">
      <c r="A34" s="2226" t="str">
        <f>IF(审定资负表!A34="","",审定资负表!A34)</f>
        <v>开发支出</v>
      </c>
      <c r="B34" s="2227"/>
      <c r="C34" s="2230">
        <f>审定资负表!C34</f>
        <v>0</v>
      </c>
      <c r="D34" s="2230">
        <f>审定资负表!D34</f>
        <v>0</v>
      </c>
      <c r="E34" s="2238" t="str">
        <f>IF(审定资负表!E34="","",审定资负表!E34)</f>
        <v/>
      </c>
      <c r="F34" s="2238"/>
      <c r="G34" s="2222">
        <f>审定资负表!G34</f>
        <v>0</v>
      </c>
      <c r="H34" s="2229">
        <f>审定资负表!H34</f>
        <v>0</v>
      </c>
    </row>
    <row r="35" ht="16.5" customHeight="1" spans="1:8">
      <c r="A35" s="2226" t="str">
        <f>IF(审定资负表!A35="","",审定资负表!A35)</f>
        <v>商誉</v>
      </c>
      <c r="B35" s="2227"/>
      <c r="C35" s="2230">
        <f>审定资负表!C35</f>
        <v>0</v>
      </c>
      <c r="D35" s="2230">
        <f>审定资负表!D35</f>
        <v>0</v>
      </c>
      <c r="E35" s="2242" t="str">
        <f>IF(审定资负表!E35="","",审定资负表!E35)</f>
        <v>所有者权益：</v>
      </c>
      <c r="F35" s="2238"/>
      <c r="G35" s="2222">
        <f>审定资负表!G35</f>
        <v>0</v>
      </c>
      <c r="H35" s="2229">
        <f>审定资负表!H35</f>
        <v>0</v>
      </c>
    </row>
    <row r="36" ht="16.5" customHeight="1" spans="1:8">
      <c r="A36" s="2226" t="str">
        <f>IF(审定资负表!A36="","",审定资负表!A36)</f>
        <v>长期待摊费用</v>
      </c>
      <c r="B36" s="2227"/>
      <c r="C36" s="2230">
        <f>审定资负表!C36</f>
        <v>170458.45</v>
      </c>
      <c r="D36" s="2230">
        <f>审定资负表!D36</f>
        <v>378415.02</v>
      </c>
      <c r="E36" s="2228" t="str">
        <f>IF(审定资负表!E36="","",审定资负表!E36)</f>
        <v>实收资本（或股本）</v>
      </c>
      <c r="F36" s="2227"/>
      <c r="G36" s="2222">
        <f>审定资负表!G36</f>
        <v>137800000</v>
      </c>
      <c r="H36" s="2229">
        <f>审定资负表!H36</f>
        <v>120000000</v>
      </c>
    </row>
    <row r="37" ht="16.5" customHeight="1" spans="1:8">
      <c r="A37" s="2226" t="str">
        <f>IF(审定资负表!A37="","",审定资负表!A37)</f>
        <v>递延所得税资产</v>
      </c>
      <c r="B37" s="2227"/>
      <c r="C37" s="2230">
        <f>审定资负表!C37</f>
        <v>1554610.58</v>
      </c>
      <c r="D37" s="2230">
        <f>审定资负表!D37</f>
        <v>810692.23</v>
      </c>
      <c r="E37" s="2228" t="str">
        <f>IF(审定资负表!E37="","",审定资负表!E37)</f>
        <v>资本公积</v>
      </c>
      <c r="F37" s="2227"/>
      <c r="G37" s="2222">
        <f>审定资负表!G37</f>
        <v>218598931.26</v>
      </c>
      <c r="H37" s="2229">
        <f>审定资负表!H37</f>
        <v>5756259.26</v>
      </c>
    </row>
    <row r="38" ht="16.5" customHeight="1" spans="1:8">
      <c r="A38" s="2226" t="str">
        <f>IF(审定资负表!A38="","",审定资负表!A38)</f>
        <v>其他非流动资产</v>
      </c>
      <c r="B38" s="2227"/>
      <c r="C38" s="2230">
        <f>审定资负表!C38</f>
        <v>0</v>
      </c>
      <c r="D38" s="2230">
        <f>审定资负表!D38</f>
        <v>0</v>
      </c>
      <c r="E38" s="2228" t="str">
        <f>IF(审定资负表!E38="","",审定资负表!E38)</f>
        <v>减：库存股</v>
      </c>
      <c r="F38" s="2227"/>
      <c r="G38" s="2222">
        <f>审定资负表!G38</f>
        <v>0</v>
      </c>
      <c r="H38" s="2229">
        <f>审定资负表!H38</f>
        <v>0</v>
      </c>
    </row>
    <row r="39" ht="16.5" customHeight="1" spans="1:8">
      <c r="A39" s="2226" t="str">
        <f>IF(审定资负表!A39="","",审定资负表!A39)</f>
        <v/>
      </c>
      <c r="B39" s="2227"/>
      <c r="C39" s="2230">
        <f>审定资负表!C39</f>
        <v>0</v>
      </c>
      <c r="D39" s="2230">
        <f>审定资负表!D39</f>
        <v>0</v>
      </c>
      <c r="E39" s="2228" t="str">
        <f>IF(审定资负表!E39="","",审定资负表!E39)</f>
        <v>盈余公积</v>
      </c>
      <c r="F39" s="2227"/>
      <c r="G39" s="2222">
        <f>审定资负表!G39</f>
        <v>0</v>
      </c>
      <c r="H39" s="2229">
        <f>审定资负表!H39</f>
        <v>0</v>
      </c>
    </row>
    <row r="40" ht="16.5" customHeight="1" spans="1:8">
      <c r="A40" s="2231" t="str">
        <f>IF(审定资负表!A40="","",审定资负表!A40)</f>
        <v>非流动资产合计</v>
      </c>
      <c r="B40" s="2234"/>
      <c r="C40" s="2230">
        <f>审定资负表!C40</f>
        <v>191460675.95</v>
      </c>
      <c r="D40" s="2230">
        <f>审定资负表!D40</f>
        <v>84805098.52</v>
      </c>
      <c r="E40" s="2228" t="str">
        <f>IF(审定资负表!E40="","",审定资负表!E40)</f>
        <v>未分配利润</v>
      </c>
      <c r="F40" s="2227"/>
      <c r="G40" s="2222">
        <f>审定资负表!G40</f>
        <v>-27854645.49</v>
      </c>
      <c r="H40" s="2229">
        <f>审定资负表!H40</f>
        <v>-36686290.04</v>
      </c>
    </row>
    <row r="41" ht="16.5" customHeight="1" spans="1:8">
      <c r="A41" s="2243" t="str">
        <f>IF(审定资负表!A41="","",审定资负表!A41)</f>
        <v/>
      </c>
      <c r="B41" s="2234"/>
      <c r="C41" s="2230">
        <f>审定资负表!C41</f>
        <v>0</v>
      </c>
      <c r="D41" s="2230">
        <f>审定资负表!D41</f>
        <v>0</v>
      </c>
      <c r="E41" s="2228" t="str">
        <f>IF(审定资负表!E41="","",审定资负表!E41)</f>
        <v>外币报表折算差额</v>
      </c>
      <c r="F41" s="2227"/>
      <c r="G41" s="2222">
        <f>审定资负表!G41</f>
        <v>0</v>
      </c>
      <c r="H41" s="2229">
        <f>审定资负表!H41</f>
        <v>0</v>
      </c>
    </row>
    <row r="42" ht="16.5" customHeight="1" spans="1:8">
      <c r="A42" s="2243" t="str">
        <f>IF(审定资负表!A42="","",审定资负表!A42)</f>
        <v/>
      </c>
      <c r="B42" s="2234"/>
      <c r="C42" s="2230">
        <f>审定资负表!C42</f>
        <v>0</v>
      </c>
      <c r="D42" s="2230">
        <f>审定资负表!D42</f>
        <v>0</v>
      </c>
      <c r="E42" s="2228" t="str">
        <f>IF(审定资负表!E42="","",审定资负表!E42)</f>
        <v>其他综合收益</v>
      </c>
      <c r="F42" s="2227"/>
      <c r="G42" s="2222">
        <f>审定资负表!G42</f>
        <v>0</v>
      </c>
      <c r="H42" s="2229">
        <f>审定资负表!H42</f>
        <v>0</v>
      </c>
    </row>
    <row r="43" ht="16.5" customHeight="1" spans="1:8">
      <c r="A43" s="2243" t="str">
        <f>IF(审定资负表!A43="","",审定资负表!A43)</f>
        <v/>
      </c>
      <c r="B43" s="2232"/>
      <c r="C43" s="2230">
        <f>审定资负表!C43</f>
        <v>0</v>
      </c>
      <c r="D43" s="2230">
        <f>审定资负表!D43</f>
        <v>0</v>
      </c>
      <c r="E43" s="2241" t="str">
        <f>IF(审定资负表!E43="","",审定资负表!E43)</f>
        <v>归属于母公司所有者权益合计</v>
      </c>
      <c r="F43" s="2241"/>
      <c r="G43" s="2236">
        <f>审定资负表!G43</f>
        <v>328544285.77</v>
      </c>
      <c r="H43" s="2237">
        <f>审定资负表!H43</f>
        <v>89069969.22</v>
      </c>
    </row>
    <row r="44" ht="16.5" customHeight="1" spans="1:8">
      <c r="A44" s="2243" t="str">
        <f>IF(审定资负表!A44="","",审定资负表!A44)</f>
        <v/>
      </c>
      <c r="B44" s="2234"/>
      <c r="C44" s="2230">
        <f>审定资负表!C44</f>
        <v>0</v>
      </c>
      <c r="D44" s="2230">
        <f>审定资负表!D44</f>
        <v>0</v>
      </c>
      <c r="E44" s="2238" t="str">
        <f>IF(审定资负表!E44="","",审定资负表!E44)</f>
        <v/>
      </c>
      <c r="F44" s="2238"/>
      <c r="G44" s="2239">
        <f>审定资负表!G44</f>
        <v>0</v>
      </c>
      <c r="H44" s="2229">
        <f>审定资负表!H44</f>
        <v>0</v>
      </c>
    </row>
    <row r="45" ht="16.5" customHeight="1" spans="1:8">
      <c r="A45" s="2243" t="str">
        <f>IF(审定资负表!A45="","",审定资负表!A45)</f>
        <v/>
      </c>
      <c r="B45" s="2234"/>
      <c r="C45" s="2230">
        <f>审定资负表!C45</f>
        <v>0</v>
      </c>
      <c r="D45" s="2230">
        <f>审定资负表!D45</f>
        <v>0</v>
      </c>
      <c r="E45" s="2228" t="str">
        <f>IF(审定资负表!E45="","",审定资负表!E45)</f>
        <v>少数股东权益</v>
      </c>
      <c r="F45" s="2244"/>
      <c r="G45" s="2245">
        <f>审定资负表!G45</f>
        <v>0</v>
      </c>
      <c r="H45" s="2246">
        <f>审定资负表!H45</f>
        <v>0</v>
      </c>
    </row>
    <row r="46" ht="16.5" customHeight="1" spans="1:8">
      <c r="A46" s="2243" t="str">
        <f>IF(审定资负表!A46="","",审定资负表!A46)</f>
        <v/>
      </c>
      <c r="B46" s="2234"/>
      <c r="C46" s="2230">
        <f>审定资负表!C46</f>
        <v>0</v>
      </c>
      <c r="D46" s="2230">
        <f>审定资负表!D46</f>
        <v>0</v>
      </c>
      <c r="E46" s="2241" t="str">
        <f>IF(审定资负表!E46="","",审定资负表!E46)</f>
        <v>所有者权益合计</v>
      </c>
      <c r="F46" s="2241"/>
      <c r="G46" s="2236">
        <f>审定资负表!G46</f>
        <v>328544285.77</v>
      </c>
      <c r="H46" s="2237">
        <f>审定资负表!H46</f>
        <v>89069969.22</v>
      </c>
    </row>
    <row r="47" ht="16.5" customHeight="1" spans="1:8">
      <c r="A47" s="2243" t="str">
        <f>IF(审定资负表!A47="","",审定资负表!A47)</f>
        <v/>
      </c>
      <c r="B47" s="2234"/>
      <c r="C47" s="2230">
        <f>审定资负表!C47</f>
        <v>0</v>
      </c>
      <c r="D47" s="2230">
        <f>审定资负表!D47</f>
        <v>0</v>
      </c>
      <c r="E47" s="2238" t="str">
        <f>IF(审定资负表!E47="","",审定资负表!E47)</f>
        <v/>
      </c>
      <c r="F47" s="2238"/>
      <c r="G47" s="2222">
        <f>审定资负表!G47</f>
        <v>0</v>
      </c>
      <c r="H47" s="2229">
        <f>审定资负表!H47</f>
        <v>0</v>
      </c>
    </row>
    <row r="48" ht="16.5" customHeight="1" spans="1:8">
      <c r="A48" s="2247" t="str">
        <f>IF(审定资负表!A48="","",审定资负表!A48)</f>
        <v>资产总计</v>
      </c>
      <c r="B48" s="2248"/>
      <c r="C48" s="2249">
        <f>审定资负表!C48</f>
        <v>485278652.79</v>
      </c>
      <c r="D48" s="2249">
        <f>审定资负表!D48</f>
        <v>225079668.28</v>
      </c>
      <c r="E48" s="2250" t="str">
        <f>IF(审定资负表!E48="","",审定资负表!E48)</f>
        <v>负债和所有者权益总计</v>
      </c>
      <c r="F48" s="2250"/>
      <c r="G48" s="2249">
        <f>审定资负表!G48</f>
        <v>485278652.79</v>
      </c>
      <c r="H48" s="2251">
        <f>审定资负表!H48</f>
        <v>225079668.28</v>
      </c>
    </row>
    <row r="49" ht="1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590551181102362" right="0.590551181102362" top="0.551181102362205" bottom="0.590551181102362" header="0.31496062992126" footer="0.511811023622047"/>
  <pageSetup paperSize="9" scale="90" orientation="portrait" blackAndWhite="1"/>
  <headerFooter>
    <oddFooter>&amp;L&amp;10 企业负责人:&amp;C&amp;10会计机构负责人:&amp;R&amp;10  制表人:</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33"/>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38.625" customWidth="1"/>
    <col min="2" max="2" width="9" customWidth="1"/>
    <col min="3" max="4" width="17.125" customWidth="1"/>
  </cols>
  <sheetData>
    <row r="1" ht="25.5" spans="1:4">
      <c r="A1" s="2134" t="s">
        <v>60</v>
      </c>
      <c r="B1" s="2134"/>
      <c r="C1" s="2134"/>
      <c r="D1" s="2134"/>
    </row>
    <row r="2" ht="21" customHeight="1" spans="1:4">
      <c r="A2" s="2170"/>
      <c r="B2" s="2171"/>
      <c r="C2" s="2171"/>
      <c r="D2" s="2172" t="s">
        <v>2447</v>
      </c>
    </row>
    <row r="3" ht="21" customHeight="1" spans="1:4">
      <c r="A3" s="2170" t="str">
        <f>审定利润表!A3</f>
        <v>编制单位：深圳新阳蓝光能源管理科技股份有限公司</v>
      </c>
      <c r="B3" s="2173" t="str">
        <f>审定利润表!B3</f>
        <v>2016年度</v>
      </c>
      <c r="C3" s="2171"/>
      <c r="D3" s="2174" t="s">
        <v>1904</v>
      </c>
    </row>
    <row r="4" ht="21" customHeight="1" spans="1:4">
      <c r="A4" s="2175" t="s">
        <v>61</v>
      </c>
      <c r="B4" s="2176" t="s">
        <v>62</v>
      </c>
      <c r="C4" s="2176" t="s">
        <v>63</v>
      </c>
      <c r="D4" s="2177" t="s">
        <v>2448</v>
      </c>
    </row>
    <row r="5" ht="21" customHeight="1" spans="1:4">
      <c r="A5" s="2178"/>
      <c r="B5" s="2179"/>
      <c r="C5" s="2179"/>
      <c r="D5" s="2180"/>
    </row>
    <row r="6" ht="21" customHeight="1" spans="1:4">
      <c r="A6" s="2181" t="str">
        <f>IF(审定利润表!A6="","",审定利润表!A6)</f>
        <v>一、营业收入</v>
      </c>
      <c r="B6" s="2182"/>
      <c r="C6" s="2183">
        <f>审定利润表!C6</f>
        <v>120097563.96</v>
      </c>
      <c r="D6" s="2184">
        <f>本月审定利润表!G6</f>
        <v>0</v>
      </c>
    </row>
    <row r="7" ht="21" customHeight="1" spans="1:4">
      <c r="A7" s="2185" t="str">
        <f>IF(审定利润表!A7="","",审定利润表!A7)</f>
        <v>减：营业成本</v>
      </c>
      <c r="B7" s="2182"/>
      <c r="C7" s="2183">
        <f>审定利润表!C7</f>
        <v>65501451.94</v>
      </c>
      <c r="D7" s="2184">
        <f>本月审定利润表!G7</f>
        <v>0</v>
      </c>
    </row>
    <row r="8" ht="21" customHeight="1" spans="1:4">
      <c r="A8" s="2185" t="str">
        <f>IF(审定利润表!A8="","",审定利润表!A8)</f>
        <v>    营业税金及附加</v>
      </c>
      <c r="B8" s="2182"/>
      <c r="C8" s="2183">
        <f>审定利润表!C8</f>
        <v>373643.83</v>
      </c>
      <c r="D8" s="2184">
        <f>本月审定利润表!G8</f>
        <v>0</v>
      </c>
    </row>
    <row r="9" ht="21" customHeight="1" spans="1:4">
      <c r="A9" s="2185" t="str">
        <f>IF(审定利润表!A9="","",审定利润表!A9)</f>
        <v>    销售费用</v>
      </c>
      <c r="B9" s="2182"/>
      <c r="C9" s="2183">
        <f>审定利润表!C9</f>
        <v>11918966.31</v>
      </c>
      <c r="D9" s="2184">
        <f>本月审定利润表!G9</f>
        <v>0</v>
      </c>
    </row>
    <row r="10" ht="21" customHeight="1" spans="1:4">
      <c r="A10" s="2185" t="str">
        <f>IF(审定利润表!A10="","",审定利润表!A10)</f>
        <v>    管理费用</v>
      </c>
      <c r="B10" s="2182"/>
      <c r="C10" s="2183">
        <f>审定利润表!C10</f>
        <v>13092697.23</v>
      </c>
      <c r="D10" s="2184">
        <f>本月审定利润表!G10</f>
        <v>0</v>
      </c>
    </row>
    <row r="11" ht="21" customHeight="1" spans="1:4">
      <c r="A11" s="2185" t="str">
        <f>IF(审定利润表!A11="","",审定利润表!A11)</f>
        <v>    财务费用</v>
      </c>
      <c r="B11" s="2182"/>
      <c r="C11" s="2183">
        <f>审定利润表!C11</f>
        <v>17583927.65</v>
      </c>
      <c r="D11" s="2184">
        <f>本月审定利润表!G11</f>
        <v>0</v>
      </c>
    </row>
    <row r="12" ht="21" customHeight="1" spans="1:4">
      <c r="A12" s="2185" t="str">
        <f>IF(审定利润表!A12="","",审定利润表!A12)</f>
        <v>    资产减值损失</v>
      </c>
      <c r="B12" s="2182"/>
      <c r="C12" s="2183">
        <f>审定利润表!C12</f>
        <v>1792140.07</v>
      </c>
      <c r="D12" s="2184">
        <f>本月审定利润表!G12</f>
        <v>0</v>
      </c>
    </row>
    <row r="13" ht="21" customHeight="1" spans="1:4">
      <c r="A13" s="2185" t="str">
        <f>IF(审定利润表!A13="","",审定利润表!A13)</f>
        <v>加：公允价值变动收益</v>
      </c>
      <c r="B13" s="2182"/>
      <c r="C13" s="2183">
        <f>审定利润表!C13</f>
        <v>0</v>
      </c>
      <c r="D13" s="2184">
        <f>本月审定利润表!G13</f>
        <v>0</v>
      </c>
    </row>
    <row r="14" ht="21" customHeight="1" spans="1:4">
      <c r="A14" s="2185" t="str">
        <f>IF(审定利润表!A14="","",审定利润表!A14)</f>
        <v>    投资收益</v>
      </c>
      <c r="B14" s="2182"/>
      <c r="C14" s="2183">
        <f>审定利润表!C14</f>
        <v>0</v>
      </c>
      <c r="D14" s="2184">
        <f>本月审定利润表!G14</f>
        <v>0</v>
      </c>
    </row>
    <row r="15" ht="21" customHeight="1" spans="1:4">
      <c r="A15" s="2185" t="str">
        <f>IF(审定利润表!A15="","",审定利润表!A15)</f>
        <v>    其中：对联营企业和合营企业的投资收益</v>
      </c>
      <c r="B15" s="2182"/>
      <c r="C15" s="2186">
        <f>审定利润表!C15</f>
        <v>0</v>
      </c>
      <c r="D15" s="2187">
        <f>本月审定利润表!G15</f>
        <v>0</v>
      </c>
    </row>
    <row r="16" ht="21" customHeight="1" spans="1:4">
      <c r="A16" s="2185" t="str">
        <f>IF(审定利润表!A17="","",审定利润表!A17)</f>
        <v>    汇兑收益</v>
      </c>
      <c r="B16" s="2182"/>
      <c r="C16" s="2183">
        <f>审定利润表!C17</f>
        <v>0</v>
      </c>
      <c r="D16" s="2184">
        <f>本月审定利润表!G16</f>
        <v>0</v>
      </c>
    </row>
    <row r="17" ht="21" customHeight="1" spans="1:4">
      <c r="A17" s="2188" t="str">
        <f>IF(审定利润表!A18="","",审定利润表!A18)</f>
        <v>    其他收益</v>
      </c>
      <c r="B17" s="2182"/>
      <c r="C17" s="2183">
        <f>审定利润表!C18</f>
        <v>0</v>
      </c>
      <c r="D17" s="2184">
        <f>本月审定利润表!G17</f>
        <v>0</v>
      </c>
    </row>
    <row r="18" ht="21" customHeight="1" spans="1:4">
      <c r="A18" s="2181" t="str">
        <f>IF(审定利润表!A19="","",审定利润表!A19)</f>
        <v>二、营业利润</v>
      </c>
      <c r="B18" s="2189"/>
      <c r="C18" s="2190">
        <f>审定利润表!C19</f>
        <v>9834736.93</v>
      </c>
      <c r="D18" s="2191">
        <f>本月审定利润表!G18</f>
        <v>0</v>
      </c>
    </row>
    <row r="19" ht="21" customHeight="1" spans="1:4">
      <c r="A19" s="2185" t="str">
        <f>IF(审定利润表!A20="","",审定利润表!A20)</f>
        <v>加：营业外收入</v>
      </c>
      <c r="B19" s="2182"/>
      <c r="C19" s="2183">
        <f>审定利润表!C20</f>
        <v>853546.58</v>
      </c>
      <c r="D19" s="2184">
        <f>本月审定利润表!G19</f>
        <v>0</v>
      </c>
    </row>
    <row r="20" ht="21" customHeight="1" spans="1:4">
      <c r="A20" s="2185" t="str">
        <f>IF(审定利润表!A21="","",审定利润表!A21)</f>
        <v>减：营业外支出</v>
      </c>
      <c r="B20" s="2182"/>
      <c r="C20" s="2183">
        <f>审定利润表!C21</f>
        <v>2139962.48</v>
      </c>
      <c r="D20" s="2184">
        <f>本月审定利润表!G20</f>
        <v>0</v>
      </c>
    </row>
    <row r="21" ht="21" customHeight="1" spans="1:4">
      <c r="A21" s="2185" t="str">
        <f>IF(审定利润表!A27="","",审定利润表!A27)</f>
        <v>   （一）持续经营净利润（净亏损以“－”号填列）</v>
      </c>
      <c r="B21" s="2182"/>
      <c r="C21" s="2192">
        <f>审定利润表!C27</f>
        <v>8831644.55</v>
      </c>
      <c r="D21" s="2193">
        <f>本月审定利润表!G21</f>
        <v>0</v>
      </c>
    </row>
    <row r="22" ht="21" customHeight="1" spans="1:4">
      <c r="A22" s="2185" t="str">
        <f>IF(审定利润表!A28="","",审定利润表!A28)</f>
        <v>   （二）终止经营净利润（净亏损以“－”号填列）</v>
      </c>
      <c r="B22" s="2182"/>
      <c r="C22" s="2183">
        <f>审定利润表!C28</f>
        <v>0</v>
      </c>
      <c r="D22" s="2184">
        <f>本月审定利润表!G22</f>
        <v>0</v>
      </c>
    </row>
    <row r="23" ht="21" customHeight="1" spans="1:4">
      <c r="A23" s="2181" t="str">
        <f>IF(审定利润表!A22="","",审定利润表!A22)</f>
        <v>三、利润总额</v>
      </c>
      <c r="B23" s="2182"/>
      <c r="C23" s="2190">
        <f>审定利润表!C22</f>
        <v>8548321.03</v>
      </c>
      <c r="D23" s="2191">
        <f>本月审定利润表!G23</f>
        <v>0</v>
      </c>
    </row>
    <row r="24" ht="21" customHeight="1" spans="1:4">
      <c r="A24" s="2185" t="str">
        <f>IF(审定利润表!A23="","",审定利润表!A23)</f>
        <v>减：所得税费用</v>
      </c>
      <c r="B24" s="2182"/>
      <c r="C24" s="2183">
        <f>审定利润表!C23</f>
        <v>-283323.52</v>
      </c>
      <c r="D24" s="2184">
        <f>本月审定利润表!G24</f>
        <v>0</v>
      </c>
    </row>
    <row r="25" ht="21" customHeight="1" spans="1:4">
      <c r="A25" s="2185" t="str">
        <f>IF(审定利润表!A29="","",审定利润表!A29)</f>
        <v>五、其他综合收益的税后净额</v>
      </c>
      <c r="B25" s="2182"/>
      <c r="C25" s="2183">
        <f>审定利润表!C29</f>
        <v>0</v>
      </c>
      <c r="D25" s="2184">
        <f>本月审定利润表!G25</f>
        <v>0</v>
      </c>
    </row>
    <row r="26" ht="21" customHeight="1" spans="1:4">
      <c r="A26" s="2181" t="str">
        <f>IF(审定利润表!A24="","",审定利润表!A24)</f>
        <v>四、净利润</v>
      </c>
      <c r="B26" s="2182"/>
      <c r="C26" s="2190">
        <f>审定利润表!C24</f>
        <v>8831644.55</v>
      </c>
      <c r="D26" s="2191">
        <f>本月审定利润表!G26</f>
        <v>0</v>
      </c>
    </row>
    <row r="27" ht="21" customHeight="1" spans="1:4">
      <c r="A27" s="2185" t="str">
        <f>IF(审定利润表!A25="","",审定利润表!A25)</f>
        <v>    归属于母公司所有者的净利润</v>
      </c>
      <c r="B27" s="2194"/>
      <c r="C27" s="2190">
        <f>审定利润表!C25</f>
        <v>8831644.55</v>
      </c>
      <c r="D27" s="2191">
        <f>本月审定利润表!G27</f>
        <v>0</v>
      </c>
    </row>
    <row r="28" ht="21" customHeight="1" spans="1:4">
      <c r="A28" s="2185" t="str">
        <f>IF(审定利润表!A26="","",审定利润表!A26)</f>
        <v>    少数股东损益</v>
      </c>
      <c r="B28" s="2194"/>
      <c r="C28" s="2195">
        <f>审定利润表!C26</f>
        <v>0</v>
      </c>
      <c r="D28" s="2196">
        <f>本月审定利润表!G28</f>
        <v>0</v>
      </c>
    </row>
    <row r="29" ht="21" customHeight="1" spans="1:4">
      <c r="A29" s="2185" t="str">
        <f>IF(审定利润表!A30="","",审定利润表!A30)</f>
        <v>六、综合收益总额</v>
      </c>
      <c r="B29" s="2189"/>
      <c r="C29" s="2197">
        <f>审定利润表!C30</f>
        <v>8831644.55</v>
      </c>
      <c r="D29" s="2198">
        <f>本月审定利润表!G29</f>
        <v>0</v>
      </c>
    </row>
    <row r="30" ht="21" customHeight="1" spans="1:4">
      <c r="A30" s="2181" t="str">
        <f>IF(审定利润表!A31="","",审定利润表!A31)</f>
        <v>七、每股收益：</v>
      </c>
      <c r="B30" s="2189"/>
      <c r="C30" s="2197">
        <f>审定利润表!C31</f>
        <v>0</v>
      </c>
      <c r="D30" s="2198">
        <f>本月审定利润表!G30</f>
        <v>0</v>
      </c>
    </row>
    <row r="31" ht="21" customHeight="1" spans="1:4">
      <c r="A31" s="2185" t="str">
        <f>IF(审定利润表!A32="","",审定利润表!A32)</f>
        <v>（一）基本每股收益</v>
      </c>
      <c r="B31" s="2199"/>
      <c r="C31" s="2192">
        <f>审定利润表!C32</f>
        <v>0</v>
      </c>
      <c r="D31" s="2193">
        <f>本月审定利润表!G31</f>
        <v>0</v>
      </c>
    </row>
    <row r="32" ht="21" customHeight="1" spans="1:4">
      <c r="A32" s="2200" t="str">
        <f>IF(审定利润表!A33="","",审定利润表!A33)</f>
        <v>（二）稀释每股收益</v>
      </c>
      <c r="B32" s="2201"/>
      <c r="C32" s="2202">
        <f>审定利润表!C33</f>
        <v>0</v>
      </c>
      <c r="D32" s="2203">
        <f>本月审定利润表!G32</f>
        <v>0</v>
      </c>
    </row>
    <row r="33" ht="15"/>
  </sheetData>
  <mergeCells count="5">
    <mergeCell ref="A1:D1"/>
    <mergeCell ref="A4:A5"/>
    <mergeCell ref="B4:B5"/>
    <mergeCell ref="C4:C5"/>
    <mergeCell ref="D4:D5"/>
  </mergeCells>
  <printOptions horizontalCentered="1"/>
  <pageMargins left="0.47244094488189" right="0.47244094488189" top="0.984251968503937" bottom="0.905511811023622" header="0.511811023622047" footer="0.78740157480315"/>
  <pageSetup paperSize="9" orientation="portrait" blackAndWhite="1"/>
  <headerFooter>
    <oddFooter>&amp;L&amp;10   企业负责人:&amp;C&amp;10会计机构负责人:&amp;R&amp;10制表人:</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51"/>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47.625" customWidth="1"/>
    <col min="2" max="2" width="6" customWidth="1"/>
    <col min="3" max="4" width="15.625" customWidth="1"/>
  </cols>
  <sheetData>
    <row r="1" ht="25.5" spans="1:4">
      <c r="A1" s="2134" t="s">
        <v>115</v>
      </c>
      <c r="B1" s="2135"/>
      <c r="C1" s="2135"/>
      <c r="D1" s="2135"/>
    </row>
    <row r="2" ht="15" customHeight="1" spans="1:4">
      <c r="A2" s="2104" t="s">
        <v>1847</v>
      </c>
      <c r="B2" s="2136"/>
      <c r="C2" s="2105">
        <v>0</v>
      </c>
      <c r="D2" s="2137" t="s">
        <v>2449</v>
      </c>
    </row>
    <row r="3" ht="15" customHeight="1" spans="1:4">
      <c r="A3" s="2107" t="str">
        <f>审定现流表!A3</f>
        <v>编制单位：深圳新阳蓝光能源管理科技股份有限公司</v>
      </c>
      <c r="B3" s="2138" t="str">
        <f>审定现流表!B3</f>
        <v>2016年度</v>
      </c>
      <c r="C3" s="2139"/>
      <c r="D3" s="2140" t="s">
        <v>1904</v>
      </c>
    </row>
    <row r="4" ht="15" customHeight="1" spans="1:4">
      <c r="A4" s="2141" t="s">
        <v>61</v>
      </c>
      <c r="B4" s="2142" t="s">
        <v>62</v>
      </c>
      <c r="C4" s="2143" t="s">
        <v>63</v>
      </c>
      <c r="D4" s="2144" t="s">
        <v>2448</v>
      </c>
    </row>
    <row r="5" ht="15" customHeight="1" spans="1:4">
      <c r="A5" s="2145"/>
      <c r="B5" s="2146"/>
      <c r="C5" s="2147"/>
      <c r="D5" s="2148"/>
    </row>
    <row r="6" ht="15" customHeight="1" spans="1:4">
      <c r="A6" s="2149" t="str">
        <f>IF(审定现流表!A6="","",审定现流表!A6)</f>
        <v>一、经营活动产生的现金流量：</v>
      </c>
      <c r="B6" s="2150"/>
      <c r="C6" s="2151"/>
      <c r="D6" s="2152"/>
    </row>
    <row r="7" ht="15" customHeight="1" spans="1:4">
      <c r="A7" s="2153" t="str">
        <f>IF(审定现流表!A7="","",审定现流表!A7)</f>
        <v>销售商品、提供劳务收到的现金</v>
      </c>
      <c r="B7" s="2154"/>
      <c r="C7" s="2151">
        <f>审定现流表!C7</f>
        <v>60566550.55</v>
      </c>
      <c r="D7" s="2152">
        <f>本月审定现流表!G7</f>
        <v>0</v>
      </c>
    </row>
    <row r="8" ht="15" customHeight="1" spans="1:4">
      <c r="A8" s="2153" t="str">
        <f>IF(审定现流表!A8="","",审定现流表!A8)</f>
        <v>收到的税费返还</v>
      </c>
      <c r="B8" s="2154"/>
      <c r="C8" s="2151">
        <f>审定现流表!C8</f>
        <v>715762.64</v>
      </c>
      <c r="D8" s="2152">
        <f>本月审定现流表!G8</f>
        <v>0</v>
      </c>
    </row>
    <row r="9" ht="15" customHeight="1" spans="1:4">
      <c r="A9" s="2153" t="str">
        <f>IF(审定现流表!A9="","",审定现流表!A9)</f>
        <v>收到其他与经营活动有关的现金</v>
      </c>
      <c r="B9" s="2099"/>
      <c r="C9" s="2151">
        <f>审定现流表!C9</f>
        <v>15400669.23</v>
      </c>
      <c r="D9" s="2152">
        <f>本月审定现流表!G9</f>
        <v>0</v>
      </c>
    </row>
    <row r="10" ht="15" customHeight="1" spans="1:4">
      <c r="A10" s="2155" t="str">
        <f>IF(审定现流表!A10="","",审定现流表!A10)</f>
        <v>经营活动现金流入小计</v>
      </c>
      <c r="B10" s="2150"/>
      <c r="C10" s="2156">
        <f>审定现流表!C10</f>
        <v>76682982.42</v>
      </c>
      <c r="D10" s="2157">
        <f>本月审定现流表!G10</f>
        <v>0</v>
      </c>
    </row>
    <row r="11" ht="15" customHeight="1" spans="1:4">
      <c r="A11" s="2153" t="str">
        <f>IF(审定现流表!A11="","",审定现流表!A11)</f>
        <v>购买商品、接受劳务支付的现金</v>
      </c>
      <c r="B11" s="2154"/>
      <c r="C11" s="2151">
        <f>审定现流表!C11</f>
        <v>84892237.23</v>
      </c>
      <c r="D11" s="2152">
        <f>本月审定现流表!G11</f>
        <v>0</v>
      </c>
    </row>
    <row r="12" ht="15" customHeight="1" spans="1:4">
      <c r="A12" s="2153" t="str">
        <f>IF(审定现流表!A12="","",审定现流表!A12)</f>
        <v>支付给职工以及为职工支付的现金</v>
      </c>
      <c r="B12" s="2154"/>
      <c r="C12" s="2151">
        <f>审定现流表!C12</f>
        <v>10228960.26</v>
      </c>
      <c r="D12" s="2152">
        <f>本月审定现流表!G12</f>
        <v>0</v>
      </c>
    </row>
    <row r="13" ht="15" customHeight="1" spans="1:4">
      <c r="A13" s="2153" t="str">
        <f>IF(审定现流表!A13="","",审定现流表!A13)</f>
        <v>支付的各项税费</v>
      </c>
      <c r="B13" s="2154"/>
      <c r="C13" s="2151">
        <f>审定现流表!C13</f>
        <v>6259149.31</v>
      </c>
      <c r="D13" s="2152">
        <f>本月审定现流表!G13</f>
        <v>0</v>
      </c>
    </row>
    <row r="14" ht="15" customHeight="1" spans="1:4">
      <c r="A14" s="2153" t="str">
        <f>IF(审定现流表!A14="","",审定现流表!A14)</f>
        <v>支付其他与经营活动有关的现金</v>
      </c>
      <c r="B14" s="2099"/>
      <c r="C14" s="2151">
        <f>审定现流表!C14</f>
        <v>13364186.34</v>
      </c>
      <c r="D14" s="2152">
        <f>本月审定现流表!G14</f>
        <v>0</v>
      </c>
    </row>
    <row r="15" ht="15" customHeight="1" spans="1:4">
      <c r="A15" s="2155" t="str">
        <f>IF(审定现流表!A15="","",审定现流表!A15)</f>
        <v>经营活动现金流出小计</v>
      </c>
      <c r="B15" s="2150"/>
      <c r="C15" s="2156">
        <f>审定现流表!C15</f>
        <v>114744533.14</v>
      </c>
      <c r="D15" s="2157">
        <f>本月审定现流表!G15</f>
        <v>0</v>
      </c>
    </row>
    <row r="16" ht="15" customHeight="1" spans="1:4">
      <c r="A16" s="2155" t="str">
        <f>IF(审定现流表!A16="","",审定现流表!A16)</f>
        <v>经营活动产生的现金流量净额</v>
      </c>
      <c r="B16" s="2150"/>
      <c r="C16" s="2156">
        <f>审定现流表!C16</f>
        <v>-38061550.72</v>
      </c>
      <c r="D16" s="2157">
        <f>本月审定现流表!G16</f>
        <v>0</v>
      </c>
    </row>
    <row r="17" ht="15" customHeight="1" spans="1:4">
      <c r="A17" s="2158" t="str">
        <f>IF(审定现流表!A17="","",审定现流表!A17)</f>
        <v/>
      </c>
      <c r="B17" s="2150"/>
      <c r="C17" s="2151">
        <f>审定现流表!C17</f>
        <v>0</v>
      </c>
      <c r="D17" s="2152">
        <f>本月审定现流表!G17</f>
        <v>0</v>
      </c>
    </row>
    <row r="18" ht="15" customHeight="1" spans="1:4">
      <c r="A18" s="2149" t="str">
        <f>IF(审定现流表!A18="","",审定现流表!A18)</f>
        <v>二、投资活动产生的现金流量：</v>
      </c>
      <c r="B18" s="2150"/>
      <c r="C18" s="2151">
        <f>审定现流表!C18</f>
        <v>0</v>
      </c>
      <c r="D18" s="2152">
        <f>本月审定现流表!G18</f>
        <v>0</v>
      </c>
    </row>
    <row r="19" ht="15" customHeight="1" spans="1:4">
      <c r="A19" s="2153" t="str">
        <f>IF(审定现流表!A19="","",审定现流表!A19)</f>
        <v>收回投资收到的现金</v>
      </c>
      <c r="B19" s="2154"/>
      <c r="C19" s="2151">
        <f>审定现流表!C19</f>
        <v>0</v>
      </c>
      <c r="D19" s="2152">
        <f>本月审定现流表!G19</f>
        <v>0</v>
      </c>
    </row>
    <row r="20" ht="15" customHeight="1" spans="1:4">
      <c r="A20" s="2153" t="str">
        <f>IF(审定现流表!A20="","",审定现流表!A20)</f>
        <v>取得投资收益收到的现金</v>
      </c>
      <c r="B20" s="2154"/>
      <c r="C20" s="2151">
        <f>审定现流表!C20</f>
        <v>0</v>
      </c>
      <c r="D20" s="2152">
        <f>本月审定现流表!G20</f>
        <v>0</v>
      </c>
    </row>
    <row r="21" ht="15" customHeight="1" spans="1:4">
      <c r="A21" s="2153" t="str">
        <f>IF(审定现流表!A21="","",审定现流表!A21)</f>
        <v>处置固定资产、无形资产和其他长期资产收回的现金净额</v>
      </c>
      <c r="B21" s="2154"/>
      <c r="C21" s="2151">
        <f>审定现流表!C21</f>
        <v>51129.13</v>
      </c>
      <c r="D21" s="2152">
        <f>本月审定现流表!G21</f>
        <v>0</v>
      </c>
    </row>
    <row r="22" ht="15" customHeight="1" spans="1:4">
      <c r="A22" s="2153" t="str">
        <f>IF(审定现流表!A22="","",审定现流表!A22)</f>
        <v>处置子公司及其他营业单位收到的现金净额</v>
      </c>
      <c r="B22" s="2154"/>
      <c r="C22" s="2151">
        <f>审定现流表!C22</f>
        <v>0</v>
      </c>
      <c r="D22" s="2152">
        <f>本月审定现流表!G22</f>
        <v>0</v>
      </c>
    </row>
    <row r="23" ht="15" customHeight="1" spans="1:4">
      <c r="A23" s="2153" t="str">
        <f>IF(审定现流表!A23="","",审定现流表!A23)</f>
        <v>收到其他与投资活动有关的现金</v>
      </c>
      <c r="B23" s="2159"/>
      <c r="C23" s="2151">
        <f>审定现流表!C23</f>
        <v>0</v>
      </c>
      <c r="D23" s="2152">
        <f>本月审定现流表!G23</f>
        <v>0</v>
      </c>
    </row>
    <row r="24" ht="15" customHeight="1" spans="1:4">
      <c r="A24" s="2155" t="str">
        <f>IF(审定现流表!A24="","",审定现流表!A24)</f>
        <v>投资活动现金流入小计</v>
      </c>
      <c r="B24" s="2150"/>
      <c r="C24" s="2156">
        <f>审定现流表!C24</f>
        <v>51129.13</v>
      </c>
      <c r="D24" s="2157">
        <f>本月审定现流表!G24</f>
        <v>0</v>
      </c>
    </row>
    <row r="25" ht="15" customHeight="1" spans="1:4">
      <c r="A25" s="2153" t="str">
        <f>IF(审定现流表!A25="","",审定现流表!A25)</f>
        <v>购建固定资产、无形资产和其他长期资产支付的现金</v>
      </c>
      <c r="B25" s="2154"/>
      <c r="C25" s="2151">
        <f>审定现流表!C25</f>
        <v>28946323.47</v>
      </c>
      <c r="D25" s="2152">
        <f>本月审定现流表!G25</f>
        <v>0</v>
      </c>
    </row>
    <row r="26" ht="15" customHeight="1" spans="1:4">
      <c r="A26" s="2153" t="str">
        <f>IF(审定现流表!A26="","",审定现流表!A26)</f>
        <v>投资支付的现金</v>
      </c>
      <c r="B26" s="2154"/>
      <c r="C26" s="2151">
        <f>审定现流表!C26</f>
        <v>0</v>
      </c>
      <c r="D26" s="2152">
        <f>本月审定现流表!G26</f>
        <v>0</v>
      </c>
    </row>
    <row r="27" ht="15" customHeight="1" spans="1:4">
      <c r="A27" s="2153" t="str">
        <f>IF(审定现流表!A27="","",审定现流表!A27)</f>
        <v>取得子公司及其他营业单位支付的现金净额</v>
      </c>
      <c r="B27" s="2154"/>
      <c r="C27" s="2151">
        <f>审定现流表!C27</f>
        <v>0</v>
      </c>
      <c r="D27" s="2152">
        <f>本月审定现流表!G27</f>
        <v>0</v>
      </c>
    </row>
    <row r="28" ht="15" customHeight="1" spans="1:4">
      <c r="A28" s="2153" t="str">
        <f>IF(审定现流表!A28="","",审定现流表!A28)</f>
        <v>支付其他与投资活动有关的现金</v>
      </c>
      <c r="B28" s="2159"/>
      <c r="C28" s="2151">
        <f>审定现流表!C28</f>
        <v>0</v>
      </c>
      <c r="D28" s="2152">
        <f>本月审定现流表!G28</f>
        <v>0</v>
      </c>
    </row>
    <row r="29" ht="15" customHeight="1" spans="1:4">
      <c r="A29" s="2155" t="str">
        <f>IF(审定现流表!A29="","",审定现流表!A29)</f>
        <v>投资活动现金流出小计</v>
      </c>
      <c r="B29" s="2150"/>
      <c r="C29" s="2156">
        <f>审定现流表!C29</f>
        <v>28946323.47</v>
      </c>
      <c r="D29" s="2157">
        <f>本月审定现流表!G29</f>
        <v>0</v>
      </c>
    </row>
    <row r="30" ht="15" customHeight="1" spans="1:4">
      <c r="A30" s="2155" t="str">
        <f>IF(审定现流表!A30="","",审定现流表!A30)</f>
        <v>投资活动产生的现金流量净额</v>
      </c>
      <c r="B30" s="2150"/>
      <c r="C30" s="2156">
        <f>审定现流表!C30</f>
        <v>-28895194.34</v>
      </c>
      <c r="D30" s="2157">
        <f>本月审定现流表!G30</f>
        <v>0</v>
      </c>
    </row>
    <row r="31" ht="15" customHeight="1" spans="1:4">
      <c r="A31" s="2160" t="str">
        <f>IF(审定现流表!A31="","",审定现流表!A31)</f>
        <v/>
      </c>
      <c r="B31" s="2150"/>
      <c r="C31" s="2151">
        <f>审定现流表!C31</f>
        <v>0</v>
      </c>
      <c r="D31" s="2152">
        <f>本月审定现流表!G31</f>
        <v>0</v>
      </c>
    </row>
    <row r="32" ht="15" customHeight="1" spans="1:4">
      <c r="A32" s="2149" t="str">
        <f>IF(审定现流表!A32="","",审定现流表!A32)</f>
        <v>三、筹资活动产生的现金流量：</v>
      </c>
      <c r="B32" s="2150"/>
      <c r="C32" s="2151">
        <f>审定现流表!C32</f>
        <v>0</v>
      </c>
      <c r="D32" s="2152">
        <f>本月审定现流表!G32</f>
        <v>0</v>
      </c>
    </row>
    <row r="33" ht="15" customHeight="1" spans="1:4">
      <c r="A33" s="2153" t="str">
        <f>IF(审定现流表!A33="","",审定现流表!A33)</f>
        <v>吸收投资收到的现金</v>
      </c>
      <c r="B33" s="2154"/>
      <c r="C33" s="2151">
        <f>审定现流表!C33</f>
        <v>230642672</v>
      </c>
      <c r="D33" s="2152">
        <f>本月审定现流表!G33</f>
        <v>0</v>
      </c>
    </row>
    <row r="34" ht="15" customHeight="1" spans="1:4">
      <c r="A34" s="2153" t="str">
        <f>IF(审定现流表!A34="","",审定现流表!A34)</f>
        <v>其中：子公司吸收少数股东投资收到的现金</v>
      </c>
      <c r="B34" s="2154"/>
      <c r="C34" s="2151">
        <f>审定现流表!C34</f>
        <v>0</v>
      </c>
      <c r="D34" s="2152">
        <f>本月审定现流表!G34</f>
        <v>0</v>
      </c>
    </row>
    <row r="35" ht="15" customHeight="1" spans="1:4">
      <c r="A35" s="2153" t="str">
        <f>IF(审定现流表!A35="","",审定现流表!A35)</f>
        <v>取得借款收到的现金</v>
      </c>
      <c r="B35" s="2154"/>
      <c r="C35" s="2151">
        <f>审定现流表!C35</f>
        <v>31000000</v>
      </c>
      <c r="D35" s="2152">
        <f>本月审定现流表!G35</f>
        <v>0</v>
      </c>
    </row>
    <row r="36" ht="15" customHeight="1" spans="1:4">
      <c r="A36" s="2153" t="str">
        <f>IF(审定现流表!A36="","",审定现流表!A36)</f>
        <v>发行债券收到的现金</v>
      </c>
      <c r="B36" s="2154"/>
      <c r="C36" s="2151">
        <f>审定现流表!C36</f>
        <v>0</v>
      </c>
      <c r="D36" s="2152">
        <f>本月审定现流表!G36</f>
        <v>0</v>
      </c>
    </row>
    <row r="37" ht="15" customHeight="1" spans="1:4">
      <c r="A37" s="2153" t="str">
        <f>IF(审定现流表!A37="","",审定现流表!A37)</f>
        <v>收到其他与筹资活动有关的现金</v>
      </c>
      <c r="B37" s="2159"/>
      <c r="C37" s="2151">
        <f>审定现流表!C37</f>
        <v>0</v>
      </c>
      <c r="D37" s="2152">
        <f>本月审定现流表!G37</f>
        <v>0</v>
      </c>
    </row>
    <row r="38" ht="15" customHeight="1" spans="1:4">
      <c r="A38" s="2155" t="str">
        <f>IF(审定现流表!A38="","",审定现流表!A38)</f>
        <v>筹资活动现金流入小计</v>
      </c>
      <c r="B38" s="2150"/>
      <c r="C38" s="2156">
        <f>审定现流表!C38</f>
        <v>261642672</v>
      </c>
      <c r="D38" s="2157">
        <f>本月审定现流表!G38</f>
        <v>0</v>
      </c>
    </row>
    <row r="39" ht="15" customHeight="1" spans="1:4">
      <c r="A39" s="2153" t="str">
        <f>IF(审定现流表!A39="","",审定现流表!A39)</f>
        <v>偿还债务支付的现金</v>
      </c>
      <c r="B39" s="2154"/>
      <c r="C39" s="2151">
        <f>审定现流表!C39</f>
        <v>44144814.81</v>
      </c>
      <c r="D39" s="2152">
        <f>本月审定现流表!G39</f>
        <v>0</v>
      </c>
    </row>
    <row r="40" ht="15" customHeight="1" spans="1:4">
      <c r="A40" s="2153" t="str">
        <f>IF(审定现流表!A40="","",审定现流表!A40)</f>
        <v>分配股利、利润或偿付利息支付的现金</v>
      </c>
      <c r="B40" s="2154"/>
      <c r="C40" s="2151">
        <f>审定现流表!C40</f>
        <v>6308223.85</v>
      </c>
      <c r="D40" s="2152">
        <f>本月审定现流表!G40</f>
        <v>0</v>
      </c>
    </row>
    <row r="41" ht="15" customHeight="1" spans="1:4">
      <c r="A41" s="2153" t="str">
        <f>IF(审定现流表!A41="","",审定现流表!A41)</f>
        <v>其中：子公司支付给少数股东的股利、利润</v>
      </c>
      <c r="B41" s="2154"/>
      <c r="C41" s="2151">
        <f>审定现流表!C41</f>
        <v>0</v>
      </c>
      <c r="D41" s="2152">
        <f>本月审定现流表!G41</f>
        <v>0</v>
      </c>
    </row>
    <row r="42" ht="15" customHeight="1" spans="1:4">
      <c r="A42" s="2153" t="str">
        <f>IF(审定现流表!A42="","",审定现流表!A42)</f>
        <v>支付其他与筹资活动有关的现金</v>
      </c>
      <c r="B42" s="2159"/>
      <c r="C42" s="2151">
        <f>审定现流表!C42</f>
        <v>10873286.42</v>
      </c>
      <c r="D42" s="2152">
        <f>本月审定现流表!G42</f>
        <v>0</v>
      </c>
    </row>
    <row r="43" ht="15" customHeight="1" spans="1:4">
      <c r="A43" s="2155" t="str">
        <f>IF(审定现流表!A43="","",审定现流表!A43)</f>
        <v>筹资活动现金流出小计</v>
      </c>
      <c r="B43" s="2150"/>
      <c r="C43" s="2156">
        <f>审定现流表!C43</f>
        <v>61326325.08</v>
      </c>
      <c r="D43" s="2157">
        <f>本月审定现流表!G43</f>
        <v>0</v>
      </c>
    </row>
    <row r="44" ht="15" customHeight="1" spans="1:4">
      <c r="A44" s="2155" t="str">
        <f>IF(审定现流表!A44="","",审定现流表!A44)</f>
        <v>筹资活动产生的现金流量净额</v>
      </c>
      <c r="B44" s="2150"/>
      <c r="C44" s="2156">
        <f>审定现流表!C44</f>
        <v>200316346.92</v>
      </c>
      <c r="D44" s="2157">
        <f>本月审定现流表!G44</f>
        <v>0</v>
      </c>
    </row>
    <row r="45" ht="15" customHeight="1" spans="1:4">
      <c r="A45" s="2160" t="str">
        <f>IF(审定现流表!A45="","",审定现流表!A45)</f>
        <v/>
      </c>
      <c r="B45" s="2150"/>
      <c r="C45" s="2151">
        <f>审定现流表!C45</f>
        <v>0</v>
      </c>
      <c r="D45" s="2152">
        <f>本月审定现流表!G45</f>
        <v>0</v>
      </c>
    </row>
    <row r="46" ht="15" customHeight="1" spans="1:4">
      <c r="A46" s="2149" t="str">
        <f>IF(审定现流表!A46="","",审定现流表!A46)</f>
        <v>四、汇率变动对现金及现金等价物的影响</v>
      </c>
      <c r="B46" s="2154"/>
      <c r="C46" s="2151">
        <f>审定现流表!C46</f>
        <v>32553.99</v>
      </c>
      <c r="D46" s="2152">
        <f>本月审定现流表!G46</f>
        <v>0</v>
      </c>
    </row>
    <row r="47" ht="15" customHeight="1" spans="1:4">
      <c r="A47" s="2149" t="str">
        <f>IF(审定现流表!A47="","",审定现流表!A47)</f>
        <v>五、现金及现金等价物净增加额</v>
      </c>
      <c r="B47" s="2150"/>
      <c r="C47" s="2156">
        <f>审定现流表!C47</f>
        <v>133392155.85</v>
      </c>
      <c r="D47" s="2157">
        <f>本月审定现流表!G47</f>
        <v>0</v>
      </c>
    </row>
    <row r="48" ht="15" customHeight="1" spans="1:4">
      <c r="A48" s="2153" t="str">
        <f>IF(审定现流表!A48="","",审定现流表!A48)</f>
        <v>加：期初现金及现金等价物余额</v>
      </c>
      <c r="B48" s="2150"/>
      <c r="C48" s="2151">
        <f>审定现流表!C48</f>
        <v>66164760.35</v>
      </c>
      <c r="D48" s="2161">
        <f>本月审定现流表!G48</f>
        <v>0</v>
      </c>
    </row>
    <row r="49" ht="15" customHeight="1" spans="1:4">
      <c r="A49" s="2162" t="str">
        <f>IF(审定现流表!A49="","",审定现流表!A49)</f>
        <v>六、期末现金及现金等价物余额</v>
      </c>
      <c r="B49" s="2163"/>
      <c r="C49" s="2164">
        <f>审定现流表!C49</f>
        <v>199556916.2</v>
      </c>
      <c r="D49" s="2165">
        <f>本月审定现流表!G49</f>
        <v>0</v>
      </c>
    </row>
    <row r="50" ht="15" spans="1:4">
      <c r="A50" s="2166" t="str">
        <f>IF(审定现流表!A50="","",审定现流表!A50)</f>
        <v/>
      </c>
      <c r="B50" s="2166"/>
      <c r="C50" s="2167"/>
      <c r="D50" s="2167"/>
    </row>
    <row r="51" spans="1:4">
      <c r="A51" s="2168" t="str">
        <f>IF(审定现流表!A51="","",审定现流表!A51)</f>
        <v>主表的经营活动现金产生的流量净额与附表不符，相差：</v>
      </c>
      <c r="B51" s="2166"/>
      <c r="C51" s="2169">
        <v>0</v>
      </c>
      <c r="D51" s="2169">
        <v>0</v>
      </c>
    </row>
  </sheetData>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pageMargins left="0.393700787401575" right="0.393700787401575" top="0.590551181102362" bottom="0.511811023622047" header="0.511811023622047" footer="0.47244094488189"/>
  <pageSetup paperSize="9" scale="98" orientation="portrait" blackAndWhite="1"/>
  <headerFooter>
    <oddFooter>&amp;L&amp;10   企业负责人:&amp;C&amp;10会计机构负责人:  &amp;R&amp;10制表人:</oddFooter>
  </headerFooter>
  <rowBreaks count="1" manualBreakCount="1">
    <brk id="49" max="16383" man="1"/>
  </rowBreaks>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65"/>
  <sheetViews>
    <sheetView showZeros="0" workbookViewId="0">
      <pane xSplit="1" ySplit="1" topLeftCell="B42" activePane="bottomRight" state="frozen"/>
      <selection/>
      <selection pane="topRight"/>
      <selection pane="bottomLeft"/>
      <selection pane="bottomRight" activeCell="L39" sqref="L39"/>
    </sheetView>
  </sheetViews>
  <sheetFormatPr defaultColWidth="9" defaultRowHeight="14.25" outlineLevelCol="7"/>
  <cols>
    <col min="1" max="1" width="38.375" customWidth="1"/>
    <col min="2" max="2" width="13.875" customWidth="1"/>
    <col min="3" max="8" width="13.375" customWidth="1"/>
  </cols>
  <sheetData>
    <row r="1" ht="25.5" spans="1:8">
      <c r="A1" s="2103" t="s">
        <v>277</v>
      </c>
      <c r="B1" s="2103"/>
      <c r="C1" s="2103"/>
      <c r="D1" s="2103"/>
      <c r="E1" s="2103"/>
      <c r="F1" s="2103"/>
      <c r="G1" s="2103"/>
      <c r="H1" s="2103"/>
    </row>
    <row r="2" ht="15" customHeight="1" spans="1:8">
      <c r="A2" s="2104" t="s">
        <v>1847</v>
      </c>
      <c r="B2" s="2105">
        <v>0</v>
      </c>
      <c r="C2" s="2105">
        <v>0</v>
      </c>
      <c r="D2" s="2105">
        <v>0</v>
      </c>
      <c r="E2" s="2105">
        <v>0</v>
      </c>
      <c r="F2" s="2105">
        <v>0</v>
      </c>
      <c r="G2" s="2105">
        <v>0</v>
      </c>
      <c r="H2" s="2106" t="s">
        <v>2450</v>
      </c>
    </row>
    <row r="3" ht="15" customHeight="1" spans="1:8">
      <c r="A3" s="2107" t="str">
        <f>审定权益表!A3</f>
        <v>编制单位：深圳新阳蓝光能源管理科技股份有限公司</v>
      </c>
      <c r="B3" s="2108"/>
      <c r="C3" s="2108"/>
      <c r="D3" s="2108" t="str">
        <f>审定权益表!D3</f>
        <v>2016年度</v>
      </c>
      <c r="E3" s="2108"/>
      <c r="F3" s="2108"/>
      <c r="G3" s="2108"/>
      <c r="H3" s="2106" t="s">
        <v>1904</v>
      </c>
    </row>
    <row r="4" ht="15" customHeight="1" spans="1:8">
      <c r="A4" s="2109" t="s">
        <v>61</v>
      </c>
      <c r="B4" s="2110" t="s">
        <v>63</v>
      </c>
      <c r="C4" s="2111"/>
      <c r="D4" s="2111"/>
      <c r="E4" s="2111"/>
      <c r="F4" s="2111"/>
      <c r="G4" s="2111"/>
      <c r="H4" s="2112"/>
    </row>
    <row r="5" ht="15" customHeight="1" spans="1:8">
      <c r="A5" s="2113"/>
      <c r="B5" s="2114"/>
      <c r="C5" s="2115"/>
      <c r="D5" s="2115"/>
      <c r="E5" s="2115"/>
      <c r="F5" s="2115"/>
      <c r="G5" s="2115"/>
      <c r="H5" s="2116"/>
    </row>
    <row r="6" ht="15" customHeight="1" spans="1:8">
      <c r="A6" s="2113"/>
      <c r="B6" s="2117" t="s">
        <v>2451</v>
      </c>
      <c r="C6" s="2117" t="s">
        <v>253</v>
      </c>
      <c r="D6" s="2117" t="s">
        <v>255</v>
      </c>
      <c r="E6" s="2117" t="s">
        <v>256</v>
      </c>
      <c r="F6" s="2117" t="s">
        <v>258</v>
      </c>
      <c r="G6" s="2117" t="s">
        <v>280</v>
      </c>
      <c r="H6" s="2118" t="s">
        <v>263</v>
      </c>
    </row>
    <row r="7" ht="15" customHeight="1" spans="1:8">
      <c r="A7" s="2119" t="str">
        <f>审定权益表!A7</f>
        <v>一、上年年末余额</v>
      </c>
      <c r="B7" s="2120">
        <f>审定权益表!B7</f>
        <v>120000000</v>
      </c>
      <c r="C7" s="2120">
        <f>审定权益表!C7</f>
        <v>5756259.26</v>
      </c>
      <c r="D7" s="2120">
        <f>审定权益表!D7</f>
        <v>0</v>
      </c>
      <c r="E7" s="2120">
        <f>审定权益表!E7</f>
        <v>0</v>
      </c>
      <c r="F7" s="2120">
        <f>审定权益表!F7</f>
        <v>-36686290.04</v>
      </c>
      <c r="G7" s="2120">
        <f>审定权益表!G7</f>
        <v>0</v>
      </c>
      <c r="H7" s="2121">
        <f>审定权益表!H7</f>
        <v>89069969.22</v>
      </c>
    </row>
    <row r="8" ht="15" customHeight="1" spans="1:8">
      <c r="A8" s="2122" t="str">
        <f>审定权益表!A8</f>
        <v>加：会计政策变更</v>
      </c>
      <c r="B8" s="2120">
        <f>审定权益表!B8</f>
        <v>0</v>
      </c>
      <c r="C8" s="2120">
        <f>审定权益表!C8</f>
        <v>0</v>
      </c>
      <c r="D8" s="2120">
        <f>审定权益表!D8</f>
        <v>0</v>
      </c>
      <c r="E8" s="2120">
        <f>审定权益表!E8</f>
        <v>0</v>
      </c>
      <c r="F8" s="2120">
        <f>审定权益表!F8</f>
        <v>0</v>
      </c>
      <c r="G8" s="2120">
        <f>审定权益表!G8</f>
        <v>0</v>
      </c>
      <c r="H8" s="2121">
        <f>审定权益表!H8</f>
        <v>0</v>
      </c>
    </row>
    <row r="9" ht="15" customHeight="1" spans="1:8">
      <c r="A9" s="2122" t="str">
        <f>审定权益表!A9</f>
        <v>    前期差错更正</v>
      </c>
      <c r="B9" s="2123">
        <f>审定权益表!B9</f>
        <v>0</v>
      </c>
      <c r="C9" s="2123">
        <f>审定权益表!C9</f>
        <v>0</v>
      </c>
      <c r="D9" s="2123">
        <f>审定权益表!D9</f>
        <v>0</v>
      </c>
      <c r="E9" s="2123">
        <f>审定权益表!E9</f>
        <v>0</v>
      </c>
      <c r="F9" s="2123">
        <f>审定权益表!F9</f>
        <v>0</v>
      </c>
      <c r="G9" s="2123">
        <f>审定权益表!G9</f>
        <v>0</v>
      </c>
      <c r="H9" s="2121">
        <f>审定权益表!H9</f>
        <v>0</v>
      </c>
    </row>
    <row r="10" ht="15" customHeight="1" spans="1:8">
      <c r="A10" s="2119" t="str">
        <f>审定权益表!A10</f>
        <v>二、本年年初余额</v>
      </c>
      <c r="B10" s="2123">
        <f>审定权益表!B10</f>
        <v>120000000</v>
      </c>
      <c r="C10" s="2123">
        <f>审定权益表!C10</f>
        <v>5756259.26</v>
      </c>
      <c r="D10" s="2123">
        <f>审定权益表!D10</f>
        <v>0</v>
      </c>
      <c r="E10" s="2123">
        <f>审定权益表!E10</f>
        <v>0</v>
      </c>
      <c r="F10" s="2123">
        <f>审定权益表!F10</f>
        <v>-36686290.04</v>
      </c>
      <c r="G10" s="2123">
        <f>审定权益表!G10</f>
        <v>0</v>
      </c>
      <c r="H10" s="2121">
        <f>审定权益表!H10</f>
        <v>89069969.22</v>
      </c>
    </row>
    <row r="11" ht="15" customHeight="1" spans="1:8">
      <c r="A11" s="2119" t="str">
        <f>审定权益表!A11</f>
        <v>三、本年增减变动金额</v>
      </c>
      <c r="B11" s="2123">
        <f>审定权益表!B11</f>
        <v>17800000</v>
      </c>
      <c r="C11" s="2123">
        <f>审定权益表!C11</f>
        <v>212842672</v>
      </c>
      <c r="D11" s="2123">
        <f>审定权益表!D11</f>
        <v>0</v>
      </c>
      <c r="E11" s="2123">
        <f>审定权益表!E11</f>
        <v>0</v>
      </c>
      <c r="F11" s="2123">
        <f>审定权益表!F11</f>
        <v>8831644.55</v>
      </c>
      <c r="G11" s="2123">
        <f>审定权益表!G11</f>
        <v>0</v>
      </c>
      <c r="H11" s="2121">
        <f>审定权益表!H11</f>
        <v>239474316.55</v>
      </c>
    </row>
    <row r="12" ht="15" customHeight="1" spans="1:8">
      <c r="A12" s="2119" t="str">
        <f>审定权益表!A12</f>
        <v>（一）净利润</v>
      </c>
      <c r="B12" s="2123">
        <f>审定权益表!B12</f>
        <v>0</v>
      </c>
      <c r="C12" s="2123">
        <f>审定权益表!C12</f>
        <v>0</v>
      </c>
      <c r="D12" s="2123">
        <f>审定权益表!D12</f>
        <v>0</v>
      </c>
      <c r="E12" s="2123">
        <f>审定权益表!E12</f>
        <v>0</v>
      </c>
      <c r="F12" s="2123">
        <f>审定权益表!F12</f>
        <v>8831644.55</v>
      </c>
      <c r="G12" s="2123">
        <f>审定权益表!G12</f>
        <v>0</v>
      </c>
      <c r="H12" s="2121">
        <f>审定权益表!H12</f>
        <v>8831644.55</v>
      </c>
    </row>
    <row r="13" ht="15" customHeight="1" spans="1:8">
      <c r="A13" s="2119" t="str">
        <f>审定权益表!A13</f>
        <v>（二）直接计入所有者权益的利得和损失</v>
      </c>
      <c r="B13" s="2123">
        <f>审定权益表!B13</f>
        <v>0</v>
      </c>
      <c r="C13" s="2123">
        <f>审定权益表!C13</f>
        <v>0</v>
      </c>
      <c r="D13" s="2123">
        <f>审定权益表!D13</f>
        <v>0</v>
      </c>
      <c r="E13" s="2123">
        <f>审定权益表!E13</f>
        <v>0</v>
      </c>
      <c r="F13" s="2123">
        <f>审定权益表!F13</f>
        <v>0</v>
      </c>
      <c r="G13" s="2123">
        <f>审定权益表!G13</f>
        <v>0</v>
      </c>
      <c r="H13" s="2121">
        <f>审定权益表!H13</f>
        <v>0</v>
      </c>
    </row>
    <row r="14" ht="15" customHeight="1" spans="1:8">
      <c r="A14" s="2124" t="str">
        <f>审定权益表!A14</f>
        <v>1．可供出售金融资产公允价值变动净额</v>
      </c>
      <c r="B14" s="2120">
        <f>审定权益表!B14</f>
        <v>0</v>
      </c>
      <c r="C14" s="2120">
        <f>审定权益表!C14</f>
        <v>0</v>
      </c>
      <c r="D14" s="2120">
        <f>审定权益表!D14</f>
        <v>0</v>
      </c>
      <c r="E14" s="2120">
        <f>审定权益表!E14</f>
        <v>0</v>
      </c>
      <c r="F14" s="2120">
        <f>审定权益表!F14</f>
        <v>0</v>
      </c>
      <c r="G14" s="2120">
        <f>审定权益表!G14</f>
        <v>0</v>
      </c>
      <c r="H14" s="2121">
        <f>审定权益表!H14</f>
        <v>0</v>
      </c>
    </row>
    <row r="15" ht="15" customHeight="1" spans="1:8">
      <c r="A15" s="2124" t="str">
        <f>审定权益表!A15</f>
        <v>2．权益法下被投资单位其他所有者权益变动的影响</v>
      </c>
      <c r="B15" s="2120">
        <f>审定权益表!B15</f>
        <v>0</v>
      </c>
      <c r="C15" s="2120">
        <f>审定权益表!C15</f>
        <v>0</v>
      </c>
      <c r="D15" s="2120">
        <f>审定权益表!D15</f>
        <v>0</v>
      </c>
      <c r="E15" s="2120">
        <f>审定权益表!E15</f>
        <v>0</v>
      </c>
      <c r="F15" s="2120">
        <f>审定权益表!F15</f>
        <v>0</v>
      </c>
      <c r="G15" s="2120">
        <f>审定权益表!G15</f>
        <v>0</v>
      </c>
      <c r="H15" s="2121">
        <f>审定权益表!H15</f>
        <v>0</v>
      </c>
    </row>
    <row r="16" ht="15" customHeight="1" spans="1:8">
      <c r="A16" s="2124" t="str">
        <f>审定权益表!A16</f>
        <v>3．与计入所有者权益项目相关的所得税影响</v>
      </c>
      <c r="B16" s="2120">
        <f>审定权益表!B16</f>
        <v>0</v>
      </c>
      <c r="C16" s="2120">
        <f>审定权益表!C16</f>
        <v>0</v>
      </c>
      <c r="D16" s="2120">
        <f>审定权益表!D16</f>
        <v>0</v>
      </c>
      <c r="E16" s="2120">
        <f>审定权益表!E16</f>
        <v>0</v>
      </c>
      <c r="F16" s="2120">
        <f>审定权益表!F16</f>
        <v>0</v>
      </c>
      <c r="G16" s="2120">
        <f>审定权益表!G16</f>
        <v>0</v>
      </c>
      <c r="H16" s="2121">
        <f>审定权益表!H16</f>
        <v>0</v>
      </c>
    </row>
    <row r="17" ht="15" customHeight="1" spans="1:8">
      <c r="A17" s="2124" t="str">
        <f>审定权益表!A17</f>
        <v>4．其他</v>
      </c>
      <c r="B17" s="2120">
        <f>审定权益表!B17</f>
        <v>0</v>
      </c>
      <c r="C17" s="2120">
        <f>审定权益表!C17</f>
        <v>0</v>
      </c>
      <c r="D17" s="2120">
        <f>审定权益表!D17</f>
        <v>0</v>
      </c>
      <c r="E17" s="2120">
        <f>审定权益表!E17</f>
        <v>0</v>
      </c>
      <c r="F17" s="2120">
        <f>审定权益表!F17</f>
        <v>0</v>
      </c>
      <c r="G17" s="2120">
        <f>审定权益表!G17</f>
        <v>0</v>
      </c>
      <c r="H17" s="2121">
        <f>审定权益表!H17</f>
        <v>0</v>
      </c>
    </row>
    <row r="18" ht="15" customHeight="1" spans="1:8">
      <c r="A18" s="2119" t="str">
        <f>审定权益表!A18</f>
        <v>上述（一）和（二）小计</v>
      </c>
      <c r="B18" s="2123">
        <f>审定权益表!B18</f>
        <v>0</v>
      </c>
      <c r="C18" s="2123">
        <f>审定权益表!C18</f>
        <v>0</v>
      </c>
      <c r="D18" s="2123">
        <f>审定权益表!D18</f>
        <v>0</v>
      </c>
      <c r="E18" s="2123">
        <f>审定权益表!E18</f>
        <v>0</v>
      </c>
      <c r="F18" s="2123">
        <f>审定权益表!F18</f>
        <v>8831644.55</v>
      </c>
      <c r="G18" s="2123">
        <f>审定权益表!G18</f>
        <v>0</v>
      </c>
      <c r="H18" s="2121">
        <f>审定权益表!H18</f>
        <v>8831644.55</v>
      </c>
    </row>
    <row r="19" ht="15" customHeight="1" spans="1:8">
      <c r="A19" s="2119" t="str">
        <f>审定权益表!A19</f>
        <v>（三）所有者投入和减少资本</v>
      </c>
      <c r="B19" s="2123">
        <f>审定权益表!B19</f>
        <v>17800000</v>
      </c>
      <c r="C19" s="2123">
        <f>审定权益表!C19</f>
        <v>212842672</v>
      </c>
      <c r="D19" s="2123">
        <f>审定权益表!D19</f>
        <v>0</v>
      </c>
      <c r="E19" s="2123">
        <f>审定权益表!E19</f>
        <v>0</v>
      </c>
      <c r="F19" s="2123">
        <f>审定权益表!F19</f>
        <v>0</v>
      </c>
      <c r="G19" s="2123">
        <f>审定权益表!G19</f>
        <v>0</v>
      </c>
      <c r="H19" s="2121">
        <f>审定权益表!H19</f>
        <v>230642672</v>
      </c>
    </row>
    <row r="20" ht="15" customHeight="1" spans="1:8">
      <c r="A20" s="2124" t="str">
        <f>审定权益表!A20</f>
        <v>1．所有者投入资本</v>
      </c>
      <c r="B20" s="2120">
        <f>审定权益表!B20</f>
        <v>17800000</v>
      </c>
      <c r="C20" s="2120">
        <f>审定权益表!C20</f>
        <v>212842672</v>
      </c>
      <c r="D20" s="2120">
        <f>审定权益表!D20</f>
        <v>0</v>
      </c>
      <c r="E20" s="2120">
        <f>审定权益表!E20</f>
        <v>0</v>
      </c>
      <c r="F20" s="2120">
        <f>审定权益表!F20</f>
        <v>0</v>
      </c>
      <c r="G20" s="2120">
        <f>审定权益表!G20</f>
        <v>0</v>
      </c>
      <c r="H20" s="2121">
        <f>审定权益表!H20</f>
        <v>230642672</v>
      </c>
    </row>
    <row r="21" ht="15" customHeight="1" spans="1:8">
      <c r="A21" s="2124" t="str">
        <f>审定权益表!A21</f>
        <v>2．股份支付计入所有者权益的金额</v>
      </c>
      <c r="B21" s="2120">
        <f>审定权益表!B21</f>
        <v>0</v>
      </c>
      <c r="C21" s="2120">
        <f>审定权益表!C21</f>
        <v>0</v>
      </c>
      <c r="D21" s="2120">
        <f>审定权益表!D21</f>
        <v>0</v>
      </c>
      <c r="E21" s="2120">
        <f>审定权益表!E21</f>
        <v>0</v>
      </c>
      <c r="F21" s="2120">
        <f>审定权益表!F21</f>
        <v>0</v>
      </c>
      <c r="G21" s="2120">
        <f>审定权益表!G21</f>
        <v>0</v>
      </c>
      <c r="H21" s="2121">
        <f>审定权益表!H21</f>
        <v>0</v>
      </c>
    </row>
    <row r="22" ht="15" customHeight="1" spans="1:8">
      <c r="A22" s="2124" t="str">
        <f>审定权益表!A22</f>
        <v>3．其他</v>
      </c>
      <c r="B22" s="2120">
        <f>审定权益表!B22</f>
        <v>0</v>
      </c>
      <c r="C22" s="2120">
        <f>审定权益表!C22</f>
        <v>0</v>
      </c>
      <c r="D22" s="2120">
        <f>审定权益表!D22</f>
        <v>0</v>
      </c>
      <c r="E22" s="2120">
        <f>审定权益表!E22</f>
        <v>0</v>
      </c>
      <c r="F22" s="2120">
        <f>审定权益表!F22</f>
        <v>0</v>
      </c>
      <c r="G22" s="2120">
        <f>审定权益表!G22</f>
        <v>0</v>
      </c>
      <c r="H22" s="2121">
        <f>审定权益表!H22</f>
        <v>0</v>
      </c>
    </row>
    <row r="23" ht="15" customHeight="1" spans="1:8">
      <c r="A23" s="2119" t="str">
        <f>审定权益表!A23</f>
        <v>（四）利润分配</v>
      </c>
      <c r="B23" s="2123">
        <f>审定权益表!B23</f>
        <v>0</v>
      </c>
      <c r="C23" s="2123">
        <f>审定权益表!C23</f>
        <v>0</v>
      </c>
      <c r="D23" s="2123">
        <f>审定权益表!D23</f>
        <v>0</v>
      </c>
      <c r="E23" s="2123">
        <f>审定权益表!E23</f>
        <v>0</v>
      </c>
      <c r="F23" s="2123">
        <f>审定权益表!F23</f>
        <v>0</v>
      </c>
      <c r="G23" s="2123">
        <f>审定权益表!G23</f>
        <v>0</v>
      </c>
      <c r="H23" s="2121">
        <f>审定权益表!H23</f>
        <v>0</v>
      </c>
    </row>
    <row r="24" ht="15" customHeight="1" spans="1:8">
      <c r="A24" s="2124" t="str">
        <f>审定权益表!A24</f>
        <v>1．提取盈余公积</v>
      </c>
      <c r="B24" s="2120">
        <f>审定权益表!B24</f>
        <v>0</v>
      </c>
      <c r="C24" s="2120">
        <f>审定权益表!C24</f>
        <v>0</v>
      </c>
      <c r="D24" s="2120">
        <f>审定权益表!D24</f>
        <v>0</v>
      </c>
      <c r="E24" s="2120">
        <f>审定权益表!E24</f>
        <v>0</v>
      </c>
      <c r="F24" s="2120">
        <f>审定权益表!F24</f>
        <v>0</v>
      </c>
      <c r="G24" s="2120">
        <f>审定权益表!G24</f>
        <v>0</v>
      </c>
      <c r="H24" s="2121">
        <f>审定权益表!H24</f>
        <v>0</v>
      </c>
    </row>
    <row r="25" ht="15" customHeight="1" spans="1:8">
      <c r="A25" s="2124" t="str">
        <f>审定权益表!A25</f>
        <v>2．对所有者（或股东）的分配</v>
      </c>
      <c r="B25" s="2120">
        <f>审定权益表!B25</f>
        <v>0</v>
      </c>
      <c r="C25" s="2120">
        <f>审定权益表!C25</f>
        <v>0</v>
      </c>
      <c r="D25" s="2120">
        <f>审定权益表!D25</f>
        <v>0</v>
      </c>
      <c r="E25" s="2120">
        <f>审定权益表!E25</f>
        <v>0</v>
      </c>
      <c r="F25" s="2120">
        <f>审定权益表!F25</f>
        <v>0</v>
      </c>
      <c r="G25" s="2120">
        <f>审定权益表!G25</f>
        <v>0</v>
      </c>
      <c r="H25" s="2121">
        <f>审定权益表!H25</f>
        <v>0</v>
      </c>
    </row>
    <row r="26" ht="15" customHeight="1" spans="1:8">
      <c r="A26" s="2124" t="str">
        <f>审定权益表!A26</f>
        <v>3．其他</v>
      </c>
      <c r="B26" s="2120">
        <f>审定权益表!B26</f>
        <v>0</v>
      </c>
      <c r="C26" s="2120">
        <f>审定权益表!C26</f>
        <v>0</v>
      </c>
      <c r="D26" s="2120">
        <f>审定权益表!D26</f>
        <v>0</v>
      </c>
      <c r="E26" s="2120">
        <f>审定权益表!E26</f>
        <v>0</v>
      </c>
      <c r="F26" s="2120">
        <f>审定权益表!F26</f>
        <v>0</v>
      </c>
      <c r="G26" s="2120">
        <f>审定权益表!G26</f>
        <v>0</v>
      </c>
      <c r="H26" s="2121">
        <f>审定权益表!H26</f>
        <v>0</v>
      </c>
    </row>
    <row r="27" ht="15" customHeight="1" spans="1:8">
      <c r="A27" s="2119" t="str">
        <f>审定权益表!A27</f>
        <v>（五）所有者权益内部结转</v>
      </c>
      <c r="B27" s="2123">
        <f>审定权益表!B27</f>
        <v>0</v>
      </c>
      <c r="C27" s="2123">
        <f>审定权益表!C27</f>
        <v>0</v>
      </c>
      <c r="D27" s="2123">
        <f>审定权益表!D27</f>
        <v>0</v>
      </c>
      <c r="E27" s="2123">
        <f>审定权益表!E27</f>
        <v>0</v>
      </c>
      <c r="F27" s="2123">
        <f>审定权益表!F27</f>
        <v>0</v>
      </c>
      <c r="G27" s="2123">
        <f>审定权益表!G27</f>
        <v>0</v>
      </c>
      <c r="H27" s="2121">
        <f>审定权益表!H27</f>
        <v>0</v>
      </c>
    </row>
    <row r="28" ht="15" customHeight="1" spans="1:8">
      <c r="A28" s="2124" t="str">
        <f>审定权益表!A28</f>
        <v>1．资本公积转增资本（或股本）</v>
      </c>
      <c r="B28" s="2120">
        <f>审定权益表!B28</f>
        <v>0</v>
      </c>
      <c r="C28" s="2120">
        <f>审定权益表!C28</f>
        <v>0</v>
      </c>
      <c r="D28" s="2120">
        <f>审定权益表!D28</f>
        <v>0</v>
      </c>
      <c r="E28" s="2120">
        <f>审定权益表!E28</f>
        <v>0</v>
      </c>
      <c r="F28" s="2120">
        <f>审定权益表!F28</f>
        <v>0</v>
      </c>
      <c r="G28" s="2120">
        <f>审定权益表!G28</f>
        <v>0</v>
      </c>
      <c r="H28" s="2121">
        <f>审定权益表!H28</f>
        <v>0</v>
      </c>
    </row>
    <row r="29" ht="15" customHeight="1" spans="1:8">
      <c r="A29" s="2124" t="str">
        <f>审定权益表!A29</f>
        <v>2．盈余公积转增资本（或股本）</v>
      </c>
      <c r="B29" s="2120">
        <f>审定权益表!B29</f>
        <v>0</v>
      </c>
      <c r="C29" s="2120">
        <f>审定权益表!C29</f>
        <v>0</v>
      </c>
      <c r="D29" s="2120">
        <f>审定权益表!D29</f>
        <v>0</v>
      </c>
      <c r="E29" s="2120">
        <f>审定权益表!E29</f>
        <v>0</v>
      </c>
      <c r="F29" s="2120">
        <f>审定权益表!F29</f>
        <v>0</v>
      </c>
      <c r="G29" s="2120">
        <f>审定权益表!G29</f>
        <v>0</v>
      </c>
      <c r="H29" s="2121">
        <f>审定权益表!H29</f>
        <v>0</v>
      </c>
    </row>
    <row r="30" ht="15" customHeight="1" spans="1:8">
      <c r="A30" s="2124" t="str">
        <f>审定权益表!A30</f>
        <v>3．盈余公积弥补亏损</v>
      </c>
      <c r="B30" s="2120">
        <f>审定权益表!B30</f>
        <v>0</v>
      </c>
      <c r="C30" s="2120">
        <f>审定权益表!C30</f>
        <v>0</v>
      </c>
      <c r="D30" s="2120">
        <f>审定权益表!D30</f>
        <v>0</v>
      </c>
      <c r="E30" s="2120">
        <f>审定权益表!E30</f>
        <v>0</v>
      </c>
      <c r="F30" s="2120">
        <f>审定权益表!F30</f>
        <v>0</v>
      </c>
      <c r="G30" s="2120">
        <f>审定权益表!G30</f>
        <v>0</v>
      </c>
      <c r="H30" s="2121">
        <f>审定权益表!H30</f>
        <v>0</v>
      </c>
    </row>
    <row r="31" ht="15" customHeight="1" spans="1:8">
      <c r="A31" s="2124" t="str">
        <f>审定权益表!A31</f>
        <v>4．其他</v>
      </c>
      <c r="B31" s="2120">
        <f>审定权益表!B31</f>
        <v>0</v>
      </c>
      <c r="C31" s="2120">
        <f>审定权益表!C31</f>
        <v>0</v>
      </c>
      <c r="D31" s="2120">
        <f>审定权益表!D31</f>
        <v>0</v>
      </c>
      <c r="E31" s="2120">
        <f>审定权益表!E31</f>
        <v>0</v>
      </c>
      <c r="F31" s="2120">
        <f>审定权益表!F31</f>
        <v>0</v>
      </c>
      <c r="G31" s="2120">
        <f>审定权益表!G31</f>
        <v>0</v>
      </c>
      <c r="H31" s="2121">
        <f>审定权益表!H31</f>
        <v>0</v>
      </c>
    </row>
    <row r="32" ht="15" customHeight="1" spans="1:8">
      <c r="A32" s="2125" t="str">
        <f>审定权益表!A32</f>
        <v>四、本年年末余额</v>
      </c>
      <c r="B32" s="2126">
        <f>审定权益表!B32</f>
        <v>137800000</v>
      </c>
      <c r="C32" s="2126">
        <f>审定权益表!C32</f>
        <v>218598931.26</v>
      </c>
      <c r="D32" s="2126">
        <f>审定权益表!D32</f>
        <v>0</v>
      </c>
      <c r="E32" s="2126">
        <f>审定权益表!E32</f>
        <v>0</v>
      </c>
      <c r="F32" s="2126">
        <f>审定权益表!F32</f>
        <v>-27854645.49</v>
      </c>
      <c r="G32" s="2126">
        <f>审定权益表!G32</f>
        <v>0</v>
      </c>
      <c r="H32" s="2127">
        <f>审定权益表!H32</f>
        <v>328544285.77</v>
      </c>
    </row>
    <row r="33" ht="25.5" customHeight="1" spans="1:8">
      <c r="A33" s="2103" t="s">
        <v>277</v>
      </c>
      <c r="B33" s="2103"/>
      <c r="C33" s="2103"/>
      <c r="D33" s="2103"/>
      <c r="E33" s="2103"/>
      <c r="F33" s="2103"/>
      <c r="G33" s="2103"/>
      <c r="H33" s="2103"/>
    </row>
    <row r="34" ht="15" customHeight="1" spans="1:8">
      <c r="A34" s="2104" t="s">
        <v>1847</v>
      </c>
      <c r="B34" s="2105">
        <v>0</v>
      </c>
      <c r="C34" s="2105">
        <v>0</v>
      </c>
      <c r="D34" s="2105">
        <v>0</v>
      </c>
      <c r="E34" s="2105">
        <v>0</v>
      </c>
      <c r="F34" s="2105">
        <v>0</v>
      </c>
      <c r="G34" s="2105">
        <v>0</v>
      </c>
      <c r="H34" s="2106" t="s">
        <v>2452</v>
      </c>
    </row>
    <row r="35" ht="15" customHeight="1" spans="1:8">
      <c r="A35" s="2107" t="str">
        <f>A3</f>
        <v>编制单位：深圳新阳蓝光能源管理科技股份有限公司</v>
      </c>
      <c r="B35" s="2108"/>
      <c r="C35" s="2108"/>
      <c r="D35" s="2108" t="str">
        <f>D3</f>
        <v>2016年度</v>
      </c>
      <c r="E35" s="2108"/>
      <c r="F35" s="2108"/>
      <c r="G35" s="2108"/>
      <c r="H35" s="2106" t="s">
        <v>1904</v>
      </c>
    </row>
    <row r="36" ht="15" customHeight="1" spans="1:8">
      <c r="A36" s="2109" t="s">
        <v>61</v>
      </c>
      <c r="B36" s="2128" t="s">
        <v>1906</v>
      </c>
      <c r="C36" s="2129"/>
      <c r="D36" s="2129"/>
      <c r="E36" s="2129"/>
      <c r="F36" s="2129"/>
      <c r="G36" s="2129"/>
      <c r="H36" s="2130"/>
    </row>
    <row r="37" ht="15" customHeight="1" spans="1:8">
      <c r="A37" s="2113"/>
      <c r="B37" s="2131"/>
      <c r="C37" s="2132"/>
      <c r="D37" s="2132"/>
      <c r="E37" s="2132"/>
      <c r="F37" s="2132"/>
      <c r="G37" s="2132"/>
      <c r="H37" s="2133"/>
    </row>
    <row r="38" ht="15" customHeight="1" spans="1:8">
      <c r="A38" s="2113"/>
      <c r="B38" s="2117" t="s">
        <v>2451</v>
      </c>
      <c r="C38" s="2117" t="s">
        <v>253</v>
      </c>
      <c r="D38" s="2117" t="s">
        <v>255</v>
      </c>
      <c r="E38" s="2117" t="s">
        <v>256</v>
      </c>
      <c r="F38" s="2117" t="s">
        <v>258</v>
      </c>
      <c r="G38" s="2117" t="s">
        <v>280</v>
      </c>
      <c r="H38" s="2118" t="s">
        <v>263</v>
      </c>
    </row>
    <row r="39" ht="15" customHeight="1" spans="1:8">
      <c r="A39" s="2119" t="str">
        <f>审定权益表!A39</f>
        <v>一、上年年末余额</v>
      </c>
      <c r="B39" s="2120">
        <f>审定权益表!B39</f>
        <v>220000000</v>
      </c>
      <c r="C39" s="2120">
        <f>审定权益表!C39</f>
        <v>0</v>
      </c>
      <c r="D39" s="2120">
        <f>审定权益表!D39</f>
        <v>0</v>
      </c>
      <c r="E39" s="2120">
        <f>审定权益表!E39</f>
        <v>0</v>
      </c>
      <c r="F39" s="2120">
        <f>审定权益表!F39</f>
        <v>-7295558.4</v>
      </c>
      <c r="G39" s="2120">
        <f>审定权益表!G39</f>
        <v>0</v>
      </c>
      <c r="H39" s="2121">
        <f>审定权益表!H39</f>
        <v>212704441.6</v>
      </c>
    </row>
    <row r="40" ht="15" customHeight="1" spans="1:8">
      <c r="A40" s="2122" t="str">
        <f>审定权益表!A40</f>
        <v>加：会计政策变更</v>
      </c>
      <c r="B40" s="2120">
        <f>审定权益表!B40</f>
        <v>0</v>
      </c>
      <c r="C40" s="2120">
        <f>审定权益表!C40</f>
        <v>0</v>
      </c>
      <c r="D40" s="2120">
        <f>审定权益表!D40</f>
        <v>0</v>
      </c>
      <c r="E40" s="2120">
        <f>审定权益表!E40</f>
        <v>0</v>
      </c>
      <c r="F40" s="2120">
        <f>审定权益表!F40</f>
        <v>0</v>
      </c>
      <c r="G40" s="2120">
        <f>审定权益表!G40</f>
        <v>0</v>
      </c>
      <c r="H40" s="2121">
        <f>审定权益表!H40</f>
        <v>0</v>
      </c>
    </row>
    <row r="41" ht="15" customHeight="1" spans="1:8">
      <c r="A41" s="2122" t="str">
        <f>审定权益表!A41</f>
        <v>    前期差错更正</v>
      </c>
      <c r="B41" s="2120">
        <f>审定权益表!B41</f>
        <v>0</v>
      </c>
      <c r="C41" s="2120">
        <f>审定权益表!C41</f>
        <v>0</v>
      </c>
      <c r="D41" s="2120">
        <f>审定权益表!D41</f>
        <v>0</v>
      </c>
      <c r="E41" s="2120">
        <f>审定权益表!E41</f>
        <v>0</v>
      </c>
      <c r="F41" s="2123">
        <f>审定权益表!F41</f>
        <v>0</v>
      </c>
      <c r="G41" s="2120">
        <f>审定权益表!G41</f>
        <v>0</v>
      </c>
      <c r="H41" s="2121">
        <f>审定权益表!H41</f>
        <v>0</v>
      </c>
    </row>
    <row r="42" ht="15" customHeight="1" spans="1:8">
      <c r="A42" s="2119" t="str">
        <f>审定权益表!A42</f>
        <v>二、本年年初余额</v>
      </c>
      <c r="B42" s="2123">
        <f>审定权益表!B42</f>
        <v>220000000</v>
      </c>
      <c r="C42" s="2123">
        <f>审定权益表!C42</f>
        <v>0</v>
      </c>
      <c r="D42" s="2123">
        <f>审定权益表!D42</f>
        <v>0</v>
      </c>
      <c r="E42" s="2123">
        <f>审定权益表!E42</f>
        <v>0</v>
      </c>
      <c r="F42" s="2123">
        <f>审定权益表!F42</f>
        <v>-7295558.4</v>
      </c>
      <c r="G42" s="2123">
        <f>审定权益表!G42</f>
        <v>0</v>
      </c>
      <c r="H42" s="2121">
        <f>审定权益表!H42</f>
        <v>212704441.6</v>
      </c>
    </row>
    <row r="43" ht="15" customHeight="1" spans="1:8">
      <c r="A43" s="2119" t="str">
        <f>审定权益表!A43</f>
        <v>三、本年增减变动金额</v>
      </c>
      <c r="B43" s="2123">
        <f>审定权益表!B43</f>
        <v>-100000000</v>
      </c>
      <c r="C43" s="2123">
        <f>审定权益表!C43</f>
        <v>5756259.26</v>
      </c>
      <c r="D43" s="2123">
        <f>审定权益表!D43</f>
        <v>0</v>
      </c>
      <c r="E43" s="2123">
        <f>审定权益表!E43</f>
        <v>0</v>
      </c>
      <c r="F43" s="2123">
        <f>审定权益表!F43</f>
        <v>-29390731.64</v>
      </c>
      <c r="G43" s="2123">
        <f>审定权益表!G43</f>
        <v>0</v>
      </c>
      <c r="H43" s="2121">
        <f>审定权益表!H43</f>
        <v>-123634472.38</v>
      </c>
    </row>
    <row r="44" ht="15" customHeight="1" spans="1:8">
      <c r="A44" s="2119" t="str">
        <f>审定权益表!A44</f>
        <v>（一）净利润</v>
      </c>
      <c r="B44" s="2123">
        <f>审定权益表!B44</f>
        <v>0</v>
      </c>
      <c r="C44" s="2123">
        <f>审定权益表!C44</f>
        <v>0</v>
      </c>
      <c r="D44" s="2123">
        <f>审定权益表!D44</f>
        <v>0</v>
      </c>
      <c r="E44" s="2123">
        <f>审定权益表!E44</f>
        <v>0</v>
      </c>
      <c r="F44" s="2123">
        <f>审定权益表!F44</f>
        <v>-10590731.64</v>
      </c>
      <c r="G44" s="2123">
        <f>审定权益表!G44</f>
        <v>0</v>
      </c>
      <c r="H44" s="2121">
        <f>审定权益表!H44</f>
        <v>-10590731.64</v>
      </c>
    </row>
    <row r="45" ht="15" customHeight="1" spans="1:8">
      <c r="A45" s="2119" t="str">
        <f>审定权益表!A45</f>
        <v>（二）直接计入所有者权益的利得和损失</v>
      </c>
      <c r="B45" s="2123">
        <f>审定权益表!B45</f>
        <v>0</v>
      </c>
      <c r="C45" s="2123">
        <f>审定权益表!C45</f>
        <v>0</v>
      </c>
      <c r="D45" s="2123">
        <f>审定权益表!D45</f>
        <v>0</v>
      </c>
      <c r="E45" s="2123">
        <f>审定权益表!E45</f>
        <v>0</v>
      </c>
      <c r="F45" s="2123">
        <f>审定权益表!F45</f>
        <v>0</v>
      </c>
      <c r="G45" s="2123">
        <f>审定权益表!G45</f>
        <v>0</v>
      </c>
      <c r="H45" s="2121">
        <f>审定权益表!H45</f>
        <v>0</v>
      </c>
    </row>
    <row r="46" ht="15" customHeight="1" spans="1:8">
      <c r="A46" s="2124" t="str">
        <f>审定权益表!A46</f>
        <v>1．可供出售金融资产公允价值变动净额</v>
      </c>
      <c r="B46" s="2120">
        <f>审定权益表!B46</f>
        <v>0</v>
      </c>
      <c r="C46" s="2120">
        <f>审定权益表!C46</f>
        <v>0</v>
      </c>
      <c r="D46" s="2120">
        <f>审定权益表!D46</f>
        <v>0</v>
      </c>
      <c r="E46" s="2120">
        <f>审定权益表!E46</f>
        <v>0</v>
      </c>
      <c r="F46" s="2120">
        <f>审定权益表!F46</f>
        <v>0</v>
      </c>
      <c r="G46" s="2120">
        <f>审定权益表!G46</f>
        <v>0</v>
      </c>
      <c r="H46" s="2121">
        <f>审定权益表!H46</f>
        <v>0</v>
      </c>
    </row>
    <row r="47" ht="15" customHeight="1" spans="1:8">
      <c r="A47" s="2124" t="str">
        <f>审定权益表!A47</f>
        <v>2．权益法下被投资单位其他所有者权益变动的影响</v>
      </c>
      <c r="B47" s="2120">
        <f>审定权益表!B47</f>
        <v>0</v>
      </c>
      <c r="C47" s="2120">
        <f>审定权益表!C47</f>
        <v>0</v>
      </c>
      <c r="D47" s="2120">
        <f>审定权益表!D47</f>
        <v>0</v>
      </c>
      <c r="E47" s="2120">
        <f>审定权益表!E47</f>
        <v>0</v>
      </c>
      <c r="F47" s="2120">
        <f>审定权益表!F47</f>
        <v>0</v>
      </c>
      <c r="G47" s="2120">
        <f>审定权益表!G47</f>
        <v>0</v>
      </c>
      <c r="H47" s="2121">
        <f>审定权益表!H47</f>
        <v>0</v>
      </c>
    </row>
    <row r="48" ht="15" customHeight="1" spans="1:8">
      <c r="A48" s="2124" t="str">
        <f>审定权益表!A48</f>
        <v>3．与计入所有者权益项目相关的所得税影响</v>
      </c>
      <c r="B48" s="2120">
        <f>审定权益表!B48</f>
        <v>0</v>
      </c>
      <c r="C48" s="2120">
        <f>审定权益表!C48</f>
        <v>0</v>
      </c>
      <c r="D48" s="2120">
        <f>审定权益表!D48</f>
        <v>0</v>
      </c>
      <c r="E48" s="2120">
        <f>审定权益表!E48</f>
        <v>0</v>
      </c>
      <c r="F48" s="2120">
        <f>审定权益表!F48</f>
        <v>0</v>
      </c>
      <c r="G48" s="2120">
        <f>审定权益表!G48</f>
        <v>0</v>
      </c>
      <c r="H48" s="2121">
        <f>审定权益表!H48</f>
        <v>0</v>
      </c>
    </row>
    <row r="49" ht="15" customHeight="1" spans="1:8">
      <c r="A49" s="2124" t="str">
        <f>审定权益表!A49</f>
        <v>4．其他</v>
      </c>
      <c r="B49" s="2120">
        <f>审定权益表!B49</f>
        <v>0</v>
      </c>
      <c r="C49" s="2120">
        <f>审定权益表!C49</f>
        <v>0</v>
      </c>
      <c r="D49" s="2120">
        <f>审定权益表!D49</f>
        <v>0</v>
      </c>
      <c r="E49" s="2120">
        <f>审定权益表!E49</f>
        <v>0</v>
      </c>
      <c r="F49" s="2120">
        <f>审定权益表!F49</f>
        <v>0</v>
      </c>
      <c r="G49" s="2120">
        <f>审定权益表!G49</f>
        <v>0</v>
      </c>
      <c r="H49" s="2121">
        <f>审定权益表!H49</f>
        <v>0</v>
      </c>
    </row>
    <row r="50" ht="15" customHeight="1" spans="1:8">
      <c r="A50" s="2119" t="str">
        <f>审定权益表!A50</f>
        <v>上述（一）和（二）小计</v>
      </c>
      <c r="B50" s="2123">
        <f>审定权益表!B50</f>
        <v>0</v>
      </c>
      <c r="C50" s="2123">
        <f>审定权益表!C50</f>
        <v>0</v>
      </c>
      <c r="D50" s="2123">
        <f>审定权益表!D50</f>
        <v>0</v>
      </c>
      <c r="E50" s="2123">
        <f>审定权益表!E50</f>
        <v>0</v>
      </c>
      <c r="F50" s="2123">
        <f>审定权益表!F50</f>
        <v>-10590731.64</v>
      </c>
      <c r="G50" s="2123">
        <f>审定权益表!G50</f>
        <v>0</v>
      </c>
      <c r="H50" s="2121">
        <f>审定权益表!H50</f>
        <v>-10590731.64</v>
      </c>
    </row>
    <row r="51" ht="15" customHeight="1" spans="1:8">
      <c r="A51" s="2119" t="str">
        <f>审定权益表!A51</f>
        <v>（三）所有者投入和减少资本</v>
      </c>
      <c r="B51" s="2123">
        <f>审定权益表!B51</f>
        <v>-100000000</v>
      </c>
      <c r="C51" s="2123">
        <f>审定权益表!C51</f>
        <v>5756259.26</v>
      </c>
      <c r="D51" s="2123">
        <f>审定权益表!D51</f>
        <v>0</v>
      </c>
      <c r="E51" s="2123">
        <f>审定权益表!E51</f>
        <v>0</v>
      </c>
      <c r="F51" s="2123">
        <f>审定权益表!F51</f>
        <v>0</v>
      </c>
      <c r="G51" s="2123">
        <f>审定权益表!G51</f>
        <v>0</v>
      </c>
      <c r="H51" s="2121">
        <f>审定权益表!H51</f>
        <v>-94243740.74</v>
      </c>
    </row>
    <row r="52" ht="15" customHeight="1" spans="1:8">
      <c r="A52" s="2124" t="str">
        <f>审定权益表!A52</f>
        <v>1．所有者投入资本</v>
      </c>
      <c r="B52" s="2120">
        <f>审定权益表!B52</f>
        <v>-100000000</v>
      </c>
      <c r="C52" s="2120">
        <f>审定权益表!C52</f>
        <v>5756259.26</v>
      </c>
      <c r="D52" s="2120">
        <f>审定权益表!D52</f>
        <v>0</v>
      </c>
      <c r="E52" s="2120">
        <f>审定权益表!E52</f>
        <v>0</v>
      </c>
      <c r="F52" s="2120">
        <f>审定权益表!F52</f>
        <v>0</v>
      </c>
      <c r="G52" s="2120">
        <f>审定权益表!G52</f>
        <v>0</v>
      </c>
      <c r="H52" s="2121">
        <f>审定权益表!H52</f>
        <v>-94243740.74</v>
      </c>
    </row>
    <row r="53" ht="15" customHeight="1" spans="1:8">
      <c r="A53" s="2124" t="str">
        <f>审定权益表!A53</f>
        <v>2．股份支付计入所有者权益的金额</v>
      </c>
      <c r="B53" s="2120">
        <f>审定权益表!B53</f>
        <v>0</v>
      </c>
      <c r="C53" s="2120">
        <f>审定权益表!C53</f>
        <v>0</v>
      </c>
      <c r="D53" s="2120">
        <f>审定权益表!D53</f>
        <v>0</v>
      </c>
      <c r="E53" s="2120">
        <f>审定权益表!E53</f>
        <v>0</v>
      </c>
      <c r="F53" s="2120">
        <f>审定权益表!F53</f>
        <v>0</v>
      </c>
      <c r="G53" s="2120">
        <f>审定权益表!G53</f>
        <v>0</v>
      </c>
      <c r="H53" s="2121">
        <f>审定权益表!H53</f>
        <v>0</v>
      </c>
    </row>
    <row r="54" ht="15" customHeight="1" spans="1:8">
      <c r="A54" s="2124" t="str">
        <f>审定权益表!A54</f>
        <v>3．其他</v>
      </c>
      <c r="B54" s="2120">
        <f>审定权益表!B54</f>
        <v>0</v>
      </c>
      <c r="C54" s="2120">
        <f>审定权益表!C54</f>
        <v>0</v>
      </c>
      <c r="D54" s="2120">
        <f>审定权益表!D54</f>
        <v>0</v>
      </c>
      <c r="E54" s="2120">
        <f>审定权益表!E54</f>
        <v>0</v>
      </c>
      <c r="F54" s="2120">
        <f>审定权益表!F54</f>
        <v>0</v>
      </c>
      <c r="G54" s="2120">
        <f>审定权益表!G54</f>
        <v>0</v>
      </c>
      <c r="H54" s="2121">
        <f>审定权益表!H54</f>
        <v>0</v>
      </c>
    </row>
    <row r="55" ht="15" customHeight="1" spans="1:8">
      <c r="A55" s="2119" t="str">
        <f>审定权益表!A55</f>
        <v>（四）利润分配</v>
      </c>
      <c r="B55" s="2123">
        <f>审定权益表!B55</f>
        <v>0</v>
      </c>
      <c r="C55" s="2123">
        <f>审定权益表!C55</f>
        <v>0</v>
      </c>
      <c r="D55" s="2123">
        <f>审定权益表!D55</f>
        <v>0</v>
      </c>
      <c r="E55" s="2123">
        <f>审定权益表!E55</f>
        <v>0</v>
      </c>
      <c r="F55" s="2123">
        <f>审定权益表!F55</f>
        <v>-18800000</v>
      </c>
      <c r="G55" s="2123">
        <f>审定权益表!G55</f>
        <v>0</v>
      </c>
      <c r="H55" s="2121">
        <f>审定权益表!H55</f>
        <v>-18800000</v>
      </c>
    </row>
    <row r="56" ht="15" customHeight="1" spans="1:8">
      <c r="A56" s="2124" t="str">
        <f>审定权益表!A56</f>
        <v>1．提取盈余公积</v>
      </c>
      <c r="B56" s="2120">
        <f>审定权益表!B56</f>
        <v>0</v>
      </c>
      <c r="C56" s="2120">
        <f>审定权益表!C56</f>
        <v>0</v>
      </c>
      <c r="D56" s="2120">
        <f>审定权益表!D56</f>
        <v>0</v>
      </c>
      <c r="E56" s="2120">
        <f>审定权益表!E56</f>
        <v>0</v>
      </c>
      <c r="F56" s="2120">
        <f>审定权益表!F56</f>
        <v>0</v>
      </c>
      <c r="G56" s="2120">
        <f>审定权益表!G56</f>
        <v>0</v>
      </c>
      <c r="H56" s="2121">
        <f>审定权益表!H56</f>
        <v>0</v>
      </c>
    </row>
    <row r="57" ht="15" customHeight="1" spans="1:8">
      <c r="A57" s="2124" t="str">
        <f>审定权益表!A57</f>
        <v>2．对所有者（或股东）的分配</v>
      </c>
      <c r="B57" s="2120">
        <f>审定权益表!B57</f>
        <v>0</v>
      </c>
      <c r="C57" s="2120">
        <f>审定权益表!C57</f>
        <v>0</v>
      </c>
      <c r="D57" s="2120">
        <f>审定权益表!D57</f>
        <v>0</v>
      </c>
      <c r="E57" s="2120">
        <f>审定权益表!E57</f>
        <v>0</v>
      </c>
      <c r="F57" s="2120">
        <f>审定权益表!F57</f>
        <v>-18800000</v>
      </c>
      <c r="G57" s="2120">
        <f>审定权益表!G57</f>
        <v>0</v>
      </c>
      <c r="H57" s="2121">
        <f>审定权益表!H57</f>
        <v>-18800000</v>
      </c>
    </row>
    <row r="58" ht="15" customHeight="1" spans="1:8">
      <c r="A58" s="2124" t="str">
        <f>审定权益表!A58</f>
        <v>3．其他</v>
      </c>
      <c r="B58" s="2120">
        <f>审定权益表!B58</f>
        <v>0</v>
      </c>
      <c r="C58" s="2120">
        <f>审定权益表!C58</f>
        <v>0</v>
      </c>
      <c r="D58" s="2120">
        <f>审定权益表!D58</f>
        <v>0</v>
      </c>
      <c r="E58" s="2120">
        <f>审定权益表!E58</f>
        <v>0</v>
      </c>
      <c r="F58" s="2120">
        <f>审定权益表!F58</f>
        <v>0</v>
      </c>
      <c r="G58" s="2120">
        <f>审定权益表!G58</f>
        <v>0</v>
      </c>
      <c r="H58" s="2121">
        <f>审定权益表!H58</f>
        <v>0</v>
      </c>
    </row>
    <row r="59" ht="15" customHeight="1" spans="1:8">
      <c r="A59" s="2119" t="str">
        <f>审定权益表!A59</f>
        <v>（五）所有者权益内部结转</v>
      </c>
      <c r="B59" s="2123">
        <f>审定权益表!B59</f>
        <v>0</v>
      </c>
      <c r="C59" s="2123">
        <f>审定权益表!C59</f>
        <v>0</v>
      </c>
      <c r="D59" s="2123">
        <f>审定权益表!D59</f>
        <v>0</v>
      </c>
      <c r="E59" s="2123">
        <f>审定权益表!E59</f>
        <v>0</v>
      </c>
      <c r="F59" s="2123">
        <f>审定权益表!F59</f>
        <v>0</v>
      </c>
      <c r="G59" s="2123">
        <f>审定权益表!G59</f>
        <v>0</v>
      </c>
      <c r="H59" s="2121">
        <f>审定权益表!H59</f>
        <v>0</v>
      </c>
    </row>
    <row r="60" ht="15" customHeight="1" spans="1:8">
      <c r="A60" s="2124" t="str">
        <f>审定权益表!A60</f>
        <v>1．资本公积转增资本（或股本）</v>
      </c>
      <c r="B60" s="2120">
        <f>审定权益表!B60</f>
        <v>0</v>
      </c>
      <c r="C60" s="2120">
        <f>审定权益表!C60</f>
        <v>0</v>
      </c>
      <c r="D60" s="2120">
        <f>审定权益表!D60</f>
        <v>0</v>
      </c>
      <c r="E60" s="2120">
        <f>审定权益表!E60</f>
        <v>0</v>
      </c>
      <c r="F60" s="2120">
        <f>审定权益表!F60</f>
        <v>0</v>
      </c>
      <c r="G60" s="2120">
        <f>审定权益表!G60</f>
        <v>0</v>
      </c>
      <c r="H60" s="2121">
        <f>审定权益表!H60</f>
        <v>0</v>
      </c>
    </row>
    <row r="61" ht="15" customHeight="1" spans="1:8">
      <c r="A61" s="2124" t="str">
        <f>审定权益表!A61</f>
        <v>2．盈余公积转增资本（或股本）</v>
      </c>
      <c r="B61" s="2120">
        <f>审定权益表!B61</f>
        <v>0</v>
      </c>
      <c r="C61" s="2120">
        <f>审定权益表!C61</f>
        <v>0</v>
      </c>
      <c r="D61" s="2120">
        <f>审定权益表!D61</f>
        <v>0</v>
      </c>
      <c r="E61" s="2120">
        <f>审定权益表!E61</f>
        <v>0</v>
      </c>
      <c r="F61" s="2120">
        <f>审定权益表!F61</f>
        <v>0</v>
      </c>
      <c r="G61" s="2120">
        <f>审定权益表!G61</f>
        <v>0</v>
      </c>
      <c r="H61" s="2121">
        <f>审定权益表!H61</f>
        <v>0</v>
      </c>
    </row>
    <row r="62" ht="15" customHeight="1" spans="1:8">
      <c r="A62" s="2124" t="str">
        <f>审定权益表!A62</f>
        <v>3．盈余公积弥补亏损</v>
      </c>
      <c r="B62" s="2120">
        <f>审定权益表!B62</f>
        <v>0</v>
      </c>
      <c r="C62" s="2120">
        <f>审定权益表!C62</f>
        <v>0</v>
      </c>
      <c r="D62" s="2120">
        <f>审定权益表!D62</f>
        <v>0</v>
      </c>
      <c r="E62" s="2120">
        <f>审定权益表!E62</f>
        <v>0</v>
      </c>
      <c r="F62" s="2120">
        <f>审定权益表!F62</f>
        <v>0</v>
      </c>
      <c r="G62" s="2120">
        <f>审定权益表!G62</f>
        <v>0</v>
      </c>
      <c r="H62" s="2121">
        <f>审定权益表!H62</f>
        <v>0</v>
      </c>
    </row>
    <row r="63" ht="15" customHeight="1" spans="1:8">
      <c r="A63" s="2124" t="str">
        <f>审定权益表!A63</f>
        <v>4．其他</v>
      </c>
      <c r="B63" s="2120">
        <f>审定权益表!B63</f>
        <v>0</v>
      </c>
      <c r="C63" s="2120">
        <f>审定权益表!C63</f>
        <v>0</v>
      </c>
      <c r="D63" s="2120">
        <f>审定权益表!D63</f>
        <v>0</v>
      </c>
      <c r="E63" s="2120">
        <f>审定权益表!E63</f>
        <v>0</v>
      </c>
      <c r="F63" s="2120">
        <f>审定权益表!F63</f>
        <v>0</v>
      </c>
      <c r="G63" s="2120">
        <f>审定权益表!G63</f>
        <v>0</v>
      </c>
      <c r="H63" s="2121">
        <f>审定权益表!H63</f>
        <v>0</v>
      </c>
    </row>
    <row r="64" ht="15" customHeight="1" spans="1:8">
      <c r="A64" s="2125" t="str">
        <f>审定权益表!A64</f>
        <v>四、本年年末余额</v>
      </c>
      <c r="B64" s="2126">
        <f>审定权益表!B64</f>
        <v>120000000</v>
      </c>
      <c r="C64" s="2126">
        <f>审定权益表!C64</f>
        <v>5756259.26</v>
      </c>
      <c r="D64" s="2126">
        <f>审定权益表!D64</f>
        <v>0</v>
      </c>
      <c r="E64" s="2126">
        <f>审定权益表!E64</f>
        <v>0</v>
      </c>
      <c r="F64" s="2126">
        <f>审定权益表!F64</f>
        <v>-36686290.04</v>
      </c>
      <c r="G64" s="2126">
        <f>审定权益表!G64</f>
        <v>0</v>
      </c>
      <c r="H64" s="2127">
        <f>审定权益表!H64</f>
        <v>89069969.22</v>
      </c>
    </row>
    <row r="65" ht="15"/>
  </sheetData>
  <sheetProtection selectLockedCells="1" selectUnlockedCell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4488188976378" header="0.275590551181102" footer="0.708661417322835"/>
  <pageSetup paperSize="9" scale="95" orientation="landscape" blackAndWhite="1"/>
  <headerFooter>
    <oddFooter>&amp;L&amp;10企业负责人:&amp;C&amp;10会计机构负责人:&amp;R&amp;10制表人:</oddFooter>
  </headerFooter>
  <rowBreaks count="1" manualBreakCount="1">
    <brk id="32" max="16383" man="1"/>
  </rowBreak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N189"/>
  <sheetViews>
    <sheetView view="pageBreakPreview" zoomScaleNormal="100" zoomScaleSheetLayoutView="100" workbookViewId="0">
      <pane xSplit="1" ySplit="4" topLeftCell="B89" activePane="bottomRight" state="frozen"/>
      <selection/>
      <selection pane="topRight"/>
      <selection pane="bottomLeft"/>
      <selection pane="bottomRight" activeCell="J95" sqref="J95"/>
    </sheetView>
  </sheetViews>
  <sheetFormatPr defaultColWidth="9" defaultRowHeight="14.25"/>
  <cols>
    <col min="1" max="1" width="29.625" customWidth="1"/>
    <col min="2" max="3" width="11.25" customWidth="1"/>
    <col min="4" max="4" width="8.25" hidden="1" customWidth="1" outlineLevel="1"/>
    <col min="5" max="5" width="11.75" hidden="1" customWidth="1" outlineLevel="1"/>
    <col min="6" max="6" width="7.625" hidden="1" customWidth="1" outlineLevel="1"/>
    <col min="7" max="7" width="7.375" hidden="1" customWidth="1" outlineLevel="1"/>
    <col min="8" max="8" width="18.5" customWidth="1" collapsed="1"/>
    <col min="9" max="9" width="17" customWidth="1"/>
    <col min="10" max="10" width="14.25" customWidth="1"/>
    <col min="11" max="11" width="13.25" customWidth="1"/>
    <col min="12" max="12" width="14.125" customWidth="1"/>
    <col min="253" max="253" width="33.25" customWidth="1"/>
    <col min="254" max="255" width="11.375" customWidth="1"/>
    <col min="256" max="256" width="10" customWidth="1"/>
    <col min="257" max="257" width="8.25" customWidth="1"/>
    <col min="258" max="258" width="7.5" customWidth="1"/>
    <col min="259" max="259" width="32" customWidth="1"/>
    <col min="260" max="260" width="10.25" customWidth="1"/>
    <col min="261" max="261" width="10.125" customWidth="1"/>
    <col min="262" max="262" width="12.25" customWidth="1"/>
    <col min="263" max="263" width="21" customWidth="1"/>
    <col min="509" max="509" width="33.25" customWidth="1"/>
    <col min="510" max="511" width="11.375" customWidth="1"/>
    <col min="512" max="512" width="10" customWidth="1"/>
    <col min="513" max="513" width="8.25" customWidth="1"/>
    <col min="514" max="514" width="7.5" customWidth="1"/>
    <col min="515" max="515" width="32" customWidth="1"/>
    <col min="516" max="516" width="10.25" customWidth="1"/>
    <col min="517" max="517" width="10.125" customWidth="1"/>
    <col min="518" max="518" width="12.25" customWidth="1"/>
    <col min="519" max="519" width="21" customWidth="1"/>
    <col min="765" max="765" width="33.25" customWidth="1"/>
    <col min="766" max="767" width="11.375" customWidth="1"/>
    <col min="768" max="768" width="10" customWidth="1"/>
    <col min="769" max="769" width="8.25" customWidth="1"/>
    <col min="770" max="770" width="7.5" customWidth="1"/>
    <col min="771" max="771" width="32" customWidth="1"/>
    <col min="772" max="772" width="10.25" customWidth="1"/>
    <col min="773" max="773" width="10.125" customWidth="1"/>
    <col min="774" max="774" width="12.25" customWidth="1"/>
    <col min="775" max="775" width="21" customWidth="1"/>
    <col min="1021" max="1021" width="33.25" customWidth="1"/>
    <col min="1022" max="1023" width="11.375" customWidth="1"/>
    <col min="1024" max="1024" width="10" customWidth="1"/>
    <col min="1025" max="1025" width="8.25" customWidth="1"/>
    <col min="1026" max="1026" width="7.5" customWidth="1"/>
    <col min="1027" max="1027" width="32" customWidth="1"/>
    <col min="1028" max="1028" width="10.25" customWidth="1"/>
    <col min="1029" max="1029" width="10.125" customWidth="1"/>
    <col min="1030" max="1030" width="12.25" customWidth="1"/>
    <col min="1031" max="1031" width="21" customWidth="1"/>
    <col min="1277" max="1277" width="33.25" customWidth="1"/>
    <col min="1278" max="1279" width="11.375" customWidth="1"/>
    <col min="1280" max="1280" width="10" customWidth="1"/>
    <col min="1281" max="1281" width="8.25" customWidth="1"/>
    <col min="1282" max="1282" width="7.5" customWidth="1"/>
    <col min="1283" max="1283" width="32" customWidth="1"/>
    <col min="1284" max="1284" width="10.25" customWidth="1"/>
    <col min="1285" max="1285" width="10.125" customWidth="1"/>
    <col min="1286" max="1286" width="12.25" customWidth="1"/>
    <col min="1287" max="1287" width="21" customWidth="1"/>
    <col min="1533" max="1533" width="33.25" customWidth="1"/>
    <col min="1534" max="1535" width="11.375" customWidth="1"/>
    <col min="1536" max="1536" width="10" customWidth="1"/>
    <col min="1537" max="1537" width="8.25" customWidth="1"/>
    <col min="1538" max="1538" width="7.5" customWidth="1"/>
    <col min="1539" max="1539" width="32" customWidth="1"/>
    <col min="1540" max="1540" width="10.25" customWidth="1"/>
    <col min="1541" max="1541" width="10.125" customWidth="1"/>
    <col min="1542" max="1542" width="12.25" customWidth="1"/>
    <col min="1543" max="1543" width="21" customWidth="1"/>
    <col min="1789" max="1789" width="33.25" customWidth="1"/>
    <col min="1790" max="1791" width="11.375" customWidth="1"/>
    <col min="1792" max="1792" width="10" customWidth="1"/>
    <col min="1793" max="1793" width="8.25" customWidth="1"/>
    <col min="1794" max="1794" width="7.5" customWidth="1"/>
    <col min="1795" max="1795" width="32" customWidth="1"/>
    <col min="1796" max="1796" width="10.25" customWidth="1"/>
    <col min="1797" max="1797" width="10.125" customWidth="1"/>
    <col min="1798" max="1798" width="12.25" customWidth="1"/>
    <col min="1799" max="1799" width="21" customWidth="1"/>
    <col min="2045" max="2045" width="33.25" customWidth="1"/>
    <col min="2046" max="2047" width="11.375" customWidth="1"/>
    <col min="2048" max="2048" width="10" customWidth="1"/>
    <col min="2049" max="2049" width="8.25" customWidth="1"/>
    <col min="2050" max="2050" width="7.5" customWidth="1"/>
    <col min="2051" max="2051" width="32" customWidth="1"/>
    <col min="2052" max="2052" width="10.25" customWidth="1"/>
    <col min="2053" max="2053" width="10.125" customWidth="1"/>
    <col min="2054" max="2054" width="12.25" customWidth="1"/>
    <col min="2055" max="2055" width="21" customWidth="1"/>
    <col min="2301" max="2301" width="33.25" customWidth="1"/>
    <col min="2302" max="2303" width="11.375" customWidth="1"/>
    <col min="2304" max="2304" width="10" customWidth="1"/>
    <col min="2305" max="2305" width="8.25" customWidth="1"/>
    <col min="2306" max="2306" width="7.5" customWidth="1"/>
    <col min="2307" max="2307" width="32" customWidth="1"/>
    <col min="2308" max="2308" width="10.25" customWidth="1"/>
    <col min="2309" max="2309" width="10.125" customWidth="1"/>
    <col min="2310" max="2310" width="12.25" customWidth="1"/>
    <col min="2311" max="2311" width="21" customWidth="1"/>
    <col min="2557" max="2557" width="33.25" customWidth="1"/>
    <col min="2558" max="2559" width="11.375" customWidth="1"/>
    <col min="2560" max="2560" width="10" customWidth="1"/>
    <col min="2561" max="2561" width="8.25" customWidth="1"/>
    <col min="2562" max="2562" width="7.5" customWidth="1"/>
    <col min="2563" max="2563" width="32" customWidth="1"/>
    <col min="2564" max="2564" width="10.25" customWidth="1"/>
    <col min="2565" max="2565" width="10.125" customWidth="1"/>
    <col min="2566" max="2566" width="12.25" customWidth="1"/>
    <col min="2567" max="2567" width="21" customWidth="1"/>
    <col min="2813" max="2813" width="33.25" customWidth="1"/>
    <col min="2814" max="2815" width="11.375" customWidth="1"/>
    <col min="2816" max="2816" width="10" customWidth="1"/>
    <col min="2817" max="2817" width="8.25" customWidth="1"/>
    <col min="2818" max="2818" width="7.5" customWidth="1"/>
    <col min="2819" max="2819" width="32" customWidth="1"/>
    <col min="2820" max="2820" width="10.25" customWidth="1"/>
    <col min="2821" max="2821" width="10.125" customWidth="1"/>
    <col min="2822" max="2822" width="12.25" customWidth="1"/>
    <col min="2823" max="2823" width="21" customWidth="1"/>
    <col min="3069" max="3069" width="33.25" customWidth="1"/>
    <col min="3070" max="3071" width="11.375" customWidth="1"/>
    <col min="3072" max="3072" width="10" customWidth="1"/>
    <col min="3073" max="3073" width="8.25" customWidth="1"/>
    <col min="3074" max="3074" width="7.5" customWidth="1"/>
    <col min="3075" max="3075" width="32" customWidth="1"/>
    <col min="3076" max="3076" width="10.25" customWidth="1"/>
    <col min="3077" max="3077" width="10.125" customWidth="1"/>
    <col min="3078" max="3078" width="12.25" customWidth="1"/>
    <col min="3079" max="3079" width="21" customWidth="1"/>
    <col min="3325" max="3325" width="33.25" customWidth="1"/>
    <col min="3326" max="3327" width="11.375" customWidth="1"/>
    <col min="3328" max="3328" width="10" customWidth="1"/>
    <col min="3329" max="3329" width="8.25" customWidth="1"/>
    <col min="3330" max="3330" width="7.5" customWidth="1"/>
    <col min="3331" max="3331" width="32" customWidth="1"/>
    <col min="3332" max="3332" width="10.25" customWidth="1"/>
    <col min="3333" max="3333" width="10.125" customWidth="1"/>
    <col min="3334" max="3334" width="12.25" customWidth="1"/>
    <col min="3335" max="3335" width="21" customWidth="1"/>
    <col min="3581" max="3581" width="33.25" customWidth="1"/>
    <col min="3582" max="3583" width="11.375" customWidth="1"/>
    <col min="3584" max="3584" width="10" customWidth="1"/>
    <col min="3585" max="3585" width="8.25" customWidth="1"/>
    <col min="3586" max="3586" width="7.5" customWidth="1"/>
    <col min="3587" max="3587" width="32" customWidth="1"/>
    <col min="3588" max="3588" width="10.25" customWidth="1"/>
    <col min="3589" max="3589" width="10.125" customWidth="1"/>
    <col min="3590" max="3590" width="12.25" customWidth="1"/>
    <col min="3591" max="3591" width="21" customWidth="1"/>
    <col min="3837" max="3837" width="33.25" customWidth="1"/>
    <col min="3838" max="3839" width="11.375" customWidth="1"/>
    <col min="3840" max="3840" width="10" customWidth="1"/>
    <col min="3841" max="3841" width="8.25" customWidth="1"/>
    <col min="3842" max="3842" width="7.5" customWidth="1"/>
    <col min="3843" max="3843" width="32" customWidth="1"/>
    <col min="3844" max="3844" width="10.25" customWidth="1"/>
    <col min="3845" max="3845" width="10.125" customWidth="1"/>
    <col min="3846" max="3846" width="12.25" customWidth="1"/>
    <col min="3847" max="3847" width="21" customWidth="1"/>
    <col min="4093" max="4093" width="33.25" customWidth="1"/>
    <col min="4094" max="4095" width="11.375" customWidth="1"/>
    <col min="4096" max="4096" width="10" customWidth="1"/>
    <col min="4097" max="4097" width="8.25" customWidth="1"/>
    <col min="4098" max="4098" width="7.5" customWidth="1"/>
    <col min="4099" max="4099" width="32" customWidth="1"/>
    <col min="4100" max="4100" width="10.25" customWidth="1"/>
    <col min="4101" max="4101" width="10.125" customWidth="1"/>
    <col min="4102" max="4102" width="12.25" customWidth="1"/>
    <col min="4103" max="4103" width="21" customWidth="1"/>
    <col min="4349" max="4349" width="33.25" customWidth="1"/>
    <col min="4350" max="4351" width="11.375" customWidth="1"/>
    <col min="4352" max="4352" width="10" customWidth="1"/>
    <col min="4353" max="4353" width="8.25" customWidth="1"/>
    <col min="4354" max="4354" width="7.5" customWidth="1"/>
    <col min="4355" max="4355" width="32" customWidth="1"/>
    <col min="4356" max="4356" width="10.25" customWidth="1"/>
    <col min="4357" max="4357" width="10.125" customWidth="1"/>
    <col min="4358" max="4358" width="12.25" customWidth="1"/>
    <col min="4359" max="4359" width="21" customWidth="1"/>
    <col min="4605" max="4605" width="33.25" customWidth="1"/>
    <col min="4606" max="4607" width="11.375" customWidth="1"/>
    <col min="4608" max="4608" width="10" customWidth="1"/>
    <col min="4609" max="4609" width="8.25" customWidth="1"/>
    <col min="4610" max="4610" width="7.5" customWidth="1"/>
    <col min="4611" max="4611" width="32" customWidth="1"/>
    <col min="4612" max="4612" width="10.25" customWidth="1"/>
    <col min="4613" max="4613" width="10.125" customWidth="1"/>
    <col min="4614" max="4614" width="12.25" customWidth="1"/>
    <col min="4615" max="4615" width="21" customWidth="1"/>
    <col min="4861" max="4861" width="33.25" customWidth="1"/>
    <col min="4862" max="4863" width="11.375" customWidth="1"/>
    <col min="4864" max="4864" width="10" customWidth="1"/>
    <col min="4865" max="4865" width="8.25" customWidth="1"/>
    <col min="4866" max="4866" width="7.5" customWidth="1"/>
    <col min="4867" max="4867" width="32" customWidth="1"/>
    <col min="4868" max="4868" width="10.25" customWidth="1"/>
    <col min="4869" max="4869" width="10.125" customWidth="1"/>
    <col min="4870" max="4870" width="12.25" customWidth="1"/>
    <col min="4871" max="4871" width="21" customWidth="1"/>
    <col min="5117" max="5117" width="33.25" customWidth="1"/>
    <col min="5118" max="5119" width="11.375" customWidth="1"/>
    <col min="5120" max="5120" width="10" customWidth="1"/>
    <col min="5121" max="5121" width="8.25" customWidth="1"/>
    <col min="5122" max="5122" width="7.5" customWidth="1"/>
    <col min="5123" max="5123" width="32" customWidth="1"/>
    <col min="5124" max="5124" width="10.25" customWidth="1"/>
    <col min="5125" max="5125" width="10.125" customWidth="1"/>
    <col min="5126" max="5126" width="12.25" customWidth="1"/>
    <col min="5127" max="5127" width="21" customWidth="1"/>
    <col min="5373" max="5373" width="33.25" customWidth="1"/>
    <col min="5374" max="5375" width="11.375" customWidth="1"/>
    <col min="5376" max="5376" width="10" customWidth="1"/>
    <col min="5377" max="5377" width="8.25" customWidth="1"/>
    <col min="5378" max="5378" width="7.5" customWidth="1"/>
    <col min="5379" max="5379" width="32" customWidth="1"/>
    <col min="5380" max="5380" width="10.25" customWidth="1"/>
    <col min="5381" max="5381" width="10.125" customWidth="1"/>
    <col min="5382" max="5382" width="12.25" customWidth="1"/>
    <col min="5383" max="5383" width="21" customWidth="1"/>
    <col min="5629" max="5629" width="33.25" customWidth="1"/>
    <col min="5630" max="5631" width="11.375" customWidth="1"/>
    <col min="5632" max="5632" width="10" customWidth="1"/>
    <col min="5633" max="5633" width="8.25" customWidth="1"/>
    <col min="5634" max="5634" width="7.5" customWidth="1"/>
    <col min="5635" max="5635" width="32" customWidth="1"/>
    <col min="5636" max="5636" width="10.25" customWidth="1"/>
    <col min="5637" max="5637" width="10.125" customWidth="1"/>
    <col min="5638" max="5638" width="12.25" customWidth="1"/>
    <col min="5639" max="5639" width="21" customWidth="1"/>
    <col min="5885" max="5885" width="33.25" customWidth="1"/>
    <col min="5886" max="5887" width="11.375" customWidth="1"/>
    <col min="5888" max="5888" width="10" customWidth="1"/>
    <col min="5889" max="5889" width="8.25" customWidth="1"/>
    <col min="5890" max="5890" width="7.5" customWidth="1"/>
    <col min="5891" max="5891" width="32" customWidth="1"/>
    <col min="5892" max="5892" width="10.25" customWidth="1"/>
    <col min="5893" max="5893" width="10.125" customWidth="1"/>
    <col min="5894" max="5894" width="12.25" customWidth="1"/>
    <col min="5895" max="5895" width="21" customWidth="1"/>
    <col min="6141" max="6141" width="33.25" customWidth="1"/>
    <col min="6142" max="6143" width="11.375" customWidth="1"/>
    <col min="6144" max="6144" width="10" customWidth="1"/>
    <col min="6145" max="6145" width="8.25" customWidth="1"/>
    <col min="6146" max="6146" width="7.5" customWidth="1"/>
    <col min="6147" max="6147" width="32" customWidth="1"/>
    <col min="6148" max="6148" width="10.25" customWidth="1"/>
    <col min="6149" max="6149" width="10.125" customWidth="1"/>
    <col min="6150" max="6150" width="12.25" customWidth="1"/>
    <col min="6151" max="6151" width="21" customWidth="1"/>
    <col min="6397" max="6397" width="33.25" customWidth="1"/>
    <col min="6398" max="6399" width="11.375" customWidth="1"/>
    <col min="6400" max="6400" width="10" customWidth="1"/>
    <col min="6401" max="6401" width="8.25" customWidth="1"/>
    <col min="6402" max="6402" width="7.5" customWidth="1"/>
    <col min="6403" max="6403" width="32" customWidth="1"/>
    <col min="6404" max="6404" width="10.25" customWidth="1"/>
    <col min="6405" max="6405" width="10.125" customWidth="1"/>
    <col min="6406" max="6406" width="12.25" customWidth="1"/>
    <col min="6407" max="6407" width="21" customWidth="1"/>
    <col min="6653" max="6653" width="33.25" customWidth="1"/>
    <col min="6654" max="6655" width="11.375" customWidth="1"/>
    <col min="6656" max="6656" width="10" customWidth="1"/>
    <col min="6657" max="6657" width="8.25" customWidth="1"/>
    <col min="6658" max="6658" width="7.5" customWidth="1"/>
    <col min="6659" max="6659" width="32" customWidth="1"/>
    <col min="6660" max="6660" width="10.25" customWidth="1"/>
    <col min="6661" max="6661" width="10.125" customWidth="1"/>
    <col min="6662" max="6662" width="12.25" customWidth="1"/>
    <col min="6663" max="6663" width="21" customWidth="1"/>
    <col min="6909" max="6909" width="33.25" customWidth="1"/>
    <col min="6910" max="6911" width="11.375" customWidth="1"/>
    <col min="6912" max="6912" width="10" customWidth="1"/>
    <col min="6913" max="6913" width="8.25" customWidth="1"/>
    <col min="6914" max="6914" width="7.5" customWidth="1"/>
    <col min="6915" max="6915" width="32" customWidth="1"/>
    <col min="6916" max="6916" width="10.25" customWidth="1"/>
    <col min="6917" max="6917" width="10.125" customWidth="1"/>
    <col min="6918" max="6918" width="12.25" customWidth="1"/>
    <col min="6919" max="6919" width="21" customWidth="1"/>
    <col min="7165" max="7165" width="33.25" customWidth="1"/>
    <col min="7166" max="7167" width="11.375" customWidth="1"/>
    <col min="7168" max="7168" width="10" customWidth="1"/>
    <col min="7169" max="7169" width="8.25" customWidth="1"/>
    <col min="7170" max="7170" width="7.5" customWidth="1"/>
    <col min="7171" max="7171" width="32" customWidth="1"/>
    <col min="7172" max="7172" width="10.25" customWidth="1"/>
    <col min="7173" max="7173" width="10.125" customWidth="1"/>
    <col min="7174" max="7174" width="12.25" customWidth="1"/>
    <col min="7175" max="7175" width="21" customWidth="1"/>
    <col min="7421" max="7421" width="33.25" customWidth="1"/>
    <col min="7422" max="7423" width="11.375" customWidth="1"/>
    <col min="7424" max="7424" width="10" customWidth="1"/>
    <col min="7425" max="7425" width="8.25" customWidth="1"/>
    <col min="7426" max="7426" width="7.5" customWidth="1"/>
    <col min="7427" max="7427" width="32" customWidth="1"/>
    <col min="7428" max="7428" width="10.25" customWidth="1"/>
    <col min="7429" max="7429" width="10.125" customWidth="1"/>
    <col min="7430" max="7430" width="12.25" customWidth="1"/>
    <col min="7431" max="7431" width="21" customWidth="1"/>
    <col min="7677" max="7677" width="33.25" customWidth="1"/>
    <col min="7678" max="7679" width="11.375" customWidth="1"/>
    <col min="7680" max="7680" width="10" customWidth="1"/>
    <col min="7681" max="7681" width="8.25" customWidth="1"/>
    <col min="7682" max="7682" width="7.5" customWidth="1"/>
    <col min="7683" max="7683" width="32" customWidth="1"/>
    <col min="7684" max="7684" width="10.25" customWidth="1"/>
    <col min="7685" max="7685" width="10.125" customWidth="1"/>
    <col min="7686" max="7686" width="12.25" customWidth="1"/>
    <col min="7687" max="7687" width="21" customWidth="1"/>
    <col min="7933" max="7933" width="33.25" customWidth="1"/>
    <col min="7934" max="7935" width="11.375" customWidth="1"/>
    <col min="7936" max="7936" width="10" customWidth="1"/>
    <col min="7937" max="7937" width="8.25" customWidth="1"/>
    <col min="7938" max="7938" width="7.5" customWidth="1"/>
    <col min="7939" max="7939" width="32" customWidth="1"/>
    <col min="7940" max="7940" width="10.25" customWidth="1"/>
    <col min="7941" max="7941" width="10.125" customWidth="1"/>
    <col min="7942" max="7942" width="12.25" customWidth="1"/>
    <col min="7943" max="7943" width="21" customWidth="1"/>
    <col min="8189" max="8189" width="33.25" customWidth="1"/>
    <col min="8190" max="8191" width="11.375" customWidth="1"/>
    <col min="8192" max="8192" width="10" customWidth="1"/>
    <col min="8193" max="8193" width="8.25" customWidth="1"/>
    <col min="8194" max="8194" width="7.5" customWidth="1"/>
    <col min="8195" max="8195" width="32" customWidth="1"/>
    <col min="8196" max="8196" width="10.25" customWidth="1"/>
    <col min="8197" max="8197" width="10.125" customWidth="1"/>
    <col min="8198" max="8198" width="12.25" customWidth="1"/>
    <col min="8199" max="8199" width="21" customWidth="1"/>
    <col min="8445" max="8445" width="33.25" customWidth="1"/>
    <col min="8446" max="8447" width="11.375" customWidth="1"/>
    <col min="8448" max="8448" width="10" customWidth="1"/>
    <col min="8449" max="8449" width="8.25" customWidth="1"/>
    <col min="8450" max="8450" width="7.5" customWidth="1"/>
    <col min="8451" max="8451" width="32" customWidth="1"/>
    <col min="8452" max="8452" width="10.25" customWidth="1"/>
    <col min="8453" max="8453" width="10.125" customWidth="1"/>
    <col min="8454" max="8454" width="12.25" customWidth="1"/>
    <col min="8455" max="8455" width="21" customWidth="1"/>
    <col min="8701" max="8701" width="33.25" customWidth="1"/>
    <col min="8702" max="8703" width="11.375" customWidth="1"/>
    <col min="8704" max="8704" width="10" customWidth="1"/>
    <col min="8705" max="8705" width="8.25" customWidth="1"/>
    <col min="8706" max="8706" width="7.5" customWidth="1"/>
    <col min="8707" max="8707" width="32" customWidth="1"/>
    <col min="8708" max="8708" width="10.25" customWidth="1"/>
    <col min="8709" max="8709" width="10.125" customWidth="1"/>
    <col min="8710" max="8710" width="12.25" customWidth="1"/>
    <col min="8711" max="8711" width="21" customWidth="1"/>
    <col min="8957" max="8957" width="33.25" customWidth="1"/>
    <col min="8958" max="8959" width="11.375" customWidth="1"/>
    <col min="8960" max="8960" width="10" customWidth="1"/>
    <col min="8961" max="8961" width="8.25" customWidth="1"/>
    <col min="8962" max="8962" width="7.5" customWidth="1"/>
    <col min="8963" max="8963" width="32" customWidth="1"/>
    <col min="8964" max="8964" width="10.25" customWidth="1"/>
    <col min="8965" max="8965" width="10.125" customWidth="1"/>
    <col min="8966" max="8966" width="12.25" customWidth="1"/>
    <col min="8967" max="8967" width="21" customWidth="1"/>
    <col min="9213" max="9213" width="33.25" customWidth="1"/>
    <col min="9214" max="9215" width="11.375" customWidth="1"/>
    <col min="9216" max="9216" width="10" customWidth="1"/>
    <col min="9217" max="9217" width="8.25" customWidth="1"/>
    <col min="9218" max="9218" width="7.5" customWidth="1"/>
    <col min="9219" max="9219" width="32" customWidth="1"/>
    <col min="9220" max="9220" width="10.25" customWidth="1"/>
    <col min="9221" max="9221" width="10.125" customWidth="1"/>
    <col min="9222" max="9222" width="12.25" customWidth="1"/>
    <col min="9223" max="9223" width="21" customWidth="1"/>
    <col min="9469" max="9469" width="33.25" customWidth="1"/>
    <col min="9470" max="9471" width="11.375" customWidth="1"/>
    <col min="9472" max="9472" width="10" customWidth="1"/>
    <col min="9473" max="9473" width="8.25" customWidth="1"/>
    <col min="9474" max="9474" width="7.5" customWidth="1"/>
    <col min="9475" max="9475" width="32" customWidth="1"/>
    <col min="9476" max="9476" width="10.25" customWidth="1"/>
    <col min="9477" max="9477" width="10.125" customWidth="1"/>
    <col min="9478" max="9478" width="12.25" customWidth="1"/>
    <col min="9479" max="9479" width="21" customWidth="1"/>
    <col min="9725" max="9725" width="33.25" customWidth="1"/>
    <col min="9726" max="9727" width="11.375" customWidth="1"/>
    <col min="9728" max="9728" width="10" customWidth="1"/>
    <col min="9729" max="9729" width="8.25" customWidth="1"/>
    <col min="9730" max="9730" width="7.5" customWidth="1"/>
    <col min="9731" max="9731" width="32" customWidth="1"/>
    <col min="9732" max="9732" width="10.25" customWidth="1"/>
    <col min="9733" max="9733" width="10.125" customWidth="1"/>
    <col min="9734" max="9734" width="12.25" customWidth="1"/>
    <col min="9735" max="9735" width="21" customWidth="1"/>
    <col min="9981" max="9981" width="33.25" customWidth="1"/>
    <col min="9982" max="9983" width="11.375" customWidth="1"/>
    <col min="9984" max="9984" width="10" customWidth="1"/>
    <col min="9985" max="9985" width="8.25" customWidth="1"/>
    <col min="9986" max="9986" width="7.5" customWidth="1"/>
    <col min="9987" max="9987" width="32" customWidth="1"/>
    <col min="9988" max="9988" width="10.25" customWidth="1"/>
    <col min="9989" max="9989" width="10.125" customWidth="1"/>
    <col min="9990" max="9990" width="12.25" customWidth="1"/>
    <col min="9991" max="9991" width="21" customWidth="1"/>
    <col min="10237" max="10237" width="33.25" customWidth="1"/>
    <col min="10238" max="10239" width="11.375" customWidth="1"/>
    <col min="10240" max="10240" width="10" customWidth="1"/>
    <col min="10241" max="10241" width="8.25" customWidth="1"/>
    <col min="10242" max="10242" width="7.5" customWidth="1"/>
    <col min="10243" max="10243" width="32" customWidth="1"/>
    <col min="10244" max="10244" width="10.25" customWidth="1"/>
    <col min="10245" max="10245" width="10.125" customWidth="1"/>
    <col min="10246" max="10246" width="12.25" customWidth="1"/>
    <col min="10247" max="10247" width="21" customWidth="1"/>
    <col min="10493" max="10493" width="33.25" customWidth="1"/>
    <col min="10494" max="10495" width="11.375" customWidth="1"/>
    <col min="10496" max="10496" width="10" customWidth="1"/>
    <col min="10497" max="10497" width="8.25" customWidth="1"/>
    <col min="10498" max="10498" width="7.5" customWidth="1"/>
    <col min="10499" max="10499" width="32" customWidth="1"/>
    <col min="10500" max="10500" width="10.25" customWidth="1"/>
    <col min="10501" max="10501" width="10.125" customWidth="1"/>
    <col min="10502" max="10502" width="12.25" customWidth="1"/>
    <col min="10503" max="10503" width="21" customWidth="1"/>
    <col min="10749" max="10749" width="33.25" customWidth="1"/>
    <col min="10750" max="10751" width="11.375" customWidth="1"/>
    <col min="10752" max="10752" width="10" customWidth="1"/>
    <col min="10753" max="10753" width="8.25" customWidth="1"/>
    <col min="10754" max="10754" width="7.5" customWidth="1"/>
    <col min="10755" max="10755" width="32" customWidth="1"/>
    <col min="10756" max="10756" width="10.25" customWidth="1"/>
    <col min="10757" max="10757" width="10.125" customWidth="1"/>
    <col min="10758" max="10758" width="12.25" customWidth="1"/>
    <col min="10759" max="10759" width="21" customWidth="1"/>
    <col min="11005" max="11005" width="33.25" customWidth="1"/>
    <col min="11006" max="11007" width="11.375" customWidth="1"/>
    <col min="11008" max="11008" width="10" customWidth="1"/>
    <col min="11009" max="11009" width="8.25" customWidth="1"/>
    <col min="11010" max="11010" width="7.5" customWidth="1"/>
    <col min="11011" max="11011" width="32" customWidth="1"/>
    <col min="11012" max="11012" width="10.25" customWidth="1"/>
    <col min="11013" max="11013" width="10.125" customWidth="1"/>
    <col min="11014" max="11014" width="12.25" customWidth="1"/>
    <col min="11015" max="11015" width="21" customWidth="1"/>
    <col min="11261" max="11261" width="33.25" customWidth="1"/>
    <col min="11262" max="11263" width="11.375" customWidth="1"/>
    <col min="11264" max="11264" width="10" customWidth="1"/>
    <col min="11265" max="11265" width="8.25" customWidth="1"/>
    <col min="11266" max="11266" width="7.5" customWidth="1"/>
    <col min="11267" max="11267" width="32" customWidth="1"/>
    <col min="11268" max="11268" width="10.25" customWidth="1"/>
    <col min="11269" max="11269" width="10.125" customWidth="1"/>
    <col min="11270" max="11270" width="12.25" customWidth="1"/>
    <col min="11271" max="11271" width="21" customWidth="1"/>
    <col min="11517" max="11517" width="33.25" customWidth="1"/>
    <col min="11518" max="11519" width="11.375" customWidth="1"/>
    <col min="11520" max="11520" width="10" customWidth="1"/>
    <col min="11521" max="11521" width="8.25" customWidth="1"/>
    <col min="11522" max="11522" width="7.5" customWidth="1"/>
    <col min="11523" max="11523" width="32" customWidth="1"/>
    <col min="11524" max="11524" width="10.25" customWidth="1"/>
    <col min="11525" max="11525" width="10.125" customWidth="1"/>
    <col min="11526" max="11526" width="12.25" customWidth="1"/>
    <col min="11527" max="11527" width="21" customWidth="1"/>
    <col min="11773" max="11773" width="33.25" customWidth="1"/>
    <col min="11774" max="11775" width="11.375" customWidth="1"/>
    <col min="11776" max="11776" width="10" customWidth="1"/>
    <col min="11777" max="11777" width="8.25" customWidth="1"/>
    <col min="11778" max="11778" width="7.5" customWidth="1"/>
    <col min="11779" max="11779" width="32" customWidth="1"/>
    <col min="11780" max="11780" width="10.25" customWidth="1"/>
    <col min="11781" max="11781" width="10.125" customWidth="1"/>
    <col min="11782" max="11782" width="12.25" customWidth="1"/>
    <col min="11783" max="11783" width="21" customWidth="1"/>
    <col min="12029" max="12029" width="33.25" customWidth="1"/>
    <col min="12030" max="12031" width="11.375" customWidth="1"/>
    <col min="12032" max="12032" width="10" customWidth="1"/>
    <col min="12033" max="12033" width="8.25" customWidth="1"/>
    <col min="12034" max="12034" width="7.5" customWidth="1"/>
    <col min="12035" max="12035" width="32" customWidth="1"/>
    <col min="12036" max="12036" width="10.25" customWidth="1"/>
    <col min="12037" max="12037" width="10.125" customWidth="1"/>
    <col min="12038" max="12038" width="12.25" customWidth="1"/>
    <col min="12039" max="12039" width="21" customWidth="1"/>
    <col min="12285" max="12285" width="33.25" customWidth="1"/>
    <col min="12286" max="12287" width="11.375" customWidth="1"/>
    <col min="12288" max="12288" width="10" customWidth="1"/>
    <col min="12289" max="12289" width="8.25" customWidth="1"/>
    <col min="12290" max="12290" width="7.5" customWidth="1"/>
    <col min="12291" max="12291" width="32" customWidth="1"/>
    <col min="12292" max="12292" width="10.25" customWidth="1"/>
    <col min="12293" max="12293" width="10.125" customWidth="1"/>
    <col min="12294" max="12294" width="12.25" customWidth="1"/>
    <col min="12295" max="12295" width="21" customWidth="1"/>
    <col min="12541" max="12541" width="33.25" customWidth="1"/>
    <col min="12542" max="12543" width="11.375" customWidth="1"/>
    <col min="12544" max="12544" width="10" customWidth="1"/>
    <col min="12545" max="12545" width="8.25" customWidth="1"/>
    <col min="12546" max="12546" width="7.5" customWidth="1"/>
    <col min="12547" max="12547" width="32" customWidth="1"/>
    <col min="12548" max="12548" width="10.25" customWidth="1"/>
    <col min="12549" max="12549" width="10.125" customWidth="1"/>
    <col min="12550" max="12550" width="12.25" customWidth="1"/>
    <col min="12551" max="12551" width="21" customWidth="1"/>
    <col min="12797" max="12797" width="33.25" customWidth="1"/>
    <col min="12798" max="12799" width="11.375" customWidth="1"/>
    <col min="12800" max="12800" width="10" customWidth="1"/>
    <col min="12801" max="12801" width="8.25" customWidth="1"/>
    <col min="12802" max="12802" width="7.5" customWidth="1"/>
    <col min="12803" max="12803" width="32" customWidth="1"/>
    <col min="12804" max="12804" width="10.25" customWidth="1"/>
    <col min="12805" max="12805" width="10.125" customWidth="1"/>
    <col min="12806" max="12806" width="12.25" customWidth="1"/>
    <col min="12807" max="12807" width="21" customWidth="1"/>
    <col min="13053" max="13053" width="33.25" customWidth="1"/>
    <col min="13054" max="13055" width="11.375" customWidth="1"/>
    <col min="13056" max="13056" width="10" customWidth="1"/>
    <col min="13057" max="13057" width="8.25" customWidth="1"/>
    <col min="13058" max="13058" width="7.5" customWidth="1"/>
    <col min="13059" max="13059" width="32" customWidth="1"/>
    <col min="13060" max="13060" width="10.25" customWidth="1"/>
    <col min="13061" max="13061" width="10.125" customWidth="1"/>
    <col min="13062" max="13062" width="12.25" customWidth="1"/>
    <col min="13063" max="13063" width="21" customWidth="1"/>
    <col min="13309" max="13309" width="33.25" customWidth="1"/>
    <col min="13310" max="13311" width="11.375" customWidth="1"/>
    <col min="13312" max="13312" width="10" customWidth="1"/>
    <col min="13313" max="13313" width="8.25" customWidth="1"/>
    <col min="13314" max="13314" width="7.5" customWidth="1"/>
    <col min="13315" max="13315" width="32" customWidth="1"/>
    <col min="13316" max="13316" width="10.25" customWidth="1"/>
    <col min="13317" max="13317" width="10.125" customWidth="1"/>
    <col min="13318" max="13318" width="12.25" customWidth="1"/>
    <col min="13319" max="13319" width="21" customWidth="1"/>
    <col min="13565" max="13565" width="33.25" customWidth="1"/>
    <col min="13566" max="13567" width="11.375" customWidth="1"/>
    <col min="13568" max="13568" width="10" customWidth="1"/>
    <col min="13569" max="13569" width="8.25" customWidth="1"/>
    <col min="13570" max="13570" width="7.5" customWidth="1"/>
    <col min="13571" max="13571" width="32" customWidth="1"/>
    <col min="13572" max="13572" width="10.25" customWidth="1"/>
    <col min="13573" max="13573" width="10.125" customWidth="1"/>
    <col min="13574" max="13574" width="12.25" customWidth="1"/>
    <col min="13575" max="13575" width="21" customWidth="1"/>
    <col min="13821" max="13821" width="33.25" customWidth="1"/>
    <col min="13822" max="13823" width="11.375" customWidth="1"/>
    <col min="13824" max="13824" width="10" customWidth="1"/>
    <col min="13825" max="13825" width="8.25" customWidth="1"/>
    <col min="13826" max="13826" width="7.5" customWidth="1"/>
    <col min="13827" max="13827" width="32" customWidth="1"/>
    <col min="13828" max="13828" width="10.25" customWidth="1"/>
    <col min="13829" max="13829" width="10.125" customWidth="1"/>
    <col min="13830" max="13830" width="12.25" customWidth="1"/>
    <col min="13831" max="13831" width="21" customWidth="1"/>
    <col min="14077" max="14077" width="33.25" customWidth="1"/>
    <col min="14078" max="14079" width="11.375" customWidth="1"/>
    <col min="14080" max="14080" width="10" customWidth="1"/>
    <col min="14081" max="14081" width="8.25" customWidth="1"/>
    <col min="14082" max="14082" width="7.5" customWidth="1"/>
    <col min="14083" max="14083" width="32" customWidth="1"/>
    <col min="14084" max="14084" width="10.25" customWidth="1"/>
    <col min="14085" max="14085" width="10.125" customWidth="1"/>
    <col min="14086" max="14086" width="12.25" customWidth="1"/>
    <col min="14087" max="14087" width="21" customWidth="1"/>
    <col min="14333" max="14333" width="33.25" customWidth="1"/>
    <col min="14334" max="14335" width="11.375" customWidth="1"/>
    <col min="14336" max="14336" width="10" customWidth="1"/>
    <col min="14337" max="14337" width="8.25" customWidth="1"/>
    <col min="14338" max="14338" width="7.5" customWidth="1"/>
    <col min="14339" max="14339" width="32" customWidth="1"/>
    <col min="14340" max="14340" width="10.25" customWidth="1"/>
    <col min="14341" max="14341" width="10.125" customWidth="1"/>
    <col min="14342" max="14342" width="12.25" customWidth="1"/>
    <col min="14343" max="14343" width="21" customWidth="1"/>
    <col min="14589" max="14589" width="33.25" customWidth="1"/>
    <col min="14590" max="14591" width="11.375" customWidth="1"/>
    <col min="14592" max="14592" width="10" customWidth="1"/>
    <col min="14593" max="14593" width="8.25" customWidth="1"/>
    <col min="14594" max="14594" width="7.5" customWidth="1"/>
    <col min="14595" max="14595" width="32" customWidth="1"/>
    <col min="14596" max="14596" width="10.25" customWidth="1"/>
    <col min="14597" max="14597" width="10.125" customWidth="1"/>
    <col min="14598" max="14598" width="12.25" customWidth="1"/>
    <col min="14599" max="14599" width="21" customWidth="1"/>
    <col min="14845" max="14845" width="33.25" customWidth="1"/>
    <col min="14846" max="14847" width="11.375" customWidth="1"/>
    <col min="14848" max="14848" width="10" customWidth="1"/>
    <col min="14849" max="14849" width="8.25" customWidth="1"/>
    <col min="14850" max="14850" width="7.5" customWidth="1"/>
    <col min="14851" max="14851" width="32" customWidth="1"/>
    <col min="14852" max="14852" width="10.25" customWidth="1"/>
    <col min="14853" max="14853" width="10.125" customWidth="1"/>
    <col min="14854" max="14854" width="12.25" customWidth="1"/>
    <col min="14855" max="14855" width="21" customWidth="1"/>
    <col min="15101" max="15101" width="33.25" customWidth="1"/>
    <col min="15102" max="15103" width="11.375" customWidth="1"/>
    <col min="15104" max="15104" width="10" customWidth="1"/>
    <col min="15105" max="15105" width="8.25" customWidth="1"/>
    <col min="15106" max="15106" width="7.5" customWidth="1"/>
    <col min="15107" max="15107" width="32" customWidth="1"/>
    <col min="15108" max="15108" width="10.25" customWidth="1"/>
    <col min="15109" max="15109" width="10.125" customWidth="1"/>
    <col min="15110" max="15110" width="12.25" customWidth="1"/>
    <col min="15111" max="15111" width="21" customWidth="1"/>
    <col min="15357" max="15357" width="33.25" customWidth="1"/>
    <col min="15358" max="15359" width="11.375" customWidth="1"/>
    <col min="15360" max="15360" width="10" customWidth="1"/>
    <col min="15361" max="15361" width="8.25" customWidth="1"/>
    <col min="15362" max="15362" width="7.5" customWidth="1"/>
    <col min="15363" max="15363" width="32" customWidth="1"/>
    <col min="15364" max="15364" width="10.25" customWidth="1"/>
    <col min="15365" max="15365" width="10.125" customWidth="1"/>
    <col min="15366" max="15366" width="12.25" customWidth="1"/>
    <col min="15367" max="15367" width="21" customWidth="1"/>
    <col min="15613" max="15613" width="33.25" customWidth="1"/>
    <col min="15614" max="15615" width="11.375" customWidth="1"/>
    <col min="15616" max="15616" width="10" customWidth="1"/>
    <col min="15617" max="15617" width="8.25" customWidth="1"/>
    <col min="15618" max="15618" width="7.5" customWidth="1"/>
    <col min="15619" max="15619" width="32" customWidth="1"/>
    <col min="15620" max="15620" width="10.25" customWidth="1"/>
    <col min="15621" max="15621" width="10.125" customWidth="1"/>
    <col min="15622" max="15622" width="12.25" customWidth="1"/>
    <col min="15623" max="15623" width="21" customWidth="1"/>
    <col min="15869" max="15869" width="33.25" customWidth="1"/>
    <col min="15870" max="15871" width="11.375" customWidth="1"/>
    <col min="15872" max="15872" width="10" customWidth="1"/>
    <col min="15873" max="15873" width="8.25" customWidth="1"/>
    <col min="15874" max="15874" width="7.5" customWidth="1"/>
    <col min="15875" max="15875" width="32" customWidth="1"/>
    <col min="15876" max="15876" width="10.25" customWidth="1"/>
    <col min="15877" max="15877" width="10.125" customWidth="1"/>
    <col min="15878" max="15878" width="12.25" customWidth="1"/>
    <col min="15879" max="15879" width="21" customWidth="1"/>
    <col min="16125" max="16125" width="33.25" customWidth="1"/>
    <col min="16126" max="16127" width="11.375" customWidth="1"/>
    <col min="16128" max="16128" width="10" customWidth="1"/>
    <col min="16129" max="16129" width="8.25" customWidth="1"/>
    <col min="16130" max="16130" width="7.5" customWidth="1"/>
    <col min="16131" max="16131" width="32" customWidth="1"/>
    <col min="16132" max="16132" width="10.25" customWidth="1"/>
    <col min="16133" max="16133" width="10.125" customWidth="1"/>
    <col min="16134" max="16134" width="12.25" customWidth="1"/>
    <col min="16135" max="16135" width="21" customWidth="1"/>
  </cols>
  <sheetData>
    <row r="1" ht="12.75" customHeight="1" spans="1:248">
      <c r="A1" s="2037" t="s">
        <v>61</v>
      </c>
      <c r="B1" s="2037" t="s">
        <v>2453</v>
      </c>
      <c r="C1" s="2037" t="s">
        <v>2454</v>
      </c>
      <c r="D1" s="2038" t="s">
        <v>2455</v>
      </c>
      <c r="E1" s="2039" t="s">
        <v>2456</v>
      </c>
      <c r="F1" s="2039"/>
      <c r="G1" s="2039"/>
      <c r="H1" s="2040" t="s">
        <v>2457</v>
      </c>
      <c r="I1" s="2062"/>
      <c r="J1" s="2063" t="s">
        <v>62</v>
      </c>
      <c r="K1" s="690"/>
      <c r="L1" s="2064"/>
      <c r="M1" s="2064"/>
      <c r="N1" s="2064"/>
      <c r="O1" s="2064"/>
      <c r="P1" s="2064"/>
      <c r="Q1" s="2064"/>
      <c r="R1" s="2064"/>
      <c r="S1" s="2064"/>
      <c r="T1" s="2064"/>
      <c r="U1" s="2064"/>
      <c r="V1" s="2064"/>
      <c r="W1" s="2064"/>
      <c r="X1" s="2064"/>
      <c r="Y1" s="2064"/>
      <c r="Z1" s="2064"/>
      <c r="AA1" s="2064"/>
      <c r="AB1" s="2064"/>
      <c r="AC1" s="2064"/>
      <c r="AD1" s="2064"/>
      <c r="AE1" s="2064"/>
      <c r="AF1" s="2064"/>
      <c r="AG1" s="2064"/>
      <c r="AH1" s="2064"/>
      <c r="AI1" s="2064"/>
      <c r="AJ1" s="2064"/>
      <c r="AK1" s="2064"/>
      <c r="AL1" s="2064"/>
      <c r="AM1" s="2064"/>
      <c r="AN1" s="2064"/>
      <c r="AO1" s="2064"/>
      <c r="AP1" s="2064"/>
      <c r="AQ1" s="2064"/>
      <c r="AR1" s="2064"/>
      <c r="AS1" s="2064"/>
      <c r="AT1" s="2064"/>
      <c r="AU1" s="2064"/>
      <c r="AV1" s="2064"/>
      <c r="AW1" s="2064"/>
      <c r="AX1" s="2064"/>
      <c r="AY1" s="2064"/>
      <c r="AZ1" s="2064"/>
      <c r="BA1" s="2064"/>
      <c r="BB1" s="2064"/>
      <c r="BC1" s="2064"/>
      <c r="BD1" s="2064"/>
      <c r="BE1" s="2064"/>
      <c r="BF1" s="2064"/>
      <c r="BG1" s="2064"/>
      <c r="BH1" s="2064"/>
      <c r="BI1" s="2064"/>
      <c r="BJ1" s="2064"/>
      <c r="BK1" s="2064"/>
      <c r="BL1" s="2064"/>
      <c r="BM1" s="2064"/>
      <c r="BN1" s="2064"/>
      <c r="BO1" s="2064"/>
      <c r="BP1" s="2064"/>
      <c r="BQ1" s="2064"/>
      <c r="BR1" s="2064"/>
      <c r="BS1" s="2064"/>
      <c r="BT1" s="2064"/>
      <c r="BU1" s="2064"/>
      <c r="BV1" s="2064"/>
      <c r="BW1" s="2064"/>
      <c r="BX1" s="2064"/>
      <c r="BY1" s="2064"/>
      <c r="BZ1" s="2064"/>
      <c r="CA1" s="2064"/>
      <c r="CB1" s="2064"/>
      <c r="CC1" s="2064"/>
      <c r="CD1" s="2064"/>
      <c r="CE1" s="2064"/>
      <c r="CF1" s="2064"/>
      <c r="CG1" s="2064"/>
      <c r="CH1" s="2064"/>
      <c r="CI1" s="2064"/>
      <c r="CJ1" s="2064"/>
      <c r="CK1" s="2064"/>
      <c r="CL1" s="2064"/>
      <c r="CM1" s="2064"/>
      <c r="CN1" s="2064"/>
      <c r="CO1" s="2064"/>
      <c r="CP1" s="2064"/>
      <c r="CQ1" s="2064"/>
      <c r="CR1" s="2064"/>
      <c r="CS1" s="2064"/>
      <c r="CT1" s="2064"/>
      <c r="CU1" s="2064"/>
      <c r="CV1" s="2064"/>
      <c r="CW1" s="2064"/>
      <c r="CX1" s="2064"/>
      <c r="CY1" s="2064"/>
      <c r="CZ1" s="2064"/>
      <c r="DA1" s="2064"/>
      <c r="DB1" s="2064"/>
      <c r="DC1" s="2064"/>
      <c r="DD1" s="2064"/>
      <c r="DE1" s="2064"/>
      <c r="DF1" s="2064"/>
      <c r="DG1" s="2064"/>
      <c r="DH1" s="2064"/>
      <c r="DI1" s="2064"/>
      <c r="DJ1" s="2064"/>
      <c r="DK1" s="2064"/>
      <c r="DL1" s="2064"/>
      <c r="DM1" s="2064"/>
      <c r="DN1" s="2064"/>
      <c r="DO1" s="2064"/>
      <c r="DP1" s="2064"/>
      <c r="DQ1" s="2064"/>
      <c r="DR1" s="2064"/>
      <c r="DS1" s="2064"/>
      <c r="DT1" s="2064"/>
      <c r="DU1" s="2064"/>
      <c r="DV1" s="2064"/>
      <c r="DW1" s="2064"/>
      <c r="DX1" s="2064"/>
      <c r="DY1" s="2064"/>
      <c r="DZ1" s="2064"/>
      <c r="EA1" s="2064"/>
      <c r="EB1" s="2064"/>
      <c r="EC1" s="2064"/>
      <c r="ED1" s="2064"/>
      <c r="EE1" s="2064"/>
      <c r="EF1" s="2064"/>
      <c r="EG1" s="2064"/>
      <c r="EH1" s="2064"/>
      <c r="EI1" s="2064"/>
      <c r="EJ1" s="2064"/>
      <c r="EK1" s="2064"/>
      <c r="EL1" s="2064"/>
      <c r="EM1" s="2064"/>
      <c r="EN1" s="2064"/>
      <c r="EO1" s="2064"/>
      <c r="EP1" s="2064"/>
      <c r="EQ1" s="2064"/>
      <c r="ER1" s="2064"/>
      <c r="ES1" s="2064"/>
      <c r="ET1" s="2064"/>
      <c r="EU1" s="2064"/>
      <c r="EV1" s="2064"/>
      <c r="EW1" s="2064"/>
      <c r="EX1" s="2064"/>
      <c r="EY1" s="2064"/>
      <c r="EZ1" s="2064"/>
      <c r="FA1" s="2064"/>
      <c r="FB1" s="2064"/>
      <c r="FC1" s="2064"/>
      <c r="FD1" s="2064"/>
      <c r="FE1" s="2064"/>
      <c r="FF1" s="2064"/>
      <c r="FG1" s="2064"/>
      <c r="FH1" s="2064"/>
      <c r="FI1" s="2064"/>
      <c r="FJ1" s="2064"/>
      <c r="FK1" s="2064"/>
      <c r="FL1" s="2064"/>
      <c r="FM1" s="2064"/>
      <c r="FN1" s="2064"/>
      <c r="FO1" s="2064"/>
      <c r="FP1" s="2064"/>
      <c r="FQ1" s="2064"/>
      <c r="FR1" s="2064"/>
      <c r="FS1" s="2064"/>
      <c r="FT1" s="2064"/>
      <c r="FU1" s="2064"/>
      <c r="FV1" s="2064"/>
      <c r="FW1" s="2064"/>
      <c r="FX1" s="2064"/>
      <c r="FY1" s="2064"/>
      <c r="FZ1" s="2064"/>
      <c r="GA1" s="2064"/>
      <c r="GB1" s="2064"/>
      <c r="GC1" s="2064"/>
      <c r="GD1" s="2064"/>
      <c r="GE1" s="2064"/>
      <c r="GF1" s="2064"/>
      <c r="GG1" s="2064"/>
      <c r="GH1" s="2064"/>
      <c r="GI1" s="2064"/>
      <c r="GJ1" s="2064"/>
      <c r="GK1" s="2064"/>
      <c r="GL1" s="2064"/>
      <c r="GM1" s="2064"/>
      <c r="GN1" s="2064"/>
      <c r="GO1" s="2064"/>
      <c r="GP1" s="2064"/>
      <c r="GQ1" s="2064"/>
      <c r="GR1" s="2064"/>
      <c r="GS1" s="2064"/>
      <c r="GT1" s="2064"/>
      <c r="GU1" s="2064"/>
      <c r="GV1" s="2064"/>
      <c r="GW1" s="2064"/>
      <c r="GX1" s="2064"/>
      <c r="GY1" s="2064"/>
      <c r="GZ1" s="2064"/>
      <c r="HA1" s="2064"/>
      <c r="HB1" s="2064"/>
      <c r="HC1" s="2064"/>
      <c r="HD1" s="2064"/>
      <c r="HE1" s="2064"/>
      <c r="HF1" s="2064"/>
      <c r="HG1" s="2064"/>
      <c r="HH1" s="2064"/>
      <c r="HI1" s="2064"/>
      <c r="HJ1" s="2064"/>
      <c r="HK1" s="2064"/>
      <c r="HL1" s="2064"/>
      <c r="HM1" s="2064"/>
      <c r="HN1" s="2064"/>
      <c r="HO1" s="2064"/>
      <c r="HP1" s="2064"/>
      <c r="HQ1" s="2064"/>
      <c r="HR1" s="2064"/>
      <c r="HS1" s="2064"/>
      <c r="HT1" s="2064"/>
      <c r="HU1" s="2064"/>
      <c r="HV1" s="2064"/>
      <c r="HW1" s="2064"/>
      <c r="HX1" s="2064"/>
      <c r="HY1" s="2064"/>
      <c r="HZ1" s="2064"/>
      <c r="IA1" s="2064"/>
      <c r="IB1" s="2064"/>
      <c r="IC1" s="2064"/>
      <c r="ID1" s="2064"/>
      <c r="IE1" s="2064"/>
      <c r="IF1" s="2064"/>
      <c r="IG1" s="2064"/>
      <c r="IH1" s="2064"/>
      <c r="II1" s="2064"/>
      <c r="IJ1" s="2064"/>
      <c r="IK1" s="2064"/>
      <c r="IL1" s="2064"/>
      <c r="IM1" s="2064"/>
      <c r="IN1" s="2064"/>
    </row>
    <row r="2" ht="10.5" customHeight="1" spans="1:248">
      <c r="A2" s="2041"/>
      <c r="B2" s="2041"/>
      <c r="C2" s="2041"/>
      <c r="D2" s="2042"/>
      <c r="E2" s="2039" t="s">
        <v>2458</v>
      </c>
      <c r="F2" s="2039" t="s">
        <v>2459</v>
      </c>
      <c r="G2" s="2039" t="s">
        <v>2460</v>
      </c>
      <c r="H2" s="2043"/>
      <c r="I2" s="2065"/>
      <c r="J2" s="2066"/>
      <c r="K2" s="2064"/>
      <c r="L2" s="2064"/>
      <c r="M2" s="2064"/>
      <c r="N2" s="2064"/>
      <c r="O2" s="2064"/>
      <c r="P2" s="2064"/>
      <c r="Q2" s="2064"/>
      <c r="R2" s="2064"/>
      <c r="S2" s="2064"/>
      <c r="T2" s="2064"/>
      <c r="U2" s="2064"/>
      <c r="V2" s="2064"/>
      <c r="W2" s="2064"/>
      <c r="X2" s="2064"/>
      <c r="Y2" s="2064"/>
      <c r="Z2" s="2064"/>
      <c r="AA2" s="2064"/>
      <c r="AB2" s="2064"/>
      <c r="AC2" s="2064"/>
      <c r="AD2" s="2064"/>
      <c r="AE2" s="2064"/>
      <c r="AF2" s="2064"/>
      <c r="AG2" s="2064"/>
      <c r="AH2" s="2064"/>
      <c r="AI2" s="2064"/>
      <c r="AJ2" s="2064"/>
      <c r="AK2" s="2064"/>
      <c r="AL2" s="2064"/>
      <c r="AM2" s="2064"/>
      <c r="AN2" s="2064"/>
      <c r="AO2" s="2064"/>
      <c r="AP2" s="2064"/>
      <c r="AQ2" s="2064"/>
      <c r="AR2" s="2064"/>
      <c r="AS2" s="2064"/>
      <c r="AT2" s="2064"/>
      <c r="AU2" s="2064"/>
      <c r="AV2" s="2064"/>
      <c r="AW2" s="2064"/>
      <c r="AX2" s="2064"/>
      <c r="AY2" s="2064"/>
      <c r="AZ2" s="2064"/>
      <c r="BA2" s="2064"/>
      <c r="BB2" s="2064"/>
      <c r="BC2" s="2064"/>
      <c r="BD2" s="2064"/>
      <c r="BE2" s="2064"/>
      <c r="BF2" s="2064"/>
      <c r="BG2" s="2064"/>
      <c r="BH2" s="2064"/>
      <c r="BI2" s="2064"/>
      <c r="BJ2" s="2064"/>
      <c r="BK2" s="2064"/>
      <c r="BL2" s="2064"/>
      <c r="BM2" s="2064"/>
      <c r="BN2" s="2064"/>
      <c r="BO2" s="2064"/>
      <c r="BP2" s="2064"/>
      <c r="BQ2" s="2064"/>
      <c r="BR2" s="2064"/>
      <c r="BS2" s="2064"/>
      <c r="BT2" s="2064"/>
      <c r="BU2" s="2064"/>
      <c r="BV2" s="2064"/>
      <c r="BW2" s="2064"/>
      <c r="BX2" s="2064"/>
      <c r="BY2" s="2064"/>
      <c r="BZ2" s="2064"/>
      <c r="CA2" s="2064"/>
      <c r="CB2" s="2064"/>
      <c r="CC2" s="2064"/>
      <c r="CD2" s="2064"/>
      <c r="CE2" s="2064"/>
      <c r="CF2" s="2064"/>
      <c r="CG2" s="2064"/>
      <c r="CH2" s="2064"/>
      <c r="CI2" s="2064"/>
      <c r="CJ2" s="2064"/>
      <c r="CK2" s="2064"/>
      <c r="CL2" s="2064"/>
      <c r="CM2" s="2064"/>
      <c r="CN2" s="2064"/>
      <c r="CO2" s="2064"/>
      <c r="CP2" s="2064"/>
      <c r="CQ2" s="2064"/>
      <c r="CR2" s="2064"/>
      <c r="CS2" s="2064"/>
      <c r="CT2" s="2064"/>
      <c r="CU2" s="2064"/>
      <c r="CV2" s="2064"/>
      <c r="CW2" s="2064"/>
      <c r="CX2" s="2064"/>
      <c r="CY2" s="2064"/>
      <c r="CZ2" s="2064"/>
      <c r="DA2" s="2064"/>
      <c r="DB2" s="2064"/>
      <c r="DC2" s="2064"/>
      <c r="DD2" s="2064"/>
      <c r="DE2" s="2064"/>
      <c r="DF2" s="2064"/>
      <c r="DG2" s="2064"/>
      <c r="DH2" s="2064"/>
      <c r="DI2" s="2064"/>
      <c r="DJ2" s="2064"/>
      <c r="DK2" s="2064"/>
      <c r="DL2" s="2064"/>
      <c r="DM2" s="2064"/>
      <c r="DN2" s="2064"/>
      <c r="DO2" s="2064"/>
      <c r="DP2" s="2064"/>
      <c r="DQ2" s="2064"/>
      <c r="DR2" s="2064"/>
      <c r="DS2" s="2064"/>
      <c r="DT2" s="2064"/>
      <c r="DU2" s="2064"/>
      <c r="DV2" s="2064"/>
      <c r="DW2" s="2064"/>
      <c r="DX2" s="2064"/>
      <c r="DY2" s="2064"/>
      <c r="DZ2" s="2064"/>
      <c r="EA2" s="2064"/>
      <c r="EB2" s="2064"/>
      <c r="EC2" s="2064"/>
      <c r="ED2" s="2064"/>
      <c r="EE2" s="2064"/>
      <c r="EF2" s="2064"/>
      <c r="EG2" s="2064"/>
      <c r="EH2" s="2064"/>
      <c r="EI2" s="2064"/>
      <c r="EJ2" s="2064"/>
      <c r="EK2" s="2064"/>
      <c r="EL2" s="2064"/>
      <c r="EM2" s="2064"/>
      <c r="EN2" s="2064"/>
      <c r="EO2" s="2064"/>
      <c r="EP2" s="2064"/>
      <c r="EQ2" s="2064"/>
      <c r="ER2" s="2064"/>
      <c r="ES2" s="2064"/>
      <c r="ET2" s="2064"/>
      <c r="EU2" s="2064"/>
      <c r="EV2" s="2064"/>
      <c r="EW2" s="2064"/>
      <c r="EX2" s="2064"/>
      <c r="EY2" s="2064"/>
      <c r="EZ2" s="2064"/>
      <c r="FA2" s="2064"/>
      <c r="FB2" s="2064"/>
      <c r="FC2" s="2064"/>
      <c r="FD2" s="2064"/>
      <c r="FE2" s="2064"/>
      <c r="FF2" s="2064"/>
      <c r="FG2" s="2064"/>
      <c r="FH2" s="2064"/>
      <c r="FI2" s="2064"/>
      <c r="FJ2" s="2064"/>
      <c r="FK2" s="2064"/>
      <c r="FL2" s="2064"/>
      <c r="FM2" s="2064"/>
      <c r="FN2" s="2064"/>
      <c r="FO2" s="2064"/>
      <c r="FP2" s="2064"/>
      <c r="FQ2" s="2064"/>
      <c r="FR2" s="2064"/>
      <c r="FS2" s="2064"/>
      <c r="FT2" s="2064"/>
      <c r="FU2" s="2064"/>
      <c r="FV2" s="2064"/>
      <c r="FW2" s="2064"/>
      <c r="FX2" s="2064"/>
      <c r="FY2" s="2064"/>
      <c r="FZ2" s="2064"/>
      <c r="GA2" s="2064"/>
      <c r="GB2" s="2064"/>
      <c r="GC2" s="2064"/>
      <c r="GD2" s="2064"/>
      <c r="GE2" s="2064"/>
      <c r="GF2" s="2064"/>
      <c r="GG2" s="2064"/>
      <c r="GH2" s="2064"/>
      <c r="GI2" s="2064"/>
      <c r="GJ2" s="2064"/>
      <c r="GK2" s="2064"/>
      <c r="GL2" s="2064"/>
      <c r="GM2" s="2064"/>
      <c r="GN2" s="2064"/>
      <c r="GO2" s="2064"/>
      <c r="GP2" s="2064"/>
      <c r="GQ2" s="2064"/>
      <c r="GR2" s="2064"/>
      <c r="GS2" s="2064"/>
      <c r="GT2" s="2064"/>
      <c r="GU2" s="2064"/>
      <c r="GV2" s="2064"/>
      <c r="GW2" s="2064"/>
      <c r="GX2" s="2064"/>
      <c r="GY2" s="2064"/>
      <c r="GZ2" s="2064"/>
      <c r="HA2" s="2064"/>
      <c r="HB2" s="2064"/>
      <c r="HC2" s="2064"/>
      <c r="HD2" s="2064"/>
      <c r="HE2" s="2064"/>
      <c r="HF2" s="2064"/>
      <c r="HG2" s="2064"/>
      <c r="HH2" s="2064"/>
      <c r="HI2" s="2064"/>
      <c r="HJ2" s="2064"/>
      <c r="HK2" s="2064"/>
      <c r="HL2" s="2064"/>
      <c r="HM2" s="2064"/>
      <c r="HN2" s="2064"/>
      <c r="HO2" s="2064"/>
      <c r="HP2" s="2064"/>
      <c r="HQ2" s="2064"/>
      <c r="HR2" s="2064"/>
      <c r="HS2" s="2064"/>
      <c r="HT2" s="2064"/>
      <c r="HU2" s="2064"/>
      <c r="HV2" s="2064"/>
      <c r="HW2" s="2064"/>
      <c r="HX2" s="2064"/>
      <c r="HY2" s="2064"/>
      <c r="HZ2" s="2064"/>
      <c r="IA2" s="2064"/>
      <c r="IB2" s="2064"/>
      <c r="IC2" s="2064"/>
      <c r="ID2" s="2064"/>
      <c r="IE2" s="2064"/>
      <c r="IF2" s="2064"/>
      <c r="IG2" s="2064"/>
      <c r="IH2" s="2064"/>
      <c r="II2" s="2064"/>
      <c r="IJ2" s="2064"/>
      <c r="IK2" s="2064"/>
      <c r="IL2" s="2064"/>
      <c r="IM2" s="2064"/>
      <c r="IN2" s="2064"/>
    </row>
    <row r="3" ht="15" customHeight="1" spans="1:248">
      <c r="A3" s="2044" t="s">
        <v>306</v>
      </c>
      <c r="B3" s="2045">
        <v>1</v>
      </c>
      <c r="C3" s="2045">
        <v>2</v>
      </c>
      <c r="D3" s="2045">
        <v>3</v>
      </c>
      <c r="E3" s="2045" t="s">
        <v>2461</v>
      </c>
      <c r="F3" s="2045" t="s">
        <v>2462</v>
      </c>
      <c r="G3" s="2046">
        <v>6</v>
      </c>
      <c r="H3" s="2046">
        <v>7</v>
      </c>
      <c r="I3" s="2046">
        <v>8</v>
      </c>
      <c r="J3" s="2067">
        <v>9</v>
      </c>
      <c r="K3" s="2064"/>
      <c r="L3" s="2064"/>
      <c r="M3" s="2064"/>
      <c r="N3" s="2064"/>
      <c r="O3" s="2064"/>
      <c r="P3" s="2064"/>
      <c r="Q3" s="2064"/>
      <c r="R3" s="2064"/>
      <c r="S3" s="2064"/>
      <c r="T3" s="2064"/>
      <c r="U3" s="2064"/>
      <c r="V3" s="2064"/>
      <c r="W3" s="2064"/>
      <c r="X3" s="2064"/>
      <c r="Y3" s="2064"/>
      <c r="Z3" s="2064"/>
      <c r="AA3" s="2064"/>
      <c r="AB3" s="2064"/>
      <c r="AC3" s="2064"/>
      <c r="AD3" s="2064"/>
      <c r="AE3" s="2064"/>
      <c r="AF3" s="2064"/>
      <c r="AG3" s="2064"/>
      <c r="AH3" s="2064"/>
      <c r="AI3" s="2064"/>
      <c r="AJ3" s="2064"/>
      <c r="AK3" s="2064"/>
      <c r="AL3" s="2064"/>
      <c r="AM3" s="2064"/>
      <c r="AN3" s="2064"/>
      <c r="AO3" s="2064"/>
      <c r="AP3" s="2064"/>
      <c r="AQ3" s="2064"/>
      <c r="AR3" s="2064"/>
      <c r="AS3" s="2064"/>
      <c r="AT3" s="2064"/>
      <c r="AU3" s="2064"/>
      <c r="AV3" s="2064"/>
      <c r="AW3" s="2064"/>
      <c r="AX3" s="2064"/>
      <c r="AY3" s="2064"/>
      <c r="AZ3" s="2064"/>
      <c r="BA3" s="2064"/>
      <c r="BB3" s="2064"/>
      <c r="BC3" s="2064"/>
      <c r="BD3" s="2064"/>
      <c r="BE3" s="2064"/>
      <c r="BF3" s="2064"/>
      <c r="BG3" s="2064"/>
      <c r="BH3" s="2064"/>
      <c r="BI3" s="2064"/>
      <c r="BJ3" s="2064"/>
      <c r="BK3" s="2064"/>
      <c r="BL3" s="2064"/>
      <c r="BM3" s="2064"/>
      <c r="BN3" s="2064"/>
      <c r="BO3" s="2064"/>
      <c r="BP3" s="2064"/>
      <c r="BQ3" s="2064"/>
      <c r="BR3" s="2064"/>
      <c r="BS3" s="2064"/>
      <c r="BT3" s="2064"/>
      <c r="BU3" s="2064"/>
      <c r="BV3" s="2064"/>
      <c r="BW3" s="2064"/>
      <c r="BX3" s="2064"/>
      <c r="BY3" s="2064"/>
      <c r="BZ3" s="2064"/>
      <c r="CA3" s="2064"/>
      <c r="CB3" s="2064"/>
      <c r="CC3" s="2064"/>
      <c r="CD3" s="2064"/>
      <c r="CE3" s="2064"/>
      <c r="CF3" s="2064"/>
      <c r="CG3" s="2064"/>
      <c r="CH3" s="2064"/>
      <c r="CI3" s="2064"/>
      <c r="CJ3" s="2064"/>
      <c r="CK3" s="2064"/>
      <c r="CL3" s="2064"/>
      <c r="CM3" s="2064"/>
      <c r="CN3" s="2064"/>
      <c r="CO3" s="2064"/>
      <c r="CP3" s="2064"/>
      <c r="CQ3" s="2064"/>
      <c r="CR3" s="2064"/>
      <c r="CS3" s="2064"/>
      <c r="CT3" s="2064"/>
      <c r="CU3" s="2064"/>
      <c r="CV3" s="2064"/>
      <c r="CW3" s="2064"/>
      <c r="CX3" s="2064"/>
      <c r="CY3" s="2064"/>
      <c r="CZ3" s="2064"/>
      <c r="DA3" s="2064"/>
      <c r="DB3" s="2064"/>
      <c r="DC3" s="2064"/>
      <c r="DD3" s="2064"/>
      <c r="DE3" s="2064"/>
      <c r="DF3" s="2064"/>
      <c r="DG3" s="2064"/>
      <c r="DH3" s="2064"/>
      <c r="DI3" s="2064"/>
      <c r="DJ3" s="2064"/>
      <c r="DK3" s="2064"/>
      <c r="DL3" s="2064"/>
      <c r="DM3" s="2064"/>
      <c r="DN3" s="2064"/>
      <c r="DO3" s="2064"/>
      <c r="DP3" s="2064"/>
      <c r="DQ3" s="2064"/>
      <c r="DR3" s="2064"/>
      <c r="DS3" s="2064"/>
      <c r="DT3" s="2064"/>
      <c r="DU3" s="2064"/>
      <c r="DV3" s="2064"/>
      <c r="DW3" s="2064"/>
      <c r="DX3" s="2064"/>
      <c r="DY3" s="2064"/>
      <c r="DZ3" s="2064"/>
      <c r="EA3" s="2064"/>
      <c r="EB3" s="2064"/>
      <c r="EC3" s="2064"/>
      <c r="ED3" s="2064"/>
      <c r="EE3" s="2064"/>
      <c r="EF3" s="2064"/>
      <c r="EG3" s="2064"/>
      <c r="EH3" s="2064"/>
      <c r="EI3" s="2064"/>
      <c r="EJ3" s="2064"/>
      <c r="EK3" s="2064"/>
      <c r="EL3" s="2064"/>
      <c r="EM3" s="2064"/>
      <c r="EN3" s="2064"/>
      <c r="EO3" s="2064"/>
      <c r="EP3" s="2064"/>
      <c r="EQ3" s="2064"/>
      <c r="ER3" s="2064"/>
      <c r="ES3" s="2064"/>
      <c r="ET3" s="2064"/>
      <c r="EU3" s="2064"/>
      <c r="EV3" s="2064"/>
      <c r="EW3" s="2064"/>
      <c r="EX3" s="2064"/>
      <c r="EY3" s="2064"/>
      <c r="EZ3" s="2064"/>
      <c r="FA3" s="2064"/>
      <c r="FB3" s="2064"/>
      <c r="FC3" s="2064"/>
      <c r="FD3" s="2064"/>
      <c r="FE3" s="2064"/>
      <c r="FF3" s="2064"/>
      <c r="FG3" s="2064"/>
      <c r="FH3" s="2064"/>
      <c r="FI3" s="2064"/>
      <c r="FJ3" s="2064"/>
      <c r="FK3" s="2064"/>
      <c r="FL3" s="2064"/>
      <c r="FM3" s="2064"/>
      <c r="FN3" s="2064"/>
      <c r="FO3" s="2064"/>
      <c r="FP3" s="2064"/>
      <c r="FQ3" s="2064"/>
      <c r="FR3" s="2064"/>
      <c r="FS3" s="2064"/>
      <c r="FT3" s="2064"/>
      <c r="FU3" s="2064"/>
      <c r="FV3" s="2064"/>
      <c r="FW3" s="2064"/>
      <c r="FX3" s="2064"/>
      <c r="FY3" s="2064"/>
      <c r="FZ3" s="2064"/>
      <c r="GA3" s="2064"/>
      <c r="GB3" s="2064"/>
      <c r="GC3" s="2064"/>
      <c r="GD3" s="2064"/>
      <c r="GE3" s="2064"/>
      <c r="GF3" s="2064"/>
      <c r="GG3" s="2064"/>
      <c r="GH3" s="2064"/>
      <c r="GI3" s="2064"/>
      <c r="GJ3" s="2064"/>
      <c r="GK3" s="2064"/>
      <c r="GL3" s="2064"/>
      <c r="GM3" s="2064"/>
      <c r="GN3" s="2064"/>
      <c r="GO3" s="2064"/>
      <c r="GP3" s="2064"/>
      <c r="GQ3" s="2064"/>
      <c r="GR3" s="2064"/>
      <c r="GS3" s="2064"/>
      <c r="GT3" s="2064"/>
      <c r="GU3" s="2064"/>
      <c r="GV3" s="2064"/>
      <c r="GW3" s="2064"/>
      <c r="GX3" s="2064"/>
      <c r="GY3" s="2064"/>
      <c r="GZ3" s="2064"/>
      <c r="HA3" s="2064"/>
      <c r="HB3" s="2064"/>
      <c r="HC3" s="2064"/>
      <c r="HD3" s="2064"/>
      <c r="HE3" s="2064"/>
      <c r="HF3" s="2064"/>
      <c r="HG3" s="2064"/>
      <c r="HH3" s="2064"/>
      <c r="HI3" s="2064"/>
      <c r="HJ3" s="2064"/>
      <c r="HK3" s="2064"/>
      <c r="HL3" s="2064"/>
      <c r="HM3" s="2064"/>
      <c r="HN3" s="2064"/>
      <c r="HO3" s="2064"/>
      <c r="HP3" s="2064"/>
      <c r="HQ3" s="2064"/>
      <c r="HR3" s="2064"/>
      <c r="HS3" s="2064"/>
      <c r="HT3" s="2064"/>
      <c r="HU3" s="2064"/>
      <c r="HV3" s="2064"/>
      <c r="HW3" s="2064"/>
      <c r="HX3" s="2064"/>
      <c r="HY3" s="2064"/>
      <c r="HZ3" s="2064"/>
      <c r="IA3" s="2064"/>
      <c r="IB3" s="2064"/>
      <c r="IC3" s="2064"/>
      <c r="ID3" s="2064"/>
      <c r="IE3" s="2064"/>
      <c r="IF3" s="2064"/>
      <c r="IG3" s="2064"/>
      <c r="IH3" s="2064"/>
      <c r="II3" s="2064"/>
      <c r="IJ3" s="2064"/>
      <c r="IK3" s="2064"/>
      <c r="IL3" s="2064"/>
      <c r="IM3" s="2064"/>
      <c r="IN3" s="2064"/>
    </row>
    <row r="4" spans="1:248">
      <c r="A4" s="2047" t="s">
        <v>194</v>
      </c>
      <c r="B4" s="2048"/>
      <c r="C4" s="2048"/>
      <c r="D4" s="2048"/>
      <c r="E4" s="2049"/>
      <c r="F4" s="2049"/>
      <c r="G4" s="2049"/>
      <c r="H4" s="2050" t="s">
        <v>2463</v>
      </c>
      <c r="I4" s="2068" t="s">
        <v>2464</v>
      </c>
      <c r="J4" s="2050"/>
      <c r="K4" s="2069"/>
      <c r="L4" s="2069"/>
      <c r="M4" s="2069"/>
      <c r="N4" s="2069"/>
      <c r="O4" s="2069"/>
      <c r="P4" s="2069"/>
      <c r="Q4" s="2069"/>
      <c r="R4" s="2069"/>
      <c r="S4" s="2069"/>
      <c r="T4" s="2069"/>
      <c r="U4" s="2069"/>
      <c r="V4" s="2069"/>
      <c r="W4" s="2069"/>
      <c r="X4" s="2069"/>
      <c r="Y4" s="2069"/>
      <c r="Z4" s="2069"/>
      <c r="AA4" s="2069"/>
      <c r="AB4" s="2069"/>
      <c r="AC4" s="2069"/>
      <c r="AD4" s="2069"/>
      <c r="AE4" s="2069"/>
      <c r="AF4" s="2069"/>
      <c r="AG4" s="2069"/>
      <c r="AH4" s="2069"/>
      <c r="AI4" s="2069"/>
      <c r="AJ4" s="2069"/>
      <c r="AK4" s="2069"/>
      <c r="AL4" s="2069"/>
      <c r="AM4" s="2069"/>
      <c r="AN4" s="2069"/>
      <c r="AO4" s="2069"/>
      <c r="AP4" s="2069"/>
      <c r="AQ4" s="2069"/>
      <c r="AR4" s="2069"/>
      <c r="AS4" s="2069"/>
      <c r="AT4" s="2069"/>
      <c r="AU4" s="2069"/>
      <c r="AV4" s="2069"/>
      <c r="AW4" s="2069"/>
      <c r="AX4" s="2069"/>
      <c r="AY4" s="2069"/>
      <c r="AZ4" s="2069"/>
      <c r="BA4" s="2069"/>
      <c r="BB4" s="2069"/>
      <c r="BC4" s="2069"/>
      <c r="BD4" s="2069"/>
      <c r="BE4" s="2069"/>
      <c r="BF4" s="2069"/>
      <c r="BG4" s="2069"/>
      <c r="BH4" s="2069"/>
      <c r="BI4" s="2069"/>
      <c r="BJ4" s="2069"/>
      <c r="BK4" s="2069"/>
      <c r="BL4" s="2069"/>
      <c r="BM4" s="2069"/>
      <c r="BN4" s="2069"/>
      <c r="BO4" s="2069"/>
      <c r="BP4" s="2069"/>
      <c r="BQ4" s="2069"/>
      <c r="BR4" s="2069"/>
      <c r="BS4" s="2069"/>
      <c r="BT4" s="2069"/>
      <c r="BU4" s="2069"/>
      <c r="BV4" s="2069"/>
      <c r="BW4" s="2069"/>
      <c r="BX4" s="2069"/>
      <c r="BY4" s="2069"/>
      <c r="BZ4" s="2069"/>
      <c r="CA4" s="2069"/>
      <c r="CB4" s="2069"/>
      <c r="CC4" s="2069"/>
      <c r="CD4" s="2069"/>
      <c r="CE4" s="2069"/>
      <c r="CF4" s="2069"/>
      <c r="CG4" s="2069"/>
      <c r="CH4" s="2069"/>
      <c r="CI4" s="2069"/>
      <c r="CJ4" s="2069"/>
      <c r="CK4" s="2069"/>
      <c r="CL4" s="2069"/>
      <c r="CM4" s="2069"/>
      <c r="CN4" s="2069"/>
      <c r="CO4" s="2069"/>
      <c r="CP4" s="2069"/>
      <c r="CQ4" s="2069"/>
      <c r="CR4" s="2069"/>
      <c r="CS4" s="2069"/>
      <c r="CT4" s="2069"/>
      <c r="CU4" s="2069"/>
      <c r="CV4" s="2069"/>
      <c r="CW4" s="2069"/>
      <c r="CX4" s="2069"/>
      <c r="CY4" s="2069"/>
      <c r="CZ4" s="2069"/>
      <c r="DA4" s="2069"/>
      <c r="DB4" s="2069"/>
      <c r="DC4" s="2069"/>
      <c r="DD4" s="2069"/>
      <c r="DE4" s="2069"/>
      <c r="DF4" s="2069"/>
      <c r="DG4" s="2069"/>
      <c r="DH4" s="2069"/>
      <c r="DI4" s="2069"/>
      <c r="DJ4" s="2069"/>
      <c r="DK4" s="2069"/>
      <c r="DL4" s="2069"/>
      <c r="DM4" s="2069"/>
      <c r="DN4" s="2069"/>
      <c r="DO4" s="2069"/>
      <c r="DP4" s="2069"/>
      <c r="DQ4" s="2069"/>
      <c r="DR4" s="2069"/>
      <c r="DS4" s="2069"/>
      <c r="DT4" s="2069"/>
      <c r="DU4" s="2069"/>
      <c r="DV4" s="2069"/>
      <c r="DW4" s="2069"/>
      <c r="DX4" s="2069"/>
      <c r="DY4" s="2069"/>
      <c r="DZ4" s="2069"/>
      <c r="EA4" s="2069"/>
      <c r="EB4" s="2069"/>
      <c r="EC4" s="2069"/>
      <c r="ED4" s="2069"/>
      <c r="EE4" s="2069"/>
      <c r="EF4" s="2069"/>
      <c r="EG4" s="2069"/>
      <c r="EH4" s="2069"/>
      <c r="EI4" s="2069"/>
      <c r="EJ4" s="2069"/>
      <c r="EK4" s="2069"/>
      <c r="EL4" s="2069"/>
      <c r="EM4" s="2069"/>
      <c r="EN4" s="2069"/>
      <c r="EO4" s="2069"/>
      <c r="EP4" s="2069"/>
      <c r="EQ4" s="2069"/>
      <c r="ER4" s="2069"/>
      <c r="ES4" s="2069"/>
      <c r="ET4" s="2069"/>
      <c r="EU4" s="2069"/>
      <c r="EV4" s="2069"/>
      <c r="EW4" s="2069"/>
      <c r="EX4" s="2069"/>
      <c r="EY4" s="2069"/>
      <c r="EZ4" s="2069"/>
      <c r="FA4" s="2069"/>
      <c r="FB4" s="2069"/>
      <c r="FC4" s="2069"/>
      <c r="FD4" s="2069"/>
      <c r="FE4" s="2069"/>
      <c r="FF4" s="2069"/>
      <c r="FG4" s="2069"/>
      <c r="FH4" s="2069"/>
      <c r="FI4" s="2069"/>
      <c r="FJ4" s="2069"/>
      <c r="FK4" s="2069"/>
      <c r="FL4" s="2069"/>
      <c r="FM4" s="2069"/>
      <c r="FN4" s="2069"/>
      <c r="FO4" s="2069"/>
      <c r="FP4" s="2069"/>
      <c r="FQ4" s="2069"/>
      <c r="FR4" s="2069"/>
      <c r="FS4" s="2069"/>
      <c r="FT4" s="2069"/>
      <c r="FU4" s="2069"/>
      <c r="FV4" s="2069"/>
      <c r="FW4" s="2069"/>
      <c r="FX4" s="2069"/>
      <c r="FY4" s="2069"/>
      <c r="FZ4" s="2069"/>
      <c r="GA4" s="2069"/>
      <c r="GB4" s="2069"/>
      <c r="GC4" s="2069"/>
      <c r="GD4" s="2069"/>
      <c r="GE4" s="2069"/>
      <c r="GF4" s="2069"/>
      <c r="GG4" s="2069"/>
      <c r="GH4" s="2069"/>
      <c r="GI4" s="2069"/>
      <c r="GJ4" s="2069"/>
      <c r="GK4" s="2069"/>
      <c r="GL4" s="2069"/>
      <c r="GM4" s="2069"/>
      <c r="GN4" s="2069"/>
      <c r="GO4" s="2069"/>
      <c r="GP4" s="2069"/>
      <c r="GQ4" s="2069"/>
      <c r="GR4" s="2069"/>
      <c r="GS4" s="2069"/>
      <c r="GT4" s="2069"/>
      <c r="GU4" s="2069"/>
      <c r="GV4" s="2069"/>
      <c r="GW4" s="2069"/>
      <c r="GX4" s="2069"/>
      <c r="GY4" s="2069"/>
      <c r="GZ4" s="2069"/>
      <c r="HA4" s="2069"/>
      <c r="HB4" s="2069"/>
      <c r="HC4" s="2069"/>
      <c r="HD4" s="2069"/>
      <c r="HE4" s="2069"/>
      <c r="HF4" s="2069"/>
      <c r="HG4" s="2069"/>
      <c r="HH4" s="2069"/>
      <c r="HI4" s="2069"/>
      <c r="HJ4" s="2069"/>
      <c r="HK4" s="2069"/>
      <c r="HL4" s="2069"/>
      <c r="HM4" s="2069"/>
      <c r="HN4" s="2069"/>
      <c r="HO4" s="2069"/>
      <c r="HP4" s="2069"/>
      <c r="HQ4" s="2069"/>
      <c r="HR4" s="2069"/>
      <c r="HS4" s="2069"/>
      <c r="HT4" s="2069"/>
      <c r="HU4" s="2069"/>
      <c r="HV4" s="2069"/>
      <c r="HW4" s="2069"/>
      <c r="HX4" s="2069"/>
      <c r="HY4" s="2069"/>
      <c r="HZ4" s="2069"/>
      <c r="IA4" s="2069"/>
      <c r="IB4" s="2069"/>
      <c r="IC4" s="2069"/>
      <c r="ID4" s="2069"/>
      <c r="IE4" s="2069"/>
      <c r="IF4" s="2069"/>
      <c r="IG4" s="2069"/>
      <c r="IH4" s="2069"/>
      <c r="II4" s="2069"/>
      <c r="IJ4" s="2069"/>
      <c r="IK4" s="2069"/>
      <c r="IL4" s="2069"/>
      <c r="IM4" s="2069"/>
      <c r="IN4" s="2069"/>
    </row>
    <row r="5" spans="1:248">
      <c r="A5" s="2051" t="s">
        <v>196</v>
      </c>
      <c r="B5" s="2052">
        <f>审定资负表!C7</f>
        <v>203715132.36</v>
      </c>
      <c r="C5" s="2052">
        <f>审定资负表!D7</f>
        <v>76914775.62</v>
      </c>
      <c r="D5" s="2053">
        <f>IF(B5=0," ",B5/$B$46)</f>
        <v>0.419790013817393</v>
      </c>
      <c r="E5" s="2054">
        <f>B5-C5</f>
        <v>126800356.74</v>
      </c>
      <c r="F5" s="2055">
        <f>IFERROR(IF(C5=0,B5/B5,ROUND(E5/ABS(C5),4)),"")</f>
        <v>1.6486</v>
      </c>
      <c r="G5" s="2056"/>
      <c r="H5" s="2057" t="str">
        <f>IF(报表附注!H27=0,"相符","不相符")</f>
        <v>相符</v>
      </c>
      <c r="I5" s="2057" t="str">
        <f>IF(报表附注!K27=0,"相符","不相符")</f>
        <v>相符</v>
      </c>
      <c r="J5" s="2070" t="s">
        <v>1916</v>
      </c>
      <c r="K5" s="2071"/>
      <c r="L5" s="2071"/>
      <c r="M5" s="2071"/>
      <c r="N5" s="2071"/>
      <c r="O5" s="2071"/>
      <c r="P5" s="2071"/>
      <c r="Q5" s="2071"/>
      <c r="R5" s="2071"/>
      <c r="S5" s="2071"/>
      <c r="T5" s="2071"/>
      <c r="U5" s="2071"/>
      <c r="V5" s="2071"/>
      <c r="W5" s="2071"/>
      <c r="X5" s="2071"/>
      <c r="Y5" s="2071"/>
      <c r="Z5" s="2071"/>
      <c r="AA5" s="2071"/>
      <c r="AB5" s="2071"/>
      <c r="AC5" s="2071"/>
      <c r="AD5" s="2071"/>
      <c r="AE5" s="2071"/>
      <c r="AF5" s="2071"/>
      <c r="AG5" s="2071"/>
      <c r="AH5" s="2071"/>
      <c r="AI5" s="2071"/>
      <c r="AJ5" s="2071"/>
      <c r="AK5" s="2071"/>
      <c r="AL5" s="2071"/>
      <c r="AM5" s="2071"/>
      <c r="AN5" s="2071"/>
      <c r="AO5" s="2071"/>
      <c r="AP5" s="2071"/>
      <c r="AQ5" s="2071"/>
      <c r="AR5" s="2071"/>
      <c r="AS5" s="2071"/>
      <c r="AT5" s="2071"/>
      <c r="AU5" s="2071"/>
      <c r="AV5" s="2071"/>
      <c r="AW5" s="2071"/>
      <c r="AX5" s="2071"/>
      <c r="AY5" s="2071"/>
      <c r="AZ5" s="2071"/>
      <c r="BA5" s="2071"/>
      <c r="BB5" s="2071"/>
      <c r="BC5" s="2071"/>
      <c r="BD5" s="2071"/>
      <c r="BE5" s="2071"/>
      <c r="BF5" s="2071"/>
      <c r="BG5" s="2071"/>
      <c r="BH5" s="2071"/>
      <c r="BI5" s="2071"/>
      <c r="BJ5" s="2071"/>
      <c r="BK5" s="2071"/>
      <c r="BL5" s="2071"/>
      <c r="BM5" s="2071"/>
      <c r="BN5" s="2071"/>
      <c r="BO5" s="2071"/>
      <c r="BP5" s="2071"/>
      <c r="BQ5" s="2071"/>
      <c r="BR5" s="2071"/>
      <c r="BS5" s="2071"/>
      <c r="BT5" s="2071"/>
      <c r="BU5" s="2071"/>
      <c r="BV5" s="2071"/>
      <c r="BW5" s="2071"/>
      <c r="BX5" s="2071"/>
      <c r="BY5" s="2071"/>
      <c r="BZ5" s="2071"/>
      <c r="CA5" s="2071"/>
      <c r="CB5" s="2071"/>
      <c r="CC5" s="2071"/>
      <c r="CD5" s="2071"/>
      <c r="CE5" s="2071"/>
      <c r="CF5" s="2071"/>
      <c r="CG5" s="2071"/>
      <c r="CH5" s="2071"/>
      <c r="CI5" s="2071"/>
      <c r="CJ5" s="2071"/>
      <c r="CK5" s="2071"/>
      <c r="CL5" s="2071"/>
      <c r="CM5" s="2071"/>
      <c r="CN5" s="2071"/>
      <c r="CO5" s="2071"/>
      <c r="CP5" s="2071"/>
      <c r="CQ5" s="2071"/>
      <c r="CR5" s="2071"/>
      <c r="CS5" s="2071"/>
      <c r="CT5" s="2071"/>
      <c r="CU5" s="2071"/>
      <c r="CV5" s="2071"/>
      <c r="CW5" s="2071"/>
      <c r="CX5" s="2071"/>
      <c r="CY5" s="2071"/>
      <c r="CZ5" s="2071"/>
      <c r="DA5" s="2071"/>
      <c r="DB5" s="2071"/>
      <c r="DC5" s="2071"/>
      <c r="DD5" s="2071"/>
      <c r="DE5" s="2071"/>
      <c r="DF5" s="2071"/>
      <c r="DG5" s="2071"/>
      <c r="DH5" s="2071"/>
      <c r="DI5" s="2071"/>
      <c r="DJ5" s="2071"/>
      <c r="DK5" s="2071"/>
      <c r="DL5" s="2071"/>
      <c r="DM5" s="2071"/>
      <c r="DN5" s="2071"/>
      <c r="DO5" s="2071"/>
      <c r="DP5" s="2071"/>
      <c r="DQ5" s="2071"/>
      <c r="DR5" s="2071"/>
      <c r="DS5" s="2071"/>
      <c r="DT5" s="2071"/>
      <c r="DU5" s="2071"/>
      <c r="DV5" s="2071"/>
      <c r="DW5" s="2071"/>
      <c r="DX5" s="2071"/>
      <c r="DY5" s="2071"/>
      <c r="DZ5" s="2071"/>
      <c r="EA5" s="2071"/>
      <c r="EB5" s="2071"/>
      <c r="EC5" s="2071"/>
      <c r="ED5" s="2071"/>
      <c r="EE5" s="2071"/>
      <c r="EF5" s="2071"/>
      <c r="EG5" s="2071"/>
      <c r="EH5" s="2071"/>
      <c r="EI5" s="2071"/>
      <c r="EJ5" s="2071"/>
      <c r="EK5" s="2071"/>
      <c r="EL5" s="2071"/>
      <c r="EM5" s="2071"/>
      <c r="EN5" s="2071"/>
      <c r="EO5" s="2071"/>
      <c r="EP5" s="2071"/>
      <c r="EQ5" s="2071"/>
      <c r="ER5" s="2071"/>
      <c r="ES5" s="2071"/>
      <c r="ET5" s="2071"/>
      <c r="EU5" s="2071"/>
      <c r="EV5" s="2071"/>
      <c r="EW5" s="2071"/>
      <c r="EX5" s="2071"/>
      <c r="EY5" s="2071"/>
      <c r="EZ5" s="2071"/>
      <c r="FA5" s="2071"/>
      <c r="FB5" s="2071"/>
      <c r="FC5" s="2071"/>
      <c r="FD5" s="2071"/>
      <c r="FE5" s="2071"/>
      <c r="FF5" s="2071"/>
      <c r="FG5" s="2071"/>
      <c r="FH5" s="2071"/>
      <c r="FI5" s="2071"/>
      <c r="FJ5" s="2071"/>
      <c r="FK5" s="2071"/>
      <c r="FL5" s="2071"/>
      <c r="FM5" s="2071"/>
      <c r="FN5" s="2071"/>
      <c r="FO5" s="2071"/>
      <c r="FP5" s="2071"/>
      <c r="FQ5" s="2071"/>
      <c r="FR5" s="2071"/>
      <c r="FS5" s="2071"/>
      <c r="FT5" s="2071"/>
      <c r="FU5" s="2071"/>
      <c r="FV5" s="2071"/>
      <c r="FW5" s="2071"/>
      <c r="FX5" s="2071"/>
      <c r="FY5" s="2071"/>
      <c r="FZ5" s="2071"/>
      <c r="GA5" s="2071"/>
      <c r="GB5" s="2071"/>
      <c r="GC5" s="2071"/>
      <c r="GD5" s="2071"/>
      <c r="GE5" s="2071"/>
      <c r="GF5" s="2071"/>
      <c r="GG5" s="2071"/>
      <c r="GH5" s="2071"/>
      <c r="GI5" s="2071"/>
      <c r="GJ5" s="2071"/>
      <c r="GK5" s="2071"/>
      <c r="GL5" s="2071"/>
      <c r="GM5" s="2071"/>
      <c r="GN5" s="2071"/>
      <c r="GO5" s="2071"/>
      <c r="GP5" s="2071"/>
      <c r="GQ5" s="2071"/>
      <c r="GR5" s="2071"/>
      <c r="GS5" s="2071"/>
      <c r="GT5" s="2071"/>
      <c r="GU5" s="2071"/>
      <c r="GV5" s="2071"/>
      <c r="GW5" s="2071"/>
      <c r="GX5" s="2071"/>
      <c r="GY5" s="2071"/>
      <c r="GZ5" s="2071"/>
      <c r="HA5" s="2071"/>
      <c r="HB5" s="2071"/>
      <c r="HC5" s="2071"/>
      <c r="HD5" s="2071"/>
      <c r="HE5" s="2071"/>
      <c r="HF5" s="2071"/>
      <c r="HG5" s="2071"/>
      <c r="HH5" s="2071"/>
      <c r="HI5" s="2071"/>
      <c r="HJ5" s="2071"/>
      <c r="HK5" s="2071"/>
      <c r="HL5" s="2071"/>
      <c r="HM5" s="2071"/>
      <c r="HN5" s="2071"/>
      <c r="HO5" s="2071"/>
      <c r="HP5" s="2071"/>
      <c r="HQ5" s="2071"/>
      <c r="HR5" s="2071"/>
      <c r="HS5" s="2071"/>
      <c r="HT5" s="2071"/>
      <c r="HU5" s="2071"/>
      <c r="HV5" s="2071"/>
      <c r="HW5" s="2071"/>
      <c r="HX5" s="2071"/>
      <c r="HY5" s="2071"/>
      <c r="HZ5" s="2071"/>
      <c r="IA5" s="2071"/>
      <c r="IB5" s="2071"/>
      <c r="IC5" s="2071"/>
      <c r="ID5" s="2071"/>
      <c r="IE5" s="2071"/>
      <c r="IF5" s="2071"/>
      <c r="IG5" s="2071"/>
      <c r="IH5" s="2071"/>
      <c r="II5" s="2071"/>
      <c r="IJ5" s="2071"/>
      <c r="IK5" s="2071"/>
      <c r="IL5" s="2071"/>
      <c r="IM5" s="2071"/>
      <c r="IN5" s="2071"/>
    </row>
    <row r="6" spans="1:248">
      <c r="A6" s="2051" t="s">
        <v>198</v>
      </c>
      <c r="B6" s="2052">
        <f>审定资负表!C8</f>
        <v>0</v>
      </c>
      <c r="C6" s="2052">
        <f>审定资负表!D8</f>
        <v>0</v>
      </c>
      <c r="D6" s="2053" t="str">
        <f t="shared" ref="D6:D69" si="0">IF(B6=0," ",B6/$B$46)</f>
        <v> </v>
      </c>
      <c r="E6" s="2054">
        <f t="shared" ref="E6:E69" si="1">B6-C6</f>
        <v>0</v>
      </c>
      <c r="F6" s="2055" t="str">
        <f t="shared" ref="F6:F69" si="2">IFERROR(IF(C6=0,B6/B6,ROUND(E6/ABS(C6),4)),"")</f>
        <v/>
      </c>
      <c r="G6" s="2056"/>
      <c r="H6" s="2057" t="str">
        <f>IF(报表附注!F56=0,"相符","不相符")</f>
        <v>相符</v>
      </c>
      <c r="I6" s="2057" t="str">
        <f>IF(报表附注!G56=0,"相符","不相符")</f>
        <v>相符</v>
      </c>
      <c r="J6" s="2070" t="s">
        <v>1918</v>
      </c>
      <c r="K6" s="2071"/>
      <c r="L6" s="2071"/>
      <c r="M6" s="2071"/>
      <c r="N6" s="2071"/>
      <c r="O6" s="2071"/>
      <c r="P6" s="2071"/>
      <c r="Q6" s="2071"/>
      <c r="R6" s="2071"/>
      <c r="S6" s="2071"/>
      <c r="T6" s="2071"/>
      <c r="U6" s="2071"/>
      <c r="V6" s="2071"/>
      <c r="W6" s="2071"/>
      <c r="X6" s="2071"/>
      <c r="Y6" s="2071"/>
      <c r="Z6" s="2071"/>
      <c r="AA6" s="2071"/>
      <c r="AB6" s="2071"/>
      <c r="AC6" s="2071"/>
      <c r="AD6" s="2071"/>
      <c r="AE6" s="2071"/>
      <c r="AF6" s="2071"/>
      <c r="AG6" s="2071"/>
      <c r="AH6" s="2071"/>
      <c r="AI6" s="2071"/>
      <c r="AJ6" s="2071"/>
      <c r="AK6" s="2071"/>
      <c r="AL6" s="2071"/>
      <c r="AM6" s="2071"/>
      <c r="AN6" s="2071"/>
      <c r="AO6" s="2071"/>
      <c r="AP6" s="2071"/>
      <c r="AQ6" s="2071"/>
      <c r="AR6" s="2071"/>
      <c r="AS6" s="2071"/>
      <c r="AT6" s="2071"/>
      <c r="AU6" s="2071"/>
      <c r="AV6" s="2071"/>
      <c r="AW6" s="2071"/>
      <c r="AX6" s="2071"/>
      <c r="AY6" s="2071"/>
      <c r="AZ6" s="2071"/>
      <c r="BA6" s="2071"/>
      <c r="BB6" s="2071"/>
      <c r="BC6" s="2071"/>
      <c r="BD6" s="2071"/>
      <c r="BE6" s="2071"/>
      <c r="BF6" s="2071"/>
      <c r="BG6" s="2071"/>
      <c r="BH6" s="2071"/>
      <c r="BI6" s="2071"/>
      <c r="BJ6" s="2071"/>
      <c r="BK6" s="2071"/>
      <c r="BL6" s="2071"/>
      <c r="BM6" s="2071"/>
      <c r="BN6" s="2071"/>
      <c r="BO6" s="2071"/>
      <c r="BP6" s="2071"/>
      <c r="BQ6" s="2071"/>
      <c r="BR6" s="2071"/>
      <c r="BS6" s="2071"/>
      <c r="BT6" s="2071"/>
      <c r="BU6" s="2071"/>
      <c r="BV6" s="2071"/>
      <c r="BW6" s="2071"/>
      <c r="BX6" s="2071"/>
      <c r="BY6" s="2071"/>
      <c r="BZ6" s="2071"/>
      <c r="CA6" s="2071"/>
      <c r="CB6" s="2071"/>
      <c r="CC6" s="2071"/>
      <c r="CD6" s="2071"/>
      <c r="CE6" s="2071"/>
      <c r="CF6" s="2071"/>
      <c r="CG6" s="2071"/>
      <c r="CH6" s="2071"/>
      <c r="CI6" s="2071"/>
      <c r="CJ6" s="2071"/>
      <c r="CK6" s="2071"/>
      <c r="CL6" s="2071"/>
      <c r="CM6" s="2071"/>
      <c r="CN6" s="2071"/>
      <c r="CO6" s="2071"/>
      <c r="CP6" s="2071"/>
      <c r="CQ6" s="2071"/>
      <c r="CR6" s="2071"/>
      <c r="CS6" s="2071"/>
      <c r="CT6" s="2071"/>
      <c r="CU6" s="2071"/>
      <c r="CV6" s="2071"/>
      <c r="CW6" s="2071"/>
      <c r="CX6" s="2071"/>
      <c r="CY6" s="2071"/>
      <c r="CZ6" s="2071"/>
      <c r="DA6" s="2071"/>
      <c r="DB6" s="2071"/>
      <c r="DC6" s="2071"/>
      <c r="DD6" s="2071"/>
      <c r="DE6" s="2071"/>
      <c r="DF6" s="2071"/>
      <c r="DG6" s="2071"/>
      <c r="DH6" s="2071"/>
      <c r="DI6" s="2071"/>
      <c r="DJ6" s="2071"/>
      <c r="DK6" s="2071"/>
      <c r="DL6" s="2071"/>
      <c r="DM6" s="2071"/>
      <c r="DN6" s="2071"/>
      <c r="DO6" s="2071"/>
      <c r="DP6" s="2071"/>
      <c r="DQ6" s="2071"/>
      <c r="DR6" s="2071"/>
      <c r="DS6" s="2071"/>
      <c r="DT6" s="2071"/>
      <c r="DU6" s="2071"/>
      <c r="DV6" s="2071"/>
      <c r="DW6" s="2071"/>
      <c r="DX6" s="2071"/>
      <c r="DY6" s="2071"/>
      <c r="DZ6" s="2071"/>
      <c r="EA6" s="2071"/>
      <c r="EB6" s="2071"/>
      <c r="EC6" s="2071"/>
      <c r="ED6" s="2071"/>
      <c r="EE6" s="2071"/>
      <c r="EF6" s="2071"/>
      <c r="EG6" s="2071"/>
      <c r="EH6" s="2071"/>
      <c r="EI6" s="2071"/>
      <c r="EJ6" s="2071"/>
      <c r="EK6" s="2071"/>
      <c r="EL6" s="2071"/>
      <c r="EM6" s="2071"/>
      <c r="EN6" s="2071"/>
      <c r="EO6" s="2071"/>
      <c r="EP6" s="2071"/>
      <c r="EQ6" s="2071"/>
      <c r="ER6" s="2071"/>
      <c r="ES6" s="2071"/>
      <c r="ET6" s="2071"/>
      <c r="EU6" s="2071"/>
      <c r="EV6" s="2071"/>
      <c r="EW6" s="2071"/>
      <c r="EX6" s="2071"/>
      <c r="EY6" s="2071"/>
      <c r="EZ6" s="2071"/>
      <c r="FA6" s="2071"/>
      <c r="FB6" s="2071"/>
      <c r="FC6" s="2071"/>
      <c r="FD6" s="2071"/>
      <c r="FE6" s="2071"/>
      <c r="FF6" s="2071"/>
      <c r="FG6" s="2071"/>
      <c r="FH6" s="2071"/>
      <c r="FI6" s="2071"/>
      <c r="FJ6" s="2071"/>
      <c r="FK6" s="2071"/>
      <c r="FL6" s="2071"/>
      <c r="FM6" s="2071"/>
      <c r="FN6" s="2071"/>
      <c r="FO6" s="2071"/>
      <c r="FP6" s="2071"/>
      <c r="FQ6" s="2071"/>
      <c r="FR6" s="2071"/>
      <c r="FS6" s="2071"/>
      <c r="FT6" s="2071"/>
      <c r="FU6" s="2071"/>
      <c r="FV6" s="2071"/>
      <c r="FW6" s="2071"/>
      <c r="FX6" s="2071"/>
      <c r="FY6" s="2071"/>
      <c r="FZ6" s="2071"/>
      <c r="GA6" s="2071"/>
      <c r="GB6" s="2071"/>
      <c r="GC6" s="2071"/>
      <c r="GD6" s="2071"/>
      <c r="GE6" s="2071"/>
      <c r="GF6" s="2071"/>
      <c r="GG6" s="2071"/>
      <c r="GH6" s="2071"/>
      <c r="GI6" s="2071"/>
      <c r="GJ6" s="2071"/>
      <c r="GK6" s="2071"/>
      <c r="GL6" s="2071"/>
      <c r="GM6" s="2071"/>
      <c r="GN6" s="2071"/>
      <c r="GO6" s="2071"/>
      <c r="GP6" s="2071"/>
      <c r="GQ6" s="2071"/>
      <c r="GR6" s="2071"/>
      <c r="GS6" s="2071"/>
      <c r="GT6" s="2071"/>
      <c r="GU6" s="2071"/>
      <c r="GV6" s="2071"/>
      <c r="GW6" s="2071"/>
      <c r="GX6" s="2071"/>
      <c r="GY6" s="2071"/>
      <c r="GZ6" s="2071"/>
      <c r="HA6" s="2071"/>
      <c r="HB6" s="2071"/>
      <c r="HC6" s="2071"/>
      <c r="HD6" s="2071"/>
      <c r="HE6" s="2071"/>
      <c r="HF6" s="2071"/>
      <c r="HG6" s="2071"/>
      <c r="HH6" s="2071"/>
      <c r="HI6" s="2071"/>
      <c r="HJ6" s="2071"/>
      <c r="HK6" s="2071"/>
      <c r="HL6" s="2071"/>
      <c r="HM6" s="2071"/>
      <c r="HN6" s="2071"/>
      <c r="HO6" s="2071"/>
      <c r="HP6" s="2071"/>
      <c r="HQ6" s="2071"/>
      <c r="HR6" s="2071"/>
      <c r="HS6" s="2071"/>
      <c r="HT6" s="2071"/>
      <c r="HU6" s="2071"/>
      <c r="HV6" s="2071"/>
      <c r="HW6" s="2071"/>
      <c r="HX6" s="2071"/>
      <c r="HY6" s="2071"/>
      <c r="HZ6" s="2071"/>
      <c r="IA6" s="2071"/>
      <c r="IB6" s="2071"/>
      <c r="IC6" s="2071"/>
      <c r="ID6" s="2071"/>
      <c r="IE6" s="2071"/>
      <c r="IF6" s="2071"/>
      <c r="IG6" s="2071"/>
      <c r="IH6" s="2071"/>
      <c r="II6" s="2071"/>
      <c r="IJ6" s="2071"/>
      <c r="IK6" s="2071"/>
      <c r="IL6" s="2071"/>
      <c r="IM6" s="2071"/>
      <c r="IN6" s="2071"/>
    </row>
    <row r="7" ht="15" customHeight="1" spans="1:248">
      <c r="A7" s="2051" t="s">
        <v>200</v>
      </c>
      <c r="B7" s="2052">
        <f>审定资负表!C9</f>
        <v>0</v>
      </c>
      <c r="C7" s="2052">
        <f>审定资负表!D9</f>
        <v>0</v>
      </c>
      <c r="D7" s="2053" t="str">
        <f t="shared" si="0"/>
        <v> </v>
      </c>
      <c r="E7" s="2054">
        <f t="shared" si="1"/>
        <v>0</v>
      </c>
      <c r="F7" s="2055" t="str">
        <f t="shared" si="2"/>
        <v/>
      </c>
      <c r="G7" s="2056"/>
      <c r="H7" s="2057" t="str">
        <f>IF(报表附注!F78=0,"相符","不相符")</f>
        <v>相符</v>
      </c>
      <c r="I7" s="2057" t="str">
        <f>IF(报表附注!G78=0,"相符","不相符")</f>
        <v>相符</v>
      </c>
      <c r="J7" s="2070" t="s">
        <v>1920</v>
      </c>
      <c r="K7" s="2071"/>
      <c r="L7" s="2071"/>
      <c r="M7" s="2071"/>
      <c r="N7" s="2071"/>
      <c r="O7" s="2071"/>
      <c r="P7" s="2071"/>
      <c r="Q7" s="2071"/>
      <c r="R7" s="2071"/>
      <c r="S7" s="2071"/>
      <c r="T7" s="2071"/>
      <c r="U7" s="2071"/>
      <c r="V7" s="2071"/>
      <c r="W7" s="2071"/>
      <c r="X7" s="2071"/>
      <c r="Y7" s="2071"/>
      <c r="Z7" s="2071"/>
      <c r="AA7" s="2071"/>
      <c r="AB7" s="2071"/>
      <c r="AC7" s="2071"/>
      <c r="AD7" s="2071"/>
      <c r="AE7" s="2071"/>
      <c r="AF7" s="2071"/>
      <c r="AG7" s="2071"/>
      <c r="AH7" s="2071"/>
      <c r="AI7" s="2071"/>
      <c r="AJ7" s="2071"/>
      <c r="AK7" s="2071"/>
      <c r="AL7" s="2071"/>
      <c r="AM7" s="2071"/>
      <c r="AN7" s="2071"/>
      <c r="AO7" s="2071"/>
      <c r="AP7" s="2071"/>
      <c r="AQ7" s="2071"/>
      <c r="AR7" s="2071"/>
      <c r="AS7" s="2071"/>
      <c r="AT7" s="2071"/>
      <c r="AU7" s="2071"/>
      <c r="AV7" s="2071"/>
      <c r="AW7" s="2071"/>
      <c r="AX7" s="2071"/>
      <c r="AY7" s="2071"/>
      <c r="AZ7" s="2071"/>
      <c r="BA7" s="2071"/>
      <c r="BB7" s="2071"/>
      <c r="BC7" s="2071"/>
      <c r="BD7" s="2071"/>
      <c r="BE7" s="2071"/>
      <c r="BF7" s="2071"/>
      <c r="BG7" s="2071"/>
      <c r="BH7" s="2071"/>
      <c r="BI7" s="2071"/>
      <c r="BJ7" s="2071"/>
      <c r="BK7" s="2071"/>
      <c r="BL7" s="2071"/>
      <c r="BM7" s="2071"/>
      <c r="BN7" s="2071"/>
      <c r="BO7" s="2071"/>
      <c r="BP7" s="2071"/>
      <c r="BQ7" s="2071"/>
      <c r="BR7" s="2071"/>
      <c r="BS7" s="2071"/>
      <c r="BT7" s="2071"/>
      <c r="BU7" s="2071"/>
      <c r="BV7" s="2071"/>
      <c r="BW7" s="2071"/>
      <c r="BX7" s="2071"/>
      <c r="BY7" s="2071"/>
      <c r="BZ7" s="2071"/>
      <c r="CA7" s="2071"/>
      <c r="CB7" s="2071"/>
      <c r="CC7" s="2071"/>
      <c r="CD7" s="2071"/>
      <c r="CE7" s="2071"/>
      <c r="CF7" s="2071"/>
      <c r="CG7" s="2071"/>
      <c r="CH7" s="2071"/>
      <c r="CI7" s="2071"/>
      <c r="CJ7" s="2071"/>
      <c r="CK7" s="2071"/>
      <c r="CL7" s="2071"/>
      <c r="CM7" s="2071"/>
      <c r="CN7" s="2071"/>
      <c r="CO7" s="2071"/>
      <c r="CP7" s="2071"/>
      <c r="CQ7" s="2071"/>
      <c r="CR7" s="2071"/>
      <c r="CS7" s="2071"/>
      <c r="CT7" s="2071"/>
      <c r="CU7" s="2071"/>
      <c r="CV7" s="2071"/>
      <c r="CW7" s="2071"/>
      <c r="CX7" s="2071"/>
      <c r="CY7" s="2071"/>
      <c r="CZ7" s="2071"/>
      <c r="DA7" s="2071"/>
      <c r="DB7" s="2071"/>
      <c r="DC7" s="2071"/>
      <c r="DD7" s="2071"/>
      <c r="DE7" s="2071"/>
      <c r="DF7" s="2071"/>
      <c r="DG7" s="2071"/>
      <c r="DH7" s="2071"/>
      <c r="DI7" s="2071"/>
      <c r="DJ7" s="2071"/>
      <c r="DK7" s="2071"/>
      <c r="DL7" s="2071"/>
      <c r="DM7" s="2071"/>
      <c r="DN7" s="2071"/>
      <c r="DO7" s="2071"/>
      <c r="DP7" s="2071"/>
      <c r="DQ7" s="2071"/>
      <c r="DR7" s="2071"/>
      <c r="DS7" s="2071"/>
      <c r="DT7" s="2071"/>
      <c r="DU7" s="2071"/>
      <c r="DV7" s="2071"/>
      <c r="DW7" s="2071"/>
      <c r="DX7" s="2071"/>
      <c r="DY7" s="2071"/>
      <c r="DZ7" s="2071"/>
      <c r="EA7" s="2071"/>
      <c r="EB7" s="2071"/>
      <c r="EC7" s="2071"/>
      <c r="ED7" s="2071"/>
      <c r="EE7" s="2071"/>
      <c r="EF7" s="2071"/>
      <c r="EG7" s="2071"/>
      <c r="EH7" s="2071"/>
      <c r="EI7" s="2071"/>
      <c r="EJ7" s="2071"/>
      <c r="EK7" s="2071"/>
      <c r="EL7" s="2071"/>
      <c r="EM7" s="2071"/>
      <c r="EN7" s="2071"/>
      <c r="EO7" s="2071"/>
      <c r="EP7" s="2071"/>
      <c r="EQ7" s="2071"/>
      <c r="ER7" s="2071"/>
      <c r="ES7" s="2071"/>
      <c r="ET7" s="2071"/>
      <c r="EU7" s="2071"/>
      <c r="EV7" s="2071"/>
      <c r="EW7" s="2071"/>
      <c r="EX7" s="2071"/>
      <c r="EY7" s="2071"/>
      <c r="EZ7" s="2071"/>
      <c r="FA7" s="2071"/>
      <c r="FB7" s="2071"/>
      <c r="FC7" s="2071"/>
      <c r="FD7" s="2071"/>
      <c r="FE7" s="2071"/>
      <c r="FF7" s="2071"/>
      <c r="FG7" s="2071"/>
      <c r="FH7" s="2071"/>
      <c r="FI7" s="2071"/>
      <c r="FJ7" s="2071"/>
      <c r="FK7" s="2071"/>
      <c r="FL7" s="2071"/>
      <c r="FM7" s="2071"/>
      <c r="FN7" s="2071"/>
      <c r="FO7" s="2071"/>
      <c r="FP7" s="2071"/>
      <c r="FQ7" s="2071"/>
      <c r="FR7" s="2071"/>
      <c r="FS7" s="2071"/>
      <c r="FT7" s="2071"/>
      <c r="FU7" s="2071"/>
      <c r="FV7" s="2071"/>
      <c r="FW7" s="2071"/>
      <c r="FX7" s="2071"/>
      <c r="FY7" s="2071"/>
      <c r="FZ7" s="2071"/>
      <c r="GA7" s="2071"/>
      <c r="GB7" s="2071"/>
      <c r="GC7" s="2071"/>
      <c r="GD7" s="2071"/>
      <c r="GE7" s="2071"/>
      <c r="GF7" s="2071"/>
      <c r="GG7" s="2071"/>
      <c r="GH7" s="2071"/>
      <c r="GI7" s="2071"/>
      <c r="GJ7" s="2071"/>
      <c r="GK7" s="2071"/>
      <c r="GL7" s="2071"/>
      <c r="GM7" s="2071"/>
      <c r="GN7" s="2071"/>
      <c r="GO7" s="2071"/>
      <c r="GP7" s="2071"/>
      <c r="GQ7" s="2071"/>
      <c r="GR7" s="2071"/>
      <c r="GS7" s="2071"/>
      <c r="GT7" s="2071"/>
      <c r="GU7" s="2071"/>
      <c r="GV7" s="2071"/>
      <c r="GW7" s="2071"/>
      <c r="GX7" s="2071"/>
      <c r="GY7" s="2071"/>
      <c r="GZ7" s="2071"/>
      <c r="HA7" s="2071"/>
      <c r="HB7" s="2071"/>
      <c r="HC7" s="2071"/>
      <c r="HD7" s="2071"/>
      <c r="HE7" s="2071"/>
      <c r="HF7" s="2071"/>
      <c r="HG7" s="2071"/>
      <c r="HH7" s="2071"/>
      <c r="HI7" s="2071"/>
      <c r="HJ7" s="2071"/>
      <c r="HK7" s="2071"/>
      <c r="HL7" s="2071"/>
      <c r="HM7" s="2071"/>
      <c r="HN7" s="2071"/>
      <c r="HO7" s="2071"/>
      <c r="HP7" s="2071"/>
      <c r="HQ7" s="2071"/>
      <c r="HR7" s="2071"/>
      <c r="HS7" s="2071"/>
      <c r="HT7" s="2071"/>
      <c r="HU7" s="2071"/>
      <c r="HV7" s="2071"/>
      <c r="HW7" s="2071"/>
      <c r="HX7" s="2071"/>
      <c r="HY7" s="2071"/>
      <c r="HZ7" s="2071"/>
      <c r="IA7" s="2071"/>
      <c r="IB7" s="2071"/>
      <c r="IC7" s="2071"/>
      <c r="ID7" s="2071"/>
      <c r="IE7" s="2071"/>
      <c r="IF7" s="2071"/>
      <c r="IG7" s="2071"/>
      <c r="IH7" s="2071"/>
      <c r="II7" s="2071"/>
      <c r="IJ7" s="2071"/>
      <c r="IK7" s="2071"/>
      <c r="IL7" s="2071"/>
      <c r="IM7" s="2071"/>
      <c r="IN7" s="2071"/>
    </row>
    <row r="8" spans="1:248">
      <c r="A8" s="2051" t="s">
        <v>202</v>
      </c>
      <c r="B8" s="2052">
        <f>审定资负表!C10</f>
        <v>21581677.38</v>
      </c>
      <c r="C8" s="2052">
        <f>审定资负表!D10</f>
        <v>26136913.6</v>
      </c>
      <c r="D8" s="2053">
        <f t="shared" si="0"/>
        <v>0.0444727524195038</v>
      </c>
      <c r="E8" s="2054">
        <f t="shared" si="1"/>
        <v>-4555236.22</v>
      </c>
      <c r="F8" s="2055">
        <f t="shared" si="2"/>
        <v>-0.1743</v>
      </c>
      <c r="G8" s="2056"/>
      <c r="H8" s="2057" t="str">
        <f>IF(报表附注!F207=0,"相符","不相符")</f>
        <v>相符</v>
      </c>
      <c r="I8" s="2057" t="str">
        <f>IF(报表附注!J207=0,"相符","不相符")</f>
        <v>相符</v>
      </c>
      <c r="J8" s="2072" t="s">
        <v>1922</v>
      </c>
      <c r="K8" s="2054"/>
      <c r="L8" s="2071"/>
      <c r="M8" s="2071"/>
      <c r="N8" s="2071"/>
      <c r="O8" s="2071"/>
      <c r="P8" s="2071"/>
      <c r="Q8" s="2071"/>
      <c r="R8" s="2071"/>
      <c r="S8" s="2071"/>
      <c r="T8" s="2071"/>
      <c r="U8" s="2071"/>
      <c r="V8" s="2071"/>
      <c r="W8" s="2071"/>
      <c r="X8" s="2071"/>
      <c r="Y8" s="2071"/>
      <c r="Z8" s="2071"/>
      <c r="AA8" s="2071"/>
      <c r="AB8" s="2071"/>
      <c r="AC8" s="2071"/>
      <c r="AD8" s="2071"/>
      <c r="AE8" s="2071"/>
      <c r="AF8" s="2071"/>
      <c r="AG8" s="2071"/>
      <c r="AH8" s="2071"/>
      <c r="AI8" s="2071"/>
      <c r="AJ8" s="2071"/>
      <c r="AK8" s="2071"/>
      <c r="AL8" s="2071"/>
      <c r="AM8" s="2071"/>
      <c r="AN8" s="2071"/>
      <c r="AO8" s="2071"/>
      <c r="AP8" s="2071"/>
      <c r="AQ8" s="2071"/>
      <c r="AR8" s="2071"/>
      <c r="AS8" s="2071"/>
      <c r="AT8" s="2071"/>
      <c r="AU8" s="2071"/>
      <c r="AV8" s="2071"/>
      <c r="AW8" s="2071"/>
      <c r="AX8" s="2071"/>
      <c r="AY8" s="2071"/>
      <c r="AZ8" s="2071"/>
      <c r="BA8" s="2071"/>
      <c r="BB8" s="2071"/>
      <c r="BC8" s="2071"/>
      <c r="BD8" s="2071"/>
      <c r="BE8" s="2071"/>
      <c r="BF8" s="2071"/>
      <c r="BG8" s="2071"/>
      <c r="BH8" s="2071"/>
      <c r="BI8" s="2071"/>
      <c r="BJ8" s="2071"/>
      <c r="BK8" s="2071"/>
      <c r="BL8" s="2071"/>
      <c r="BM8" s="2071"/>
      <c r="BN8" s="2071"/>
      <c r="BO8" s="2071"/>
      <c r="BP8" s="2071"/>
      <c r="BQ8" s="2071"/>
      <c r="BR8" s="2071"/>
      <c r="BS8" s="2071"/>
      <c r="BT8" s="2071"/>
      <c r="BU8" s="2071"/>
      <c r="BV8" s="2071"/>
      <c r="BW8" s="2071"/>
      <c r="BX8" s="2071"/>
      <c r="BY8" s="2071"/>
      <c r="BZ8" s="2071"/>
      <c r="CA8" s="2071"/>
      <c r="CB8" s="2071"/>
      <c r="CC8" s="2071"/>
      <c r="CD8" s="2071"/>
      <c r="CE8" s="2071"/>
      <c r="CF8" s="2071"/>
      <c r="CG8" s="2071"/>
      <c r="CH8" s="2071"/>
      <c r="CI8" s="2071"/>
      <c r="CJ8" s="2071"/>
      <c r="CK8" s="2071"/>
      <c r="CL8" s="2071"/>
      <c r="CM8" s="2071"/>
      <c r="CN8" s="2071"/>
      <c r="CO8" s="2071"/>
      <c r="CP8" s="2071"/>
      <c r="CQ8" s="2071"/>
      <c r="CR8" s="2071"/>
      <c r="CS8" s="2071"/>
      <c r="CT8" s="2071"/>
      <c r="CU8" s="2071"/>
      <c r="CV8" s="2071"/>
      <c r="CW8" s="2071"/>
      <c r="CX8" s="2071"/>
      <c r="CY8" s="2071"/>
      <c r="CZ8" s="2071"/>
      <c r="DA8" s="2071"/>
      <c r="DB8" s="2071"/>
      <c r="DC8" s="2071"/>
      <c r="DD8" s="2071"/>
      <c r="DE8" s="2071"/>
      <c r="DF8" s="2071"/>
      <c r="DG8" s="2071"/>
      <c r="DH8" s="2071"/>
      <c r="DI8" s="2071"/>
      <c r="DJ8" s="2071"/>
      <c r="DK8" s="2071"/>
      <c r="DL8" s="2071"/>
      <c r="DM8" s="2071"/>
      <c r="DN8" s="2071"/>
      <c r="DO8" s="2071"/>
      <c r="DP8" s="2071"/>
      <c r="DQ8" s="2071"/>
      <c r="DR8" s="2071"/>
      <c r="DS8" s="2071"/>
      <c r="DT8" s="2071"/>
      <c r="DU8" s="2071"/>
      <c r="DV8" s="2071"/>
      <c r="DW8" s="2071"/>
      <c r="DX8" s="2071"/>
      <c r="DY8" s="2071"/>
      <c r="DZ8" s="2071"/>
      <c r="EA8" s="2071"/>
      <c r="EB8" s="2071"/>
      <c r="EC8" s="2071"/>
      <c r="ED8" s="2071"/>
      <c r="EE8" s="2071"/>
      <c r="EF8" s="2071"/>
      <c r="EG8" s="2071"/>
      <c r="EH8" s="2071"/>
      <c r="EI8" s="2071"/>
      <c r="EJ8" s="2071"/>
      <c r="EK8" s="2071"/>
      <c r="EL8" s="2071"/>
      <c r="EM8" s="2071"/>
      <c r="EN8" s="2071"/>
      <c r="EO8" s="2071"/>
      <c r="EP8" s="2071"/>
      <c r="EQ8" s="2071"/>
      <c r="ER8" s="2071"/>
      <c r="ES8" s="2071"/>
      <c r="ET8" s="2071"/>
      <c r="EU8" s="2071"/>
      <c r="EV8" s="2071"/>
      <c r="EW8" s="2071"/>
      <c r="EX8" s="2071"/>
      <c r="EY8" s="2071"/>
      <c r="EZ8" s="2071"/>
      <c r="FA8" s="2071"/>
      <c r="FB8" s="2071"/>
      <c r="FC8" s="2071"/>
      <c r="FD8" s="2071"/>
      <c r="FE8" s="2071"/>
      <c r="FF8" s="2071"/>
      <c r="FG8" s="2071"/>
      <c r="FH8" s="2071"/>
      <c r="FI8" s="2071"/>
      <c r="FJ8" s="2071"/>
      <c r="FK8" s="2071"/>
      <c r="FL8" s="2071"/>
      <c r="FM8" s="2071"/>
      <c r="FN8" s="2071"/>
      <c r="FO8" s="2071"/>
      <c r="FP8" s="2071"/>
      <c r="FQ8" s="2071"/>
      <c r="FR8" s="2071"/>
      <c r="FS8" s="2071"/>
      <c r="FT8" s="2071"/>
      <c r="FU8" s="2071"/>
      <c r="FV8" s="2071"/>
      <c r="FW8" s="2071"/>
      <c r="FX8" s="2071"/>
      <c r="FY8" s="2071"/>
      <c r="FZ8" s="2071"/>
      <c r="GA8" s="2071"/>
      <c r="GB8" s="2071"/>
      <c r="GC8" s="2071"/>
      <c r="GD8" s="2071"/>
      <c r="GE8" s="2071"/>
      <c r="GF8" s="2071"/>
      <c r="GG8" s="2071"/>
      <c r="GH8" s="2071"/>
      <c r="GI8" s="2071"/>
      <c r="GJ8" s="2071"/>
      <c r="GK8" s="2071"/>
      <c r="GL8" s="2071"/>
      <c r="GM8" s="2071"/>
      <c r="GN8" s="2071"/>
      <c r="GO8" s="2071"/>
      <c r="GP8" s="2071"/>
      <c r="GQ8" s="2071"/>
      <c r="GR8" s="2071"/>
      <c r="GS8" s="2071"/>
      <c r="GT8" s="2071"/>
      <c r="GU8" s="2071"/>
      <c r="GV8" s="2071"/>
      <c r="GW8" s="2071"/>
      <c r="GX8" s="2071"/>
      <c r="GY8" s="2071"/>
      <c r="GZ8" s="2071"/>
      <c r="HA8" s="2071"/>
      <c r="HB8" s="2071"/>
      <c r="HC8" s="2071"/>
      <c r="HD8" s="2071"/>
      <c r="HE8" s="2071"/>
      <c r="HF8" s="2071"/>
      <c r="HG8" s="2071"/>
      <c r="HH8" s="2071"/>
      <c r="HI8" s="2071"/>
      <c r="HJ8" s="2071"/>
      <c r="HK8" s="2071"/>
      <c r="HL8" s="2071"/>
      <c r="HM8" s="2071"/>
      <c r="HN8" s="2071"/>
      <c r="HO8" s="2071"/>
      <c r="HP8" s="2071"/>
      <c r="HQ8" s="2071"/>
      <c r="HR8" s="2071"/>
      <c r="HS8" s="2071"/>
      <c r="HT8" s="2071"/>
      <c r="HU8" s="2071"/>
      <c r="HV8" s="2071"/>
      <c r="HW8" s="2071"/>
      <c r="HX8" s="2071"/>
      <c r="HY8" s="2071"/>
      <c r="HZ8" s="2071"/>
      <c r="IA8" s="2071"/>
      <c r="IB8" s="2071"/>
      <c r="IC8" s="2071"/>
      <c r="ID8" s="2071"/>
      <c r="IE8" s="2071"/>
      <c r="IF8" s="2071"/>
      <c r="IG8" s="2071"/>
      <c r="IH8" s="2071"/>
      <c r="II8" s="2071"/>
      <c r="IJ8" s="2071"/>
      <c r="IK8" s="2071"/>
      <c r="IL8" s="2071"/>
      <c r="IM8" s="2071"/>
      <c r="IN8" s="2071"/>
    </row>
    <row r="9" spans="1:248">
      <c r="A9" s="2051" t="s">
        <v>204</v>
      </c>
      <c r="B9" s="2052">
        <f>审定资负表!C11</f>
        <v>1579739.99</v>
      </c>
      <c r="C9" s="2052">
        <f>审定资负表!D11</f>
        <v>2096781.42</v>
      </c>
      <c r="D9" s="2053">
        <f t="shared" si="0"/>
        <v>0.00325532553496355</v>
      </c>
      <c r="E9" s="2054">
        <f t="shared" si="1"/>
        <v>-517041.43</v>
      </c>
      <c r="F9" s="2055">
        <f t="shared" si="2"/>
        <v>-0.2466</v>
      </c>
      <c r="G9" s="2056"/>
      <c r="H9" s="2057" t="str">
        <f>IF(报表附注!F508=0,"相符","不相符")</f>
        <v>相符</v>
      </c>
      <c r="I9" s="2057" t="str">
        <f>IF(报表附注!H508=0,"相符","不相符")</f>
        <v>相符</v>
      </c>
      <c r="J9" s="2072" t="s">
        <v>1925</v>
      </c>
      <c r="K9" s="2071"/>
      <c r="L9" s="2071"/>
      <c r="M9" s="2071"/>
      <c r="N9" s="2071"/>
      <c r="O9" s="2071"/>
      <c r="P9" s="2071"/>
      <c r="Q9" s="2071"/>
      <c r="R9" s="2071"/>
      <c r="S9" s="2071"/>
      <c r="T9" s="2071"/>
      <c r="U9" s="2071"/>
      <c r="V9" s="2071"/>
      <c r="W9" s="2071"/>
      <c r="X9" s="2071"/>
      <c r="Y9" s="2071"/>
      <c r="Z9" s="2071"/>
      <c r="AA9" s="2071"/>
      <c r="AB9" s="2071"/>
      <c r="AC9" s="2071"/>
      <c r="AD9" s="2071"/>
      <c r="AE9" s="2071"/>
      <c r="AF9" s="2071"/>
      <c r="AG9" s="2071"/>
      <c r="AH9" s="2071"/>
      <c r="AI9" s="2071"/>
      <c r="AJ9" s="2071"/>
      <c r="AK9" s="2071"/>
      <c r="AL9" s="2071"/>
      <c r="AM9" s="2071"/>
      <c r="AN9" s="2071"/>
      <c r="AO9" s="2071"/>
      <c r="AP9" s="2071"/>
      <c r="AQ9" s="2071"/>
      <c r="AR9" s="2071"/>
      <c r="AS9" s="2071"/>
      <c r="AT9" s="2071"/>
      <c r="AU9" s="2071"/>
      <c r="AV9" s="2071"/>
      <c r="AW9" s="2071"/>
      <c r="AX9" s="2071"/>
      <c r="AY9" s="2071"/>
      <c r="AZ9" s="2071"/>
      <c r="BA9" s="2071"/>
      <c r="BB9" s="2071"/>
      <c r="BC9" s="2071"/>
      <c r="BD9" s="2071"/>
      <c r="BE9" s="2071"/>
      <c r="BF9" s="2071"/>
      <c r="BG9" s="2071"/>
      <c r="BH9" s="2071"/>
      <c r="BI9" s="2071"/>
      <c r="BJ9" s="2071"/>
      <c r="BK9" s="2071"/>
      <c r="BL9" s="2071"/>
      <c r="BM9" s="2071"/>
      <c r="BN9" s="2071"/>
      <c r="BO9" s="2071"/>
      <c r="BP9" s="2071"/>
      <c r="BQ9" s="2071"/>
      <c r="BR9" s="2071"/>
      <c r="BS9" s="2071"/>
      <c r="BT9" s="2071"/>
      <c r="BU9" s="2071"/>
      <c r="BV9" s="2071"/>
      <c r="BW9" s="2071"/>
      <c r="BX9" s="2071"/>
      <c r="BY9" s="2071"/>
      <c r="BZ9" s="2071"/>
      <c r="CA9" s="2071"/>
      <c r="CB9" s="2071"/>
      <c r="CC9" s="2071"/>
      <c r="CD9" s="2071"/>
      <c r="CE9" s="2071"/>
      <c r="CF9" s="2071"/>
      <c r="CG9" s="2071"/>
      <c r="CH9" s="2071"/>
      <c r="CI9" s="2071"/>
      <c r="CJ9" s="2071"/>
      <c r="CK9" s="2071"/>
      <c r="CL9" s="2071"/>
      <c r="CM9" s="2071"/>
      <c r="CN9" s="2071"/>
      <c r="CO9" s="2071"/>
      <c r="CP9" s="2071"/>
      <c r="CQ9" s="2071"/>
      <c r="CR9" s="2071"/>
      <c r="CS9" s="2071"/>
      <c r="CT9" s="2071"/>
      <c r="CU9" s="2071"/>
      <c r="CV9" s="2071"/>
      <c r="CW9" s="2071"/>
      <c r="CX9" s="2071"/>
      <c r="CY9" s="2071"/>
      <c r="CZ9" s="2071"/>
      <c r="DA9" s="2071"/>
      <c r="DB9" s="2071"/>
      <c r="DC9" s="2071"/>
      <c r="DD9" s="2071"/>
      <c r="DE9" s="2071"/>
      <c r="DF9" s="2071"/>
      <c r="DG9" s="2071"/>
      <c r="DH9" s="2071"/>
      <c r="DI9" s="2071"/>
      <c r="DJ9" s="2071"/>
      <c r="DK9" s="2071"/>
      <c r="DL9" s="2071"/>
      <c r="DM9" s="2071"/>
      <c r="DN9" s="2071"/>
      <c r="DO9" s="2071"/>
      <c r="DP9" s="2071"/>
      <c r="DQ9" s="2071"/>
      <c r="DR9" s="2071"/>
      <c r="DS9" s="2071"/>
      <c r="DT9" s="2071"/>
      <c r="DU9" s="2071"/>
      <c r="DV9" s="2071"/>
      <c r="DW9" s="2071"/>
      <c r="DX9" s="2071"/>
      <c r="DY9" s="2071"/>
      <c r="DZ9" s="2071"/>
      <c r="EA9" s="2071"/>
      <c r="EB9" s="2071"/>
      <c r="EC9" s="2071"/>
      <c r="ED9" s="2071"/>
      <c r="EE9" s="2071"/>
      <c r="EF9" s="2071"/>
      <c r="EG9" s="2071"/>
      <c r="EH9" s="2071"/>
      <c r="EI9" s="2071"/>
      <c r="EJ9" s="2071"/>
      <c r="EK9" s="2071"/>
      <c r="EL9" s="2071"/>
      <c r="EM9" s="2071"/>
      <c r="EN9" s="2071"/>
      <c r="EO9" s="2071"/>
      <c r="EP9" s="2071"/>
      <c r="EQ9" s="2071"/>
      <c r="ER9" s="2071"/>
      <c r="ES9" s="2071"/>
      <c r="ET9" s="2071"/>
      <c r="EU9" s="2071"/>
      <c r="EV9" s="2071"/>
      <c r="EW9" s="2071"/>
      <c r="EX9" s="2071"/>
      <c r="EY9" s="2071"/>
      <c r="EZ9" s="2071"/>
      <c r="FA9" s="2071"/>
      <c r="FB9" s="2071"/>
      <c r="FC9" s="2071"/>
      <c r="FD9" s="2071"/>
      <c r="FE9" s="2071"/>
      <c r="FF9" s="2071"/>
      <c r="FG9" s="2071"/>
      <c r="FH9" s="2071"/>
      <c r="FI9" s="2071"/>
      <c r="FJ9" s="2071"/>
      <c r="FK9" s="2071"/>
      <c r="FL9" s="2071"/>
      <c r="FM9" s="2071"/>
      <c r="FN9" s="2071"/>
      <c r="FO9" s="2071"/>
      <c r="FP9" s="2071"/>
      <c r="FQ9" s="2071"/>
      <c r="FR9" s="2071"/>
      <c r="FS9" s="2071"/>
      <c r="FT9" s="2071"/>
      <c r="FU9" s="2071"/>
      <c r="FV9" s="2071"/>
      <c r="FW9" s="2071"/>
      <c r="FX9" s="2071"/>
      <c r="FY9" s="2071"/>
      <c r="FZ9" s="2071"/>
      <c r="GA9" s="2071"/>
      <c r="GB9" s="2071"/>
      <c r="GC9" s="2071"/>
      <c r="GD9" s="2071"/>
      <c r="GE9" s="2071"/>
      <c r="GF9" s="2071"/>
      <c r="GG9" s="2071"/>
      <c r="GH9" s="2071"/>
      <c r="GI9" s="2071"/>
      <c r="GJ9" s="2071"/>
      <c r="GK9" s="2071"/>
      <c r="GL9" s="2071"/>
      <c r="GM9" s="2071"/>
      <c r="GN9" s="2071"/>
      <c r="GO9" s="2071"/>
      <c r="GP9" s="2071"/>
      <c r="GQ9" s="2071"/>
      <c r="GR9" s="2071"/>
      <c r="GS9" s="2071"/>
      <c r="GT9" s="2071"/>
      <c r="GU9" s="2071"/>
      <c r="GV9" s="2071"/>
      <c r="GW9" s="2071"/>
      <c r="GX9" s="2071"/>
      <c r="GY9" s="2071"/>
      <c r="GZ9" s="2071"/>
      <c r="HA9" s="2071"/>
      <c r="HB9" s="2071"/>
      <c r="HC9" s="2071"/>
      <c r="HD9" s="2071"/>
      <c r="HE9" s="2071"/>
      <c r="HF9" s="2071"/>
      <c r="HG9" s="2071"/>
      <c r="HH9" s="2071"/>
      <c r="HI9" s="2071"/>
      <c r="HJ9" s="2071"/>
      <c r="HK9" s="2071"/>
      <c r="HL9" s="2071"/>
      <c r="HM9" s="2071"/>
      <c r="HN9" s="2071"/>
      <c r="HO9" s="2071"/>
      <c r="HP9" s="2071"/>
      <c r="HQ9" s="2071"/>
      <c r="HR9" s="2071"/>
      <c r="HS9" s="2071"/>
      <c r="HT9" s="2071"/>
      <c r="HU9" s="2071"/>
      <c r="HV9" s="2071"/>
      <c r="HW9" s="2071"/>
      <c r="HX9" s="2071"/>
      <c r="HY9" s="2071"/>
      <c r="HZ9" s="2071"/>
      <c r="IA9" s="2071"/>
      <c r="IB9" s="2071"/>
      <c r="IC9" s="2071"/>
      <c r="ID9" s="2071"/>
      <c r="IE9" s="2071"/>
      <c r="IF9" s="2071"/>
      <c r="IG9" s="2071"/>
      <c r="IH9" s="2071"/>
      <c r="II9" s="2071"/>
      <c r="IJ9" s="2071"/>
      <c r="IK9" s="2071"/>
      <c r="IL9" s="2071"/>
      <c r="IM9" s="2071"/>
      <c r="IN9" s="2071"/>
    </row>
    <row r="10" spans="1:248">
      <c r="A10" s="2051" t="s">
        <v>206</v>
      </c>
      <c r="B10" s="2052">
        <f>审定资负表!C12</f>
        <v>5230925.94</v>
      </c>
      <c r="C10" s="2052">
        <f>审定资负表!D12</f>
        <v>5230925.94</v>
      </c>
      <c r="D10" s="2053">
        <f t="shared" si="0"/>
        <v>0.0107792211957521</v>
      </c>
      <c r="E10" s="2054">
        <f t="shared" si="1"/>
        <v>0</v>
      </c>
      <c r="F10" s="2055">
        <f t="shared" si="2"/>
        <v>0</v>
      </c>
      <c r="G10" s="2056"/>
      <c r="H10" s="2057" t="str">
        <f>IF(报表附注!I182=0,"相符","不相符")</f>
        <v>相符</v>
      </c>
      <c r="I10" s="2057" t="str">
        <f>IF(报表附注!F182=0,"相符","不相符")</f>
        <v>相符</v>
      </c>
      <c r="J10" s="2070" t="s">
        <v>1927</v>
      </c>
      <c r="K10" s="2071"/>
      <c r="L10" s="2071"/>
      <c r="M10" s="2071"/>
      <c r="N10" s="2071"/>
      <c r="O10" s="2071"/>
      <c r="P10" s="2071"/>
      <c r="Q10" s="2071"/>
      <c r="R10" s="2071"/>
      <c r="S10" s="2071"/>
      <c r="T10" s="2071"/>
      <c r="U10" s="2071"/>
      <c r="V10" s="2071"/>
      <c r="W10" s="2071"/>
      <c r="X10" s="2071"/>
      <c r="Y10" s="2071"/>
      <c r="Z10" s="2071"/>
      <c r="AA10" s="2071"/>
      <c r="AB10" s="2071"/>
      <c r="AC10" s="2071"/>
      <c r="AD10" s="2071"/>
      <c r="AE10" s="2071"/>
      <c r="AF10" s="2071"/>
      <c r="AG10" s="2071"/>
      <c r="AH10" s="2071"/>
      <c r="AI10" s="2071"/>
      <c r="AJ10" s="2071"/>
      <c r="AK10" s="2071"/>
      <c r="AL10" s="2071"/>
      <c r="AM10" s="2071"/>
      <c r="AN10" s="2071"/>
      <c r="AO10" s="2071"/>
      <c r="AP10" s="2071"/>
      <c r="AQ10" s="2071"/>
      <c r="AR10" s="2071"/>
      <c r="AS10" s="2071"/>
      <c r="AT10" s="2071"/>
      <c r="AU10" s="2071"/>
      <c r="AV10" s="2071"/>
      <c r="AW10" s="2071"/>
      <c r="AX10" s="2071"/>
      <c r="AY10" s="2071"/>
      <c r="AZ10" s="2071"/>
      <c r="BA10" s="2071"/>
      <c r="BB10" s="2071"/>
      <c r="BC10" s="2071"/>
      <c r="BD10" s="2071"/>
      <c r="BE10" s="2071"/>
      <c r="BF10" s="2071"/>
      <c r="BG10" s="2071"/>
      <c r="BH10" s="2071"/>
      <c r="BI10" s="2071"/>
      <c r="BJ10" s="2071"/>
      <c r="BK10" s="2071"/>
      <c r="BL10" s="2071"/>
      <c r="BM10" s="2071"/>
      <c r="BN10" s="2071"/>
      <c r="BO10" s="2071"/>
      <c r="BP10" s="2071"/>
      <c r="BQ10" s="2071"/>
      <c r="BR10" s="2071"/>
      <c r="BS10" s="2071"/>
      <c r="BT10" s="2071"/>
      <c r="BU10" s="2071"/>
      <c r="BV10" s="2071"/>
      <c r="BW10" s="2071"/>
      <c r="BX10" s="2071"/>
      <c r="BY10" s="2071"/>
      <c r="BZ10" s="2071"/>
      <c r="CA10" s="2071"/>
      <c r="CB10" s="2071"/>
      <c r="CC10" s="2071"/>
      <c r="CD10" s="2071"/>
      <c r="CE10" s="2071"/>
      <c r="CF10" s="2071"/>
      <c r="CG10" s="2071"/>
      <c r="CH10" s="2071"/>
      <c r="CI10" s="2071"/>
      <c r="CJ10" s="2071"/>
      <c r="CK10" s="2071"/>
      <c r="CL10" s="2071"/>
      <c r="CM10" s="2071"/>
      <c r="CN10" s="2071"/>
      <c r="CO10" s="2071"/>
      <c r="CP10" s="2071"/>
      <c r="CQ10" s="2071"/>
      <c r="CR10" s="2071"/>
      <c r="CS10" s="2071"/>
      <c r="CT10" s="2071"/>
      <c r="CU10" s="2071"/>
      <c r="CV10" s="2071"/>
      <c r="CW10" s="2071"/>
      <c r="CX10" s="2071"/>
      <c r="CY10" s="2071"/>
      <c r="CZ10" s="2071"/>
      <c r="DA10" s="2071"/>
      <c r="DB10" s="2071"/>
      <c r="DC10" s="2071"/>
      <c r="DD10" s="2071"/>
      <c r="DE10" s="2071"/>
      <c r="DF10" s="2071"/>
      <c r="DG10" s="2071"/>
      <c r="DH10" s="2071"/>
      <c r="DI10" s="2071"/>
      <c r="DJ10" s="2071"/>
      <c r="DK10" s="2071"/>
      <c r="DL10" s="2071"/>
      <c r="DM10" s="2071"/>
      <c r="DN10" s="2071"/>
      <c r="DO10" s="2071"/>
      <c r="DP10" s="2071"/>
      <c r="DQ10" s="2071"/>
      <c r="DR10" s="2071"/>
      <c r="DS10" s="2071"/>
      <c r="DT10" s="2071"/>
      <c r="DU10" s="2071"/>
      <c r="DV10" s="2071"/>
      <c r="DW10" s="2071"/>
      <c r="DX10" s="2071"/>
      <c r="DY10" s="2071"/>
      <c r="DZ10" s="2071"/>
      <c r="EA10" s="2071"/>
      <c r="EB10" s="2071"/>
      <c r="EC10" s="2071"/>
      <c r="ED10" s="2071"/>
      <c r="EE10" s="2071"/>
      <c r="EF10" s="2071"/>
      <c r="EG10" s="2071"/>
      <c r="EH10" s="2071"/>
      <c r="EI10" s="2071"/>
      <c r="EJ10" s="2071"/>
      <c r="EK10" s="2071"/>
      <c r="EL10" s="2071"/>
      <c r="EM10" s="2071"/>
      <c r="EN10" s="2071"/>
      <c r="EO10" s="2071"/>
      <c r="EP10" s="2071"/>
      <c r="EQ10" s="2071"/>
      <c r="ER10" s="2071"/>
      <c r="ES10" s="2071"/>
      <c r="ET10" s="2071"/>
      <c r="EU10" s="2071"/>
      <c r="EV10" s="2071"/>
      <c r="EW10" s="2071"/>
      <c r="EX10" s="2071"/>
      <c r="EY10" s="2071"/>
      <c r="EZ10" s="2071"/>
      <c r="FA10" s="2071"/>
      <c r="FB10" s="2071"/>
      <c r="FC10" s="2071"/>
      <c r="FD10" s="2071"/>
      <c r="FE10" s="2071"/>
      <c r="FF10" s="2071"/>
      <c r="FG10" s="2071"/>
      <c r="FH10" s="2071"/>
      <c r="FI10" s="2071"/>
      <c r="FJ10" s="2071"/>
      <c r="FK10" s="2071"/>
      <c r="FL10" s="2071"/>
      <c r="FM10" s="2071"/>
      <c r="FN10" s="2071"/>
      <c r="FO10" s="2071"/>
      <c r="FP10" s="2071"/>
      <c r="FQ10" s="2071"/>
      <c r="FR10" s="2071"/>
      <c r="FS10" s="2071"/>
      <c r="FT10" s="2071"/>
      <c r="FU10" s="2071"/>
      <c r="FV10" s="2071"/>
      <c r="FW10" s="2071"/>
      <c r="FX10" s="2071"/>
      <c r="FY10" s="2071"/>
      <c r="FZ10" s="2071"/>
      <c r="GA10" s="2071"/>
      <c r="GB10" s="2071"/>
      <c r="GC10" s="2071"/>
      <c r="GD10" s="2071"/>
      <c r="GE10" s="2071"/>
      <c r="GF10" s="2071"/>
      <c r="GG10" s="2071"/>
      <c r="GH10" s="2071"/>
      <c r="GI10" s="2071"/>
      <c r="GJ10" s="2071"/>
      <c r="GK10" s="2071"/>
      <c r="GL10" s="2071"/>
      <c r="GM10" s="2071"/>
      <c r="GN10" s="2071"/>
      <c r="GO10" s="2071"/>
      <c r="GP10" s="2071"/>
      <c r="GQ10" s="2071"/>
      <c r="GR10" s="2071"/>
      <c r="GS10" s="2071"/>
      <c r="GT10" s="2071"/>
      <c r="GU10" s="2071"/>
      <c r="GV10" s="2071"/>
      <c r="GW10" s="2071"/>
      <c r="GX10" s="2071"/>
      <c r="GY10" s="2071"/>
      <c r="GZ10" s="2071"/>
      <c r="HA10" s="2071"/>
      <c r="HB10" s="2071"/>
      <c r="HC10" s="2071"/>
      <c r="HD10" s="2071"/>
      <c r="HE10" s="2071"/>
      <c r="HF10" s="2071"/>
      <c r="HG10" s="2071"/>
      <c r="HH10" s="2071"/>
      <c r="HI10" s="2071"/>
      <c r="HJ10" s="2071"/>
      <c r="HK10" s="2071"/>
      <c r="HL10" s="2071"/>
      <c r="HM10" s="2071"/>
      <c r="HN10" s="2071"/>
      <c r="HO10" s="2071"/>
      <c r="HP10" s="2071"/>
      <c r="HQ10" s="2071"/>
      <c r="HR10" s="2071"/>
      <c r="HS10" s="2071"/>
      <c r="HT10" s="2071"/>
      <c r="HU10" s="2071"/>
      <c r="HV10" s="2071"/>
      <c r="HW10" s="2071"/>
      <c r="HX10" s="2071"/>
      <c r="HY10" s="2071"/>
      <c r="HZ10" s="2071"/>
      <c r="IA10" s="2071"/>
      <c r="IB10" s="2071"/>
      <c r="IC10" s="2071"/>
      <c r="ID10" s="2071"/>
      <c r="IE10" s="2071"/>
      <c r="IF10" s="2071"/>
      <c r="IG10" s="2071"/>
      <c r="IH10" s="2071"/>
      <c r="II10" s="2071"/>
      <c r="IJ10" s="2071"/>
      <c r="IK10" s="2071"/>
      <c r="IL10" s="2071"/>
      <c r="IM10" s="2071"/>
      <c r="IN10" s="2071"/>
    </row>
    <row r="11" spans="1:248">
      <c r="A11" s="2051" t="s">
        <v>208</v>
      </c>
      <c r="B11" s="2052">
        <f>审定资负表!C13</f>
        <v>0</v>
      </c>
      <c r="C11" s="2052">
        <f>审定资负表!D13</f>
        <v>0</v>
      </c>
      <c r="D11" s="2053" t="str">
        <f t="shared" si="0"/>
        <v> </v>
      </c>
      <c r="E11" s="2054">
        <f t="shared" si="1"/>
        <v>0</v>
      </c>
      <c r="F11" s="2055" t="str">
        <f t="shared" si="2"/>
        <v/>
      </c>
      <c r="G11" s="2056"/>
      <c r="H11" s="2057" t="str">
        <f>IF(报表附注!I151=0,"相符","不相符")</f>
        <v>相符</v>
      </c>
      <c r="I11" s="2057" t="str">
        <f>IF(报表附注!F151=0,"相符","不相符")</f>
        <v>相符</v>
      </c>
      <c r="J11" s="2070" t="s">
        <v>1929</v>
      </c>
      <c r="K11" s="2071"/>
      <c r="L11" s="2071"/>
      <c r="M11" s="2071"/>
      <c r="N11" s="2071"/>
      <c r="O11" s="2071"/>
      <c r="P11" s="2071"/>
      <c r="Q11" s="2071"/>
      <c r="R11" s="2071"/>
      <c r="S11" s="2071"/>
      <c r="T11" s="2071"/>
      <c r="U11" s="2071"/>
      <c r="V11" s="2071"/>
      <c r="W11" s="2071"/>
      <c r="X11" s="2071"/>
      <c r="Y11" s="2071"/>
      <c r="Z11" s="2071"/>
      <c r="AA11" s="2071"/>
      <c r="AB11" s="2071"/>
      <c r="AC11" s="2071"/>
      <c r="AD11" s="2071"/>
      <c r="AE11" s="2071"/>
      <c r="AF11" s="2071"/>
      <c r="AG11" s="2071"/>
      <c r="AH11" s="2071"/>
      <c r="AI11" s="2071"/>
      <c r="AJ11" s="2071"/>
      <c r="AK11" s="2071"/>
      <c r="AL11" s="2071"/>
      <c r="AM11" s="2071"/>
      <c r="AN11" s="2071"/>
      <c r="AO11" s="2071"/>
      <c r="AP11" s="2071"/>
      <c r="AQ11" s="2071"/>
      <c r="AR11" s="2071"/>
      <c r="AS11" s="2071"/>
      <c r="AT11" s="2071"/>
      <c r="AU11" s="2071"/>
      <c r="AV11" s="2071"/>
      <c r="AW11" s="2071"/>
      <c r="AX11" s="2071"/>
      <c r="AY11" s="2071"/>
      <c r="AZ11" s="2071"/>
      <c r="BA11" s="2071"/>
      <c r="BB11" s="2071"/>
      <c r="BC11" s="2071"/>
      <c r="BD11" s="2071"/>
      <c r="BE11" s="2071"/>
      <c r="BF11" s="2071"/>
      <c r="BG11" s="2071"/>
      <c r="BH11" s="2071"/>
      <c r="BI11" s="2071"/>
      <c r="BJ11" s="2071"/>
      <c r="BK11" s="2071"/>
      <c r="BL11" s="2071"/>
      <c r="BM11" s="2071"/>
      <c r="BN11" s="2071"/>
      <c r="BO11" s="2071"/>
      <c r="BP11" s="2071"/>
      <c r="BQ11" s="2071"/>
      <c r="BR11" s="2071"/>
      <c r="BS11" s="2071"/>
      <c r="BT11" s="2071"/>
      <c r="BU11" s="2071"/>
      <c r="BV11" s="2071"/>
      <c r="BW11" s="2071"/>
      <c r="BX11" s="2071"/>
      <c r="BY11" s="2071"/>
      <c r="BZ11" s="2071"/>
      <c r="CA11" s="2071"/>
      <c r="CB11" s="2071"/>
      <c r="CC11" s="2071"/>
      <c r="CD11" s="2071"/>
      <c r="CE11" s="2071"/>
      <c r="CF11" s="2071"/>
      <c r="CG11" s="2071"/>
      <c r="CH11" s="2071"/>
      <c r="CI11" s="2071"/>
      <c r="CJ11" s="2071"/>
      <c r="CK11" s="2071"/>
      <c r="CL11" s="2071"/>
      <c r="CM11" s="2071"/>
      <c r="CN11" s="2071"/>
      <c r="CO11" s="2071"/>
      <c r="CP11" s="2071"/>
      <c r="CQ11" s="2071"/>
      <c r="CR11" s="2071"/>
      <c r="CS11" s="2071"/>
      <c r="CT11" s="2071"/>
      <c r="CU11" s="2071"/>
      <c r="CV11" s="2071"/>
      <c r="CW11" s="2071"/>
      <c r="CX11" s="2071"/>
      <c r="CY11" s="2071"/>
      <c r="CZ11" s="2071"/>
      <c r="DA11" s="2071"/>
      <c r="DB11" s="2071"/>
      <c r="DC11" s="2071"/>
      <c r="DD11" s="2071"/>
      <c r="DE11" s="2071"/>
      <c r="DF11" s="2071"/>
      <c r="DG11" s="2071"/>
      <c r="DH11" s="2071"/>
      <c r="DI11" s="2071"/>
      <c r="DJ11" s="2071"/>
      <c r="DK11" s="2071"/>
      <c r="DL11" s="2071"/>
      <c r="DM11" s="2071"/>
      <c r="DN11" s="2071"/>
      <c r="DO11" s="2071"/>
      <c r="DP11" s="2071"/>
      <c r="DQ11" s="2071"/>
      <c r="DR11" s="2071"/>
      <c r="DS11" s="2071"/>
      <c r="DT11" s="2071"/>
      <c r="DU11" s="2071"/>
      <c r="DV11" s="2071"/>
      <c r="DW11" s="2071"/>
      <c r="DX11" s="2071"/>
      <c r="DY11" s="2071"/>
      <c r="DZ11" s="2071"/>
      <c r="EA11" s="2071"/>
      <c r="EB11" s="2071"/>
      <c r="EC11" s="2071"/>
      <c r="ED11" s="2071"/>
      <c r="EE11" s="2071"/>
      <c r="EF11" s="2071"/>
      <c r="EG11" s="2071"/>
      <c r="EH11" s="2071"/>
      <c r="EI11" s="2071"/>
      <c r="EJ11" s="2071"/>
      <c r="EK11" s="2071"/>
      <c r="EL11" s="2071"/>
      <c r="EM11" s="2071"/>
      <c r="EN11" s="2071"/>
      <c r="EO11" s="2071"/>
      <c r="EP11" s="2071"/>
      <c r="EQ11" s="2071"/>
      <c r="ER11" s="2071"/>
      <c r="ES11" s="2071"/>
      <c r="ET11" s="2071"/>
      <c r="EU11" s="2071"/>
      <c r="EV11" s="2071"/>
      <c r="EW11" s="2071"/>
      <c r="EX11" s="2071"/>
      <c r="EY11" s="2071"/>
      <c r="EZ11" s="2071"/>
      <c r="FA11" s="2071"/>
      <c r="FB11" s="2071"/>
      <c r="FC11" s="2071"/>
      <c r="FD11" s="2071"/>
      <c r="FE11" s="2071"/>
      <c r="FF11" s="2071"/>
      <c r="FG11" s="2071"/>
      <c r="FH11" s="2071"/>
      <c r="FI11" s="2071"/>
      <c r="FJ11" s="2071"/>
      <c r="FK11" s="2071"/>
      <c r="FL11" s="2071"/>
      <c r="FM11" s="2071"/>
      <c r="FN11" s="2071"/>
      <c r="FO11" s="2071"/>
      <c r="FP11" s="2071"/>
      <c r="FQ11" s="2071"/>
      <c r="FR11" s="2071"/>
      <c r="FS11" s="2071"/>
      <c r="FT11" s="2071"/>
      <c r="FU11" s="2071"/>
      <c r="FV11" s="2071"/>
      <c r="FW11" s="2071"/>
      <c r="FX11" s="2071"/>
      <c r="FY11" s="2071"/>
      <c r="FZ11" s="2071"/>
      <c r="GA11" s="2071"/>
      <c r="GB11" s="2071"/>
      <c r="GC11" s="2071"/>
      <c r="GD11" s="2071"/>
      <c r="GE11" s="2071"/>
      <c r="GF11" s="2071"/>
      <c r="GG11" s="2071"/>
      <c r="GH11" s="2071"/>
      <c r="GI11" s="2071"/>
      <c r="GJ11" s="2071"/>
      <c r="GK11" s="2071"/>
      <c r="GL11" s="2071"/>
      <c r="GM11" s="2071"/>
      <c r="GN11" s="2071"/>
      <c r="GO11" s="2071"/>
      <c r="GP11" s="2071"/>
      <c r="GQ11" s="2071"/>
      <c r="GR11" s="2071"/>
      <c r="GS11" s="2071"/>
      <c r="GT11" s="2071"/>
      <c r="GU11" s="2071"/>
      <c r="GV11" s="2071"/>
      <c r="GW11" s="2071"/>
      <c r="GX11" s="2071"/>
      <c r="GY11" s="2071"/>
      <c r="GZ11" s="2071"/>
      <c r="HA11" s="2071"/>
      <c r="HB11" s="2071"/>
      <c r="HC11" s="2071"/>
      <c r="HD11" s="2071"/>
      <c r="HE11" s="2071"/>
      <c r="HF11" s="2071"/>
      <c r="HG11" s="2071"/>
      <c r="HH11" s="2071"/>
      <c r="HI11" s="2071"/>
      <c r="HJ11" s="2071"/>
      <c r="HK11" s="2071"/>
      <c r="HL11" s="2071"/>
      <c r="HM11" s="2071"/>
      <c r="HN11" s="2071"/>
      <c r="HO11" s="2071"/>
      <c r="HP11" s="2071"/>
      <c r="HQ11" s="2071"/>
      <c r="HR11" s="2071"/>
      <c r="HS11" s="2071"/>
      <c r="HT11" s="2071"/>
      <c r="HU11" s="2071"/>
      <c r="HV11" s="2071"/>
      <c r="HW11" s="2071"/>
      <c r="HX11" s="2071"/>
      <c r="HY11" s="2071"/>
      <c r="HZ11" s="2071"/>
      <c r="IA11" s="2071"/>
      <c r="IB11" s="2071"/>
      <c r="IC11" s="2071"/>
      <c r="ID11" s="2071"/>
      <c r="IE11" s="2071"/>
      <c r="IF11" s="2071"/>
      <c r="IG11" s="2071"/>
      <c r="IH11" s="2071"/>
      <c r="II11" s="2071"/>
      <c r="IJ11" s="2071"/>
      <c r="IK11" s="2071"/>
      <c r="IL11" s="2071"/>
      <c r="IM11" s="2071"/>
      <c r="IN11" s="2071"/>
    </row>
    <row r="12" spans="1:248">
      <c r="A12" s="2051" t="s">
        <v>210</v>
      </c>
      <c r="B12" s="2052">
        <f>审定资负表!C14</f>
        <v>17472054.83</v>
      </c>
      <c r="C12" s="2052">
        <f>审定资负表!D14</f>
        <v>16982264.67</v>
      </c>
      <c r="D12" s="2053">
        <f t="shared" si="0"/>
        <v>0.0360041694180207</v>
      </c>
      <c r="E12" s="2054">
        <f t="shared" si="1"/>
        <v>489790.159999996</v>
      </c>
      <c r="F12" s="2055">
        <f t="shared" si="2"/>
        <v>0.0288</v>
      </c>
      <c r="G12" s="2056"/>
      <c r="H12" s="2057" t="str">
        <f>IF(报表附注!F573=0,"相符","不相符")</f>
        <v>相符</v>
      </c>
      <c r="I12" s="2057" t="str">
        <f>IF(报表附注!J573=0,"相符","不相符")</f>
        <v>相符</v>
      </c>
      <c r="J12" s="2072" t="s">
        <v>1931</v>
      </c>
      <c r="K12" s="2071"/>
      <c r="L12" s="2071"/>
      <c r="M12" s="2071"/>
      <c r="N12" s="2071"/>
      <c r="O12" s="2071"/>
      <c r="P12" s="2071"/>
      <c r="Q12" s="2071"/>
      <c r="R12" s="2071"/>
      <c r="S12" s="2071"/>
      <c r="T12" s="2071"/>
      <c r="U12" s="2071"/>
      <c r="V12" s="2071"/>
      <c r="W12" s="2071"/>
      <c r="X12" s="2071"/>
      <c r="Y12" s="2071"/>
      <c r="Z12" s="2071"/>
      <c r="AA12" s="2071"/>
      <c r="AB12" s="2071"/>
      <c r="AC12" s="2071"/>
      <c r="AD12" s="2071"/>
      <c r="AE12" s="2071"/>
      <c r="AF12" s="2071"/>
      <c r="AG12" s="2071"/>
      <c r="AH12" s="2071"/>
      <c r="AI12" s="2071"/>
      <c r="AJ12" s="2071"/>
      <c r="AK12" s="2071"/>
      <c r="AL12" s="2071"/>
      <c r="AM12" s="2071"/>
      <c r="AN12" s="2071"/>
      <c r="AO12" s="2071"/>
      <c r="AP12" s="2071"/>
      <c r="AQ12" s="2071"/>
      <c r="AR12" s="2071"/>
      <c r="AS12" s="2071"/>
      <c r="AT12" s="2071"/>
      <c r="AU12" s="2071"/>
      <c r="AV12" s="2071"/>
      <c r="AW12" s="2071"/>
      <c r="AX12" s="2071"/>
      <c r="AY12" s="2071"/>
      <c r="AZ12" s="2071"/>
      <c r="BA12" s="2071"/>
      <c r="BB12" s="2071"/>
      <c r="BC12" s="2071"/>
      <c r="BD12" s="2071"/>
      <c r="BE12" s="2071"/>
      <c r="BF12" s="2071"/>
      <c r="BG12" s="2071"/>
      <c r="BH12" s="2071"/>
      <c r="BI12" s="2071"/>
      <c r="BJ12" s="2071"/>
      <c r="BK12" s="2071"/>
      <c r="BL12" s="2071"/>
      <c r="BM12" s="2071"/>
      <c r="BN12" s="2071"/>
      <c r="BO12" s="2071"/>
      <c r="BP12" s="2071"/>
      <c r="BQ12" s="2071"/>
      <c r="BR12" s="2071"/>
      <c r="BS12" s="2071"/>
      <c r="BT12" s="2071"/>
      <c r="BU12" s="2071"/>
      <c r="BV12" s="2071"/>
      <c r="BW12" s="2071"/>
      <c r="BX12" s="2071"/>
      <c r="BY12" s="2071"/>
      <c r="BZ12" s="2071"/>
      <c r="CA12" s="2071"/>
      <c r="CB12" s="2071"/>
      <c r="CC12" s="2071"/>
      <c r="CD12" s="2071"/>
      <c r="CE12" s="2071"/>
      <c r="CF12" s="2071"/>
      <c r="CG12" s="2071"/>
      <c r="CH12" s="2071"/>
      <c r="CI12" s="2071"/>
      <c r="CJ12" s="2071"/>
      <c r="CK12" s="2071"/>
      <c r="CL12" s="2071"/>
      <c r="CM12" s="2071"/>
      <c r="CN12" s="2071"/>
      <c r="CO12" s="2071"/>
      <c r="CP12" s="2071"/>
      <c r="CQ12" s="2071"/>
      <c r="CR12" s="2071"/>
      <c r="CS12" s="2071"/>
      <c r="CT12" s="2071"/>
      <c r="CU12" s="2071"/>
      <c r="CV12" s="2071"/>
      <c r="CW12" s="2071"/>
      <c r="CX12" s="2071"/>
      <c r="CY12" s="2071"/>
      <c r="CZ12" s="2071"/>
      <c r="DA12" s="2071"/>
      <c r="DB12" s="2071"/>
      <c r="DC12" s="2071"/>
      <c r="DD12" s="2071"/>
      <c r="DE12" s="2071"/>
      <c r="DF12" s="2071"/>
      <c r="DG12" s="2071"/>
      <c r="DH12" s="2071"/>
      <c r="DI12" s="2071"/>
      <c r="DJ12" s="2071"/>
      <c r="DK12" s="2071"/>
      <c r="DL12" s="2071"/>
      <c r="DM12" s="2071"/>
      <c r="DN12" s="2071"/>
      <c r="DO12" s="2071"/>
      <c r="DP12" s="2071"/>
      <c r="DQ12" s="2071"/>
      <c r="DR12" s="2071"/>
      <c r="DS12" s="2071"/>
      <c r="DT12" s="2071"/>
      <c r="DU12" s="2071"/>
      <c r="DV12" s="2071"/>
      <c r="DW12" s="2071"/>
      <c r="DX12" s="2071"/>
      <c r="DY12" s="2071"/>
      <c r="DZ12" s="2071"/>
      <c r="EA12" s="2071"/>
      <c r="EB12" s="2071"/>
      <c r="EC12" s="2071"/>
      <c r="ED12" s="2071"/>
      <c r="EE12" s="2071"/>
      <c r="EF12" s="2071"/>
      <c r="EG12" s="2071"/>
      <c r="EH12" s="2071"/>
      <c r="EI12" s="2071"/>
      <c r="EJ12" s="2071"/>
      <c r="EK12" s="2071"/>
      <c r="EL12" s="2071"/>
      <c r="EM12" s="2071"/>
      <c r="EN12" s="2071"/>
      <c r="EO12" s="2071"/>
      <c r="EP12" s="2071"/>
      <c r="EQ12" s="2071"/>
      <c r="ER12" s="2071"/>
      <c r="ES12" s="2071"/>
      <c r="ET12" s="2071"/>
      <c r="EU12" s="2071"/>
      <c r="EV12" s="2071"/>
      <c r="EW12" s="2071"/>
      <c r="EX12" s="2071"/>
      <c r="EY12" s="2071"/>
      <c r="EZ12" s="2071"/>
      <c r="FA12" s="2071"/>
      <c r="FB12" s="2071"/>
      <c r="FC12" s="2071"/>
      <c r="FD12" s="2071"/>
      <c r="FE12" s="2071"/>
      <c r="FF12" s="2071"/>
      <c r="FG12" s="2071"/>
      <c r="FH12" s="2071"/>
      <c r="FI12" s="2071"/>
      <c r="FJ12" s="2071"/>
      <c r="FK12" s="2071"/>
      <c r="FL12" s="2071"/>
      <c r="FM12" s="2071"/>
      <c r="FN12" s="2071"/>
      <c r="FO12" s="2071"/>
      <c r="FP12" s="2071"/>
      <c r="FQ12" s="2071"/>
      <c r="FR12" s="2071"/>
      <c r="FS12" s="2071"/>
      <c r="FT12" s="2071"/>
      <c r="FU12" s="2071"/>
      <c r="FV12" s="2071"/>
      <c r="FW12" s="2071"/>
      <c r="FX12" s="2071"/>
      <c r="FY12" s="2071"/>
      <c r="FZ12" s="2071"/>
      <c r="GA12" s="2071"/>
      <c r="GB12" s="2071"/>
      <c r="GC12" s="2071"/>
      <c r="GD12" s="2071"/>
      <c r="GE12" s="2071"/>
      <c r="GF12" s="2071"/>
      <c r="GG12" s="2071"/>
      <c r="GH12" s="2071"/>
      <c r="GI12" s="2071"/>
      <c r="GJ12" s="2071"/>
      <c r="GK12" s="2071"/>
      <c r="GL12" s="2071"/>
      <c r="GM12" s="2071"/>
      <c r="GN12" s="2071"/>
      <c r="GO12" s="2071"/>
      <c r="GP12" s="2071"/>
      <c r="GQ12" s="2071"/>
      <c r="GR12" s="2071"/>
      <c r="GS12" s="2071"/>
      <c r="GT12" s="2071"/>
      <c r="GU12" s="2071"/>
      <c r="GV12" s="2071"/>
      <c r="GW12" s="2071"/>
      <c r="GX12" s="2071"/>
      <c r="GY12" s="2071"/>
      <c r="GZ12" s="2071"/>
      <c r="HA12" s="2071"/>
      <c r="HB12" s="2071"/>
      <c r="HC12" s="2071"/>
      <c r="HD12" s="2071"/>
      <c r="HE12" s="2071"/>
      <c r="HF12" s="2071"/>
      <c r="HG12" s="2071"/>
      <c r="HH12" s="2071"/>
      <c r="HI12" s="2071"/>
      <c r="HJ12" s="2071"/>
      <c r="HK12" s="2071"/>
      <c r="HL12" s="2071"/>
      <c r="HM12" s="2071"/>
      <c r="HN12" s="2071"/>
      <c r="HO12" s="2071"/>
      <c r="HP12" s="2071"/>
      <c r="HQ12" s="2071"/>
      <c r="HR12" s="2071"/>
      <c r="HS12" s="2071"/>
      <c r="HT12" s="2071"/>
      <c r="HU12" s="2071"/>
      <c r="HV12" s="2071"/>
      <c r="HW12" s="2071"/>
      <c r="HX12" s="2071"/>
      <c r="HY12" s="2071"/>
      <c r="HZ12" s="2071"/>
      <c r="IA12" s="2071"/>
      <c r="IB12" s="2071"/>
      <c r="IC12" s="2071"/>
      <c r="ID12" s="2071"/>
      <c r="IE12" s="2071"/>
      <c r="IF12" s="2071"/>
      <c r="IG12" s="2071"/>
      <c r="IH12" s="2071"/>
      <c r="II12" s="2071"/>
      <c r="IJ12" s="2071"/>
      <c r="IK12" s="2071"/>
      <c r="IL12" s="2071"/>
      <c r="IM12" s="2071"/>
      <c r="IN12" s="2071"/>
    </row>
    <row r="13" spans="1:248">
      <c r="A13" s="2051" t="s">
        <v>212</v>
      </c>
      <c r="B13" s="2052">
        <f>审定资负表!C15</f>
        <v>31962413.89</v>
      </c>
      <c r="C13" s="2052">
        <f>审定资负表!D15</f>
        <v>9826768.95</v>
      </c>
      <c r="D13" s="2053">
        <f t="shared" si="0"/>
        <v>0.0658640426613438</v>
      </c>
      <c r="E13" s="2054">
        <f t="shared" si="1"/>
        <v>22135644.94</v>
      </c>
      <c r="F13" s="2055">
        <f t="shared" si="2"/>
        <v>2.2526</v>
      </c>
      <c r="G13" s="2056"/>
      <c r="H13" s="2057" t="str">
        <f>IF(报表附注!H866=0,"相符","不相符")</f>
        <v>相符</v>
      </c>
      <c r="I13" s="2057" t="str">
        <f>IF(报表附注!K866=0,"相符","不相符")</f>
        <v>相符</v>
      </c>
      <c r="J13" s="2072" t="s">
        <v>1934</v>
      </c>
      <c r="K13" s="2071"/>
      <c r="L13" s="2071"/>
      <c r="M13" s="2071"/>
      <c r="N13" s="2071"/>
      <c r="O13" s="2071"/>
      <c r="P13" s="2071"/>
      <c r="Q13" s="2071"/>
      <c r="R13" s="2071"/>
      <c r="S13" s="2071"/>
      <c r="T13" s="2071"/>
      <c r="U13" s="2071"/>
      <c r="V13" s="2071"/>
      <c r="W13" s="2071"/>
      <c r="X13" s="2071"/>
      <c r="Y13" s="2071"/>
      <c r="Z13" s="2071"/>
      <c r="AA13" s="2071"/>
      <c r="AB13" s="2071"/>
      <c r="AC13" s="2071"/>
      <c r="AD13" s="2071"/>
      <c r="AE13" s="2071"/>
      <c r="AF13" s="2071"/>
      <c r="AG13" s="2071"/>
      <c r="AH13" s="2071"/>
      <c r="AI13" s="2071"/>
      <c r="AJ13" s="2071"/>
      <c r="AK13" s="2071"/>
      <c r="AL13" s="2071"/>
      <c r="AM13" s="2071"/>
      <c r="AN13" s="2071"/>
      <c r="AO13" s="2071"/>
      <c r="AP13" s="2071"/>
      <c r="AQ13" s="2071"/>
      <c r="AR13" s="2071"/>
      <c r="AS13" s="2071"/>
      <c r="AT13" s="2071"/>
      <c r="AU13" s="2071"/>
      <c r="AV13" s="2071"/>
      <c r="AW13" s="2071"/>
      <c r="AX13" s="2071"/>
      <c r="AY13" s="2071"/>
      <c r="AZ13" s="2071"/>
      <c r="BA13" s="2071"/>
      <c r="BB13" s="2071"/>
      <c r="BC13" s="2071"/>
      <c r="BD13" s="2071"/>
      <c r="BE13" s="2071"/>
      <c r="BF13" s="2071"/>
      <c r="BG13" s="2071"/>
      <c r="BH13" s="2071"/>
      <c r="BI13" s="2071"/>
      <c r="BJ13" s="2071"/>
      <c r="BK13" s="2071"/>
      <c r="BL13" s="2071"/>
      <c r="BM13" s="2071"/>
      <c r="BN13" s="2071"/>
      <c r="BO13" s="2071"/>
      <c r="BP13" s="2071"/>
      <c r="BQ13" s="2071"/>
      <c r="BR13" s="2071"/>
      <c r="BS13" s="2071"/>
      <c r="BT13" s="2071"/>
      <c r="BU13" s="2071"/>
      <c r="BV13" s="2071"/>
      <c r="BW13" s="2071"/>
      <c r="BX13" s="2071"/>
      <c r="BY13" s="2071"/>
      <c r="BZ13" s="2071"/>
      <c r="CA13" s="2071"/>
      <c r="CB13" s="2071"/>
      <c r="CC13" s="2071"/>
      <c r="CD13" s="2071"/>
      <c r="CE13" s="2071"/>
      <c r="CF13" s="2071"/>
      <c r="CG13" s="2071"/>
      <c r="CH13" s="2071"/>
      <c r="CI13" s="2071"/>
      <c r="CJ13" s="2071"/>
      <c r="CK13" s="2071"/>
      <c r="CL13" s="2071"/>
      <c r="CM13" s="2071"/>
      <c r="CN13" s="2071"/>
      <c r="CO13" s="2071"/>
      <c r="CP13" s="2071"/>
      <c r="CQ13" s="2071"/>
      <c r="CR13" s="2071"/>
      <c r="CS13" s="2071"/>
      <c r="CT13" s="2071"/>
      <c r="CU13" s="2071"/>
      <c r="CV13" s="2071"/>
      <c r="CW13" s="2071"/>
      <c r="CX13" s="2071"/>
      <c r="CY13" s="2071"/>
      <c r="CZ13" s="2071"/>
      <c r="DA13" s="2071"/>
      <c r="DB13" s="2071"/>
      <c r="DC13" s="2071"/>
      <c r="DD13" s="2071"/>
      <c r="DE13" s="2071"/>
      <c r="DF13" s="2071"/>
      <c r="DG13" s="2071"/>
      <c r="DH13" s="2071"/>
      <c r="DI13" s="2071"/>
      <c r="DJ13" s="2071"/>
      <c r="DK13" s="2071"/>
      <c r="DL13" s="2071"/>
      <c r="DM13" s="2071"/>
      <c r="DN13" s="2071"/>
      <c r="DO13" s="2071"/>
      <c r="DP13" s="2071"/>
      <c r="DQ13" s="2071"/>
      <c r="DR13" s="2071"/>
      <c r="DS13" s="2071"/>
      <c r="DT13" s="2071"/>
      <c r="DU13" s="2071"/>
      <c r="DV13" s="2071"/>
      <c r="DW13" s="2071"/>
      <c r="DX13" s="2071"/>
      <c r="DY13" s="2071"/>
      <c r="DZ13" s="2071"/>
      <c r="EA13" s="2071"/>
      <c r="EB13" s="2071"/>
      <c r="EC13" s="2071"/>
      <c r="ED13" s="2071"/>
      <c r="EE13" s="2071"/>
      <c r="EF13" s="2071"/>
      <c r="EG13" s="2071"/>
      <c r="EH13" s="2071"/>
      <c r="EI13" s="2071"/>
      <c r="EJ13" s="2071"/>
      <c r="EK13" s="2071"/>
      <c r="EL13" s="2071"/>
      <c r="EM13" s="2071"/>
      <c r="EN13" s="2071"/>
      <c r="EO13" s="2071"/>
      <c r="EP13" s="2071"/>
      <c r="EQ13" s="2071"/>
      <c r="ER13" s="2071"/>
      <c r="ES13" s="2071"/>
      <c r="ET13" s="2071"/>
      <c r="EU13" s="2071"/>
      <c r="EV13" s="2071"/>
      <c r="EW13" s="2071"/>
      <c r="EX13" s="2071"/>
      <c r="EY13" s="2071"/>
      <c r="EZ13" s="2071"/>
      <c r="FA13" s="2071"/>
      <c r="FB13" s="2071"/>
      <c r="FC13" s="2071"/>
      <c r="FD13" s="2071"/>
      <c r="FE13" s="2071"/>
      <c r="FF13" s="2071"/>
      <c r="FG13" s="2071"/>
      <c r="FH13" s="2071"/>
      <c r="FI13" s="2071"/>
      <c r="FJ13" s="2071"/>
      <c r="FK13" s="2071"/>
      <c r="FL13" s="2071"/>
      <c r="FM13" s="2071"/>
      <c r="FN13" s="2071"/>
      <c r="FO13" s="2071"/>
      <c r="FP13" s="2071"/>
      <c r="FQ13" s="2071"/>
      <c r="FR13" s="2071"/>
      <c r="FS13" s="2071"/>
      <c r="FT13" s="2071"/>
      <c r="FU13" s="2071"/>
      <c r="FV13" s="2071"/>
      <c r="FW13" s="2071"/>
      <c r="FX13" s="2071"/>
      <c r="FY13" s="2071"/>
      <c r="FZ13" s="2071"/>
      <c r="GA13" s="2071"/>
      <c r="GB13" s="2071"/>
      <c r="GC13" s="2071"/>
      <c r="GD13" s="2071"/>
      <c r="GE13" s="2071"/>
      <c r="GF13" s="2071"/>
      <c r="GG13" s="2071"/>
      <c r="GH13" s="2071"/>
      <c r="GI13" s="2071"/>
      <c r="GJ13" s="2071"/>
      <c r="GK13" s="2071"/>
      <c r="GL13" s="2071"/>
      <c r="GM13" s="2071"/>
      <c r="GN13" s="2071"/>
      <c r="GO13" s="2071"/>
      <c r="GP13" s="2071"/>
      <c r="GQ13" s="2071"/>
      <c r="GR13" s="2071"/>
      <c r="GS13" s="2071"/>
      <c r="GT13" s="2071"/>
      <c r="GU13" s="2071"/>
      <c r="GV13" s="2071"/>
      <c r="GW13" s="2071"/>
      <c r="GX13" s="2071"/>
      <c r="GY13" s="2071"/>
      <c r="GZ13" s="2071"/>
      <c r="HA13" s="2071"/>
      <c r="HB13" s="2071"/>
      <c r="HC13" s="2071"/>
      <c r="HD13" s="2071"/>
      <c r="HE13" s="2071"/>
      <c r="HF13" s="2071"/>
      <c r="HG13" s="2071"/>
      <c r="HH13" s="2071"/>
      <c r="HI13" s="2071"/>
      <c r="HJ13" s="2071"/>
      <c r="HK13" s="2071"/>
      <c r="HL13" s="2071"/>
      <c r="HM13" s="2071"/>
      <c r="HN13" s="2071"/>
      <c r="HO13" s="2071"/>
      <c r="HP13" s="2071"/>
      <c r="HQ13" s="2071"/>
      <c r="HR13" s="2071"/>
      <c r="HS13" s="2071"/>
      <c r="HT13" s="2071"/>
      <c r="HU13" s="2071"/>
      <c r="HV13" s="2071"/>
      <c r="HW13" s="2071"/>
      <c r="HX13" s="2071"/>
      <c r="HY13" s="2071"/>
      <c r="HZ13" s="2071"/>
      <c r="IA13" s="2071"/>
      <c r="IB13" s="2071"/>
      <c r="IC13" s="2071"/>
      <c r="ID13" s="2071"/>
      <c r="IE13" s="2071"/>
      <c r="IF13" s="2071"/>
      <c r="IG13" s="2071"/>
      <c r="IH13" s="2071"/>
      <c r="II13" s="2071"/>
      <c r="IJ13" s="2071"/>
      <c r="IK13" s="2071"/>
      <c r="IL13" s="2071"/>
      <c r="IM13" s="2071"/>
      <c r="IN13" s="2071"/>
    </row>
    <row r="14" spans="1:248">
      <c r="A14" s="2051" t="s">
        <v>214</v>
      </c>
      <c r="B14" s="2052">
        <f>审定资负表!C16</f>
        <v>10231163.73</v>
      </c>
      <c r="C14" s="2052">
        <f>审定资负表!D16</f>
        <v>2192971</v>
      </c>
      <c r="D14" s="2053">
        <f t="shared" si="0"/>
        <v>0.0210830698428176</v>
      </c>
      <c r="E14" s="2054">
        <f t="shared" si="1"/>
        <v>8038192.73</v>
      </c>
      <c r="F14" s="2055">
        <f t="shared" si="2"/>
        <v>3.6654</v>
      </c>
      <c r="G14" s="2056"/>
      <c r="H14" s="2057" t="str">
        <f>IF(报表附注!F4102=0,"相符","不相符")</f>
        <v>相符</v>
      </c>
      <c r="I14" s="2057" t="str">
        <f>IF(报表附注!G4102=0,"相符","不相符")</f>
        <v>相符</v>
      </c>
      <c r="J14" s="2073" t="s">
        <v>1936</v>
      </c>
      <c r="K14" s="2071"/>
      <c r="L14" s="2071"/>
      <c r="M14" s="2071"/>
      <c r="N14" s="2071"/>
      <c r="O14" s="2071"/>
      <c r="P14" s="2071"/>
      <c r="Q14" s="2071"/>
      <c r="R14" s="2071"/>
      <c r="S14" s="2071"/>
      <c r="T14" s="2071"/>
      <c r="U14" s="2071"/>
      <c r="V14" s="2071"/>
      <c r="W14" s="2071"/>
      <c r="X14" s="2071"/>
      <c r="Y14" s="2071"/>
      <c r="Z14" s="2071"/>
      <c r="AA14" s="2071"/>
      <c r="AB14" s="2071"/>
      <c r="AC14" s="2071"/>
      <c r="AD14" s="2071"/>
      <c r="AE14" s="2071"/>
      <c r="AF14" s="2071"/>
      <c r="AG14" s="2071"/>
      <c r="AH14" s="2071"/>
      <c r="AI14" s="2071"/>
      <c r="AJ14" s="2071"/>
      <c r="AK14" s="2071"/>
      <c r="AL14" s="2071"/>
      <c r="AM14" s="2071"/>
      <c r="AN14" s="2071"/>
      <c r="AO14" s="2071"/>
      <c r="AP14" s="2071"/>
      <c r="AQ14" s="2071"/>
      <c r="AR14" s="2071"/>
      <c r="AS14" s="2071"/>
      <c r="AT14" s="2071"/>
      <c r="AU14" s="2071"/>
      <c r="AV14" s="2071"/>
      <c r="AW14" s="2071"/>
      <c r="AX14" s="2071"/>
      <c r="AY14" s="2071"/>
      <c r="AZ14" s="2071"/>
      <c r="BA14" s="2071"/>
      <c r="BB14" s="2071"/>
      <c r="BC14" s="2071"/>
      <c r="BD14" s="2071"/>
      <c r="BE14" s="2071"/>
      <c r="BF14" s="2071"/>
      <c r="BG14" s="2071"/>
      <c r="BH14" s="2071"/>
      <c r="BI14" s="2071"/>
      <c r="BJ14" s="2071"/>
      <c r="BK14" s="2071"/>
      <c r="BL14" s="2071"/>
      <c r="BM14" s="2071"/>
      <c r="BN14" s="2071"/>
      <c r="BO14" s="2071"/>
      <c r="BP14" s="2071"/>
      <c r="BQ14" s="2071"/>
      <c r="BR14" s="2071"/>
      <c r="BS14" s="2071"/>
      <c r="BT14" s="2071"/>
      <c r="BU14" s="2071"/>
      <c r="BV14" s="2071"/>
      <c r="BW14" s="2071"/>
      <c r="BX14" s="2071"/>
      <c r="BY14" s="2071"/>
      <c r="BZ14" s="2071"/>
      <c r="CA14" s="2071"/>
      <c r="CB14" s="2071"/>
      <c r="CC14" s="2071"/>
      <c r="CD14" s="2071"/>
      <c r="CE14" s="2071"/>
      <c r="CF14" s="2071"/>
      <c r="CG14" s="2071"/>
      <c r="CH14" s="2071"/>
      <c r="CI14" s="2071"/>
      <c r="CJ14" s="2071"/>
      <c r="CK14" s="2071"/>
      <c r="CL14" s="2071"/>
      <c r="CM14" s="2071"/>
      <c r="CN14" s="2071"/>
      <c r="CO14" s="2071"/>
      <c r="CP14" s="2071"/>
      <c r="CQ14" s="2071"/>
      <c r="CR14" s="2071"/>
      <c r="CS14" s="2071"/>
      <c r="CT14" s="2071"/>
      <c r="CU14" s="2071"/>
      <c r="CV14" s="2071"/>
      <c r="CW14" s="2071"/>
      <c r="CX14" s="2071"/>
      <c r="CY14" s="2071"/>
      <c r="CZ14" s="2071"/>
      <c r="DA14" s="2071"/>
      <c r="DB14" s="2071"/>
      <c r="DC14" s="2071"/>
      <c r="DD14" s="2071"/>
      <c r="DE14" s="2071"/>
      <c r="DF14" s="2071"/>
      <c r="DG14" s="2071"/>
      <c r="DH14" s="2071"/>
      <c r="DI14" s="2071"/>
      <c r="DJ14" s="2071"/>
      <c r="DK14" s="2071"/>
      <c r="DL14" s="2071"/>
      <c r="DM14" s="2071"/>
      <c r="DN14" s="2071"/>
      <c r="DO14" s="2071"/>
      <c r="DP14" s="2071"/>
      <c r="DQ14" s="2071"/>
      <c r="DR14" s="2071"/>
      <c r="DS14" s="2071"/>
      <c r="DT14" s="2071"/>
      <c r="DU14" s="2071"/>
      <c r="DV14" s="2071"/>
      <c r="DW14" s="2071"/>
      <c r="DX14" s="2071"/>
      <c r="DY14" s="2071"/>
      <c r="DZ14" s="2071"/>
      <c r="EA14" s="2071"/>
      <c r="EB14" s="2071"/>
      <c r="EC14" s="2071"/>
      <c r="ED14" s="2071"/>
      <c r="EE14" s="2071"/>
      <c r="EF14" s="2071"/>
      <c r="EG14" s="2071"/>
      <c r="EH14" s="2071"/>
      <c r="EI14" s="2071"/>
      <c r="EJ14" s="2071"/>
      <c r="EK14" s="2071"/>
      <c r="EL14" s="2071"/>
      <c r="EM14" s="2071"/>
      <c r="EN14" s="2071"/>
      <c r="EO14" s="2071"/>
      <c r="EP14" s="2071"/>
      <c r="EQ14" s="2071"/>
      <c r="ER14" s="2071"/>
      <c r="ES14" s="2071"/>
      <c r="ET14" s="2071"/>
      <c r="EU14" s="2071"/>
      <c r="EV14" s="2071"/>
      <c r="EW14" s="2071"/>
      <c r="EX14" s="2071"/>
      <c r="EY14" s="2071"/>
      <c r="EZ14" s="2071"/>
      <c r="FA14" s="2071"/>
      <c r="FB14" s="2071"/>
      <c r="FC14" s="2071"/>
      <c r="FD14" s="2071"/>
      <c r="FE14" s="2071"/>
      <c r="FF14" s="2071"/>
      <c r="FG14" s="2071"/>
      <c r="FH14" s="2071"/>
      <c r="FI14" s="2071"/>
      <c r="FJ14" s="2071"/>
      <c r="FK14" s="2071"/>
      <c r="FL14" s="2071"/>
      <c r="FM14" s="2071"/>
      <c r="FN14" s="2071"/>
      <c r="FO14" s="2071"/>
      <c r="FP14" s="2071"/>
      <c r="FQ14" s="2071"/>
      <c r="FR14" s="2071"/>
      <c r="FS14" s="2071"/>
      <c r="FT14" s="2071"/>
      <c r="FU14" s="2071"/>
      <c r="FV14" s="2071"/>
      <c r="FW14" s="2071"/>
      <c r="FX14" s="2071"/>
      <c r="FY14" s="2071"/>
      <c r="FZ14" s="2071"/>
      <c r="GA14" s="2071"/>
      <c r="GB14" s="2071"/>
      <c r="GC14" s="2071"/>
      <c r="GD14" s="2071"/>
      <c r="GE14" s="2071"/>
      <c r="GF14" s="2071"/>
      <c r="GG14" s="2071"/>
      <c r="GH14" s="2071"/>
      <c r="GI14" s="2071"/>
      <c r="GJ14" s="2071"/>
      <c r="GK14" s="2071"/>
      <c r="GL14" s="2071"/>
      <c r="GM14" s="2071"/>
      <c r="GN14" s="2071"/>
      <c r="GO14" s="2071"/>
      <c r="GP14" s="2071"/>
      <c r="GQ14" s="2071"/>
      <c r="GR14" s="2071"/>
      <c r="GS14" s="2071"/>
      <c r="GT14" s="2071"/>
      <c r="GU14" s="2071"/>
      <c r="GV14" s="2071"/>
      <c r="GW14" s="2071"/>
      <c r="GX14" s="2071"/>
      <c r="GY14" s="2071"/>
      <c r="GZ14" s="2071"/>
      <c r="HA14" s="2071"/>
      <c r="HB14" s="2071"/>
      <c r="HC14" s="2071"/>
      <c r="HD14" s="2071"/>
      <c r="HE14" s="2071"/>
      <c r="HF14" s="2071"/>
      <c r="HG14" s="2071"/>
      <c r="HH14" s="2071"/>
      <c r="HI14" s="2071"/>
      <c r="HJ14" s="2071"/>
      <c r="HK14" s="2071"/>
      <c r="HL14" s="2071"/>
      <c r="HM14" s="2071"/>
      <c r="HN14" s="2071"/>
      <c r="HO14" s="2071"/>
      <c r="HP14" s="2071"/>
      <c r="HQ14" s="2071"/>
      <c r="HR14" s="2071"/>
      <c r="HS14" s="2071"/>
      <c r="HT14" s="2071"/>
      <c r="HU14" s="2071"/>
      <c r="HV14" s="2071"/>
      <c r="HW14" s="2071"/>
      <c r="HX14" s="2071"/>
      <c r="HY14" s="2071"/>
      <c r="HZ14" s="2071"/>
      <c r="IA14" s="2071"/>
      <c r="IB14" s="2071"/>
      <c r="IC14" s="2071"/>
      <c r="ID14" s="2071"/>
      <c r="IE14" s="2071"/>
      <c r="IF14" s="2071"/>
      <c r="IG14" s="2071"/>
      <c r="IH14" s="2071"/>
      <c r="II14" s="2071"/>
      <c r="IJ14" s="2071"/>
      <c r="IK14" s="2071"/>
      <c r="IL14" s="2071"/>
      <c r="IM14" s="2071"/>
      <c r="IN14" s="2071"/>
    </row>
    <row r="15" spans="1:248">
      <c r="A15" s="2051" t="s">
        <v>216</v>
      </c>
      <c r="B15" s="2052">
        <f>审定资负表!C17</f>
        <v>2044868.72</v>
      </c>
      <c r="C15" s="2052">
        <f>审定资负表!D17</f>
        <v>893168.56</v>
      </c>
      <c r="D15" s="2053">
        <f t="shared" si="0"/>
        <v>0.00421380315874908</v>
      </c>
      <c r="E15" s="2054">
        <f t="shared" si="1"/>
        <v>1151700.16</v>
      </c>
      <c r="F15" s="2055">
        <f t="shared" si="2"/>
        <v>1.2895</v>
      </c>
      <c r="G15" s="2056"/>
      <c r="H15" s="2057" t="str">
        <f>IF(报表附注!F956=0,"相符","不相符")</f>
        <v>相符</v>
      </c>
      <c r="I15" s="2057" t="str">
        <f>IF(报表附注!G956=0,"相符","不相符")</f>
        <v>相符</v>
      </c>
      <c r="J15" s="2072" t="s">
        <v>1938</v>
      </c>
      <c r="K15" s="2071"/>
      <c r="L15" s="2071"/>
      <c r="M15" s="2071"/>
      <c r="N15" s="2071"/>
      <c r="O15" s="2071"/>
      <c r="P15" s="2071"/>
      <c r="Q15" s="2071"/>
      <c r="R15" s="2071"/>
      <c r="S15" s="2071"/>
      <c r="T15" s="2071"/>
      <c r="U15" s="2071"/>
      <c r="V15" s="2071"/>
      <c r="W15" s="2071"/>
      <c r="X15" s="2071"/>
      <c r="Y15" s="2071"/>
      <c r="Z15" s="2071"/>
      <c r="AA15" s="2071"/>
      <c r="AB15" s="2071"/>
      <c r="AC15" s="2071"/>
      <c r="AD15" s="2071"/>
      <c r="AE15" s="2071"/>
      <c r="AF15" s="2071"/>
      <c r="AG15" s="2071"/>
      <c r="AH15" s="2071"/>
      <c r="AI15" s="2071"/>
      <c r="AJ15" s="2071"/>
      <c r="AK15" s="2071"/>
      <c r="AL15" s="2071"/>
      <c r="AM15" s="2071"/>
      <c r="AN15" s="2071"/>
      <c r="AO15" s="2071"/>
      <c r="AP15" s="2071"/>
      <c r="AQ15" s="2071"/>
      <c r="AR15" s="2071"/>
      <c r="AS15" s="2071"/>
      <c r="AT15" s="2071"/>
      <c r="AU15" s="2071"/>
      <c r="AV15" s="2071"/>
      <c r="AW15" s="2071"/>
      <c r="AX15" s="2071"/>
      <c r="AY15" s="2071"/>
      <c r="AZ15" s="2071"/>
      <c r="BA15" s="2071"/>
      <c r="BB15" s="2071"/>
      <c r="BC15" s="2071"/>
      <c r="BD15" s="2071"/>
      <c r="BE15" s="2071"/>
      <c r="BF15" s="2071"/>
      <c r="BG15" s="2071"/>
      <c r="BH15" s="2071"/>
      <c r="BI15" s="2071"/>
      <c r="BJ15" s="2071"/>
      <c r="BK15" s="2071"/>
      <c r="BL15" s="2071"/>
      <c r="BM15" s="2071"/>
      <c r="BN15" s="2071"/>
      <c r="BO15" s="2071"/>
      <c r="BP15" s="2071"/>
      <c r="BQ15" s="2071"/>
      <c r="BR15" s="2071"/>
      <c r="BS15" s="2071"/>
      <c r="BT15" s="2071"/>
      <c r="BU15" s="2071"/>
      <c r="BV15" s="2071"/>
      <c r="BW15" s="2071"/>
      <c r="BX15" s="2071"/>
      <c r="BY15" s="2071"/>
      <c r="BZ15" s="2071"/>
      <c r="CA15" s="2071"/>
      <c r="CB15" s="2071"/>
      <c r="CC15" s="2071"/>
      <c r="CD15" s="2071"/>
      <c r="CE15" s="2071"/>
      <c r="CF15" s="2071"/>
      <c r="CG15" s="2071"/>
      <c r="CH15" s="2071"/>
      <c r="CI15" s="2071"/>
      <c r="CJ15" s="2071"/>
      <c r="CK15" s="2071"/>
      <c r="CL15" s="2071"/>
      <c r="CM15" s="2071"/>
      <c r="CN15" s="2071"/>
      <c r="CO15" s="2071"/>
      <c r="CP15" s="2071"/>
      <c r="CQ15" s="2071"/>
      <c r="CR15" s="2071"/>
      <c r="CS15" s="2071"/>
      <c r="CT15" s="2071"/>
      <c r="CU15" s="2071"/>
      <c r="CV15" s="2071"/>
      <c r="CW15" s="2071"/>
      <c r="CX15" s="2071"/>
      <c r="CY15" s="2071"/>
      <c r="CZ15" s="2071"/>
      <c r="DA15" s="2071"/>
      <c r="DB15" s="2071"/>
      <c r="DC15" s="2071"/>
      <c r="DD15" s="2071"/>
      <c r="DE15" s="2071"/>
      <c r="DF15" s="2071"/>
      <c r="DG15" s="2071"/>
      <c r="DH15" s="2071"/>
      <c r="DI15" s="2071"/>
      <c r="DJ15" s="2071"/>
      <c r="DK15" s="2071"/>
      <c r="DL15" s="2071"/>
      <c r="DM15" s="2071"/>
      <c r="DN15" s="2071"/>
      <c r="DO15" s="2071"/>
      <c r="DP15" s="2071"/>
      <c r="DQ15" s="2071"/>
      <c r="DR15" s="2071"/>
      <c r="DS15" s="2071"/>
      <c r="DT15" s="2071"/>
      <c r="DU15" s="2071"/>
      <c r="DV15" s="2071"/>
      <c r="DW15" s="2071"/>
      <c r="DX15" s="2071"/>
      <c r="DY15" s="2071"/>
      <c r="DZ15" s="2071"/>
      <c r="EA15" s="2071"/>
      <c r="EB15" s="2071"/>
      <c r="EC15" s="2071"/>
      <c r="ED15" s="2071"/>
      <c r="EE15" s="2071"/>
      <c r="EF15" s="2071"/>
      <c r="EG15" s="2071"/>
      <c r="EH15" s="2071"/>
      <c r="EI15" s="2071"/>
      <c r="EJ15" s="2071"/>
      <c r="EK15" s="2071"/>
      <c r="EL15" s="2071"/>
      <c r="EM15" s="2071"/>
      <c r="EN15" s="2071"/>
      <c r="EO15" s="2071"/>
      <c r="EP15" s="2071"/>
      <c r="EQ15" s="2071"/>
      <c r="ER15" s="2071"/>
      <c r="ES15" s="2071"/>
      <c r="ET15" s="2071"/>
      <c r="EU15" s="2071"/>
      <c r="EV15" s="2071"/>
      <c r="EW15" s="2071"/>
      <c r="EX15" s="2071"/>
      <c r="EY15" s="2071"/>
      <c r="EZ15" s="2071"/>
      <c r="FA15" s="2071"/>
      <c r="FB15" s="2071"/>
      <c r="FC15" s="2071"/>
      <c r="FD15" s="2071"/>
      <c r="FE15" s="2071"/>
      <c r="FF15" s="2071"/>
      <c r="FG15" s="2071"/>
      <c r="FH15" s="2071"/>
      <c r="FI15" s="2071"/>
      <c r="FJ15" s="2071"/>
      <c r="FK15" s="2071"/>
      <c r="FL15" s="2071"/>
      <c r="FM15" s="2071"/>
      <c r="FN15" s="2071"/>
      <c r="FO15" s="2071"/>
      <c r="FP15" s="2071"/>
      <c r="FQ15" s="2071"/>
      <c r="FR15" s="2071"/>
      <c r="FS15" s="2071"/>
      <c r="FT15" s="2071"/>
      <c r="FU15" s="2071"/>
      <c r="FV15" s="2071"/>
      <c r="FW15" s="2071"/>
      <c r="FX15" s="2071"/>
      <c r="FY15" s="2071"/>
      <c r="FZ15" s="2071"/>
      <c r="GA15" s="2071"/>
      <c r="GB15" s="2071"/>
      <c r="GC15" s="2071"/>
      <c r="GD15" s="2071"/>
      <c r="GE15" s="2071"/>
      <c r="GF15" s="2071"/>
      <c r="GG15" s="2071"/>
      <c r="GH15" s="2071"/>
      <c r="GI15" s="2071"/>
      <c r="GJ15" s="2071"/>
      <c r="GK15" s="2071"/>
      <c r="GL15" s="2071"/>
      <c r="GM15" s="2071"/>
      <c r="GN15" s="2071"/>
      <c r="GO15" s="2071"/>
      <c r="GP15" s="2071"/>
      <c r="GQ15" s="2071"/>
      <c r="GR15" s="2071"/>
      <c r="GS15" s="2071"/>
      <c r="GT15" s="2071"/>
      <c r="GU15" s="2071"/>
      <c r="GV15" s="2071"/>
      <c r="GW15" s="2071"/>
      <c r="GX15" s="2071"/>
      <c r="GY15" s="2071"/>
      <c r="GZ15" s="2071"/>
      <c r="HA15" s="2071"/>
      <c r="HB15" s="2071"/>
      <c r="HC15" s="2071"/>
      <c r="HD15" s="2071"/>
      <c r="HE15" s="2071"/>
      <c r="HF15" s="2071"/>
      <c r="HG15" s="2071"/>
      <c r="HH15" s="2071"/>
      <c r="HI15" s="2071"/>
      <c r="HJ15" s="2071"/>
      <c r="HK15" s="2071"/>
      <c r="HL15" s="2071"/>
      <c r="HM15" s="2071"/>
      <c r="HN15" s="2071"/>
      <c r="HO15" s="2071"/>
      <c r="HP15" s="2071"/>
      <c r="HQ15" s="2071"/>
      <c r="HR15" s="2071"/>
      <c r="HS15" s="2071"/>
      <c r="HT15" s="2071"/>
      <c r="HU15" s="2071"/>
      <c r="HV15" s="2071"/>
      <c r="HW15" s="2071"/>
      <c r="HX15" s="2071"/>
      <c r="HY15" s="2071"/>
      <c r="HZ15" s="2071"/>
      <c r="IA15" s="2071"/>
      <c r="IB15" s="2071"/>
      <c r="IC15" s="2071"/>
      <c r="ID15" s="2071"/>
      <c r="IE15" s="2071"/>
      <c r="IF15" s="2071"/>
      <c r="IG15" s="2071"/>
      <c r="IH15" s="2071"/>
      <c r="II15" s="2071"/>
      <c r="IJ15" s="2071"/>
      <c r="IK15" s="2071"/>
      <c r="IL15" s="2071"/>
      <c r="IM15" s="2071"/>
      <c r="IN15" s="2071"/>
    </row>
    <row r="16" spans="1:248">
      <c r="A16" s="2051" t="str">
        <f>审定资负表!A18</f>
        <v>持有待售资产</v>
      </c>
      <c r="B16" s="2052">
        <f>审定资负表!C18</f>
        <v>0</v>
      </c>
      <c r="C16" s="2052">
        <f>审定资负表!D18</f>
        <v>0</v>
      </c>
      <c r="D16" s="2053" t="str">
        <f t="shared" si="0"/>
        <v> </v>
      </c>
      <c r="E16" s="2054">
        <f t="shared" si="1"/>
        <v>0</v>
      </c>
      <c r="F16" s="2055" t="str">
        <f t="shared" si="2"/>
        <v/>
      </c>
      <c r="G16" s="2056"/>
      <c r="H16" s="2057" t="str">
        <f>IF(报表附注!F4072=0,"相符","不相符")</f>
        <v>相符</v>
      </c>
      <c r="I16" s="2057" t="str">
        <f>IF(报表附注!G4072=0,"相符","不相符")</f>
        <v>相符</v>
      </c>
      <c r="J16" s="2074" t="s">
        <v>1940</v>
      </c>
      <c r="K16" s="2071"/>
      <c r="L16" s="2071"/>
      <c r="M16" s="2071"/>
      <c r="N16" s="2071"/>
      <c r="O16" s="2071"/>
      <c r="P16" s="2071"/>
      <c r="Q16" s="2071"/>
      <c r="R16" s="2071"/>
      <c r="S16" s="2071"/>
      <c r="T16" s="2071"/>
      <c r="U16" s="2071"/>
      <c r="V16" s="2071"/>
      <c r="W16" s="2071"/>
      <c r="X16" s="2071"/>
      <c r="Y16" s="2071"/>
      <c r="Z16" s="2071"/>
      <c r="AA16" s="2071"/>
      <c r="AB16" s="2071"/>
      <c r="AC16" s="2071"/>
      <c r="AD16" s="2071"/>
      <c r="AE16" s="2071"/>
      <c r="AF16" s="2071"/>
      <c r="AG16" s="2071"/>
      <c r="AH16" s="2071"/>
      <c r="AI16" s="2071"/>
      <c r="AJ16" s="2071"/>
      <c r="AK16" s="2071"/>
      <c r="AL16" s="2071"/>
      <c r="AM16" s="2071"/>
      <c r="AN16" s="2071"/>
      <c r="AO16" s="2071"/>
      <c r="AP16" s="2071"/>
      <c r="AQ16" s="2071"/>
      <c r="AR16" s="2071"/>
      <c r="AS16" s="2071"/>
      <c r="AT16" s="2071"/>
      <c r="AU16" s="2071"/>
      <c r="AV16" s="2071"/>
      <c r="AW16" s="2071"/>
      <c r="AX16" s="2071"/>
      <c r="AY16" s="2071"/>
      <c r="AZ16" s="2071"/>
      <c r="BA16" s="2071"/>
      <c r="BB16" s="2071"/>
      <c r="BC16" s="2071"/>
      <c r="BD16" s="2071"/>
      <c r="BE16" s="2071"/>
      <c r="BF16" s="2071"/>
      <c r="BG16" s="2071"/>
      <c r="BH16" s="2071"/>
      <c r="BI16" s="2071"/>
      <c r="BJ16" s="2071"/>
      <c r="BK16" s="2071"/>
      <c r="BL16" s="2071"/>
      <c r="BM16" s="2071"/>
      <c r="BN16" s="2071"/>
      <c r="BO16" s="2071"/>
      <c r="BP16" s="2071"/>
      <c r="BQ16" s="2071"/>
      <c r="BR16" s="2071"/>
      <c r="BS16" s="2071"/>
      <c r="BT16" s="2071"/>
      <c r="BU16" s="2071"/>
      <c r="BV16" s="2071"/>
      <c r="BW16" s="2071"/>
      <c r="BX16" s="2071"/>
      <c r="BY16" s="2071"/>
      <c r="BZ16" s="2071"/>
      <c r="CA16" s="2071"/>
      <c r="CB16" s="2071"/>
      <c r="CC16" s="2071"/>
      <c r="CD16" s="2071"/>
      <c r="CE16" s="2071"/>
      <c r="CF16" s="2071"/>
      <c r="CG16" s="2071"/>
      <c r="CH16" s="2071"/>
      <c r="CI16" s="2071"/>
      <c r="CJ16" s="2071"/>
      <c r="CK16" s="2071"/>
      <c r="CL16" s="2071"/>
      <c r="CM16" s="2071"/>
      <c r="CN16" s="2071"/>
      <c r="CO16" s="2071"/>
      <c r="CP16" s="2071"/>
      <c r="CQ16" s="2071"/>
      <c r="CR16" s="2071"/>
      <c r="CS16" s="2071"/>
      <c r="CT16" s="2071"/>
      <c r="CU16" s="2071"/>
      <c r="CV16" s="2071"/>
      <c r="CW16" s="2071"/>
      <c r="CX16" s="2071"/>
      <c r="CY16" s="2071"/>
      <c r="CZ16" s="2071"/>
      <c r="DA16" s="2071"/>
      <c r="DB16" s="2071"/>
      <c r="DC16" s="2071"/>
      <c r="DD16" s="2071"/>
      <c r="DE16" s="2071"/>
      <c r="DF16" s="2071"/>
      <c r="DG16" s="2071"/>
      <c r="DH16" s="2071"/>
      <c r="DI16" s="2071"/>
      <c r="DJ16" s="2071"/>
      <c r="DK16" s="2071"/>
      <c r="DL16" s="2071"/>
      <c r="DM16" s="2071"/>
      <c r="DN16" s="2071"/>
      <c r="DO16" s="2071"/>
      <c r="DP16" s="2071"/>
      <c r="DQ16" s="2071"/>
      <c r="DR16" s="2071"/>
      <c r="DS16" s="2071"/>
      <c r="DT16" s="2071"/>
      <c r="DU16" s="2071"/>
      <c r="DV16" s="2071"/>
      <c r="DW16" s="2071"/>
      <c r="DX16" s="2071"/>
      <c r="DY16" s="2071"/>
      <c r="DZ16" s="2071"/>
      <c r="EA16" s="2071"/>
      <c r="EB16" s="2071"/>
      <c r="EC16" s="2071"/>
      <c r="ED16" s="2071"/>
      <c r="EE16" s="2071"/>
      <c r="EF16" s="2071"/>
      <c r="EG16" s="2071"/>
      <c r="EH16" s="2071"/>
      <c r="EI16" s="2071"/>
      <c r="EJ16" s="2071"/>
      <c r="EK16" s="2071"/>
      <c r="EL16" s="2071"/>
      <c r="EM16" s="2071"/>
      <c r="EN16" s="2071"/>
      <c r="EO16" s="2071"/>
      <c r="EP16" s="2071"/>
      <c r="EQ16" s="2071"/>
      <c r="ER16" s="2071"/>
      <c r="ES16" s="2071"/>
      <c r="ET16" s="2071"/>
      <c r="EU16" s="2071"/>
      <c r="EV16" s="2071"/>
      <c r="EW16" s="2071"/>
      <c r="EX16" s="2071"/>
      <c r="EY16" s="2071"/>
      <c r="EZ16" s="2071"/>
      <c r="FA16" s="2071"/>
      <c r="FB16" s="2071"/>
      <c r="FC16" s="2071"/>
      <c r="FD16" s="2071"/>
      <c r="FE16" s="2071"/>
      <c r="FF16" s="2071"/>
      <c r="FG16" s="2071"/>
      <c r="FH16" s="2071"/>
      <c r="FI16" s="2071"/>
      <c r="FJ16" s="2071"/>
      <c r="FK16" s="2071"/>
      <c r="FL16" s="2071"/>
      <c r="FM16" s="2071"/>
      <c r="FN16" s="2071"/>
      <c r="FO16" s="2071"/>
      <c r="FP16" s="2071"/>
      <c r="FQ16" s="2071"/>
      <c r="FR16" s="2071"/>
      <c r="FS16" s="2071"/>
      <c r="FT16" s="2071"/>
      <c r="FU16" s="2071"/>
      <c r="FV16" s="2071"/>
      <c r="FW16" s="2071"/>
      <c r="FX16" s="2071"/>
      <c r="FY16" s="2071"/>
      <c r="FZ16" s="2071"/>
      <c r="GA16" s="2071"/>
      <c r="GB16" s="2071"/>
      <c r="GC16" s="2071"/>
      <c r="GD16" s="2071"/>
      <c r="GE16" s="2071"/>
      <c r="GF16" s="2071"/>
      <c r="GG16" s="2071"/>
      <c r="GH16" s="2071"/>
      <c r="GI16" s="2071"/>
      <c r="GJ16" s="2071"/>
      <c r="GK16" s="2071"/>
      <c r="GL16" s="2071"/>
      <c r="GM16" s="2071"/>
      <c r="GN16" s="2071"/>
      <c r="GO16" s="2071"/>
      <c r="GP16" s="2071"/>
      <c r="GQ16" s="2071"/>
      <c r="GR16" s="2071"/>
      <c r="GS16" s="2071"/>
      <c r="GT16" s="2071"/>
      <c r="GU16" s="2071"/>
      <c r="GV16" s="2071"/>
      <c r="GW16" s="2071"/>
      <c r="GX16" s="2071"/>
      <c r="GY16" s="2071"/>
      <c r="GZ16" s="2071"/>
      <c r="HA16" s="2071"/>
      <c r="HB16" s="2071"/>
      <c r="HC16" s="2071"/>
      <c r="HD16" s="2071"/>
      <c r="HE16" s="2071"/>
      <c r="HF16" s="2071"/>
      <c r="HG16" s="2071"/>
      <c r="HH16" s="2071"/>
      <c r="HI16" s="2071"/>
      <c r="HJ16" s="2071"/>
      <c r="HK16" s="2071"/>
      <c r="HL16" s="2071"/>
      <c r="HM16" s="2071"/>
      <c r="HN16" s="2071"/>
      <c r="HO16" s="2071"/>
      <c r="HP16" s="2071"/>
      <c r="HQ16" s="2071"/>
      <c r="HR16" s="2071"/>
      <c r="HS16" s="2071"/>
      <c r="HT16" s="2071"/>
      <c r="HU16" s="2071"/>
      <c r="HV16" s="2071"/>
      <c r="HW16" s="2071"/>
      <c r="HX16" s="2071"/>
      <c r="HY16" s="2071"/>
      <c r="HZ16" s="2071"/>
      <c r="IA16" s="2071"/>
      <c r="IB16" s="2071"/>
      <c r="IC16" s="2071"/>
      <c r="ID16" s="2071"/>
      <c r="IE16" s="2071"/>
      <c r="IF16" s="2071"/>
      <c r="IG16" s="2071"/>
      <c r="IH16" s="2071"/>
      <c r="II16" s="2071"/>
      <c r="IJ16" s="2071"/>
      <c r="IK16" s="2071"/>
      <c r="IL16" s="2071"/>
      <c r="IM16" s="2071"/>
      <c r="IN16" s="2071"/>
    </row>
    <row r="17" spans="1:248">
      <c r="A17" s="2058" t="s">
        <v>220</v>
      </c>
      <c r="B17" s="2052">
        <f>审定资负表!C19</f>
        <v>293817976.84</v>
      </c>
      <c r="C17" s="2052">
        <f>审定资负表!D19</f>
        <v>140274569.76</v>
      </c>
      <c r="D17" s="2053">
        <f t="shared" si="0"/>
        <v>0.605462398048544</v>
      </c>
      <c r="E17" s="2054">
        <f t="shared" si="1"/>
        <v>153543407.08</v>
      </c>
      <c r="F17" s="2055">
        <f t="shared" si="2"/>
        <v>1.0946</v>
      </c>
      <c r="G17" s="2056"/>
      <c r="H17" s="2059"/>
      <c r="I17" s="2059"/>
      <c r="J17" s="2070"/>
      <c r="K17" s="2071"/>
      <c r="L17" s="2071"/>
      <c r="M17" s="2071"/>
      <c r="N17" s="2071"/>
      <c r="O17" s="2071"/>
      <c r="P17" s="2071"/>
      <c r="Q17" s="2071"/>
      <c r="R17" s="2071"/>
      <c r="S17" s="2071"/>
      <c r="T17" s="2071"/>
      <c r="U17" s="2071"/>
      <c r="V17" s="2071"/>
      <c r="W17" s="2071"/>
      <c r="X17" s="2071"/>
      <c r="Y17" s="2071"/>
      <c r="Z17" s="2071"/>
      <c r="AA17" s="2071"/>
      <c r="AB17" s="2071"/>
      <c r="AC17" s="2071"/>
      <c r="AD17" s="2071"/>
      <c r="AE17" s="2071"/>
      <c r="AF17" s="2071"/>
      <c r="AG17" s="2071"/>
      <c r="AH17" s="2071"/>
      <c r="AI17" s="2071"/>
      <c r="AJ17" s="2071"/>
      <c r="AK17" s="2071"/>
      <c r="AL17" s="2071"/>
      <c r="AM17" s="2071"/>
      <c r="AN17" s="2071"/>
      <c r="AO17" s="2071"/>
      <c r="AP17" s="2071"/>
      <c r="AQ17" s="2071"/>
      <c r="AR17" s="2071"/>
      <c r="AS17" s="2071"/>
      <c r="AT17" s="2071"/>
      <c r="AU17" s="2071"/>
      <c r="AV17" s="2071"/>
      <c r="AW17" s="2071"/>
      <c r="AX17" s="2071"/>
      <c r="AY17" s="2071"/>
      <c r="AZ17" s="2071"/>
      <c r="BA17" s="2071"/>
      <c r="BB17" s="2071"/>
      <c r="BC17" s="2071"/>
      <c r="BD17" s="2071"/>
      <c r="BE17" s="2071"/>
      <c r="BF17" s="2071"/>
      <c r="BG17" s="2071"/>
      <c r="BH17" s="2071"/>
      <c r="BI17" s="2071"/>
      <c r="BJ17" s="2071"/>
      <c r="BK17" s="2071"/>
      <c r="BL17" s="2071"/>
      <c r="BM17" s="2071"/>
      <c r="BN17" s="2071"/>
      <c r="BO17" s="2071"/>
      <c r="BP17" s="2071"/>
      <c r="BQ17" s="2071"/>
      <c r="BR17" s="2071"/>
      <c r="BS17" s="2071"/>
      <c r="BT17" s="2071"/>
      <c r="BU17" s="2071"/>
      <c r="BV17" s="2071"/>
      <c r="BW17" s="2071"/>
      <c r="BX17" s="2071"/>
      <c r="BY17" s="2071"/>
      <c r="BZ17" s="2071"/>
      <c r="CA17" s="2071"/>
      <c r="CB17" s="2071"/>
      <c r="CC17" s="2071"/>
      <c r="CD17" s="2071"/>
      <c r="CE17" s="2071"/>
      <c r="CF17" s="2071"/>
      <c r="CG17" s="2071"/>
      <c r="CH17" s="2071"/>
      <c r="CI17" s="2071"/>
      <c r="CJ17" s="2071"/>
      <c r="CK17" s="2071"/>
      <c r="CL17" s="2071"/>
      <c r="CM17" s="2071"/>
      <c r="CN17" s="2071"/>
      <c r="CO17" s="2071"/>
      <c r="CP17" s="2071"/>
      <c r="CQ17" s="2071"/>
      <c r="CR17" s="2071"/>
      <c r="CS17" s="2071"/>
      <c r="CT17" s="2071"/>
      <c r="CU17" s="2071"/>
      <c r="CV17" s="2071"/>
      <c r="CW17" s="2071"/>
      <c r="CX17" s="2071"/>
      <c r="CY17" s="2071"/>
      <c r="CZ17" s="2071"/>
      <c r="DA17" s="2071"/>
      <c r="DB17" s="2071"/>
      <c r="DC17" s="2071"/>
      <c r="DD17" s="2071"/>
      <c r="DE17" s="2071"/>
      <c r="DF17" s="2071"/>
      <c r="DG17" s="2071"/>
      <c r="DH17" s="2071"/>
      <c r="DI17" s="2071"/>
      <c r="DJ17" s="2071"/>
      <c r="DK17" s="2071"/>
      <c r="DL17" s="2071"/>
      <c r="DM17" s="2071"/>
      <c r="DN17" s="2071"/>
      <c r="DO17" s="2071"/>
      <c r="DP17" s="2071"/>
      <c r="DQ17" s="2071"/>
      <c r="DR17" s="2071"/>
      <c r="DS17" s="2071"/>
      <c r="DT17" s="2071"/>
      <c r="DU17" s="2071"/>
      <c r="DV17" s="2071"/>
      <c r="DW17" s="2071"/>
      <c r="DX17" s="2071"/>
      <c r="DY17" s="2071"/>
      <c r="DZ17" s="2071"/>
      <c r="EA17" s="2071"/>
      <c r="EB17" s="2071"/>
      <c r="EC17" s="2071"/>
      <c r="ED17" s="2071"/>
      <c r="EE17" s="2071"/>
      <c r="EF17" s="2071"/>
      <c r="EG17" s="2071"/>
      <c r="EH17" s="2071"/>
      <c r="EI17" s="2071"/>
      <c r="EJ17" s="2071"/>
      <c r="EK17" s="2071"/>
      <c r="EL17" s="2071"/>
      <c r="EM17" s="2071"/>
      <c r="EN17" s="2071"/>
      <c r="EO17" s="2071"/>
      <c r="EP17" s="2071"/>
      <c r="EQ17" s="2071"/>
      <c r="ER17" s="2071"/>
      <c r="ES17" s="2071"/>
      <c r="ET17" s="2071"/>
      <c r="EU17" s="2071"/>
      <c r="EV17" s="2071"/>
      <c r="EW17" s="2071"/>
      <c r="EX17" s="2071"/>
      <c r="EY17" s="2071"/>
      <c r="EZ17" s="2071"/>
      <c r="FA17" s="2071"/>
      <c r="FB17" s="2071"/>
      <c r="FC17" s="2071"/>
      <c r="FD17" s="2071"/>
      <c r="FE17" s="2071"/>
      <c r="FF17" s="2071"/>
      <c r="FG17" s="2071"/>
      <c r="FH17" s="2071"/>
      <c r="FI17" s="2071"/>
      <c r="FJ17" s="2071"/>
      <c r="FK17" s="2071"/>
      <c r="FL17" s="2071"/>
      <c r="FM17" s="2071"/>
      <c r="FN17" s="2071"/>
      <c r="FO17" s="2071"/>
      <c r="FP17" s="2071"/>
      <c r="FQ17" s="2071"/>
      <c r="FR17" s="2071"/>
      <c r="FS17" s="2071"/>
      <c r="FT17" s="2071"/>
      <c r="FU17" s="2071"/>
      <c r="FV17" s="2071"/>
      <c r="FW17" s="2071"/>
      <c r="FX17" s="2071"/>
      <c r="FY17" s="2071"/>
      <c r="FZ17" s="2071"/>
      <c r="GA17" s="2071"/>
      <c r="GB17" s="2071"/>
      <c r="GC17" s="2071"/>
      <c r="GD17" s="2071"/>
      <c r="GE17" s="2071"/>
      <c r="GF17" s="2071"/>
      <c r="GG17" s="2071"/>
      <c r="GH17" s="2071"/>
      <c r="GI17" s="2071"/>
      <c r="GJ17" s="2071"/>
      <c r="GK17" s="2071"/>
      <c r="GL17" s="2071"/>
      <c r="GM17" s="2071"/>
      <c r="GN17" s="2071"/>
      <c r="GO17" s="2071"/>
      <c r="GP17" s="2071"/>
      <c r="GQ17" s="2071"/>
      <c r="GR17" s="2071"/>
      <c r="GS17" s="2071"/>
      <c r="GT17" s="2071"/>
      <c r="GU17" s="2071"/>
      <c r="GV17" s="2071"/>
      <c r="GW17" s="2071"/>
      <c r="GX17" s="2071"/>
      <c r="GY17" s="2071"/>
      <c r="GZ17" s="2071"/>
      <c r="HA17" s="2071"/>
      <c r="HB17" s="2071"/>
      <c r="HC17" s="2071"/>
      <c r="HD17" s="2071"/>
      <c r="HE17" s="2071"/>
      <c r="HF17" s="2071"/>
      <c r="HG17" s="2071"/>
      <c r="HH17" s="2071"/>
      <c r="HI17" s="2071"/>
      <c r="HJ17" s="2071"/>
      <c r="HK17" s="2071"/>
      <c r="HL17" s="2071"/>
      <c r="HM17" s="2071"/>
      <c r="HN17" s="2071"/>
      <c r="HO17" s="2071"/>
      <c r="HP17" s="2071"/>
      <c r="HQ17" s="2071"/>
      <c r="HR17" s="2071"/>
      <c r="HS17" s="2071"/>
      <c r="HT17" s="2071"/>
      <c r="HU17" s="2071"/>
      <c r="HV17" s="2071"/>
      <c r="HW17" s="2071"/>
      <c r="HX17" s="2071"/>
      <c r="HY17" s="2071"/>
      <c r="HZ17" s="2071"/>
      <c r="IA17" s="2071"/>
      <c r="IB17" s="2071"/>
      <c r="IC17" s="2071"/>
      <c r="ID17" s="2071"/>
      <c r="IE17" s="2071"/>
      <c r="IF17" s="2071"/>
      <c r="IG17" s="2071"/>
      <c r="IH17" s="2071"/>
      <c r="II17" s="2071"/>
      <c r="IJ17" s="2071"/>
      <c r="IK17" s="2071"/>
      <c r="IL17" s="2071"/>
      <c r="IM17" s="2071"/>
      <c r="IN17" s="2071"/>
    </row>
    <row r="18" spans="1:248">
      <c r="A18" s="2051"/>
      <c r="B18" s="2052">
        <f>审定资负表!C20</f>
        <v>0</v>
      </c>
      <c r="C18" s="2052">
        <f>审定资负表!D20</f>
        <v>0</v>
      </c>
      <c r="D18" s="2053" t="str">
        <f t="shared" si="0"/>
        <v> </v>
      </c>
      <c r="E18" s="2054">
        <f t="shared" si="1"/>
        <v>0</v>
      </c>
      <c r="F18" s="2055" t="str">
        <f t="shared" si="2"/>
        <v/>
      </c>
      <c r="G18" s="2056"/>
      <c r="H18" s="2059"/>
      <c r="I18" s="2059"/>
      <c r="J18" s="2075"/>
      <c r="K18" s="2071"/>
      <c r="L18" s="2071"/>
      <c r="M18" s="2071"/>
      <c r="N18" s="2071"/>
      <c r="O18" s="2071"/>
      <c r="P18" s="2071"/>
      <c r="Q18" s="2071"/>
      <c r="R18" s="2071"/>
      <c r="S18" s="2071"/>
      <c r="T18" s="2071"/>
      <c r="U18" s="2071"/>
      <c r="V18" s="2071"/>
      <c r="W18" s="2071"/>
      <c r="X18" s="2071"/>
      <c r="Y18" s="2071"/>
      <c r="Z18" s="2071"/>
      <c r="AA18" s="2071"/>
      <c r="AB18" s="2071"/>
      <c r="AC18" s="2071"/>
      <c r="AD18" s="2071"/>
      <c r="AE18" s="2071"/>
      <c r="AF18" s="2071"/>
      <c r="AG18" s="2071"/>
      <c r="AH18" s="2071"/>
      <c r="AI18" s="2071"/>
      <c r="AJ18" s="2071"/>
      <c r="AK18" s="2071"/>
      <c r="AL18" s="2071"/>
      <c r="AM18" s="2071"/>
      <c r="AN18" s="2071"/>
      <c r="AO18" s="2071"/>
      <c r="AP18" s="2071"/>
      <c r="AQ18" s="2071"/>
      <c r="AR18" s="2071"/>
      <c r="AS18" s="2071"/>
      <c r="AT18" s="2071"/>
      <c r="AU18" s="2071"/>
      <c r="AV18" s="2071"/>
      <c r="AW18" s="2071"/>
      <c r="AX18" s="2071"/>
      <c r="AY18" s="2071"/>
      <c r="AZ18" s="2071"/>
      <c r="BA18" s="2071"/>
      <c r="BB18" s="2071"/>
      <c r="BC18" s="2071"/>
      <c r="BD18" s="2071"/>
      <c r="BE18" s="2071"/>
      <c r="BF18" s="2071"/>
      <c r="BG18" s="2071"/>
      <c r="BH18" s="2071"/>
      <c r="BI18" s="2071"/>
      <c r="BJ18" s="2071"/>
      <c r="BK18" s="2071"/>
      <c r="BL18" s="2071"/>
      <c r="BM18" s="2071"/>
      <c r="BN18" s="2071"/>
      <c r="BO18" s="2071"/>
      <c r="BP18" s="2071"/>
      <c r="BQ18" s="2071"/>
      <c r="BR18" s="2071"/>
      <c r="BS18" s="2071"/>
      <c r="BT18" s="2071"/>
      <c r="BU18" s="2071"/>
      <c r="BV18" s="2071"/>
      <c r="BW18" s="2071"/>
      <c r="BX18" s="2071"/>
      <c r="BY18" s="2071"/>
      <c r="BZ18" s="2071"/>
      <c r="CA18" s="2071"/>
      <c r="CB18" s="2071"/>
      <c r="CC18" s="2071"/>
      <c r="CD18" s="2071"/>
      <c r="CE18" s="2071"/>
      <c r="CF18" s="2071"/>
      <c r="CG18" s="2071"/>
      <c r="CH18" s="2071"/>
      <c r="CI18" s="2071"/>
      <c r="CJ18" s="2071"/>
      <c r="CK18" s="2071"/>
      <c r="CL18" s="2071"/>
      <c r="CM18" s="2071"/>
      <c r="CN18" s="2071"/>
      <c r="CO18" s="2071"/>
      <c r="CP18" s="2071"/>
      <c r="CQ18" s="2071"/>
      <c r="CR18" s="2071"/>
      <c r="CS18" s="2071"/>
      <c r="CT18" s="2071"/>
      <c r="CU18" s="2071"/>
      <c r="CV18" s="2071"/>
      <c r="CW18" s="2071"/>
      <c r="CX18" s="2071"/>
      <c r="CY18" s="2071"/>
      <c r="CZ18" s="2071"/>
      <c r="DA18" s="2071"/>
      <c r="DB18" s="2071"/>
      <c r="DC18" s="2071"/>
      <c r="DD18" s="2071"/>
      <c r="DE18" s="2071"/>
      <c r="DF18" s="2071"/>
      <c r="DG18" s="2071"/>
      <c r="DH18" s="2071"/>
      <c r="DI18" s="2071"/>
      <c r="DJ18" s="2071"/>
      <c r="DK18" s="2071"/>
      <c r="DL18" s="2071"/>
      <c r="DM18" s="2071"/>
      <c r="DN18" s="2071"/>
      <c r="DO18" s="2071"/>
      <c r="DP18" s="2071"/>
      <c r="DQ18" s="2071"/>
      <c r="DR18" s="2071"/>
      <c r="DS18" s="2071"/>
      <c r="DT18" s="2071"/>
      <c r="DU18" s="2071"/>
      <c r="DV18" s="2071"/>
      <c r="DW18" s="2071"/>
      <c r="DX18" s="2071"/>
      <c r="DY18" s="2071"/>
      <c r="DZ18" s="2071"/>
      <c r="EA18" s="2071"/>
      <c r="EB18" s="2071"/>
      <c r="EC18" s="2071"/>
      <c r="ED18" s="2071"/>
      <c r="EE18" s="2071"/>
      <c r="EF18" s="2071"/>
      <c r="EG18" s="2071"/>
      <c r="EH18" s="2071"/>
      <c r="EI18" s="2071"/>
      <c r="EJ18" s="2071"/>
      <c r="EK18" s="2071"/>
      <c r="EL18" s="2071"/>
      <c r="EM18" s="2071"/>
      <c r="EN18" s="2071"/>
      <c r="EO18" s="2071"/>
      <c r="EP18" s="2071"/>
      <c r="EQ18" s="2071"/>
      <c r="ER18" s="2071"/>
      <c r="ES18" s="2071"/>
      <c r="ET18" s="2071"/>
      <c r="EU18" s="2071"/>
      <c r="EV18" s="2071"/>
      <c r="EW18" s="2071"/>
      <c r="EX18" s="2071"/>
      <c r="EY18" s="2071"/>
      <c r="EZ18" s="2071"/>
      <c r="FA18" s="2071"/>
      <c r="FB18" s="2071"/>
      <c r="FC18" s="2071"/>
      <c r="FD18" s="2071"/>
      <c r="FE18" s="2071"/>
      <c r="FF18" s="2071"/>
      <c r="FG18" s="2071"/>
      <c r="FH18" s="2071"/>
      <c r="FI18" s="2071"/>
      <c r="FJ18" s="2071"/>
      <c r="FK18" s="2071"/>
      <c r="FL18" s="2071"/>
      <c r="FM18" s="2071"/>
      <c r="FN18" s="2071"/>
      <c r="FO18" s="2071"/>
      <c r="FP18" s="2071"/>
      <c r="FQ18" s="2071"/>
      <c r="FR18" s="2071"/>
      <c r="FS18" s="2071"/>
      <c r="FT18" s="2071"/>
      <c r="FU18" s="2071"/>
      <c r="FV18" s="2071"/>
      <c r="FW18" s="2071"/>
      <c r="FX18" s="2071"/>
      <c r="FY18" s="2071"/>
      <c r="FZ18" s="2071"/>
      <c r="GA18" s="2071"/>
      <c r="GB18" s="2071"/>
      <c r="GC18" s="2071"/>
      <c r="GD18" s="2071"/>
      <c r="GE18" s="2071"/>
      <c r="GF18" s="2071"/>
      <c r="GG18" s="2071"/>
      <c r="GH18" s="2071"/>
      <c r="GI18" s="2071"/>
      <c r="GJ18" s="2071"/>
      <c r="GK18" s="2071"/>
      <c r="GL18" s="2071"/>
      <c r="GM18" s="2071"/>
      <c r="GN18" s="2071"/>
      <c r="GO18" s="2071"/>
      <c r="GP18" s="2071"/>
      <c r="GQ18" s="2071"/>
      <c r="GR18" s="2071"/>
      <c r="GS18" s="2071"/>
      <c r="GT18" s="2071"/>
      <c r="GU18" s="2071"/>
      <c r="GV18" s="2071"/>
      <c r="GW18" s="2071"/>
      <c r="GX18" s="2071"/>
      <c r="GY18" s="2071"/>
      <c r="GZ18" s="2071"/>
      <c r="HA18" s="2071"/>
      <c r="HB18" s="2071"/>
      <c r="HC18" s="2071"/>
      <c r="HD18" s="2071"/>
      <c r="HE18" s="2071"/>
      <c r="HF18" s="2071"/>
      <c r="HG18" s="2071"/>
      <c r="HH18" s="2071"/>
      <c r="HI18" s="2071"/>
      <c r="HJ18" s="2071"/>
      <c r="HK18" s="2071"/>
      <c r="HL18" s="2071"/>
      <c r="HM18" s="2071"/>
      <c r="HN18" s="2071"/>
      <c r="HO18" s="2071"/>
      <c r="HP18" s="2071"/>
      <c r="HQ18" s="2071"/>
      <c r="HR18" s="2071"/>
      <c r="HS18" s="2071"/>
      <c r="HT18" s="2071"/>
      <c r="HU18" s="2071"/>
      <c r="HV18" s="2071"/>
      <c r="HW18" s="2071"/>
      <c r="HX18" s="2071"/>
      <c r="HY18" s="2071"/>
      <c r="HZ18" s="2071"/>
      <c r="IA18" s="2071"/>
      <c r="IB18" s="2071"/>
      <c r="IC18" s="2071"/>
      <c r="ID18" s="2071"/>
      <c r="IE18" s="2071"/>
      <c r="IF18" s="2071"/>
      <c r="IG18" s="2071"/>
      <c r="IH18" s="2071"/>
      <c r="II18" s="2071"/>
      <c r="IJ18" s="2071"/>
      <c r="IK18" s="2071"/>
      <c r="IL18" s="2071"/>
      <c r="IM18" s="2071"/>
      <c r="IN18" s="2071"/>
    </row>
    <row r="19" spans="1:248">
      <c r="A19" s="2047" t="s">
        <v>223</v>
      </c>
      <c r="B19" s="2052">
        <f>审定资负表!C21</f>
        <v>0</v>
      </c>
      <c r="C19" s="2052">
        <f>审定资负表!D21</f>
        <v>0</v>
      </c>
      <c r="D19" s="2053" t="str">
        <f t="shared" si="0"/>
        <v> </v>
      </c>
      <c r="E19" s="2054">
        <f t="shared" si="1"/>
        <v>0</v>
      </c>
      <c r="F19" s="2055" t="str">
        <f t="shared" si="2"/>
        <v/>
      </c>
      <c r="G19" s="2056"/>
      <c r="H19" s="2059"/>
      <c r="I19" s="2059"/>
      <c r="J19" s="2074"/>
      <c r="K19" s="2071"/>
      <c r="L19" s="2071"/>
      <c r="M19" s="2071"/>
      <c r="N19" s="2071"/>
      <c r="O19" s="2071"/>
      <c r="P19" s="2071"/>
      <c r="Q19" s="2071"/>
      <c r="R19" s="2071"/>
      <c r="S19" s="2071"/>
      <c r="T19" s="2071"/>
      <c r="U19" s="2071"/>
      <c r="V19" s="2071"/>
      <c r="W19" s="2071"/>
      <c r="X19" s="2071"/>
      <c r="Y19" s="2071"/>
      <c r="Z19" s="2071"/>
      <c r="AA19" s="2071"/>
      <c r="AB19" s="2071"/>
      <c r="AC19" s="2071"/>
      <c r="AD19" s="2071"/>
      <c r="AE19" s="2071"/>
      <c r="AF19" s="2071"/>
      <c r="AG19" s="2071"/>
      <c r="AH19" s="2071"/>
      <c r="AI19" s="2071"/>
      <c r="AJ19" s="2071"/>
      <c r="AK19" s="2071"/>
      <c r="AL19" s="2071"/>
      <c r="AM19" s="2071"/>
      <c r="AN19" s="2071"/>
      <c r="AO19" s="2071"/>
      <c r="AP19" s="2071"/>
      <c r="AQ19" s="2071"/>
      <c r="AR19" s="2071"/>
      <c r="AS19" s="2071"/>
      <c r="AT19" s="2071"/>
      <c r="AU19" s="2071"/>
      <c r="AV19" s="2071"/>
      <c r="AW19" s="2071"/>
      <c r="AX19" s="2071"/>
      <c r="AY19" s="2071"/>
      <c r="AZ19" s="2071"/>
      <c r="BA19" s="2071"/>
      <c r="BB19" s="2071"/>
      <c r="BC19" s="2071"/>
      <c r="BD19" s="2071"/>
      <c r="BE19" s="2071"/>
      <c r="BF19" s="2071"/>
      <c r="BG19" s="2071"/>
      <c r="BH19" s="2071"/>
      <c r="BI19" s="2071"/>
      <c r="BJ19" s="2071"/>
      <c r="BK19" s="2071"/>
      <c r="BL19" s="2071"/>
      <c r="BM19" s="2071"/>
      <c r="BN19" s="2071"/>
      <c r="BO19" s="2071"/>
      <c r="BP19" s="2071"/>
      <c r="BQ19" s="2071"/>
      <c r="BR19" s="2071"/>
      <c r="BS19" s="2071"/>
      <c r="BT19" s="2071"/>
      <c r="BU19" s="2071"/>
      <c r="BV19" s="2071"/>
      <c r="BW19" s="2071"/>
      <c r="BX19" s="2071"/>
      <c r="BY19" s="2071"/>
      <c r="BZ19" s="2071"/>
      <c r="CA19" s="2071"/>
      <c r="CB19" s="2071"/>
      <c r="CC19" s="2071"/>
      <c r="CD19" s="2071"/>
      <c r="CE19" s="2071"/>
      <c r="CF19" s="2071"/>
      <c r="CG19" s="2071"/>
      <c r="CH19" s="2071"/>
      <c r="CI19" s="2071"/>
      <c r="CJ19" s="2071"/>
      <c r="CK19" s="2071"/>
      <c r="CL19" s="2071"/>
      <c r="CM19" s="2071"/>
      <c r="CN19" s="2071"/>
      <c r="CO19" s="2071"/>
      <c r="CP19" s="2071"/>
      <c r="CQ19" s="2071"/>
      <c r="CR19" s="2071"/>
      <c r="CS19" s="2071"/>
      <c r="CT19" s="2071"/>
      <c r="CU19" s="2071"/>
      <c r="CV19" s="2071"/>
      <c r="CW19" s="2071"/>
      <c r="CX19" s="2071"/>
      <c r="CY19" s="2071"/>
      <c r="CZ19" s="2071"/>
      <c r="DA19" s="2071"/>
      <c r="DB19" s="2071"/>
      <c r="DC19" s="2071"/>
      <c r="DD19" s="2071"/>
      <c r="DE19" s="2071"/>
      <c r="DF19" s="2071"/>
      <c r="DG19" s="2071"/>
      <c r="DH19" s="2071"/>
      <c r="DI19" s="2071"/>
      <c r="DJ19" s="2071"/>
      <c r="DK19" s="2071"/>
      <c r="DL19" s="2071"/>
      <c r="DM19" s="2071"/>
      <c r="DN19" s="2071"/>
      <c r="DO19" s="2071"/>
      <c r="DP19" s="2071"/>
      <c r="DQ19" s="2071"/>
      <c r="DR19" s="2071"/>
      <c r="DS19" s="2071"/>
      <c r="DT19" s="2071"/>
      <c r="DU19" s="2071"/>
      <c r="DV19" s="2071"/>
      <c r="DW19" s="2071"/>
      <c r="DX19" s="2071"/>
      <c r="DY19" s="2071"/>
      <c r="DZ19" s="2071"/>
      <c r="EA19" s="2071"/>
      <c r="EB19" s="2071"/>
      <c r="EC19" s="2071"/>
      <c r="ED19" s="2071"/>
      <c r="EE19" s="2071"/>
      <c r="EF19" s="2071"/>
      <c r="EG19" s="2071"/>
      <c r="EH19" s="2071"/>
      <c r="EI19" s="2071"/>
      <c r="EJ19" s="2071"/>
      <c r="EK19" s="2071"/>
      <c r="EL19" s="2071"/>
      <c r="EM19" s="2071"/>
      <c r="EN19" s="2071"/>
      <c r="EO19" s="2071"/>
      <c r="EP19" s="2071"/>
      <c r="EQ19" s="2071"/>
      <c r="ER19" s="2071"/>
      <c r="ES19" s="2071"/>
      <c r="ET19" s="2071"/>
      <c r="EU19" s="2071"/>
      <c r="EV19" s="2071"/>
      <c r="EW19" s="2071"/>
      <c r="EX19" s="2071"/>
      <c r="EY19" s="2071"/>
      <c r="EZ19" s="2071"/>
      <c r="FA19" s="2071"/>
      <c r="FB19" s="2071"/>
      <c r="FC19" s="2071"/>
      <c r="FD19" s="2071"/>
      <c r="FE19" s="2071"/>
      <c r="FF19" s="2071"/>
      <c r="FG19" s="2071"/>
      <c r="FH19" s="2071"/>
      <c r="FI19" s="2071"/>
      <c r="FJ19" s="2071"/>
      <c r="FK19" s="2071"/>
      <c r="FL19" s="2071"/>
      <c r="FM19" s="2071"/>
      <c r="FN19" s="2071"/>
      <c r="FO19" s="2071"/>
      <c r="FP19" s="2071"/>
      <c r="FQ19" s="2071"/>
      <c r="FR19" s="2071"/>
      <c r="FS19" s="2071"/>
      <c r="FT19" s="2071"/>
      <c r="FU19" s="2071"/>
      <c r="FV19" s="2071"/>
      <c r="FW19" s="2071"/>
      <c r="FX19" s="2071"/>
      <c r="FY19" s="2071"/>
      <c r="FZ19" s="2071"/>
      <c r="GA19" s="2071"/>
      <c r="GB19" s="2071"/>
      <c r="GC19" s="2071"/>
      <c r="GD19" s="2071"/>
      <c r="GE19" s="2071"/>
      <c r="GF19" s="2071"/>
      <c r="GG19" s="2071"/>
      <c r="GH19" s="2071"/>
      <c r="GI19" s="2071"/>
      <c r="GJ19" s="2071"/>
      <c r="GK19" s="2071"/>
      <c r="GL19" s="2071"/>
      <c r="GM19" s="2071"/>
      <c r="GN19" s="2071"/>
      <c r="GO19" s="2071"/>
      <c r="GP19" s="2071"/>
      <c r="GQ19" s="2071"/>
      <c r="GR19" s="2071"/>
      <c r="GS19" s="2071"/>
      <c r="GT19" s="2071"/>
      <c r="GU19" s="2071"/>
      <c r="GV19" s="2071"/>
      <c r="GW19" s="2071"/>
      <c r="GX19" s="2071"/>
      <c r="GY19" s="2071"/>
      <c r="GZ19" s="2071"/>
      <c r="HA19" s="2071"/>
      <c r="HB19" s="2071"/>
      <c r="HC19" s="2071"/>
      <c r="HD19" s="2071"/>
      <c r="HE19" s="2071"/>
      <c r="HF19" s="2071"/>
      <c r="HG19" s="2071"/>
      <c r="HH19" s="2071"/>
      <c r="HI19" s="2071"/>
      <c r="HJ19" s="2071"/>
      <c r="HK19" s="2071"/>
      <c r="HL19" s="2071"/>
      <c r="HM19" s="2071"/>
      <c r="HN19" s="2071"/>
      <c r="HO19" s="2071"/>
      <c r="HP19" s="2071"/>
      <c r="HQ19" s="2071"/>
      <c r="HR19" s="2071"/>
      <c r="HS19" s="2071"/>
      <c r="HT19" s="2071"/>
      <c r="HU19" s="2071"/>
      <c r="HV19" s="2071"/>
      <c r="HW19" s="2071"/>
      <c r="HX19" s="2071"/>
      <c r="HY19" s="2071"/>
      <c r="HZ19" s="2071"/>
      <c r="IA19" s="2071"/>
      <c r="IB19" s="2071"/>
      <c r="IC19" s="2071"/>
      <c r="ID19" s="2071"/>
      <c r="IE19" s="2071"/>
      <c r="IF19" s="2071"/>
      <c r="IG19" s="2071"/>
      <c r="IH19" s="2071"/>
      <c r="II19" s="2071"/>
      <c r="IJ19" s="2071"/>
      <c r="IK19" s="2071"/>
      <c r="IL19" s="2071"/>
      <c r="IM19" s="2071"/>
      <c r="IN19" s="2071"/>
    </row>
    <row r="20" spans="1:248">
      <c r="A20" s="2051" t="s">
        <v>224</v>
      </c>
      <c r="B20" s="2052">
        <f>审定资负表!C22</f>
        <v>0</v>
      </c>
      <c r="C20" s="2052">
        <f>审定资负表!D22</f>
        <v>0</v>
      </c>
      <c r="D20" s="2053" t="str">
        <f t="shared" si="0"/>
        <v> </v>
      </c>
      <c r="E20" s="2054">
        <f t="shared" si="1"/>
        <v>0</v>
      </c>
      <c r="F20" s="2055" t="str">
        <f t="shared" si="2"/>
        <v/>
      </c>
      <c r="G20" s="2056"/>
      <c r="H20" s="2057" t="str">
        <f>IF(报表附注!F968=0,"相符","不相符")</f>
        <v>相符</v>
      </c>
      <c r="I20" s="2057" t="str">
        <f>IF(报表附注!G968=0,"相符","不相符")</f>
        <v>相符</v>
      </c>
      <c r="J20" s="2070" t="s">
        <v>1943</v>
      </c>
      <c r="K20" s="2071"/>
      <c r="L20" s="2071"/>
      <c r="M20" s="2071"/>
      <c r="N20" s="2071"/>
      <c r="O20" s="2071"/>
      <c r="P20" s="2071"/>
      <c r="Q20" s="2071"/>
      <c r="R20" s="2071"/>
      <c r="S20" s="2071"/>
      <c r="T20" s="2071"/>
      <c r="U20" s="2071"/>
      <c r="V20" s="2071"/>
      <c r="W20" s="2071"/>
      <c r="X20" s="2071"/>
      <c r="Y20" s="2071"/>
      <c r="Z20" s="2071"/>
      <c r="AA20" s="2071"/>
      <c r="AB20" s="2071"/>
      <c r="AC20" s="2071"/>
      <c r="AD20" s="2071"/>
      <c r="AE20" s="2071"/>
      <c r="AF20" s="2071"/>
      <c r="AG20" s="2071"/>
      <c r="AH20" s="2071"/>
      <c r="AI20" s="2071"/>
      <c r="AJ20" s="2071"/>
      <c r="AK20" s="2071"/>
      <c r="AL20" s="2071"/>
      <c r="AM20" s="2071"/>
      <c r="AN20" s="2071"/>
      <c r="AO20" s="2071"/>
      <c r="AP20" s="2071"/>
      <c r="AQ20" s="2071"/>
      <c r="AR20" s="2071"/>
      <c r="AS20" s="2071"/>
      <c r="AT20" s="2071"/>
      <c r="AU20" s="2071"/>
      <c r="AV20" s="2071"/>
      <c r="AW20" s="2071"/>
      <c r="AX20" s="2071"/>
      <c r="AY20" s="2071"/>
      <c r="AZ20" s="2071"/>
      <c r="BA20" s="2071"/>
      <c r="BB20" s="2071"/>
      <c r="BC20" s="2071"/>
      <c r="BD20" s="2071"/>
      <c r="BE20" s="2071"/>
      <c r="BF20" s="2071"/>
      <c r="BG20" s="2071"/>
      <c r="BH20" s="2071"/>
      <c r="BI20" s="2071"/>
      <c r="BJ20" s="2071"/>
      <c r="BK20" s="2071"/>
      <c r="BL20" s="2071"/>
      <c r="BM20" s="2071"/>
      <c r="BN20" s="2071"/>
      <c r="BO20" s="2071"/>
      <c r="BP20" s="2071"/>
      <c r="BQ20" s="2071"/>
      <c r="BR20" s="2071"/>
      <c r="BS20" s="2071"/>
      <c r="BT20" s="2071"/>
      <c r="BU20" s="2071"/>
      <c r="BV20" s="2071"/>
      <c r="BW20" s="2071"/>
      <c r="BX20" s="2071"/>
      <c r="BY20" s="2071"/>
      <c r="BZ20" s="2071"/>
      <c r="CA20" s="2071"/>
      <c r="CB20" s="2071"/>
      <c r="CC20" s="2071"/>
      <c r="CD20" s="2071"/>
      <c r="CE20" s="2071"/>
      <c r="CF20" s="2071"/>
      <c r="CG20" s="2071"/>
      <c r="CH20" s="2071"/>
      <c r="CI20" s="2071"/>
      <c r="CJ20" s="2071"/>
      <c r="CK20" s="2071"/>
      <c r="CL20" s="2071"/>
      <c r="CM20" s="2071"/>
      <c r="CN20" s="2071"/>
      <c r="CO20" s="2071"/>
      <c r="CP20" s="2071"/>
      <c r="CQ20" s="2071"/>
      <c r="CR20" s="2071"/>
      <c r="CS20" s="2071"/>
      <c r="CT20" s="2071"/>
      <c r="CU20" s="2071"/>
      <c r="CV20" s="2071"/>
      <c r="CW20" s="2071"/>
      <c r="CX20" s="2071"/>
      <c r="CY20" s="2071"/>
      <c r="CZ20" s="2071"/>
      <c r="DA20" s="2071"/>
      <c r="DB20" s="2071"/>
      <c r="DC20" s="2071"/>
      <c r="DD20" s="2071"/>
      <c r="DE20" s="2071"/>
      <c r="DF20" s="2071"/>
      <c r="DG20" s="2071"/>
      <c r="DH20" s="2071"/>
      <c r="DI20" s="2071"/>
      <c r="DJ20" s="2071"/>
      <c r="DK20" s="2071"/>
      <c r="DL20" s="2071"/>
      <c r="DM20" s="2071"/>
      <c r="DN20" s="2071"/>
      <c r="DO20" s="2071"/>
      <c r="DP20" s="2071"/>
      <c r="DQ20" s="2071"/>
      <c r="DR20" s="2071"/>
      <c r="DS20" s="2071"/>
      <c r="DT20" s="2071"/>
      <c r="DU20" s="2071"/>
      <c r="DV20" s="2071"/>
      <c r="DW20" s="2071"/>
      <c r="DX20" s="2071"/>
      <c r="DY20" s="2071"/>
      <c r="DZ20" s="2071"/>
      <c r="EA20" s="2071"/>
      <c r="EB20" s="2071"/>
      <c r="EC20" s="2071"/>
      <c r="ED20" s="2071"/>
      <c r="EE20" s="2071"/>
      <c r="EF20" s="2071"/>
      <c r="EG20" s="2071"/>
      <c r="EH20" s="2071"/>
      <c r="EI20" s="2071"/>
      <c r="EJ20" s="2071"/>
      <c r="EK20" s="2071"/>
      <c r="EL20" s="2071"/>
      <c r="EM20" s="2071"/>
      <c r="EN20" s="2071"/>
      <c r="EO20" s="2071"/>
      <c r="EP20" s="2071"/>
      <c r="EQ20" s="2071"/>
      <c r="ER20" s="2071"/>
      <c r="ES20" s="2071"/>
      <c r="ET20" s="2071"/>
      <c r="EU20" s="2071"/>
      <c r="EV20" s="2071"/>
      <c r="EW20" s="2071"/>
      <c r="EX20" s="2071"/>
      <c r="EY20" s="2071"/>
      <c r="EZ20" s="2071"/>
      <c r="FA20" s="2071"/>
      <c r="FB20" s="2071"/>
      <c r="FC20" s="2071"/>
      <c r="FD20" s="2071"/>
      <c r="FE20" s="2071"/>
      <c r="FF20" s="2071"/>
      <c r="FG20" s="2071"/>
      <c r="FH20" s="2071"/>
      <c r="FI20" s="2071"/>
      <c r="FJ20" s="2071"/>
      <c r="FK20" s="2071"/>
      <c r="FL20" s="2071"/>
      <c r="FM20" s="2071"/>
      <c r="FN20" s="2071"/>
      <c r="FO20" s="2071"/>
      <c r="FP20" s="2071"/>
      <c r="FQ20" s="2071"/>
      <c r="FR20" s="2071"/>
      <c r="FS20" s="2071"/>
      <c r="FT20" s="2071"/>
      <c r="FU20" s="2071"/>
      <c r="FV20" s="2071"/>
      <c r="FW20" s="2071"/>
      <c r="FX20" s="2071"/>
      <c r="FY20" s="2071"/>
      <c r="FZ20" s="2071"/>
      <c r="GA20" s="2071"/>
      <c r="GB20" s="2071"/>
      <c r="GC20" s="2071"/>
      <c r="GD20" s="2071"/>
      <c r="GE20" s="2071"/>
      <c r="GF20" s="2071"/>
      <c r="GG20" s="2071"/>
      <c r="GH20" s="2071"/>
      <c r="GI20" s="2071"/>
      <c r="GJ20" s="2071"/>
      <c r="GK20" s="2071"/>
      <c r="GL20" s="2071"/>
      <c r="GM20" s="2071"/>
      <c r="GN20" s="2071"/>
      <c r="GO20" s="2071"/>
      <c r="GP20" s="2071"/>
      <c r="GQ20" s="2071"/>
      <c r="GR20" s="2071"/>
      <c r="GS20" s="2071"/>
      <c r="GT20" s="2071"/>
      <c r="GU20" s="2071"/>
      <c r="GV20" s="2071"/>
      <c r="GW20" s="2071"/>
      <c r="GX20" s="2071"/>
      <c r="GY20" s="2071"/>
      <c r="GZ20" s="2071"/>
      <c r="HA20" s="2071"/>
      <c r="HB20" s="2071"/>
      <c r="HC20" s="2071"/>
      <c r="HD20" s="2071"/>
      <c r="HE20" s="2071"/>
      <c r="HF20" s="2071"/>
      <c r="HG20" s="2071"/>
      <c r="HH20" s="2071"/>
      <c r="HI20" s="2071"/>
      <c r="HJ20" s="2071"/>
      <c r="HK20" s="2071"/>
      <c r="HL20" s="2071"/>
      <c r="HM20" s="2071"/>
      <c r="HN20" s="2071"/>
      <c r="HO20" s="2071"/>
      <c r="HP20" s="2071"/>
      <c r="HQ20" s="2071"/>
      <c r="HR20" s="2071"/>
      <c r="HS20" s="2071"/>
      <c r="HT20" s="2071"/>
      <c r="HU20" s="2071"/>
      <c r="HV20" s="2071"/>
      <c r="HW20" s="2071"/>
      <c r="HX20" s="2071"/>
      <c r="HY20" s="2071"/>
      <c r="HZ20" s="2071"/>
      <c r="IA20" s="2071"/>
      <c r="IB20" s="2071"/>
      <c r="IC20" s="2071"/>
      <c r="ID20" s="2071"/>
      <c r="IE20" s="2071"/>
      <c r="IF20" s="2071"/>
      <c r="IG20" s="2071"/>
      <c r="IH20" s="2071"/>
      <c r="II20" s="2071"/>
      <c r="IJ20" s="2071"/>
      <c r="IK20" s="2071"/>
      <c r="IL20" s="2071"/>
      <c r="IM20" s="2071"/>
      <c r="IN20" s="2071"/>
    </row>
    <row r="21" spans="1:248">
      <c r="A21" s="2051" t="s">
        <v>226</v>
      </c>
      <c r="B21" s="2052">
        <f>审定资负表!C23</f>
        <v>0</v>
      </c>
      <c r="C21" s="2052">
        <f>审定资负表!D23</f>
        <v>0</v>
      </c>
      <c r="D21" s="2053" t="str">
        <f t="shared" si="0"/>
        <v> </v>
      </c>
      <c r="E21" s="2054">
        <f t="shared" si="1"/>
        <v>0</v>
      </c>
      <c r="F21" s="2055" t="str">
        <f t="shared" si="2"/>
        <v/>
      </c>
      <c r="G21" s="2056"/>
      <c r="H21" s="2057" t="str">
        <f>IF(报表附注!F996=0,"相符","不相符")</f>
        <v>相符</v>
      </c>
      <c r="I21" s="2057" t="str">
        <f>IF(报表附注!G996=0,"相符","不相符")</f>
        <v>相符</v>
      </c>
      <c r="J21" s="2070" t="s">
        <v>1944</v>
      </c>
      <c r="K21" s="2071"/>
      <c r="L21" s="2071"/>
      <c r="M21" s="2071"/>
      <c r="N21" s="2071"/>
      <c r="O21" s="2071"/>
      <c r="P21" s="2071"/>
      <c r="Q21" s="2071"/>
      <c r="R21" s="2071"/>
      <c r="S21" s="2071"/>
      <c r="T21" s="2071"/>
      <c r="U21" s="2071"/>
      <c r="V21" s="2071"/>
      <c r="W21" s="2071"/>
      <c r="X21" s="2071"/>
      <c r="Y21" s="2071"/>
      <c r="Z21" s="2071"/>
      <c r="AA21" s="2071"/>
      <c r="AB21" s="2071"/>
      <c r="AC21" s="2071"/>
      <c r="AD21" s="2071"/>
      <c r="AE21" s="2071"/>
      <c r="AF21" s="2071"/>
      <c r="AG21" s="2071"/>
      <c r="AH21" s="2071"/>
      <c r="AI21" s="2071"/>
      <c r="AJ21" s="2071"/>
      <c r="AK21" s="2071"/>
      <c r="AL21" s="2071"/>
      <c r="AM21" s="2071"/>
      <c r="AN21" s="2071"/>
      <c r="AO21" s="2071"/>
      <c r="AP21" s="2071"/>
      <c r="AQ21" s="2071"/>
      <c r="AR21" s="2071"/>
      <c r="AS21" s="2071"/>
      <c r="AT21" s="2071"/>
      <c r="AU21" s="2071"/>
      <c r="AV21" s="2071"/>
      <c r="AW21" s="2071"/>
      <c r="AX21" s="2071"/>
      <c r="AY21" s="2071"/>
      <c r="AZ21" s="2071"/>
      <c r="BA21" s="2071"/>
      <c r="BB21" s="2071"/>
      <c r="BC21" s="2071"/>
      <c r="BD21" s="2071"/>
      <c r="BE21" s="2071"/>
      <c r="BF21" s="2071"/>
      <c r="BG21" s="2071"/>
      <c r="BH21" s="2071"/>
      <c r="BI21" s="2071"/>
      <c r="BJ21" s="2071"/>
      <c r="BK21" s="2071"/>
      <c r="BL21" s="2071"/>
      <c r="BM21" s="2071"/>
      <c r="BN21" s="2071"/>
      <c r="BO21" s="2071"/>
      <c r="BP21" s="2071"/>
      <c r="BQ21" s="2071"/>
      <c r="BR21" s="2071"/>
      <c r="BS21" s="2071"/>
      <c r="BT21" s="2071"/>
      <c r="BU21" s="2071"/>
      <c r="BV21" s="2071"/>
      <c r="BW21" s="2071"/>
      <c r="BX21" s="2071"/>
      <c r="BY21" s="2071"/>
      <c r="BZ21" s="2071"/>
      <c r="CA21" s="2071"/>
      <c r="CB21" s="2071"/>
      <c r="CC21" s="2071"/>
      <c r="CD21" s="2071"/>
      <c r="CE21" s="2071"/>
      <c r="CF21" s="2071"/>
      <c r="CG21" s="2071"/>
      <c r="CH21" s="2071"/>
      <c r="CI21" s="2071"/>
      <c r="CJ21" s="2071"/>
      <c r="CK21" s="2071"/>
      <c r="CL21" s="2071"/>
      <c r="CM21" s="2071"/>
      <c r="CN21" s="2071"/>
      <c r="CO21" s="2071"/>
      <c r="CP21" s="2071"/>
      <c r="CQ21" s="2071"/>
      <c r="CR21" s="2071"/>
      <c r="CS21" s="2071"/>
      <c r="CT21" s="2071"/>
      <c r="CU21" s="2071"/>
      <c r="CV21" s="2071"/>
      <c r="CW21" s="2071"/>
      <c r="CX21" s="2071"/>
      <c r="CY21" s="2071"/>
      <c r="CZ21" s="2071"/>
      <c r="DA21" s="2071"/>
      <c r="DB21" s="2071"/>
      <c r="DC21" s="2071"/>
      <c r="DD21" s="2071"/>
      <c r="DE21" s="2071"/>
      <c r="DF21" s="2071"/>
      <c r="DG21" s="2071"/>
      <c r="DH21" s="2071"/>
      <c r="DI21" s="2071"/>
      <c r="DJ21" s="2071"/>
      <c r="DK21" s="2071"/>
      <c r="DL21" s="2071"/>
      <c r="DM21" s="2071"/>
      <c r="DN21" s="2071"/>
      <c r="DO21" s="2071"/>
      <c r="DP21" s="2071"/>
      <c r="DQ21" s="2071"/>
      <c r="DR21" s="2071"/>
      <c r="DS21" s="2071"/>
      <c r="DT21" s="2071"/>
      <c r="DU21" s="2071"/>
      <c r="DV21" s="2071"/>
      <c r="DW21" s="2071"/>
      <c r="DX21" s="2071"/>
      <c r="DY21" s="2071"/>
      <c r="DZ21" s="2071"/>
      <c r="EA21" s="2071"/>
      <c r="EB21" s="2071"/>
      <c r="EC21" s="2071"/>
      <c r="ED21" s="2071"/>
      <c r="EE21" s="2071"/>
      <c r="EF21" s="2071"/>
      <c r="EG21" s="2071"/>
      <c r="EH21" s="2071"/>
      <c r="EI21" s="2071"/>
      <c r="EJ21" s="2071"/>
      <c r="EK21" s="2071"/>
      <c r="EL21" s="2071"/>
      <c r="EM21" s="2071"/>
      <c r="EN21" s="2071"/>
      <c r="EO21" s="2071"/>
      <c r="EP21" s="2071"/>
      <c r="EQ21" s="2071"/>
      <c r="ER21" s="2071"/>
      <c r="ES21" s="2071"/>
      <c r="ET21" s="2071"/>
      <c r="EU21" s="2071"/>
      <c r="EV21" s="2071"/>
      <c r="EW21" s="2071"/>
      <c r="EX21" s="2071"/>
      <c r="EY21" s="2071"/>
      <c r="EZ21" s="2071"/>
      <c r="FA21" s="2071"/>
      <c r="FB21" s="2071"/>
      <c r="FC21" s="2071"/>
      <c r="FD21" s="2071"/>
      <c r="FE21" s="2071"/>
      <c r="FF21" s="2071"/>
      <c r="FG21" s="2071"/>
      <c r="FH21" s="2071"/>
      <c r="FI21" s="2071"/>
      <c r="FJ21" s="2071"/>
      <c r="FK21" s="2071"/>
      <c r="FL21" s="2071"/>
      <c r="FM21" s="2071"/>
      <c r="FN21" s="2071"/>
      <c r="FO21" s="2071"/>
      <c r="FP21" s="2071"/>
      <c r="FQ21" s="2071"/>
      <c r="FR21" s="2071"/>
      <c r="FS21" s="2071"/>
      <c r="FT21" s="2071"/>
      <c r="FU21" s="2071"/>
      <c r="FV21" s="2071"/>
      <c r="FW21" s="2071"/>
      <c r="FX21" s="2071"/>
      <c r="FY21" s="2071"/>
      <c r="FZ21" s="2071"/>
      <c r="GA21" s="2071"/>
      <c r="GB21" s="2071"/>
      <c r="GC21" s="2071"/>
      <c r="GD21" s="2071"/>
      <c r="GE21" s="2071"/>
      <c r="GF21" s="2071"/>
      <c r="GG21" s="2071"/>
      <c r="GH21" s="2071"/>
      <c r="GI21" s="2071"/>
      <c r="GJ21" s="2071"/>
      <c r="GK21" s="2071"/>
      <c r="GL21" s="2071"/>
      <c r="GM21" s="2071"/>
      <c r="GN21" s="2071"/>
      <c r="GO21" s="2071"/>
      <c r="GP21" s="2071"/>
      <c r="GQ21" s="2071"/>
      <c r="GR21" s="2071"/>
      <c r="GS21" s="2071"/>
      <c r="GT21" s="2071"/>
      <c r="GU21" s="2071"/>
      <c r="GV21" s="2071"/>
      <c r="GW21" s="2071"/>
      <c r="GX21" s="2071"/>
      <c r="GY21" s="2071"/>
      <c r="GZ21" s="2071"/>
      <c r="HA21" s="2071"/>
      <c r="HB21" s="2071"/>
      <c r="HC21" s="2071"/>
      <c r="HD21" s="2071"/>
      <c r="HE21" s="2071"/>
      <c r="HF21" s="2071"/>
      <c r="HG21" s="2071"/>
      <c r="HH21" s="2071"/>
      <c r="HI21" s="2071"/>
      <c r="HJ21" s="2071"/>
      <c r="HK21" s="2071"/>
      <c r="HL21" s="2071"/>
      <c r="HM21" s="2071"/>
      <c r="HN21" s="2071"/>
      <c r="HO21" s="2071"/>
      <c r="HP21" s="2071"/>
      <c r="HQ21" s="2071"/>
      <c r="HR21" s="2071"/>
      <c r="HS21" s="2071"/>
      <c r="HT21" s="2071"/>
      <c r="HU21" s="2071"/>
      <c r="HV21" s="2071"/>
      <c r="HW21" s="2071"/>
      <c r="HX21" s="2071"/>
      <c r="HY21" s="2071"/>
      <c r="HZ21" s="2071"/>
      <c r="IA21" s="2071"/>
      <c r="IB21" s="2071"/>
      <c r="IC21" s="2071"/>
      <c r="ID21" s="2071"/>
      <c r="IE21" s="2071"/>
      <c r="IF21" s="2071"/>
      <c r="IG21" s="2071"/>
      <c r="IH21" s="2071"/>
      <c r="II21" s="2071"/>
      <c r="IJ21" s="2071"/>
      <c r="IK21" s="2071"/>
      <c r="IL21" s="2071"/>
      <c r="IM21" s="2071"/>
      <c r="IN21" s="2071"/>
    </row>
    <row r="22" spans="1:248">
      <c r="A22" s="2051" t="s">
        <v>228</v>
      </c>
      <c r="B22" s="2052">
        <f>审定资负表!C24</f>
        <v>71889420.62</v>
      </c>
      <c r="C22" s="2052">
        <f>审定资负表!D24</f>
        <v>9658781.06</v>
      </c>
      <c r="D22" s="2053">
        <f t="shared" si="0"/>
        <v>0.148140496613004</v>
      </c>
      <c r="E22" s="2054">
        <f t="shared" si="1"/>
        <v>62230639.56</v>
      </c>
      <c r="F22" s="2055">
        <f t="shared" si="2"/>
        <v>6.4429</v>
      </c>
      <c r="G22" s="2056"/>
      <c r="H22" s="2057" t="str">
        <f>IF(报表附注!F1022=0,"相符","不相符")</f>
        <v>相符</v>
      </c>
      <c r="I22" s="2057" t="str">
        <f>IF(报表附注!G1022=0,"相符","不相符")</f>
        <v>相符</v>
      </c>
      <c r="J22" s="2072" t="s">
        <v>1946</v>
      </c>
      <c r="K22" s="2071"/>
      <c r="L22" s="2071"/>
      <c r="M22" s="2071"/>
      <c r="N22" s="2071"/>
      <c r="O22" s="2071"/>
      <c r="P22" s="2071"/>
      <c r="Q22" s="2071"/>
      <c r="R22" s="2071"/>
      <c r="S22" s="2071"/>
      <c r="T22" s="2071"/>
      <c r="U22" s="2071"/>
      <c r="V22" s="2071"/>
      <c r="W22" s="2071"/>
      <c r="X22" s="2071"/>
      <c r="Y22" s="2071"/>
      <c r="Z22" s="2071"/>
      <c r="AA22" s="2071"/>
      <c r="AB22" s="2071"/>
      <c r="AC22" s="2071"/>
      <c r="AD22" s="2071"/>
      <c r="AE22" s="2071"/>
      <c r="AF22" s="2071"/>
      <c r="AG22" s="2071"/>
      <c r="AH22" s="2071"/>
      <c r="AI22" s="2071"/>
      <c r="AJ22" s="2071"/>
      <c r="AK22" s="2071"/>
      <c r="AL22" s="2071"/>
      <c r="AM22" s="2071"/>
      <c r="AN22" s="2071"/>
      <c r="AO22" s="2071"/>
      <c r="AP22" s="2071"/>
      <c r="AQ22" s="2071"/>
      <c r="AR22" s="2071"/>
      <c r="AS22" s="2071"/>
      <c r="AT22" s="2071"/>
      <c r="AU22" s="2071"/>
      <c r="AV22" s="2071"/>
      <c r="AW22" s="2071"/>
      <c r="AX22" s="2071"/>
      <c r="AY22" s="2071"/>
      <c r="AZ22" s="2071"/>
      <c r="BA22" s="2071"/>
      <c r="BB22" s="2071"/>
      <c r="BC22" s="2071"/>
      <c r="BD22" s="2071"/>
      <c r="BE22" s="2071"/>
      <c r="BF22" s="2071"/>
      <c r="BG22" s="2071"/>
      <c r="BH22" s="2071"/>
      <c r="BI22" s="2071"/>
      <c r="BJ22" s="2071"/>
      <c r="BK22" s="2071"/>
      <c r="BL22" s="2071"/>
      <c r="BM22" s="2071"/>
      <c r="BN22" s="2071"/>
      <c r="BO22" s="2071"/>
      <c r="BP22" s="2071"/>
      <c r="BQ22" s="2071"/>
      <c r="BR22" s="2071"/>
      <c r="BS22" s="2071"/>
      <c r="BT22" s="2071"/>
      <c r="BU22" s="2071"/>
      <c r="BV22" s="2071"/>
      <c r="BW22" s="2071"/>
      <c r="BX22" s="2071"/>
      <c r="BY22" s="2071"/>
      <c r="BZ22" s="2071"/>
      <c r="CA22" s="2071"/>
      <c r="CB22" s="2071"/>
      <c r="CC22" s="2071"/>
      <c r="CD22" s="2071"/>
      <c r="CE22" s="2071"/>
      <c r="CF22" s="2071"/>
      <c r="CG22" s="2071"/>
      <c r="CH22" s="2071"/>
      <c r="CI22" s="2071"/>
      <c r="CJ22" s="2071"/>
      <c r="CK22" s="2071"/>
      <c r="CL22" s="2071"/>
      <c r="CM22" s="2071"/>
      <c r="CN22" s="2071"/>
      <c r="CO22" s="2071"/>
      <c r="CP22" s="2071"/>
      <c r="CQ22" s="2071"/>
      <c r="CR22" s="2071"/>
      <c r="CS22" s="2071"/>
      <c r="CT22" s="2071"/>
      <c r="CU22" s="2071"/>
      <c r="CV22" s="2071"/>
      <c r="CW22" s="2071"/>
      <c r="CX22" s="2071"/>
      <c r="CY22" s="2071"/>
      <c r="CZ22" s="2071"/>
      <c r="DA22" s="2071"/>
      <c r="DB22" s="2071"/>
      <c r="DC22" s="2071"/>
      <c r="DD22" s="2071"/>
      <c r="DE22" s="2071"/>
      <c r="DF22" s="2071"/>
      <c r="DG22" s="2071"/>
      <c r="DH22" s="2071"/>
      <c r="DI22" s="2071"/>
      <c r="DJ22" s="2071"/>
      <c r="DK22" s="2071"/>
      <c r="DL22" s="2071"/>
      <c r="DM22" s="2071"/>
      <c r="DN22" s="2071"/>
      <c r="DO22" s="2071"/>
      <c r="DP22" s="2071"/>
      <c r="DQ22" s="2071"/>
      <c r="DR22" s="2071"/>
      <c r="DS22" s="2071"/>
      <c r="DT22" s="2071"/>
      <c r="DU22" s="2071"/>
      <c r="DV22" s="2071"/>
      <c r="DW22" s="2071"/>
      <c r="DX22" s="2071"/>
      <c r="DY22" s="2071"/>
      <c r="DZ22" s="2071"/>
      <c r="EA22" s="2071"/>
      <c r="EB22" s="2071"/>
      <c r="EC22" s="2071"/>
      <c r="ED22" s="2071"/>
      <c r="EE22" s="2071"/>
      <c r="EF22" s="2071"/>
      <c r="EG22" s="2071"/>
      <c r="EH22" s="2071"/>
      <c r="EI22" s="2071"/>
      <c r="EJ22" s="2071"/>
      <c r="EK22" s="2071"/>
      <c r="EL22" s="2071"/>
      <c r="EM22" s="2071"/>
      <c r="EN22" s="2071"/>
      <c r="EO22" s="2071"/>
      <c r="EP22" s="2071"/>
      <c r="EQ22" s="2071"/>
      <c r="ER22" s="2071"/>
      <c r="ES22" s="2071"/>
      <c r="ET22" s="2071"/>
      <c r="EU22" s="2071"/>
      <c r="EV22" s="2071"/>
      <c r="EW22" s="2071"/>
      <c r="EX22" s="2071"/>
      <c r="EY22" s="2071"/>
      <c r="EZ22" s="2071"/>
      <c r="FA22" s="2071"/>
      <c r="FB22" s="2071"/>
      <c r="FC22" s="2071"/>
      <c r="FD22" s="2071"/>
      <c r="FE22" s="2071"/>
      <c r="FF22" s="2071"/>
      <c r="FG22" s="2071"/>
      <c r="FH22" s="2071"/>
      <c r="FI22" s="2071"/>
      <c r="FJ22" s="2071"/>
      <c r="FK22" s="2071"/>
      <c r="FL22" s="2071"/>
      <c r="FM22" s="2071"/>
      <c r="FN22" s="2071"/>
      <c r="FO22" s="2071"/>
      <c r="FP22" s="2071"/>
      <c r="FQ22" s="2071"/>
      <c r="FR22" s="2071"/>
      <c r="FS22" s="2071"/>
      <c r="FT22" s="2071"/>
      <c r="FU22" s="2071"/>
      <c r="FV22" s="2071"/>
      <c r="FW22" s="2071"/>
      <c r="FX22" s="2071"/>
      <c r="FY22" s="2071"/>
      <c r="FZ22" s="2071"/>
      <c r="GA22" s="2071"/>
      <c r="GB22" s="2071"/>
      <c r="GC22" s="2071"/>
      <c r="GD22" s="2071"/>
      <c r="GE22" s="2071"/>
      <c r="GF22" s="2071"/>
      <c r="GG22" s="2071"/>
      <c r="GH22" s="2071"/>
      <c r="GI22" s="2071"/>
      <c r="GJ22" s="2071"/>
      <c r="GK22" s="2071"/>
      <c r="GL22" s="2071"/>
      <c r="GM22" s="2071"/>
      <c r="GN22" s="2071"/>
      <c r="GO22" s="2071"/>
      <c r="GP22" s="2071"/>
      <c r="GQ22" s="2071"/>
      <c r="GR22" s="2071"/>
      <c r="GS22" s="2071"/>
      <c r="GT22" s="2071"/>
      <c r="GU22" s="2071"/>
      <c r="GV22" s="2071"/>
      <c r="GW22" s="2071"/>
      <c r="GX22" s="2071"/>
      <c r="GY22" s="2071"/>
      <c r="GZ22" s="2071"/>
      <c r="HA22" s="2071"/>
      <c r="HB22" s="2071"/>
      <c r="HC22" s="2071"/>
      <c r="HD22" s="2071"/>
      <c r="HE22" s="2071"/>
      <c r="HF22" s="2071"/>
      <c r="HG22" s="2071"/>
      <c r="HH22" s="2071"/>
      <c r="HI22" s="2071"/>
      <c r="HJ22" s="2071"/>
      <c r="HK22" s="2071"/>
      <c r="HL22" s="2071"/>
      <c r="HM22" s="2071"/>
      <c r="HN22" s="2071"/>
      <c r="HO22" s="2071"/>
      <c r="HP22" s="2071"/>
      <c r="HQ22" s="2071"/>
      <c r="HR22" s="2071"/>
      <c r="HS22" s="2071"/>
      <c r="HT22" s="2071"/>
      <c r="HU22" s="2071"/>
      <c r="HV22" s="2071"/>
      <c r="HW22" s="2071"/>
      <c r="HX22" s="2071"/>
      <c r="HY22" s="2071"/>
      <c r="HZ22" s="2071"/>
      <c r="IA22" s="2071"/>
      <c r="IB22" s="2071"/>
      <c r="IC22" s="2071"/>
      <c r="ID22" s="2071"/>
      <c r="IE22" s="2071"/>
      <c r="IF22" s="2071"/>
      <c r="IG22" s="2071"/>
      <c r="IH22" s="2071"/>
      <c r="II22" s="2071"/>
      <c r="IJ22" s="2071"/>
      <c r="IK22" s="2071"/>
      <c r="IL22" s="2071"/>
      <c r="IM22" s="2071"/>
      <c r="IN22" s="2071"/>
    </row>
    <row r="23" spans="1:248">
      <c r="A23" s="2051" t="s">
        <v>230</v>
      </c>
      <c r="B23" s="2052">
        <f>审定资负表!C25</f>
        <v>4000000</v>
      </c>
      <c r="C23" s="2052">
        <f>审定资负表!D25</f>
        <v>4000000</v>
      </c>
      <c r="D23" s="2053">
        <f t="shared" si="0"/>
        <v>0.00824268691194822</v>
      </c>
      <c r="E23" s="2054">
        <f t="shared" si="1"/>
        <v>0</v>
      </c>
      <c r="F23" s="2055">
        <f t="shared" si="2"/>
        <v>0</v>
      </c>
      <c r="G23" s="2056"/>
      <c r="H23" s="2057" t="str">
        <f>IF(报表附注!K1083=0,"相符","不相符")</f>
        <v>相符</v>
      </c>
      <c r="I23" s="2057" t="str">
        <f>IF(报表附注!H1083=0,"相符","不相符")</f>
        <v>相符</v>
      </c>
      <c r="J23" s="2070" t="s">
        <v>1948</v>
      </c>
      <c r="K23" s="2071"/>
      <c r="L23" s="2071"/>
      <c r="M23" s="2071"/>
      <c r="N23" s="2071"/>
      <c r="O23" s="2071"/>
      <c r="P23" s="2071"/>
      <c r="Q23" s="2071"/>
      <c r="R23" s="2071"/>
      <c r="S23" s="2071"/>
      <c r="T23" s="2071"/>
      <c r="U23" s="2071"/>
      <c r="V23" s="2071"/>
      <c r="W23" s="2071"/>
      <c r="X23" s="2071"/>
      <c r="Y23" s="2071"/>
      <c r="Z23" s="2071"/>
      <c r="AA23" s="2071"/>
      <c r="AB23" s="2071"/>
      <c r="AC23" s="2071"/>
      <c r="AD23" s="2071"/>
      <c r="AE23" s="2071"/>
      <c r="AF23" s="2071"/>
      <c r="AG23" s="2071"/>
      <c r="AH23" s="2071"/>
      <c r="AI23" s="2071"/>
      <c r="AJ23" s="2071"/>
      <c r="AK23" s="2071"/>
      <c r="AL23" s="2071"/>
      <c r="AM23" s="2071"/>
      <c r="AN23" s="2071"/>
      <c r="AO23" s="2071"/>
      <c r="AP23" s="2071"/>
      <c r="AQ23" s="2071"/>
      <c r="AR23" s="2071"/>
      <c r="AS23" s="2071"/>
      <c r="AT23" s="2071"/>
      <c r="AU23" s="2071"/>
      <c r="AV23" s="2071"/>
      <c r="AW23" s="2071"/>
      <c r="AX23" s="2071"/>
      <c r="AY23" s="2071"/>
      <c r="AZ23" s="2071"/>
      <c r="BA23" s="2071"/>
      <c r="BB23" s="2071"/>
      <c r="BC23" s="2071"/>
      <c r="BD23" s="2071"/>
      <c r="BE23" s="2071"/>
      <c r="BF23" s="2071"/>
      <c r="BG23" s="2071"/>
      <c r="BH23" s="2071"/>
      <c r="BI23" s="2071"/>
      <c r="BJ23" s="2071"/>
      <c r="BK23" s="2071"/>
      <c r="BL23" s="2071"/>
      <c r="BM23" s="2071"/>
      <c r="BN23" s="2071"/>
      <c r="BO23" s="2071"/>
      <c r="BP23" s="2071"/>
      <c r="BQ23" s="2071"/>
      <c r="BR23" s="2071"/>
      <c r="BS23" s="2071"/>
      <c r="BT23" s="2071"/>
      <c r="BU23" s="2071"/>
      <c r="BV23" s="2071"/>
      <c r="BW23" s="2071"/>
      <c r="BX23" s="2071"/>
      <c r="BY23" s="2071"/>
      <c r="BZ23" s="2071"/>
      <c r="CA23" s="2071"/>
      <c r="CB23" s="2071"/>
      <c r="CC23" s="2071"/>
      <c r="CD23" s="2071"/>
      <c r="CE23" s="2071"/>
      <c r="CF23" s="2071"/>
      <c r="CG23" s="2071"/>
      <c r="CH23" s="2071"/>
      <c r="CI23" s="2071"/>
      <c r="CJ23" s="2071"/>
      <c r="CK23" s="2071"/>
      <c r="CL23" s="2071"/>
      <c r="CM23" s="2071"/>
      <c r="CN23" s="2071"/>
      <c r="CO23" s="2071"/>
      <c r="CP23" s="2071"/>
      <c r="CQ23" s="2071"/>
      <c r="CR23" s="2071"/>
      <c r="CS23" s="2071"/>
      <c r="CT23" s="2071"/>
      <c r="CU23" s="2071"/>
      <c r="CV23" s="2071"/>
      <c r="CW23" s="2071"/>
      <c r="CX23" s="2071"/>
      <c r="CY23" s="2071"/>
      <c r="CZ23" s="2071"/>
      <c r="DA23" s="2071"/>
      <c r="DB23" s="2071"/>
      <c r="DC23" s="2071"/>
      <c r="DD23" s="2071"/>
      <c r="DE23" s="2071"/>
      <c r="DF23" s="2071"/>
      <c r="DG23" s="2071"/>
      <c r="DH23" s="2071"/>
      <c r="DI23" s="2071"/>
      <c r="DJ23" s="2071"/>
      <c r="DK23" s="2071"/>
      <c r="DL23" s="2071"/>
      <c r="DM23" s="2071"/>
      <c r="DN23" s="2071"/>
      <c r="DO23" s="2071"/>
      <c r="DP23" s="2071"/>
      <c r="DQ23" s="2071"/>
      <c r="DR23" s="2071"/>
      <c r="DS23" s="2071"/>
      <c r="DT23" s="2071"/>
      <c r="DU23" s="2071"/>
      <c r="DV23" s="2071"/>
      <c r="DW23" s="2071"/>
      <c r="DX23" s="2071"/>
      <c r="DY23" s="2071"/>
      <c r="DZ23" s="2071"/>
      <c r="EA23" s="2071"/>
      <c r="EB23" s="2071"/>
      <c r="EC23" s="2071"/>
      <c r="ED23" s="2071"/>
      <c r="EE23" s="2071"/>
      <c r="EF23" s="2071"/>
      <c r="EG23" s="2071"/>
      <c r="EH23" s="2071"/>
      <c r="EI23" s="2071"/>
      <c r="EJ23" s="2071"/>
      <c r="EK23" s="2071"/>
      <c r="EL23" s="2071"/>
      <c r="EM23" s="2071"/>
      <c r="EN23" s="2071"/>
      <c r="EO23" s="2071"/>
      <c r="EP23" s="2071"/>
      <c r="EQ23" s="2071"/>
      <c r="ER23" s="2071"/>
      <c r="ES23" s="2071"/>
      <c r="ET23" s="2071"/>
      <c r="EU23" s="2071"/>
      <c r="EV23" s="2071"/>
      <c r="EW23" s="2071"/>
      <c r="EX23" s="2071"/>
      <c r="EY23" s="2071"/>
      <c r="EZ23" s="2071"/>
      <c r="FA23" s="2071"/>
      <c r="FB23" s="2071"/>
      <c r="FC23" s="2071"/>
      <c r="FD23" s="2071"/>
      <c r="FE23" s="2071"/>
      <c r="FF23" s="2071"/>
      <c r="FG23" s="2071"/>
      <c r="FH23" s="2071"/>
      <c r="FI23" s="2071"/>
      <c r="FJ23" s="2071"/>
      <c r="FK23" s="2071"/>
      <c r="FL23" s="2071"/>
      <c r="FM23" s="2071"/>
      <c r="FN23" s="2071"/>
      <c r="FO23" s="2071"/>
      <c r="FP23" s="2071"/>
      <c r="FQ23" s="2071"/>
      <c r="FR23" s="2071"/>
      <c r="FS23" s="2071"/>
      <c r="FT23" s="2071"/>
      <c r="FU23" s="2071"/>
      <c r="FV23" s="2071"/>
      <c r="FW23" s="2071"/>
      <c r="FX23" s="2071"/>
      <c r="FY23" s="2071"/>
      <c r="FZ23" s="2071"/>
      <c r="GA23" s="2071"/>
      <c r="GB23" s="2071"/>
      <c r="GC23" s="2071"/>
      <c r="GD23" s="2071"/>
      <c r="GE23" s="2071"/>
      <c r="GF23" s="2071"/>
      <c r="GG23" s="2071"/>
      <c r="GH23" s="2071"/>
      <c r="GI23" s="2071"/>
      <c r="GJ23" s="2071"/>
      <c r="GK23" s="2071"/>
      <c r="GL23" s="2071"/>
      <c r="GM23" s="2071"/>
      <c r="GN23" s="2071"/>
      <c r="GO23" s="2071"/>
      <c r="GP23" s="2071"/>
      <c r="GQ23" s="2071"/>
      <c r="GR23" s="2071"/>
      <c r="GS23" s="2071"/>
      <c r="GT23" s="2071"/>
      <c r="GU23" s="2071"/>
      <c r="GV23" s="2071"/>
      <c r="GW23" s="2071"/>
      <c r="GX23" s="2071"/>
      <c r="GY23" s="2071"/>
      <c r="GZ23" s="2071"/>
      <c r="HA23" s="2071"/>
      <c r="HB23" s="2071"/>
      <c r="HC23" s="2071"/>
      <c r="HD23" s="2071"/>
      <c r="HE23" s="2071"/>
      <c r="HF23" s="2071"/>
      <c r="HG23" s="2071"/>
      <c r="HH23" s="2071"/>
      <c r="HI23" s="2071"/>
      <c r="HJ23" s="2071"/>
      <c r="HK23" s="2071"/>
      <c r="HL23" s="2071"/>
      <c r="HM23" s="2071"/>
      <c r="HN23" s="2071"/>
      <c r="HO23" s="2071"/>
      <c r="HP23" s="2071"/>
      <c r="HQ23" s="2071"/>
      <c r="HR23" s="2071"/>
      <c r="HS23" s="2071"/>
      <c r="HT23" s="2071"/>
      <c r="HU23" s="2071"/>
      <c r="HV23" s="2071"/>
      <c r="HW23" s="2071"/>
      <c r="HX23" s="2071"/>
      <c r="HY23" s="2071"/>
      <c r="HZ23" s="2071"/>
      <c r="IA23" s="2071"/>
      <c r="IB23" s="2071"/>
      <c r="IC23" s="2071"/>
      <c r="ID23" s="2071"/>
      <c r="IE23" s="2071"/>
      <c r="IF23" s="2071"/>
      <c r="IG23" s="2071"/>
      <c r="IH23" s="2071"/>
      <c r="II23" s="2071"/>
      <c r="IJ23" s="2071"/>
      <c r="IK23" s="2071"/>
      <c r="IL23" s="2071"/>
      <c r="IM23" s="2071"/>
      <c r="IN23" s="2071"/>
    </row>
    <row r="24" spans="1:248">
      <c r="A24" s="2051" t="s">
        <v>232</v>
      </c>
      <c r="B24" s="2052">
        <f>审定资负表!C26</f>
        <v>0</v>
      </c>
      <c r="C24" s="2052">
        <f>审定资负表!D26</f>
        <v>0</v>
      </c>
      <c r="D24" s="2053" t="str">
        <f t="shared" si="0"/>
        <v> </v>
      </c>
      <c r="E24" s="2054">
        <f t="shared" si="1"/>
        <v>0</v>
      </c>
      <c r="F24" s="2055" t="str">
        <f t="shared" si="2"/>
        <v/>
      </c>
      <c r="G24" s="2056"/>
      <c r="H24" s="2057" t="str">
        <f>IF(报表附注!I1117=0,"相符","不相符")</f>
        <v>相符</v>
      </c>
      <c r="I24" s="2057" t="str">
        <f>IF(报表附注!F1117=0,"相符","不相符")</f>
        <v>相符</v>
      </c>
      <c r="J24" s="2076" t="s">
        <v>1950</v>
      </c>
      <c r="K24" s="2077"/>
      <c r="L24" s="2071"/>
      <c r="M24" s="2071"/>
      <c r="N24" s="2071"/>
      <c r="O24" s="2071"/>
      <c r="P24" s="2071"/>
      <c r="Q24" s="2071"/>
      <c r="R24" s="2071"/>
      <c r="S24" s="2071"/>
      <c r="T24" s="2071"/>
      <c r="U24" s="2071"/>
      <c r="V24" s="2071"/>
      <c r="W24" s="2071"/>
      <c r="X24" s="2071"/>
      <c r="Y24" s="2071"/>
      <c r="Z24" s="2071"/>
      <c r="AA24" s="2071"/>
      <c r="AB24" s="2071"/>
      <c r="AC24" s="2071"/>
      <c r="AD24" s="2071"/>
      <c r="AE24" s="2071"/>
      <c r="AF24" s="2071"/>
      <c r="AG24" s="2071"/>
      <c r="AH24" s="2071"/>
      <c r="AI24" s="2071"/>
      <c r="AJ24" s="2071"/>
      <c r="AK24" s="2071"/>
      <c r="AL24" s="2071"/>
      <c r="AM24" s="2071"/>
      <c r="AN24" s="2071"/>
      <c r="AO24" s="2071"/>
      <c r="AP24" s="2071"/>
      <c r="AQ24" s="2071"/>
      <c r="AR24" s="2071"/>
      <c r="AS24" s="2071"/>
      <c r="AT24" s="2071"/>
      <c r="AU24" s="2071"/>
      <c r="AV24" s="2071"/>
      <c r="AW24" s="2071"/>
      <c r="AX24" s="2071"/>
      <c r="AY24" s="2071"/>
      <c r="AZ24" s="2071"/>
      <c r="BA24" s="2071"/>
      <c r="BB24" s="2071"/>
      <c r="BC24" s="2071"/>
      <c r="BD24" s="2071"/>
      <c r="BE24" s="2071"/>
      <c r="BF24" s="2071"/>
      <c r="BG24" s="2071"/>
      <c r="BH24" s="2071"/>
      <c r="BI24" s="2071"/>
      <c r="BJ24" s="2071"/>
      <c r="BK24" s="2071"/>
      <c r="BL24" s="2071"/>
      <c r="BM24" s="2071"/>
      <c r="BN24" s="2071"/>
      <c r="BO24" s="2071"/>
      <c r="BP24" s="2071"/>
      <c r="BQ24" s="2071"/>
      <c r="BR24" s="2071"/>
      <c r="BS24" s="2071"/>
      <c r="BT24" s="2071"/>
      <c r="BU24" s="2071"/>
      <c r="BV24" s="2071"/>
      <c r="BW24" s="2071"/>
      <c r="BX24" s="2071"/>
      <c r="BY24" s="2071"/>
      <c r="BZ24" s="2071"/>
      <c r="CA24" s="2071"/>
      <c r="CB24" s="2071"/>
      <c r="CC24" s="2071"/>
      <c r="CD24" s="2071"/>
      <c r="CE24" s="2071"/>
      <c r="CF24" s="2071"/>
      <c r="CG24" s="2071"/>
      <c r="CH24" s="2071"/>
      <c r="CI24" s="2071"/>
      <c r="CJ24" s="2071"/>
      <c r="CK24" s="2071"/>
      <c r="CL24" s="2071"/>
      <c r="CM24" s="2071"/>
      <c r="CN24" s="2071"/>
      <c r="CO24" s="2071"/>
      <c r="CP24" s="2071"/>
      <c r="CQ24" s="2071"/>
      <c r="CR24" s="2071"/>
      <c r="CS24" s="2071"/>
      <c r="CT24" s="2071"/>
      <c r="CU24" s="2071"/>
      <c r="CV24" s="2071"/>
      <c r="CW24" s="2071"/>
      <c r="CX24" s="2071"/>
      <c r="CY24" s="2071"/>
      <c r="CZ24" s="2071"/>
      <c r="DA24" s="2071"/>
      <c r="DB24" s="2071"/>
      <c r="DC24" s="2071"/>
      <c r="DD24" s="2071"/>
      <c r="DE24" s="2071"/>
      <c r="DF24" s="2071"/>
      <c r="DG24" s="2071"/>
      <c r="DH24" s="2071"/>
      <c r="DI24" s="2071"/>
      <c r="DJ24" s="2071"/>
      <c r="DK24" s="2071"/>
      <c r="DL24" s="2071"/>
      <c r="DM24" s="2071"/>
      <c r="DN24" s="2071"/>
      <c r="DO24" s="2071"/>
      <c r="DP24" s="2071"/>
      <c r="DQ24" s="2071"/>
      <c r="DR24" s="2071"/>
      <c r="DS24" s="2071"/>
      <c r="DT24" s="2071"/>
      <c r="DU24" s="2071"/>
      <c r="DV24" s="2071"/>
      <c r="DW24" s="2071"/>
      <c r="DX24" s="2071"/>
      <c r="DY24" s="2071"/>
      <c r="DZ24" s="2071"/>
      <c r="EA24" s="2071"/>
      <c r="EB24" s="2071"/>
      <c r="EC24" s="2071"/>
      <c r="ED24" s="2071"/>
      <c r="EE24" s="2071"/>
      <c r="EF24" s="2071"/>
      <c r="EG24" s="2071"/>
      <c r="EH24" s="2071"/>
      <c r="EI24" s="2071"/>
      <c r="EJ24" s="2071"/>
      <c r="EK24" s="2071"/>
      <c r="EL24" s="2071"/>
      <c r="EM24" s="2071"/>
      <c r="EN24" s="2071"/>
      <c r="EO24" s="2071"/>
      <c r="EP24" s="2071"/>
      <c r="EQ24" s="2071"/>
      <c r="ER24" s="2071"/>
      <c r="ES24" s="2071"/>
      <c r="ET24" s="2071"/>
      <c r="EU24" s="2071"/>
      <c r="EV24" s="2071"/>
      <c r="EW24" s="2071"/>
      <c r="EX24" s="2071"/>
      <c r="EY24" s="2071"/>
      <c r="EZ24" s="2071"/>
      <c r="FA24" s="2071"/>
      <c r="FB24" s="2071"/>
      <c r="FC24" s="2071"/>
      <c r="FD24" s="2071"/>
      <c r="FE24" s="2071"/>
      <c r="FF24" s="2071"/>
      <c r="FG24" s="2071"/>
      <c r="FH24" s="2071"/>
      <c r="FI24" s="2071"/>
      <c r="FJ24" s="2071"/>
      <c r="FK24" s="2071"/>
      <c r="FL24" s="2071"/>
      <c r="FM24" s="2071"/>
      <c r="FN24" s="2071"/>
      <c r="FO24" s="2071"/>
      <c r="FP24" s="2071"/>
      <c r="FQ24" s="2071"/>
      <c r="FR24" s="2071"/>
      <c r="FS24" s="2071"/>
      <c r="FT24" s="2071"/>
      <c r="FU24" s="2071"/>
      <c r="FV24" s="2071"/>
      <c r="FW24" s="2071"/>
      <c r="FX24" s="2071"/>
      <c r="FY24" s="2071"/>
      <c r="FZ24" s="2071"/>
      <c r="GA24" s="2071"/>
      <c r="GB24" s="2071"/>
      <c r="GC24" s="2071"/>
      <c r="GD24" s="2071"/>
      <c r="GE24" s="2071"/>
      <c r="GF24" s="2071"/>
      <c r="GG24" s="2071"/>
      <c r="GH24" s="2071"/>
      <c r="GI24" s="2071"/>
      <c r="GJ24" s="2071"/>
      <c r="GK24" s="2071"/>
      <c r="GL24" s="2071"/>
      <c r="GM24" s="2071"/>
      <c r="GN24" s="2071"/>
      <c r="GO24" s="2071"/>
      <c r="GP24" s="2071"/>
      <c r="GQ24" s="2071"/>
      <c r="GR24" s="2071"/>
      <c r="GS24" s="2071"/>
      <c r="GT24" s="2071"/>
      <c r="GU24" s="2071"/>
      <c r="GV24" s="2071"/>
      <c r="GW24" s="2071"/>
      <c r="GX24" s="2071"/>
      <c r="GY24" s="2071"/>
      <c r="GZ24" s="2071"/>
      <c r="HA24" s="2071"/>
      <c r="HB24" s="2071"/>
      <c r="HC24" s="2071"/>
      <c r="HD24" s="2071"/>
      <c r="HE24" s="2071"/>
      <c r="HF24" s="2071"/>
      <c r="HG24" s="2071"/>
      <c r="HH24" s="2071"/>
      <c r="HI24" s="2071"/>
      <c r="HJ24" s="2071"/>
      <c r="HK24" s="2071"/>
      <c r="HL24" s="2071"/>
      <c r="HM24" s="2071"/>
      <c r="HN24" s="2071"/>
      <c r="HO24" s="2071"/>
      <c r="HP24" s="2071"/>
      <c r="HQ24" s="2071"/>
      <c r="HR24" s="2071"/>
      <c r="HS24" s="2071"/>
      <c r="HT24" s="2071"/>
      <c r="HU24" s="2071"/>
      <c r="HV24" s="2071"/>
      <c r="HW24" s="2071"/>
      <c r="HX24" s="2071"/>
      <c r="HY24" s="2071"/>
      <c r="HZ24" s="2071"/>
      <c r="IA24" s="2071"/>
      <c r="IB24" s="2071"/>
      <c r="IC24" s="2071"/>
      <c r="ID24" s="2071"/>
      <c r="IE24" s="2071"/>
      <c r="IF24" s="2071"/>
      <c r="IG24" s="2071"/>
      <c r="IH24" s="2071"/>
      <c r="II24" s="2071"/>
      <c r="IJ24" s="2071"/>
      <c r="IK24" s="2071"/>
      <c r="IL24" s="2071"/>
      <c r="IM24" s="2071"/>
      <c r="IN24" s="2071"/>
    </row>
    <row r="25" spans="1:248">
      <c r="A25" s="2051" t="s">
        <v>234</v>
      </c>
      <c r="B25" s="2052">
        <f>审定资负表!C27</f>
        <v>63138192.37</v>
      </c>
      <c r="C25" s="2052">
        <f>审定资负表!D27</f>
        <v>67613790.3</v>
      </c>
      <c r="D25" s="2053">
        <f t="shared" si="0"/>
        <v>0.130107087973067</v>
      </c>
      <c r="E25" s="2054">
        <f t="shared" si="1"/>
        <v>-4475597.93</v>
      </c>
      <c r="F25" s="2055">
        <f t="shared" si="2"/>
        <v>-0.0662</v>
      </c>
      <c r="G25" s="2056"/>
      <c r="H25" s="2060" t="str">
        <f>IF(OR(报表附注!J1170&lt;&gt;0,报表附注!J3838&lt;&gt;0),"不相符",IF(报表附注!J3842&lt;&gt;0,"与在建工程结转数不相符","相符"))</f>
        <v>相符</v>
      </c>
      <c r="I25" s="2057" t="str">
        <f>IF(AND(报表附注!F1170=0,报表附注!J3840=0),"相符","不相符")</f>
        <v>相符</v>
      </c>
      <c r="J25" s="2078" t="s">
        <v>2465</v>
      </c>
      <c r="K25" s="2076" t="s">
        <v>1952</v>
      </c>
      <c r="L25" s="2071"/>
      <c r="M25" s="2071"/>
      <c r="N25" s="2071"/>
      <c r="O25" s="2071"/>
      <c r="P25" s="2071"/>
      <c r="Q25" s="2071"/>
      <c r="R25" s="2071"/>
      <c r="S25" s="2071"/>
      <c r="T25" s="2071"/>
      <c r="U25" s="2071"/>
      <c r="V25" s="2071"/>
      <c r="W25" s="2071"/>
      <c r="X25" s="2071"/>
      <c r="Y25" s="2071"/>
      <c r="Z25" s="2071"/>
      <c r="AA25" s="2071"/>
      <c r="AB25" s="2071"/>
      <c r="AC25" s="2071"/>
      <c r="AD25" s="2071"/>
      <c r="AE25" s="2071"/>
      <c r="AF25" s="2071"/>
      <c r="AG25" s="2071"/>
      <c r="AH25" s="2071"/>
      <c r="AI25" s="2071"/>
      <c r="AJ25" s="2071"/>
      <c r="AK25" s="2071"/>
      <c r="AL25" s="2071"/>
      <c r="AM25" s="2071"/>
      <c r="AN25" s="2071"/>
      <c r="AO25" s="2071"/>
      <c r="AP25" s="2071"/>
      <c r="AQ25" s="2071"/>
      <c r="AR25" s="2071"/>
      <c r="AS25" s="2071"/>
      <c r="AT25" s="2071"/>
      <c r="AU25" s="2071"/>
      <c r="AV25" s="2071"/>
      <c r="AW25" s="2071"/>
      <c r="AX25" s="2071"/>
      <c r="AY25" s="2071"/>
      <c r="AZ25" s="2071"/>
      <c r="BA25" s="2071"/>
      <c r="BB25" s="2071"/>
      <c r="BC25" s="2071"/>
      <c r="BD25" s="2071"/>
      <c r="BE25" s="2071"/>
      <c r="BF25" s="2071"/>
      <c r="BG25" s="2071"/>
      <c r="BH25" s="2071"/>
      <c r="BI25" s="2071"/>
      <c r="BJ25" s="2071"/>
      <c r="BK25" s="2071"/>
      <c r="BL25" s="2071"/>
      <c r="BM25" s="2071"/>
      <c r="BN25" s="2071"/>
      <c r="BO25" s="2071"/>
      <c r="BP25" s="2071"/>
      <c r="BQ25" s="2071"/>
      <c r="BR25" s="2071"/>
      <c r="BS25" s="2071"/>
      <c r="BT25" s="2071"/>
      <c r="BU25" s="2071"/>
      <c r="BV25" s="2071"/>
      <c r="BW25" s="2071"/>
      <c r="BX25" s="2071"/>
      <c r="BY25" s="2071"/>
      <c r="BZ25" s="2071"/>
      <c r="CA25" s="2071"/>
      <c r="CB25" s="2071"/>
      <c r="CC25" s="2071"/>
      <c r="CD25" s="2071"/>
      <c r="CE25" s="2071"/>
      <c r="CF25" s="2071"/>
      <c r="CG25" s="2071"/>
      <c r="CH25" s="2071"/>
      <c r="CI25" s="2071"/>
      <c r="CJ25" s="2071"/>
      <c r="CK25" s="2071"/>
      <c r="CL25" s="2071"/>
      <c r="CM25" s="2071"/>
      <c r="CN25" s="2071"/>
      <c r="CO25" s="2071"/>
      <c r="CP25" s="2071"/>
      <c r="CQ25" s="2071"/>
      <c r="CR25" s="2071"/>
      <c r="CS25" s="2071"/>
      <c r="CT25" s="2071"/>
      <c r="CU25" s="2071"/>
      <c r="CV25" s="2071"/>
      <c r="CW25" s="2071"/>
      <c r="CX25" s="2071"/>
      <c r="CY25" s="2071"/>
      <c r="CZ25" s="2071"/>
      <c r="DA25" s="2071"/>
      <c r="DB25" s="2071"/>
      <c r="DC25" s="2071"/>
      <c r="DD25" s="2071"/>
      <c r="DE25" s="2071"/>
      <c r="DF25" s="2071"/>
      <c r="DG25" s="2071"/>
      <c r="DH25" s="2071"/>
      <c r="DI25" s="2071"/>
      <c r="DJ25" s="2071"/>
      <c r="DK25" s="2071"/>
      <c r="DL25" s="2071"/>
      <c r="DM25" s="2071"/>
      <c r="DN25" s="2071"/>
      <c r="DO25" s="2071"/>
      <c r="DP25" s="2071"/>
      <c r="DQ25" s="2071"/>
      <c r="DR25" s="2071"/>
      <c r="DS25" s="2071"/>
      <c r="DT25" s="2071"/>
      <c r="DU25" s="2071"/>
      <c r="DV25" s="2071"/>
      <c r="DW25" s="2071"/>
      <c r="DX25" s="2071"/>
      <c r="DY25" s="2071"/>
      <c r="DZ25" s="2071"/>
      <c r="EA25" s="2071"/>
      <c r="EB25" s="2071"/>
      <c r="EC25" s="2071"/>
      <c r="ED25" s="2071"/>
      <c r="EE25" s="2071"/>
      <c r="EF25" s="2071"/>
      <c r="EG25" s="2071"/>
      <c r="EH25" s="2071"/>
      <c r="EI25" s="2071"/>
      <c r="EJ25" s="2071"/>
      <c r="EK25" s="2071"/>
      <c r="EL25" s="2071"/>
      <c r="EM25" s="2071"/>
      <c r="EN25" s="2071"/>
      <c r="EO25" s="2071"/>
      <c r="EP25" s="2071"/>
      <c r="EQ25" s="2071"/>
      <c r="ER25" s="2071"/>
      <c r="ES25" s="2071"/>
      <c r="ET25" s="2071"/>
      <c r="EU25" s="2071"/>
      <c r="EV25" s="2071"/>
      <c r="EW25" s="2071"/>
      <c r="EX25" s="2071"/>
      <c r="EY25" s="2071"/>
      <c r="EZ25" s="2071"/>
      <c r="FA25" s="2071"/>
      <c r="FB25" s="2071"/>
      <c r="FC25" s="2071"/>
      <c r="FD25" s="2071"/>
      <c r="FE25" s="2071"/>
      <c r="FF25" s="2071"/>
      <c r="FG25" s="2071"/>
      <c r="FH25" s="2071"/>
      <c r="FI25" s="2071"/>
      <c r="FJ25" s="2071"/>
      <c r="FK25" s="2071"/>
      <c r="FL25" s="2071"/>
      <c r="FM25" s="2071"/>
      <c r="FN25" s="2071"/>
      <c r="FO25" s="2071"/>
      <c r="FP25" s="2071"/>
      <c r="FQ25" s="2071"/>
      <c r="FR25" s="2071"/>
      <c r="FS25" s="2071"/>
      <c r="FT25" s="2071"/>
      <c r="FU25" s="2071"/>
      <c r="FV25" s="2071"/>
      <c r="FW25" s="2071"/>
      <c r="FX25" s="2071"/>
      <c r="FY25" s="2071"/>
      <c r="FZ25" s="2071"/>
      <c r="GA25" s="2071"/>
      <c r="GB25" s="2071"/>
      <c r="GC25" s="2071"/>
      <c r="GD25" s="2071"/>
      <c r="GE25" s="2071"/>
      <c r="GF25" s="2071"/>
      <c r="GG25" s="2071"/>
      <c r="GH25" s="2071"/>
      <c r="GI25" s="2071"/>
      <c r="GJ25" s="2071"/>
      <c r="GK25" s="2071"/>
      <c r="GL25" s="2071"/>
      <c r="GM25" s="2071"/>
      <c r="GN25" s="2071"/>
      <c r="GO25" s="2071"/>
      <c r="GP25" s="2071"/>
      <c r="GQ25" s="2071"/>
      <c r="GR25" s="2071"/>
      <c r="GS25" s="2071"/>
      <c r="GT25" s="2071"/>
      <c r="GU25" s="2071"/>
      <c r="GV25" s="2071"/>
      <c r="GW25" s="2071"/>
      <c r="GX25" s="2071"/>
      <c r="GY25" s="2071"/>
      <c r="GZ25" s="2071"/>
      <c r="HA25" s="2071"/>
      <c r="HB25" s="2071"/>
      <c r="HC25" s="2071"/>
      <c r="HD25" s="2071"/>
      <c r="HE25" s="2071"/>
      <c r="HF25" s="2071"/>
      <c r="HG25" s="2071"/>
      <c r="HH25" s="2071"/>
      <c r="HI25" s="2071"/>
      <c r="HJ25" s="2071"/>
      <c r="HK25" s="2071"/>
      <c r="HL25" s="2071"/>
      <c r="HM25" s="2071"/>
      <c r="HN25" s="2071"/>
      <c r="HO25" s="2071"/>
      <c r="HP25" s="2071"/>
      <c r="HQ25" s="2071"/>
      <c r="HR25" s="2071"/>
      <c r="HS25" s="2071"/>
      <c r="HT25" s="2071"/>
      <c r="HU25" s="2071"/>
      <c r="HV25" s="2071"/>
      <c r="HW25" s="2071"/>
      <c r="HX25" s="2071"/>
      <c r="HY25" s="2071"/>
      <c r="HZ25" s="2071"/>
      <c r="IA25" s="2071"/>
      <c r="IB25" s="2071"/>
      <c r="IC25" s="2071"/>
      <c r="ID25" s="2071"/>
      <c r="IE25" s="2071"/>
      <c r="IF25" s="2071"/>
      <c r="IG25" s="2071"/>
      <c r="IH25" s="2071"/>
      <c r="II25" s="2071"/>
      <c r="IJ25" s="2071"/>
      <c r="IK25" s="2071"/>
      <c r="IL25" s="2071"/>
      <c r="IM25" s="2071"/>
      <c r="IN25" s="2071"/>
    </row>
    <row r="26" spans="1:248">
      <c r="A26" s="2051" t="s">
        <v>236</v>
      </c>
      <c r="B26" s="2052">
        <f>审定资负表!C28</f>
        <v>50697993.93</v>
      </c>
      <c r="C26" s="2052">
        <f>审定资负表!D28</f>
        <v>2327419.91</v>
      </c>
      <c r="D26" s="2053">
        <f t="shared" si="0"/>
        <v>0.10447192275721</v>
      </c>
      <c r="E26" s="2054">
        <f t="shared" si="1"/>
        <v>48370574.02</v>
      </c>
      <c r="F26" s="2055">
        <f t="shared" si="2"/>
        <v>20.7829</v>
      </c>
      <c r="G26" s="2056"/>
      <c r="H26" s="2057" t="str">
        <f>IF(报表附注!H1276&lt;&gt;0,"不相符",IF(报表附注!$I$1310&lt;&gt;0,"与转入固定资产数不相符","相符"))</f>
        <v>相符</v>
      </c>
      <c r="I26" s="2057" t="str">
        <f>IF(报表附注!K1276=0,"相符","不相符")</f>
        <v>相符</v>
      </c>
      <c r="J26" s="2079" t="s">
        <v>1954</v>
      </c>
      <c r="K26" s="2080"/>
      <c r="L26" s="2071"/>
      <c r="M26" s="2071"/>
      <c r="N26" s="2071"/>
      <c r="O26" s="2071"/>
      <c r="P26" s="2071"/>
      <c r="Q26" s="2071"/>
      <c r="R26" s="2071"/>
      <c r="S26" s="2071"/>
      <c r="T26" s="2071"/>
      <c r="U26" s="2071"/>
      <c r="V26" s="2071"/>
      <c r="W26" s="2071"/>
      <c r="X26" s="2071"/>
      <c r="Y26" s="2071"/>
      <c r="Z26" s="2071"/>
      <c r="AA26" s="2071"/>
      <c r="AB26" s="2071"/>
      <c r="AC26" s="2071"/>
      <c r="AD26" s="2071"/>
      <c r="AE26" s="2071"/>
      <c r="AF26" s="2071"/>
      <c r="AG26" s="2071"/>
      <c r="AH26" s="2071"/>
      <c r="AI26" s="2071"/>
      <c r="AJ26" s="2071"/>
      <c r="AK26" s="2071"/>
      <c r="AL26" s="2071"/>
      <c r="AM26" s="2071"/>
      <c r="AN26" s="2071"/>
      <c r="AO26" s="2071"/>
      <c r="AP26" s="2071"/>
      <c r="AQ26" s="2071"/>
      <c r="AR26" s="2071"/>
      <c r="AS26" s="2071"/>
      <c r="AT26" s="2071"/>
      <c r="AU26" s="2071"/>
      <c r="AV26" s="2071"/>
      <c r="AW26" s="2071"/>
      <c r="AX26" s="2071"/>
      <c r="AY26" s="2071"/>
      <c r="AZ26" s="2071"/>
      <c r="BA26" s="2071"/>
      <c r="BB26" s="2071"/>
      <c r="BC26" s="2071"/>
      <c r="BD26" s="2071"/>
      <c r="BE26" s="2071"/>
      <c r="BF26" s="2071"/>
      <c r="BG26" s="2071"/>
      <c r="BH26" s="2071"/>
      <c r="BI26" s="2071"/>
      <c r="BJ26" s="2071"/>
      <c r="BK26" s="2071"/>
      <c r="BL26" s="2071"/>
      <c r="BM26" s="2071"/>
      <c r="BN26" s="2071"/>
      <c r="BO26" s="2071"/>
      <c r="BP26" s="2071"/>
      <c r="BQ26" s="2071"/>
      <c r="BR26" s="2071"/>
      <c r="BS26" s="2071"/>
      <c r="BT26" s="2071"/>
      <c r="BU26" s="2071"/>
      <c r="BV26" s="2071"/>
      <c r="BW26" s="2071"/>
      <c r="BX26" s="2071"/>
      <c r="BY26" s="2071"/>
      <c r="BZ26" s="2071"/>
      <c r="CA26" s="2071"/>
      <c r="CB26" s="2071"/>
      <c r="CC26" s="2071"/>
      <c r="CD26" s="2071"/>
      <c r="CE26" s="2071"/>
      <c r="CF26" s="2071"/>
      <c r="CG26" s="2071"/>
      <c r="CH26" s="2071"/>
      <c r="CI26" s="2071"/>
      <c r="CJ26" s="2071"/>
      <c r="CK26" s="2071"/>
      <c r="CL26" s="2071"/>
      <c r="CM26" s="2071"/>
      <c r="CN26" s="2071"/>
      <c r="CO26" s="2071"/>
      <c r="CP26" s="2071"/>
      <c r="CQ26" s="2071"/>
      <c r="CR26" s="2071"/>
      <c r="CS26" s="2071"/>
      <c r="CT26" s="2071"/>
      <c r="CU26" s="2071"/>
      <c r="CV26" s="2071"/>
      <c r="CW26" s="2071"/>
      <c r="CX26" s="2071"/>
      <c r="CY26" s="2071"/>
      <c r="CZ26" s="2071"/>
      <c r="DA26" s="2071"/>
      <c r="DB26" s="2071"/>
      <c r="DC26" s="2071"/>
      <c r="DD26" s="2071"/>
      <c r="DE26" s="2071"/>
      <c r="DF26" s="2071"/>
      <c r="DG26" s="2071"/>
      <c r="DH26" s="2071"/>
      <c r="DI26" s="2071"/>
      <c r="DJ26" s="2071"/>
      <c r="DK26" s="2071"/>
      <c r="DL26" s="2071"/>
      <c r="DM26" s="2071"/>
      <c r="DN26" s="2071"/>
      <c r="DO26" s="2071"/>
      <c r="DP26" s="2071"/>
      <c r="DQ26" s="2071"/>
      <c r="DR26" s="2071"/>
      <c r="DS26" s="2071"/>
      <c r="DT26" s="2071"/>
      <c r="DU26" s="2071"/>
      <c r="DV26" s="2071"/>
      <c r="DW26" s="2071"/>
      <c r="DX26" s="2071"/>
      <c r="DY26" s="2071"/>
      <c r="DZ26" s="2071"/>
      <c r="EA26" s="2071"/>
      <c r="EB26" s="2071"/>
      <c r="EC26" s="2071"/>
      <c r="ED26" s="2071"/>
      <c r="EE26" s="2071"/>
      <c r="EF26" s="2071"/>
      <c r="EG26" s="2071"/>
      <c r="EH26" s="2071"/>
      <c r="EI26" s="2071"/>
      <c r="EJ26" s="2071"/>
      <c r="EK26" s="2071"/>
      <c r="EL26" s="2071"/>
      <c r="EM26" s="2071"/>
      <c r="EN26" s="2071"/>
      <c r="EO26" s="2071"/>
      <c r="EP26" s="2071"/>
      <c r="EQ26" s="2071"/>
      <c r="ER26" s="2071"/>
      <c r="ES26" s="2071"/>
      <c r="ET26" s="2071"/>
      <c r="EU26" s="2071"/>
      <c r="EV26" s="2071"/>
      <c r="EW26" s="2071"/>
      <c r="EX26" s="2071"/>
      <c r="EY26" s="2071"/>
      <c r="EZ26" s="2071"/>
      <c r="FA26" s="2071"/>
      <c r="FB26" s="2071"/>
      <c r="FC26" s="2071"/>
      <c r="FD26" s="2071"/>
      <c r="FE26" s="2071"/>
      <c r="FF26" s="2071"/>
      <c r="FG26" s="2071"/>
      <c r="FH26" s="2071"/>
      <c r="FI26" s="2071"/>
      <c r="FJ26" s="2071"/>
      <c r="FK26" s="2071"/>
      <c r="FL26" s="2071"/>
      <c r="FM26" s="2071"/>
      <c r="FN26" s="2071"/>
      <c r="FO26" s="2071"/>
      <c r="FP26" s="2071"/>
      <c r="FQ26" s="2071"/>
      <c r="FR26" s="2071"/>
      <c r="FS26" s="2071"/>
      <c r="FT26" s="2071"/>
      <c r="FU26" s="2071"/>
      <c r="FV26" s="2071"/>
      <c r="FW26" s="2071"/>
      <c r="FX26" s="2071"/>
      <c r="FY26" s="2071"/>
      <c r="FZ26" s="2071"/>
      <c r="GA26" s="2071"/>
      <c r="GB26" s="2071"/>
      <c r="GC26" s="2071"/>
      <c r="GD26" s="2071"/>
      <c r="GE26" s="2071"/>
      <c r="GF26" s="2071"/>
      <c r="GG26" s="2071"/>
      <c r="GH26" s="2071"/>
      <c r="GI26" s="2071"/>
      <c r="GJ26" s="2071"/>
      <c r="GK26" s="2071"/>
      <c r="GL26" s="2071"/>
      <c r="GM26" s="2071"/>
      <c r="GN26" s="2071"/>
      <c r="GO26" s="2071"/>
      <c r="GP26" s="2071"/>
      <c r="GQ26" s="2071"/>
      <c r="GR26" s="2071"/>
      <c r="GS26" s="2071"/>
      <c r="GT26" s="2071"/>
      <c r="GU26" s="2071"/>
      <c r="GV26" s="2071"/>
      <c r="GW26" s="2071"/>
      <c r="GX26" s="2071"/>
      <c r="GY26" s="2071"/>
      <c r="GZ26" s="2071"/>
      <c r="HA26" s="2071"/>
      <c r="HB26" s="2071"/>
      <c r="HC26" s="2071"/>
      <c r="HD26" s="2071"/>
      <c r="HE26" s="2071"/>
      <c r="HF26" s="2071"/>
      <c r="HG26" s="2071"/>
      <c r="HH26" s="2071"/>
      <c r="HI26" s="2071"/>
      <c r="HJ26" s="2071"/>
      <c r="HK26" s="2071"/>
      <c r="HL26" s="2071"/>
      <c r="HM26" s="2071"/>
      <c r="HN26" s="2071"/>
      <c r="HO26" s="2071"/>
      <c r="HP26" s="2071"/>
      <c r="HQ26" s="2071"/>
      <c r="HR26" s="2071"/>
      <c r="HS26" s="2071"/>
      <c r="HT26" s="2071"/>
      <c r="HU26" s="2071"/>
      <c r="HV26" s="2071"/>
      <c r="HW26" s="2071"/>
      <c r="HX26" s="2071"/>
      <c r="HY26" s="2071"/>
      <c r="HZ26" s="2071"/>
      <c r="IA26" s="2071"/>
      <c r="IB26" s="2071"/>
      <c r="IC26" s="2071"/>
      <c r="ID26" s="2071"/>
      <c r="IE26" s="2071"/>
      <c r="IF26" s="2071"/>
      <c r="IG26" s="2071"/>
      <c r="IH26" s="2071"/>
      <c r="II26" s="2071"/>
      <c r="IJ26" s="2071"/>
      <c r="IK26" s="2071"/>
      <c r="IL26" s="2071"/>
      <c r="IM26" s="2071"/>
      <c r="IN26" s="2071"/>
    </row>
    <row r="27" spans="1:248">
      <c r="A27" s="2051" t="s">
        <v>238</v>
      </c>
      <c r="B27" s="2052">
        <f>审定资负表!C29</f>
        <v>0</v>
      </c>
      <c r="C27" s="2052">
        <f>审定资负表!D29</f>
        <v>0</v>
      </c>
      <c r="D27" s="2053" t="str">
        <f t="shared" si="0"/>
        <v> </v>
      </c>
      <c r="E27" s="2054">
        <f t="shared" si="1"/>
        <v>0</v>
      </c>
      <c r="F27" s="2055" t="str">
        <f t="shared" si="2"/>
        <v/>
      </c>
      <c r="G27" s="2056"/>
      <c r="H27" s="2057" t="str">
        <f>IF(报表附注!I1346=0,"相符","不相符")</f>
        <v>相符</v>
      </c>
      <c r="I27" s="2057" t="str">
        <f>IF(报表附注!F1346=0,"相符","不相符")</f>
        <v>相符</v>
      </c>
      <c r="J27" s="2076" t="s">
        <v>1956</v>
      </c>
      <c r="K27" s="2081"/>
      <c r="L27" s="2071"/>
      <c r="M27" s="2071"/>
      <c r="N27" s="2071"/>
      <c r="O27" s="2071"/>
      <c r="P27" s="2071"/>
      <c r="Q27" s="2071"/>
      <c r="R27" s="2071"/>
      <c r="S27" s="2071"/>
      <c r="T27" s="2071"/>
      <c r="U27" s="2071"/>
      <c r="V27" s="2071"/>
      <c r="W27" s="2071"/>
      <c r="X27" s="2071"/>
      <c r="Y27" s="2071"/>
      <c r="Z27" s="2071"/>
      <c r="AA27" s="2071"/>
      <c r="AB27" s="2071"/>
      <c r="AC27" s="2071"/>
      <c r="AD27" s="2071"/>
      <c r="AE27" s="2071"/>
      <c r="AF27" s="2071"/>
      <c r="AG27" s="2071"/>
      <c r="AH27" s="2071"/>
      <c r="AI27" s="2071"/>
      <c r="AJ27" s="2071"/>
      <c r="AK27" s="2071"/>
      <c r="AL27" s="2071"/>
      <c r="AM27" s="2071"/>
      <c r="AN27" s="2071"/>
      <c r="AO27" s="2071"/>
      <c r="AP27" s="2071"/>
      <c r="AQ27" s="2071"/>
      <c r="AR27" s="2071"/>
      <c r="AS27" s="2071"/>
      <c r="AT27" s="2071"/>
      <c r="AU27" s="2071"/>
      <c r="AV27" s="2071"/>
      <c r="AW27" s="2071"/>
      <c r="AX27" s="2071"/>
      <c r="AY27" s="2071"/>
      <c r="AZ27" s="2071"/>
      <c r="BA27" s="2071"/>
      <c r="BB27" s="2071"/>
      <c r="BC27" s="2071"/>
      <c r="BD27" s="2071"/>
      <c r="BE27" s="2071"/>
      <c r="BF27" s="2071"/>
      <c r="BG27" s="2071"/>
      <c r="BH27" s="2071"/>
      <c r="BI27" s="2071"/>
      <c r="BJ27" s="2071"/>
      <c r="BK27" s="2071"/>
      <c r="BL27" s="2071"/>
      <c r="BM27" s="2071"/>
      <c r="BN27" s="2071"/>
      <c r="BO27" s="2071"/>
      <c r="BP27" s="2071"/>
      <c r="BQ27" s="2071"/>
      <c r="BR27" s="2071"/>
      <c r="BS27" s="2071"/>
      <c r="BT27" s="2071"/>
      <c r="BU27" s="2071"/>
      <c r="BV27" s="2071"/>
      <c r="BW27" s="2071"/>
      <c r="BX27" s="2071"/>
      <c r="BY27" s="2071"/>
      <c r="BZ27" s="2071"/>
      <c r="CA27" s="2071"/>
      <c r="CB27" s="2071"/>
      <c r="CC27" s="2071"/>
      <c r="CD27" s="2071"/>
      <c r="CE27" s="2071"/>
      <c r="CF27" s="2071"/>
      <c r="CG27" s="2071"/>
      <c r="CH27" s="2071"/>
      <c r="CI27" s="2071"/>
      <c r="CJ27" s="2071"/>
      <c r="CK27" s="2071"/>
      <c r="CL27" s="2071"/>
      <c r="CM27" s="2071"/>
      <c r="CN27" s="2071"/>
      <c r="CO27" s="2071"/>
      <c r="CP27" s="2071"/>
      <c r="CQ27" s="2071"/>
      <c r="CR27" s="2071"/>
      <c r="CS27" s="2071"/>
      <c r="CT27" s="2071"/>
      <c r="CU27" s="2071"/>
      <c r="CV27" s="2071"/>
      <c r="CW27" s="2071"/>
      <c r="CX27" s="2071"/>
      <c r="CY27" s="2071"/>
      <c r="CZ27" s="2071"/>
      <c r="DA27" s="2071"/>
      <c r="DB27" s="2071"/>
      <c r="DC27" s="2071"/>
      <c r="DD27" s="2071"/>
      <c r="DE27" s="2071"/>
      <c r="DF27" s="2071"/>
      <c r="DG27" s="2071"/>
      <c r="DH27" s="2071"/>
      <c r="DI27" s="2071"/>
      <c r="DJ27" s="2071"/>
      <c r="DK27" s="2071"/>
      <c r="DL27" s="2071"/>
      <c r="DM27" s="2071"/>
      <c r="DN27" s="2071"/>
      <c r="DO27" s="2071"/>
      <c r="DP27" s="2071"/>
      <c r="DQ27" s="2071"/>
      <c r="DR27" s="2071"/>
      <c r="DS27" s="2071"/>
      <c r="DT27" s="2071"/>
      <c r="DU27" s="2071"/>
      <c r="DV27" s="2071"/>
      <c r="DW27" s="2071"/>
      <c r="DX27" s="2071"/>
      <c r="DY27" s="2071"/>
      <c r="DZ27" s="2071"/>
      <c r="EA27" s="2071"/>
      <c r="EB27" s="2071"/>
      <c r="EC27" s="2071"/>
      <c r="ED27" s="2071"/>
      <c r="EE27" s="2071"/>
      <c r="EF27" s="2071"/>
      <c r="EG27" s="2071"/>
      <c r="EH27" s="2071"/>
      <c r="EI27" s="2071"/>
      <c r="EJ27" s="2071"/>
      <c r="EK27" s="2071"/>
      <c r="EL27" s="2071"/>
      <c r="EM27" s="2071"/>
      <c r="EN27" s="2071"/>
      <c r="EO27" s="2071"/>
      <c r="EP27" s="2071"/>
      <c r="EQ27" s="2071"/>
      <c r="ER27" s="2071"/>
      <c r="ES27" s="2071"/>
      <c r="ET27" s="2071"/>
      <c r="EU27" s="2071"/>
      <c r="EV27" s="2071"/>
      <c r="EW27" s="2071"/>
      <c r="EX27" s="2071"/>
      <c r="EY27" s="2071"/>
      <c r="EZ27" s="2071"/>
      <c r="FA27" s="2071"/>
      <c r="FB27" s="2071"/>
      <c r="FC27" s="2071"/>
      <c r="FD27" s="2071"/>
      <c r="FE27" s="2071"/>
      <c r="FF27" s="2071"/>
      <c r="FG27" s="2071"/>
      <c r="FH27" s="2071"/>
      <c r="FI27" s="2071"/>
      <c r="FJ27" s="2071"/>
      <c r="FK27" s="2071"/>
      <c r="FL27" s="2071"/>
      <c r="FM27" s="2071"/>
      <c r="FN27" s="2071"/>
      <c r="FO27" s="2071"/>
      <c r="FP27" s="2071"/>
      <c r="FQ27" s="2071"/>
      <c r="FR27" s="2071"/>
      <c r="FS27" s="2071"/>
      <c r="FT27" s="2071"/>
      <c r="FU27" s="2071"/>
      <c r="FV27" s="2071"/>
      <c r="FW27" s="2071"/>
      <c r="FX27" s="2071"/>
      <c r="FY27" s="2071"/>
      <c r="FZ27" s="2071"/>
      <c r="GA27" s="2071"/>
      <c r="GB27" s="2071"/>
      <c r="GC27" s="2071"/>
      <c r="GD27" s="2071"/>
      <c r="GE27" s="2071"/>
      <c r="GF27" s="2071"/>
      <c r="GG27" s="2071"/>
      <c r="GH27" s="2071"/>
      <c r="GI27" s="2071"/>
      <c r="GJ27" s="2071"/>
      <c r="GK27" s="2071"/>
      <c r="GL27" s="2071"/>
      <c r="GM27" s="2071"/>
      <c r="GN27" s="2071"/>
      <c r="GO27" s="2071"/>
      <c r="GP27" s="2071"/>
      <c r="GQ27" s="2071"/>
      <c r="GR27" s="2071"/>
      <c r="GS27" s="2071"/>
      <c r="GT27" s="2071"/>
      <c r="GU27" s="2071"/>
      <c r="GV27" s="2071"/>
      <c r="GW27" s="2071"/>
      <c r="GX27" s="2071"/>
      <c r="GY27" s="2071"/>
      <c r="GZ27" s="2071"/>
      <c r="HA27" s="2071"/>
      <c r="HB27" s="2071"/>
      <c r="HC27" s="2071"/>
      <c r="HD27" s="2071"/>
      <c r="HE27" s="2071"/>
      <c r="HF27" s="2071"/>
      <c r="HG27" s="2071"/>
      <c r="HH27" s="2071"/>
      <c r="HI27" s="2071"/>
      <c r="HJ27" s="2071"/>
      <c r="HK27" s="2071"/>
      <c r="HL27" s="2071"/>
      <c r="HM27" s="2071"/>
      <c r="HN27" s="2071"/>
      <c r="HO27" s="2071"/>
      <c r="HP27" s="2071"/>
      <c r="HQ27" s="2071"/>
      <c r="HR27" s="2071"/>
      <c r="HS27" s="2071"/>
      <c r="HT27" s="2071"/>
      <c r="HU27" s="2071"/>
      <c r="HV27" s="2071"/>
      <c r="HW27" s="2071"/>
      <c r="HX27" s="2071"/>
      <c r="HY27" s="2071"/>
      <c r="HZ27" s="2071"/>
      <c r="IA27" s="2071"/>
      <c r="IB27" s="2071"/>
      <c r="IC27" s="2071"/>
      <c r="ID27" s="2071"/>
      <c r="IE27" s="2071"/>
      <c r="IF27" s="2071"/>
      <c r="IG27" s="2071"/>
      <c r="IH27" s="2071"/>
      <c r="II27" s="2071"/>
      <c r="IJ27" s="2071"/>
      <c r="IK27" s="2071"/>
      <c r="IL27" s="2071"/>
      <c r="IM27" s="2071"/>
      <c r="IN27" s="2071"/>
    </row>
    <row r="28" spans="1:248">
      <c r="A28" s="2051" t="s">
        <v>240</v>
      </c>
      <c r="B28" s="2052">
        <f>审定资负表!C30</f>
        <v>0</v>
      </c>
      <c r="C28" s="2052">
        <f>审定资负表!D30</f>
        <v>0</v>
      </c>
      <c r="D28" s="2053" t="str">
        <f t="shared" si="0"/>
        <v> </v>
      </c>
      <c r="E28" s="2054">
        <f t="shared" si="1"/>
        <v>0</v>
      </c>
      <c r="F28" s="2055" t="str">
        <f t="shared" si="2"/>
        <v/>
      </c>
      <c r="G28" s="2056"/>
      <c r="H28" s="2057" t="str">
        <f>IF(报表附注!G1362=0,"相符","不相符")</f>
        <v>相符</v>
      </c>
      <c r="I28" s="2057" t="str">
        <f>IF(报表附注!F1362=0,"相符","不相符")</f>
        <v>相符</v>
      </c>
      <c r="J28" s="2076" t="s">
        <v>1958</v>
      </c>
      <c r="K28" s="2080"/>
      <c r="L28" s="2082"/>
      <c r="M28" s="2071"/>
      <c r="N28" s="2071"/>
      <c r="O28" s="2071"/>
      <c r="P28" s="2071"/>
      <c r="Q28" s="2071"/>
      <c r="R28" s="2071"/>
      <c r="S28" s="2071"/>
      <c r="T28" s="2071"/>
      <c r="U28" s="2071"/>
      <c r="V28" s="2071"/>
      <c r="W28" s="2071"/>
      <c r="X28" s="2071"/>
      <c r="Y28" s="2071"/>
      <c r="Z28" s="2071"/>
      <c r="AA28" s="2071"/>
      <c r="AB28" s="2071"/>
      <c r="AC28" s="2071"/>
      <c r="AD28" s="2071"/>
      <c r="AE28" s="2071"/>
      <c r="AF28" s="2071"/>
      <c r="AG28" s="2071"/>
      <c r="AH28" s="2071"/>
      <c r="AI28" s="2071"/>
      <c r="AJ28" s="2071"/>
      <c r="AK28" s="2071"/>
      <c r="AL28" s="2071"/>
      <c r="AM28" s="2071"/>
      <c r="AN28" s="2071"/>
      <c r="AO28" s="2071"/>
      <c r="AP28" s="2071"/>
      <c r="AQ28" s="2071"/>
      <c r="AR28" s="2071"/>
      <c r="AS28" s="2071"/>
      <c r="AT28" s="2071"/>
      <c r="AU28" s="2071"/>
      <c r="AV28" s="2071"/>
      <c r="AW28" s="2071"/>
      <c r="AX28" s="2071"/>
      <c r="AY28" s="2071"/>
      <c r="AZ28" s="2071"/>
      <c r="BA28" s="2071"/>
      <c r="BB28" s="2071"/>
      <c r="BC28" s="2071"/>
      <c r="BD28" s="2071"/>
      <c r="BE28" s="2071"/>
      <c r="BF28" s="2071"/>
      <c r="BG28" s="2071"/>
      <c r="BH28" s="2071"/>
      <c r="BI28" s="2071"/>
      <c r="BJ28" s="2071"/>
      <c r="BK28" s="2071"/>
      <c r="BL28" s="2071"/>
      <c r="BM28" s="2071"/>
      <c r="BN28" s="2071"/>
      <c r="BO28" s="2071"/>
      <c r="BP28" s="2071"/>
      <c r="BQ28" s="2071"/>
      <c r="BR28" s="2071"/>
      <c r="BS28" s="2071"/>
      <c r="BT28" s="2071"/>
      <c r="BU28" s="2071"/>
      <c r="BV28" s="2071"/>
      <c r="BW28" s="2071"/>
      <c r="BX28" s="2071"/>
      <c r="BY28" s="2071"/>
      <c r="BZ28" s="2071"/>
      <c r="CA28" s="2071"/>
      <c r="CB28" s="2071"/>
      <c r="CC28" s="2071"/>
      <c r="CD28" s="2071"/>
      <c r="CE28" s="2071"/>
      <c r="CF28" s="2071"/>
      <c r="CG28" s="2071"/>
      <c r="CH28" s="2071"/>
      <c r="CI28" s="2071"/>
      <c r="CJ28" s="2071"/>
      <c r="CK28" s="2071"/>
      <c r="CL28" s="2071"/>
      <c r="CM28" s="2071"/>
      <c r="CN28" s="2071"/>
      <c r="CO28" s="2071"/>
      <c r="CP28" s="2071"/>
      <c r="CQ28" s="2071"/>
      <c r="CR28" s="2071"/>
      <c r="CS28" s="2071"/>
      <c r="CT28" s="2071"/>
      <c r="CU28" s="2071"/>
      <c r="CV28" s="2071"/>
      <c r="CW28" s="2071"/>
      <c r="CX28" s="2071"/>
      <c r="CY28" s="2071"/>
      <c r="CZ28" s="2071"/>
      <c r="DA28" s="2071"/>
      <c r="DB28" s="2071"/>
      <c r="DC28" s="2071"/>
      <c r="DD28" s="2071"/>
      <c r="DE28" s="2071"/>
      <c r="DF28" s="2071"/>
      <c r="DG28" s="2071"/>
      <c r="DH28" s="2071"/>
      <c r="DI28" s="2071"/>
      <c r="DJ28" s="2071"/>
      <c r="DK28" s="2071"/>
      <c r="DL28" s="2071"/>
      <c r="DM28" s="2071"/>
      <c r="DN28" s="2071"/>
      <c r="DO28" s="2071"/>
      <c r="DP28" s="2071"/>
      <c r="DQ28" s="2071"/>
      <c r="DR28" s="2071"/>
      <c r="DS28" s="2071"/>
      <c r="DT28" s="2071"/>
      <c r="DU28" s="2071"/>
      <c r="DV28" s="2071"/>
      <c r="DW28" s="2071"/>
      <c r="DX28" s="2071"/>
      <c r="DY28" s="2071"/>
      <c r="DZ28" s="2071"/>
      <c r="EA28" s="2071"/>
      <c r="EB28" s="2071"/>
      <c r="EC28" s="2071"/>
      <c r="ED28" s="2071"/>
      <c r="EE28" s="2071"/>
      <c r="EF28" s="2071"/>
      <c r="EG28" s="2071"/>
      <c r="EH28" s="2071"/>
      <c r="EI28" s="2071"/>
      <c r="EJ28" s="2071"/>
      <c r="EK28" s="2071"/>
      <c r="EL28" s="2071"/>
      <c r="EM28" s="2071"/>
      <c r="EN28" s="2071"/>
      <c r="EO28" s="2071"/>
      <c r="EP28" s="2071"/>
      <c r="EQ28" s="2071"/>
      <c r="ER28" s="2071"/>
      <c r="ES28" s="2071"/>
      <c r="ET28" s="2071"/>
      <c r="EU28" s="2071"/>
      <c r="EV28" s="2071"/>
      <c r="EW28" s="2071"/>
      <c r="EX28" s="2071"/>
      <c r="EY28" s="2071"/>
      <c r="EZ28" s="2071"/>
      <c r="FA28" s="2071"/>
      <c r="FB28" s="2071"/>
      <c r="FC28" s="2071"/>
      <c r="FD28" s="2071"/>
      <c r="FE28" s="2071"/>
      <c r="FF28" s="2071"/>
      <c r="FG28" s="2071"/>
      <c r="FH28" s="2071"/>
      <c r="FI28" s="2071"/>
      <c r="FJ28" s="2071"/>
      <c r="FK28" s="2071"/>
      <c r="FL28" s="2071"/>
      <c r="FM28" s="2071"/>
      <c r="FN28" s="2071"/>
      <c r="FO28" s="2071"/>
      <c r="FP28" s="2071"/>
      <c r="FQ28" s="2071"/>
      <c r="FR28" s="2071"/>
      <c r="FS28" s="2071"/>
      <c r="FT28" s="2071"/>
      <c r="FU28" s="2071"/>
      <c r="FV28" s="2071"/>
      <c r="FW28" s="2071"/>
      <c r="FX28" s="2071"/>
      <c r="FY28" s="2071"/>
      <c r="FZ28" s="2071"/>
      <c r="GA28" s="2071"/>
      <c r="GB28" s="2071"/>
      <c r="GC28" s="2071"/>
      <c r="GD28" s="2071"/>
      <c r="GE28" s="2071"/>
      <c r="GF28" s="2071"/>
      <c r="GG28" s="2071"/>
      <c r="GH28" s="2071"/>
      <c r="GI28" s="2071"/>
      <c r="GJ28" s="2071"/>
      <c r="GK28" s="2071"/>
      <c r="GL28" s="2071"/>
      <c r="GM28" s="2071"/>
      <c r="GN28" s="2071"/>
      <c r="GO28" s="2071"/>
      <c r="GP28" s="2071"/>
      <c r="GQ28" s="2071"/>
      <c r="GR28" s="2071"/>
      <c r="GS28" s="2071"/>
      <c r="GT28" s="2071"/>
      <c r="GU28" s="2071"/>
      <c r="GV28" s="2071"/>
      <c r="GW28" s="2071"/>
      <c r="GX28" s="2071"/>
      <c r="GY28" s="2071"/>
      <c r="GZ28" s="2071"/>
      <c r="HA28" s="2071"/>
      <c r="HB28" s="2071"/>
      <c r="HC28" s="2071"/>
      <c r="HD28" s="2071"/>
      <c r="HE28" s="2071"/>
      <c r="HF28" s="2071"/>
      <c r="HG28" s="2071"/>
      <c r="HH28" s="2071"/>
      <c r="HI28" s="2071"/>
      <c r="HJ28" s="2071"/>
      <c r="HK28" s="2071"/>
      <c r="HL28" s="2071"/>
      <c r="HM28" s="2071"/>
      <c r="HN28" s="2071"/>
      <c r="HO28" s="2071"/>
      <c r="HP28" s="2071"/>
      <c r="HQ28" s="2071"/>
      <c r="HR28" s="2071"/>
      <c r="HS28" s="2071"/>
      <c r="HT28" s="2071"/>
      <c r="HU28" s="2071"/>
      <c r="HV28" s="2071"/>
      <c r="HW28" s="2071"/>
      <c r="HX28" s="2071"/>
      <c r="HY28" s="2071"/>
      <c r="HZ28" s="2071"/>
      <c r="IA28" s="2071"/>
      <c r="IB28" s="2071"/>
      <c r="IC28" s="2071"/>
      <c r="ID28" s="2071"/>
      <c r="IE28" s="2071"/>
      <c r="IF28" s="2071"/>
      <c r="IG28" s="2071"/>
      <c r="IH28" s="2071"/>
      <c r="II28" s="2071"/>
      <c r="IJ28" s="2071"/>
      <c r="IK28" s="2071"/>
      <c r="IL28" s="2071"/>
      <c r="IM28" s="2071"/>
      <c r="IN28" s="2071"/>
    </row>
    <row r="29" spans="1:248">
      <c r="A29" s="2051" t="s">
        <v>242</v>
      </c>
      <c r="B29" s="2052">
        <f>审定资负表!C31</f>
        <v>0</v>
      </c>
      <c r="C29" s="2052">
        <f>审定资负表!D31</f>
        <v>0</v>
      </c>
      <c r="D29" s="2053" t="str">
        <f t="shared" si="0"/>
        <v> </v>
      </c>
      <c r="E29" s="2054">
        <f t="shared" si="1"/>
        <v>0</v>
      </c>
      <c r="F29" s="2055" t="str">
        <f t="shared" si="2"/>
        <v/>
      </c>
      <c r="G29" s="2056"/>
      <c r="H29" s="2057" t="str">
        <f>IF(报表附注!I1389=0,"相符","不相符")</f>
        <v>相符</v>
      </c>
      <c r="I29" s="2057" t="str">
        <f>IF(报表附注!F1389=0,"相符","不相符")</f>
        <v>相符</v>
      </c>
      <c r="J29" s="2076" t="s">
        <v>1959</v>
      </c>
      <c r="K29" s="2081"/>
      <c r="L29" s="2082"/>
      <c r="M29" s="2071"/>
      <c r="N29" s="2071"/>
      <c r="O29" s="2071"/>
      <c r="P29" s="2071"/>
      <c r="Q29" s="2071"/>
      <c r="R29" s="2071"/>
      <c r="S29" s="2071"/>
      <c r="T29" s="2071"/>
      <c r="U29" s="2071"/>
      <c r="V29" s="2071"/>
      <c r="W29" s="2071"/>
      <c r="X29" s="2071"/>
      <c r="Y29" s="2071"/>
      <c r="Z29" s="2071"/>
      <c r="AA29" s="2071"/>
      <c r="AB29" s="2071"/>
      <c r="AC29" s="2071"/>
      <c r="AD29" s="2071"/>
      <c r="AE29" s="2071"/>
      <c r="AF29" s="2071"/>
      <c r="AG29" s="2071"/>
      <c r="AH29" s="2071"/>
      <c r="AI29" s="2071"/>
      <c r="AJ29" s="2071"/>
      <c r="AK29" s="2071"/>
      <c r="AL29" s="2071"/>
      <c r="AM29" s="2071"/>
      <c r="AN29" s="2071"/>
      <c r="AO29" s="2071"/>
      <c r="AP29" s="2071"/>
      <c r="AQ29" s="2071"/>
      <c r="AR29" s="2071"/>
      <c r="AS29" s="2071"/>
      <c r="AT29" s="2071"/>
      <c r="AU29" s="2071"/>
      <c r="AV29" s="2071"/>
      <c r="AW29" s="2071"/>
      <c r="AX29" s="2071"/>
      <c r="AY29" s="2071"/>
      <c r="AZ29" s="2071"/>
      <c r="BA29" s="2071"/>
      <c r="BB29" s="2071"/>
      <c r="BC29" s="2071"/>
      <c r="BD29" s="2071"/>
      <c r="BE29" s="2071"/>
      <c r="BF29" s="2071"/>
      <c r="BG29" s="2071"/>
      <c r="BH29" s="2071"/>
      <c r="BI29" s="2071"/>
      <c r="BJ29" s="2071"/>
      <c r="BK29" s="2071"/>
      <c r="BL29" s="2071"/>
      <c r="BM29" s="2071"/>
      <c r="BN29" s="2071"/>
      <c r="BO29" s="2071"/>
      <c r="BP29" s="2071"/>
      <c r="BQ29" s="2071"/>
      <c r="BR29" s="2071"/>
      <c r="BS29" s="2071"/>
      <c r="BT29" s="2071"/>
      <c r="BU29" s="2071"/>
      <c r="BV29" s="2071"/>
      <c r="BW29" s="2071"/>
      <c r="BX29" s="2071"/>
      <c r="BY29" s="2071"/>
      <c r="BZ29" s="2071"/>
      <c r="CA29" s="2071"/>
      <c r="CB29" s="2071"/>
      <c r="CC29" s="2071"/>
      <c r="CD29" s="2071"/>
      <c r="CE29" s="2071"/>
      <c r="CF29" s="2071"/>
      <c r="CG29" s="2071"/>
      <c r="CH29" s="2071"/>
      <c r="CI29" s="2071"/>
      <c r="CJ29" s="2071"/>
      <c r="CK29" s="2071"/>
      <c r="CL29" s="2071"/>
      <c r="CM29" s="2071"/>
      <c r="CN29" s="2071"/>
      <c r="CO29" s="2071"/>
      <c r="CP29" s="2071"/>
      <c r="CQ29" s="2071"/>
      <c r="CR29" s="2071"/>
      <c r="CS29" s="2071"/>
      <c r="CT29" s="2071"/>
      <c r="CU29" s="2071"/>
      <c r="CV29" s="2071"/>
      <c r="CW29" s="2071"/>
      <c r="CX29" s="2071"/>
      <c r="CY29" s="2071"/>
      <c r="CZ29" s="2071"/>
      <c r="DA29" s="2071"/>
      <c r="DB29" s="2071"/>
      <c r="DC29" s="2071"/>
      <c r="DD29" s="2071"/>
      <c r="DE29" s="2071"/>
      <c r="DF29" s="2071"/>
      <c r="DG29" s="2071"/>
      <c r="DH29" s="2071"/>
      <c r="DI29" s="2071"/>
      <c r="DJ29" s="2071"/>
      <c r="DK29" s="2071"/>
      <c r="DL29" s="2071"/>
      <c r="DM29" s="2071"/>
      <c r="DN29" s="2071"/>
      <c r="DO29" s="2071"/>
      <c r="DP29" s="2071"/>
      <c r="DQ29" s="2071"/>
      <c r="DR29" s="2071"/>
      <c r="DS29" s="2071"/>
      <c r="DT29" s="2071"/>
      <c r="DU29" s="2071"/>
      <c r="DV29" s="2071"/>
      <c r="DW29" s="2071"/>
      <c r="DX29" s="2071"/>
      <c r="DY29" s="2071"/>
      <c r="DZ29" s="2071"/>
      <c r="EA29" s="2071"/>
      <c r="EB29" s="2071"/>
      <c r="EC29" s="2071"/>
      <c r="ED29" s="2071"/>
      <c r="EE29" s="2071"/>
      <c r="EF29" s="2071"/>
      <c r="EG29" s="2071"/>
      <c r="EH29" s="2071"/>
      <c r="EI29" s="2071"/>
      <c r="EJ29" s="2071"/>
      <c r="EK29" s="2071"/>
      <c r="EL29" s="2071"/>
      <c r="EM29" s="2071"/>
      <c r="EN29" s="2071"/>
      <c r="EO29" s="2071"/>
      <c r="EP29" s="2071"/>
      <c r="EQ29" s="2071"/>
      <c r="ER29" s="2071"/>
      <c r="ES29" s="2071"/>
      <c r="ET29" s="2071"/>
      <c r="EU29" s="2071"/>
      <c r="EV29" s="2071"/>
      <c r="EW29" s="2071"/>
      <c r="EX29" s="2071"/>
      <c r="EY29" s="2071"/>
      <c r="EZ29" s="2071"/>
      <c r="FA29" s="2071"/>
      <c r="FB29" s="2071"/>
      <c r="FC29" s="2071"/>
      <c r="FD29" s="2071"/>
      <c r="FE29" s="2071"/>
      <c r="FF29" s="2071"/>
      <c r="FG29" s="2071"/>
      <c r="FH29" s="2071"/>
      <c r="FI29" s="2071"/>
      <c r="FJ29" s="2071"/>
      <c r="FK29" s="2071"/>
      <c r="FL29" s="2071"/>
      <c r="FM29" s="2071"/>
      <c r="FN29" s="2071"/>
      <c r="FO29" s="2071"/>
      <c r="FP29" s="2071"/>
      <c r="FQ29" s="2071"/>
      <c r="FR29" s="2071"/>
      <c r="FS29" s="2071"/>
      <c r="FT29" s="2071"/>
      <c r="FU29" s="2071"/>
      <c r="FV29" s="2071"/>
      <c r="FW29" s="2071"/>
      <c r="FX29" s="2071"/>
      <c r="FY29" s="2071"/>
      <c r="FZ29" s="2071"/>
      <c r="GA29" s="2071"/>
      <c r="GB29" s="2071"/>
      <c r="GC29" s="2071"/>
      <c r="GD29" s="2071"/>
      <c r="GE29" s="2071"/>
      <c r="GF29" s="2071"/>
      <c r="GG29" s="2071"/>
      <c r="GH29" s="2071"/>
      <c r="GI29" s="2071"/>
      <c r="GJ29" s="2071"/>
      <c r="GK29" s="2071"/>
      <c r="GL29" s="2071"/>
      <c r="GM29" s="2071"/>
      <c r="GN29" s="2071"/>
      <c r="GO29" s="2071"/>
      <c r="GP29" s="2071"/>
      <c r="GQ29" s="2071"/>
      <c r="GR29" s="2071"/>
      <c r="GS29" s="2071"/>
      <c r="GT29" s="2071"/>
      <c r="GU29" s="2071"/>
      <c r="GV29" s="2071"/>
      <c r="GW29" s="2071"/>
      <c r="GX29" s="2071"/>
      <c r="GY29" s="2071"/>
      <c r="GZ29" s="2071"/>
      <c r="HA29" s="2071"/>
      <c r="HB29" s="2071"/>
      <c r="HC29" s="2071"/>
      <c r="HD29" s="2071"/>
      <c r="HE29" s="2071"/>
      <c r="HF29" s="2071"/>
      <c r="HG29" s="2071"/>
      <c r="HH29" s="2071"/>
      <c r="HI29" s="2071"/>
      <c r="HJ29" s="2071"/>
      <c r="HK29" s="2071"/>
      <c r="HL29" s="2071"/>
      <c r="HM29" s="2071"/>
      <c r="HN29" s="2071"/>
      <c r="HO29" s="2071"/>
      <c r="HP29" s="2071"/>
      <c r="HQ29" s="2071"/>
      <c r="HR29" s="2071"/>
      <c r="HS29" s="2071"/>
      <c r="HT29" s="2071"/>
      <c r="HU29" s="2071"/>
      <c r="HV29" s="2071"/>
      <c r="HW29" s="2071"/>
      <c r="HX29" s="2071"/>
      <c r="HY29" s="2071"/>
      <c r="HZ29" s="2071"/>
      <c r="IA29" s="2071"/>
      <c r="IB29" s="2071"/>
      <c r="IC29" s="2071"/>
      <c r="ID29" s="2071"/>
      <c r="IE29" s="2071"/>
      <c r="IF29" s="2071"/>
      <c r="IG29" s="2071"/>
      <c r="IH29" s="2071"/>
      <c r="II29" s="2071"/>
      <c r="IJ29" s="2071"/>
      <c r="IK29" s="2071"/>
      <c r="IL29" s="2071"/>
      <c r="IM29" s="2071"/>
      <c r="IN29" s="2071"/>
    </row>
    <row r="30" spans="1:248">
      <c r="A30" s="2051" t="s">
        <v>244</v>
      </c>
      <c r="B30" s="2052">
        <f>审定资负表!C32</f>
        <v>0</v>
      </c>
      <c r="C30" s="2052">
        <f>审定资负表!D32</f>
        <v>0</v>
      </c>
      <c r="D30" s="2053" t="str">
        <f t="shared" si="0"/>
        <v> </v>
      </c>
      <c r="E30" s="2054">
        <f t="shared" si="1"/>
        <v>0</v>
      </c>
      <c r="F30" s="2055" t="str">
        <f t="shared" si="2"/>
        <v/>
      </c>
      <c r="G30" s="2056"/>
      <c r="H30" s="2057" t="str">
        <f>IF(报表附注!I1412=0,"相符","不相符")</f>
        <v>相符</v>
      </c>
      <c r="I30" s="2057" t="str">
        <f>IF(报表附注!F1412=0,"相符","不相符")</f>
        <v>相符</v>
      </c>
      <c r="J30" s="2076" t="s">
        <v>1960</v>
      </c>
      <c r="K30" s="2081"/>
      <c r="L30" s="2082"/>
      <c r="M30" s="2071"/>
      <c r="N30" s="2071"/>
      <c r="O30" s="2071"/>
      <c r="P30" s="2071"/>
      <c r="Q30" s="2071"/>
      <c r="R30" s="2071"/>
      <c r="S30" s="2071"/>
      <c r="T30" s="2071"/>
      <c r="U30" s="2071"/>
      <c r="V30" s="2071"/>
      <c r="W30" s="2071"/>
      <c r="X30" s="2071"/>
      <c r="Y30" s="2071"/>
      <c r="Z30" s="2071"/>
      <c r="AA30" s="2071"/>
      <c r="AB30" s="2071"/>
      <c r="AC30" s="2071"/>
      <c r="AD30" s="2071"/>
      <c r="AE30" s="2071"/>
      <c r="AF30" s="2071"/>
      <c r="AG30" s="2071"/>
      <c r="AH30" s="2071"/>
      <c r="AI30" s="2071"/>
      <c r="AJ30" s="2071"/>
      <c r="AK30" s="2071"/>
      <c r="AL30" s="2071"/>
      <c r="AM30" s="2071"/>
      <c r="AN30" s="2071"/>
      <c r="AO30" s="2071"/>
      <c r="AP30" s="2071"/>
      <c r="AQ30" s="2071"/>
      <c r="AR30" s="2071"/>
      <c r="AS30" s="2071"/>
      <c r="AT30" s="2071"/>
      <c r="AU30" s="2071"/>
      <c r="AV30" s="2071"/>
      <c r="AW30" s="2071"/>
      <c r="AX30" s="2071"/>
      <c r="AY30" s="2071"/>
      <c r="AZ30" s="2071"/>
      <c r="BA30" s="2071"/>
      <c r="BB30" s="2071"/>
      <c r="BC30" s="2071"/>
      <c r="BD30" s="2071"/>
      <c r="BE30" s="2071"/>
      <c r="BF30" s="2071"/>
      <c r="BG30" s="2071"/>
      <c r="BH30" s="2071"/>
      <c r="BI30" s="2071"/>
      <c r="BJ30" s="2071"/>
      <c r="BK30" s="2071"/>
      <c r="BL30" s="2071"/>
      <c r="BM30" s="2071"/>
      <c r="BN30" s="2071"/>
      <c r="BO30" s="2071"/>
      <c r="BP30" s="2071"/>
      <c r="BQ30" s="2071"/>
      <c r="BR30" s="2071"/>
      <c r="BS30" s="2071"/>
      <c r="BT30" s="2071"/>
      <c r="BU30" s="2071"/>
      <c r="BV30" s="2071"/>
      <c r="BW30" s="2071"/>
      <c r="BX30" s="2071"/>
      <c r="BY30" s="2071"/>
      <c r="BZ30" s="2071"/>
      <c r="CA30" s="2071"/>
      <c r="CB30" s="2071"/>
      <c r="CC30" s="2071"/>
      <c r="CD30" s="2071"/>
      <c r="CE30" s="2071"/>
      <c r="CF30" s="2071"/>
      <c r="CG30" s="2071"/>
      <c r="CH30" s="2071"/>
      <c r="CI30" s="2071"/>
      <c r="CJ30" s="2071"/>
      <c r="CK30" s="2071"/>
      <c r="CL30" s="2071"/>
      <c r="CM30" s="2071"/>
      <c r="CN30" s="2071"/>
      <c r="CO30" s="2071"/>
      <c r="CP30" s="2071"/>
      <c r="CQ30" s="2071"/>
      <c r="CR30" s="2071"/>
      <c r="CS30" s="2071"/>
      <c r="CT30" s="2071"/>
      <c r="CU30" s="2071"/>
      <c r="CV30" s="2071"/>
      <c r="CW30" s="2071"/>
      <c r="CX30" s="2071"/>
      <c r="CY30" s="2071"/>
      <c r="CZ30" s="2071"/>
      <c r="DA30" s="2071"/>
      <c r="DB30" s="2071"/>
      <c r="DC30" s="2071"/>
      <c r="DD30" s="2071"/>
      <c r="DE30" s="2071"/>
      <c r="DF30" s="2071"/>
      <c r="DG30" s="2071"/>
      <c r="DH30" s="2071"/>
      <c r="DI30" s="2071"/>
      <c r="DJ30" s="2071"/>
      <c r="DK30" s="2071"/>
      <c r="DL30" s="2071"/>
      <c r="DM30" s="2071"/>
      <c r="DN30" s="2071"/>
      <c r="DO30" s="2071"/>
      <c r="DP30" s="2071"/>
      <c r="DQ30" s="2071"/>
      <c r="DR30" s="2071"/>
      <c r="DS30" s="2071"/>
      <c r="DT30" s="2071"/>
      <c r="DU30" s="2071"/>
      <c r="DV30" s="2071"/>
      <c r="DW30" s="2071"/>
      <c r="DX30" s="2071"/>
      <c r="DY30" s="2071"/>
      <c r="DZ30" s="2071"/>
      <c r="EA30" s="2071"/>
      <c r="EB30" s="2071"/>
      <c r="EC30" s="2071"/>
      <c r="ED30" s="2071"/>
      <c r="EE30" s="2071"/>
      <c r="EF30" s="2071"/>
      <c r="EG30" s="2071"/>
      <c r="EH30" s="2071"/>
      <c r="EI30" s="2071"/>
      <c r="EJ30" s="2071"/>
      <c r="EK30" s="2071"/>
      <c r="EL30" s="2071"/>
      <c r="EM30" s="2071"/>
      <c r="EN30" s="2071"/>
      <c r="EO30" s="2071"/>
      <c r="EP30" s="2071"/>
      <c r="EQ30" s="2071"/>
      <c r="ER30" s="2071"/>
      <c r="ES30" s="2071"/>
      <c r="ET30" s="2071"/>
      <c r="EU30" s="2071"/>
      <c r="EV30" s="2071"/>
      <c r="EW30" s="2071"/>
      <c r="EX30" s="2071"/>
      <c r="EY30" s="2071"/>
      <c r="EZ30" s="2071"/>
      <c r="FA30" s="2071"/>
      <c r="FB30" s="2071"/>
      <c r="FC30" s="2071"/>
      <c r="FD30" s="2071"/>
      <c r="FE30" s="2071"/>
      <c r="FF30" s="2071"/>
      <c r="FG30" s="2071"/>
      <c r="FH30" s="2071"/>
      <c r="FI30" s="2071"/>
      <c r="FJ30" s="2071"/>
      <c r="FK30" s="2071"/>
      <c r="FL30" s="2071"/>
      <c r="FM30" s="2071"/>
      <c r="FN30" s="2071"/>
      <c r="FO30" s="2071"/>
      <c r="FP30" s="2071"/>
      <c r="FQ30" s="2071"/>
      <c r="FR30" s="2071"/>
      <c r="FS30" s="2071"/>
      <c r="FT30" s="2071"/>
      <c r="FU30" s="2071"/>
      <c r="FV30" s="2071"/>
      <c r="FW30" s="2071"/>
      <c r="FX30" s="2071"/>
      <c r="FY30" s="2071"/>
      <c r="FZ30" s="2071"/>
      <c r="GA30" s="2071"/>
      <c r="GB30" s="2071"/>
      <c r="GC30" s="2071"/>
      <c r="GD30" s="2071"/>
      <c r="GE30" s="2071"/>
      <c r="GF30" s="2071"/>
      <c r="GG30" s="2071"/>
      <c r="GH30" s="2071"/>
      <c r="GI30" s="2071"/>
      <c r="GJ30" s="2071"/>
      <c r="GK30" s="2071"/>
      <c r="GL30" s="2071"/>
      <c r="GM30" s="2071"/>
      <c r="GN30" s="2071"/>
      <c r="GO30" s="2071"/>
      <c r="GP30" s="2071"/>
      <c r="GQ30" s="2071"/>
      <c r="GR30" s="2071"/>
      <c r="GS30" s="2071"/>
      <c r="GT30" s="2071"/>
      <c r="GU30" s="2071"/>
      <c r="GV30" s="2071"/>
      <c r="GW30" s="2071"/>
      <c r="GX30" s="2071"/>
      <c r="GY30" s="2071"/>
      <c r="GZ30" s="2071"/>
      <c r="HA30" s="2071"/>
      <c r="HB30" s="2071"/>
      <c r="HC30" s="2071"/>
      <c r="HD30" s="2071"/>
      <c r="HE30" s="2071"/>
      <c r="HF30" s="2071"/>
      <c r="HG30" s="2071"/>
      <c r="HH30" s="2071"/>
      <c r="HI30" s="2071"/>
      <c r="HJ30" s="2071"/>
      <c r="HK30" s="2071"/>
      <c r="HL30" s="2071"/>
      <c r="HM30" s="2071"/>
      <c r="HN30" s="2071"/>
      <c r="HO30" s="2071"/>
      <c r="HP30" s="2071"/>
      <c r="HQ30" s="2071"/>
      <c r="HR30" s="2071"/>
      <c r="HS30" s="2071"/>
      <c r="HT30" s="2071"/>
      <c r="HU30" s="2071"/>
      <c r="HV30" s="2071"/>
      <c r="HW30" s="2071"/>
      <c r="HX30" s="2071"/>
      <c r="HY30" s="2071"/>
      <c r="HZ30" s="2071"/>
      <c r="IA30" s="2071"/>
      <c r="IB30" s="2071"/>
      <c r="IC30" s="2071"/>
      <c r="ID30" s="2071"/>
      <c r="IE30" s="2071"/>
      <c r="IF30" s="2071"/>
      <c r="IG30" s="2071"/>
      <c r="IH30" s="2071"/>
      <c r="II30" s="2071"/>
      <c r="IJ30" s="2071"/>
      <c r="IK30" s="2071"/>
      <c r="IL30" s="2071"/>
      <c r="IM30" s="2071"/>
      <c r="IN30" s="2071"/>
    </row>
    <row r="31" spans="1:248">
      <c r="A31" s="2051" t="s">
        <v>245</v>
      </c>
      <c r="B31" s="2052">
        <f>审定资负表!C33</f>
        <v>10000</v>
      </c>
      <c r="C31" s="2052">
        <f>审定资负表!D33</f>
        <v>16000</v>
      </c>
      <c r="D31" s="2053">
        <f t="shared" si="0"/>
        <v>2.06067172798706e-5</v>
      </c>
      <c r="E31" s="2054">
        <f t="shared" si="1"/>
        <v>-6000</v>
      </c>
      <c r="F31" s="2055">
        <f t="shared" si="2"/>
        <v>-0.375</v>
      </c>
      <c r="G31" s="2056"/>
      <c r="H31" s="2057" t="str">
        <f>IF(报表附注!I1482=0,"相符","不相符")</f>
        <v>相符</v>
      </c>
      <c r="I31" s="2057" t="str">
        <f>IF(报表附注!F1482=0,"相符","不相符")</f>
        <v>相符</v>
      </c>
      <c r="J31" s="2083" t="s">
        <v>2466</v>
      </c>
      <c r="K31" s="2076" t="s">
        <v>1961</v>
      </c>
      <c r="L31" s="2082"/>
      <c r="M31" s="2071"/>
      <c r="N31" s="2071"/>
      <c r="O31" s="2071"/>
      <c r="P31" s="2071"/>
      <c r="Q31" s="2071"/>
      <c r="R31" s="2071"/>
      <c r="S31" s="2071"/>
      <c r="T31" s="2071"/>
      <c r="U31" s="2071"/>
      <c r="V31" s="2071"/>
      <c r="W31" s="2071"/>
      <c r="X31" s="2071"/>
      <c r="Y31" s="2071"/>
      <c r="Z31" s="2071"/>
      <c r="AA31" s="2071"/>
      <c r="AB31" s="2071"/>
      <c r="AC31" s="2071"/>
      <c r="AD31" s="2071"/>
      <c r="AE31" s="2071"/>
      <c r="AF31" s="2071"/>
      <c r="AG31" s="2071"/>
      <c r="AH31" s="2071"/>
      <c r="AI31" s="2071"/>
      <c r="AJ31" s="2071"/>
      <c r="AK31" s="2071"/>
      <c r="AL31" s="2071"/>
      <c r="AM31" s="2071"/>
      <c r="AN31" s="2071"/>
      <c r="AO31" s="2071"/>
      <c r="AP31" s="2071"/>
      <c r="AQ31" s="2071"/>
      <c r="AR31" s="2071"/>
      <c r="AS31" s="2071"/>
      <c r="AT31" s="2071"/>
      <c r="AU31" s="2071"/>
      <c r="AV31" s="2071"/>
      <c r="AW31" s="2071"/>
      <c r="AX31" s="2071"/>
      <c r="AY31" s="2071"/>
      <c r="AZ31" s="2071"/>
      <c r="BA31" s="2071"/>
      <c r="BB31" s="2071"/>
      <c r="BC31" s="2071"/>
      <c r="BD31" s="2071"/>
      <c r="BE31" s="2071"/>
      <c r="BF31" s="2071"/>
      <c r="BG31" s="2071"/>
      <c r="BH31" s="2071"/>
      <c r="BI31" s="2071"/>
      <c r="BJ31" s="2071"/>
      <c r="BK31" s="2071"/>
      <c r="BL31" s="2071"/>
      <c r="BM31" s="2071"/>
      <c r="BN31" s="2071"/>
      <c r="BO31" s="2071"/>
      <c r="BP31" s="2071"/>
      <c r="BQ31" s="2071"/>
      <c r="BR31" s="2071"/>
      <c r="BS31" s="2071"/>
      <c r="BT31" s="2071"/>
      <c r="BU31" s="2071"/>
      <c r="BV31" s="2071"/>
      <c r="BW31" s="2071"/>
      <c r="BX31" s="2071"/>
      <c r="BY31" s="2071"/>
      <c r="BZ31" s="2071"/>
      <c r="CA31" s="2071"/>
      <c r="CB31" s="2071"/>
      <c r="CC31" s="2071"/>
      <c r="CD31" s="2071"/>
      <c r="CE31" s="2071"/>
      <c r="CF31" s="2071"/>
      <c r="CG31" s="2071"/>
      <c r="CH31" s="2071"/>
      <c r="CI31" s="2071"/>
      <c r="CJ31" s="2071"/>
      <c r="CK31" s="2071"/>
      <c r="CL31" s="2071"/>
      <c r="CM31" s="2071"/>
      <c r="CN31" s="2071"/>
      <c r="CO31" s="2071"/>
      <c r="CP31" s="2071"/>
      <c r="CQ31" s="2071"/>
      <c r="CR31" s="2071"/>
      <c r="CS31" s="2071"/>
      <c r="CT31" s="2071"/>
      <c r="CU31" s="2071"/>
      <c r="CV31" s="2071"/>
      <c r="CW31" s="2071"/>
      <c r="CX31" s="2071"/>
      <c r="CY31" s="2071"/>
      <c r="CZ31" s="2071"/>
      <c r="DA31" s="2071"/>
      <c r="DB31" s="2071"/>
      <c r="DC31" s="2071"/>
      <c r="DD31" s="2071"/>
      <c r="DE31" s="2071"/>
      <c r="DF31" s="2071"/>
      <c r="DG31" s="2071"/>
      <c r="DH31" s="2071"/>
      <c r="DI31" s="2071"/>
      <c r="DJ31" s="2071"/>
      <c r="DK31" s="2071"/>
      <c r="DL31" s="2071"/>
      <c r="DM31" s="2071"/>
      <c r="DN31" s="2071"/>
      <c r="DO31" s="2071"/>
      <c r="DP31" s="2071"/>
      <c r="DQ31" s="2071"/>
      <c r="DR31" s="2071"/>
      <c r="DS31" s="2071"/>
      <c r="DT31" s="2071"/>
      <c r="DU31" s="2071"/>
      <c r="DV31" s="2071"/>
      <c r="DW31" s="2071"/>
      <c r="DX31" s="2071"/>
      <c r="DY31" s="2071"/>
      <c r="DZ31" s="2071"/>
      <c r="EA31" s="2071"/>
      <c r="EB31" s="2071"/>
      <c r="EC31" s="2071"/>
      <c r="ED31" s="2071"/>
      <c r="EE31" s="2071"/>
      <c r="EF31" s="2071"/>
      <c r="EG31" s="2071"/>
      <c r="EH31" s="2071"/>
      <c r="EI31" s="2071"/>
      <c r="EJ31" s="2071"/>
      <c r="EK31" s="2071"/>
      <c r="EL31" s="2071"/>
      <c r="EM31" s="2071"/>
      <c r="EN31" s="2071"/>
      <c r="EO31" s="2071"/>
      <c r="EP31" s="2071"/>
      <c r="EQ31" s="2071"/>
      <c r="ER31" s="2071"/>
      <c r="ES31" s="2071"/>
      <c r="ET31" s="2071"/>
      <c r="EU31" s="2071"/>
      <c r="EV31" s="2071"/>
      <c r="EW31" s="2071"/>
      <c r="EX31" s="2071"/>
      <c r="EY31" s="2071"/>
      <c r="EZ31" s="2071"/>
      <c r="FA31" s="2071"/>
      <c r="FB31" s="2071"/>
      <c r="FC31" s="2071"/>
      <c r="FD31" s="2071"/>
      <c r="FE31" s="2071"/>
      <c r="FF31" s="2071"/>
      <c r="FG31" s="2071"/>
      <c r="FH31" s="2071"/>
      <c r="FI31" s="2071"/>
      <c r="FJ31" s="2071"/>
      <c r="FK31" s="2071"/>
      <c r="FL31" s="2071"/>
      <c r="FM31" s="2071"/>
      <c r="FN31" s="2071"/>
      <c r="FO31" s="2071"/>
      <c r="FP31" s="2071"/>
      <c r="FQ31" s="2071"/>
      <c r="FR31" s="2071"/>
      <c r="FS31" s="2071"/>
      <c r="FT31" s="2071"/>
      <c r="FU31" s="2071"/>
      <c r="FV31" s="2071"/>
      <c r="FW31" s="2071"/>
      <c r="FX31" s="2071"/>
      <c r="FY31" s="2071"/>
      <c r="FZ31" s="2071"/>
      <c r="GA31" s="2071"/>
      <c r="GB31" s="2071"/>
      <c r="GC31" s="2071"/>
      <c r="GD31" s="2071"/>
      <c r="GE31" s="2071"/>
      <c r="GF31" s="2071"/>
      <c r="GG31" s="2071"/>
      <c r="GH31" s="2071"/>
      <c r="GI31" s="2071"/>
      <c r="GJ31" s="2071"/>
      <c r="GK31" s="2071"/>
      <c r="GL31" s="2071"/>
      <c r="GM31" s="2071"/>
      <c r="GN31" s="2071"/>
      <c r="GO31" s="2071"/>
      <c r="GP31" s="2071"/>
      <c r="GQ31" s="2071"/>
      <c r="GR31" s="2071"/>
      <c r="GS31" s="2071"/>
      <c r="GT31" s="2071"/>
      <c r="GU31" s="2071"/>
      <c r="GV31" s="2071"/>
      <c r="GW31" s="2071"/>
      <c r="GX31" s="2071"/>
      <c r="GY31" s="2071"/>
      <c r="GZ31" s="2071"/>
      <c r="HA31" s="2071"/>
      <c r="HB31" s="2071"/>
      <c r="HC31" s="2071"/>
      <c r="HD31" s="2071"/>
      <c r="HE31" s="2071"/>
      <c r="HF31" s="2071"/>
      <c r="HG31" s="2071"/>
      <c r="HH31" s="2071"/>
      <c r="HI31" s="2071"/>
      <c r="HJ31" s="2071"/>
      <c r="HK31" s="2071"/>
      <c r="HL31" s="2071"/>
      <c r="HM31" s="2071"/>
      <c r="HN31" s="2071"/>
      <c r="HO31" s="2071"/>
      <c r="HP31" s="2071"/>
      <c r="HQ31" s="2071"/>
      <c r="HR31" s="2071"/>
      <c r="HS31" s="2071"/>
      <c r="HT31" s="2071"/>
      <c r="HU31" s="2071"/>
      <c r="HV31" s="2071"/>
      <c r="HW31" s="2071"/>
      <c r="HX31" s="2071"/>
      <c r="HY31" s="2071"/>
      <c r="HZ31" s="2071"/>
      <c r="IA31" s="2071"/>
      <c r="IB31" s="2071"/>
      <c r="IC31" s="2071"/>
      <c r="ID31" s="2071"/>
      <c r="IE31" s="2071"/>
      <c r="IF31" s="2071"/>
      <c r="IG31" s="2071"/>
      <c r="IH31" s="2071"/>
      <c r="II31" s="2071"/>
      <c r="IJ31" s="2071"/>
      <c r="IK31" s="2071"/>
      <c r="IL31" s="2071"/>
      <c r="IM31" s="2071"/>
      <c r="IN31" s="2071"/>
    </row>
    <row r="32" spans="1:248">
      <c r="A32" s="2051" t="s">
        <v>247</v>
      </c>
      <c r="B32" s="2052">
        <f>审定资负表!C34</f>
        <v>0</v>
      </c>
      <c r="C32" s="2052">
        <f>审定资负表!D34</f>
        <v>0</v>
      </c>
      <c r="D32" s="2053" t="str">
        <f t="shared" si="0"/>
        <v> </v>
      </c>
      <c r="E32" s="2054">
        <f t="shared" si="1"/>
        <v>0</v>
      </c>
      <c r="F32" s="2055" t="str">
        <f t="shared" si="2"/>
        <v/>
      </c>
      <c r="G32" s="2056"/>
      <c r="H32" s="2057" t="str">
        <f>IF(报表附注!I1504=0,"相符","不相符")</f>
        <v>相符</v>
      </c>
      <c r="I32" s="2057" t="str">
        <f>IF(报表附注!F1504=0,"相符","不相符")</f>
        <v>相符</v>
      </c>
      <c r="J32" s="2076" t="s">
        <v>1961</v>
      </c>
      <c r="K32" s="2077"/>
      <c r="L32" s="2082"/>
      <c r="M32" s="2071"/>
      <c r="N32" s="2071"/>
      <c r="O32" s="2071"/>
      <c r="P32" s="2071"/>
      <c r="Q32" s="2071"/>
      <c r="R32" s="2071"/>
      <c r="S32" s="2071"/>
      <c r="T32" s="2071"/>
      <c r="U32" s="2071"/>
      <c r="V32" s="2071"/>
      <c r="W32" s="2071"/>
      <c r="X32" s="2071"/>
      <c r="Y32" s="2071"/>
      <c r="Z32" s="2071"/>
      <c r="AA32" s="2071"/>
      <c r="AB32" s="2071"/>
      <c r="AC32" s="2071"/>
      <c r="AD32" s="2071"/>
      <c r="AE32" s="2071"/>
      <c r="AF32" s="2071"/>
      <c r="AG32" s="2071"/>
      <c r="AH32" s="2071"/>
      <c r="AI32" s="2071"/>
      <c r="AJ32" s="2071"/>
      <c r="AK32" s="2071"/>
      <c r="AL32" s="2071"/>
      <c r="AM32" s="2071"/>
      <c r="AN32" s="2071"/>
      <c r="AO32" s="2071"/>
      <c r="AP32" s="2071"/>
      <c r="AQ32" s="2071"/>
      <c r="AR32" s="2071"/>
      <c r="AS32" s="2071"/>
      <c r="AT32" s="2071"/>
      <c r="AU32" s="2071"/>
      <c r="AV32" s="2071"/>
      <c r="AW32" s="2071"/>
      <c r="AX32" s="2071"/>
      <c r="AY32" s="2071"/>
      <c r="AZ32" s="2071"/>
      <c r="BA32" s="2071"/>
      <c r="BB32" s="2071"/>
      <c r="BC32" s="2071"/>
      <c r="BD32" s="2071"/>
      <c r="BE32" s="2071"/>
      <c r="BF32" s="2071"/>
      <c r="BG32" s="2071"/>
      <c r="BH32" s="2071"/>
      <c r="BI32" s="2071"/>
      <c r="BJ32" s="2071"/>
      <c r="BK32" s="2071"/>
      <c r="BL32" s="2071"/>
      <c r="BM32" s="2071"/>
      <c r="BN32" s="2071"/>
      <c r="BO32" s="2071"/>
      <c r="BP32" s="2071"/>
      <c r="BQ32" s="2071"/>
      <c r="BR32" s="2071"/>
      <c r="BS32" s="2071"/>
      <c r="BT32" s="2071"/>
      <c r="BU32" s="2071"/>
      <c r="BV32" s="2071"/>
      <c r="BW32" s="2071"/>
      <c r="BX32" s="2071"/>
      <c r="BY32" s="2071"/>
      <c r="BZ32" s="2071"/>
      <c r="CA32" s="2071"/>
      <c r="CB32" s="2071"/>
      <c r="CC32" s="2071"/>
      <c r="CD32" s="2071"/>
      <c r="CE32" s="2071"/>
      <c r="CF32" s="2071"/>
      <c r="CG32" s="2071"/>
      <c r="CH32" s="2071"/>
      <c r="CI32" s="2071"/>
      <c r="CJ32" s="2071"/>
      <c r="CK32" s="2071"/>
      <c r="CL32" s="2071"/>
      <c r="CM32" s="2071"/>
      <c r="CN32" s="2071"/>
      <c r="CO32" s="2071"/>
      <c r="CP32" s="2071"/>
      <c r="CQ32" s="2071"/>
      <c r="CR32" s="2071"/>
      <c r="CS32" s="2071"/>
      <c r="CT32" s="2071"/>
      <c r="CU32" s="2071"/>
      <c r="CV32" s="2071"/>
      <c r="CW32" s="2071"/>
      <c r="CX32" s="2071"/>
      <c r="CY32" s="2071"/>
      <c r="CZ32" s="2071"/>
      <c r="DA32" s="2071"/>
      <c r="DB32" s="2071"/>
      <c r="DC32" s="2071"/>
      <c r="DD32" s="2071"/>
      <c r="DE32" s="2071"/>
      <c r="DF32" s="2071"/>
      <c r="DG32" s="2071"/>
      <c r="DH32" s="2071"/>
      <c r="DI32" s="2071"/>
      <c r="DJ32" s="2071"/>
      <c r="DK32" s="2071"/>
      <c r="DL32" s="2071"/>
      <c r="DM32" s="2071"/>
      <c r="DN32" s="2071"/>
      <c r="DO32" s="2071"/>
      <c r="DP32" s="2071"/>
      <c r="DQ32" s="2071"/>
      <c r="DR32" s="2071"/>
      <c r="DS32" s="2071"/>
      <c r="DT32" s="2071"/>
      <c r="DU32" s="2071"/>
      <c r="DV32" s="2071"/>
      <c r="DW32" s="2071"/>
      <c r="DX32" s="2071"/>
      <c r="DY32" s="2071"/>
      <c r="DZ32" s="2071"/>
      <c r="EA32" s="2071"/>
      <c r="EB32" s="2071"/>
      <c r="EC32" s="2071"/>
      <c r="ED32" s="2071"/>
      <c r="EE32" s="2071"/>
      <c r="EF32" s="2071"/>
      <c r="EG32" s="2071"/>
      <c r="EH32" s="2071"/>
      <c r="EI32" s="2071"/>
      <c r="EJ32" s="2071"/>
      <c r="EK32" s="2071"/>
      <c r="EL32" s="2071"/>
      <c r="EM32" s="2071"/>
      <c r="EN32" s="2071"/>
      <c r="EO32" s="2071"/>
      <c r="EP32" s="2071"/>
      <c r="EQ32" s="2071"/>
      <c r="ER32" s="2071"/>
      <c r="ES32" s="2071"/>
      <c r="ET32" s="2071"/>
      <c r="EU32" s="2071"/>
      <c r="EV32" s="2071"/>
      <c r="EW32" s="2071"/>
      <c r="EX32" s="2071"/>
      <c r="EY32" s="2071"/>
      <c r="EZ32" s="2071"/>
      <c r="FA32" s="2071"/>
      <c r="FB32" s="2071"/>
      <c r="FC32" s="2071"/>
      <c r="FD32" s="2071"/>
      <c r="FE32" s="2071"/>
      <c r="FF32" s="2071"/>
      <c r="FG32" s="2071"/>
      <c r="FH32" s="2071"/>
      <c r="FI32" s="2071"/>
      <c r="FJ32" s="2071"/>
      <c r="FK32" s="2071"/>
      <c r="FL32" s="2071"/>
      <c r="FM32" s="2071"/>
      <c r="FN32" s="2071"/>
      <c r="FO32" s="2071"/>
      <c r="FP32" s="2071"/>
      <c r="FQ32" s="2071"/>
      <c r="FR32" s="2071"/>
      <c r="FS32" s="2071"/>
      <c r="FT32" s="2071"/>
      <c r="FU32" s="2071"/>
      <c r="FV32" s="2071"/>
      <c r="FW32" s="2071"/>
      <c r="FX32" s="2071"/>
      <c r="FY32" s="2071"/>
      <c r="FZ32" s="2071"/>
      <c r="GA32" s="2071"/>
      <c r="GB32" s="2071"/>
      <c r="GC32" s="2071"/>
      <c r="GD32" s="2071"/>
      <c r="GE32" s="2071"/>
      <c r="GF32" s="2071"/>
      <c r="GG32" s="2071"/>
      <c r="GH32" s="2071"/>
      <c r="GI32" s="2071"/>
      <c r="GJ32" s="2071"/>
      <c r="GK32" s="2071"/>
      <c r="GL32" s="2071"/>
      <c r="GM32" s="2071"/>
      <c r="GN32" s="2071"/>
      <c r="GO32" s="2071"/>
      <c r="GP32" s="2071"/>
      <c r="GQ32" s="2071"/>
      <c r="GR32" s="2071"/>
      <c r="GS32" s="2071"/>
      <c r="GT32" s="2071"/>
      <c r="GU32" s="2071"/>
      <c r="GV32" s="2071"/>
      <c r="GW32" s="2071"/>
      <c r="GX32" s="2071"/>
      <c r="GY32" s="2071"/>
      <c r="GZ32" s="2071"/>
      <c r="HA32" s="2071"/>
      <c r="HB32" s="2071"/>
      <c r="HC32" s="2071"/>
      <c r="HD32" s="2071"/>
      <c r="HE32" s="2071"/>
      <c r="HF32" s="2071"/>
      <c r="HG32" s="2071"/>
      <c r="HH32" s="2071"/>
      <c r="HI32" s="2071"/>
      <c r="HJ32" s="2071"/>
      <c r="HK32" s="2071"/>
      <c r="HL32" s="2071"/>
      <c r="HM32" s="2071"/>
      <c r="HN32" s="2071"/>
      <c r="HO32" s="2071"/>
      <c r="HP32" s="2071"/>
      <c r="HQ32" s="2071"/>
      <c r="HR32" s="2071"/>
      <c r="HS32" s="2071"/>
      <c r="HT32" s="2071"/>
      <c r="HU32" s="2071"/>
      <c r="HV32" s="2071"/>
      <c r="HW32" s="2071"/>
      <c r="HX32" s="2071"/>
      <c r="HY32" s="2071"/>
      <c r="HZ32" s="2071"/>
      <c r="IA32" s="2071"/>
      <c r="IB32" s="2071"/>
      <c r="IC32" s="2071"/>
      <c r="ID32" s="2071"/>
      <c r="IE32" s="2071"/>
      <c r="IF32" s="2071"/>
      <c r="IG32" s="2071"/>
      <c r="IH32" s="2071"/>
      <c r="II32" s="2071"/>
      <c r="IJ32" s="2071"/>
      <c r="IK32" s="2071"/>
      <c r="IL32" s="2071"/>
      <c r="IM32" s="2071"/>
      <c r="IN32" s="2071"/>
    </row>
    <row r="33" spans="1:248">
      <c r="A33" s="2051" t="s">
        <v>248</v>
      </c>
      <c r="B33" s="2052">
        <f>审定资负表!C35</f>
        <v>0</v>
      </c>
      <c r="C33" s="2052">
        <f>审定资负表!D35</f>
        <v>0</v>
      </c>
      <c r="D33" s="2053" t="str">
        <f t="shared" si="0"/>
        <v> </v>
      </c>
      <c r="E33" s="2054">
        <f t="shared" si="1"/>
        <v>0</v>
      </c>
      <c r="F33" s="2055" t="str">
        <f t="shared" si="2"/>
        <v/>
      </c>
      <c r="G33" s="2056"/>
      <c r="H33" s="2057" t="str">
        <f>IF(报表附注!I1575=0,"相符","不相符")</f>
        <v>相符</v>
      </c>
      <c r="I33" s="2057" t="str">
        <f>IF(报表附注!F1575=0,"相符","不相符")</f>
        <v>相符</v>
      </c>
      <c r="J33" s="2076" t="s">
        <v>1962</v>
      </c>
      <c r="K33" s="2077"/>
      <c r="L33" s="2082"/>
      <c r="M33" s="2071"/>
      <c r="N33" s="2071"/>
      <c r="O33" s="2071"/>
      <c r="P33" s="2071"/>
      <c r="Q33" s="2071"/>
      <c r="R33" s="2071"/>
      <c r="S33" s="2071"/>
      <c r="T33" s="2071"/>
      <c r="U33" s="2071"/>
      <c r="V33" s="2071"/>
      <c r="W33" s="2071"/>
      <c r="X33" s="2071"/>
      <c r="Y33" s="2071"/>
      <c r="Z33" s="2071"/>
      <c r="AA33" s="2071"/>
      <c r="AB33" s="2071"/>
      <c r="AC33" s="2071"/>
      <c r="AD33" s="2071"/>
      <c r="AE33" s="2071"/>
      <c r="AF33" s="2071"/>
      <c r="AG33" s="2071"/>
      <c r="AH33" s="2071"/>
      <c r="AI33" s="2071"/>
      <c r="AJ33" s="2071"/>
      <c r="AK33" s="2071"/>
      <c r="AL33" s="2071"/>
      <c r="AM33" s="2071"/>
      <c r="AN33" s="2071"/>
      <c r="AO33" s="2071"/>
      <c r="AP33" s="2071"/>
      <c r="AQ33" s="2071"/>
      <c r="AR33" s="2071"/>
      <c r="AS33" s="2071"/>
      <c r="AT33" s="2071"/>
      <c r="AU33" s="2071"/>
      <c r="AV33" s="2071"/>
      <c r="AW33" s="2071"/>
      <c r="AX33" s="2071"/>
      <c r="AY33" s="2071"/>
      <c r="AZ33" s="2071"/>
      <c r="BA33" s="2071"/>
      <c r="BB33" s="2071"/>
      <c r="BC33" s="2071"/>
      <c r="BD33" s="2071"/>
      <c r="BE33" s="2071"/>
      <c r="BF33" s="2071"/>
      <c r="BG33" s="2071"/>
      <c r="BH33" s="2071"/>
      <c r="BI33" s="2071"/>
      <c r="BJ33" s="2071"/>
      <c r="BK33" s="2071"/>
      <c r="BL33" s="2071"/>
      <c r="BM33" s="2071"/>
      <c r="BN33" s="2071"/>
      <c r="BO33" s="2071"/>
      <c r="BP33" s="2071"/>
      <c r="BQ33" s="2071"/>
      <c r="BR33" s="2071"/>
      <c r="BS33" s="2071"/>
      <c r="BT33" s="2071"/>
      <c r="BU33" s="2071"/>
      <c r="BV33" s="2071"/>
      <c r="BW33" s="2071"/>
      <c r="BX33" s="2071"/>
      <c r="BY33" s="2071"/>
      <c r="BZ33" s="2071"/>
      <c r="CA33" s="2071"/>
      <c r="CB33" s="2071"/>
      <c r="CC33" s="2071"/>
      <c r="CD33" s="2071"/>
      <c r="CE33" s="2071"/>
      <c r="CF33" s="2071"/>
      <c r="CG33" s="2071"/>
      <c r="CH33" s="2071"/>
      <c r="CI33" s="2071"/>
      <c r="CJ33" s="2071"/>
      <c r="CK33" s="2071"/>
      <c r="CL33" s="2071"/>
      <c r="CM33" s="2071"/>
      <c r="CN33" s="2071"/>
      <c r="CO33" s="2071"/>
      <c r="CP33" s="2071"/>
      <c r="CQ33" s="2071"/>
      <c r="CR33" s="2071"/>
      <c r="CS33" s="2071"/>
      <c r="CT33" s="2071"/>
      <c r="CU33" s="2071"/>
      <c r="CV33" s="2071"/>
      <c r="CW33" s="2071"/>
      <c r="CX33" s="2071"/>
      <c r="CY33" s="2071"/>
      <c r="CZ33" s="2071"/>
      <c r="DA33" s="2071"/>
      <c r="DB33" s="2071"/>
      <c r="DC33" s="2071"/>
      <c r="DD33" s="2071"/>
      <c r="DE33" s="2071"/>
      <c r="DF33" s="2071"/>
      <c r="DG33" s="2071"/>
      <c r="DH33" s="2071"/>
      <c r="DI33" s="2071"/>
      <c r="DJ33" s="2071"/>
      <c r="DK33" s="2071"/>
      <c r="DL33" s="2071"/>
      <c r="DM33" s="2071"/>
      <c r="DN33" s="2071"/>
      <c r="DO33" s="2071"/>
      <c r="DP33" s="2071"/>
      <c r="DQ33" s="2071"/>
      <c r="DR33" s="2071"/>
      <c r="DS33" s="2071"/>
      <c r="DT33" s="2071"/>
      <c r="DU33" s="2071"/>
      <c r="DV33" s="2071"/>
      <c r="DW33" s="2071"/>
      <c r="DX33" s="2071"/>
      <c r="DY33" s="2071"/>
      <c r="DZ33" s="2071"/>
      <c r="EA33" s="2071"/>
      <c r="EB33" s="2071"/>
      <c r="EC33" s="2071"/>
      <c r="ED33" s="2071"/>
      <c r="EE33" s="2071"/>
      <c r="EF33" s="2071"/>
      <c r="EG33" s="2071"/>
      <c r="EH33" s="2071"/>
      <c r="EI33" s="2071"/>
      <c r="EJ33" s="2071"/>
      <c r="EK33" s="2071"/>
      <c r="EL33" s="2071"/>
      <c r="EM33" s="2071"/>
      <c r="EN33" s="2071"/>
      <c r="EO33" s="2071"/>
      <c r="EP33" s="2071"/>
      <c r="EQ33" s="2071"/>
      <c r="ER33" s="2071"/>
      <c r="ES33" s="2071"/>
      <c r="ET33" s="2071"/>
      <c r="EU33" s="2071"/>
      <c r="EV33" s="2071"/>
      <c r="EW33" s="2071"/>
      <c r="EX33" s="2071"/>
      <c r="EY33" s="2071"/>
      <c r="EZ33" s="2071"/>
      <c r="FA33" s="2071"/>
      <c r="FB33" s="2071"/>
      <c r="FC33" s="2071"/>
      <c r="FD33" s="2071"/>
      <c r="FE33" s="2071"/>
      <c r="FF33" s="2071"/>
      <c r="FG33" s="2071"/>
      <c r="FH33" s="2071"/>
      <c r="FI33" s="2071"/>
      <c r="FJ33" s="2071"/>
      <c r="FK33" s="2071"/>
      <c r="FL33" s="2071"/>
      <c r="FM33" s="2071"/>
      <c r="FN33" s="2071"/>
      <c r="FO33" s="2071"/>
      <c r="FP33" s="2071"/>
      <c r="FQ33" s="2071"/>
      <c r="FR33" s="2071"/>
      <c r="FS33" s="2071"/>
      <c r="FT33" s="2071"/>
      <c r="FU33" s="2071"/>
      <c r="FV33" s="2071"/>
      <c r="FW33" s="2071"/>
      <c r="FX33" s="2071"/>
      <c r="FY33" s="2071"/>
      <c r="FZ33" s="2071"/>
      <c r="GA33" s="2071"/>
      <c r="GB33" s="2071"/>
      <c r="GC33" s="2071"/>
      <c r="GD33" s="2071"/>
      <c r="GE33" s="2071"/>
      <c r="GF33" s="2071"/>
      <c r="GG33" s="2071"/>
      <c r="GH33" s="2071"/>
      <c r="GI33" s="2071"/>
      <c r="GJ33" s="2071"/>
      <c r="GK33" s="2071"/>
      <c r="GL33" s="2071"/>
      <c r="GM33" s="2071"/>
      <c r="GN33" s="2071"/>
      <c r="GO33" s="2071"/>
      <c r="GP33" s="2071"/>
      <c r="GQ33" s="2071"/>
      <c r="GR33" s="2071"/>
      <c r="GS33" s="2071"/>
      <c r="GT33" s="2071"/>
      <c r="GU33" s="2071"/>
      <c r="GV33" s="2071"/>
      <c r="GW33" s="2071"/>
      <c r="GX33" s="2071"/>
      <c r="GY33" s="2071"/>
      <c r="GZ33" s="2071"/>
      <c r="HA33" s="2071"/>
      <c r="HB33" s="2071"/>
      <c r="HC33" s="2071"/>
      <c r="HD33" s="2071"/>
      <c r="HE33" s="2071"/>
      <c r="HF33" s="2071"/>
      <c r="HG33" s="2071"/>
      <c r="HH33" s="2071"/>
      <c r="HI33" s="2071"/>
      <c r="HJ33" s="2071"/>
      <c r="HK33" s="2071"/>
      <c r="HL33" s="2071"/>
      <c r="HM33" s="2071"/>
      <c r="HN33" s="2071"/>
      <c r="HO33" s="2071"/>
      <c r="HP33" s="2071"/>
      <c r="HQ33" s="2071"/>
      <c r="HR33" s="2071"/>
      <c r="HS33" s="2071"/>
      <c r="HT33" s="2071"/>
      <c r="HU33" s="2071"/>
      <c r="HV33" s="2071"/>
      <c r="HW33" s="2071"/>
      <c r="HX33" s="2071"/>
      <c r="HY33" s="2071"/>
      <c r="HZ33" s="2071"/>
      <c r="IA33" s="2071"/>
      <c r="IB33" s="2071"/>
      <c r="IC33" s="2071"/>
      <c r="ID33" s="2071"/>
      <c r="IE33" s="2071"/>
      <c r="IF33" s="2071"/>
      <c r="IG33" s="2071"/>
      <c r="IH33" s="2071"/>
      <c r="II33" s="2071"/>
      <c r="IJ33" s="2071"/>
      <c r="IK33" s="2071"/>
      <c r="IL33" s="2071"/>
      <c r="IM33" s="2071"/>
      <c r="IN33" s="2071"/>
    </row>
    <row r="34" spans="1:248">
      <c r="A34" s="2051" t="s">
        <v>250</v>
      </c>
      <c r="B34" s="2052">
        <f>审定资负表!C36</f>
        <v>170458.45</v>
      </c>
      <c r="C34" s="2052">
        <f>审定资负表!D36</f>
        <v>378415.02</v>
      </c>
      <c r="D34" s="2053">
        <f t="shared" si="0"/>
        <v>0.000351258908711495</v>
      </c>
      <c r="E34" s="2054">
        <f t="shared" si="1"/>
        <v>-207956.57</v>
      </c>
      <c r="F34" s="2055">
        <f t="shared" si="2"/>
        <v>-0.5495</v>
      </c>
      <c r="G34" s="2056"/>
      <c r="H34" s="2057" t="str">
        <f>IF(报表附注!K1554=0,"相符","不相符")</f>
        <v>相符</v>
      </c>
      <c r="I34" s="2057" t="str">
        <f>IF(报表附注!G1554=0,"相符","不相符")</f>
        <v>相符</v>
      </c>
      <c r="J34" s="2079" t="s">
        <v>1963</v>
      </c>
      <c r="K34" s="2077"/>
      <c r="L34" s="2071"/>
      <c r="M34" s="2071"/>
      <c r="N34" s="2071"/>
      <c r="O34" s="2071"/>
      <c r="P34" s="2071"/>
      <c r="Q34" s="2071"/>
      <c r="R34" s="2071"/>
      <c r="S34" s="2071"/>
      <c r="T34" s="2071"/>
      <c r="U34" s="2071"/>
      <c r="V34" s="2071"/>
      <c r="W34" s="2071"/>
      <c r="X34" s="2071"/>
      <c r="Y34" s="2071"/>
      <c r="Z34" s="2071"/>
      <c r="AA34" s="2071"/>
      <c r="AB34" s="2071"/>
      <c r="AC34" s="2071"/>
      <c r="AD34" s="2071"/>
      <c r="AE34" s="2071"/>
      <c r="AF34" s="2071"/>
      <c r="AG34" s="2071"/>
      <c r="AH34" s="2071"/>
      <c r="AI34" s="2071"/>
      <c r="AJ34" s="2071"/>
      <c r="AK34" s="2071"/>
      <c r="AL34" s="2071"/>
      <c r="AM34" s="2071"/>
      <c r="AN34" s="2071"/>
      <c r="AO34" s="2071"/>
      <c r="AP34" s="2071"/>
      <c r="AQ34" s="2071"/>
      <c r="AR34" s="2071"/>
      <c r="AS34" s="2071"/>
      <c r="AT34" s="2071"/>
      <c r="AU34" s="2071"/>
      <c r="AV34" s="2071"/>
      <c r="AW34" s="2071"/>
      <c r="AX34" s="2071"/>
      <c r="AY34" s="2071"/>
      <c r="AZ34" s="2071"/>
      <c r="BA34" s="2071"/>
      <c r="BB34" s="2071"/>
      <c r="BC34" s="2071"/>
      <c r="BD34" s="2071"/>
      <c r="BE34" s="2071"/>
      <c r="BF34" s="2071"/>
      <c r="BG34" s="2071"/>
      <c r="BH34" s="2071"/>
      <c r="BI34" s="2071"/>
      <c r="BJ34" s="2071"/>
      <c r="BK34" s="2071"/>
      <c r="BL34" s="2071"/>
      <c r="BM34" s="2071"/>
      <c r="BN34" s="2071"/>
      <c r="BO34" s="2071"/>
      <c r="BP34" s="2071"/>
      <c r="BQ34" s="2071"/>
      <c r="BR34" s="2071"/>
      <c r="BS34" s="2071"/>
      <c r="BT34" s="2071"/>
      <c r="BU34" s="2071"/>
      <c r="BV34" s="2071"/>
      <c r="BW34" s="2071"/>
      <c r="BX34" s="2071"/>
      <c r="BY34" s="2071"/>
      <c r="BZ34" s="2071"/>
      <c r="CA34" s="2071"/>
      <c r="CB34" s="2071"/>
      <c r="CC34" s="2071"/>
      <c r="CD34" s="2071"/>
      <c r="CE34" s="2071"/>
      <c r="CF34" s="2071"/>
      <c r="CG34" s="2071"/>
      <c r="CH34" s="2071"/>
      <c r="CI34" s="2071"/>
      <c r="CJ34" s="2071"/>
      <c r="CK34" s="2071"/>
      <c r="CL34" s="2071"/>
      <c r="CM34" s="2071"/>
      <c r="CN34" s="2071"/>
      <c r="CO34" s="2071"/>
      <c r="CP34" s="2071"/>
      <c r="CQ34" s="2071"/>
      <c r="CR34" s="2071"/>
      <c r="CS34" s="2071"/>
      <c r="CT34" s="2071"/>
      <c r="CU34" s="2071"/>
      <c r="CV34" s="2071"/>
      <c r="CW34" s="2071"/>
      <c r="CX34" s="2071"/>
      <c r="CY34" s="2071"/>
      <c r="CZ34" s="2071"/>
      <c r="DA34" s="2071"/>
      <c r="DB34" s="2071"/>
      <c r="DC34" s="2071"/>
      <c r="DD34" s="2071"/>
      <c r="DE34" s="2071"/>
      <c r="DF34" s="2071"/>
      <c r="DG34" s="2071"/>
      <c r="DH34" s="2071"/>
      <c r="DI34" s="2071"/>
      <c r="DJ34" s="2071"/>
      <c r="DK34" s="2071"/>
      <c r="DL34" s="2071"/>
      <c r="DM34" s="2071"/>
      <c r="DN34" s="2071"/>
      <c r="DO34" s="2071"/>
      <c r="DP34" s="2071"/>
      <c r="DQ34" s="2071"/>
      <c r="DR34" s="2071"/>
      <c r="DS34" s="2071"/>
      <c r="DT34" s="2071"/>
      <c r="DU34" s="2071"/>
      <c r="DV34" s="2071"/>
      <c r="DW34" s="2071"/>
      <c r="DX34" s="2071"/>
      <c r="DY34" s="2071"/>
      <c r="DZ34" s="2071"/>
      <c r="EA34" s="2071"/>
      <c r="EB34" s="2071"/>
      <c r="EC34" s="2071"/>
      <c r="ED34" s="2071"/>
      <c r="EE34" s="2071"/>
      <c r="EF34" s="2071"/>
      <c r="EG34" s="2071"/>
      <c r="EH34" s="2071"/>
      <c r="EI34" s="2071"/>
      <c r="EJ34" s="2071"/>
      <c r="EK34" s="2071"/>
      <c r="EL34" s="2071"/>
      <c r="EM34" s="2071"/>
      <c r="EN34" s="2071"/>
      <c r="EO34" s="2071"/>
      <c r="EP34" s="2071"/>
      <c r="EQ34" s="2071"/>
      <c r="ER34" s="2071"/>
      <c r="ES34" s="2071"/>
      <c r="ET34" s="2071"/>
      <c r="EU34" s="2071"/>
      <c r="EV34" s="2071"/>
      <c r="EW34" s="2071"/>
      <c r="EX34" s="2071"/>
      <c r="EY34" s="2071"/>
      <c r="EZ34" s="2071"/>
      <c r="FA34" s="2071"/>
      <c r="FB34" s="2071"/>
      <c r="FC34" s="2071"/>
      <c r="FD34" s="2071"/>
      <c r="FE34" s="2071"/>
      <c r="FF34" s="2071"/>
      <c r="FG34" s="2071"/>
      <c r="FH34" s="2071"/>
      <c r="FI34" s="2071"/>
      <c r="FJ34" s="2071"/>
      <c r="FK34" s="2071"/>
      <c r="FL34" s="2071"/>
      <c r="FM34" s="2071"/>
      <c r="FN34" s="2071"/>
      <c r="FO34" s="2071"/>
      <c r="FP34" s="2071"/>
      <c r="FQ34" s="2071"/>
      <c r="FR34" s="2071"/>
      <c r="FS34" s="2071"/>
      <c r="FT34" s="2071"/>
      <c r="FU34" s="2071"/>
      <c r="FV34" s="2071"/>
      <c r="FW34" s="2071"/>
      <c r="FX34" s="2071"/>
      <c r="FY34" s="2071"/>
      <c r="FZ34" s="2071"/>
      <c r="GA34" s="2071"/>
      <c r="GB34" s="2071"/>
      <c r="GC34" s="2071"/>
      <c r="GD34" s="2071"/>
      <c r="GE34" s="2071"/>
      <c r="GF34" s="2071"/>
      <c r="GG34" s="2071"/>
      <c r="GH34" s="2071"/>
      <c r="GI34" s="2071"/>
      <c r="GJ34" s="2071"/>
      <c r="GK34" s="2071"/>
      <c r="GL34" s="2071"/>
      <c r="GM34" s="2071"/>
      <c r="GN34" s="2071"/>
      <c r="GO34" s="2071"/>
      <c r="GP34" s="2071"/>
      <c r="GQ34" s="2071"/>
      <c r="GR34" s="2071"/>
      <c r="GS34" s="2071"/>
      <c r="GT34" s="2071"/>
      <c r="GU34" s="2071"/>
      <c r="GV34" s="2071"/>
      <c r="GW34" s="2071"/>
      <c r="GX34" s="2071"/>
      <c r="GY34" s="2071"/>
      <c r="GZ34" s="2071"/>
      <c r="HA34" s="2071"/>
      <c r="HB34" s="2071"/>
      <c r="HC34" s="2071"/>
      <c r="HD34" s="2071"/>
      <c r="HE34" s="2071"/>
      <c r="HF34" s="2071"/>
      <c r="HG34" s="2071"/>
      <c r="HH34" s="2071"/>
      <c r="HI34" s="2071"/>
      <c r="HJ34" s="2071"/>
      <c r="HK34" s="2071"/>
      <c r="HL34" s="2071"/>
      <c r="HM34" s="2071"/>
      <c r="HN34" s="2071"/>
      <c r="HO34" s="2071"/>
      <c r="HP34" s="2071"/>
      <c r="HQ34" s="2071"/>
      <c r="HR34" s="2071"/>
      <c r="HS34" s="2071"/>
      <c r="HT34" s="2071"/>
      <c r="HU34" s="2071"/>
      <c r="HV34" s="2071"/>
      <c r="HW34" s="2071"/>
      <c r="HX34" s="2071"/>
      <c r="HY34" s="2071"/>
      <c r="HZ34" s="2071"/>
      <c r="IA34" s="2071"/>
      <c r="IB34" s="2071"/>
      <c r="IC34" s="2071"/>
      <c r="ID34" s="2071"/>
      <c r="IE34" s="2071"/>
      <c r="IF34" s="2071"/>
      <c r="IG34" s="2071"/>
      <c r="IH34" s="2071"/>
      <c r="II34" s="2071"/>
      <c r="IJ34" s="2071"/>
      <c r="IK34" s="2071"/>
      <c r="IL34" s="2071"/>
      <c r="IM34" s="2071"/>
      <c r="IN34" s="2071"/>
    </row>
    <row r="35" spans="1:248">
      <c r="A35" s="2051" t="s">
        <v>252</v>
      </c>
      <c r="B35" s="2052">
        <f>审定资负表!C37</f>
        <v>1554610.58</v>
      </c>
      <c r="C35" s="2052">
        <f>审定资负表!D37</f>
        <v>810692.23</v>
      </c>
      <c r="D35" s="2053">
        <f t="shared" si="0"/>
        <v>0.00320354207023556</v>
      </c>
      <c r="E35" s="2054">
        <f t="shared" si="1"/>
        <v>743918.35</v>
      </c>
      <c r="F35" s="2055">
        <f t="shared" si="2"/>
        <v>0.9176</v>
      </c>
      <c r="G35" s="2056"/>
      <c r="H35" s="2057" t="str">
        <f>IF(报表附注!F1631=0,"相符","不相符")</f>
        <v>相符</v>
      </c>
      <c r="I35" s="2057" t="str">
        <f>IF(报表附注!H1631=0,"相符","不相符")</f>
        <v>相符</v>
      </c>
      <c r="J35" s="2072" t="s">
        <v>1955</v>
      </c>
      <c r="K35" s="2071"/>
      <c r="L35" s="2071"/>
      <c r="M35" s="2071"/>
      <c r="N35" s="2071"/>
      <c r="O35" s="2071"/>
      <c r="P35" s="2071"/>
      <c r="Q35" s="2071"/>
      <c r="R35" s="2071"/>
      <c r="S35" s="2071"/>
      <c r="T35" s="2071"/>
      <c r="U35" s="2071"/>
      <c r="V35" s="2071"/>
      <c r="W35" s="2071"/>
      <c r="X35" s="2071"/>
      <c r="Y35" s="2071"/>
      <c r="Z35" s="2071"/>
      <c r="AA35" s="2071"/>
      <c r="AB35" s="2071"/>
      <c r="AC35" s="2071"/>
      <c r="AD35" s="2071"/>
      <c r="AE35" s="2071"/>
      <c r="AF35" s="2071"/>
      <c r="AG35" s="2071"/>
      <c r="AH35" s="2071"/>
      <c r="AI35" s="2071"/>
      <c r="AJ35" s="2071"/>
      <c r="AK35" s="2071"/>
      <c r="AL35" s="2071"/>
      <c r="AM35" s="2071"/>
      <c r="AN35" s="2071"/>
      <c r="AO35" s="2071"/>
      <c r="AP35" s="2071"/>
      <c r="AQ35" s="2071"/>
      <c r="AR35" s="2071"/>
      <c r="AS35" s="2071"/>
      <c r="AT35" s="2071"/>
      <c r="AU35" s="2071"/>
      <c r="AV35" s="2071"/>
      <c r="AW35" s="2071"/>
      <c r="AX35" s="2071"/>
      <c r="AY35" s="2071"/>
      <c r="AZ35" s="2071"/>
      <c r="BA35" s="2071"/>
      <c r="BB35" s="2071"/>
      <c r="BC35" s="2071"/>
      <c r="BD35" s="2071"/>
      <c r="BE35" s="2071"/>
      <c r="BF35" s="2071"/>
      <c r="BG35" s="2071"/>
      <c r="BH35" s="2071"/>
      <c r="BI35" s="2071"/>
      <c r="BJ35" s="2071"/>
      <c r="BK35" s="2071"/>
      <c r="BL35" s="2071"/>
      <c r="BM35" s="2071"/>
      <c r="BN35" s="2071"/>
      <c r="BO35" s="2071"/>
      <c r="BP35" s="2071"/>
      <c r="BQ35" s="2071"/>
      <c r="BR35" s="2071"/>
      <c r="BS35" s="2071"/>
      <c r="BT35" s="2071"/>
      <c r="BU35" s="2071"/>
      <c r="BV35" s="2071"/>
      <c r="BW35" s="2071"/>
      <c r="BX35" s="2071"/>
      <c r="BY35" s="2071"/>
      <c r="BZ35" s="2071"/>
      <c r="CA35" s="2071"/>
      <c r="CB35" s="2071"/>
      <c r="CC35" s="2071"/>
      <c r="CD35" s="2071"/>
      <c r="CE35" s="2071"/>
      <c r="CF35" s="2071"/>
      <c r="CG35" s="2071"/>
      <c r="CH35" s="2071"/>
      <c r="CI35" s="2071"/>
      <c r="CJ35" s="2071"/>
      <c r="CK35" s="2071"/>
      <c r="CL35" s="2071"/>
      <c r="CM35" s="2071"/>
      <c r="CN35" s="2071"/>
      <c r="CO35" s="2071"/>
      <c r="CP35" s="2071"/>
      <c r="CQ35" s="2071"/>
      <c r="CR35" s="2071"/>
      <c r="CS35" s="2071"/>
      <c r="CT35" s="2071"/>
      <c r="CU35" s="2071"/>
      <c r="CV35" s="2071"/>
      <c r="CW35" s="2071"/>
      <c r="CX35" s="2071"/>
      <c r="CY35" s="2071"/>
      <c r="CZ35" s="2071"/>
      <c r="DA35" s="2071"/>
      <c r="DB35" s="2071"/>
      <c r="DC35" s="2071"/>
      <c r="DD35" s="2071"/>
      <c r="DE35" s="2071"/>
      <c r="DF35" s="2071"/>
      <c r="DG35" s="2071"/>
      <c r="DH35" s="2071"/>
      <c r="DI35" s="2071"/>
      <c r="DJ35" s="2071"/>
      <c r="DK35" s="2071"/>
      <c r="DL35" s="2071"/>
      <c r="DM35" s="2071"/>
      <c r="DN35" s="2071"/>
      <c r="DO35" s="2071"/>
      <c r="DP35" s="2071"/>
      <c r="DQ35" s="2071"/>
      <c r="DR35" s="2071"/>
      <c r="DS35" s="2071"/>
      <c r="DT35" s="2071"/>
      <c r="DU35" s="2071"/>
      <c r="DV35" s="2071"/>
      <c r="DW35" s="2071"/>
      <c r="DX35" s="2071"/>
      <c r="DY35" s="2071"/>
      <c r="DZ35" s="2071"/>
      <c r="EA35" s="2071"/>
      <c r="EB35" s="2071"/>
      <c r="EC35" s="2071"/>
      <c r="ED35" s="2071"/>
      <c r="EE35" s="2071"/>
      <c r="EF35" s="2071"/>
      <c r="EG35" s="2071"/>
      <c r="EH35" s="2071"/>
      <c r="EI35" s="2071"/>
      <c r="EJ35" s="2071"/>
      <c r="EK35" s="2071"/>
      <c r="EL35" s="2071"/>
      <c r="EM35" s="2071"/>
      <c r="EN35" s="2071"/>
      <c r="EO35" s="2071"/>
      <c r="EP35" s="2071"/>
      <c r="EQ35" s="2071"/>
      <c r="ER35" s="2071"/>
      <c r="ES35" s="2071"/>
      <c r="ET35" s="2071"/>
      <c r="EU35" s="2071"/>
      <c r="EV35" s="2071"/>
      <c r="EW35" s="2071"/>
      <c r="EX35" s="2071"/>
      <c r="EY35" s="2071"/>
      <c r="EZ35" s="2071"/>
      <c r="FA35" s="2071"/>
      <c r="FB35" s="2071"/>
      <c r="FC35" s="2071"/>
      <c r="FD35" s="2071"/>
      <c r="FE35" s="2071"/>
      <c r="FF35" s="2071"/>
      <c r="FG35" s="2071"/>
      <c r="FH35" s="2071"/>
      <c r="FI35" s="2071"/>
      <c r="FJ35" s="2071"/>
      <c r="FK35" s="2071"/>
      <c r="FL35" s="2071"/>
      <c r="FM35" s="2071"/>
      <c r="FN35" s="2071"/>
      <c r="FO35" s="2071"/>
      <c r="FP35" s="2071"/>
      <c r="FQ35" s="2071"/>
      <c r="FR35" s="2071"/>
      <c r="FS35" s="2071"/>
      <c r="FT35" s="2071"/>
      <c r="FU35" s="2071"/>
      <c r="FV35" s="2071"/>
      <c r="FW35" s="2071"/>
      <c r="FX35" s="2071"/>
      <c r="FY35" s="2071"/>
      <c r="FZ35" s="2071"/>
      <c r="GA35" s="2071"/>
      <c r="GB35" s="2071"/>
      <c r="GC35" s="2071"/>
      <c r="GD35" s="2071"/>
      <c r="GE35" s="2071"/>
      <c r="GF35" s="2071"/>
      <c r="GG35" s="2071"/>
      <c r="GH35" s="2071"/>
      <c r="GI35" s="2071"/>
      <c r="GJ35" s="2071"/>
      <c r="GK35" s="2071"/>
      <c r="GL35" s="2071"/>
      <c r="GM35" s="2071"/>
      <c r="GN35" s="2071"/>
      <c r="GO35" s="2071"/>
      <c r="GP35" s="2071"/>
      <c r="GQ35" s="2071"/>
      <c r="GR35" s="2071"/>
      <c r="GS35" s="2071"/>
      <c r="GT35" s="2071"/>
      <c r="GU35" s="2071"/>
      <c r="GV35" s="2071"/>
      <c r="GW35" s="2071"/>
      <c r="GX35" s="2071"/>
      <c r="GY35" s="2071"/>
      <c r="GZ35" s="2071"/>
      <c r="HA35" s="2071"/>
      <c r="HB35" s="2071"/>
      <c r="HC35" s="2071"/>
      <c r="HD35" s="2071"/>
      <c r="HE35" s="2071"/>
      <c r="HF35" s="2071"/>
      <c r="HG35" s="2071"/>
      <c r="HH35" s="2071"/>
      <c r="HI35" s="2071"/>
      <c r="HJ35" s="2071"/>
      <c r="HK35" s="2071"/>
      <c r="HL35" s="2071"/>
      <c r="HM35" s="2071"/>
      <c r="HN35" s="2071"/>
      <c r="HO35" s="2071"/>
      <c r="HP35" s="2071"/>
      <c r="HQ35" s="2071"/>
      <c r="HR35" s="2071"/>
      <c r="HS35" s="2071"/>
      <c r="HT35" s="2071"/>
      <c r="HU35" s="2071"/>
      <c r="HV35" s="2071"/>
      <c r="HW35" s="2071"/>
      <c r="HX35" s="2071"/>
      <c r="HY35" s="2071"/>
      <c r="HZ35" s="2071"/>
      <c r="IA35" s="2071"/>
      <c r="IB35" s="2071"/>
      <c r="IC35" s="2071"/>
      <c r="ID35" s="2071"/>
      <c r="IE35" s="2071"/>
      <c r="IF35" s="2071"/>
      <c r="IG35" s="2071"/>
      <c r="IH35" s="2071"/>
      <c r="II35" s="2071"/>
      <c r="IJ35" s="2071"/>
      <c r="IK35" s="2071"/>
      <c r="IL35" s="2071"/>
      <c r="IM35" s="2071"/>
      <c r="IN35" s="2071"/>
    </row>
    <row r="36" spans="1:248">
      <c r="A36" s="2051" t="s">
        <v>254</v>
      </c>
      <c r="B36" s="2052">
        <f>审定资负表!C38</f>
        <v>0</v>
      </c>
      <c r="C36" s="2052">
        <f>审定资负表!D38</f>
        <v>0</v>
      </c>
      <c r="D36" s="2053" t="str">
        <f t="shared" si="0"/>
        <v> </v>
      </c>
      <c r="E36" s="2054">
        <f t="shared" si="1"/>
        <v>0</v>
      </c>
      <c r="F36" s="2055" t="str">
        <f t="shared" si="2"/>
        <v/>
      </c>
      <c r="G36" s="2056"/>
      <c r="H36" s="2057" t="str">
        <f>IF(报表附注!G1593=0,"相符","不相符")</f>
        <v>相符</v>
      </c>
      <c r="I36" s="2057" t="str">
        <f>IF(报表附注!H1593=0,"相符","不相符")</f>
        <v>相符</v>
      </c>
      <c r="J36" s="2070" t="s">
        <v>1966</v>
      </c>
      <c r="K36" s="2071"/>
      <c r="L36" s="2071"/>
      <c r="M36" s="2071"/>
      <c r="N36" s="2071"/>
      <c r="O36" s="2071"/>
      <c r="P36" s="2071"/>
      <c r="Q36" s="2071"/>
      <c r="R36" s="2071"/>
      <c r="S36" s="2071"/>
      <c r="T36" s="2071"/>
      <c r="U36" s="2071"/>
      <c r="V36" s="2071"/>
      <c r="W36" s="2071"/>
      <c r="X36" s="2071"/>
      <c r="Y36" s="2071"/>
      <c r="Z36" s="2071"/>
      <c r="AA36" s="2071"/>
      <c r="AB36" s="2071"/>
      <c r="AC36" s="2071"/>
      <c r="AD36" s="2071"/>
      <c r="AE36" s="2071"/>
      <c r="AF36" s="2071"/>
      <c r="AG36" s="2071"/>
      <c r="AH36" s="2071"/>
      <c r="AI36" s="2071"/>
      <c r="AJ36" s="2071"/>
      <c r="AK36" s="2071"/>
      <c r="AL36" s="2071"/>
      <c r="AM36" s="2071"/>
      <c r="AN36" s="2071"/>
      <c r="AO36" s="2071"/>
      <c r="AP36" s="2071"/>
      <c r="AQ36" s="2071"/>
      <c r="AR36" s="2071"/>
      <c r="AS36" s="2071"/>
      <c r="AT36" s="2071"/>
      <c r="AU36" s="2071"/>
      <c r="AV36" s="2071"/>
      <c r="AW36" s="2071"/>
      <c r="AX36" s="2071"/>
      <c r="AY36" s="2071"/>
      <c r="AZ36" s="2071"/>
      <c r="BA36" s="2071"/>
      <c r="BB36" s="2071"/>
      <c r="BC36" s="2071"/>
      <c r="BD36" s="2071"/>
      <c r="BE36" s="2071"/>
      <c r="BF36" s="2071"/>
      <c r="BG36" s="2071"/>
      <c r="BH36" s="2071"/>
      <c r="BI36" s="2071"/>
      <c r="BJ36" s="2071"/>
      <c r="BK36" s="2071"/>
      <c r="BL36" s="2071"/>
      <c r="BM36" s="2071"/>
      <c r="BN36" s="2071"/>
      <c r="BO36" s="2071"/>
      <c r="BP36" s="2071"/>
      <c r="BQ36" s="2071"/>
      <c r="BR36" s="2071"/>
      <c r="BS36" s="2071"/>
      <c r="BT36" s="2071"/>
      <c r="BU36" s="2071"/>
      <c r="BV36" s="2071"/>
      <c r="BW36" s="2071"/>
      <c r="BX36" s="2071"/>
      <c r="BY36" s="2071"/>
      <c r="BZ36" s="2071"/>
      <c r="CA36" s="2071"/>
      <c r="CB36" s="2071"/>
      <c r="CC36" s="2071"/>
      <c r="CD36" s="2071"/>
      <c r="CE36" s="2071"/>
      <c r="CF36" s="2071"/>
      <c r="CG36" s="2071"/>
      <c r="CH36" s="2071"/>
      <c r="CI36" s="2071"/>
      <c r="CJ36" s="2071"/>
      <c r="CK36" s="2071"/>
      <c r="CL36" s="2071"/>
      <c r="CM36" s="2071"/>
      <c r="CN36" s="2071"/>
      <c r="CO36" s="2071"/>
      <c r="CP36" s="2071"/>
      <c r="CQ36" s="2071"/>
      <c r="CR36" s="2071"/>
      <c r="CS36" s="2071"/>
      <c r="CT36" s="2071"/>
      <c r="CU36" s="2071"/>
      <c r="CV36" s="2071"/>
      <c r="CW36" s="2071"/>
      <c r="CX36" s="2071"/>
      <c r="CY36" s="2071"/>
      <c r="CZ36" s="2071"/>
      <c r="DA36" s="2071"/>
      <c r="DB36" s="2071"/>
      <c r="DC36" s="2071"/>
      <c r="DD36" s="2071"/>
      <c r="DE36" s="2071"/>
      <c r="DF36" s="2071"/>
      <c r="DG36" s="2071"/>
      <c r="DH36" s="2071"/>
      <c r="DI36" s="2071"/>
      <c r="DJ36" s="2071"/>
      <c r="DK36" s="2071"/>
      <c r="DL36" s="2071"/>
      <c r="DM36" s="2071"/>
      <c r="DN36" s="2071"/>
      <c r="DO36" s="2071"/>
      <c r="DP36" s="2071"/>
      <c r="DQ36" s="2071"/>
      <c r="DR36" s="2071"/>
      <c r="DS36" s="2071"/>
      <c r="DT36" s="2071"/>
      <c r="DU36" s="2071"/>
      <c r="DV36" s="2071"/>
      <c r="DW36" s="2071"/>
      <c r="DX36" s="2071"/>
      <c r="DY36" s="2071"/>
      <c r="DZ36" s="2071"/>
      <c r="EA36" s="2071"/>
      <c r="EB36" s="2071"/>
      <c r="EC36" s="2071"/>
      <c r="ED36" s="2071"/>
      <c r="EE36" s="2071"/>
      <c r="EF36" s="2071"/>
      <c r="EG36" s="2071"/>
      <c r="EH36" s="2071"/>
      <c r="EI36" s="2071"/>
      <c r="EJ36" s="2071"/>
      <c r="EK36" s="2071"/>
      <c r="EL36" s="2071"/>
      <c r="EM36" s="2071"/>
      <c r="EN36" s="2071"/>
      <c r="EO36" s="2071"/>
      <c r="EP36" s="2071"/>
      <c r="EQ36" s="2071"/>
      <c r="ER36" s="2071"/>
      <c r="ES36" s="2071"/>
      <c r="ET36" s="2071"/>
      <c r="EU36" s="2071"/>
      <c r="EV36" s="2071"/>
      <c r="EW36" s="2071"/>
      <c r="EX36" s="2071"/>
      <c r="EY36" s="2071"/>
      <c r="EZ36" s="2071"/>
      <c r="FA36" s="2071"/>
      <c r="FB36" s="2071"/>
      <c r="FC36" s="2071"/>
      <c r="FD36" s="2071"/>
      <c r="FE36" s="2071"/>
      <c r="FF36" s="2071"/>
      <c r="FG36" s="2071"/>
      <c r="FH36" s="2071"/>
      <c r="FI36" s="2071"/>
      <c r="FJ36" s="2071"/>
      <c r="FK36" s="2071"/>
      <c r="FL36" s="2071"/>
      <c r="FM36" s="2071"/>
      <c r="FN36" s="2071"/>
      <c r="FO36" s="2071"/>
      <c r="FP36" s="2071"/>
      <c r="FQ36" s="2071"/>
      <c r="FR36" s="2071"/>
      <c r="FS36" s="2071"/>
      <c r="FT36" s="2071"/>
      <c r="FU36" s="2071"/>
      <c r="FV36" s="2071"/>
      <c r="FW36" s="2071"/>
      <c r="FX36" s="2071"/>
      <c r="FY36" s="2071"/>
      <c r="FZ36" s="2071"/>
      <c r="GA36" s="2071"/>
      <c r="GB36" s="2071"/>
      <c r="GC36" s="2071"/>
      <c r="GD36" s="2071"/>
      <c r="GE36" s="2071"/>
      <c r="GF36" s="2071"/>
      <c r="GG36" s="2071"/>
      <c r="GH36" s="2071"/>
      <c r="GI36" s="2071"/>
      <c r="GJ36" s="2071"/>
      <c r="GK36" s="2071"/>
      <c r="GL36" s="2071"/>
      <c r="GM36" s="2071"/>
      <c r="GN36" s="2071"/>
      <c r="GO36" s="2071"/>
      <c r="GP36" s="2071"/>
      <c r="GQ36" s="2071"/>
      <c r="GR36" s="2071"/>
      <c r="GS36" s="2071"/>
      <c r="GT36" s="2071"/>
      <c r="GU36" s="2071"/>
      <c r="GV36" s="2071"/>
      <c r="GW36" s="2071"/>
      <c r="GX36" s="2071"/>
      <c r="GY36" s="2071"/>
      <c r="GZ36" s="2071"/>
      <c r="HA36" s="2071"/>
      <c r="HB36" s="2071"/>
      <c r="HC36" s="2071"/>
      <c r="HD36" s="2071"/>
      <c r="HE36" s="2071"/>
      <c r="HF36" s="2071"/>
      <c r="HG36" s="2071"/>
      <c r="HH36" s="2071"/>
      <c r="HI36" s="2071"/>
      <c r="HJ36" s="2071"/>
      <c r="HK36" s="2071"/>
      <c r="HL36" s="2071"/>
      <c r="HM36" s="2071"/>
      <c r="HN36" s="2071"/>
      <c r="HO36" s="2071"/>
      <c r="HP36" s="2071"/>
      <c r="HQ36" s="2071"/>
      <c r="HR36" s="2071"/>
      <c r="HS36" s="2071"/>
      <c r="HT36" s="2071"/>
      <c r="HU36" s="2071"/>
      <c r="HV36" s="2071"/>
      <c r="HW36" s="2071"/>
      <c r="HX36" s="2071"/>
      <c r="HY36" s="2071"/>
      <c r="HZ36" s="2071"/>
      <c r="IA36" s="2071"/>
      <c r="IB36" s="2071"/>
      <c r="IC36" s="2071"/>
      <c r="ID36" s="2071"/>
      <c r="IE36" s="2071"/>
      <c r="IF36" s="2071"/>
      <c r="IG36" s="2071"/>
      <c r="IH36" s="2071"/>
      <c r="II36" s="2071"/>
      <c r="IJ36" s="2071"/>
      <c r="IK36" s="2071"/>
      <c r="IL36" s="2071"/>
      <c r="IM36" s="2071"/>
      <c r="IN36" s="2071"/>
    </row>
    <row r="37" spans="1:248">
      <c r="A37" s="2051" t="s">
        <v>1847</v>
      </c>
      <c r="B37" s="2052">
        <f>审定资负表!C39</f>
        <v>0</v>
      </c>
      <c r="C37" s="2052">
        <f>审定资负表!D39</f>
        <v>0</v>
      </c>
      <c r="D37" s="2053" t="str">
        <f t="shared" si="0"/>
        <v> </v>
      </c>
      <c r="E37" s="2054">
        <f t="shared" si="1"/>
        <v>0</v>
      </c>
      <c r="F37" s="2055" t="str">
        <f t="shared" si="2"/>
        <v/>
      </c>
      <c r="G37" s="2056"/>
      <c r="H37" s="2059"/>
      <c r="I37" s="2059"/>
      <c r="J37" s="2084"/>
      <c r="K37" s="2071"/>
      <c r="L37" s="2071"/>
      <c r="M37" s="2071"/>
      <c r="N37" s="2071"/>
      <c r="O37" s="2071"/>
      <c r="P37" s="2071"/>
      <c r="Q37" s="2071"/>
      <c r="R37" s="2071"/>
      <c r="S37" s="2071"/>
      <c r="T37" s="2071"/>
      <c r="U37" s="2071"/>
      <c r="V37" s="2071"/>
      <c r="W37" s="2071"/>
      <c r="X37" s="2071"/>
      <c r="Y37" s="2071"/>
      <c r="Z37" s="2071"/>
      <c r="AA37" s="2071"/>
      <c r="AB37" s="2071"/>
      <c r="AC37" s="2071"/>
      <c r="AD37" s="2071"/>
      <c r="AE37" s="2071"/>
      <c r="AF37" s="2071"/>
      <c r="AG37" s="2071"/>
      <c r="AH37" s="2071"/>
      <c r="AI37" s="2071"/>
      <c r="AJ37" s="2071"/>
      <c r="AK37" s="2071"/>
      <c r="AL37" s="2071"/>
      <c r="AM37" s="2071"/>
      <c r="AN37" s="2071"/>
      <c r="AO37" s="2071"/>
      <c r="AP37" s="2071"/>
      <c r="AQ37" s="2071"/>
      <c r="AR37" s="2071"/>
      <c r="AS37" s="2071"/>
      <c r="AT37" s="2071"/>
      <c r="AU37" s="2071"/>
      <c r="AV37" s="2071"/>
      <c r="AW37" s="2071"/>
      <c r="AX37" s="2071"/>
      <c r="AY37" s="2071"/>
      <c r="AZ37" s="2071"/>
      <c r="BA37" s="2071"/>
      <c r="BB37" s="2071"/>
      <c r="BC37" s="2071"/>
      <c r="BD37" s="2071"/>
      <c r="BE37" s="2071"/>
      <c r="BF37" s="2071"/>
      <c r="BG37" s="2071"/>
      <c r="BH37" s="2071"/>
      <c r="BI37" s="2071"/>
      <c r="BJ37" s="2071"/>
      <c r="BK37" s="2071"/>
      <c r="BL37" s="2071"/>
      <c r="BM37" s="2071"/>
      <c r="BN37" s="2071"/>
      <c r="BO37" s="2071"/>
      <c r="BP37" s="2071"/>
      <c r="BQ37" s="2071"/>
      <c r="BR37" s="2071"/>
      <c r="BS37" s="2071"/>
      <c r="BT37" s="2071"/>
      <c r="BU37" s="2071"/>
      <c r="BV37" s="2071"/>
      <c r="BW37" s="2071"/>
      <c r="BX37" s="2071"/>
      <c r="BY37" s="2071"/>
      <c r="BZ37" s="2071"/>
      <c r="CA37" s="2071"/>
      <c r="CB37" s="2071"/>
      <c r="CC37" s="2071"/>
      <c r="CD37" s="2071"/>
      <c r="CE37" s="2071"/>
      <c r="CF37" s="2071"/>
      <c r="CG37" s="2071"/>
      <c r="CH37" s="2071"/>
      <c r="CI37" s="2071"/>
      <c r="CJ37" s="2071"/>
      <c r="CK37" s="2071"/>
      <c r="CL37" s="2071"/>
      <c r="CM37" s="2071"/>
      <c r="CN37" s="2071"/>
      <c r="CO37" s="2071"/>
      <c r="CP37" s="2071"/>
      <c r="CQ37" s="2071"/>
      <c r="CR37" s="2071"/>
      <c r="CS37" s="2071"/>
      <c r="CT37" s="2071"/>
      <c r="CU37" s="2071"/>
      <c r="CV37" s="2071"/>
      <c r="CW37" s="2071"/>
      <c r="CX37" s="2071"/>
      <c r="CY37" s="2071"/>
      <c r="CZ37" s="2071"/>
      <c r="DA37" s="2071"/>
      <c r="DB37" s="2071"/>
      <c r="DC37" s="2071"/>
      <c r="DD37" s="2071"/>
      <c r="DE37" s="2071"/>
      <c r="DF37" s="2071"/>
      <c r="DG37" s="2071"/>
      <c r="DH37" s="2071"/>
      <c r="DI37" s="2071"/>
      <c r="DJ37" s="2071"/>
      <c r="DK37" s="2071"/>
      <c r="DL37" s="2071"/>
      <c r="DM37" s="2071"/>
      <c r="DN37" s="2071"/>
      <c r="DO37" s="2071"/>
      <c r="DP37" s="2071"/>
      <c r="DQ37" s="2071"/>
      <c r="DR37" s="2071"/>
      <c r="DS37" s="2071"/>
      <c r="DT37" s="2071"/>
      <c r="DU37" s="2071"/>
      <c r="DV37" s="2071"/>
      <c r="DW37" s="2071"/>
      <c r="DX37" s="2071"/>
      <c r="DY37" s="2071"/>
      <c r="DZ37" s="2071"/>
      <c r="EA37" s="2071"/>
      <c r="EB37" s="2071"/>
      <c r="EC37" s="2071"/>
      <c r="ED37" s="2071"/>
      <c r="EE37" s="2071"/>
      <c r="EF37" s="2071"/>
      <c r="EG37" s="2071"/>
      <c r="EH37" s="2071"/>
      <c r="EI37" s="2071"/>
      <c r="EJ37" s="2071"/>
      <c r="EK37" s="2071"/>
      <c r="EL37" s="2071"/>
      <c r="EM37" s="2071"/>
      <c r="EN37" s="2071"/>
      <c r="EO37" s="2071"/>
      <c r="EP37" s="2071"/>
      <c r="EQ37" s="2071"/>
      <c r="ER37" s="2071"/>
      <c r="ES37" s="2071"/>
      <c r="ET37" s="2071"/>
      <c r="EU37" s="2071"/>
      <c r="EV37" s="2071"/>
      <c r="EW37" s="2071"/>
      <c r="EX37" s="2071"/>
      <c r="EY37" s="2071"/>
      <c r="EZ37" s="2071"/>
      <c r="FA37" s="2071"/>
      <c r="FB37" s="2071"/>
      <c r="FC37" s="2071"/>
      <c r="FD37" s="2071"/>
      <c r="FE37" s="2071"/>
      <c r="FF37" s="2071"/>
      <c r="FG37" s="2071"/>
      <c r="FH37" s="2071"/>
      <c r="FI37" s="2071"/>
      <c r="FJ37" s="2071"/>
      <c r="FK37" s="2071"/>
      <c r="FL37" s="2071"/>
      <c r="FM37" s="2071"/>
      <c r="FN37" s="2071"/>
      <c r="FO37" s="2071"/>
      <c r="FP37" s="2071"/>
      <c r="FQ37" s="2071"/>
      <c r="FR37" s="2071"/>
      <c r="FS37" s="2071"/>
      <c r="FT37" s="2071"/>
      <c r="FU37" s="2071"/>
      <c r="FV37" s="2071"/>
      <c r="FW37" s="2071"/>
      <c r="FX37" s="2071"/>
      <c r="FY37" s="2071"/>
      <c r="FZ37" s="2071"/>
      <c r="GA37" s="2071"/>
      <c r="GB37" s="2071"/>
      <c r="GC37" s="2071"/>
      <c r="GD37" s="2071"/>
      <c r="GE37" s="2071"/>
      <c r="GF37" s="2071"/>
      <c r="GG37" s="2071"/>
      <c r="GH37" s="2071"/>
      <c r="GI37" s="2071"/>
      <c r="GJ37" s="2071"/>
      <c r="GK37" s="2071"/>
      <c r="GL37" s="2071"/>
      <c r="GM37" s="2071"/>
      <c r="GN37" s="2071"/>
      <c r="GO37" s="2071"/>
      <c r="GP37" s="2071"/>
      <c r="GQ37" s="2071"/>
      <c r="GR37" s="2071"/>
      <c r="GS37" s="2071"/>
      <c r="GT37" s="2071"/>
      <c r="GU37" s="2071"/>
      <c r="GV37" s="2071"/>
      <c r="GW37" s="2071"/>
      <c r="GX37" s="2071"/>
      <c r="GY37" s="2071"/>
      <c r="GZ37" s="2071"/>
      <c r="HA37" s="2071"/>
      <c r="HB37" s="2071"/>
      <c r="HC37" s="2071"/>
      <c r="HD37" s="2071"/>
      <c r="HE37" s="2071"/>
      <c r="HF37" s="2071"/>
      <c r="HG37" s="2071"/>
      <c r="HH37" s="2071"/>
      <c r="HI37" s="2071"/>
      <c r="HJ37" s="2071"/>
      <c r="HK37" s="2071"/>
      <c r="HL37" s="2071"/>
      <c r="HM37" s="2071"/>
      <c r="HN37" s="2071"/>
      <c r="HO37" s="2071"/>
      <c r="HP37" s="2071"/>
      <c r="HQ37" s="2071"/>
      <c r="HR37" s="2071"/>
      <c r="HS37" s="2071"/>
      <c r="HT37" s="2071"/>
      <c r="HU37" s="2071"/>
      <c r="HV37" s="2071"/>
      <c r="HW37" s="2071"/>
      <c r="HX37" s="2071"/>
      <c r="HY37" s="2071"/>
      <c r="HZ37" s="2071"/>
      <c r="IA37" s="2071"/>
      <c r="IB37" s="2071"/>
      <c r="IC37" s="2071"/>
      <c r="ID37" s="2071"/>
      <c r="IE37" s="2071"/>
      <c r="IF37" s="2071"/>
      <c r="IG37" s="2071"/>
      <c r="IH37" s="2071"/>
      <c r="II37" s="2071"/>
      <c r="IJ37" s="2071"/>
      <c r="IK37" s="2071"/>
      <c r="IL37" s="2071"/>
      <c r="IM37" s="2071"/>
      <c r="IN37" s="2071"/>
    </row>
    <row r="38" spans="1:248">
      <c r="A38" s="2058" t="s">
        <v>257</v>
      </c>
      <c r="B38" s="2052">
        <f>审定资负表!C40</f>
        <v>191460675.95</v>
      </c>
      <c r="C38" s="2052">
        <f>审定资负表!D40</f>
        <v>84805098.52</v>
      </c>
      <c r="D38" s="2053">
        <f t="shared" si="0"/>
        <v>0.394537601951456</v>
      </c>
      <c r="E38" s="2054">
        <f t="shared" si="1"/>
        <v>106655577.43</v>
      </c>
      <c r="F38" s="2055">
        <f t="shared" si="2"/>
        <v>1.2577</v>
      </c>
      <c r="G38" s="2056"/>
      <c r="H38" s="2059"/>
      <c r="I38" s="2059"/>
      <c r="J38" s="2084"/>
      <c r="K38" s="2071"/>
      <c r="L38" s="2071"/>
      <c r="M38" s="2071"/>
      <c r="N38" s="2071"/>
      <c r="O38" s="2071"/>
      <c r="P38" s="2071"/>
      <c r="Q38" s="2071"/>
      <c r="R38" s="2071"/>
      <c r="S38" s="2071"/>
      <c r="T38" s="2071"/>
      <c r="U38" s="2071"/>
      <c r="V38" s="2071"/>
      <c r="W38" s="2071"/>
      <c r="X38" s="2071"/>
      <c r="Y38" s="2071"/>
      <c r="Z38" s="2071"/>
      <c r="AA38" s="2071"/>
      <c r="AB38" s="2071"/>
      <c r="AC38" s="2071"/>
      <c r="AD38" s="2071"/>
      <c r="AE38" s="2071"/>
      <c r="AF38" s="2071"/>
      <c r="AG38" s="2071"/>
      <c r="AH38" s="2071"/>
      <c r="AI38" s="2071"/>
      <c r="AJ38" s="2071"/>
      <c r="AK38" s="2071"/>
      <c r="AL38" s="2071"/>
      <c r="AM38" s="2071"/>
      <c r="AN38" s="2071"/>
      <c r="AO38" s="2071"/>
      <c r="AP38" s="2071"/>
      <c r="AQ38" s="2071"/>
      <c r="AR38" s="2071"/>
      <c r="AS38" s="2071"/>
      <c r="AT38" s="2071"/>
      <c r="AU38" s="2071"/>
      <c r="AV38" s="2071"/>
      <c r="AW38" s="2071"/>
      <c r="AX38" s="2071"/>
      <c r="AY38" s="2071"/>
      <c r="AZ38" s="2071"/>
      <c r="BA38" s="2071"/>
      <c r="BB38" s="2071"/>
      <c r="BC38" s="2071"/>
      <c r="BD38" s="2071"/>
      <c r="BE38" s="2071"/>
      <c r="BF38" s="2071"/>
      <c r="BG38" s="2071"/>
      <c r="BH38" s="2071"/>
      <c r="BI38" s="2071"/>
      <c r="BJ38" s="2071"/>
      <c r="BK38" s="2071"/>
      <c r="BL38" s="2071"/>
      <c r="BM38" s="2071"/>
      <c r="BN38" s="2071"/>
      <c r="BO38" s="2071"/>
      <c r="BP38" s="2071"/>
      <c r="BQ38" s="2071"/>
      <c r="BR38" s="2071"/>
      <c r="BS38" s="2071"/>
      <c r="BT38" s="2071"/>
      <c r="BU38" s="2071"/>
      <c r="BV38" s="2071"/>
      <c r="BW38" s="2071"/>
      <c r="BX38" s="2071"/>
      <c r="BY38" s="2071"/>
      <c r="BZ38" s="2071"/>
      <c r="CA38" s="2071"/>
      <c r="CB38" s="2071"/>
      <c r="CC38" s="2071"/>
      <c r="CD38" s="2071"/>
      <c r="CE38" s="2071"/>
      <c r="CF38" s="2071"/>
      <c r="CG38" s="2071"/>
      <c r="CH38" s="2071"/>
      <c r="CI38" s="2071"/>
      <c r="CJ38" s="2071"/>
      <c r="CK38" s="2071"/>
      <c r="CL38" s="2071"/>
      <c r="CM38" s="2071"/>
      <c r="CN38" s="2071"/>
      <c r="CO38" s="2071"/>
      <c r="CP38" s="2071"/>
      <c r="CQ38" s="2071"/>
      <c r="CR38" s="2071"/>
      <c r="CS38" s="2071"/>
      <c r="CT38" s="2071"/>
      <c r="CU38" s="2071"/>
      <c r="CV38" s="2071"/>
      <c r="CW38" s="2071"/>
      <c r="CX38" s="2071"/>
      <c r="CY38" s="2071"/>
      <c r="CZ38" s="2071"/>
      <c r="DA38" s="2071"/>
      <c r="DB38" s="2071"/>
      <c r="DC38" s="2071"/>
      <c r="DD38" s="2071"/>
      <c r="DE38" s="2071"/>
      <c r="DF38" s="2071"/>
      <c r="DG38" s="2071"/>
      <c r="DH38" s="2071"/>
      <c r="DI38" s="2071"/>
      <c r="DJ38" s="2071"/>
      <c r="DK38" s="2071"/>
      <c r="DL38" s="2071"/>
      <c r="DM38" s="2071"/>
      <c r="DN38" s="2071"/>
      <c r="DO38" s="2071"/>
      <c r="DP38" s="2071"/>
      <c r="DQ38" s="2071"/>
      <c r="DR38" s="2071"/>
      <c r="DS38" s="2071"/>
      <c r="DT38" s="2071"/>
      <c r="DU38" s="2071"/>
      <c r="DV38" s="2071"/>
      <c r="DW38" s="2071"/>
      <c r="DX38" s="2071"/>
      <c r="DY38" s="2071"/>
      <c r="DZ38" s="2071"/>
      <c r="EA38" s="2071"/>
      <c r="EB38" s="2071"/>
      <c r="EC38" s="2071"/>
      <c r="ED38" s="2071"/>
      <c r="EE38" s="2071"/>
      <c r="EF38" s="2071"/>
      <c r="EG38" s="2071"/>
      <c r="EH38" s="2071"/>
      <c r="EI38" s="2071"/>
      <c r="EJ38" s="2071"/>
      <c r="EK38" s="2071"/>
      <c r="EL38" s="2071"/>
      <c r="EM38" s="2071"/>
      <c r="EN38" s="2071"/>
      <c r="EO38" s="2071"/>
      <c r="EP38" s="2071"/>
      <c r="EQ38" s="2071"/>
      <c r="ER38" s="2071"/>
      <c r="ES38" s="2071"/>
      <c r="ET38" s="2071"/>
      <c r="EU38" s="2071"/>
      <c r="EV38" s="2071"/>
      <c r="EW38" s="2071"/>
      <c r="EX38" s="2071"/>
      <c r="EY38" s="2071"/>
      <c r="EZ38" s="2071"/>
      <c r="FA38" s="2071"/>
      <c r="FB38" s="2071"/>
      <c r="FC38" s="2071"/>
      <c r="FD38" s="2071"/>
      <c r="FE38" s="2071"/>
      <c r="FF38" s="2071"/>
      <c r="FG38" s="2071"/>
      <c r="FH38" s="2071"/>
      <c r="FI38" s="2071"/>
      <c r="FJ38" s="2071"/>
      <c r="FK38" s="2071"/>
      <c r="FL38" s="2071"/>
      <c r="FM38" s="2071"/>
      <c r="FN38" s="2071"/>
      <c r="FO38" s="2071"/>
      <c r="FP38" s="2071"/>
      <c r="FQ38" s="2071"/>
      <c r="FR38" s="2071"/>
      <c r="FS38" s="2071"/>
      <c r="FT38" s="2071"/>
      <c r="FU38" s="2071"/>
      <c r="FV38" s="2071"/>
      <c r="FW38" s="2071"/>
      <c r="FX38" s="2071"/>
      <c r="FY38" s="2071"/>
      <c r="FZ38" s="2071"/>
      <c r="GA38" s="2071"/>
      <c r="GB38" s="2071"/>
      <c r="GC38" s="2071"/>
      <c r="GD38" s="2071"/>
      <c r="GE38" s="2071"/>
      <c r="GF38" s="2071"/>
      <c r="GG38" s="2071"/>
      <c r="GH38" s="2071"/>
      <c r="GI38" s="2071"/>
      <c r="GJ38" s="2071"/>
      <c r="GK38" s="2071"/>
      <c r="GL38" s="2071"/>
      <c r="GM38" s="2071"/>
      <c r="GN38" s="2071"/>
      <c r="GO38" s="2071"/>
      <c r="GP38" s="2071"/>
      <c r="GQ38" s="2071"/>
      <c r="GR38" s="2071"/>
      <c r="GS38" s="2071"/>
      <c r="GT38" s="2071"/>
      <c r="GU38" s="2071"/>
      <c r="GV38" s="2071"/>
      <c r="GW38" s="2071"/>
      <c r="GX38" s="2071"/>
      <c r="GY38" s="2071"/>
      <c r="GZ38" s="2071"/>
      <c r="HA38" s="2071"/>
      <c r="HB38" s="2071"/>
      <c r="HC38" s="2071"/>
      <c r="HD38" s="2071"/>
      <c r="HE38" s="2071"/>
      <c r="HF38" s="2071"/>
      <c r="HG38" s="2071"/>
      <c r="HH38" s="2071"/>
      <c r="HI38" s="2071"/>
      <c r="HJ38" s="2071"/>
      <c r="HK38" s="2071"/>
      <c r="HL38" s="2071"/>
      <c r="HM38" s="2071"/>
      <c r="HN38" s="2071"/>
      <c r="HO38" s="2071"/>
      <c r="HP38" s="2071"/>
      <c r="HQ38" s="2071"/>
      <c r="HR38" s="2071"/>
      <c r="HS38" s="2071"/>
      <c r="HT38" s="2071"/>
      <c r="HU38" s="2071"/>
      <c r="HV38" s="2071"/>
      <c r="HW38" s="2071"/>
      <c r="HX38" s="2071"/>
      <c r="HY38" s="2071"/>
      <c r="HZ38" s="2071"/>
      <c r="IA38" s="2071"/>
      <c r="IB38" s="2071"/>
      <c r="IC38" s="2071"/>
      <c r="ID38" s="2071"/>
      <c r="IE38" s="2071"/>
      <c r="IF38" s="2071"/>
      <c r="IG38" s="2071"/>
      <c r="IH38" s="2071"/>
      <c r="II38" s="2071"/>
      <c r="IJ38" s="2071"/>
      <c r="IK38" s="2071"/>
      <c r="IL38" s="2071"/>
      <c r="IM38" s="2071"/>
      <c r="IN38" s="2071"/>
    </row>
    <row r="39" spans="1:248">
      <c r="A39" s="2051"/>
      <c r="B39" s="2052">
        <f>审定资负表!C41</f>
        <v>0</v>
      </c>
      <c r="C39" s="2052">
        <f>审定资负表!D41</f>
        <v>0</v>
      </c>
      <c r="D39" s="2053" t="str">
        <f t="shared" si="0"/>
        <v> </v>
      </c>
      <c r="E39" s="2054">
        <f t="shared" si="1"/>
        <v>0</v>
      </c>
      <c r="F39" s="2055" t="str">
        <f t="shared" si="2"/>
        <v/>
      </c>
      <c r="G39" s="2056"/>
      <c r="H39" s="2059"/>
      <c r="I39" s="2059"/>
      <c r="J39" s="2084"/>
      <c r="K39" s="2071"/>
      <c r="L39" s="2071"/>
      <c r="M39" s="2071"/>
      <c r="N39" s="2071"/>
      <c r="O39" s="2071"/>
      <c r="P39" s="2071"/>
      <c r="Q39" s="2071"/>
      <c r="R39" s="2071"/>
      <c r="S39" s="2071"/>
      <c r="T39" s="2071"/>
      <c r="U39" s="2071"/>
      <c r="V39" s="2071"/>
      <c r="W39" s="2071"/>
      <c r="X39" s="2071"/>
      <c r="Y39" s="2071"/>
      <c r="Z39" s="2071"/>
      <c r="AA39" s="2071"/>
      <c r="AB39" s="2071"/>
      <c r="AC39" s="2071"/>
      <c r="AD39" s="2071"/>
      <c r="AE39" s="2071"/>
      <c r="AF39" s="2071"/>
      <c r="AG39" s="2071"/>
      <c r="AH39" s="2071"/>
      <c r="AI39" s="2071"/>
      <c r="AJ39" s="2071"/>
      <c r="AK39" s="2071"/>
      <c r="AL39" s="2071"/>
      <c r="AM39" s="2071"/>
      <c r="AN39" s="2071"/>
      <c r="AO39" s="2071"/>
      <c r="AP39" s="2071"/>
      <c r="AQ39" s="2071"/>
      <c r="AR39" s="2071"/>
      <c r="AS39" s="2071"/>
      <c r="AT39" s="2071"/>
      <c r="AU39" s="2071"/>
      <c r="AV39" s="2071"/>
      <c r="AW39" s="2071"/>
      <c r="AX39" s="2071"/>
      <c r="AY39" s="2071"/>
      <c r="AZ39" s="2071"/>
      <c r="BA39" s="2071"/>
      <c r="BB39" s="2071"/>
      <c r="BC39" s="2071"/>
      <c r="BD39" s="2071"/>
      <c r="BE39" s="2071"/>
      <c r="BF39" s="2071"/>
      <c r="BG39" s="2071"/>
      <c r="BH39" s="2071"/>
      <c r="BI39" s="2071"/>
      <c r="BJ39" s="2071"/>
      <c r="BK39" s="2071"/>
      <c r="BL39" s="2071"/>
      <c r="BM39" s="2071"/>
      <c r="BN39" s="2071"/>
      <c r="BO39" s="2071"/>
      <c r="BP39" s="2071"/>
      <c r="BQ39" s="2071"/>
      <c r="BR39" s="2071"/>
      <c r="BS39" s="2071"/>
      <c r="BT39" s="2071"/>
      <c r="BU39" s="2071"/>
      <c r="BV39" s="2071"/>
      <c r="BW39" s="2071"/>
      <c r="BX39" s="2071"/>
      <c r="BY39" s="2071"/>
      <c r="BZ39" s="2071"/>
      <c r="CA39" s="2071"/>
      <c r="CB39" s="2071"/>
      <c r="CC39" s="2071"/>
      <c r="CD39" s="2071"/>
      <c r="CE39" s="2071"/>
      <c r="CF39" s="2071"/>
      <c r="CG39" s="2071"/>
      <c r="CH39" s="2071"/>
      <c r="CI39" s="2071"/>
      <c r="CJ39" s="2071"/>
      <c r="CK39" s="2071"/>
      <c r="CL39" s="2071"/>
      <c r="CM39" s="2071"/>
      <c r="CN39" s="2071"/>
      <c r="CO39" s="2071"/>
      <c r="CP39" s="2071"/>
      <c r="CQ39" s="2071"/>
      <c r="CR39" s="2071"/>
      <c r="CS39" s="2071"/>
      <c r="CT39" s="2071"/>
      <c r="CU39" s="2071"/>
      <c r="CV39" s="2071"/>
      <c r="CW39" s="2071"/>
      <c r="CX39" s="2071"/>
      <c r="CY39" s="2071"/>
      <c r="CZ39" s="2071"/>
      <c r="DA39" s="2071"/>
      <c r="DB39" s="2071"/>
      <c r="DC39" s="2071"/>
      <c r="DD39" s="2071"/>
      <c r="DE39" s="2071"/>
      <c r="DF39" s="2071"/>
      <c r="DG39" s="2071"/>
      <c r="DH39" s="2071"/>
      <c r="DI39" s="2071"/>
      <c r="DJ39" s="2071"/>
      <c r="DK39" s="2071"/>
      <c r="DL39" s="2071"/>
      <c r="DM39" s="2071"/>
      <c r="DN39" s="2071"/>
      <c r="DO39" s="2071"/>
      <c r="DP39" s="2071"/>
      <c r="DQ39" s="2071"/>
      <c r="DR39" s="2071"/>
      <c r="DS39" s="2071"/>
      <c r="DT39" s="2071"/>
      <c r="DU39" s="2071"/>
      <c r="DV39" s="2071"/>
      <c r="DW39" s="2071"/>
      <c r="DX39" s="2071"/>
      <c r="DY39" s="2071"/>
      <c r="DZ39" s="2071"/>
      <c r="EA39" s="2071"/>
      <c r="EB39" s="2071"/>
      <c r="EC39" s="2071"/>
      <c r="ED39" s="2071"/>
      <c r="EE39" s="2071"/>
      <c r="EF39" s="2071"/>
      <c r="EG39" s="2071"/>
      <c r="EH39" s="2071"/>
      <c r="EI39" s="2071"/>
      <c r="EJ39" s="2071"/>
      <c r="EK39" s="2071"/>
      <c r="EL39" s="2071"/>
      <c r="EM39" s="2071"/>
      <c r="EN39" s="2071"/>
      <c r="EO39" s="2071"/>
      <c r="EP39" s="2071"/>
      <c r="EQ39" s="2071"/>
      <c r="ER39" s="2071"/>
      <c r="ES39" s="2071"/>
      <c r="ET39" s="2071"/>
      <c r="EU39" s="2071"/>
      <c r="EV39" s="2071"/>
      <c r="EW39" s="2071"/>
      <c r="EX39" s="2071"/>
      <c r="EY39" s="2071"/>
      <c r="EZ39" s="2071"/>
      <c r="FA39" s="2071"/>
      <c r="FB39" s="2071"/>
      <c r="FC39" s="2071"/>
      <c r="FD39" s="2071"/>
      <c r="FE39" s="2071"/>
      <c r="FF39" s="2071"/>
      <c r="FG39" s="2071"/>
      <c r="FH39" s="2071"/>
      <c r="FI39" s="2071"/>
      <c r="FJ39" s="2071"/>
      <c r="FK39" s="2071"/>
      <c r="FL39" s="2071"/>
      <c r="FM39" s="2071"/>
      <c r="FN39" s="2071"/>
      <c r="FO39" s="2071"/>
      <c r="FP39" s="2071"/>
      <c r="FQ39" s="2071"/>
      <c r="FR39" s="2071"/>
      <c r="FS39" s="2071"/>
      <c r="FT39" s="2071"/>
      <c r="FU39" s="2071"/>
      <c r="FV39" s="2071"/>
      <c r="FW39" s="2071"/>
      <c r="FX39" s="2071"/>
      <c r="FY39" s="2071"/>
      <c r="FZ39" s="2071"/>
      <c r="GA39" s="2071"/>
      <c r="GB39" s="2071"/>
      <c r="GC39" s="2071"/>
      <c r="GD39" s="2071"/>
      <c r="GE39" s="2071"/>
      <c r="GF39" s="2071"/>
      <c r="GG39" s="2071"/>
      <c r="GH39" s="2071"/>
      <c r="GI39" s="2071"/>
      <c r="GJ39" s="2071"/>
      <c r="GK39" s="2071"/>
      <c r="GL39" s="2071"/>
      <c r="GM39" s="2071"/>
      <c r="GN39" s="2071"/>
      <c r="GO39" s="2071"/>
      <c r="GP39" s="2071"/>
      <c r="GQ39" s="2071"/>
      <c r="GR39" s="2071"/>
      <c r="GS39" s="2071"/>
      <c r="GT39" s="2071"/>
      <c r="GU39" s="2071"/>
      <c r="GV39" s="2071"/>
      <c r="GW39" s="2071"/>
      <c r="GX39" s="2071"/>
      <c r="GY39" s="2071"/>
      <c r="GZ39" s="2071"/>
      <c r="HA39" s="2071"/>
      <c r="HB39" s="2071"/>
      <c r="HC39" s="2071"/>
      <c r="HD39" s="2071"/>
      <c r="HE39" s="2071"/>
      <c r="HF39" s="2071"/>
      <c r="HG39" s="2071"/>
      <c r="HH39" s="2071"/>
      <c r="HI39" s="2071"/>
      <c r="HJ39" s="2071"/>
      <c r="HK39" s="2071"/>
      <c r="HL39" s="2071"/>
      <c r="HM39" s="2071"/>
      <c r="HN39" s="2071"/>
      <c r="HO39" s="2071"/>
      <c r="HP39" s="2071"/>
      <c r="HQ39" s="2071"/>
      <c r="HR39" s="2071"/>
      <c r="HS39" s="2071"/>
      <c r="HT39" s="2071"/>
      <c r="HU39" s="2071"/>
      <c r="HV39" s="2071"/>
      <c r="HW39" s="2071"/>
      <c r="HX39" s="2071"/>
      <c r="HY39" s="2071"/>
      <c r="HZ39" s="2071"/>
      <c r="IA39" s="2071"/>
      <c r="IB39" s="2071"/>
      <c r="IC39" s="2071"/>
      <c r="ID39" s="2071"/>
      <c r="IE39" s="2071"/>
      <c r="IF39" s="2071"/>
      <c r="IG39" s="2071"/>
      <c r="IH39" s="2071"/>
      <c r="II39" s="2071"/>
      <c r="IJ39" s="2071"/>
      <c r="IK39" s="2071"/>
      <c r="IL39" s="2071"/>
      <c r="IM39" s="2071"/>
      <c r="IN39" s="2071"/>
    </row>
    <row r="40" spans="1:248">
      <c r="A40" s="2051"/>
      <c r="B40" s="2052">
        <f>审定资负表!C42</f>
        <v>0</v>
      </c>
      <c r="C40" s="2052">
        <f>审定资负表!D42</f>
        <v>0</v>
      </c>
      <c r="D40" s="2053" t="str">
        <f t="shared" si="0"/>
        <v> </v>
      </c>
      <c r="E40" s="2054">
        <f t="shared" si="1"/>
        <v>0</v>
      </c>
      <c r="F40" s="2055" t="str">
        <f t="shared" si="2"/>
        <v/>
      </c>
      <c r="G40" s="2056"/>
      <c r="H40" s="2059"/>
      <c r="I40" s="2059"/>
      <c r="J40" s="2084"/>
      <c r="K40" s="2071"/>
      <c r="L40" s="2071"/>
      <c r="M40" s="2071"/>
      <c r="N40" s="2071"/>
      <c r="O40" s="2071"/>
      <c r="P40" s="2071"/>
      <c r="Q40" s="2071"/>
      <c r="R40" s="2071"/>
      <c r="S40" s="2071"/>
      <c r="T40" s="2071"/>
      <c r="U40" s="2071"/>
      <c r="V40" s="2071"/>
      <c r="W40" s="2071"/>
      <c r="X40" s="2071"/>
      <c r="Y40" s="2071"/>
      <c r="Z40" s="2071"/>
      <c r="AA40" s="2071"/>
      <c r="AB40" s="2071"/>
      <c r="AC40" s="2071"/>
      <c r="AD40" s="2071"/>
      <c r="AE40" s="2071"/>
      <c r="AF40" s="2071"/>
      <c r="AG40" s="2071"/>
      <c r="AH40" s="2071"/>
      <c r="AI40" s="2071"/>
      <c r="AJ40" s="2071"/>
      <c r="AK40" s="2071"/>
      <c r="AL40" s="2071"/>
      <c r="AM40" s="2071"/>
      <c r="AN40" s="2071"/>
      <c r="AO40" s="2071"/>
      <c r="AP40" s="2071"/>
      <c r="AQ40" s="2071"/>
      <c r="AR40" s="2071"/>
      <c r="AS40" s="2071"/>
      <c r="AT40" s="2071"/>
      <c r="AU40" s="2071"/>
      <c r="AV40" s="2071"/>
      <c r="AW40" s="2071"/>
      <c r="AX40" s="2071"/>
      <c r="AY40" s="2071"/>
      <c r="AZ40" s="2071"/>
      <c r="BA40" s="2071"/>
      <c r="BB40" s="2071"/>
      <c r="BC40" s="2071"/>
      <c r="BD40" s="2071"/>
      <c r="BE40" s="2071"/>
      <c r="BF40" s="2071"/>
      <c r="BG40" s="2071"/>
      <c r="BH40" s="2071"/>
      <c r="BI40" s="2071"/>
      <c r="BJ40" s="2071"/>
      <c r="BK40" s="2071"/>
      <c r="BL40" s="2071"/>
      <c r="BM40" s="2071"/>
      <c r="BN40" s="2071"/>
      <c r="BO40" s="2071"/>
      <c r="BP40" s="2071"/>
      <c r="BQ40" s="2071"/>
      <c r="BR40" s="2071"/>
      <c r="BS40" s="2071"/>
      <c r="BT40" s="2071"/>
      <c r="BU40" s="2071"/>
      <c r="BV40" s="2071"/>
      <c r="BW40" s="2071"/>
      <c r="BX40" s="2071"/>
      <c r="BY40" s="2071"/>
      <c r="BZ40" s="2071"/>
      <c r="CA40" s="2071"/>
      <c r="CB40" s="2071"/>
      <c r="CC40" s="2071"/>
      <c r="CD40" s="2071"/>
      <c r="CE40" s="2071"/>
      <c r="CF40" s="2071"/>
      <c r="CG40" s="2071"/>
      <c r="CH40" s="2071"/>
      <c r="CI40" s="2071"/>
      <c r="CJ40" s="2071"/>
      <c r="CK40" s="2071"/>
      <c r="CL40" s="2071"/>
      <c r="CM40" s="2071"/>
      <c r="CN40" s="2071"/>
      <c r="CO40" s="2071"/>
      <c r="CP40" s="2071"/>
      <c r="CQ40" s="2071"/>
      <c r="CR40" s="2071"/>
      <c r="CS40" s="2071"/>
      <c r="CT40" s="2071"/>
      <c r="CU40" s="2071"/>
      <c r="CV40" s="2071"/>
      <c r="CW40" s="2071"/>
      <c r="CX40" s="2071"/>
      <c r="CY40" s="2071"/>
      <c r="CZ40" s="2071"/>
      <c r="DA40" s="2071"/>
      <c r="DB40" s="2071"/>
      <c r="DC40" s="2071"/>
      <c r="DD40" s="2071"/>
      <c r="DE40" s="2071"/>
      <c r="DF40" s="2071"/>
      <c r="DG40" s="2071"/>
      <c r="DH40" s="2071"/>
      <c r="DI40" s="2071"/>
      <c r="DJ40" s="2071"/>
      <c r="DK40" s="2071"/>
      <c r="DL40" s="2071"/>
      <c r="DM40" s="2071"/>
      <c r="DN40" s="2071"/>
      <c r="DO40" s="2071"/>
      <c r="DP40" s="2071"/>
      <c r="DQ40" s="2071"/>
      <c r="DR40" s="2071"/>
      <c r="DS40" s="2071"/>
      <c r="DT40" s="2071"/>
      <c r="DU40" s="2071"/>
      <c r="DV40" s="2071"/>
      <c r="DW40" s="2071"/>
      <c r="DX40" s="2071"/>
      <c r="DY40" s="2071"/>
      <c r="DZ40" s="2071"/>
      <c r="EA40" s="2071"/>
      <c r="EB40" s="2071"/>
      <c r="EC40" s="2071"/>
      <c r="ED40" s="2071"/>
      <c r="EE40" s="2071"/>
      <c r="EF40" s="2071"/>
      <c r="EG40" s="2071"/>
      <c r="EH40" s="2071"/>
      <c r="EI40" s="2071"/>
      <c r="EJ40" s="2071"/>
      <c r="EK40" s="2071"/>
      <c r="EL40" s="2071"/>
      <c r="EM40" s="2071"/>
      <c r="EN40" s="2071"/>
      <c r="EO40" s="2071"/>
      <c r="EP40" s="2071"/>
      <c r="EQ40" s="2071"/>
      <c r="ER40" s="2071"/>
      <c r="ES40" s="2071"/>
      <c r="ET40" s="2071"/>
      <c r="EU40" s="2071"/>
      <c r="EV40" s="2071"/>
      <c r="EW40" s="2071"/>
      <c r="EX40" s="2071"/>
      <c r="EY40" s="2071"/>
      <c r="EZ40" s="2071"/>
      <c r="FA40" s="2071"/>
      <c r="FB40" s="2071"/>
      <c r="FC40" s="2071"/>
      <c r="FD40" s="2071"/>
      <c r="FE40" s="2071"/>
      <c r="FF40" s="2071"/>
      <c r="FG40" s="2071"/>
      <c r="FH40" s="2071"/>
      <c r="FI40" s="2071"/>
      <c r="FJ40" s="2071"/>
      <c r="FK40" s="2071"/>
      <c r="FL40" s="2071"/>
      <c r="FM40" s="2071"/>
      <c r="FN40" s="2071"/>
      <c r="FO40" s="2071"/>
      <c r="FP40" s="2071"/>
      <c r="FQ40" s="2071"/>
      <c r="FR40" s="2071"/>
      <c r="FS40" s="2071"/>
      <c r="FT40" s="2071"/>
      <c r="FU40" s="2071"/>
      <c r="FV40" s="2071"/>
      <c r="FW40" s="2071"/>
      <c r="FX40" s="2071"/>
      <c r="FY40" s="2071"/>
      <c r="FZ40" s="2071"/>
      <c r="GA40" s="2071"/>
      <c r="GB40" s="2071"/>
      <c r="GC40" s="2071"/>
      <c r="GD40" s="2071"/>
      <c r="GE40" s="2071"/>
      <c r="GF40" s="2071"/>
      <c r="GG40" s="2071"/>
      <c r="GH40" s="2071"/>
      <c r="GI40" s="2071"/>
      <c r="GJ40" s="2071"/>
      <c r="GK40" s="2071"/>
      <c r="GL40" s="2071"/>
      <c r="GM40" s="2071"/>
      <c r="GN40" s="2071"/>
      <c r="GO40" s="2071"/>
      <c r="GP40" s="2071"/>
      <c r="GQ40" s="2071"/>
      <c r="GR40" s="2071"/>
      <c r="GS40" s="2071"/>
      <c r="GT40" s="2071"/>
      <c r="GU40" s="2071"/>
      <c r="GV40" s="2071"/>
      <c r="GW40" s="2071"/>
      <c r="GX40" s="2071"/>
      <c r="GY40" s="2071"/>
      <c r="GZ40" s="2071"/>
      <c r="HA40" s="2071"/>
      <c r="HB40" s="2071"/>
      <c r="HC40" s="2071"/>
      <c r="HD40" s="2071"/>
      <c r="HE40" s="2071"/>
      <c r="HF40" s="2071"/>
      <c r="HG40" s="2071"/>
      <c r="HH40" s="2071"/>
      <c r="HI40" s="2071"/>
      <c r="HJ40" s="2071"/>
      <c r="HK40" s="2071"/>
      <c r="HL40" s="2071"/>
      <c r="HM40" s="2071"/>
      <c r="HN40" s="2071"/>
      <c r="HO40" s="2071"/>
      <c r="HP40" s="2071"/>
      <c r="HQ40" s="2071"/>
      <c r="HR40" s="2071"/>
      <c r="HS40" s="2071"/>
      <c r="HT40" s="2071"/>
      <c r="HU40" s="2071"/>
      <c r="HV40" s="2071"/>
      <c r="HW40" s="2071"/>
      <c r="HX40" s="2071"/>
      <c r="HY40" s="2071"/>
      <c r="HZ40" s="2071"/>
      <c r="IA40" s="2071"/>
      <c r="IB40" s="2071"/>
      <c r="IC40" s="2071"/>
      <c r="ID40" s="2071"/>
      <c r="IE40" s="2071"/>
      <c r="IF40" s="2071"/>
      <c r="IG40" s="2071"/>
      <c r="IH40" s="2071"/>
      <c r="II40" s="2071"/>
      <c r="IJ40" s="2071"/>
      <c r="IK40" s="2071"/>
      <c r="IL40" s="2071"/>
      <c r="IM40" s="2071"/>
      <c r="IN40" s="2071"/>
    </row>
    <row r="41" spans="1:248">
      <c r="A41" s="2051"/>
      <c r="B41" s="2052">
        <f>审定资负表!C43</f>
        <v>0</v>
      </c>
      <c r="C41" s="2052">
        <f>审定资负表!D43</f>
        <v>0</v>
      </c>
      <c r="D41" s="2053" t="str">
        <f t="shared" si="0"/>
        <v> </v>
      </c>
      <c r="E41" s="2054">
        <f t="shared" si="1"/>
        <v>0</v>
      </c>
      <c r="F41" s="2055" t="str">
        <f t="shared" si="2"/>
        <v/>
      </c>
      <c r="G41" s="2056"/>
      <c r="H41" s="2059"/>
      <c r="I41" s="2059"/>
      <c r="J41" s="2084"/>
      <c r="K41" s="2071"/>
      <c r="L41" s="2071"/>
      <c r="M41" s="2071"/>
      <c r="N41" s="2071"/>
      <c r="O41" s="2071"/>
      <c r="P41" s="2071"/>
      <c r="Q41" s="2071"/>
      <c r="R41" s="2071"/>
      <c r="S41" s="2071"/>
      <c r="T41" s="2071"/>
      <c r="U41" s="2071"/>
      <c r="V41" s="2071"/>
      <c r="W41" s="2071"/>
      <c r="X41" s="2071"/>
      <c r="Y41" s="2071"/>
      <c r="Z41" s="2071"/>
      <c r="AA41" s="2071"/>
      <c r="AB41" s="2071"/>
      <c r="AC41" s="2071"/>
      <c r="AD41" s="2071"/>
      <c r="AE41" s="2071"/>
      <c r="AF41" s="2071"/>
      <c r="AG41" s="2071"/>
      <c r="AH41" s="2071"/>
      <c r="AI41" s="2071"/>
      <c r="AJ41" s="2071"/>
      <c r="AK41" s="2071"/>
      <c r="AL41" s="2071"/>
      <c r="AM41" s="2071"/>
      <c r="AN41" s="2071"/>
      <c r="AO41" s="2071"/>
      <c r="AP41" s="2071"/>
      <c r="AQ41" s="2071"/>
      <c r="AR41" s="2071"/>
      <c r="AS41" s="2071"/>
      <c r="AT41" s="2071"/>
      <c r="AU41" s="2071"/>
      <c r="AV41" s="2071"/>
      <c r="AW41" s="2071"/>
      <c r="AX41" s="2071"/>
      <c r="AY41" s="2071"/>
      <c r="AZ41" s="2071"/>
      <c r="BA41" s="2071"/>
      <c r="BB41" s="2071"/>
      <c r="BC41" s="2071"/>
      <c r="BD41" s="2071"/>
      <c r="BE41" s="2071"/>
      <c r="BF41" s="2071"/>
      <c r="BG41" s="2071"/>
      <c r="BH41" s="2071"/>
      <c r="BI41" s="2071"/>
      <c r="BJ41" s="2071"/>
      <c r="BK41" s="2071"/>
      <c r="BL41" s="2071"/>
      <c r="BM41" s="2071"/>
      <c r="BN41" s="2071"/>
      <c r="BO41" s="2071"/>
      <c r="BP41" s="2071"/>
      <c r="BQ41" s="2071"/>
      <c r="BR41" s="2071"/>
      <c r="BS41" s="2071"/>
      <c r="BT41" s="2071"/>
      <c r="BU41" s="2071"/>
      <c r="BV41" s="2071"/>
      <c r="BW41" s="2071"/>
      <c r="BX41" s="2071"/>
      <c r="BY41" s="2071"/>
      <c r="BZ41" s="2071"/>
      <c r="CA41" s="2071"/>
      <c r="CB41" s="2071"/>
      <c r="CC41" s="2071"/>
      <c r="CD41" s="2071"/>
      <c r="CE41" s="2071"/>
      <c r="CF41" s="2071"/>
      <c r="CG41" s="2071"/>
      <c r="CH41" s="2071"/>
      <c r="CI41" s="2071"/>
      <c r="CJ41" s="2071"/>
      <c r="CK41" s="2071"/>
      <c r="CL41" s="2071"/>
      <c r="CM41" s="2071"/>
      <c r="CN41" s="2071"/>
      <c r="CO41" s="2071"/>
      <c r="CP41" s="2071"/>
      <c r="CQ41" s="2071"/>
      <c r="CR41" s="2071"/>
      <c r="CS41" s="2071"/>
      <c r="CT41" s="2071"/>
      <c r="CU41" s="2071"/>
      <c r="CV41" s="2071"/>
      <c r="CW41" s="2071"/>
      <c r="CX41" s="2071"/>
      <c r="CY41" s="2071"/>
      <c r="CZ41" s="2071"/>
      <c r="DA41" s="2071"/>
      <c r="DB41" s="2071"/>
      <c r="DC41" s="2071"/>
      <c r="DD41" s="2071"/>
      <c r="DE41" s="2071"/>
      <c r="DF41" s="2071"/>
      <c r="DG41" s="2071"/>
      <c r="DH41" s="2071"/>
      <c r="DI41" s="2071"/>
      <c r="DJ41" s="2071"/>
      <c r="DK41" s="2071"/>
      <c r="DL41" s="2071"/>
      <c r="DM41" s="2071"/>
      <c r="DN41" s="2071"/>
      <c r="DO41" s="2071"/>
      <c r="DP41" s="2071"/>
      <c r="DQ41" s="2071"/>
      <c r="DR41" s="2071"/>
      <c r="DS41" s="2071"/>
      <c r="DT41" s="2071"/>
      <c r="DU41" s="2071"/>
      <c r="DV41" s="2071"/>
      <c r="DW41" s="2071"/>
      <c r="DX41" s="2071"/>
      <c r="DY41" s="2071"/>
      <c r="DZ41" s="2071"/>
      <c r="EA41" s="2071"/>
      <c r="EB41" s="2071"/>
      <c r="EC41" s="2071"/>
      <c r="ED41" s="2071"/>
      <c r="EE41" s="2071"/>
      <c r="EF41" s="2071"/>
      <c r="EG41" s="2071"/>
      <c r="EH41" s="2071"/>
      <c r="EI41" s="2071"/>
      <c r="EJ41" s="2071"/>
      <c r="EK41" s="2071"/>
      <c r="EL41" s="2071"/>
      <c r="EM41" s="2071"/>
      <c r="EN41" s="2071"/>
      <c r="EO41" s="2071"/>
      <c r="EP41" s="2071"/>
      <c r="EQ41" s="2071"/>
      <c r="ER41" s="2071"/>
      <c r="ES41" s="2071"/>
      <c r="ET41" s="2071"/>
      <c r="EU41" s="2071"/>
      <c r="EV41" s="2071"/>
      <c r="EW41" s="2071"/>
      <c r="EX41" s="2071"/>
      <c r="EY41" s="2071"/>
      <c r="EZ41" s="2071"/>
      <c r="FA41" s="2071"/>
      <c r="FB41" s="2071"/>
      <c r="FC41" s="2071"/>
      <c r="FD41" s="2071"/>
      <c r="FE41" s="2071"/>
      <c r="FF41" s="2071"/>
      <c r="FG41" s="2071"/>
      <c r="FH41" s="2071"/>
      <c r="FI41" s="2071"/>
      <c r="FJ41" s="2071"/>
      <c r="FK41" s="2071"/>
      <c r="FL41" s="2071"/>
      <c r="FM41" s="2071"/>
      <c r="FN41" s="2071"/>
      <c r="FO41" s="2071"/>
      <c r="FP41" s="2071"/>
      <c r="FQ41" s="2071"/>
      <c r="FR41" s="2071"/>
      <c r="FS41" s="2071"/>
      <c r="FT41" s="2071"/>
      <c r="FU41" s="2071"/>
      <c r="FV41" s="2071"/>
      <c r="FW41" s="2071"/>
      <c r="FX41" s="2071"/>
      <c r="FY41" s="2071"/>
      <c r="FZ41" s="2071"/>
      <c r="GA41" s="2071"/>
      <c r="GB41" s="2071"/>
      <c r="GC41" s="2071"/>
      <c r="GD41" s="2071"/>
      <c r="GE41" s="2071"/>
      <c r="GF41" s="2071"/>
      <c r="GG41" s="2071"/>
      <c r="GH41" s="2071"/>
      <c r="GI41" s="2071"/>
      <c r="GJ41" s="2071"/>
      <c r="GK41" s="2071"/>
      <c r="GL41" s="2071"/>
      <c r="GM41" s="2071"/>
      <c r="GN41" s="2071"/>
      <c r="GO41" s="2071"/>
      <c r="GP41" s="2071"/>
      <c r="GQ41" s="2071"/>
      <c r="GR41" s="2071"/>
      <c r="GS41" s="2071"/>
      <c r="GT41" s="2071"/>
      <c r="GU41" s="2071"/>
      <c r="GV41" s="2071"/>
      <c r="GW41" s="2071"/>
      <c r="GX41" s="2071"/>
      <c r="GY41" s="2071"/>
      <c r="GZ41" s="2071"/>
      <c r="HA41" s="2071"/>
      <c r="HB41" s="2071"/>
      <c r="HC41" s="2071"/>
      <c r="HD41" s="2071"/>
      <c r="HE41" s="2071"/>
      <c r="HF41" s="2071"/>
      <c r="HG41" s="2071"/>
      <c r="HH41" s="2071"/>
      <c r="HI41" s="2071"/>
      <c r="HJ41" s="2071"/>
      <c r="HK41" s="2071"/>
      <c r="HL41" s="2071"/>
      <c r="HM41" s="2071"/>
      <c r="HN41" s="2071"/>
      <c r="HO41" s="2071"/>
      <c r="HP41" s="2071"/>
      <c r="HQ41" s="2071"/>
      <c r="HR41" s="2071"/>
      <c r="HS41" s="2071"/>
      <c r="HT41" s="2071"/>
      <c r="HU41" s="2071"/>
      <c r="HV41" s="2071"/>
      <c r="HW41" s="2071"/>
      <c r="HX41" s="2071"/>
      <c r="HY41" s="2071"/>
      <c r="HZ41" s="2071"/>
      <c r="IA41" s="2071"/>
      <c r="IB41" s="2071"/>
      <c r="IC41" s="2071"/>
      <c r="ID41" s="2071"/>
      <c r="IE41" s="2071"/>
      <c r="IF41" s="2071"/>
      <c r="IG41" s="2071"/>
      <c r="IH41" s="2071"/>
      <c r="II41" s="2071"/>
      <c r="IJ41" s="2071"/>
      <c r="IK41" s="2071"/>
      <c r="IL41" s="2071"/>
      <c r="IM41" s="2071"/>
      <c r="IN41" s="2071"/>
    </row>
    <row r="42" spans="1:248">
      <c r="A42" s="2051"/>
      <c r="B42" s="2052">
        <f>审定资负表!C44</f>
        <v>0</v>
      </c>
      <c r="C42" s="2052">
        <f>审定资负表!D44</f>
        <v>0</v>
      </c>
      <c r="D42" s="2053" t="str">
        <f t="shared" si="0"/>
        <v> </v>
      </c>
      <c r="E42" s="2054">
        <f t="shared" si="1"/>
        <v>0</v>
      </c>
      <c r="F42" s="2055" t="str">
        <f t="shared" si="2"/>
        <v/>
      </c>
      <c r="G42" s="2056"/>
      <c r="H42" s="2059"/>
      <c r="I42" s="2059"/>
      <c r="J42" s="2084"/>
      <c r="K42" s="2071"/>
      <c r="L42" s="2071"/>
      <c r="M42" s="2071"/>
      <c r="N42" s="2071"/>
      <c r="O42" s="2071"/>
      <c r="P42" s="2071"/>
      <c r="Q42" s="2071"/>
      <c r="R42" s="2071"/>
      <c r="S42" s="2071"/>
      <c r="T42" s="2071"/>
      <c r="U42" s="2071"/>
      <c r="V42" s="2071"/>
      <c r="W42" s="2071"/>
      <c r="X42" s="2071"/>
      <c r="Y42" s="2071"/>
      <c r="Z42" s="2071"/>
      <c r="AA42" s="2071"/>
      <c r="AB42" s="2071"/>
      <c r="AC42" s="2071"/>
      <c r="AD42" s="2071"/>
      <c r="AE42" s="2071"/>
      <c r="AF42" s="2071"/>
      <c r="AG42" s="2071"/>
      <c r="AH42" s="2071"/>
      <c r="AI42" s="2071"/>
      <c r="AJ42" s="2071"/>
      <c r="AK42" s="2071"/>
      <c r="AL42" s="2071"/>
      <c r="AM42" s="2071"/>
      <c r="AN42" s="2071"/>
      <c r="AO42" s="2071"/>
      <c r="AP42" s="2071"/>
      <c r="AQ42" s="2071"/>
      <c r="AR42" s="2071"/>
      <c r="AS42" s="2071"/>
      <c r="AT42" s="2071"/>
      <c r="AU42" s="2071"/>
      <c r="AV42" s="2071"/>
      <c r="AW42" s="2071"/>
      <c r="AX42" s="2071"/>
      <c r="AY42" s="2071"/>
      <c r="AZ42" s="2071"/>
      <c r="BA42" s="2071"/>
      <c r="BB42" s="2071"/>
      <c r="BC42" s="2071"/>
      <c r="BD42" s="2071"/>
      <c r="BE42" s="2071"/>
      <c r="BF42" s="2071"/>
      <c r="BG42" s="2071"/>
      <c r="BH42" s="2071"/>
      <c r="BI42" s="2071"/>
      <c r="BJ42" s="2071"/>
      <c r="BK42" s="2071"/>
      <c r="BL42" s="2071"/>
      <c r="BM42" s="2071"/>
      <c r="BN42" s="2071"/>
      <c r="BO42" s="2071"/>
      <c r="BP42" s="2071"/>
      <c r="BQ42" s="2071"/>
      <c r="BR42" s="2071"/>
      <c r="BS42" s="2071"/>
      <c r="BT42" s="2071"/>
      <c r="BU42" s="2071"/>
      <c r="BV42" s="2071"/>
      <c r="BW42" s="2071"/>
      <c r="BX42" s="2071"/>
      <c r="BY42" s="2071"/>
      <c r="BZ42" s="2071"/>
      <c r="CA42" s="2071"/>
      <c r="CB42" s="2071"/>
      <c r="CC42" s="2071"/>
      <c r="CD42" s="2071"/>
      <c r="CE42" s="2071"/>
      <c r="CF42" s="2071"/>
      <c r="CG42" s="2071"/>
      <c r="CH42" s="2071"/>
      <c r="CI42" s="2071"/>
      <c r="CJ42" s="2071"/>
      <c r="CK42" s="2071"/>
      <c r="CL42" s="2071"/>
      <c r="CM42" s="2071"/>
      <c r="CN42" s="2071"/>
      <c r="CO42" s="2071"/>
      <c r="CP42" s="2071"/>
      <c r="CQ42" s="2071"/>
      <c r="CR42" s="2071"/>
      <c r="CS42" s="2071"/>
      <c r="CT42" s="2071"/>
      <c r="CU42" s="2071"/>
      <c r="CV42" s="2071"/>
      <c r="CW42" s="2071"/>
      <c r="CX42" s="2071"/>
      <c r="CY42" s="2071"/>
      <c r="CZ42" s="2071"/>
      <c r="DA42" s="2071"/>
      <c r="DB42" s="2071"/>
      <c r="DC42" s="2071"/>
      <c r="DD42" s="2071"/>
      <c r="DE42" s="2071"/>
      <c r="DF42" s="2071"/>
      <c r="DG42" s="2071"/>
      <c r="DH42" s="2071"/>
      <c r="DI42" s="2071"/>
      <c r="DJ42" s="2071"/>
      <c r="DK42" s="2071"/>
      <c r="DL42" s="2071"/>
      <c r="DM42" s="2071"/>
      <c r="DN42" s="2071"/>
      <c r="DO42" s="2071"/>
      <c r="DP42" s="2071"/>
      <c r="DQ42" s="2071"/>
      <c r="DR42" s="2071"/>
      <c r="DS42" s="2071"/>
      <c r="DT42" s="2071"/>
      <c r="DU42" s="2071"/>
      <c r="DV42" s="2071"/>
      <c r="DW42" s="2071"/>
      <c r="DX42" s="2071"/>
      <c r="DY42" s="2071"/>
      <c r="DZ42" s="2071"/>
      <c r="EA42" s="2071"/>
      <c r="EB42" s="2071"/>
      <c r="EC42" s="2071"/>
      <c r="ED42" s="2071"/>
      <c r="EE42" s="2071"/>
      <c r="EF42" s="2071"/>
      <c r="EG42" s="2071"/>
      <c r="EH42" s="2071"/>
      <c r="EI42" s="2071"/>
      <c r="EJ42" s="2071"/>
      <c r="EK42" s="2071"/>
      <c r="EL42" s="2071"/>
      <c r="EM42" s="2071"/>
      <c r="EN42" s="2071"/>
      <c r="EO42" s="2071"/>
      <c r="EP42" s="2071"/>
      <c r="EQ42" s="2071"/>
      <c r="ER42" s="2071"/>
      <c r="ES42" s="2071"/>
      <c r="ET42" s="2071"/>
      <c r="EU42" s="2071"/>
      <c r="EV42" s="2071"/>
      <c r="EW42" s="2071"/>
      <c r="EX42" s="2071"/>
      <c r="EY42" s="2071"/>
      <c r="EZ42" s="2071"/>
      <c r="FA42" s="2071"/>
      <c r="FB42" s="2071"/>
      <c r="FC42" s="2071"/>
      <c r="FD42" s="2071"/>
      <c r="FE42" s="2071"/>
      <c r="FF42" s="2071"/>
      <c r="FG42" s="2071"/>
      <c r="FH42" s="2071"/>
      <c r="FI42" s="2071"/>
      <c r="FJ42" s="2071"/>
      <c r="FK42" s="2071"/>
      <c r="FL42" s="2071"/>
      <c r="FM42" s="2071"/>
      <c r="FN42" s="2071"/>
      <c r="FO42" s="2071"/>
      <c r="FP42" s="2071"/>
      <c r="FQ42" s="2071"/>
      <c r="FR42" s="2071"/>
      <c r="FS42" s="2071"/>
      <c r="FT42" s="2071"/>
      <c r="FU42" s="2071"/>
      <c r="FV42" s="2071"/>
      <c r="FW42" s="2071"/>
      <c r="FX42" s="2071"/>
      <c r="FY42" s="2071"/>
      <c r="FZ42" s="2071"/>
      <c r="GA42" s="2071"/>
      <c r="GB42" s="2071"/>
      <c r="GC42" s="2071"/>
      <c r="GD42" s="2071"/>
      <c r="GE42" s="2071"/>
      <c r="GF42" s="2071"/>
      <c r="GG42" s="2071"/>
      <c r="GH42" s="2071"/>
      <c r="GI42" s="2071"/>
      <c r="GJ42" s="2071"/>
      <c r="GK42" s="2071"/>
      <c r="GL42" s="2071"/>
      <c r="GM42" s="2071"/>
      <c r="GN42" s="2071"/>
      <c r="GO42" s="2071"/>
      <c r="GP42" s="2071"/>
      <c r="GQ42" s="2071"/>
      <c r="GR42" s="2071"/>
      <c r="GS42" s="2071"/>
      <c r="GT42" s="2071"/>
      <c r="GU42" s="2071"/>
      <c r="GV42" s="2071"/>
      <c r="GW42" s="2071"/>
      <c r="GX42" s="2071"/>
      <c r="GY42" s="2071"/>
      <c r="GZ42" s="2071"/>
      <c r="HA42" s="2071"/>
      <c r="HB42" s="2071"/>
      <c r="HC42" s="2071"/>
      <c r="HD42" s="2071"/>
      <c r="HE42" s="2071"/>
      <c r="HF42" s="2071"/>
      <c r="HG42" s="2071"/>
      <c r="HH42" s="2071"/>
      <c r="HI42" s="2071"/>
      <c r="HJ42" s="2071"/>
      <c r="HK42" s="2071"/>
      <c r="HL42" s="2071"/>
      <c r="HM42" s="2071"/>
      <c r="HN42" s="2071"/>
      <c r="HO42" s="2071"/>
      <c r="HP42" s="2071"/>
      <c r="HQ42" s="2071"/>
      <c r="HR42" s="2071"/>
      <c r="HS42" s="2071"/>
      <c r="HT42" s="2071"/>
      <c r="HU42" s="2071"/>
      <c r="HV42" s="2071"/>
      <c r="HW42" s="2071"/>
      <c r="HX42" s="2071"/>
      <c r="HY42" s="2071"/>
      <c r="HZ42" s="2071"/>
      <c r="IA42" s="2071"/>
      <c r="IB42" s="2071"/>
      <c r="IC42" s="2071"/>
      <c r="ID42" s="2071"/>
      <c r="IE42" s="2071"/>
      <c r="IF42" s="2071"/>
      <c r="IG42" s="2071"/>
      <c r="IH42" s="2071"/>
      <c r="II42" s="2071"/>
      <c r="IJ42" s="2071"/>
      <c r="IK42" s="2071"/>
      <c r="IL42" s="2071"/>
      <c r="IM42" s="2071"/>
      <c r="IN42" s="2071"/>
    </row>
    <row r="43" spans="1:248">
      <c r="A43" s="2051"/>
      <c r="B43" s="2052">
        <f>审定资负表!C45</f>
        <v>0</v>
      </c>
      <c r="C43" s="2052">
        <f>审定资负表!D45</f>
        <v>0</v>
      </c>
      <c r="D43" s="2053" t="str">
        <f t="shared" si="0"/>
        <v> </v>
      </c>
      <c r="E43" s="2054">
        <f t="shared" si="1"/>
        <v>0</v>
      </c>
      <c r="F43" s="2055" t="str">
        <f t="shared" si="2"/>
        <v/>
      </c>
      <c r="G43" s="2056"/>
      <c r="H43" s="2059"/>
      <c r="I43" s="2059"/>
      <c r="J43" s="2084"/>
      <c r="K43" s="2071"/>
      <c r="L43" s="2071"/>
      <c r="M43" s="2071"/>
      <c r="N43" s="2071"/>
      <c r="O43" s="2071"/>
      <c r="P43" s="2071"/>
      <c r="Q43" s="2071"/>
      <c r="R43" s="2071"/>
      <c r="S43" s="2071"/>
      <c r="T43" s="2071"/>
      <c r="U43" s="2071"/>
      <c r="V43" s="2071"/>
      <c r="W43" s="2071"/>
      <c r="X43" s="2071"/>
      <c r="Y43" s="2071"/>
      <c r="Z43" s="2071"/>
      <c r="AA43" s="2071"/>
      <c r="AB43" s="2071"/>
      <c r="AC43" s="2071"/>
      <c r="AD43" s="2071"/>
      <c r="AE43" s="2071"/>
      <c r="AF43" s="2071"/>
      <c r="AG43" s="2071"/>
      <c r="AH43" s="2071"/>
      <c r="AI43" s="2071"/>
      <c r="AJ43" s="2071"/>
      <c r="AK43" s="2071"/>
      <c r="AL43" s="2071"/>
      <c r="AM43" s="2071"/>
      <c r="AN43" s="2071"/>
      <c r="AO43" s="2071"/>
      <c r="AP43" s="2071"/>
      <c r="AQ43" s="2071"/>
      <c r="AR43" s="2071"/>
      <c r="AS43" s="2071"/>
      <c r="AT43" s="2071"/>
      <c r="AU43" s="2071"/>
      <c r="AV43" s="2071"/>
      <c r="AW43" s="2071"/>
      <c r="AX43" s="2071"/>
      <c r="AY43" s="2071"/>
      <c r="AZ43" s="2071"/>
      <c r="BA43" s="2071"/>
      <c r="BB43" s="2071"/>
      <c r="BC43" s="2071"/>
      <c r="BD43" s="2071"/>
      <c r="BE43" s="2071"/>
      <c r="BF43" s="2071"/>
      <c r="BG43" s="2071"/>
      <c r="BH43" s="2071"/>
      <c r="BI43" s="2071"/>
      <c r="BJ43" s="2071"/>
      <c r="BK43" s="2071"/>
      <c r="BL43" s="2071"/>
      <c r="BM43" s="2071"/>
      <c r="BN43" s="2071"/>
      <c r="BO43" s="2071"/>
      <c r="BP43" s="2071"/>
      <c r="BQ43" s="2071"/>
      <c r="BR43" s="2071"/>
      <c r="BS43" s="2071"/>
      <c r="BT43" s="2071"/>
      <c r="BU43" s="2071"/>
      <c r="BV43" s="2071"/>
      <c r="BW43" s="2071"/>
      <c r="BX43" s="2071"/>
      <c r="BY43" s="2071"/>
      <c r="BZ43" s="2071"/>
      <c r="CA43" s="2071"/>
      <c r="CB43" s="2071"/>
      <c r="CC43" s="2071"/>
      <c r="CD43" s="2071"/>
      <c r="CE43" s="2071"/>
      <c r="CF43" s="2071"/>
      <c r="CG43" s="2071"/>
      <c r="CH43" s="2071"/>
      <c r="CI43" s="2071"/>
      <c r="CJ43" s="2071"/>
      <c r="CK43" s="2071"/>
      <c r="CL43" s="2071"/>
      <c r="CM43" s="2071"/>
      <c r="CN43" s="2071"/>
      <c r="CO43" s="2071"/>
      <c r="CP43" s="2071"/>
      <c r="CQ43" s="2071"/>
      <c r="CR43" s="2071"/>
      <c r="CS43" s="2071"/>
      <c r="CT43" s="2071"/>
      <c r="CU43" s="2071"/>
      <c r="CV43" s="2071"/>
      <c r="CW43" s="2071"/>
      <c r="CX43" s="2071"/>
      <c r="CY43" s="2071"/>
      <c r="CZ43" s="2071"/>
      <c r="DA43" s="2071"/>
      <c r="DB43" s="2071"/>
      <c r="DC43" s="2071"/>
      <c r="DD43" s="2071"/>
      <c r="DE43" s="2071"/>
      <c r="DF43" s="2071"/>
      <c r="DG43" s="2071"/>
      <c r="DH43" s="2071"/>
      <c r="DI43" s="2071"/>
      <c r="DJ43" s="2071"/>
      <c r="DK43" s="2071"/>
      <c r="DL43" s="2071"/>
      <c r="DM43" s="2071"/>
      <c r="DN43" s="2071"/>
      <c r="DO43" s="2071"/>
      <c r="DP43" s="2071"/>
      <c r="DQ43" s="2071"/>
      <c r="DR43" s="2071"/>
      <c r="DS43" s="2071"/>
      <c r="DT43" s="2071"/>
      <c r="DU43" s="2071"/>
      <c r="DV43" s="2071"/>
      <c r="DW43" s="2071"/>
      <c r="DX43" s="2071"/>
      <c r="DY43" s="2071"/>
      <c r="DZ43" s="2071"/>
      <c r="EA43" s="2071"/>
      <c r="EB43" s="2071"/>
      <c r="EC43" s="2071"/>
      <c r="ED43" s="2071"/>
      <c r="EE43" s="2071"/>
      <c r="EF43" s="2071"/>
      <c r="EG43" s="2071"/>
      <c r="EH43" s="2071"/>
      <c r="EI43" s="2071"/>
      <c r="EJ43" s="2071"/>
      <c r="EK43" s="2071"/>
      <c r="EL43" s="2071"/>
      <c r="EM43" s="2071"/>
      <c r="EN43" s="2071"/>
      <c r="EO43" s="2071"/>
      <c r="EP43" s="2071"/>
      <c r="EQ43" s="2071"/>
      <c r="ER43" s="2071"/>
      <c r="ES43" s="2071"/>
      <c r="ET43" s="2071"/>
      <c r="EU43" s="2071"/>
      <c r="EV43" s="2071"/>
      <c r="EW43" s="2071"/>
      <c r="EX43" s="2071"/>
      <c r="EY43" s="2071"/>
      <c r="EZ43" s="2071"/>
      <c r="FA43" s="2071"/>
      <c r="FB43" s="2071"/>
      <c r="FC43" s="2071"/>
      <c r="FD43" s="2071"/>
      <c r="FE43" s="2071"/>
      <c r="FF43" s="2071"/>
      <c r="FG43" s="2071"/>
      <c r="FH43" s="2071"/>
      <c r="FI43" s="2071"/>
      <c r="FJ43" s="2071"/>
      <c r="FK43" s="2071"/>
      <c r="FL43" s="2071"/>
      <c r="FM43" s="2071"/>
      <c r="FN43" s="2071"/>
      <c r="FO43" s="2071"/>
      <c r="FP43" s="2071"/>
      <c r="FQ43" s="2071"/>
      <c r="FR43" s="2071"/>
      <c r="FS43" s="2071"/>
      <c r="FT43" s="2071"/>
      <c r="FU43" s="2071"/>
      <c r="FV43" s="2071"/>
      <c r="FW43" s="2071"/>
      <c r="FX43" s="2071"/>
      <c r="FY43" s="2071"/>
      <c r="FZ43" s="2071"/>
      <c r="GA43" s="2071"/>
      <c r="GB43" s="2071"/>
      <c r="GC43" s="2071"/>
      <c r="GD43" s="2071"/>
      <c r="GE43" s="2071"/>
      <c r="GF43" s="2071"/>
      <c r="GG43" s="2071"/>
      <c r="GH43" s="2071"/>
      <c r="GI43" s="2071"/>
      <c r="GJ43" s="2071"/>
      <c r="GK43" s="2071"/>
      <c r="GL43" s="2071"/>
      <c r="GM43" s="2071"/>
      <c r="GN43" s="2071"/>
      <c r="GO43" s="2071"/>
      <c r="GP43" s="2071"/>
      <c r="GQ43" s="2071"/>
      <c r="GR43" s="2071"/>
      <c r="GS43" s="2071"/>
      <c r="GT43" s="2071"/>
      <c r="GU43" s="2071"/>
      <c r="GV43" s="2071"/>
      <c r="GW43" s="2071"/>
      <c r="GX43" s="2071"/>
      <c r="GY43" s="2071"/>
      <c r="GZ43" s="2071"/>
      <c r="HA43" s="2071"/>
      <c r="HB43" s="2071"/>
      <c r="HC43" s="2071"/>
      <c r="HD43" s="2071"/>
      <c r="HE43" s="2071"/>
      <c r="HF43" s="2071"/>
      <c r="HG43" s="2071"/>
      <c r="HH43" s="2071"/>
      <c r="HI43" s="2071"/>
      <c r="HJ43" s="2071"/>
      <c r="HK43" s="2071"/>
      <c r="HL43" s="2071"/>
      <c r="HM43" s="2071"/>
      <c r="HN43" s="2071"/>
      <c r="HO43" s="2071"/>
      <c r="HP43" s="2071"/>
      <c r="HQ43" s="2071"/>
      <c r="HR43" s="2071"/>
      <c r="HS43" s="2071"/>
      <c r="HT43" s="2071"/>
      <c r="HU43" s="2071"/>
      <c r="HV43" s="2071"/>
      <c r="HW43" s="2071"/>
      <c r="HX43" s="2071"/>
      <c r="HY43" s="2071"/>
      <c r="HZ43" s="2071"/>
      <c r="IA43" s="2071"/>
      <c r="IB43" s="2071"/>
      <c r="IC43" s="2071"/>
      <c r="ID43" s="2071"/>
      <c r="IE43" s="2071"/>
      <c r="IF43" s="2071"/>
      <c r="IG43" s="2071"/>
      <c r="IH43" s="2071"/>
      <c r="II43" s="2071"/>
      <c r="IJ43" s="2071"/>
      <c r="IK43" s="2071"/>
      <c r="IL43" s="2071"/>
      <c r="IM43" s="2071"/>
      <c r="IN43" s="2071"/>
    </row>
    <row r="44" spans="1:10">
      <c r="A44" s="2051"/>
      <c r="B44" s="2052">
        <f>审定资负表!C46</f>
        <v>0</v>
      </c>
      <c r="C44" s="2052">
        <f>审定资负表!D46</f>
        <v>0</v>
      </c>
      <c r="D44" s="2053" t="str">
        <f t="shared" si="0"/>
        <v> </v>
      </c>
      <c r="E44" s="2054">
        <f t="shared" si="1"/>
        <v>0</v>
      </c>
      <c r="F44" s="2055" t="str">
        <f t="shared" si="2"/>
        <v/>
      </c>
      <c r="G44" s="2056"/>
      <c r="H44" s="2059"/>
      <c r="I44" s="2059"/>
      <c r="J44" s="2084"/>
    </row>
    <row r="45" spans="1:248">
      <c r="A45" s="2051"/>
      <c r="B45" s="2052">
        <f>审定资负表!C47</f>
        <v>0</v>
      </c>
      <c r="C45" s="2052">
        <f>审定资负表!D47</f>
        <v>0</v>
      </c>
      <c r="D45" s="2053" t="str">
        <f t="shared" si="0"/>
        <v> </v>
      </c>
      <c r="E45" s="2054">
        <f t="shared" si="1"/>
        <v>0</v>
      </c>
      <c r="F45" s="2055" t="str">
        <f t="shared" si="2"/>
        <v/>
      </c>
      <c r="G45" s="2056"/>
      <c r="H45" s="2059"/>
      <c r="I45" s="2059"/>
      <c r="J45" s="2084"/>
      <c r="K45" s="2071"/>
      <c r="L45" s="2071"/>
      <c r="M45" s="2071"/>
      <c r="N45" s="2071"/>
      <c r="O45" s="2071"/>
      <c r="P45" s="2071"/>
      <c r="Q45" s="2071"/>
      <c r="R45" s="2071"/>
      <c r="S45" s="2071"/>
      <c r="T45" s="2071"/>
      <c r="U45" s="2071"/>
      <c r="V45" s="2071"/>
      <c r="W45" s="2071"/>
      <c r="X45" s="2071"/>
      <c r="Y45" s="2071"/>
      <c r="Z45" s="2071"/>
      <c r="AA45" s="2071"/>
      <c r="AB45" s="2071"/>
      <c r="AC45" s="2071"/>
      <c r="AD45" s="2071"/>
      <c r="AE45" s="2071"/>
      <c r="AF45" s="2071"/>
      <c r="AG45" s="2071"/>
      <c r="AH45" s="2071"/>
      <c r="AI45" s="2071"/>
      <c r="AJ45" s="2071"/>
      <c r="AK45" s="2071"/>
      <c r="AL45" s="2071"/>
      <c r="AM45" s="2071"/>
      <c r="AN45" s="2071"/>
      <c r="AO45" s="2071"/>
      <c r="AP45" s="2071"/>
      <c r="AQ45" s="2071"/>
      <c r="AR45" s="2071"/>
      <c r="AS45" s="2071"/>
      <c r="AT45" s="2071"/>
      <c r="AU45" s="2071"/>
      <c r="AV45" s="2071"/>
      <c r="AW45" s="2071"/>
      <c r="AX45" s="2071"/>
      <c r="AY45" s="2071"/>
      <c r="AZ45" s="2071"/>
      <c r="BA45" s="2071"/>
      <c r="BB45" s="2071"/>
      <c r="BC45" s="2071"/>
      <c r="BD45" s="2071"/>
      <c r="BE45" s="2071"/>
      <c r="BF45" s="2071"/>
      <c r="BG45" s="2071"/>
      <c r="BH45" s="2071"/>
      <c r="BI45" s="2071"/>
      <c r="BJ45" s="2071"/>
      <c r="BK45" s="2071"/>
      <c r="BL45" s="2071"/>
      <c r="BM45" s="2071"/>
      <c r="BN45" s="2071"/>
      <c r="BO45" s="2071"/>
      <c r="BP45" s="2071"/>
      <c r="BQ45" s="2071"/>
      <c r="BR45" s="2071"/>
      <c r="BS45" s="2071"/>
      <c r="BT45" s="2071"/>
      <c r="BU45" s="2071"/>
      <c r="BV45" s="2071"/>
      <c r="BW45" s="2071"/>
      <c r="BX45" s="2071"/>
      <c r="BY45" s="2071"/>
      <c r="BZ45" s="2071"/>
      <c r="CA45" s="2071"/>
      <c r="CB45" s="2071"/>
      <c r="CC45" s="2071"/>
      <c r="CD45" s="2071"/>
      <c r="CE45" s="2071"/>
      <c r="CF45" s="2071"/>
      <c r="CG45" s="2071"/>
      <c r="CH45" s="2071"/>
      <c r="CI45" s="2071"/>
      <c r="CJ45" s="2071"/>
      <c r="CK45" s="2071"/>
      <c r="CL45" s="2071"/>
      <c r="CM45" s="2071"/>
      <c r="CN45" s="2071"/>
      <c r="CO45" s="2071"/>
      <c r="CP45" s="2071"/>
      <c r="CQ45" s="2071"/>
      <c r="CR45" s="2071"/>
      <c r="CS45" s="2071"/>
      <c r="CT45" s="2071"/>
      <c r="CU45" s="2071"/>
      <c r="CV45" s="2071"/>
      <c r="CW45" s="2071"/>
      <c r="CX45" s="2071"/>
      <c r="CY45" s="2071"/>
      <c r="CZ45" s="2071"/>
      <c r="DA45" s="2071"/>
      <c r="DB45" s="2071"/>
      <c r="DC45" s="2071"/>
      <c r="DD45" s="2071"/>
      <c r="DE45" s="2071"/>
      <c r="DF45" s="2071"/>
      <c r="DG45" s="2071"/>
      <c r="DH45" s="2071"/>
      <c r="DI45" s="2071"/>
      <c r="DJ45" s="2071"/>
      <c r="DK45" s="2071"/>
      <c r="DL45" s="2071"/>
      <c r="DM45" s="2071"/>
      <c r="DN45" s="2071"/>
      <c r="DO45" s="2071"/>
      <c r="DP45" s="2071"/>
      <c r="DQ45" s="2071"/>
      <c r="DR45" s="2071"/>
      <c r="DS45" s="2071"/>
      <c r="DT45" s="2071"/>
      <c r="DU45" s="2071"/>
      <c r="DV45" s="2071"/>
      <c r="DW45" s="2071"/>
      <c r="DX45" s="2071"/>
      <c r="DY45" s="2071"/>
      <c r="DZ45" s="2071"/>
      <c r="EA45" s="2071"/>
      <c r="EB45" s="2071"/>
      <c r="EC45" s="2071"/>
      <c r="ED45" s="2071"/>
      <c r="EE45" s="2071"/>
      <c r="EF45" s="2071"/>
      <c r="EG45" s="2071"/>
      <c r="EH45" s="2071"/>
      <c r="EI45" s="2071"/>
      <c r="EJ45" s="2071"/>
      <c r="EK45" s="2071"/>
      <c r="EL45" s="2071"/>
      <c r="EM45" s="2071"/>
      <c r="EN45" s="2071"/>
      <c r="EO45" s="2071"/>
      <c r="EP45" s="2071"/>
      <c r="EQ45" s="2071"/>
      <c r="ER45" s="2071"/>
      <c r="ES45" s="2071"/>
      <c r="ET45" s="2071"/>
      <c r="EU45" s="2071"/>
      <c r="EV45" s="2071"/>
      <c r="EW45" s="2071"/>
      <c r="EX45" s="2071"/>
      <c r="EY45" s="2071"/>
      <c r="EZ45" s="2071"/>
      <c r="FA45" s="2071"/>
      <c r="FB45" s="2071"/>
      <c r="FC45" s="2071"/>
      <c r="FD45" s="2071"/>
      <c r="FE45" s="2071"/>
      <c r="FF45" s="2071"/>
      <c r="FG45" s="2071"/>
      <c r="FH45" s="2071"/>
      <c r="FI45" s="2071"/>
      <c r="FJ45" s="2071"/>
      <c r="FK45" s="2071"/>
      <c r="FL45" s="2071"/>
      <c r="FM45" s="2071"/>
      <c r="FN45" s="2071"/>
      <c r="FO45" s="2071"/>
      <c r="FP45" s="2071"/>
      <c r="FQ45" s="2071"/>
      <c r="FR45" s="2071"/>
      <c r="FS45" s="2071"/>
      <c r="FT45" s="2071"/>
      <c r="FU45" s="2071"/>
      <c r="FV45" s="2071"/>
      <c r="FW45" s="2071"/>
      <c r="FX45" s="2071"/>
      <c r="FY45" s="2071"/>
      <c r="FZ45" s="2071"/>
      <c r="GA45" s="2071"/>
      <c r="GB45" s="2071"/>
      <c r="GC45" s="2071"/>
      <c r="GD45" s="2071"/>
      <c r="GE45" s="2071"/>
      <c r="GF45" s="2071"/>
      <c r="GG45" s="2071"/>
      <c r="GH45" s="2071"/>
      <c r="GI45" s="2071"/>
      <c r="GJ45" s="2071"/>
      <c r="GK45" s="2071"/>
      <c r="GL45" s="2071"/>
      <c r="GM45" s="2071"/>
      <c r="GN45" s="2071"/>
      <c r="GO45" s="2071"/>
      <c r="GP45" s="2071"/>
      <c r="GQ45" s="2071"/>
      <c r="GR45" s="2071"/>
      <c r="GS45" s="2071"/>
      <c r="GT45" s="2071"/>
      <c r="GU45" s="2071"/>
      <c r="GV45" s="2071"/>
      <c r="GW45" s="2071"/>
      <c r="GX45" s="2071"/>
      <c r="GY45" s="2071"/>
      <c r="GZ45" s="2071"/>
      <c r="HA45" s="2071"/>
      <c r="HB45" s="2071"/>
      <c r="HC45" s="2071"/>
      <c r="HD45" s="2071"/>
      <c r="HE45" s="2071"/>
      <c r="HF45" s="2071"/>
      <c r="HG45" s="2071"/>
      <c r="HH45" s="2071"/>
      <c r="HI45" s="2071"/>
      <c r="HJ45" s="2071"/>
      <c r="HK45" s="2071"/>
      <c r="HL45" s="2071"/>
      <c r="HM45" s="2071"/>
      <c r="HN45" s="2071"/>
      <c r="HO45" s="2071"/>
      <c r="HP45" s="2071"/>
      <c r="HQ45" s="2071"/>
      <c r="HR45" s="2071"/>
      <c r="HS45" s="2071"/>
      <c r="HT45" s="2071"/>
      <c r="HU45" s="2071"/>
      <c r="HV45" s="2071"/>
      <c r="HW45" s="2071"/>
      <c r="HX45" s="2071"/>
      <c r="HY45" s="2071"/>
      <c r="HZ45" s="2071"/>
      <c r="IA45" s="2071"/>
      <c r="IB45" s="2071"/>
      <c r="IC45" s="2071"/>
      <c r="ID45" s="2071"/>
      <c r="IE45" s="2071"/>
      <c r="IF45" s="2071"/>
      <c r="IG45" s="2071"/>
      <c r="IH45" s="2071"/>
      <c r="II45" s="2071"/>
      <c r="IJ45" s="2071"/>
      <c r="IK45" s="2071"/>
      <c r="IL45" s="2071"/>
      <c r="IM45" s="2071"/>
      <c r="IN45" s="2071"/>
    </row>
    <row r="46" spans="1:248">
      <c r="A46" s="2061" t="s">
        <v>264</v>
      </c>
      <c r="B46" s="2052">
        <f>审定资负表!C48</f>
        <v>485278652.79</v>
      </c>
      <c r="C46" s="2052">
        <f>审定资负表!D48</f>
        <v>225079668.28</v>
      </c>
      <c r="D46" s="2053">
        <f t="shared" si="0"/>
        <v>1</v>
      </c>
      <c r="E46" s="2054">
        <f t="shared" si="1"/>
        <v>260198984.51</v>
      </c>
      <c r="F46" s="2055">
        <f t="shared" si="2"/>
        <v>1.156</v>
      </c>
      <c r="G46" s="2056"/>
      <c r="H46" s="2059"/>
      <c r="I46" s="2059"/>
      <c r="J46" s="2084"/>
      <c r="K46" s="2071"/>
      <c r="L46" s="2071"/>
      <c r="M46" s="2071"/>
      <c r="N46" s="2071"/>
      <c r="O46" s="2071"/>
      <c r="P46" s="2071"/>
      <c r="Q46" s="2071"/>
      <c r="R46" s="2071"/>
      <c r="S46" s="2071"/>
      <c r="T46" s="2071"/>
      <c r="U46" s="2071"/>
      <c r="V46" s="2071"/>
      <c r="W46" s="2071"/>
      <c r="X46" s="2071"/>
      <c r="Y46" s="2071"/>
      <c r="Z46" s="2071"/>
      <c r="AA46" s="2071"/>
      <c r="AB46" s="2071"/>
      <c r="AC46" s="2071"/>
      <c r="AD46" s="2071"/>
      <c r="AE46" s="2071"/>
      <c r="AF46" s="2071"/>
      <c r="AG46" s="2071"/>
      <c r="AH46" s="2071"/>
      <c r="AI46" s="2071"/>
      <c r="AJ46" s="2071"/>
      <c r="AK46" s="2071"/>
      <c r="AL46" s="2071"/>
      <c r="AM46" s="2071"/>
      <c r="AN46" s="2071"/>
      <c r="AO46" s="2071"/>
      <c r="AP46" s="2071"/>
      <c r="AQ46" s="2071"/>
      <c r="AR46" s="2071"/>
      <c r="AS46" s="2071"/>
      <c r="AT46" s="2071"/>
      <c r="AU46" s="2071"/>
      <c r="AV46" s="2071"/>
      <c r="AW46" s="2071"/>
      <c r="AX46" s="2071"/>
      <c r="AY46" s="2071"/>
      <c r="AZ46" s="2071"/>
      <c r="BA46" s="2071"/>
      <c r="BB46" s="2071"/>
      <c r="BC46" s="2071"/>
      <c r="BD46" s="2071"/>
      <c r="BE46" s="2071"/>
      <c r="BF46" s="2071"/>
      <c r="BG46" s="2071"/>
      <c r="BH46" s="2071"/>
      <c r="BI46" s="2071"/>
      <c r="BJ46" s="2071"/>
      <c r="BK46" s="2071"/>
      <c r="BL46" s="2071"/>
      <c r="BM46" s="2071"/>
      <c r="BN46" s="2071"/>
      <c r="BO46" s="2071"/>
      <c r="BP46" s="2071"/>
      <c r="BQ46" s="2071"/>
      <c r="BR46" s="2071"/>
      <c r="BS46" s="2071"/>
      <c r="BT46" s="2071"/>
      <c r="BU46" s="2071"/>
      <c r="BV46" s="2071"/>
      <c r="BW46" s="2071"/>
      <c r="BX46" s="2071"/>
      <c r="BY46" s="2071"/>
      <c r="BZ46" s="2071"/>
      <c r="CA46" s="2071"/>
      <c r="CB46" s="2071"/>
      <c r="CC46" s="2071"/>
      <c r="CD46" s="2071"/>
      <c r="CE46" s="2071"/>
      <c r="CF46" s="2071"/>
      <c r="CG46" s="2071"/>
      <c r="CH46" s="2071"/>
      <c r="CI46" s="2071"/>
      <c r="CJ46" s="2071"/>
      <c r="CK46" s="2071"/>
      <c r="CL46" s="2071"/>
      <c r="CM46" s="2071"/>
      <c r="CN46" s="2071"/>
      <c r="CO46" s="2071"/>
      <c r="CP46" s="2071"/>
      <c r="CQ46" s="2071"/>
      <c r="CR46" s="2071"/>
      <c r="CS46" s="2071"/>
      <c r="CT46" s="2071"/>
      <c r="CU46" s="2071"/>
      <c r="CV46" s="2071"/>
      <c r="CW46" s="2071"/>
      <c r="CX46" s="2071"/>
      <c r="CY46" s="2071"/>
      <c r="CZ46" s="2071"/>
      <c r="DA46" s="2071"/>
      <c r="DB46" s="2071"/>
      <c r="DC46" s="2071"/>
      <c r="DD46" s="2071"/>
      <c r="DE46" s="2071"/>
      <c r="DF46" s="2071"/>
      <c r="DG46" s="2071"/>
      <c r="DH46" s="2071"/>
      <c r="DI46" s="2071"/>
      <c r="DJ46" s="2071"/>
      <c r="DK46" s="2071"/>
      <c r="DL46" s="2071"/>
      <c r="DM46" s="2071"/>
      <c r="DN46" s="2071"/>
      <c r="DO46" s="2071"/>
      <c r="DP46" s="2071"/>
      <c r="DQ46" s="2071"/>
      <c r="DR46" s="2071"/>
      <c r="DS46" s="2071"/>
      <c r="DT46" s="2071"/>
      <c r="DU46" s="2071"/>
      <c r="DV46" s="2071"/>
      <c r="DW46" s="2071"/>
      <c r="DX46" s="2071"/>
      <c r="DY46" s="2071"/>
      <c r="DZ46" s="2071"/>
      <c r="EA46" s="2071"/>
      <c r="EB46" s="2071"/>
      <c r="EC46" s="2071"/>
      <c r="ED46" s="2071"/>
      <c r="EE46" s="2071"/>
      <c r="EF46" s="2071"/>
      <c r="EG46" s="2071"/>
      <c r="EH46" s="2071"/>
      <c r="EI46" s="2071"/>
      <c r="EJ46" s="2071"/>
      <c r="EK46" s="2071"/>
      <c r="EL46" s="2071"/>
      <c r="EM46" s="2071"/>
      <c r="EN46" s="2071"/>
      <c r="EO46" s="2071"/>
      <c r="EP46" s="2071"/>
      <c r="EQ46" s="2071"/>
      <c r="ER46" s="2071"/>
      <c r="ES46" s="2071"/>
      <c r="ET46" s="2071"/>
      <c r="EU46" s="2071"/>
      <c r="EV46" s="2071"/>
      <c r="EW46" s="2071"/>
      <c r="EX46" s="2071"/>
      <c r="EY46" s="2071"/>
      <c r="EZ46" s="2071"/>
      <c r="FA46" s="2071"/>
      <c r="FB46" s="2071"/>
      <c r="FC46" s="2071"/>
      <c r="FD46" s="2071"/>
      <c r="FE46" s="2071"/>
      <c r="FF46" s="2071"/>
      <c r="FG46" s="2071"/>
      <c r="FH46" s="2071"/>
      <c r="FI46" s="2071"/>
      <c r="FJ46" s="2071"/>
      <c r="FK46" s="2071"/>
      <c r="FL46" s="2071"/>
      <c r="FM46" s="2071"/>
      <c r="FN46" s="2071"/>
      <c r="FO46" s="2071"/>
      <c r="FP46" s="2071"/>
      <c r="FQ46" s="2071"/>
      <c r="FR46" s="2071"/>
      <c r="FS46" s="2071"/>
      <c r="FT46" s="2071"/>
      <c r="FU46" s="2071"/>
      <c r="FV46" s="2071"/>
      <c r="FW46" s="2071"/>
      <c r="FX46" s="2071"/>
      <c r="FY46" s="2071"/>
      <c r="FZ46" s="2071"/>
      <c r="GA46" s="2071"/>
      <c r="GB46" s="2071"/>
      <c r="GC46" s="2071"/>
      <c r="GD46" s="2071"/>
      <c r="GE46" s="2071"/>
      <c r="GF46" s="2071"/>
      <c r="GG46" s="2071"/>
      <c r="GH46" s="2071"/>
      <c r="GI46" s="2071"/>
      <c r="GJ46" s="2071"/>
      <c r="GK46" s="2071"/>
      <c r="GL46" s="2071"/>
      <c r="GM46" s="2071"/>
      <c r="GN46" s="2071"/>
      <c r="GO46" s="2071"/>
      <c r="GP46" s="2071"/>
      <c r="GQ46" s="2071"/>
      <c r="GR46" s="2071"/>
      <c r="GS46" s="2071"/>
      <c r="GT46" s="2071"/>
      <c r="GU46" s="2071"/>
      <c r="GV46" s="2071"/>
      <c r="GW46" s="2071"/>
      <c r="GX46" s="2071"/>
      <c r="GY46" s="2071"/>
      <c r="GZ46" s="2071"/>
      <c r="HA46" s="2071"/>
      <c r="HB46" s="2071"/>
      <c r="HC46" s="2071"/>
      <c r="HD46" s="2071"/>
      <c r="HE46" s="2071"/>
      <c r="HF46" s="2071"/>
      <c r="HG46" s="2071"/>
      <c r="HH46" s="2071"/>
      <c r="HI46" s="2071"/>
      <c r="HJ46" s="2071"/>
      <c r="HK46" s="2071"/>
      <c r="HL46" s="2071"/>
      <c r="HM46" s="2071"/>
      <c r="HN46" s="2071"/>
      <c r="HO46" s="2071"/>
      <c r="HP46" s="2071"/>
      <c r="HQ46" s="2071"/>
      <c r="HR46" s="2071"/>
      <c r="HS46" s="2071"/>
      <c r="HT46" s="2071"/>
      <c r="HU46" s="2071"/>
      <c r="HV46" s="2071"/>
      <c r="HW46" s="2071"/>
      <c r="HX46" s="2071"/>
      <c r="HY46" s="2071"/>
      <c r="HZ46" s="2071"/>
      <c r="IA46" s="2071"/>
      <c r="IB46" s="2071"/>
      <c r="IC46" s="2071"/>
      <c r="ID46" s="2071"/>
      <c r="IE46" s="2071"/>
      <c r="IF46" s="2071"/>
      <c r="IG46" s="2071"/>
      <c r="IH46" s="2071"/>
      <c r="II46" s="2071"/>
      <c r="IJ46" s="2071"/>
      <c r="IK46" s="2071"/>
      <c r="IL46" s="2071"/>
      <c r="IM46" s="2071"/>
      <c r="IN46" s="2071"/>
    </row>
    <row r="47" spans="1:248">
      <c r="A47" s="2047" t="s">
        <v>195</v>
      </c>
      <c r="B47" s="2052"/>
      <c r="C47" s="2052"/>
      <c r="D47" s="2053" t="str">
        <f t="shared" si="0"/>
        <v> </v>
      </c>
      <c r="E47" s="2054">
        <f t="shared" si="1"/>
        <v>0</v>
      </c>
      <c r="F47" s="2055" t="str">
        <f t="shared" si="2"/>
        <v/>
      </c>
      <c r="G47" s="2056"/>
      <c r="H47" s="2059"/>
      <c r="I47" s="2059"/>
      <c r="J47" s="2084"/>
      <c r="K47" s="2071"/>
      <c r="L47" s="2071"/>
      <c r="M47" s="2071"/>
      <c r="N47" s="2071"/>
      <c r="O47" s="2071"/>
      <c r="P47" s="2071"/>
      <c r="Q47" s="2071"/>
      <c r="R47" s="2071"/>
      <c r="S47" s="2071"/>
      <c r="T47" s="2071"/>
      <c r="U47" s="2071"/>
      <c r="V47" s="2071"/>
      <c r="W47" s="2071"/>
      <c r="X47" s="2071"/>
      <c r="Y47" s="2071"/>
      <c r="Z47" s="2071"/>
      <c r="AA47" s="2071"/>
      <c r="AB47" s="2071"/>
      <c r="AC47" s="2071"/>
      <c r="AD47" s="2071"/>
      <c r="AE47" s="2071"/>
      <c r="AF47" s="2071"/>
      <c r="AG47" s="2071"/>
      <c r="AH47" s="2071"/>
      <c r="AI47" s="2071"/>
      <c r="AJ47" s="2071"/>
      <c r="AK47" s="2071"/>
      <c r="AL47" s="2071"/>
      <c r="AM47" s="2071"/>
      <c r="AN47" s="2071"/>
      <c r="AO47" s="2071"/>
      <c r="AP47" s="2071"/>
      <c r="AQ47" s="2071"/>
      <c r="AR47" s="2071"/>
      <c r="AS47" s="2071"/>
      <c r="AT47" s="2071"/>
      <c r="AU47" s="2071"/>
      <c r="AV47" s="2071"/>
      <c r="AW47" s="2071"/>
      <c r="AX47" s="2071"/>
      <c r="AY47" s="2071"/>
      <c r="AZ47" s="2071"/>
      <c r="BA47" s="2071"/>
      <c r="BB47" s="2071"/>
      <c r="BC47" s="2071"/>
      <c r="BD47" s="2071"/>
      <c r="BE47" s="2071"/>
      <c r="BF47" s="2071"/>
      <c r="BG47" s="2071"/>
      <c r="BH47" s="2071"/>
      <c r="BI47" s="2071"/>
      <c r="BJ47" s="2071"/>
      <c r="BK47" s="2071"/>
      <c r="BL47" s="2071"/>
      <c r="BM47" s="2071"/>
      <c r="BN47" s="2071"/>
      <c r="BO47" s="2071"/>
      <c r="BP47" s="2071"/>
      <c r="BQ47" s="2071"/>
      <c r="BR47" s="2071"/>
      <c r="BS47" s="2071"/>
      <c r="BT47" s="2071"/>
      <c r="BU47" s="2071"/>
      <c r="BV47" s="2071"/>
      <c r="BW47" s="2071"/>
      <c r="BX47" s="2071"/>
      <c r="BY47" s="2071"/>
      <c r="BZ47" s="2071"/>
      <c r="CA47" s="2071"/>
      <c r="CB47" s="2071"/>
      <c r="CC47" s="2071"/>
      <c r="CD47" s="2071"/>
      <c r="CE47" s="2071"/>
      <c r="CF47" s="2071"/>
      <c r="CG47" s="2071"/>
      <c r="CH47" s="2071"/>
      <c r="CI47" s="2071"/>
      <c r="CJ47" s="2071"/>
      <c r="CK47" s="2071"/>
      <c r="CL47" s="2071"/>
      <c r="CM47" s="2071"/>
      <c r="CN47" s="2071"/>
      <c r="CO47" s="2071"/>
      <c r="CP47" s="2071"/>
      <c r="CQ47" s="2071"/>
      <c r="CR47" s="2071"/>
      <c r="CS47" s="2071"/>
      <c r="CT47" s="2071"/>
      <c r="CU47" s="2071"/>
      <c r="CV47" s="2071"/>
      <c r="CW47" s="2071"/>
      <c r="CX47" s="2071"/>
      <c r="CY47" s="2071"/>
      <c r="CZ47" s="2071"/>
      <c r="DA47" s="2071"/>
      <c r="DB47" s="2071"/>
      <c r="DC47" s="2071"/>
      <c r="DD47" s="2071"/>
      <c r="DE47" s="2071"/>
      <c r="DF47" s="2071"/>
      <c r="DG47" s="2071"/>
      <c r="DH47" s="2071"/>
      <c r="DI47" s="2071"/>
      <c r="DJ47" s="2071"/>
      <c r="DK47" s="2071"/>
      <c r="DL47" s="2071"/>
      <c r="DM47" s="2071"/>
      <c r="DN47" s="2071"/>
      <c r="DO47" s="2071"/>
      <c r="DP47" s="2071"/>
      <c r="DQ47" s="2071"/>
      <c r="DR47" s="2071"/>
      <c r="DS47" s="2071"/>
      <c r="DT47" s="2071"/>
      <c r="DU47" s="2071"/>
      <c r="DV47" s="2071"/>
      <c r="DW47" s="2071"/>
      <c r="DX47" s="2071"/>
      <c r="DY47" s="2071"/>
      <c r="DZ47" s="2071"/>
      <c r="EA47" s="2071"/>
      <c r="EB47" s="2071"/>
      <c r="EC47" s="2071"/>
      <c r="ED47" s="2071"/>
      <c r="EE47" s="2071"/>
      <c r="EF47" s="2071"/>
      <c r="EG47" s="2071"/>
      <c r="EH47" s="2071"/>
      <c r="EI47" s="2071"/>
      <c r="EJ47" s="2071"/>
      <c r="EK47" s="2071"/>
      <c r="EL47" s="2071"/>
      <c r="EM47" s="2071"/>
      <c r="EN47" s="2071"/>
      <c r="EO47" s="2071"/>
      <c r="EP47" s="2071"/>
      <c r="EQ47" s="2071"/>
      <c r="ER47" s="2071"/>
      <c r="ES47" s="2071"/>
      <c r="ET47" s="2071"/>
      <c r="EU47" s="2071"/>
      <c r="EV47" s="2071"/>
      <c r="EW47" s="2071"/>
      <c r="EX47" s="2071"/>
      <c r="EY47" s="2071"/>
      <c r="EZ47" s="2071"/>
      <c r="FA47" s="2071"/>
      <c r="FB47" s="2071"/>
      <c r="FC47" s="2071"/>
      <c r="FD47" s="2071"/>
      <c r="FE47" s="2071"/>
      <c r="FF47" s="2071"/>
      <c r="FG47" s="2071"/>
      <c r="FH47" s="2071"/>
      <c r="FI47" s="2071"/>
      <c r="FJ47" s="2071"/>
      <c r="FK47" s="2071"/>
      <c r="FL47" s="2071"/>
      <c r="FM47" s="2071"/>
      <c r="FN47" s="2071"/>
      <c r="FO47" s="2071"/>
      <c r="FP47" s="2071"/>
      <c r="FQ47" s="2071"/>
      <c r="FR47" s="2071"/>
      <c r="FS47" s="2071"/>
      <c r="FT47" s="2071"/>
      <c r="FU47" s="2071"/>
      <c r="FV47" s="2071"/>
      <c r="FW47" s="2071"/>
      <c r="FX47" s="2071"/>
      <c r="FY47" s="2071"/>
      <c r="FZ47" s="2071"/>
      <c r="GA47" s="2071"/>
      <c r="GB47" s="2071"/>
      <c r="GC47" s="2071"/>
      <c r="GD47" s="2071"/>
      <c r="GE47" s="2071"/>
      <c r="GF47" s="2071"/>
      <c r="GG47" s="2071"/>
      <c r="GH47" s="2071"/>
      <c r="GI47" s="2071"/>
      <c r="GJ47" s="2071"/>
      <c r="GK47" s="2071"/>
      <c r="GL47" s="2071"/>
      <c r="GM47" s="2071"/>
      <c r="GN47" s="2071"/>
      <c r="GO47" s="2071"/>
      <c r="GP47" s="2071"/>
      <c r="GQ47" s="2071"/>
      <c r="GR47" s="2071"/>
      <c r="GS47" s="2071"/>
      <c r="GT47" s="2071"/>
      <c r="GU47" s="2071"/>
      <c r="GV47" s="2071"/>
      <c r="GW47" s="2071"/>
      <c r="GX47" s="2071"/>
      <c r="GY47" s="2071"/>
      <c r="GZ47" s="2071"/>
      <c r="HA47" s="2071"/>
      <c r="HB47" s="2071"/>
      <c r="HC47" s="2071"/>
      <c r="HD47" s="2071"/>
      <c r="HE47" s="2071"/>
      <c r="HF47" s="2071"/>
      <c r="HG47" s="2071"/>
      <c r="HH47" s="2071"/>
      <c r="HI47" s="2071"/>
      <c r="HJ47" s="2071"/>
      <c r="HK47" s="2071"/>
      <c r="HL47" s="2071"/>
      <c r="HM47" s="2071"/>
      <c r="HN47" s="2071"/>
      <c r="HO47" s="2071"/>
      <c r="HP47" s="2071"/>
      <c r="HQ47" s="2071"/>
      <c r="HR47" s="2071"/>
      <c r="HS47" s="2071"/>
      <c r="HT47" s="2071"/>
      <c r="HU47" s="2071"/>
      <c r="HV47" s="2071"/>
      <c r="HW47" s="2071"/>
      <c r="HX47" s="2071"/>
      <c r="HY47" s="2071"/>
      <c r="HZ47" s="2071"/>
      <c r="IA47" s="2071"/>
      <c r="IB47" s="2071"/>
      <c r="IC47" s="2071"/>
      <c r="ID47" s="2071"/>
      <c r="IE47" s="2071"/>
      <c r="IF47" s="2071"/>
      <c r="IG47" s="2071"/>
      <c r="IH47" s="2071"/>
      <c r="II47" s="2071"/>
      <c r="IJ47" s="2071"/>
      <c r="IK47" s="2071"/>
      <c r="IL47" s="2071"/>
      <c r="IM47" s="2071"/>
      <c r="IN47" s="2071"/>
    </row>
    <row r="48" spans="1:248">
      <c r="A48" s="2051" t="s">
        <v>197</v>
      </c>
      <c r="B48" s="2052">
        <f>审定资负表!G7</f>
        <v>4850000</v>
      </c>
      <c r="C48" s="2052">
        <f>审定资负表!H7</f>
        <v>0</v>
      </c>
      <c r="D48" s="2053">
        <f t="shared" si="0"/>
        <v>0.00999425788073722</v>
      </c>
      <c r="E48" s="2054">
        <f t="shared" si="1"/>
        <v>4850000</v>
      </c>
      <c r="F48" s="2055">
        <f t="shared" si="2"/>
        <v>1</v>
      </c>
      <c r="G48" s="2056"/>
      <c r="H48" s="2057" t="str">
        <f>IF(报表附注!F1780=0,"相符","不相符")</f>
        <v>相符</v>
      </c>
      <c r="I48" s="2057" t="str">
        <f>IF(报表附注!G1780=0,"相符","不相符")</f>
        <v>相符</v>
      </c>
      <c r="J48" s="2070" t="s">
        <v>1917</v>
      </c>
      <c r="K48" s="2071"/>
      <c r="L48" s="2071"/>
      <c r="M48" s="2071"/>
      <c r="N48" s="2071"/>
      <c r="O48" s="2071"/>
      <c r="P48" s="2071"/>
      <c r="Q48" s="2071"/>
      <c r="R48" s="2071"/>
      <c r="S48" s="2071"/>
      <c r="T48" s="2071"/>
      <c r="U48" s="2071"/>
      <c r="V48" s="2071"/>
      <c r="W48" s="2071"/>
      <c r="X48" s="2071"/>
      <c r="Y48" s="2071"/>
      <c r="Z48" s="2071"/>
      <c r="AA48" s="2071"/>
      <c r="AB48" s="2071"/>
      <c r="AC48" s="2071"/>
      <c r="AD48" s="2071"/>
      <c r="AE48" s="2071"/>
      <c r="AF48" s="2071"/>
      <c r="AG48" s="2071"/>
      <c r="AH48" s="2071"/>
      <c r="AI48" s="2071"/>
      <c r="AJ48" s="2071"/>
      <c r="AK48" s="2071"/>
      <c r="AL48" s="2071"/>
      <c r="AM48" s="2071"/>
      <c r="AN48" s="2071"/>
      <c r="AO48" s="2071"/>
      <c r="AP48" s="2071"/>
      <c r="AQ48" s="2071"/>
      <c r="AR48" s="2071"/>
      <c r="AS48" s="2071"/>
      <c r="AT48" s="2071"/>
      <c r="AU48" s="2071"/>
      <c r="AV48" s="2071"/>
      <c r="AW48" s="2071"/>
      <c r="AX48" s="2071"/>
      <c r="AY48" s="2071"/>
      <c r="AZ48" s="2071"/>
      <c r="BA48" s="2071"/>
      <c r="BB48" s="2071"/>
      <c r="BC48" s="2071"/>
      <c r="BD48" s="2071"/>
      <c r="BE48" s="2071"/>
      <c r="BF48" s="2071"/>
      <c r="BG48" s="2071"/>
      <c r="BH48" s="2071"/>
      <c r="BI48" s="2071"/>
      <c r="BJ48" s="2071"/>
      <c r="BK48" s="2071"/>
      <c r="BL48" s="2071"/>
      <c r="BM48" s="2071"/>
      <c r="BN48" s="2071"/>
      <c r="BO48" s="2071"/>
      <c r="BP48" s="2071"/>
      <c r="BQ48" s="2071"/>
      <c r="BR48" s="2071"/>
      <c r="BS48" s="2071"/>
      <c r="BT48" s="2071"/>
      <c r="BU48" s="2071"/>
      <c r="BV48" s="2071"/>
      <c r="BW48" s="2071"/>
      <c r="BX48" s="2071"/>
      <c r="BY48" s="2071"/>
      <c r="BZ48" s="2071"/>
      <c r="CA48" s="2071"/>
      <c r="CB48" s="2071"/>
      <c r="CC48" s="2071"/>
      <c r="CD48" s="2071"/>
      <c r="CE48" s="2071"/>
      <c r="CF48" s="2071"/>
      <c r="CG48" s="2071"/>
      <c r="CH48" s="2071"/>
      <c r="CI48" s="2071"/>
      <c r="CJ48" s="2071"/>
      <c r="CK48" s="2071"/>
      <c r="CL48" s="2071"/>
      <c r="CM48" s="2071"/>
      <c r="CN48" s="2071"/>
      <c r="CO48" s="2071"/>
      <c r="CP48" s="2071"/>
      <c r="CQ48" s="2071"/>
      <c r="CR48" s="2071"/>
      <c r="CS48" s="2071"/>
      <c r="CT48" s="2071"/>
      <c r="CU48" s="2071"/>
      <c r="CV48" s="2071"/>
      <c r="CW48" s="2071"/>
      <c r="CX48" s="2071"/>
      <c r="CY48" s="2071"/>
      <c r="CZ48" s="2071"/>
      <c r="DA48" s="2071"/>
      <c r="DB48" s="2071"/>
      <c r="DC48" s="2071"/>
      <c r="DD48" s="2071"/>
      <c r="DE48" s="2071"/>
      <c r="DF48" s="2071"/>
      <c r="DG48" s="2071"/>
      <c r="DH48" s="2071"/>
      <c r="DI48" s="2071"/>
      <c r="DJ48" s="2071"/>
      <c r="DK48" s="2071"/>
      <c r="DL48" s="2071"/>
      <c r="DM48" s="2071"/>
      <c r="DN48" s="2071"/>
      <c r="DO48" s="2071"/>
      <c r="DP48" s="2071"/>
      <c r="DQ48" s="2071"/>
      <c r="DR48" s="2071"/>
      <c r="DS48" s="2071"/>
      <c r="DT48" s="2071"/>
      <c r="DU48" s="2071"/>
      <c r="DV48" s="2071"/>
      <c r="DW48" s="2071"/>
      <c r="DX48" s="2071"/>
      <c r="DY48" s="2071"/>
      <c r="DZ48" s="2071"/>
      <c r="EA48" s="2071"/>
      <c r="EB48" s="2071"/>
      <c r="EC48" s="2071"/>
      <c r="ED48" s="2071"/>
      <c r="EE48" s="2071"/>
      <c r="EF48" s="2071"/>
      <c r="EG48" s="2071"/>
      <c r="EH48" s="2071"/>
      <c r="EI48" s="2071"/>
      <c r="EJ48" s="2071"/>
      <c r="EK48" s="2071"/>
      <c r="EL48" s="2071"/>
      <c r="EM48" s="2071"/>
      <c r="EN48" s="2071"/>
      <c r="EO48" s="2071"/>
      <c r="EP48" s="2071"/>
      <c r="EQ48" s="2071"/>
      <c r="ER48" s="2071"/>
      <c r="ES48" s="2071"/>
      <c r="ET48" s="2071"/>
      <c r="EU48" s="2071"/>
      <c r="EV48" s="2071"/>
      <c r="EW48" s="2071"/>
      <c r="EX48" s="2071"/>
      <c r="EY48" s="2071"/>
      <c r="EZ48" s="2071"/>
      <c r="FA48" s="2071"/>
      <c r="FB48" s="2071"/>
      <c r="FC48" s="2071"/>
      <c r="FD48" s="2071"/>
      <c r="FE48" s="2071"/>
      <c r="FF48" s="2071"/>
      <c r="FG48" s="2071"/>
      <c r="FH48" s="2071"/>
      <c r="FI48" s="2071"/>
      <c r="FJ48" s="2071"/>
      <c r="FK48" s="2071"/>
      <c r="FL48" s="2071"/>
      <c r="FM48" s="2071"/>
      <c r="FN48" s="2071"/>
      <c r="FO48" s="2071"/>
      <c r="FP48" s="2071"/>
      <c r="FQ48" s="2071"/>
      <c r="FR48" s="2071"/>
      <c r="FS48" s="2071"/>
      <c r="FT48" s="2071"/>
      <c r="FU48" s="2071"/>
      <c r="FV48" s="2071"/>
      <c r="FW48" s="2071"/>
      <c r="FX48" s="2071"/>
      <c r="FY48" s="2071"/>
      <c r="FZ48" s="2071"/>
      <c r="GA48" s="2071"/>
      <c r="GB48" s="2071"/>
      <c r="GC48" s="2071"/>
      <c r="GD48" s="2071"/>
      <c r="GE48" s="2071"/>
      <c r="GF48" s="2071"/>
      <c r="GG48" s="2071"/>
      <c r="GH48" s="2071"/>
      <c r="GI48" s="2071"/>
      <c r="GJ48" s="2071"/>
      <c r="GK48" s="2071"/>
      <c r="GL48" s="2071"/>
      <c r="GM48" s="2071"/>
      <c r="GN48" s="2071"/>
      <c r="GO48" s="2071"/>
      <c r="GP48" s="2071"/>
      <c r="GQ48" s="2071"/>
      <c r="GR48" s="2071"/>
      <c r="GS48" s="2071"/>
      <c r="GT48" s="2071"/>
      <c r="GU48" s="2071"/>
      <c r="GV48" s="2071"/>
      <c r="GW48" s="2071"/>
      <c r="GX48" s="2071"/>
      <c r="GY48" s="2071"/>
      <c r="GZ48" s="2071"/>
      <c r="HA48" s="2071"/>
      <c r="HB48" s="2071"/>
      <c r="HC48" s="2071"/>
      <c r="HD48" s="2071"/>
      <c r="HE48" s="2071"/>
      <c r="HF48" s="2071"/>
      <c r="HG48" s="2071"/>
      <c r="HH48" s="2071"/>
      <c r="HI48" s="2071"/>
      <c r="HJ48" s="2071"/>
      <c r="HK48" s="2071"/>
      <c r="HL48" s="2071"/>
      <c r="HM48" s="2071"/>
      <c r="HN48" s="2071"/>
      <c r="HO48" s="2071"/>
      <c r="HP48" s="2071"/>
      <c r="HQ48" s="2071"/>
      <c r="HR48" s="2071"/>
      <c r="HS48" s="2071"/>
      <c r="HT48" s="2071"/>
      <c r="HU48" s="2071"/>
      <c r="HV48" s="2071"/>
      <c r="HW48" s="2071"/>
      <c r="HX48" s="2071"/>
      <c r="HY48" s="2071"/>
      <c r="HZ48" s="2071"/>
      <c r="IA48" s="2071"/>
      <c r="IB48" s="2071"/>
      <c r="IC48" s="2071"/>
      <c r="ID48" s="2071"/>
      <c r="IE48" s="2071"/>
      <c r="IF48" s="2071"/>
      <c r="IG48" s="2071"/>
      <c r="IH48" s="2071"/>
      <c r="II48" s="2071"/>
      <c r="IJ48" s="2071"/>
      <c r="IK48" s="2071"/>
      <c r="IL48" s="2071"/>
      <c r="IM48" s="2071"/>
      <c r="IN48" s="2071"/>
    </row>
    <row r="49" spans="1:248">
      <c r="A49" s="2051" t="s">
        <v>1398</v>
      </c>
      <c r="B49" s="2052">
        <f>审定资负表!G8</f>
        <v>0</v>
      </c>
      <c r="C49" s="2052">
        <f>审定资负表!H8</f>
        <v>0</v>
      </c>
      <c r="D49" s="2053" t="str">
        <f t="shared" si="0"/>
        <v> </v>
      </c>
      <c r="E49" s="2054">
        <f t="shared" si="1"/>
        <v>0</v>
      </c>
      <c r="F49" s="2055" t="str">
        <f t="shared" si="2"/>
        <v/>
      </c>
      <c r="G49" s="2056"/>
      <c r="H49" s="2057" t="str">
        <f>IF(报表附注!F1804=0,"相符","不相符")</f>
        <v>相符</v>
      </c>
      <c r="I49" s="2057" t="str">
        <f>IF(报表附注!G1804=0,"相符","不相符")</f>
        <v>相符</v>
      </c>
      <c r="J49" s="2070" t="s">
        <v>1919</v>
      </c>
      <c r="K49" s="2071"/>
      <c r="L49" s="2071"/>
      <c r="M49" s="2071"/>
      <c r="N49" s="2071"/>
      <c r="O49" s="2071"/>
      <c r="P49" s="2071"/>
      <c r="Q49" s="2071"/>
      <c r="R49" s="2071"/>
      <c r="S49" s="2071"/>
      <c r="T49" s="2071"/>
      <c r="U49" s="2071"/>
      <c r="V49" s="2071"/>
      <c r="W49" s="2071"/>
      <c r="X49" s="2071"/>
      <c r="Y49" s="2071"/>
      <c r="Z49" s="2071"/>
      <c r="AA49" s="2071"/>
      <c r="AB49" s="2071"/>
      <c r="AC49" s="2071"/>
      <c r="AD49" s="2071"/>
      <c r="AE49" s="2071"/>
      <c r="AF49" s="2071"/>
      <c r="AG49" s="2071"/>
      <c r="AH49" s="2071"/>
      <c r="AI49" s="2071"/>
      <c r="AJ49" s="2071"/>
      <c r="AK49" s="2071"/>
      <c r="AL49" s="2071"/>
      <c r="AM49" s="2071"/>
      <c r="AN49" s="2071"/>
      <c r="AO49" s="2071"/>
      <c r="AP49" s="2071"/>
      <c r="AQ49" s="2071"/>
      <c r="AR49" s="2071"/>
      <c r="AS49" s="2071"/>
      <c r="AT49" s="2071"/>
      <c r="AU49" s="2071"/>
      <c r="AV49" s="2071"/>
      <c r="AW49" s="2071"/>
      <c r="AX49" s="2071"/>
      <c r="AY49" s="2071"/>
      <c r="AZ49" s="2071"/>
      <c r="BA49" s="2071"/>
      <c r="BB49" s="2071"/>
      <c r="BC49" s="2071"/>
      <c r="BD49" s="2071"/>
      <c r="BE49" s="2071"/>
      <c r="BF49" s="2071"/>
      <c r="BG49" s="2071"/>
      <c r="BH49" s="2071"/>
      <c r="BI49" s="2071"/>
      <c r="BJ49" s="2071"/>
      <c r="BK49" s="2071"/>
      <c r="BL49" s="2071"/>
      <c r="BM49" s="2071"/>
      <c r="BN49" s="2071"/>
      <c r="BO49" s="2071"/>
      <c r="BP49" s="2071"/>
      <c r="BQ49" s="2071"/>
      <c r="BR49" s="2071"/>
      <c r="BS49" s="2071"/>
      <c r="BT49" s="2071"/>
      <c r="BU49" s="2071"/>
      <c r="BV49" s="2071"/>
      <c r="BW49" s="2071"/>
      <c r="BX49" s="2071"/>
      <c r="BY49" s="2071"/>
      <c r="BZ49" s="2071"/>
      <c r="CA49" s="2071"/>
      <c r="CB49" s="2071"/>
      <c r="CC49" s="2071"/>
      <c r="CD49" s="2071"/>
      <c r="CE49" s="2071"/>
      <c r="CF49" s="2071"/>
      <c r="CG49" s="2071"/>
      <c r="CH49" s="2071"/>
      <c r="CI49" s="2071"/>
      <c r="CJ49" s="2071"/>
      <c r="CK49" s="2071"/>
      <c r="CL49" s="2071"/>
      <c r="CM49" s="2071"/>
      <c r="CN49" s="2071"/>
      <c r="CO49" s="2071"/>
      <c r="CP49" s="2071"/>
      <c r="CQ49" s="2071"/>
      <c r="CR49" s="2071"/>
      <c r="CS49" s="2071"/>
      <c r="CT49" s="2071"/>
      <c r="CU49" s="2071"/>
      <c r="CV49" s="2071"/>
      <c r="CW49" s="2071"/>
      <c r="CX49" s="2071"/>
      <c r="CY49" s="2071"/>
      <c r="CZ49" s="2071"/>
      <c r="DA49" s="2071"/>
      <c r="DB49" s="2071"/>
      <c r="DC49" s="2071"/>
      <c r="DD49" s="2071"/>
      <c r="DE49" s="2071"/>
      <c r="DF49" s="2071"/>
      <c r="DG49" s="2071"/>
      <c r="DH49" s="2071"/>
      <c r="DI49" s="2071"/>
      <c r="DJ49" s="2071"/>
      <c r="DK49" s="2071"/>
      <c r="DL49" s="2071"/>
      <c r="DM49" s="2071"/>
      <c r="DN49" s="2071"/>
      <c r="DO49" s="2071"/>
      <c r="DP49" s="2071"/>
      <c r="DQ49" s="2071"/>
      <c r="DR49" s="2071"/>
      <c r="DS49" s="2071"/>
      <c r="DT49" s="2071"/>
      <c r="DU49" s="2071"/>
      <c r="DV49" s="2071"/>
      <c r="DW49" s="2071"/>
      <c r="DX49" s="2071"/>
      <c r="DY49" s="2071"/>
      <c r="DZ49" s="2071"/>
      <c r="EA49" s="2071"/>
      <c r="EB49" s="2071"/>
      <c r="EC49" s="2071"/>
      <c r="ED49" s="2071"/>
      <c r="EE49" s="2071"/>
      <c r="EF49" s="2071"/>
      <c r="EG49" s="2071"/>
      <c r="EH49" s="2071"/>
      <c r="EI49" s="2071"/>
      <c r="EJ49" s="2071"/>
      <c r="EK49" s="2071"/>
      <c r="EL49" s="2071"/>
      <c r="EM49" s="2071"/>
      <c r="EN49" s="2071"/>
      <c r="EO49" s="2071"/>
      <c r="EP49" s="2071"/>
      <c r="EQ49" s="2071"/>
      <c r="ER49" s="2071"/>
      <c r="ES49" s="2071"/>
      <c r="ET49" s="2071"/>
      <c r="EU49" s="2071"/>
      <c r="EV49" s="2071"/>
      <c r="EW49" s="2071"/>
      <c r="EX49" s="2071"/>
      <c r="EY49" s="2071"/>
      <c r="EZ49" s="2071"/>
      <c r="FA49" s="2071"/>
      <c r="FB49" s="2071"/>
      <c r="FC49" s="2071"/>
      <c r="FD49" s="2071"/>
      <c r="FE49" s="2071"/>
      <c r="FF49" s="2071"/>
      <c r="FG49" s="2071"/>
      <c r="FH49" s="2071"/>
      <c r="FI49" s="2071"/>
      <c r="FJ49" s="2071"/>
      <c r="FK49" s="2071"/>
      <c r="FL49" s="2071"/>
      <c r="FM49" s="2071"/>
      <c r="FN49" s="2071"/>
      <c r="FO49" s="2071"/>
      <c r="FP49" s="2071"/>
      <c r="FQ49" s="2071"/>
      <c r="FR49" s="2071"/>
      <c r="FS49" s="2071"/>
      <c r="FT49" s="2071"/>
      <c r="FU49" s="2071"/>
      <c r="FV49" s="2071"/>
      <c r="FW49" s="2071"/>
      <c r="FX49" s="2071"/>
      <c r="FY49" s="2071"/>
      <c r="FZ49" s="2071"/>
      <c r="GA49" s="2071"/>
      <c r="GB49" s="2071"/>
      <c r="GC49" s="2071"/>
      <c r="GD49" s="2071"/>
      <c r="GE49" s="2071"/>
      <c r="GF49" s="2071"/>
      <c r="GG49" s="2071"/>
      <c r="GH49" s="2071"/>
      <c r="GI49" s="2071"/>
      <c r="GJ49" s="2071"/>
      <c r="GK49" s="2071"/>
      <c r="GL49" s="2071"/>
      <c r="GM49" s="2071"/>
      <c r="GN49" s="2071"/>
      <c r="GO49" s="2071"/>
      <c r="GP49" s="2071"/>
      <c r="GQ49" s="2071"/>
      <c r="GR49" s="2071"/>
      <c r="GS49" s="2071"/>
      <c r="GT49" s="2071"/>
      <c r="GU49" s="2071"/>
      <c r="GV49" s="2071"/>
      <c r="GW49" s="2071"/>
      <c r="GX49" s="2071"/>
      <c r="GY49" s="2071"/>
      <c r="GZ49" s="2071"/>
      <c r="HA49" s="2071"/>
      <c r="HB49" s="2071"/>
      <c r="HC49" s="2071"/>
      <c r="HD49" s="2071"/>
      <c r="HE49" s="2071"/>
      <c r="HF49" s="2071"/>
      <c r="HG49" s="2071"/>
      <c r="HH49" s="2071"/>
      <c r="HI49" s="2071"/>
      <c r="HJ49" s="2071"/>
      <c r="HK49" s="2071"/>
      <c r="HL49" s="2071"/>
      <c r="HM49" s="2071"/>
      <c r="HN49" s="2071"/>
      <c r="HO49" s="2071"/>
      <c r="HP49" s="2071"/>
      <c r="HQ49" s="2071"/>
      <c r="HR49" s="2071"/>
      <c r="HS49" s="2071"/>
      <c r="HT49" s="2071"/>
      <c r="HU49" s="2071"/>
      <c r="HV49" s="2071"/>
      <c r="HW49" s="2071"/>
      <c r="HX49" s="2071"/>
      <c r="HY49" s="2071"/>
      <c r="HZ49" s="2071"/>
      <c r="IA49" s="2071"/>
      <c r="IB49" s="2071"/>
      <c r="IC49" s="2071"/>
      <c r="ID49" s="2071"/>
      <c r="IE49" s="2071"/>
      <c r="IF49" s="2071"/>
      <c r="IG49" s="2071"/>
      <c r="IH49" s="2071"/>
      <c r="II49" s="2071"/>
      <c r="IJ49" s="2071"/>
      <c r="IK49" s="2071"/>
      <c r="IL49" s="2071"/>
      <c r="IM49" s="2071"/>
      <c r="IN49" s="2071"/>
    </row>
    <row r="50" spans="1:248">
      <c r="A50" s="2051" t="s">
        <v>201</v>
      </c>
      <c r="B50" s="2052">
        <f>审定资负表!G9</f>
        <v>4117111</v>
      </c>
      <c r="C50" s="2052">
        <f>审定资负表!H9</f>
        <v>7000000</v>
      </c>
      <c r="D50" s="2053">
        <f t="shared" si="0"/>
        <v>0.00848401423868452</v>
      </c>
      <c r="E50" s="2054">
        <f t="shared" si="1"/>
        <v>-2882889</v>
      </c>
      <c r="F50" s="2055">
        <f t="shared" si="2"/>
        <v>-0.4118</v>
      </c>
      <c r="G50" s="2056"/>
      <c r="H50" s="2057" t="str">
        <f>IF(报表附注!F1818=0,"相符","不相符")</f>
        <v>相符</v>
      </c>
      <c r="I50" s="2057" t="str">
        <f>IF(报表附注!G1818=0,"相符","不相符")</f>
        <v>相符</v>
      </c>
      <c r="J50" s="2070" t="s">
        <v>1921</v>
      </c>
      <c r="K50" s="2071"/>
      <c r="L50" s="2071"/>
      <c r="M50" s="2071"/>
      <c r="N50" s="2071"/>
      <c r="O50" s="2071"/>
      <c r="P50" s="2071"/>
      <c r="Q50" s="2071"/>
      <c r="R50" s="2071"/>
      <c r="S50" s="2071"/>
      <c r="T50" s="2071"/>
      <c r="U50" s="2071"/>
      <c r="V50" s="2071"/>
      <c r="W50" s="2071"/>
      <c r="X50" s="2071"/>
      <c r="Y50" s="2071"/>
      <c r="Z50" s="2071"/>
      <c r="AA50" s="2071"/>
      <c r="AB50" s="2071"/>
      <c r="AC50" s="2071"/>
      <c r="AD50" s="2071"/>
      <c r="AE50" s="2071"/>
      <c r="AF50" s="2071"/>
      <c r="AG50" s="2071"/>
      <c r="AH50" s="2071"/>
      <c r="AI50" s="2071"/>
      <c r="AJ50" s="2071"/>
      <c r="AK50" s="2071"/>
      <c r="AL50" s="2071"/>
      <c r="AM50" s="2071"/>
      <c r="AN50" s="2071"/>
      <c r="AO50" s="2071"/>
      <c r="AP50" s="2071"/>
      <c r="AQ50" s="2071"/>
      <c r="AR50" s="2071"/>
      <c r="AS50" s="2071"/>
      <c r="AT50" s="2071"/>
      <c r="AU50" s="2071"/>
      <c r="AV50" s="2071"/>
      <c r="AW50" s="2071"/>
      <c r="AX50" s="2071"/>
      <c r="AY50" s="2071"/>
      <c r="AZ50" s="2071"/>
      <c r="BA50" s="2071"/>
      <c r="BB50" s="2071"/>
      <c r="BC50" s="2071"/>
      <c r="BD50" s="2071"/>
      <c r="BE50" s="2071"/>
      <c r="BF50" s="2071"/>
      <c r="BG50" s="2071"/>
      <c r="BH50" s="2071"/>
      <c r="BI50" s="2071"/>
      <c r="BJ50" s="2071"/>
      <c r="BK50" s="2071"/>
      <c r="BL50" s="2071"/>
      <c r="BM50" s="2071"/>
      <c r="BN50" s="2071"/>
      <c r="BO50" s="2071"/>
      <c r="BP50" s="2071"/>
      <c r="BQ50" s="2071"/>
      <c r="BR50" s="2071"/>
      <c r="BS50" s="2071"/>
      <c r="BT50" s="2071"/>
      <c r="BU50" s="2071"/>
      <c r="BV50" s="2071"/>
      <c r="BW50" s="2071"/>
      <c r="BX50" s="2071"/>
      <c r="BY50" s="2071"/>
      <c r="BZ50" s="2071"/>
      <c r="CA50" s="2071"/>
      <c r="CB50" s="2071"/>
      <c r="CC50" s="2071"/>
      <c r="CD50" s="2071"/>
      <c r="CE50" s="2071"/>
      <c r="CF50" s="2071"/>
      <c r="CG50" s="2071"/>
      <c r="CH50" s="2071"/>
      <c r="CI50" s="2071"/>
      <c r="CJ50" s="2071"/>
      <c r="CK50" s="2071"/>
      <c r="CL50" s="2071"/>
      <c r="CM50" s="2071"/>
      <c r="CN50" s="2071"/>
      <c r="CO50" s="2071"/>
      <c r="CP50" s="2071"/>
      <c r="CQ50" s="2071"/>
      <c r="CR50" s="2071"/>
      <c r="CS50" s="2071"/>
      <c r="CT50" s="2071"/>
      <c r="CU50" s="2071"/>
      <c r="CV50" s="2071"/>
      <c r="CW50" s="2071"/>
      <c r="CX50" s="2071"/>
      <c r="CY50" s="2071"/>
      <c r="CZ50" s="2071"/>
      <c r="DA50" s="2071"/>
      <c r="DB50" s="2071"/>
      <c r="DC50" s="2071"/>
      <c r="DD50" s="2071"/>
      <c r="DE50" s="2071"/>
      <c r="DF50" s="2071"/>
      <c r="DG50" s="2071"/>
      <c r="DH50" s="2071"/>
      <c r="DI50" s="2071"/>
      <c r="DJ50" s="2071"/>
      <c r="DK50" s="2071"/>
      <c r="DL50" s="2071"/>
      <c r="DM50" s="2071"/>
      <c r="DN50" s="2071"/>
      <c r="DO50" s="2071"/>
      <c r="DP50" s="2071"/>
      <c r="DQ50" s="2071"/>
      <c r="DR50" s="2071"/>
      <c r="DS50" s="2071"/>
      <c r="DT50" s="2071"/>
      <c r="DU50" s="2071"/>
      <c r="DV50" s="2071"/>
      <c r="DW50" s="2071"/>
      <c r="DX50" s="2071"/>
      <c r="DY50" s="2071"/>
      <c r="DZ50" s="2071"/>
      <c r="EA50" s="2071"/>
      <c r="EB50" s="2071"/>
      <c r="EC50" s="2071"/>
      <c r="ED50" s="2071"/>
      <c r="EE50" s="2071"/>
      <c r="EF50" s="2071"/>
      <c r="EG50" s="2071"/>
      <c r="EH50" s="2071"/>
      <c r="EI50" s="2071"/>
      <c r="EJ50" s="2071"/>
      <c r="EK50" s="2071"/>
      <c r="EL50" s="2071"/>
      <c r="EM50" s="2071"/>
      <c r="EN50" s="2071"/>
      <c r="EO50" s="2071"/>
      <c r="EP50" s="2071"/>
      <c r="EQ50" s="2071"/>
      <c r="ER50" s="2071"/>
      <c r="ES50" s="2071"/>
      <c r="ET50" s="2071"/>
      <c r="EU50" s="2071"/>
      <c r="EV50" s="2071"/>
      <c r="EW50" s="2071"/>
      <c r="EX50" s="2071"/>
      <c r="EY50" s="2071"/>
      <c r="EZ50" s="2071"/>
      <c r="FA50" s="2071"/>
      <c r="FB50" s="2071"/>
      <c r="FC50" s="2071"/>
      <c r="FD50" s="2071"/>
      <c r="FE50" s="2071"/>
      <c r="FF50" s="2071"/>
      <c r="FG50" s="2071"/>
      <c r="FH50" s="2071"/>
      <c r="FI50" s="2071"/>
      <c r="FJ50" s="2071"/>
      <c r="FK50" s="2071"/>
      <c r="FL50" s="2071"/>
      <c r="FM50" s="2071"/>
      <c r="FN50" s="2071"/>
      <c r="FO50" s="2071"/>
      <c r="FP50" s="2071"/>
      <c r="FQ50" s="2071"/>
      <c r="FR50" s="2071"/>
      <c r="FS50" s="2071"/>
      <c r="FT50" s="2071"/>
      <c r="FU50" s="2071"/>
      <c r="FV50" s="2071"/>
      <c r="FW50" s="2071"/>
      <c r="FX50" s="2071"/>
      <c r="FY50" s="2071"/>
      <c r="FZ50" s="2071"/>
      <c r="GA50" s="2071"/>
      <c r="GB50" s="2071"/>
      <c r="GC50" s="2071"/>
      <c r="GD50" s="2071"/>
      <c r="GE50" s="2071"/>
      <c r="GF50" s="2071"/>
      <c r="GG50" s="2071"/>
      <c r="GH50" s="2071"/>
      <c r="GI50" s="2071"/>
      <c r="GJ50" s="2071"/>
      <c r="GK50" s="2071"/>
      <c r="GL50" s="2071"/>
      <c r="GM50" s="2071"/>
      <c r="GN50" s="2071"/>
      <c r="GO50" s="2071"/>
      <c r="GP50" s="2071"/>
      <c r="GQ50" s="2071"/>
      <c r="GR50" s="2071"/>
      <c r="GS50" s="2071"/>
      <c r="GT50" s="2071"/>
      <c r="GU50" s="2071"/>
      <c r="GV50" s="2071"/>
      <c r="GW50" s="2071"/>
      <c r="GX50" s="2071"/>
      <c r="GY50" s="2071"/>
      <c r="GZ50" s="2071"/>
      <c r="HA50" s="2071"/>
      <c r="HB50" s="2071"/>
      <c r="HC50" s="2071"/>
      <c r="HD50" s="2071"/>
      <c r="HE50" s="2071"/>
      <c r="HF50" s="2071"/>
      <c r="HG50" s="2071"/>
      <c r="HH50" s="2071"/>
      <c r="HI50" s="2071"/>
      <c r="HJ50" s="2071"/>
      <c r="HK50" s="2071"/>
      <c r="HL50" s="2071"/>
      <c r="HM50" s="2071"/>
      <c r="HN50" s="2071"/>
      <c r="HO50" s="2071"/>
      <c r="HP50" s="2071"/>
      <c r="HQ50" s="2071"/>
      <c r="HR50" s="2071"/>
      <c r="HS50" s="2071"/>
      <c r="HT50" s="2071"/>
      <c r="HU50" s="2071"/>
      <c r="HV50" s="2071"/>
      <c r="HW50" s="2071"/>
      <c r="HX50" s="2071"/>
      <c r="HY50" s="2071"/>
      <c r="HZ50" s="2071"/>
      <c r="IA50" s="2071"/>
      <c r="IB50" s="2071"/>
      <c r="IC50" s="2071"/>
      <c r="ID50" s="2071"/>
      <c r="IE50" s="2071"/>
      <c r="IF50" s="2071"/>
      <c r="IG50" s="2071"/>
      <c r="IH50" s="2071"/>
      <c r="II50" s="2071"/>
      <c r="IJ50" s="2071"/>
      <c r="IK50" s="2071"/>
      <c r="IL50" s="2071"/>
      <c r="IM50" s="2071"/>
      <c r="IN50" s="2071"/>
    </row>
    <row r="51" spans="1:248">
      <c r="A51" s="2051" t="s">
        <v>203</v>
      </c>
      <c r="B51" s="2052">
        <f>审定资负表!G10</f>
        <v>41707145.22</v>
      </c>
      <c r="C51" s="2052">
        <f>审定资负表!H10</f>
        <v>16368470.98</v>
      </c>
      <c r="D51" s="2053">
        <f t="shared" si="0"/>
        <v>0.0859447350099045</v>
      </c>
      <c r="E51" s="2054">
        <f t="shared" si="1"/>
        <v>25338674.24</v>
      </c>
      <c r="F51" s="2055">
        <f t="shared" si="2"/>
        <v>1.548</v>
      </c>
      <c r="G51" s="2056"/>
      <c r="H51" s="2057" t="str">
        <f>IF(报表附注!F1835=0,"相符","不相符")</f>
        <v>相符</v>
      </c>
      <c r="I51" s="2057" t="str">
        <f>IF(报表附注!G1835=0,"相符","不相符")</f>
        <v>相符</v>
      </c>
      <c r="J51" s="2072" t="s">
        <v>1923</v>
      </c>
      <c r="K51" s="2071"/>
      <c r="L51" s="2071"/>
      <c r="M51" s="2071"/>
      <c r="N51" s="2071"/>
      <c r="O51" s="2071"/>
      <c r="P51" s="2071"/>
      <c r="Q51" s="2071"/>
      <c r="R51" s="2071"/>
      <c r="S51" s="2071"/>
      <c r="T51" s="2071"/>
      <c r="U51" s="2071"/>
      <c r="V51" s="2071"/>
      <c r="W51" s="2071"/>
      <c r="X51" s="2071"/>
      <c r="Y51" s="2071"/>
      <c r="Z51" s="2071"/>
      <c r="AA51" s="2071"/>
      <c r="AB51" s="2071"/>
      <c r="AC51" s="2071"/>
      <c r="AD51" s="2071"/>
      <c r="AE51" s="2071"/>
      <c r="AF51" s="2071"/>
      <c r="AG51" s="2071"/>
      <c r="AH51" s="2071"/>
      <c r="AI51" s="2071"/>
      <c r="AJ51" s="2071"/>
      <c r="AK51" s="2071"/>
      <c r="AL51" s="2071"/>
      <c r="AM51" s="2071"/>
      <c r="AN51" s="2071"/>
      <c r="AO51" s="2071"/>
      <c r="AP51" s="2071"/>
      <c r="AQ51" s="2071"/>
      <c r="AR51" s="2071"/>
      <c r="AS51" s="2071"/>
      <c r="AT51" s="2071"/>
      <c r="AU51" s="2071"/>
      <c r="AV51" s="2071"/>
      <c r="AW51" s="2071"/>
      <c r="AX51" s="2071"/>
      <c r="AY51" s="2071"/>
      <c r="AZ51" s="2071"/>
      <c r="BA51" s="2071"/>
      <c r="BB51" s="2071"/>
      <c r="BC51" s="2071"/>
      <c r="BD51" s="2071"/>
      <c r="BE51" s="2071"/>
      <c r="BF51" s="2071"/>
      <c r="BG51" s="2071"/>
      <c r="BH51" s="2071"/>
      <c r="BI51" s="2071"/>
      <c r="BJ51" s="2071"/>
      <c r="BK51" s="2071"/>
      <c r="BL51" s="2071"/>
      <c r="BM51" s="2071"/>
      <c r="BN51" s="2071"/>
      <c r="BO51" s="2071"/>
      <c r="BP51" s="2071"/>
      <c r="BQ51" s="2071"/>
      <c r="BR51" s="2071"/>
      <c r="BS51" s="2071"/>
      <c r="BT51" s="2071"/>
      <c r="BU51" s="2071"/>
      <c r="BV51" s="2071"/>
      <c r="BW51" s="2071"/>
      <c r="BX51" s="2071"/>
      <c r="BY51" s="2071"/>
      <c r="BZ51" s="2071"/>
      <c r="CA51" s="2071"/>
      <c r="CB51" s="2071"/>
      <c r="CC51" s="2071"/>
      <c r="CD51" s="2071"/>
      <c r="CE51" s="2071"/>
      <c r="CF51" s="2071"/>
      <c r="CG51" s="2071"/>
      <c r="CH51" s="2071"/>
      <c r="CI51" s="2071"/>
      <c r="CJ51" s="2071"/>
      <c r="CK51" s="2071"/>
      <c r="CL51" s="2071"/>
      <c r="CM51" s="2071"/>
      <c r="CN51" s="2071"/>
      <c r="CO51" s="2071"/>
      <c r="CP51" s="2071"/>
      <c r="CQ51" s="2071"/>
      <c r="CR51" s="2071"/>
      <c r="CS51" s="2071"/>
      <c r="CT51" s="2071"/>
      <c r="CU51" s="2071"/>
      <c r="CV51" s="2071"/>
      <c r="CW51" s="2071"/>
      <c r="CX51" s="2071"/>
      <c r="CY51" s="2071"/>
      <c r="CZ51" s="2071"/>
      <c r="DA51" s="2071"/>
      <c r="DB51" s="2071"/>
      <c r="DC51" s="2071"/>
      <c r="DD51" s="2071"/>
      <c r="DE51" s="2071"/>
      <c r="DF51" s="2071"/>
      <c r="DG51" s="2071"/>
      <c r="DH51" s="2071"/>
      <c r="DI51" s="2071"/>
      <c r="DJ51" s="2071"/>
      <c r="DK51" s="2071"/>
      <c r="DL51" s="2071"/>
      <c r="DM51" s="2071"/>
      <c r="DN51" s="2071"/>
      <c r="DO51" s="2071"/>
      <c r="DP51" s="2071"/>
      <c r="DQ51" s="2071"/>
      <c r="DR51" s="2071"/>
      <c r="DS51" s="2071"/>
      <c r="DT51" s="2071"/>
      <c r="DU51" s="2071"/>
      <c r="DV51" s="2071"/>
      <c r="DW51" s="2071"/>
      <c r="DX51" s="2071"/>
      <c r="DY51" s="2071"/>
      <c r="DZ51" s="2071"/>
      <c r="EA51" s="2071"/>
      <c r="EB51" s="2071"/>
      <c r="EC51" s="2071"/>
      <c r="ED51" s="2071"/>
      <c r="EE51" s="2071"/>
      <c r="EF51" s="2071"/>
      <c r="EG51" s="2071"/>
      <c r="EH51" s="2071"/>
      <c r="EI51" s="2071"/>
      <c r="EJ51" s="2071"/>
      <c r="EK51" s="2071"/>
      <c r="EL51" s="2071"/>
      <c r="EM51" s="2071"/>
      <c r="EN51" s="2071"/>
      <c r="EO51" s="2071"/>
      <c r="EP51" s="2071"/>
      <c r="EQ51" s="2071"/>
      <c r="ER51" s="2071"/>
      <c r="ES51" s="2071"/>
      <c r="ET51" s="2071"/>
      <c r="EU51" s="2071"/>
      <c r="EV51" s="2071"/>
      <c r="EW51" s="2071"/>
      <c r="EX51" s="2071"/>
      <c r="EY51" s="2071"/>
      <c r="EZ51" s="2071"/>
      <c r="FA51" s="2071"/>
      <c r="FB51" s="2071"/>
      <c r="FC51" s="2071"/>
      <c r="FD51" s="2071"/>
      <c r="FE51" s="2071"/>
      <c r="FF51" s="2071"/>
      <c r="FG51" s="2071"/>
      <c r="FH51" s="2071"/>
      <c r="FI51" s="2071"/>
      <c r="FJ51" s="2071"/>
      <c r="FK51" s="2071"/>
      <c r="FL51" s="2071"/>
      <c r="FM51" s="2071"/>
      <c r="FN51" s="2071"/>
      <c r="FO51" s="2071"/>
      <c r="FP51" s="2071"/>
      <c r="FQ51" s="2071"/>
      <c r="FR51" s="2071"/>
      <c r="FS51" s="2071"/>
      <c r="FT51" s="2071"/>
      <c r="FU51" s="2071"/>
      <c r="FV51" s="2071"/>
      <c r="FW51" s="2071"/>
      <c r="FX51" s="2071"/>
      <c r="FY51" s="2071"/>
      <c r="FZ51" s="2071"/>
      <c r="GA51" s="2071"/>
      <c r="GB51" s="2071"/>
      <c r="GC51" s="2071"/>
      <c r="GD51" s="2071"/>
      <c r="GE51" s="2071"/>
      <c r="GF51" s="2071"/>
      <c r="GG51" s="2071"/>
      <c r="GH51" s="2071"/>
      <c r="GI51" s="2071"/>
      <c r="GJ51" s="2071"/>
      <c r="GK51" s="2071"/>
      <c r="GL51" s="2071"/>
      <c r="GM51" s="2071"/>
      <c r="GN51" s="2071"/>
      <c r="GO51" s="2071"/>
      <c r="GP51" s="2071"/>
      <c r="GQ51" s="2071"/>
      <c r="GR51" s="2071"/>
      <c r="GS51" s="2071"/>
      <c r="GT51" s="2071"/>
      <c r="GU51" s="2071"/>
      <c r="GV51" s="2071"/>
      <c r="GW51" s="2071"/>
      <c r="GX51" s="2071"/>
      <c r="GY51" s="2071"/>
      <c r="GZ51" s="2071"/>
      <c r="HA51" s="2071"/>
      <c r="HB51" s="2071"/>
      <c r="HC51" s="2071"/>
      <c r="HD51" s="2071"/>
      <c r="HE51" s="2071"/>
      <c r="HF51" s="2071"/>
      <c r="HG51" s="2071"/>
      <c r="HH51" s="2071"/>
      <c r="HI51" s="2071"/>
      <c r="HJ51" s="2071"/>
      <c r="HK51" s="2071"/>
      <c r="HL51" s="2071"/>
      <c r="HM51" s="2071"/>
      <c r="HN51" s="2071"/>
      <c r="HO51" s="2071"/>
      <c r="HP51" s="2071"/>
      <c r="HQ51" s="2071"/>
      <c r="HR51" s="2071"/>
      <c r="HS51" s="2071"/>
      <c r="HT51" s="2071"/>
      <c r="HU51" s="2071"/>
      <c r="HV51" s="2071"/>
      <c r="HW51" s="2071"/>
      <c r="HX51" s="2071"/>
      <c r="HY51" s="2071"/>
      <c r="HZ51" s="2071"/>
      <c r="IA51" s="2071"/>
      <c r="IB51" s="2071"/>
      <c r="IC51" s="2071"/>
      <c r="ID51" s="2071"/>
      <c r="IE51" s="2071"/>
      <c r="IF51" s="2071"/>
      <c r="IG51" s="2071"/>
      <c r="IH51" s="2071"/>
      <c r="II51" s="2071"/>
      <c r="IJ51" s="2071"/>
      <c r="IK51" s="2071"/>
      <c r="IL51" s="2071"/>
      <c r="IM51" s="2071"/>
      <c r="IN51" s="2071"/>
    </row>
    <row r="52" spans="1:248">
      <c r="A52" s="2051" t="s">
        <v>205</v>
      </c>
      <c r="B52" s="2052">
        <f>审定资负表!G11</f>
        <v>0</v>
      </c>
      <c r="C52" s="2052">
        <f>审定资负表!H11</f>
        <v>4711102.57</v>
      </c>
      <c r="D52" s="2053" t="str">
        <f t="shared" si="0"/>
        <v> </v>
      </c>
      <c r="E52" s="2054">
        <f t="shared" si="1"/>
        <v>-4711102.57</v>
      </c>
      <c r="F52" s="2055">
        <f t="shared" si="2"/>
        <v>-1</v>
      </c>
      <c r="G52" s="2056"/>
      <c r="H52" s="2057" t="str">
        <f>IF(报表附注!F1899=0,"相符","不相符")</f>
        <v>相符</v>
      </c>
      <c r="I52" s="2057" t="str">
        <f>IF(报表附注!G1899=0,"相符","不相符")</f>
        <v>相符</v>
      </c>
      <c r="J52" s="2072" t="s">
        <v>1926</v>
      </c>
      <c r="K52" s="2071"/>
      <c r="L52" s="2071"/>
      <c r="M52" s="2071"/>
      <c r="N52" s="2071"/>
      <c r="O52" s="2071"/>
      <c r="P52" s="2071"/>
      <c r="Q52" s="2071"/>
      <c r="R52" s="2071"/>
      <c r="S52" s="2071"/>
      <c r="T52" s="2071"/>
      <c r="U52" s="2071"/>
      <c r="V52" s="2071"/>
      <c r="W52" s="2071"/>
      <c r="X52" s="2071"/>
      <c r="Y52" s="2071"/>
      <c r="Z52" s="2071"/>
      <c r="AA52" s="2071"/>
      <c r="AB52" s="2071"/>
      <c r="AC52" s="2071"/>
      <c r="AD52" s="2071"/>
      <c r="AE52" s="2071"/>
      <c r="AF52" s="2071"/>
      <c r="AG52" s="2071"/>
      <c r="AH52" s="2071"/>
      <c r="AI52" s="2071"/>
      <c r="AJ52" s="2071"/>
      <c r="AK52" s="2071"/>
      <c r="AL52" s="2071"/>
      <c r="AM52" s="2071"/>
      <c r="AN52" s="2071"/>
      <c r="AO52" s="2071"/>
      <c r="AP52" s="2071"/>
      <c r="AQ52" s="2071"/>
      <c r="AR52" s="2071"/>
      <c r="AS52" s="2071"/>
      <c r="AT52" s="2071"/>
      <c r="AU52" s="2071"/>
      <c r="AV52" s="2071"/>
      <c r="AW52" s="2071"/>
      <c r="AX52" s="2071"/>
      <c r="AY52" s="2071"/>
      <c r="AZ52" s="2071"/>
      <c r="BA52" s="2071"/>
      <c r="BB52" s="2071"/>
      <c r="BC52" s="2071"/>
      <c r="BD52" s="2071"/>
      <c r="BE52" s="2071"/>
      <c r="BF52" s="2071"/>
      <c r="BG52" s="2071"/>
      <c r="BH52" s="2071"/>
      <c r="BI52" s="2071"/>
      <c r="BJ52" s="2071"/>
      <c r="BK52" s="2071"/>
      <c r="BL52" s="2071"/>
      <c r="BM52" s="2071"/>
      <c r="BN52" s="2071"/>
      <c r="BO52" s="2071"/>
      <c r="BP52" s="2071"/>
      <c r="BQ52" s="2071"/>
      <c r="BR52" s="2071"/>
      <c r="BS52" s="2071"/>
      <c r="BT52" s="2071"/>
      <c r="BU52" s="2071"/>
      <c r="BV52" s="2071"/>
      <c r="BW52" s="2071"/>
      <c r="BX52" s="2071"/>
      <c r="BY52" s="2071"/>
      <c r="BZ52" s="2071"/>
      <c r="CA52" s="2071"/>
      <c r="CB52" s="2071"/>
      <c r="CC52" s="2071"/>
      <c r="CD52" s="2071"/>
      <c r="CE52" s="2071"/>
      <c r="CF52" s="2071"/>
      <c r="CG52" s="2071"/>
      <c r="CH52" s="2071"/>
      <c r="CI52" s="2071"/>
      <c r="CJ52" s="2071"/>
      <c r="CK52" s="2071"/>
      <c r="CL52" s="2071"/>
      <c r="CM52" s="2071"/>
      <c r="CN52" s="2071"/>
      <c r="CO52" s="2071"/>
      <c r="CP52" s="2071"/>
      <c r="CQ52" s="2071"/>
      <c r="CR52" s="2071"/>
      <c r="CS52" s="2071"/>
      <c r="CT52" s="2071"/>
      <c r="CU52" s="2071"/>
      <c r="CV52" s="2071"/>
      <c r="CW52" s="2071"/>
      <c r="CX52" s="2071"/>
      <c r="CY52" s="2071"/>
      <c r="CZ52" s="2071"/>
      <c r="DA52" s="2071"/>
      <c r="DB52" s="2071"/>
      <c r="DC52" s="2071"/>
      <c r="DD52" s="2071"/>
      <c r="DE52" s="2071"/>
      <c r="DF52" s="2071"/>
      <c r="DG52" s="2071"/>
      <c r="DH52" s="2071"/>
      <c r="DI52" s="2071"/>
      <c r="DJ52" s="2071"/>
      <c r="DK52" s="2071"/>
      <c r="DL52" s="2071"/>
      <c r="DM52" s="2071"/>
      <c r="DN52" s="2071"/>
      <c r="DO52" s="2071"/>
      <c r="DP52" s="2071"/>
      <c r="DQ52" s="2071"/>
      <c r="DR52" s="2071"/>
      <c r="DS52" s="2071"/>
      <c r="DT52" s="2071"/>
      <c r="DU52" s="2071"/>
      <c r="DV52" s="2071"/>
      <c r="DW52" s="2071"/>
      <c r="DX52" s="2071"/>
      <c r="DY52" s="2071"/>
      <c r="DZ52" s="2071"/>
      <c r="EA52" s="2071"/>
      <c r="EB52" s="2071"/>
      <c r="EC52" s="2071"/>
      <c r="ED52" s="2071"/>
      <c r="EE52" s="2071"/>
      <c r="EF52" s="2071"/>
      <c r="EG52" s="2071"/>
      <c r="EH52" s="2071"/>
      <c r="EI52" s="2071"/>
      <c r="EJ52" s="2071"/>
      <c r="EK52" s="2071"/>
      <c r="EL52" s="2071"/>
      <c r="EM52" s="2071"/>
      <c r="EN52" s="2071"/>
      <c r="EO52" s="2071"/>
      <c r="EP52" s="2071"/>
      <c r="EQ52" s="2071"/>
      <c r="ER52" s="2071"/>
      <c r="ES52" s="2071"/>
      <c r="ET52" s="2071"/>
      <c r="EU52" s="2071"/>
      <c r="EV52" s="2071"/>
      <c r="EW52" s="2071"/>
      <c r="EX52" s="2071"/>
      <c r="EY52" s="2071"/>
      <c r="EZ52" s="2071"/>
      <c r="FA52" s="2071"/>
      <c r="FB52" s="2071"/>
      <c r="FC52" s="2071"/>
      <c r="FD52" s="2071"/>
      <c r="FE52" s="2071"/>
      <c r="FF52" s="2071"/>
      <c r="FG52" s="2071"/>
      <c r="FH52" s="2071"/>
      <c r="FI52" s="2071"/>
      <c r="FJ52" s="2071"/>
      <c r="FK52" s="2071"/>
      <c r="FL52" s="2071"/>
      <c r="FM52" s="2071"/>
      <c r="FN52" s="2071"/>
      <c r="FO52" s="2071"/>
      <c r="FP52" s="2071"/>
      <c r="FQ52" s="2071"/>
      <c r="FR52" s="2071"/>
      <c r="FS52" s="2071"/>
      <c r="FT52" s="2071"/>
      <c r="FU52" s="2071"/>
      <c r="FV52" s="2071"/>
      <c r="FW52" s="2071"/>
      <c r="FX52" s="2071"/>
      <c r="FY52" s="2071"/>
      <c r="FZ52" s="2071"/>
      <c r="GA52" s="2071"/>
      <c r="GB52" s="2071"/>
      <c r="GC52" s="2071"/>
      <c r="GD52" s="2071"/>
      <c r="GE52" s="2071"/>
      <c r="GF52" s="2071"/>
      <c r="GG52" s="2071"/>
      <c r="GH52" s="2071"/>
      <c r="GI52" s="2071"/>
      <c r="GJ52" s="2071"/>
      <c r="GK52" s="2071"/>
      <c r="GL52" s="2071"/>
      <c r="GM52" s="2071"/>
      <c r="GN52" s="2071"/>
      <c r="GO52" s="2071"/>
      <c r="GP52" s="2071"/>
      <c r="GQ52" s="2071"/>
      <c r="GR52" s="2071"/>
      <c r="GS52" s="2071"/>
      <c r="GT52" s="2071"/>
      <c r="GU52" s="2071"/>
      <c r="GV52" s="2071"/>
      <c r="GW52" s="2071"/>
      <c r="GX52" s="2071"/>
      <c r="GY52" s="2071"/>
      <c r="GZ52" s="2071"/>
      <c r="HA52" s="2071"/>
      <c r="HB52" s="2071"/>
      <c r="HC52" s="2071"/>
      <c r="HD52" s="2071"/>
      <c r="HE52" s="2071"/>
      <c r="HF52" s="2071"/>
      <c r="HG52" s="2071"/>
      <c r="HH52" s="2071"/>
      <c r="HI52" s="2071"/>
      <c r="HJ52" s="2071"/>
      <c r="HK52" s="2071"/>
      <c r="HL52" s="2071"/>
      <c r="HM52" s="2071"/>
      <c r="HN52" s="2071"/>
      <c r="HO52" s="2071"/>
      <c r="HP52" s="2071"/>
      <c r="HQ52" s="2071"/>
      <c r="HR52" s="2071"/>
      <c r="HS52" s="2071"/>
      <c r="HT52" s="2071"/>
      <c r="HU52" s="2071"/>
      <c r="HV52" s="2071"/>
      <c r="HW52" s="2071"/>
      <c r="HX52" s="2071"/>
      <c r="HY52" s="2071"/>
      <c r="HZ52" s="2071"/>
      <c r="IA52" s="2071"/>
      <c r="IB52" s="2071"/>
      <c r="IC52" s="2071"/>
      <c r="ID52" s="2071"/>
      <c r="IE52" s="2071"/>
      <c r="IF52" s="2071"/>
      <c r="IG52" s="2071"/>
      <c r="IH52" s="2071"/>
      <c r="II52" s="2071"/>
      <c r="IJ52" s="2071"/>
      <c r="IK52" s="2071"/>
      <c r="IL52" s="2071"/>
      <c r="IM52" s="2071"/>
      <c r="IN52" s="2071"/>
    </row>
    <row r="53" spans="1:248">
      <c r="A53" s="2051" t="s">
        <v>207</v>
      </c>
      <c r="B53" s="2052">
        <f>审定资负表!G12</f>
        <v>1416018.5</v>
      </c>
      <c r="C53" s="2052">
        <f>审定资负表!H12</f>
        <v>1116508.51</v>
      </c>
      <c r="D53" s="2053">
        <f t="shared" si="0"/>
        <v>0.00291794928925664</v>
      </c>
      <c r="E53" s="2054">
        <f t="shared" si="1"/>
        <v>299509.99</v>
      </c>
      <c r="F53" s="2055">
        <f t="shared" si="2"/>
        <v>0.2683</v>
      </c>
      <c r="G53" s="2056"/>
      <c r="H53" s="2057" t="str">
        <f>IF(报表附注!I1982=0,"相符","不相符")</f>
        <v>相符</v>
      </c>
      <c r="I53" s="2085" t="str">
        <f>IF(报表附注!F1982=0,"相符","不相符")</f>
        <v>相符</v>
      </c>
      <c r="J53" s="2070" t="s">
        <v>1928</v>
      </c>
      <c r="K53" s="2071"/>
      <c r="L53" s="2071"/>
      <c r="M53" s="2071"/>
      <c r="N53" s="2071"/>
      <c r="O53" s="2071"/>
      <c r="P53" s="2071"/>
      <c r="Q53" s="2071"/>
      <c r="R53" s="2071"/>
      <c r="S53" s="2071"/>
      <c r="T53" s="2071"/>
      <c r="U53" s="2071"/>
      <c r="V53" s="2071"/>
      <c r="W53" s="2071"/>
      <c r="X53" s="2071"/>
      <c r="Y53" s="2071"/>
      <c r="Z53" s="2071"/>
      <c r="AA53" s="2071"/>
      <c r="AB53" s="2071"/>
      <c r="AC53" s="2071"/>
      <c r="AD53" s="2071"/>
      <c r="AE53" s="2071"/>
      <c r="AF53" s="2071"/>
      <c r="AG53" s="2071"/>
      <c r="AH53" s="2071"/>
      <c r="AI53" s="2071"/>
      <c r="AJ53" s="2071"/>
      <c r="AK53" s="2071"/>
      <c r="AL53" s="2071"/>
      <c r="AM53" s="2071"/>
      <c r="AN53" s="2071"/>
      <c r="AO53" s="2071"/>
      <c r="AP53" s="2071"/>
      <c r="AQ53" s="2071"/>
      <c r="AR53" s="2071"/>
      <c r="AS53" s="2071"/>
      <c r="AT53" s="2071"/>
      <c r="AU53" s="2071"/>
      <c r="AV53" s="2071"/>
      <c r="AW53" s="2071"/>
      <c r="AX53" s="2071"/>
      <c r="AY53" s="2071"/>
      <c r="AZ53" s="2071"/>
      <c r="BA53" s="2071"/>
      <c r="BB53" s="2071"/>
      <c r="BC53" s="2071"/>
      <c r="BD53" s="2071"/>
      <c r="BE53" s="2071"/>
      <c r="BF53" s="2071"/>
      <c r="BG53" s="2071"/>
      <c r="BH53" s="2071"/>
      <c r="BI53" s="2071"/>
      <c r="BJ53" s="2071"/>
      <c r="BK53" s="2071"/>
      <c r="BL53" s="2071"/>
      <c r="BM53" s="2071"/>
      <c r="BN53" s="2071"/>
      <c r="BO53" s="2071"/>
      <c r="BP53" s="2071"/>
      <c r="BQ53" s="2071"/>
      <c r="BR53" s="2071"/>
      <c r="BS53" s="2071"/>
      <c r="BT53" s="2071"/>
      <c r="BU53" s="2071"/>
      <c r="BV53" s="2071"/>
      <c r="BW53" s="2071"/>
      <c r="BX53" s="2071"/>
      <c r="BY53" s="2071"/>
      <c r="BZ53" s="2071"/>
      <c r="CA53" s="2071"/>
      <c r="CB53" s="2071"/>
      <c r="CC53" s="2071"/>
      <c r="CD53" s="2071"/>
      <c r="CE53" s="2071"/>
      <c r="CF53" s="2071"/>
      <c r="CG53" s="2071"/>
      <c r="CH53" s="2071"/>
      <c r="CI53" s="2071"/>
      <c r="CJ53" s="2071"/>
      <c r="CK53" s="2071"/>
      <c r="CL53" s="2071"/>
      <c r="CM53" s="2071"/>
      <c r="CN53" s="2071"/>
      <c r="CO53" s="2071"/>
      <c r="CP53" s="2071"/>
      <c r="CQ53" s="2071"/>
      <c r="CR53" s="2071"/>
      <c r="CS53" s="2071"/>
      <c r="CT53" s="2071"/>
      <c r="CU53" s="2071"/>
      <c r="CV53" s="2071"/>
      <c r="CW53" s="2071"/>
      <c r="CX53" s="2071"/>
      <c r="CY53" s="2071"/>
      <c r="CZ53" s="2071"/>
      <c r="DA53" s="2071"/>
      <c r="DB53" s="2071"/>
      <c r="DC53" s="2071"/>
      <c r="DD53" s="2071"/>
      <c r="DE53" s="2071"/>
      <c r="DF53" s="2071"/>
      <c r="DG53" s="2071"/>
      <c r="DH53" s="2071"/>
      <c r="DI53" s="2071"/>
      <c r="DJ53" s="2071"/>
      <c r="DK53" s="2071"/>
      <c r="DL53" s="2071"/>
      <c r="DM53" s="2071"/>
      <c r="DN53" s="2071"/>
      <c r="DO53" s="2071"/>
      <c r="DP53" s="2071"/>
      <c r="DQ53" s="2071"/>
      <c r="DR53" s="2071"/>
      <c r="DS53" s="2071"/>
      <c r="DT53" s="2071"/>
      <c r="DU53" s="2071"/>
      <c r="DV53" s="2071"/>
      <c r="DW53" s="2071"/>
      <c r="DX53" s="2071"/>
      <c r="DY53" s="2071"/>
      <c r="DZ53" s="2071"/>
      <c r="EA53" s="2071"/>
      <c r="EB53" s="2071"/>
      <c r="EC53" s="2071"/>
      <c r="ED53" s="2071"/>
      <c r="EE53" s="2071"/>
      <c r="EF53" s="2071"/>
      <c r="EG53" s="2071"/>
      <c r="EH53" s="2071"/>
      <c r="EI53" s="2071"/>
      <c r="EJ53" s="2071"/>
      <c r="EK53" s="2071"/>
      <c r="EL53" s="2071"/>
      <c r="EM53" s="2071"/>
      <c r="EN53" s="2071"/>
      <c r="EO53" s="2071"/>
      <c r="EP53" s="2071"/>
      <c r="EQ53" s="2071"/>
      <c r="ER53" s="2071"/>
      <c r="ES53" s="2071"/>
      <c r="ET53" s="2071"/>
      <c r="EU53" s="2071"/>
      <c r="EV53" s="2071"/>
      <c r="EW53" s="2071"/>
      <c r="EX53" s="2071"/>
      <c r="EY53" s="2071"/>
      <c r="EZ53" s="2071"/>
      <c r="FA53" s="2071"/>
      <c r="FB53" s="2071"/>
      <c r="FC53" s="2071"/>
      <c r="FD53" s="2071"/>
      <c r="FE53" s="2071"/>
      <c r="FF53" s="2071"/>
      <c r="FG53" s="2071"/>
      <c r="FH53" s="2071"/>
      <c r="FI53" s="2071"/>
      <c r="FJ53" s="2071"/>
      <c r="FK53" s="2071"/>
      <c r="FL53" s="2071"/>
      <c r="FM53" s="2071"/>
      <c r="FN53" s="2071"/>
      <c r="FO53" s="2071"/>
      <c r="FP53" s="2071"/>
      <c r="FQ53" s="2071"/>
      <c r="FR53" s="2071"/>
      <c r="FS53" s="2071"/>
      <c r="FT53" s="2071"/>
      <c r="FU53" s="2071"/>
      <c r="FV53" s="2071"/>
      <c r="FW53" s="2071"/>
      <c r="FX53" s="2071"/>
      <c r="FY53" s="2071"/>
      <c r="FZ53" s="2071"/>
      <c r="GA53" s="2071"/>
      <c r="GB53" s="2071"/>
      <c r="GC53" s="2071"/>
      <c r="GD53" s="2071"/>
      <c r="GE53" s="2071"/>
      <c r="GF53" s="2071"/>
      <c r="GG53" s="2071"/>
      <c r="GH53" s="2071"/>
      <c r="GI53" s="2071"/>
      <c r="GJ53" s="2071"/>
      <c r="GK53" s="2071"/>
      <c r="GL53" s="2071"/>
      <c r="GM53" s="2071"/>
      <c r="GN53" s="2071"/>
      <c r="GO53" s="2071"/>
      <c r="GP53" s="2071"/>
      <c r="GQ53" s="2071"/>
      <c r="GR53" s="2071"/>
      <c r="GS53" s="2071"/>
      <c r="GT53" s="2071"/>
      <c r="GU53" s="2071"/>
      <c r="GV53" s="2071"/>
      <c r="GW53" s="2071"/>
      <c r="GX53" s="2071"/>
      <c r="GY53" s="2071"/>
      <c r="GZ53" s="2071"/>
      <c r="HA53" s="2071"/>
      <c r="HB53" s="2071"/>
      <c r="HC53" s="2071"/>
      <c r="HD53" s="2071"/>
      <c r="HE53" s="2071"/>
      <c r="HF53" s="2071"/>
      <c r="HG53" s="2071"/>
      <c r="HH53" s="2071"/>
      <c r="HI53" s="2071"/>
      <c r="HJ53" s="2071"/>
      <c r="HK53" s="2071"/>
      <c r="HL53" s="2071"/>
      <c r="HM53" s="2071"/>
      <c r="HN53" s="2071"/>
      <c r="HO53" s="2071"/>
      <c r="HP53" s="2071"/>
      <c r="HQ53" s="2071"/>
      <c r="HR53" s="2071"/>
      <c r="HS53" s="2071"/>
      <c r="HT53" s="2071"/>
      <c r="HU53" s="2071"/>
      <c r="HV53" s="2071"/>
      <c r="HW53" s="2071"/>
      <c r="HX53" s="2071"/>
      <c r="HY53" s="2071"/>
      <c r="HZ53" s="2071"/>
      <c r="IA53" s="2071"/>
      <c r="IB53" s="2071"/>
      <c r="IC53" s="2071"/>
      <c r="ID53" s="2071"/>
      <c r="IE53" s="2071"/>
      <c r="IF53" s="2071"/>
      <c r="IG53" s="2071"/>
      <c r="IH53" s="2071"/>
      <c r="II53" s="2071"/>
      <c r="IJ53" s="2071"/>
      <c r="IK53" s="2071"/>
      <c r="IL53" s="2071"/>
      <c r="IM53" s="2071"/>
      <c r="IN53" s="2071"/>
    </row>
    <row r="54" spans="1:248">
      <c r="A54" s="2051" t="s">
        <v>209</v>
      </c>
      <c r="B54" s="2052">
        <f>审定资负表!G13</f>
        <v>431322.26</v>
      </c>
      <c r="C54" s="2052">
        <f>审定资负表!H13</f>
        <v>5639504.07</v>
      </c>
      <c r="D54" s="2053">
        <f t="shared" si="0"/>
        <v>0.000888813586833482</v>
      </c>
      <c r="E54" s="2054">
        <f t="shared" si="1"/>
        <v>-5208181.81</v>
      </c>
      <c r="F54" s="2055">
        <f t="shared" si="2"/>
        <v>-0.9235</v>
      </c>
      <c r="G54" s="2056"/>
      <c r="H54" s="2057" t="str">
        <f>IF(报表附注!I2019=0,"相符","不相符")</f>
        <v>相符</v>
      </c>
      <c r="I54" s="2085" t="str">
        <f>IF(报表附注!F2019=0,"相符","不相符")</f>
        <v>相符</v>
      </c>
      <c r="J54" s="2072" t="s">
        <v>1930</v>
      </c>
      <c r="K54" s="2071"/>
      <c r="L54" s="2071"/>
      <c r="M54" s="2071"/>
      <c r="N54" s="2071"/>
      <c r="O54" s="2071"/>
      <c r="P54" s="2071"/>
      <c r="Q54" s="2071"/>
      <c r="R54" s="2071"/>
      <c r="S54" s="2071"/>
      <c r="T54" s="2071"/>
      <c r="U54" s="2071"/>
      <c r="V54" s="2071"/>
      <c r="W54" s="2071"/>
      <c r="X54" s="2071"/>
      <c r="Y54" s="2071"/>
      <c r="Z54" s="2071"/>
      <c r="AA54" s="2071"/>
      <c r="AB54" s="2071"/>
      <c r="AC54" s="2071"/>
      <c r="AD54" s="2071"/>
      <c r="AE54" s="2071"/>
      <c r="AF54" s="2071"/>
      <c r="AG54" s="2071"/>
      <c r="AH54" s="2071"/>
      <c r="AI54" s="2071"/>
      <c r="AJ54" s="2071"/>
      <c r="AK54" s="2071"/>
      <c r="AL54" s="2071"/>
      <c r="AM54" s="2071"/>
      <c r="AN54" s="2071"/>
      <c r="AO54" s="2071"/>
      <c r="AP54" s="2071"/>
      <c r="AQ54" s="2071"/>
      <c r="AR54" s="2071"/>
      <c r="AS54" s="2071"/>
      <c r="AT54" s="2071"/>
      <c r="AU54" s="2071"/>
      <c r="AV54" s="2071"/>
      <c r="AW54" s="2071"/>
      <c r="AX54" s="2071"/>
      <c r="AY54" s="2071"/>
      <c r="AZ54" s="2071"/>
      <c r="BA54" s="2071"/>
      <c r="BB54" s="2071"/>
      <c r="BC54" s="2071"/>
      <c r="BD54" s="2071"/>
      <c r="BE54" s="2071"/>
      <c r="BF54" s="2071"/>
      <c r="BG54" s="2071"/>
      <c r="BH54" s="2071"/>
      <c r="BI54" s="2071"/>
      <c r="BJ54" s="2071"/>
      <c r="BK54" s="2071"/>
      <c r="BL54" s="2071"/>
      <c r="BM54" s="2071"/>
      <c r="BN54" s="2071"/>
      <c r="BO54" s="2071"/>
      <c r="BP54" s="2071"/>
      <c r="BQ54" s="2071"/>
      <c r="BR54" s="2071"/>
      <c r="BS54" s="2071"/>
      <c r="BT54" s="2071"/>
      <c r="BU54" s="2071"/>
      <c r="BV54" s="2071"/>
      <c r="BW54" s="2071"/>
      <c r="BX54" s="2071"/>
      <c r="BY54" s="2071"/>
      <c r="BZ54" s="2071"/>
      <c r="CA54" s="2071"/>
      <c r="CB54" s="2071"/>
      <c r="CC54" s="2071"/>
      <c r="CD54" s="2071"/>
      <c r="CE54" s="2071"/>
      <c r="CF54" s="2071"/>
      <c r="CG54" s="2071"/>
      <c r="CH54" s="2071"/>
      <c r="CI54" s="2071"/>
      <c r="CJ54" s="2071"/>
      <c r="CK54" s="2071"/>
      <c r="CL54" s="2071"/>
      <c r="CM54" s="2071"/>
      <c r="CN54" s="2071"/>
      <c r="CO54" s="2071"/>
      <c r="CP54" s="2071"/>
      <c r="CQ54" s="2071"/>
      <c r="CR54" s="2071"/>
      <c r="CS54" s="2071"/>
      <c r="CT54" s="2071"/>
      <c r="CU54" s="2071"/>
      <c r="CV54" s="2071"/>
      <c r="CW54" s="2071"/>
      <c r="CX54" s="2071"/>
      <c r="CY54" s="2071"/>
      <c r="CZ54" s="2071"/>
      <c r="DA54" s="2071"/>
      <c r="DB54" s="2071"/>
      <c r="DC54" s="2071"/>
      <c r="DD54" s="2071"/>
      <c r="DE54" s="2071"/>
      <c r="DF54" s="2071"/>
      <c r="DG54" s="2071"/>
      <c r="DH54" s="2071"/>
      <c r="DI54" s="2071"/>
      <c r="DJ54" s="2071"/>
      <c r="DK54" s="2071"/>
      <c r="DL54" s="2071"/>
      <c r="DM54" s="2071"/>
      <c r="DN54" s="2071"/>
      <c r="DO54" s="2071"/>
      <c r="DP54" s="2071"/>
      <c r="DQ54" s="2071"/>
      <c r="DR54" s="2071"/>
      <c r="DS54" s="2071"/>
      <c r="DT54" s="2071"/>
      <c r="DU54" s="2071"/>
      <c r="DV54" s="2071"/>
      <c r="DW54" s="2071"/>
      <c r="DX54" s="2071"/>
      <c r="DY54" s="2071"/>
      <c r="DZ54" s="2071"/>
      <c r="EA54" s="2071"/>
      <c r="EB54" s="2071"/>
      <c r="EC54" s="2071"/>
      <c r="ED54" s="2071"/>
      <c r="EE54" s="2071"/>
      <c r="EF54" s="2071"/>
      <c r="EG54" s="2071"/>
      <c r="EH54" s="2071"/>
      <c r="EI54" s="2071"/>
      <c r="EJ54" s="2071"/>
      <c r="EK54" s="2071"/>
      <c r="EL54" s="2071"/>
      <c r="EM54" s="2071"/>
      <c r="EN54" s="2071"/>
      <c r="EO54" s="2071"/>
      <c r="EP54" s="2071"/>
      <c r="EQ54" s="2071"/>
      <c r="ER54" s="2071"/>
      <c r="ES54" s="2071"/>
      <c r="ET54" s="2071"/>
      <c r="EU54" s="2071"/>
      <c r="EV54" s="2071"/>
      <c r="EW54" s="2071"/>
      <c r="EX54" s="2071"/>
      <c r="EY54" s="2071"/>
      <c r="EZ54" s="2071"/>
      <c r="FA54" s="2071"/>
      <c r="FB54" s="2071"/>
      <c r="FC54" s="2071"/>
      <c r="FD54" s="2071"/>
      <c r="FE54" s="2071"/>
      <c r="FF54" s="2071"/>
      <c r="FG54" s="2071"/>
      <c r="FH54" s="2071"/>
      <c r="FI54" s="2071"/>
      <c r="FJ54" s="2071"/>
      <c r="FK54" s="2071"/>
      <c r="FL54" s="2071"/>
      <c r="FM54" s="2071"/>
      <c r="FN54" s="2071"/>
      <c r="FO54" s="2071"/>
      <c r="FP54" s="2071"/>
      <c r="FQ54" s="2071"/>
      <c r="FR54" s="2071"/>
      <c r="FS54" s="2071"/>
      <c r="FT54" s="2071"/>
      <c r="FU54" s="2071"/>
      <c r="FV54" s="2071"/>
      <c r="FW54" s="2071"/>
      <c r="FX54" s="2071"/>
      <c r="FY54" s="2071"/>
      <c r="FZ54" s="2071"/>
      <c r="GA54" s="2071"/>
      <c r="GB54" s="2071"/>
      <c r="GC54" s="2071"/>
      <c r="GD54" s="2071"/>
      <c r="GE54" s="2071"/>
      <c r="GF54" s="2071"/>
      <c r="GG54" s="2071"/>
      <c r="GH54" s="2071"/>
      <c r="GI54" s="2071"/>
      <c r="GJ54" s="2071"/>
      <c r="GK54" s="2071"/>
      <c r="GL54" s="2071"/>
      <c r="GM54" s="2071"/>
      <c r="GN54" s="2071"/>
      <c r="GO54" s="2071"/>
      <c r="GP54" s="2071"/>
      <c r="GQ54" s="2071"/>
      <c r="GR54" s="2071"/>
      <c r="GS54" s="2071"/>
      <c r="GT54" s="2071"/>
      <c r="GU54" s="2071"/>
      <c r="GV54" s="2071"/>
      <c r="GW54" s="2071"/>
      <c r="GX54" s="2071"/>
      <c r="GY54" s="2071"/>
      <c r="GZ54" s="2071"/>
      <c r="HA54" s="2071"/>
      <c r="HB54" s="2071"/>
      <c r="HC54" s="2071"/>
      <c r="HD54" s="2071"/>
      <c r="HE54" s="2071"/>
      <c r="HF54" s="2071"/>
      <c r="HG54" s="2071"/>
      <c r="HH54" s="2071"/>
      <c r="HI54" s="2071"/>
      <c r="HJ54" s="2071"/>
      <c r="HK54" s="2071"/>
      <c r="HL54" s="2071"/>
      <c r="HM54" s="2071"/>
      <c r="HN54" s="2071"/>
      <c r="HO54" s="2071"/>
      <c r="HP54" s="2071"/>
      <c r="HQ54" s="2071"/>
      <c r="HR54" s="2071"/>
      <c r="HS54" s="2071"/>
      <c r="HT54" s="2071"/>
      <c r="HU54" s="2071"/>
      <c r="HV54" s="2071"/>
      <c r="HW54" s="2071"/>
      <c r="HX54" s="2071"/>
      <c r="HY54" s="2071"/>
      <c r="HZ54" s="2071"/>
      <c r="IA54" s="2071"/>
      <c r="IB54" s="2071"/>
      <c r="IC54" s="2071"/>
      <c r="ID54" s="2071"/>
      <c r="IE54" s="2071"/>
      <c r="IF54" s="2071"/>
      <c r="IG54" s="2071"/>
      <c r="IH54" s="2071"/>
      <c r="II54" s="2071"/>
      <c r="IJ54" s="2071"/>
      <c r="IK54" s="2071"/>
      <c r="IL54" s="2071"/>
      <c r="IM54" s="2071"/>
      <c r="IN54" s="2071"/>
    </row>
    <row r="55" spans="1:248">
      <c r="A55" s="2051" t="s">
        <v>211</v>
      </c>
      <c r="B55" s="2052">
        <f>审定资负表!G14</f>
        <v>120815.96</v>
      </c>
      <c r="C55" s="2052">
        <f>审定资负表!H14</f>
        <v>151896.35</v>
      </c>
      <c r="D55" s="2053">
        <f t="shared" si="0"/>
        <v>0.000248962033061615</v>
      </c>
      <c r="E55" s="2054">
        <f t="shared" si="1"/>
        <v>-31080.39</v>
      </c>
      <c r="F55" s="2055">
        <f t="shared" si="2"/>
        <v>-0.2046</v>
      </c>
      <c r="G55" s="2056"/>
      <c r="H55" s="2057" t="str">
        <f>IF(报表附注!F2033=0,"相符","不相符")</f>
        <v>相符</v>
      </c>
      <c r="I55" s="2057" t="str">
        <f>IF(报表附注!G2033=0,"相符","不相符")</f>
        <v>相符</v>
      </c>
      <c r="J55" s="2070" t="s">
        <v>1932</v>
      </c>
      <c r="K55" s="2071"/>
      <c r="L55" s="2071"/>
      <c r="M55" s="2071"/>
      <c r="N55" s="2071"/>
      <c r="O55" s="2071"/>
      <c r="P55" s="2071"/>
      <c r="Q55" s="2071"/>
      <c r="R55" s="2071"/>
      <c r="S55" s="2071"/>
      <c r="T55" s="2071"/>
      <c r="U55" s="2071"/>
      <c r="V55" s="2071"/>
      <c r="W55" s="2071"/>
      <c r="X55" s="2071"/>
      <c r="Y55" s="2071"/>
      <c r="Z55" s="2071"/>
      <c r="AA55" s="2071"/>
      <c r="AB55" s="2071"/>
      <c r="AC55" s="2071"/>
      <c r="AD55" s="2071"/>
      <c r="AE55" s="2071"/>
      <c r="AF55" s="2071"/>
      <c r="AG55" s="2071"/>
      <c r="AH55" s="2071"/>
      <c r="AI55" s="2071"/>
      <c r="AJ55" s="2071"/>
      <c r="AK55" s="2071"/>
      <c r="AL55" s="2071"/>
      <c r="AM55" s="2071"/>
      <c r="AN55" s="2071"/>
      <c r="AO55" s="2071"/>
      <c r="AP55" s="2071"/>
      <c r="AQ55" s="2071"/>
      <c r="AR55" s="2071"/>
      <c r="AS55" s="2071"/>
      <c r="AT55" s="2071"/>
      <c r="AU55" s="2071"/>
      <c r="AV55" s="2071"/>
      <c r="AW55" s="2071"/>
      <c r="AX55" s="2071"/>
      <c r="AY55" s="2071"/>
      <c r="AZ55" s="2071"/>
      <c r="BA55" s="2071"/>
      <c r="BB55" s="2071"/>
      <c r="BC55" s="2071"/>
      <c r="BD55" s="2071"/>
      <c r="BE55" s="2071"/>
      <c r="BF55" s="2071"/>
      <c r="BG55" s="2071"/>
      <c r="BH55" s="2071"/>
      <c r="BI55" s="2071"/>
      <c r="BJ55" s="2071"/>
      <c r="BK55" s="2071"/>
      <c r="BL55" s="2071"/>
      <c r="BM55" s="2071"/>
      <c r="BN55" s="2071"/>
      <c r="BO55" s="2071"/>
      <c r="BP55" s="2071"/>
      <c r="BQ55" s="2071"/>
      <c r="BR55" s="2071"/>
      <c r="BS55" s="2071"/>
      <c r="BT55" s="2071"/>
      <c r="BU55" s="2071"/>
      <c r="BV55" s="2071"/>
      <c r="BW55" s="2071"/>
      <c r="BX55" s="2071"/>
      <c r="BY55" s="2071"/>
      <c r="BZ55" s="2071"/>
      <c r="CA55" s="2071"/>
      <c r="CB55" s="2071"/>
      <c r="CC55" s="2071"/>
      <c r="CD55" s="2071"/>
      <c r="CE55" s="2071"/>
      <c r="CF55" s="2071"/>
      <c r="CG55" s="2071"/>
      <c r="CH55" s="2071"/>
      <c r="CI55" s="2071"/>
      <c r="CJ55" s="2071"/>
      <c r="CK55" s="2071"/>
      <c r="CL55" s="2071"/>
      <c r="CM55" s="2071"/>
      <c r="CN55" s="2071"/>
      <c r="CO55" s="2071"/>
      <c r="CP55" s="2071"/>
      <c r="CQ55" s="2071"/>
      <c r="CR55" s="2071"/>
      <c r="CS55" s="2071"/>
      <c r="CT55" s="2071"/>
      <c r="CU55" s="2071"/>
      <c r="CV55" s="2071"/>
      <c r="CW55" s="2071"/>
      <c r="CX55" s="2071"/>
      <c r="CY55" s="2071"/>
      <c r="CZ55" s="2071"/>
      <c r="DA55" s="2071"/>
      <c r="DB55" s="2071"/>
      <c r="DC55" s="2071"/>
      <c r="DD55" s="2071"/>
      <c r="DE55" s="2071"/>
      <c r="DF55" s="2071"/>
      <c r="DG55" s="2071"/>
      <c r="DH55" s="2071"/>
      <c r="DI55" s="2071"/>
      <c r="DJ55" s="2071"/>
      <c r="DK55" s="2071"/>
      <c r="DL55" s="2071"/>
      <c r="DM55" s="2071"/>
      <c r="DN55" s="2071"/>
      <c r="DO55" s="2071"/>
      <c r="DP55" s="2071"/>
      <c r="DQ55" s="2071"/>
      <c r="DR55" s="2071"/>
      <c r="DS55" s="2071"/>
      <c r="DT55" s="2071"/>
      <c r="DU55" s="2071"/>
      <c r="DV55" s="2071"/>
      <c r="DW55" s="2071"/>
      <c r="DX55" s="2071"/>
      <c r="DY55" s="2071"/>
      <c r="DZ55" s="2071"/>
      <c r="EA55" s="2071"/>
      <c r="EB55" s="2071"/>
      <c r="EC55" s="2071"/>
      <c r="ED55" s="2071"/>
      <c r="EE55" s="2071"/>
      <c r="EF55" s="2071"/>
      <c r="EG55" s="2071"/>
      <c r="EH55" s="2071"/>
      <c r="EI55" s="2071"/>
      <c r="EJ55" s="2071"/>
      <c r="EK55" s="2071"/>
      <c r="EL55" s="2071"/>
      <c r="EM55" s="2071"/>
      <c r="EN55" s="2071"/>
      <c r="EO55" s="2071"/>
      <c r="EP55" s="2071"/>
      <c r="EQ55" s="2071"/>
      <c r="ER55" s="2071"/>
      <c r="ES55" s="2071"/>
      <c r="ET55" s="2071"/>
      <c r="EU55" s="2071"/>
      <c r="EV55" s="2071"/>
      <c r="EW55" s="2071"/>
      <c r="EX55" s="2071"/>
      <c r="EY55" s="2071"/>
      <c r="EZ55" s="2071"/>
      <c r="FA55" s="2071"/>
      <c r="FB55" s="2071"/>
      <c r="FC55" s="2071"/>
      <c r="FD55" s="2071"/>
      <c r="FE55" s="2071"/>
      <c r="FF55" s="2071"/>
      <c r="FG55" s="2071"/>
      <c r="FH55" s="2071"/>
      <c r="FI55" s="2071"/>
      <c r="FJ55" s="2071"/>
      <c r="FK55" s="2071"/>
      <c r="FL55" s="2071"/>
      <c r="FM55" s="2071"/>
      <c r="FN55" s="2071"/>
      <c r="FO55" s="2071"/>
      <c r="FP55" s="2071"/>
      <c r="FQ55" s="2071"/>
      <c r="FR55" s="2071"/>
      <c r="FS55" s="2071"/>
      <c r="FT55" s="2071"/>
      <c r="FU55" s="2071"/>
      <c r="FV55" s="2071"/>
      <c r="FW55" s="2071"/>
      <c r="FX55" s="2071"/>
      <c r="FY55" s="2071"/>
      <c r="FZ55" s="2071"/>
      <c r="GA55" s="2071"/>
      <c r="GB55" s="2071"/>
      <c r="GC55" s="2071"/>
      <c r="GD55" s="2071"/>
      <c r="GE55" s="2071"/>
      <c r="GF55" s="2071"/>
      <c r="GG55" s="2071"/>
      <c r="GH55" s="2071"/>
      <c r="GI55" s="2071"/>
      <c r="GJ55" s="2071"/>
      <c r="GK55" s="2071"/>
      <c r="GL55" s="2071"/>
      <c r="GM55" s="2071"/>
      <c r="GN55" s="2071"/>
      <c r="GO55" s="2071"/>
      <c r="GP55" s="2071"/>
      <c r="GQ55" s="2071"/>
      <c r="GR55" s="2071"/>
      <c r="GS55" s="2071"/>
      <c r="GT55" s="2071"/>
      <c r="GU55" s="2071"/>
      <c r="GV55" s="2071"/>
      <c r="GW55" s="2071"/>
      <c r="GX55" s="2071"/>
      <c r="GY55" s="2071"/>
      <c r="GZ55" s="2071"/>
      <c r="HA55" s="2071"/>
      <c r="HB55" s="2071"/>
      <c r="HC55" s="2071"/>
      <c r="HD55" s="2071"/>
      <c r="HE55" s="2071"/>
      <c r="HF55" s="2071"/>
      <c r="HG55" s="2071"/>
      <c r="HH55" s="2071"/>
      <c r="HI55" s="2071"/>
      <c r="HJ55" s="2071"/>
      <c r="HK55" s="2071"/>
      <c r="HL55" s="2071"/>
      <c r="HM55" s="2071"/>
      <c r="HN55" s="2071"/>
      <c r="HO55" s="2071"/>
      <c r="HP55" s="2071"/>
      <c r="HQ55" s="2071"/>
      <c r="HR55" s="2071"/>
      <c r="HS55" s="2071"/>
      <c r="HT55" s="2071"/>
      <c r="HU55" s="2071"/>
      <c r="HV55" s="2071"/>
      <c r="HW55" s="2071"/>
      <c r="HX55" s="2071"/>
      <c r="HY55" s="2071"/>
      <c r="HZ55" s="2071"/>
      <c r="IA55" s="2071"/>
      <c r="IB55" s="2071"/>
      <c r="IC55" s="2071"/>
      <c r="ID55" s="2071"/>
      <c r="IE55" s="2071"/>
      <c r="IF55" s="2071"/>
      <c r="IG55" s="2071"/>
      <c r="IH55" s="2071"/>
      <c r="II55" s="2071"/>
      <c r="IJ55" s="2071"/>
      <c r="IK55" s="2071"/>
      <c r="IL55" s="2071"/>
      <c r="IM55" s="2071"/>
      <c r="IN55" s="2071"/>
    </row>
    <row r="56" spans="1:248">
      <c r="A56" s="2051" t="s">
        <v>213</v>
      </c>
      <c r="B56" s="2052">
        <f>审定资负表!G15</f>
        <v>0</v>
      </c>
      <c r="C56" s="2052">
        <f>审定资负表!H15</f>
        <v>0</v>
      </c>
      <c r="D56" s="2053" t="str">
        <f t="shared" si="0"/>
        <v> </v>
      </c>
      <c r="E56" s="2054">
        <f t="shared" si="1"/>
        <v>0</v>
      </c>
      <c r="F56" s="2055" t="str">
        <f t="shared" si="2"/>
        <v/>
      </c>
      <c r="G56" s="2056"/>
      <c r="H56" s="2057" t="str">
        <f>IF(报表附注!F2059=0,"相符","不相符")</f>
        <v>相符</v>
      </c>
      <c r="I56" s="2057" t="str">
        <f>IF(报表附注!G2059=0,"相符","不相符")</f>
        <v>相符</v>
      </c>
      <c r="J56" s="2070" t="s">
        <v>1935</v>
      </c>
      <c r="K56" s="2071"/>
      <c r="L56" s="2071"/>
      <c r="M56" s="2071"/>
      <c r="N56" s="2071"/>
      <c r="O56" s="2071"/>
      <c r="P56" s="2071"/>
      <c r="Q56" s="2071"/>
      <c r="R56" s="2071"/>
      <c r="S56" s="2071"/>
      <c r="T56" s="2071"/>
      <c r="U56" s="2071"/>
      <c r="V56" s="2071"/>
      <c r="W56" s="2071"/>
      <c r="X56" s="2071"/>
      <c r="Y56" s="2071"/>
      <c r="Z56" s="2071"/>
      <c r="AA56" s="2071"/>
      <c r="AB56" s="2071"/>
      <c r="AC56" s="2071"/>
      <c r="AD56" s="2071"/>
      <c r="AE56" s="2071"/>
      <c r="AF56" s="2071"/>
      <c r="AG56" s="2071"/>
      <c r="AH56" s="2071"/>
      <c r="AI56" s="2071"/>
      <c r="AJ56" s="2071"/>
      <c r="AK56" s="2071"/>
      <c r="AL56" s="2071"/>
      <c r="AM56" s="2071"/>
      <c r="AN56" s="2071"/>
      <c r="AO56" s="2071"/>
      <c r="AP56" s="2071"/>
      <c r="AQ56" s="2071"/>
      <c r="AR56" s="2071"/>
      <c r="AS56" s="2071"/>
      <c r="AT56" s="2071"/>
      <c r="AU56" s="2071"/>
      <c r="AV56" s="2071"/>
      <c r="AW56" s="2071"/>
      <c r="AX56" s="2071"/>
      <c r="AY56" s="2071"/>
      <c r="AZ56" s="2071"/>
      <c r="BA56" s="2071"/>
      <c r="BB56" s="2071"/>
      <c r="BC56" s="2071"/>
      <c r="BD56" s="2071"/>
      <c r="BE56" s="2071"/>
      <c r="BF56" s="2071"/>
      <c r="BG56" s="2071"/>
      <c r="BH56" s="2071"/>
      <c r="BI56" s="2071"/>
      <c r="BJ56" s="2071"/>
      <c r="BK56" s="2071"/>
      <c r="BL56" s="2071"/>
      <c r="BM56" s="2071"/>
      <c r="BN56" s="2071"/>
      <c r="BO56" s="2071"/>
      <c r="BP56" s="2071"/>
      <c r="BQ56" s="2071"/>
      <c r="BR56" s="2071"/>
      <c r="BS56" s="2071"/>
      <c r="BT56" s="2071"/>
      <c r="BU56" s="2071"/>
      <c r="BV56" s="2071"/>
      <c r="BW56" s="2071"/>
      <c r="BX56" s="2071"/>
      <c r="BY56" s="2071"/>
      <c r="BZ56" s="2071"/>
      <c r="CA56" s="2071"/>
      <c r="CB56" s="2071"/>
      <c r="CC56" s="2071"/>
      <c r="CD56" s="2071"/>
      <c r="CE56" s="2071"/>
      <c r="CF56" s="2071"/>
      <c r="CG56" s="2071"/>
      <c r="CH56" s="2071"/>
      <c r="CI56" s="2071"/>
      <c r="CJ56" s="2071"/>
      <c r="CK56" s="2071"/>
      <c r="CL56" s="2071"/>
      <c r="CM56" s="2071"/>
      <c r="CN56" s="2071"/>
      <c r="CO56" s="2071"/>
      <c r="CP56" s="2071"/>
      <c r="CQ56" s="2071"/>
      <c r="CR56" s="2071"/>
      <c r="CS56" s="2071"/>
      <c r="CT56" s="2071"/>
      <c r="CU56" s="2071"/>
      <c r="CV56" s="2071"/>
      <c r="CW56" s="2071"/>
      <c r="CX56" s="2071"/>
      <c r="CY56" s="2071"/>
      <c r="CZ56" s="2071"/>
      <c r="DA56" s="2071"/>
      <c r="DB56" s="2071"/>
      <c r="DC56" s="2071"/>
      <c r="DD56" s="2071"/>
      <c r="DE56" s="2071"/>
      <c r="DF56" s="2071"/>
      <c r="DG56" s="2071"/>
      <c r="DH56" s="2071"/>
      <c r="DI56" s="2071"/>
      <c r="DJ56" s="2071"/>
      <c r="DK56" s="2071"/>
      <c r="DL56" s="2071"/>
      <c r="DM56" s="2071"/>
      <c r="DN56" s="2071"/>
      <c r="DO56" s="2071"/>
      <c r="DP56" s="2071"/>
      <c r="DQ56" s="2071"/>
      <c r="DR56" s="2071"/>
      <c r="DS56" s="2071"/>
      <c r="DT56" s="2071"/>
      <c r="DU56" s="2071"/>
      <c r="DV56" s="2071"/>
      <c r="DW56" s="2071"/>
      <c r="DX56" s="2071"/>
      <c r="DY56" s="2071"/>
      <c r="DZ56" s="2071"/>
      <c r="EA56" s="2071"/>
      <c r="EB56" s="2071"/>
      <c r="EC56" s="2071"/>
      <c r="ED56" s="2071"/>
      <c r="EE56" s="2071"/>
      <c r="EF56" s="2071"/>
      <c r="EG56" s="2071"/>
      <c r="EH56" s="2071"/>
      <c r="EI56" s="2071"/>
      <c r="EJ56" s="2071"/>
      <c r="EK56" s="2071"/>
      <c r="EL56" s="2071"/>
      <c r="EM56" s="2071"/>
      <c r="EN56" s="2071"/>
      <c r="EO56" s="2071"/>
      <c r="EP56" s="2071"/>
      <c r="EQ56" s="2071"/>
      <c r="ER56" s="2071"/>
      <c r="ES56" s="2071"/>
      <c r="ET56" s="2071"/>
      <c r="EU56" s="2071"/>
      <c r="EV56" s="2071"/>
      <c r="EW56" s="2071"/>
      <c r="EX56" s="2071"/>
      <c r="EY56" s="2071"/>
      <c r="EZ56" s="2071"/>
      <c r="FA56" s="2071"/>
      <c r="FB56" s="2071"/>
      <c r="FC56" s="2071"/>
      <c r="FD56" s="2071"/>
      <c r="FE56" s="2071"/>
      <c r="FF56" s="2071"/>
      <c r="FG56" s="2071"/>
      <c r="FH56" s="2071"/>
      <c r="FI56" s="2071"/>
      <c r="FJ56" s="2071"/>
      <c r="FK56" s="2071"/>
      <c r="FL56" s="2071"/>
      <c r="FM56" s="2071"/>
      <c r="FN56" s="2071"/>
      <c r="FO56" s="2071"/>
      <c r="FP56" s="2071"/>
      <c r="FQ56" s="2071"/>
      <c r="FR56" s="2071"/>
      <c r="FS56" s="2071"/>
      <c r="FT56" s="2071"/>
      <c r="FU56" s="2071"/>
      <c r="FV56" s="2071"/>
      <c r="FW56" s="2071"/>
      <c r="FX56" s="2071"/>
      <c r="FY56" s="2071"/>
      <c r="FZ56" s="2071"/>
      <c r="GA56" s="2071"/>
      <c r="GB56" s="2071"/>
      <c r="GC56" s="2071"/>
      <c r="GD56" s="2071"/>
      <c r="GE56" s="2071"/>
      <c r="GF56" s="2071"/>
      <c r="GG56" s="2071"/>
      <c r="GH56" s="2071"/>
      <c r="GI56" s="2071"/>
      <c r="GJ56" s="2071"/>
      <c r="GK56" s="2071"/>
      <c r="GL56" s="2071"/>
      <c r="GM56" s="2071"/>
      <c r="GN56" s="2071"/>
      <c r="GO56" s="2071"/>
      <c r="GP56" s="2071"/>
      <c r="GQ56" s="2071"/>
      <c r="GR56" s="2071"/>
      <c r="GS56" s="2071"/>
      <c r="GT56" s="2071"/>
      <c r="GU56" s="2071"/>
      <c r="GV56" s="2071"/>
      <c r="GW56" s="2071"/>
      <c r="GX56" s="2071"/>
      <c r="GY56" s="2071"/>
      <c r="GZ56" s="2071"/>
      <c r="HA56" s="2071"/>
      <c r="HB56" s="2071"/>
      <c r="HC56" s="2071"/>
      <c r="HD56" s="2071"/>
      <c r="HE56" s="2071"/>
      <c r="HF56" s="2071"/>
      <c r="HG56" s="2071"/>
      <c r="HH56" s="2071"/>
      <c r="HI56" s="2071"/>
      <c r="HJ56" s="2071"/>
      <c r="HK56" s="2071"/>
      <c r="HL56" s="2071"/>
      <c r="HM56" s="2071"/>
      <c r="HN56" s="2071"/>
      <c r="HO56" s="2071"/>
      <c r="HP56" s="2071"/>
      <c r="HQ56" s="2071"/>
      <c r="HR56" s="2071"/>
      <c r="HS56" s="2071"/>
      <c r="HT56" s="2071"/>
      <c r="HU56" s="2071"/>
      <c r="HV56" s="2071"/>
      <c r="HW56" s="2071"/>
      <c r="HX56" s="2071"/>
      <c r="HY56" s="2071"/>
      <c r="HZ56" s="2071"/>
      <c r="IA56" s="2071"/>
      <c r="IB56" s="2071"/>
      <c r="IC56" s="2071"/>
      <c r="ID56" s="2071"/>
      <c r="IE56" s="2071"/>
      <c r="IF56" s="2071"/>
      <c r="IG56" s="2071"/>
      <c r="IH56" s="2071"/>
      <c r="II56" s="2071"/>
      <c r="IJ56" s="2071"/>
      <c r="IK56" s="2071"/>
      <c r="IL56" s="2071"/>
      <c r="IM56" s="2071"/>
      <c r="IN56" s="2071"/>
    </row>
    <row r="57" spans="1:248">
      <c r="A57" s="2051" t="s">
        <v>215</v>
      </c>
      <c r="B57" s="2052">
        <f>审定资负表!G16</f>
        <v>19669739.82</v>
      </c>
      <c r="C57" s="2052">
        <f>审定资负表!H16</f>
        <v>7123460.48</v>
      </c>
      <c r="D57" s="2053">
        <f t="shared" si="0"/>
        <v>0.0405328767439352</v>
      </c>
      <c r="E57" s="2054">
        <f t="shared" si="1"/>
        <v>12546279.34</v>
      </c>
      <c r="F57" s="2055">
        <f t="shared" si="2"/>
        <v>1.7613</v>
      </c>
      <c r="G57" s="2056"/>
      <c r="H57" s="2057" t="str">
        <f>IF(报表附注!F2073=0,"相符","不相符")</f>
        <v>相符</v>
      </c>
      <c r="I57" s="2057" t="str">
        <f>IF(报表附注!G2073=0,"相符","不相符")</f>
        <v>相符</v>
      </c>
      <c r="J57" s="2072" t="s">
        <v>1937</v>
      </c>
      <c r="K57" s="2071"/>
      <c r="L57" s="2071"/>
      <c r="M57" s="2071"/>
      <c r="N57" s="2071"/>
      <c r="O57" s="2071"/>
      <c r="P57" s="2071"/>
      <c r="Q57" s="2071"/>
      <c r="R57" s="2071"/>
      <c r="S57" s="2071"/>
      <c r="T57" s="2071"/>
      <c r="U57" s="2071"/>
      <c r="V57" s="2071"/>
      <c r="W57" s="2071"/>
      <c r="X57" s="2071"/>
      <c r="Y57" s="2071"/>
      <c r="Z57" s="2071"/>
      <c r="AA57" s="2071"/>
      <c r="AB57" s="2071"/>
      <c r="AC57" s="2071"/>
      <c r="AD57" s="2071"/>
      <c r="AE57" s="2071"/>
      <c r="AF57" s="2071"/>
      <c r="AG57" s="2071"/>
      <c r="AH57" s="2071"/>
      <c r="AI57" s="2071"/>
      <c r="AJ57" s="2071"/>
      <c r="AK57" s="2071"/>
      <c r="AL57" s="2071"/>
      <c r="AM57" s="2071"/>
      <c r="AN57" s="2071"/>
      <c r="AO57" s="2071"/>
      <c r="AP57" s="2071"/>
      <c r="AQ57" s="2071"/>
      <c r="AR57" s="2071"/>
      <c r="AS57" s="2071"/>
      <c r="AT57" s="2071"/>
      <c r="AU57" s="2071"/>
      <c r="AV57" s="2071"/>
      <c r="AW57" s="2071"/>
      <c r="AX57" s="2071"/>
      <c r="AY57" s="2071"/>
      <c r="AZ57" s="2071"/>
      <c r="BA57" s="2071"/>
      <c r="BB57" s="2071"/>
      <c r="BC57" s="2071"/>
      <c r="BD57" s="2071"/>
      <c r="BE57" s="2071"/>
      <c r="BF57" s="2071"/>
      <c r="BG57" s="2071"/>
      <c r="BH57" s="2071"/>
      <c r="BI57" s="2071"/>
      <c r="BJ57" s="2071"/>
      <c r="BK57" s="2071"/>
      <c r="BL57" s="2071"/>
      <c r="BM57" s="2071"/>
      <c r="BN57" s="2071"/>
      <c r="BO57" s="2071"/>
      <c r="BP57" s="2071"/>
      <c r="BQ57" s="2071"/>
      <c r="BR57" s="2071"/>
      <c r="BS57" s="2071"/>
      <c r="BT57" s="2071"/>
      <c r="BU57" s="2071"/>
      <c r="BV57" s="2071"/>
      <c r="BW57" s="2071"/>
      <c r="BX57" s="2071"/>
      <c r="BY57" s="2071"/>
      <c r="BZ57" s="2071"/>
      <c r="CA57" s="2071"/>
      <c r="CB57" s="2071"/>
      <c r="CC57" s="2071"/>
      <c r="CD57" s="2071"/>
      <c r="CE57" s="2071"/>
      <c r="CF57" s="2071"/>
      <c r="CG57" s="2071"/>
      <c r="CH57" s="2071"/>
      <c r="CI57" s="2071"/>
      <c r="CJ57" s="2071"/>
      <c r="CK57" s="2071"/>
      <c r="CL57" s="2071"/>
      <c r="CM57" s="2071"/>
      <c r="CN57" s="2071"/>
      <c r="CO57" s="2071"/>
      <c r="CP57" s="2071"/>
      <c r="CQ57" s="2071"/>
      <c r="CR57" s="2071"/>
      <c r="CS57" s="2071"/>
      <c r="CT57" s="2071"/>
      <c r="CU57" s="2071"/>
      <c r="CV57" s="2071"/>
      <c r="CW57" s="2071"/>
      <c r="CX57" s="2071"/>
      <c r="CY57" s="2071"/>
      <c r="CZ57" s="2071"/>
      <c r="DA57" s="2071"/>
      <c r="DB57" s="2071"/>
      <c r="DC57" s="2071"/>
      <c r="DD57" s="2071"/>
      <c r="DE57" s="2071"/>
      <c r="DF57" s="2071"/>
      <c r="DG57" s="2071"/>
      <c r="DH57" s="2071"/>
      <c r="DI57" s="2071"/>
      <c r="DJ57" s="2071"/>
      <c r="DK57" s="2071"/>
      <c r="DL57" s="2071"/>
      <c r="DM57" s="2071"/>
      <c r="DN57" s="2071"/>
      <c r="DO57" s="2071"/>
      <c r="DP57" s="2071"/>
      <c r="DQ57" s="2071"/>
      <c r="DR57" s="2071"/>
      <c r="DS57" s="2071"/>
      <c r="DT57" s="2071"/>
      <c r="DU57" s="2071"/>
      <c r="DV57" s="2071"/>
      <c r="DW57" s="2071"/>
      <c r="DX57" s="2071"/>
      <c r="DY57" s="2071"/>
      <c r="DZ57" s="2071"/>
      <c r="EA57" s="2071"/>
      <c r="EB57" s="2071"/>
      <c r="EC57" s="2071"/>
      <c r="ED57" s="2071"/>
      <c r="EE57" s="2071"/>
      <c r="EF57" s="2071"/>
      <c r="EG57" s="2071"/>
      <c r="EH57" s="2071"/>
      <c r="EI57" s="2071"/>
      <c r="EJ57" s="2071"/>
      <c r="EK57" s="2071"/>
      <c r="EL57" s="2071"/>
      <c r="EM57" s="2071"/>
      <c r="EN57" s="2071"/>
      <c r="EO57" s="2071"/>
      <c r="EP57" s="2071"/>
      <c r="EQ57" s="2071"/>
      <c r="ER57" s="2071"/>
      <c r="ES57" s="2071"/>
      <c r="ET57" s="2071"/>
      <c r="EU57" s="2071"/>
      <c r="EV57" s="2071"/>
      <c r="EW57" s="2071"/>
      <c r="EX57" s="2071"/>
      <c r="EY57" s="2071"/>
      <c r="EZ57" s="2071"/>
      <c r="FA57" s="2071"/>
      <c r="FB57" s="2071"/>
      <c r="FC57" s="2071"/>
      <c r="FD57" s="2071"/>
      <c r="FE57" s="2071"/>
      <c r="FF57" s="2071"/>
      <c r="FG57" s="2071"/>
      <c r="FH57" s="2071"/>
      <c r="FI57" s="2071"/>
      <c r="FJ57" s="2071"/>
      <c r="FK57" s="2071"/>
      <c r="FL57" s="2071"/>
      <c r="FM57" s="2071"/>
      <c r="FN57" s="2071"/>
      <c r="FO57" s="2071"/>
      <c r="FP57" s="2071"/>
      <c r="FQ57" s="2071"/>
      <c r="FR57" s="2071"/>
      <c r="FS57" s="2071"/>
      <c r="FT57" s="2071"/>
      <c r="FU57" s="2071"/>
      <c r="FV57" s="2071"/>
      <c r="FW57" s="2071"/>
      <c r="FX57" s="2071"/>
      <c r="FY57" s="2071"/>
      <c r="FZ57" s="2071"/>
      <c r="GA57" s="2071"/>
      <c r="GB57" s="2071"/>
      <c r="GC57" s="2071"/>
      <c r="GD57" s="2071"/>
      <c r="GE57" s="2071"/>
      <c r="GF57" s="2071"/>
      <c r="GG57" s="2071"/>
      <c r="GH57" s="2071"/>
      <c r="GI57" s="2071"/>
      <c r="GJ57" s="2071"/>
      <c r="GK57" s="2071"/>
      <c r="GL57" s="2071"/>
      <c r="GM57" s="2071"/>
      <c r="GN57" s="2071"/>
      <c r="GO57" s="2071"/>
      <c r="GP57" s="2071"/>
      <c r="GQ57" s="2071"/>
      <c r="GR57" s="2071"/>
      <c r="GS57" s="2071"/>
      <c r="GT57" s="2071"/>
      <c r="GU57" s="2071"/>
      <c r="GV57" s="2071"/>
      <c r="GW57" s="2071"/>
      <c r="GX57" s="2071"/>
      <c r="GY57" s="2071"/>
      <c r="GZ57" s="2071"/>
      <c r="HA57" s="2071"/>
      <c r="HB57" s="2071"/>
      <c r="HC57" s="2071"/>
      <c r="HD57" s="2071"/>
      <c r="HE57" s="2071"/>
      <c r="HF57" s="2071"/>
      <c r="HG57" s="2071"/>
      <c r="HH57" s="2071"/>
      <c r="HI57" s="2071"/>
      <c r="HJ57" s="2071"/>
      <c r="HK57" s="2071"/>
      <c r="HL57" s="2071"/>
      <c r="HM57" s="2071"/>
      <c r="HN57" s="2071"/>
      <c r="HO57" s="2071"/>
      <c r="HP57" s="2071"/>
      <c r="HQ57" s="2071"/>
      <c r="HR57" s="2071"/>
      <c r="HS57" s="2071"/>
      <c r="HT57" s="2071"/>
      <c r="HU57" s="2071"/>
      <c r="HV57" s="2071"/>
      <c r="HW57" s="2071"/>
      <c r="HX57" s="2071"/>
      <c r="HY57" s="2071"/>
      <c r="HZ57" s="2071"/>
      <c r="IA57" s="2071"/>
      <c r="IB57" s="2071"/>
      <c r="IC57" s="2071"/>
      <c r="ID57" s="2071"/>
      <c r="IE57" s="2071"/>
      <c r="IF57" s="2071"/>
      <c r="IG57" s="2071"/>
      <c r="IH57" s="2071"/>
      <c r="II57" s="2071"/>
      <c r="IJ57" s="2071"/>
      <c r="IK57" s="2071"/>
      <c r="IL57" s="2071"/>
      <c r="IM57" s="2071"/>
      <c r="IN57" s="2071"/>
    </row>
    <row r="58" spans="1:248">
      <c r="A58" s="2051" t="s">
        <v>217</v>
      </c>
      <c r="B58" s="2052">
        <f>审定资负表!G17</f>
        <v>23891640.51</v>
      </c>
      <c r="C58" s="2052">
        <f>审定资负表!H17</f>
        <v>24230483.68</v>
      </c>
      <c r="D58" s="2053">
        <f t="shared" si="0"/>
        <v>0.0492328281341873</v>
      </c>
      <c r="E58" s="2054">
        <f t="shared" si="1"/>
        <v>-338843.169999998</v>
      </c>
      <c r="F58" s="2055">
        <f t="shared" si="2"/>
        <v>-0.014</v>
      </c>
      <c r="G58" s="2056"/>
      <c r="H58" s="2057" t="str">
        <f>IF(报表附注!F2182=0,"相符","不相符")</f>
        <v>相符</v>
      </c>
      <c r="I58" s="2057" t="str">
        <f>IF(报表附注!G2182=0,"相符","不相符")</f>
        <v>相符</v>
      </c>
      <c r="J58" s="2072" t="s">
        <v>1939</v>
      </c>
      <c r="K58" s="2071"/>
      <c r="L58" s="2071"/>
      <c r="M58" s="2071"/>
      <c r="N58" s="2071"/>
      <c r="O58" s="2071"/>
      <c r="P58" s="2071"/>
      <c r="Q58" s="2071"/>
      <c r="R58" s="2071"/>
      <c r="S58" s="2071"/>
      <c r="T58" s="2071"/>
      <c r="U58" s="2071"/>
      <c r="V58" s="2071"/>
      <c r="W58" s="2071"/>
      <c r="X58" s="2071"/>
      <c r="Y58" s="2071"/>
      <c r="Z58" s="2071"/>
      <c r="AA58" s="2071"/>
      <c r="AB58" s="2071"/>
      <c r="AC58" s="2071"/>
      <c r="AD58" s="2071"/>
      <c r="AE58" s="2071"/>
      <c r="AF58" s="2071"/>
      <c r="AG58" s="2071"/>
      <c r="AH58" s="2071"/>
      <c r="AI58" s="2071"/>
      <c r="AJ58" s="2071"/>
      <c r="AK58" s="2071"/>
      <c r="AL58" s="2071"/>
      <c r="AM58" s="2071"/>
      <c r="AN58" s="2071"/>
      <c r="AO58" s="2071"/>
      <c r="AP58" s="2071"/>
      <c r="AQ58" s="2071"/>
      <c r="AR58" s="2071"/>
      <c r="AS58" s="2071"/>
      <c r="AT58" s="2071"/>
      <c r="AU58" s="2071"/>
      <c r="AV58" s="2071"/>
      <c r="AW58" s="2071"/>
      <c r="AX58" s="2071"/>
      <c r="AY58" s="2071"/>
      <c r="AZ58" s="2071"/>
      <c r="BA58" s="2071"/>
      <c r="BB58" s="2071"/>
      <c r="BC58" s="2071"/>
      <c r="BD58" s="2071"/>
      <c r="BE58" s="2071"/>
      <c r="BF58" s="2071"/>
      <c r="BG58" s="2071"/>
      <c r="BH58" s="2071"/>
      <c r="BI58" s="2071"/>
      <c r="BJ58" s="2071"/>
      <c r="BK58" s="2071"/>
      <c r="BL58" s="2071"/>
      <c r="BM58" s="2071"/>
      <c r="BN58" s="2071"/>
      <c r="BO58" s="2071"/>
      <c r="BP58" s="2071"/>
      <c r="BQ58" s="2071"/>
      <c r="BR58" s="2071"/>
      <c r="BS58" s="2071"/>
      <c r="BT58" s="2071"/>
      <c r="BU58" s="2071"/>
      <c r="BV58" s="2071"/>
      <c r="BW58" s="2071"/>
      <c r="BX58" s="2071"/>
      <c r="BY58" s="2071"/>
      <c r="BZ58" s="2071"/>
      <c r="CA58" s="2071"/>
      <c r="CB58" s="2071"/>
      <c r="CC58" s="2071"/>
      <c r="CD58" s="2071"/>
      <c r="CE58" s="2071"/>
      <c r="CF58" s="2071"/>
      <c r="CG58" s="2071"/>
      <c r="CH58" s="2071"/>
      <c r="CI58" s="2071"/>
      <c r="CJ58" s="2071"/>
      <c r="CK58" s="2071"/>
      <c r="CL58" s="2071"/>
      <c r="CM58" s="2071"/>
      <c r="CN58" s="2071"/>
      <c r="CO58" s="2071"/>
      <c r="CP58" s="2071"/>
      <c r="CQ58" s="2071"/>
      <c r="CR58" s="2071"/>
      <c r="CS58" s="2071"/>
      <c r="CT58" s="2071"/>
      <c r="CU58" s="2071"/>
      <c r="CV58" s="2071"/>
      <c r="CW58" s="2071"/>
      <c r="CX58" s="2071"/>
      <c r="CY58" s="2071"/>
      <c r="CZ58" s="2071"/>
      <c r="DA58" s="2071"/>
      <c r="DB58" s="2071"/>
      <c r="DC58" s="2071"/>
      <c r="DD58" s="2071"/>
      <c r="DE58" s="2071"/>
      <c r="DF58" s="2071"/>
      <c r="DG58" s="2071"/>
      <c r="DH58" s="2071"/>
      <c r="DI58" s="2071"/>
      <c r="DJ58" s="2071"/>
      <c r="DK58" s="2071"/>
      <c r="DL58" s="2071"/>
      <c r="DM58" s="2071"/>
      <c r="DN58" s="2071"/>
      <c r="DO58" s="2071"/>
      <c r="DP58" s="2071"/>
      <c r="DQ58" s="2071"/>
      <c r="DR58" s="2071"/>
      <c r="DS58" s="2071"/>
      <c r="DT58" s="2071"/>
      <c r="DU58" s="2071"/>
      <c r="DV58" s="2071"/>
      <c r="DW58" s="2071"/>
      <c r="DX58" s="2071"/>
      <c r="DY58" s="2071"/>
      <c r="DZ58" s="2071"/>
      <c r="EA58" s="2071"/>
      <c r="EB58" s="2071"/>
      <c r="EC58" s="2071"/>
      <c r="ED58" s="2071"/>
      <c r="EE58" s="2071"/>
      <c r="EF58" s="2071"/>
      <c r="EG58" s="2071"/>
      <c r="EH58" s="2071"/>
      <c r="EI58" s="2071"/>
      <c r="EJ58" s="2071"/>
      <c r="EK58" s="2071"/>
      <c r="EL58" s="2071"/>
      <c r="EM58" s="2071"/>
      <c r="EN58" s="2071"/>
      <c r="EO58" s="2071"/>
      <c r="EP58" s="2071"/>
      <c r="EQ58" s="2071"/>
      <c r="ER58" s="2071"/>
      <c r="ES58" s="2071"/>
      <c r="ET58" s="2071"/>
      <c r="EU58" s="2071"/>
      <c r="EV58" s="2071"/>
      <c r="EW58" s="2071"/>
      <c r="EX58" s="2071"/>
      <c r="EY58" s="2071"/>
      <c r="EZ58" s="2071"/>
      <c r="FA58" s="2071"/>
      <c r="FB58" s="2071"/>
      <c r="FC58" s="2071"/>
      <c r="FD58" s="2071"/>
      <c r="FE58" s="2071"/>
      <c r="FF58" s="2071"/>
      <c r="FG58" s="2071"/>
      <c r="FH58" s="2071"/>
      <c r="FI58" s="2071"/>
      <c r="FJ58" s="2071"/>
      <c r="FK58" s="2071"/>
      <c r="FL58" s="2071"/>
      <c r="FM58" s="2071"/>
      <c r="FN58" s="2071"/>
      <c r="FO58" s="2071"/>
      <c r="FP58" s="2071"/>
      <c r="FQ58" s="2071"/>
      <c r="FR58" s="2071"/>
      <c r="FS58" s="2071"/>
      <c r="FT58" s="2071"/>
      <c r="FU58" s="2071"/>
      <c r="FV58" s="2071"/>
      <c r="FW58" s="2071"/>
      <c r="FX58" s="2071"/>
      <c r="FY58" s="2071"/>
      <c r="FZ58" s="2071"/>
      <c r="GA58" s="2071"/>
      <c r="GB58" s="2071"/>
      <c r="GC58" s="2071"/>
      <c r="GD58" s="2071"/>
      <c r="GE58" s="2071"/>
      <c r="GF58" s="2071"/>
      <c r="GG58" s="2071"/>
      <c r="GH58" s="2071"/>
      <c r="GI58" s="2071"/>
      <c r="GJ58" s="2071"/>
      <c r="GK58" s="2071"/>
      <c r="GL58" s="2071"/>
      <c r="GM58" s="2071"/>
      <c r="GN58" s="2071"/>
      <c r="GO58" s="2071"/>
      <c r="GP58" s="2071"/>
      <c r="GQ58" s="2071"/>
      <c r="GR58" s="2071"/>
      <c r="GS58" s="2071"/>
      <c r="GT58" s="2071"/>
      <c r="GU58" s="2071"/>
      <c r="GV58" s="2071"/>
      <c r="GW58" s="2071"/>
      <c r="GX58" s="2071"/>
      <c r="GY58" s="2071"/>
      <c r="GZ58" s="2071"/>
      <c r="HA58" s="2071"/>
      <c r="HB58" s="2071"/>
      <c r="HC58" s="2071"/>
      <c r="HD58" s="2071"/>
      <c r="HE58" s="2071"/>
      <c r="HF58" s="2071"/>
      <c r="HG58" s="2071"/>
      <c r="HH58" s="2071"/>
      <c r="HI58" s="2071"/>
      <c r="HJ58" s="2071"/>
      <c r="HK58" s="2071"/>
      <c r="HL58" s="2071"/>
      <c r="HM58" s="2071"/>
      <c r="HN58" s="2071"/>
      <c r="HO58" s="2071"/>
      <c r="HP58" s="2071"/>
      <c r="HQ58" s="2071"/>
      <c r="HR58" s="2071"/>
      <c r="HS58" s="2071"/>
      <c r="HT58" s="2071"/>
      <c r="HU58" s="2071"/>
      <c r="HV58" s="2071"/>
      <c r="HW58" s="2071"/>
      <c r="HX58" s="2071"/>
      <c r="HY58" s="2071"/>
      <c r="HZ58" s="2071"/>
      <c r="IA58" s="2071"/>
      <c r="IB58" s="2071"/>
      <c r="IC58" s="2071"/>
      <c r="ID58" s="2071"/>
      <c r="IE58" s="2071"/>
      <c r="IF58" s="2071"/>
      <c r="IG58" s="2071"/>
      <c r="IH58" s="2071"/>
      <c r="II58" s="2071"/>
      <c r="IJ58" s="2071"/>
      <c r="IK58" s="2071"/>
      <c r="IL58" s="2071"/>
      <c r="IM58" s="2071"/>
      <c r="IN58" s="2071"/>
    </row>
    <row r="59" spans="1:10">
      <c r="A59" s="2051" t="s">
        <v>219</v>
      </c>
      <c r="B59" s="2052">
        <f>审定资负表!G18</f>
        <v>8287528.07</v>
      </c>
      <c r="C59" s="2052">
        <f>审定资负表!H18</f>
        <v>0</v>
      </c>
      <c r="D59" s="2053">
        <f t="shared" si="0"/>
        <v>0.0170778747887481</v>
      </c>
      <c r="E59" s="2054">
        <f t="shared" si="1"/>
        <v>8287528.07</v>
      </c>
      <c r="F59" s="2055">
        <f t="shared" si="2"/>
        <v>1</v>
      </c>
      <c r="G59" s="2056"/>
      <c r="H59" s="2057" t="str">
        <f>IF(报表附注!F2265=0,"相符","不相符")</f>
        <v>相符</v>
      </c>
      <c r="I59" s="2057" t="str">
        <f>IF(报表附注!G2265=0,"相符","不相符")</f>
        <v>相符</v>
      </c>
      <c r="J59" s="2072" t="s">
        <v>1941</v>
      </c>
    </row>
    <row r="60" spans="1:10">
      <c r="A60" s="2051" t="str">
        <f>审定资负表!E19</f>
        <v>持有待售负债</v>
      </c>
      <c r="B60" s="2052">
        <f>审定资负表!G19</f>
        <v>0</v>
      </c>
      <c r="C60" s="2052">
        <f>审定资负表!H19</f>
        <v>0</v>
      </c>
      <c r="D60" s="2053" t="str">
        <f t="shared" si="0"/>
        <v> </v>
      </c>
      <c r="E60" s="2054">
        <f t="shared" si="1"/>
        <v>0</v>
      </c>
      <c r="F60" s="2055" t="str">
        <f t="shared" si="2"/>
        <v/>
      </c>
      <c r="G60" s="2056"/>
      <c r="H60" s="2057" t="str">
        <f>IF(报表附注!F4087=0,"相符","不相符")</f>
        <v>相符</v>
      </c>
      <c r="I60" s="2057" t="str">
        <f>IF(报表附注!G4087=0,"相符","不相符")</f>
        <v>相符</v>
      </c>
      <c r="J60" s="2086" t="s">
        <v>1942</v>
      </c>
    </row>
    <row r="61" spans="1:10">
      <c r="A61" s="2058" t="s">
        <v>222</v>
      </c>
      <c r="B61" s="2052">
        <f>审定资负表!G20</f>
        <v>104491321.34</v>
      </c>
      <c r="C61" s="2052">
        <f>审定资负表!H20</f>
        <v>66341426.64</v>
      </c>
      <c r="D61" s="2053">
        <f t="shared" si="0"/>
        <v>0.215322311705349</v>
      </c>
      <c r="E61" s="2054">
        <f t="shared" si="1"/>
        <v>38149894.7</v>
      </c>
      <c r="F61" s="2055">
        <f t="shared" si="2"/>
        <v>0.5751</v>
      </c>
      <c r="G61" s="2056"/>
      <c r="H61" s="2059"/>
      <c r="I61" s="2059"/>
      <c r="J61" s="2070"/>
    </row>
    <row r="62" spans="1:10">
      <c r="A62" s="2051"/>
      <c r="B62" s="2052">
        <f>审定资负表!G21</f>
        <v>0</v>
      </c>
      <c r="C62" s="2052">
        <f>审定资负表!H21</f>
        <v>0</v>
      </c>
      <c r="D62" s="2053" t="str">
        <f t="shared" si="0"/>
        <v> </v>
      </c>
      <c r="E62" s="2054">
        <f t="shared" si="1"/>
        <v>0</v>
      </c>
      <c r="F62" s="2055" t="str">
        <f t="shared" si="2"/>
        <v/>
      </c>
      <c r="G62" s="2056"/>
      <c r="H62" s="2059"/>
      <c r="I62" s="2059"/>
      <c r="J62" s="2087"/>
    </row>
    <row r="63" spans="1:10">
      <c r="A63" s="2047" t="s">
        <v>225</v>
      </c>
      <c r="B63" s="2052">
        <f>审定资负表!G22</f>
        <v>0</v>
      </c>
      <c r="C63" s="2052">
        <f>审定资负表!H22</f>
        <v>0</v>
      </c>
      <c r="D63" s="2053" t="str">
        <f t="shared" si="0"/>
        <v> </v>
      </c>
      <c r="E63" s="2054">
        <f t="shared" si="1"/>
        <v>0</v>
      </c>
      <c r="F63" s="2055" t="str">
        <f t="shared" si="2"/>
        <v/>
      </c>
      <c r="G63" s="2056"/>
      <c r="H63" s="2059"/>
      <c r="I63" s="2059"/>
      <c r="J63" s="2087"/>
    </row>
    <row r="64" spans="1:10">
      <c r="A64" s="2051" t="s">
        <v>227</v>
      </c>
      <c r="B64" s="2052">
        <f>审定资负表!G23</f>
        <v>30498148.16</v>
      </c>
      <c r="C64" s="2052">
        <f>审定资负表!H23</f>
        <v>48202962.97</v>
      </c>
      <c r="D64" s="2053">
        <f t="shared" si="0"/>
        <v>0.0628466716692725</v>
      </c>
      <c r="E64" s="2054">
        <f t="shared" si="1"/>
        <v>-17704814.81</v>
      </c>
      <c r="F64" s="2055">
        <f t="shared" si="2"/>
        <v>-0.3673</v>
      </c>
      <c r="G64" s="2056"/>
      <c r="H64" s="2057" t="str">
        <f>IF(报表附注!F2280=0,"相符","不相符")</f>
        <v>相符</v>
      </c>
      <c r="I64" s="2057" t="str">
        <f>IF(报表附注!G2280=0,"相符","不相符")</f>
        <v>相符</v>
      </c>
      <c r="J64" s="2072" t="s">
        <v>1945</v>
      </c>
    </row>
    <row r="65" spans="1:10">
      <c r="A65" s="2051" t="s">
        <v>229</v>
      </c>
      <c r="B65" s="2052">
        <f>审定资负表!G24</f>
        <v>0</v>
      </c>
      <c r="C65" s="2052">
        <f>审定资负表!H24</f>
        <v>0</v>
      </c>
      <c r="D65" s="2053" t="str">
        <f t="shared" si="0"/>
        <v> </v>
      </c>
      <c r="E65" s="2054">
        <f t="shared" si="1"/>
        <v>0</v>
      </c>
      <c r="F65" s="2055" t="str">
        <f t="shared" si="2"/>
        <v/>
      </c>
      <c r="G65" s="2056"/>
      <c r="H65" s="2057" t="str">
        <f>IF(报表附注!N2327=0,"相符","不相符")</f>
        <v>相符</v>
      </c>
      <c r="I65" s="2057" t="str">
        <f>IF(报表附注!J2327=0,"相符","不相符")</f>
        <v>相符</v>
      </c>
      <c r="J65" s="2070" t="s">
        <v>1947</v>
      </c>
    </row>
    <row r="66" spans="1:10">
      <c r="A66" s="2051" t="s">
        <v>231</v>
      </c>
      <c r="B66" s="2052">
        <f>审定资负表!G25</f>
        <v>12375398.73</v>
      </c>
      <c r="C66" s="2052">
        <f>审定资负表!H25</f>
        <v>18932594.8</v>
      </c>
      <c r="D66" s="2053">
        <f t="shared" si="0"/>
        <v>0.0255016342854779</v>
      </c>
      <c r="E66" s="2054">
        <f t="shared" si="1"/>
        <v>-6557196.07</v>
      </c>
      <c r="F66" s="2055">
        <f t="shared" si="2"/>
        <v>-0.3463</v>
      </c>
      <c r="G66" s="2056"/>
      <c r="H66" s="2057" t="str">
        <f>IF(报表附注!G2344=0,"相符","不相符")</f>
        <v>相符</v>
      </c>
      <c r="I66" s="2057" t="str">
        <f>IF(报表附注!H2344=0,"相符","不相符")</f>
        <v>相符</v>
      </c>
      <c r="J66" s="2072" t="s">
        <v>1949</v>
      </c>
    </row>
    <row r="67" spans="1:10">
      <c r="A67" s="2051" t="s">
        <v>233</v>
      </c>
      <c r="B67" s="2052">
        <f>审定资负表!G26</f>
        <v>0</v>
      </c>
      <c r="C67" s="2052">
        <f>审定资负表!H26</f>
        <v>0</v>
      </c>
      <c r="D67" s="2053" t="str">
        <f t="shared" si="0"/>
        <v> </v>
      </c>
      <c r="E67" s="2054">
        <f t="shared" si="1"/>
        <v>0</v>
      </c>
      <c r="F67" s="2055" t="str">
        <f t="shared" si="2"/>
        <v/>
      </c>
      <c r="G67" s="2056"/>
      <c r="H67" s="2057" t="str">
        <f>IF(报表附注!I2379=0,"相符","不相符")</f>
        <v>相符</v>
      </c>
      <c r="I67" s="2057" t="str">
        <f>IF(报表附注!F2379=0,"相符","不相符")</f>
        <v>相符</v>
      </c>
      <c r="J67" s="2070" t="s">
        <v>1951</v>
      </c>
    </row>
    <row r="68" spans="1:10">
      <c r="A68" s="2051" t="s">
        <v>235</v>
      </c>
      <c r="B68" s="2052">
        <f>审定资负表!G27</f>
        <v>5395983.26</v>
      </c>
      <c r="C68" s="2052">
        <f>审定资负表!H27</f>
        <v>450190.65</v>
      </c>
      <c r="D68" s="2053">
        <f t="shared" si="0"/>
        <v>0.0111193501485734</v>
      </c>
      <c r="E68" s="2054">
        <f t="shared" si="1"/>
        <v>4945792.61</v>
      </c>
      <c r="F68" s="2055">
        <f t="shared" si="2"/>
        <v>10.986</v>
      </c>
      <c r="G68" s="2056"/>
      <c r="H68" s="2057" t="str">
        <f>IF(报表附注!I2169=0,"相符","不相符")</f>
        <v>相符</v>
      </c>
      <c r="I68" s="2057" t="str">
        <f>IF(报表附注!F2169=0,"相符","不相符")</f>
        <v>相符</v>
      </c>
      <c r="J68" s="2072" t="s">
        <v>1953</v>
      </c>
    </row>
    <row r="69" spans="1:10">
      <c r="A69" s="2051" t="s">
        <v>237</v>
      </c>
      <c r="B69" s="2052">
        <f>审定资负表!G28</f>
        <v>0</v>
      </c>
      <c r="C69" s="2052">
        <f>审定资负表!H28</f>
        <v>0</v>
      </c>
      <c r="D69" s="2053" t="str">
        <f t="shared" si="0"/>
        <v> </v>
      </c>
      <c r="E69" s="2054">
        <f t="shared" si="1"/>
        <v>0</v>
      </c>
      <c r="F69" s="2055" t="str">
        <f t="shared" si="2"/>
        <v/>
      </c>
      <c r="G69" s="2056"/>
      <c r="H69" s="2057" t="str">
        <f>IF(报表附注!F1633=0,"相符","不相符")</f>
        <v>相符</v>
      </c>
      <c r="I69" s="2057" t="str">
        <f>IF(报表附注!H1633=0,"相符","不相符")</f>
        <v>相符</v>
      </c>
      <c r="J69" s="2070" t="s">
        <v>1955</v>
      </c>
    </row>
    <row r="70" spans="1:10">
      <c r="A70" s="2051" t="s">
        <v>239</v>
      </c>
      <c r="B70" s="2052">
        <f>审定资负表!G29</f>
        <v>0</v>
      </c>
      <c r="C70" s="2052">
        <f>审定资负表!H29</f>
        <v>0</v>
      </c>
      <c r="D70" s="2053" t="str">
        <f t="shared" ref="D70:D89" si="3">IF(B70=0," ",B70/$B$46)</f>
        <v> </v>
      </c>
      <c r="E70" s="2054">
        <f t="shared" ref="E70:E110" si="4">B70-C70</f>
        <v>0</v>
      </c>
      <c r="F70" s="2055" t="str">
        <f t="shared" ref="F70:F79" si="5">IFERROR(IF(C70=0,B70/B70,ROUND(E70/ABS(C70),4)),"")</f>
        <v/>
      </c>
      <c r="G70" s="2056"/>
      <c r="H70" s="2057" t="str">
        <f>IF(报表附注!F2396=0,"相符","不相符")</f>
        <v>相符</v>
      </c>
      <c r="I70" s="2057" t="str">
        <f>IF(报表附注!G2396=0,"相符","不相符")</f>
        <v>相符</v>
      </c>
      <c r="J70" s="2070" t="s">
        <v>1957</v>
      </c>
    </row>
    <row r="71" spans="1:10">
      <c r="A71" s="2051" t="s">
        <v>241</v>
      </c>
      <c r="B71" s="2052">
        <f>审定资负表!G30</f>
        <v>3973515.53</v>
      </c>
      <c r="C71" s="2052">
        <f>审定资负表!H30</f>
        <v>2082524</v>
      </c>
      <c r="D71" s="2053">
        <f t="shared" si="3"/>
        <v>0.0081881111133885</v>
      </c>
      <c r="E71" s="2054">
        <f t="shared" si="4"/>
        <v>1890991.53</v>
      </c>
      <c r="F71" s="2055">
        <f t="shared" si="5"/>
        <v>0.908</v>
      </c>
      <c r="G71" s="2056"/>
      <c r="H71" s="2057" t="str">
        <f>IF(报表附注!L3918=0,"相符","不相符")</f>
        <v>相符</v>
      </c>
      <c r="I71" s="2057" t="str">
        <f>IF(报表附注!H3918=0,"相符","不相符")</f>
        <v>相符</v>
      </c>
      <c r="J71" s="2072" t="s">
        <v>78</v>
      </c>
    </row>
    <row r="72" spans="1:10">
      <c r="A72" s="2058" t="s">
        <v>243</v>
      </c>
      <c r="B72" s="2052">
        <f>审定资负表!G31</f>
        <v>52243045.68</v>
      </c>
      <c r="C72" s="2052">
        <f>审定资负表!H31</f>
        <v>69668272.42</v>
      </c>
      <c r="D72" s="2053">
        <f t="shared" si="3"/>
        <v>0.107655767216712</v>
      </c>
      <c r="E72" s="2054">
        <f t="shared" si="4"/>
        <v>-17425226.74</v>
      </c>
      <c r="F72" s="2055">
        <f t="shared" si="5"/>
        <v>-0.2501</v>
      </c>
      <c r="G72" s="2056"/>
      <c r="H72" s="2059"/>
      <c r="I72" s="2059"/>
      <c r="J72" s="2087"/>
    </row>
    <row r="73" spans="1:10">
      <c r="A73" s="2051"/>
      <c r="B73" s="2052">
        <f>审定资负表!G32</f>
        <v>0</v>
      </c>
      <c r="C73" s="2052">
        <f>审定资负表!H32</f>
        <v>0</v>
      </c>
      <c r="D73" s="2053" t="str">
        <f t="shared" si="3"/>
        <v> </v>
      </c>
      <c r="E73" s="2054">
        <f t="shared" si="4"/>
        <v>0</v>
      </c>
      <c r="F73" s="2055" t="str">
        <f t="shared" si="5"/>
        <v/>
      </c>
      <c r="G73" s="2056"/>
      <c r="H73" s="2059"/>
      <c r="I73" s="2059"/>
      <c r="J73" s="2087"/>
    </row>
    <row r="74" spans="1:10">
      <c r="A74" s="2061" t="s">
        <v>246</v>
      </c>
      <c r="B74" s="2052">
        <f>审定资负表!G33</f>
        <v>156734367.02</v>
      </c>
      <c r="C74" s="2052">
        <f>审定资负表!H33</f>
        <v>136009699.06</v>
      </c>
      <c r="D74" s="2053">
        <f t="shared" si="3"/>
        <v>0.322978078922061</v>
      </c>
      <c r="E74" s="2054">
        <f t="shared" si="4"/>
        <v>20724667.96</v>
      </c>
      <c r="F74" s="2055">
        <f t="shared" si="5"/>
        <v>0.1524</v>
      </c>
      <c r="G74" s="2056"/>
      <c r="H74" s="2059"/>
      <c r="I74" s="2059"/>
      <c r="J74" s="2087"/>
    </row>
    <row r="75" spans="1:10">
      <c r="A75" s="2051"/>
      <c r="B75" s="2052">
        <f>审定资负表!G34</f>
        <v>0</v>
      </c>
      <c r="C75" s="2052">
        <f>审定资负表!H34</f>
        <v>0</v>
      </c>
      <c r="D75" s="2053" t="str">
        <f t="shared" si="3"/>
        <v> </v>
      </c>
      <c r="E75" s="2054">
        <f t="shared" si="4"/>
        <v>0</v>
      </c>
      <c r="F75" s="2055" t="str">
        <f t="shared" si="5"/>
        <v/>
      </c>
      <c r="G75" s="2056"/>
      <c r="H75" s="2059"/>
      <c r="I75" s="2059"/>
      <c r="J75" s="2087"/>
    </row>
    <row r="76" spans="1:10">
      <c r="A76" s="2047" t="s">
        <v>249</v>
      </c>
      <c r="B76" s="2052">
        <f>审定资负表!G35</f>
        <v>0</v>
      </c>
      <c r="C76" s="2052">
        <f>审定资负表!H35</f>
        <v>0</v>
      </c>
      <c r="D76" s="2053" t="str">
        <f t="shared" si="3"/>
        <v> </v>
      </c>
      <c r="E76" s="2054">
        <f t="shared" si="4"/>
        <v>0</v>
      </c>
      <c r="F76" s="2055" t="str">
        <f t="shared" si="5"/>
        <v/>
      </c>
      <c r="G76" s="2056"/>
      <c r="H76" s="2059"/>
      <c r="I76" s="2059"/>
      <c r="J76" s="2087"/>
    </row>
    <row r="77" spans="1:10">
      <c r="A77" s="2051" t="s">
        <v>251</v>
      </c>
      <c r="B77" s="2052">
        <f>审定资负表!G36</f>
        <v>137800000</v>
      </c>
      <c r="C77" s="2052">
        <f>审定资负表!H36</f>
        <v>120000000</v>
      </c>
      <c r="D77" s="2053">
        <f t="shared" si="3"/>
        <v>0.283960564116616</v>
      </c>
      <c r="E77" s="2054">
        <f t="shared" si="4"/>
        <v>17800000</v>
      </c>
      <c r="F77" s="2055">
        <f t="shared" si="5"/>
        <v>0.1483</v>
      </c>
      <c r="G77" s="2056"/>
      <c r="H77" s="2057" t="str">
        <f>IF(AND(报表附注!L2421=0,报表附注!J2436=0),"相符","不相符")</f>
        <v>相符</v>
      </c>
      <c r="I77" s="2057" t="str">
        <f>IF(AND(报表附注!F2421=0,报表附注!F2436=0),"相符","不相符")</f>
        <v>相符</v>
      </c>
      <c r="J77" s="2072" t="s">
        <v>1964</v>
      </c>
    </row>
    <row r="78" spans="1:10">
      <c r="A78" s="2051" t="s">
        <v>253</v>
      </c>
      <c r="B78" s="2052">
        <f>审定资负表!G37</f>
        <v>218598931.26</v>
      </c>
      <c r="C78" s="2052">
        <f>审定资负表!H37</f>
        <v>5756259.26</v>
      </c>
      <c r="D78" s="2053">
        <f t="shared" si="3"/>
        <v>0.450460637415668</v>
      </c>
      <c r="E78" s="2054">
        <f t="shared" si="4"/>
        <v>212842672</v>
      </c>
      <c r="F78" s="2055">
        <f t="shared" si="5"/>
        <v>36.9759</v>
      </c>
      <c r="G78" s="2056"/>
      <c r="H78" s="2057" t="str">
        <f>IF(报表附注!I2476=0,"相符","不相符")</f>
        <v>相符</v>
      </c>
      <c r="I78" s="2057" t="str">
        <f>IF(报表附注!F2476=0,"相符","不相符")</f>
        <v>相符</v>
      </c>
      <c r="J78" s="2070" t="s">
        <v>1965</v>
      </c>
    </row>
    <row r="79" spans="1:10">
      <c r="A79" s="2051" t="s">
        <v>255</v>
      </c>
      <c r="B79" s="2052">
        <f>审定资负表!G38</f>
        <v>0</v>
      </c>
      <c r="C79" s="2052">
        <f>审定资负表!H38</f>
        <v>0</v>
      </c>
      <c r="D79" s="2053" t="str">
        <f t="shared" si="3"/>
        <v> </v>
      </c>
      <c r="E79" s="2054">
        <f t="shared" si="4"/>
        <v>0</v>
      </c>
      <c r="F79" s="2055" t="str">
        <f t="shared" si="5"/>
        <v/>
      </c>
      <c r="G79" s="2056"/>
      <c r="H79" s="2057" t="str">
        <f>IF(报表附注!F4157=0,"相符","不相符")</f>
        <v>相符</v>
      </c>
      <c r="I79" s="2057" t="str">
        <f>IF(报表附注!F2488=0,"相符","不相符")</f>
        <v>相符</v>
      </c>
      <c r="J79" s="2086" t="s">
        <v>2467</v>
      </c>
    </row>
    <row r="80" spans="1:10">
      <c r="A80" s="2051" t="s">
        <v>256</v>
      </c>
      <c r="B80" s="2052">
        <f>审定资负表!G39</f>
        <v>0</v>
      </c>
      <c r="C80" s="2052">
        <f>审定资负表!H39</f>
        <v>0</v>
      </c>
      <c r="D80" s="2053" t="str">
        <f t="shared" si="3"/>
        <v> </v>
      </c>
      <c r="E80" s="2054">
        <f t="shared" si="4"/>
        <v>0</v>
      </c>
      <c r="F80" s="2055" t="str">
        <f t="shared" ref="F80:F89" si="6">IFERROR(IF(C80=0,B80/B80,ROUND(E80/ABS(C80),4)),"")</f>
        <v/>
      </c>
      <c r="G80" s="2056"/>
      <c r="H80" s="2057" t="str">
        <f>IF(报表附注!I2489=0,"相符","不相符")</f>
        <v>相符</v>
      </c>
      <c r="I80" s="2057" t="str">
        <f>IF(报表附注!I4157=0,"相符","不相符")</f>
        <v>相符</v>
      </c>
      <c r="J80" s="2070" t="s">
        <v>1968</v>
      </c>
    </row>
    <row r="81" spans="1:10">
      <c r="A81" s="2051" t="s">
        <v>258</v>
      </c>
      <c r="B81" s="2052">
        <f>审定资负表!G40</f>
        <v>-27854645.49</v>
      </c>
      <c r="C81" s="2052">
        <f>审定资负表!H40</f>
        <v>-36686290.04</v>
      </c>
      <c r="D81" s="2053">
        <f t="shared" si="3"/>
        <v>-0.0573992804543452</v>
      </c>
      <c r="E81" s="2054">
        <f t="shared" si="4"/>
        <v>8831644.55</v>
      </c>
      <c r="F81" s="2055">
        <f t="shared" si="6"/>
        <v>0.2407</v>
      </c>
      <c r="G81" s="2056"/>
      <c r="H81" s="2057" t="str">
        <f>IF(报表附注!F2512=0,"相符","不相符")</f>
        <v>相符</v>
      </c>
      <c r="I81" s="2057" t="str">
        <f>IF(报表附注!G2512=0,"相符","不相符")</f>
        <v>相符</v>
      </c>
      <c r="J81" s="2072" t="s">
        <v>1969</v>
      </c>
    </row>
    <row r="82" spans="1:10">
      <c r="A82" s="2051" t="s">
        <v>259</v>
      </c>
      <c r="B82" s="2052">
        <f>审定资负表!G41</f>
        <v>0</v>
      </c>
      <c r="C82" s="2052">
        <f>审定资负表!H41</f>
        <v>0</v>
      </c>
      <c r="D82" s="2053" t="str">
        <f t="shared" si="3"/>
        <v> </v>
      </c>
      <c r="E82" s="2054">
        <f t="shared" si="4"/>
        <v>0</v>
      </c>
      <c r="F82" s="2055" t="str">
        <f t="shared" si="6"/>
        <v/>
      </c>
      <c r="G82" s="2056"/>
      <c r="H82" s="2057"/>
      <c r="I82" s="2057"/>
      <c r="J82" s="2070" t="s">
        <v>89</v>
      </c>
    </row>
    <row r="83" spans="1:10">
      <c r="A83" s="2051" t="str">
        <f>审定资负表!E42</f>
        <v>其他综合收益</v>
      </c>
      <c r="B83" s="2052">
        <f>审定资负表!G42</f>
        <v>0</v>
      </c>
      <c r="C83" s="2052">
        <f>审定资负表!H42</f>
        <v>0</v>
      </c>
      <c r="D83" s="2053" t="str">
        <f t="shared" si="3"/>
        <v> </v>
      </c>
      <c r="E83" s="2054">
        <f t="shared" si="4"/>
        <v>0</v>
      </c>
      <c r="F83" s="2055" t="str">
        <f t="shared" si="6"/>
        <v/>
      </c>
      <c r="G83" s="2056"/>
      <c r="H83" s="2057" t="str">
        <f>IF(报表附注!L4057=0,"相符","不相符")</f>
        <v>相符</v>
      </c>
      <c r="I83" s="2057" t="str">
        <f>IF(报表附注!M4057=0,"相符","不相符")</f>
        <v>相符</v>
      </c>
      <c r="J83" s="2070" t="s">
        <v>89</v>
      </c>
    </row>
    <row r="84" spans="1:10">
      <c r="A84" s="2058" t="s">
        <v>261</v>
      </c>
      <c r="B84" s="2052">
        <f>审定资负表!G43</f>
        <v>328544285.77</v>
      </c>
      <c r="C84" s="2052">
        <f>审定资负表!H43</f>
        <v>89069969.22</v>
      </c>
      <c r="D84" s="2053">
        <f t="shared" si="3"/>
        <v>0.677021921077939</v>
      </c>
      <c r="E84" s="2054">
        <f t="shared" si="4"/>
        <v>239474316.55</v>
      </c>
      <c r="F84" s="2055">
        <f t="shared" si="6"/>
        <v>2.6886</v>
      </c>
      <c r="G84" s="2056"/>
      <c r="H84" s="2059"/>
      <c r="I84" s="2059"/>
      <c r="J84" s="2084"/>
    </row>
    <row r="85" spans="1:10">
      <c r="A85" s="2051"/>
      <c r="B85" s="2052">
        <f>审定资负表!G44</f>
        <v>0</v>
      </c>
      <c r="C85" s="2052">
        <f>审定资负表!H44</f>
        <v>0</v>
      </c>
      <c r="D85" s="2053" t="str">
        <f t="shared" si="3"/>
        <v> </v>
      </c>
      <c r="E85" s="2054">
        <f t="shared" si="4"/>
        <v>0</v>
      </c>
      <c r="F85" s="2055" t="str">
        <f t="shared" si="6"/>
        <v/>
      </c>
      <c r="G85" s="2056"/>
      <c r="H85" s="2059"/>
      <c r="I85" s="2059"/>
      <c r="J85" s="2084"/>
    </row>
    <row r="86" spans="1:10">
      <c r="A86" s="2051" t="s">
        <v>262</v>
      </c>
      <c r="B86" s="2052">
        <f>审定资负表!G45</f>
        <v>0</v>
      </c>
      <c r="C86" s="2052">
        <f>审定资负表!H45</f>
        <v>0</v>
      </c>
      <c r="D86" s="2053" t="str">
        <f t="shared" si="3"/>
        <v> </v>
      </c>
      <c r="E86" s="2054">
        <f t="shared" si="4"/>
        <v>0</v>
      </c>
      <c r="F86" s="2055" t="str">
        <f t="shared" si="6"/>
        <v/>
      </c>
      <c r="G86" s="2056"/>
      <c r="H86" s="2059"/>
      <c r="I86" s="2059"/>
      <c r="J86" s="2084"/>
    </row>
    <row r="87" spans="1:10">
      <c r="A87" s="2061" t="s">
        <v>263</v>
      </c>
      <c r="B87" s="2052">
        <f>审定资负表!G46</f>
        <v>328544285.77</v>
      </c>
      <c r="C87" s="2052">
        <f>审定资负表!H46</f>
        <v>89069969.22</v>
      </c>
      <c r="D87" s="2053">
        <f t="shared" si="3"/>
        <v>0.677021921077939</v>
      </c>
      <c r="E87" s="2054">
        <f t="shared" si="4"/>
        <v>239474316.55</v>
      </c>
      <c r="F87" s="2055">
        <f t="shared" si="6"/>
        <v>2.6886</v>
      </c>
      <c r="G87" s="2056"/>
      <c r="H87" s="2059"/>
      <c r="I87" s="2059"/>
      <c r="J87" s="2084"/>
    </row>
    <row r="88" spans="1:10">
      <c r="A88" s="2051"/>
      <c r="B88" s="2052">
        <f>审定资负表!G47</f>
        <v>0</v>
      </c>
      <c r="C88" s="2052">
        <f>审定资负表!H47</f>
        <v>0</v>
      </c>
      <c r="D88" s="2053" t="str">
        <f t="shared" si="3"/>
        <v> </v>
      </c>
      <c r="E88" s="2054">
        <f t="shared" si="4"/>
        <v>0</v>
      </c>
      <c r="F88" s="2055" t="str">
        <f t="shared" si="6"/>
        <v/>
      </c>
      <c r="G88" s="2056"/>
      <c r="H88" s="2059"/>
      <c r="I88" s="2059"/>
      <c r="J88" s="2084"/>
    </row>
    <row r="89" spans="1:10">
      <c r="A89" s="2061" t="s">
        <v>265</v>
      </c>
      <c r="B89" s="2052">
        <f>审定资负表!G48</f>
        <v>485278652.79</v>
      </c>
      <c r="C89" s="2052">
        <f>审定资负表!H48</f>
        <v>225079668.28</v>
      </c>
      <c r="D89" s="2053">
        <f t="shared" si="3"/>
        <v>1</v>
      </c>
      <c r="E89" s="2054">
        <f t="shared" si="4"/>
        <v>260198984.51</v>
      </c>
      <c r="F89" s="2055">
        <f t="shared" si="6"/>
        <v>1.156</v>
      </c>
      <c r="G89" s="2056"/>
      <c r="H89" s="2059"/>
      <c r="I89" s="2059"/>
      <c r="J89" s="2084"/>
    </row>
    <row r="90" spans="1:10">
      <c r="A90" s="2058" t="s">
        <v>77</v>
      </c>
      <c r="B90" s="2052">
        <f>审定利润表!C6</f>
        <v>120097563.96</v>
      </c>
      <c r="C90" s="2052">
        <f>本月审定利润表!G6</f>
        <v>0</v>
      </c>
      <c r="D90" s="2053">
        <f>IF(B90=0," ",B90/$B$90)</f>
        <v>1</v>
      </c>
      <c r="E90" s="2054">
        <f t="shared" si="4"/>
        <v>120097563.96</v>
      </c>
      <c r="F90" s="2055">
        <f t="shared" ref="F90:F110" si="7">IFERROR(IF(C90=0,B90/B90,ROUND(E90/ABS(C90),4)),"")</f>
        <v>1</v>
      </c>
      <c r="G90" s="2056"/>
      <c r="H90" s="2057" t="str">
        <f>IF(报表附注!F2533=0,"相符","不相符")</f>
        <v>相符</v>
      </c>
      <c r="I90" s="2085" t="str">
        <f>IF(报表附注!G2533=0,"相符","不相符")</f>
        <v>相符</v>
      </c>
      <c r="J90" s="2096" t="s">
        <v>78</v>
      </c>
    </row>
    <row r="91" spans="1:10">
      <c r="A91" s="2051" t="s">
        <v>79</v>
      </c>
      <c r="B91" s="2052">
        <f>审定利润表!C7</f>
        <v>65501451.94</v>
      </c>
      <c r="C91" s="2052">
        <f>本月审定利润表!G7</f>
        <v>0</v>
      </c>
      <c r="D91" s="2053">
        <f>IF(B91=0," ",B91/$B$90)</f>
        <v>0.545402003006623</v>
      </c>
      <c r="E91" s="2054">
        <f t="shared" si="4"/>
        <v>65501451.94</v>
      </c>
      <c r="F91" s="2055">
        <f t="shared" si="7"/>
        <v>1</v>
      </c>
      <c r="G91" s="2056"/>
      <c r="H91" s="2057" t="str">
        <f>IF(报表附注!H2533=0,"相符","不相符")</f>
        <v>相符</v>
      </c>
      <c r="I91" s="2085" t="str">
        <f>IF(报表附注!I2533=0,"相符","不相符")</f>
        <v>相符</v>
      </c>
      <c r="J91" s="2096" t="s">
        <v>78</v>
      </c>
    </row>
    <row r="92" spans="1:10">
      <c r="A92" s="2051" t="s">
        <v>2468</v>
      </c>
      <c r="B92" s="2052">
        <f>审定利润表!C8</f>
        <v>373643.83</v>
      </c>
      <c r="C92" s="2052">
        <f>本月审定利润表!G8</f>
        <v>0</v>
      </c>
      <c r="D92" s="2053">
        <f t="shared" ref="D92:D110" si="8">IF(B92=0," ",B92/$B$90)</f>
        <v>0.0031111691001863</v>
      </c>
      <c r="E92" s="2054">
        <f t="shared" si="4"/>
        <v>373643.83</v>
      </c>
      <c r="F92" s="2055">
        <f t="shared" si="7"/>
        <v>1</v>
      </c>
      <c r="G92" s="2056"/>
      <c r="H92" s="2057" t="str">
        <f>IF(报表附注!F2632=0,"相符","不相符")</f>
        <v>相符</v>
      </c>
      <c r="I92" s="2085" t="str">
        <f>IF(报表附注!G2632=0,"相符","不相符")</f>
        <v>相符</v>
      </c>
      <c r="J92" s="2096" t="s">
        <v>81</v>
      </c>
    </row>
    <row r="93" spans="1:10">
      <c r="A93" s="2051" t="s">
        <v>82</v>
      </c>
      <c r="B93" s="2052">
        <f>审定利润表!C9</f>
        <v>11918966.31</v>
      </c>
      <c r="C93" s="2052">
        <f>本月审定利润表!G9</f>
        <v>0</v>
      </c>
      <c r="D93" s="2053">
        <f t="shared" si="8"/>
        <v>0.099244030578087</v>
      </c>
      <c r="E93" s="2054">
        <f t="shared" si="4"/>
        <v>11918966.31</v>
      </c>
      <c r="F93" s="2055">
        <f t="shared" si="7"/>
        <v>1</v>
      </c>
      <c r="G93" s="2056"/>
      <c r="H93" s="2057" t="str">
        <f>IF(报表附注!F2886=0,"相符","不相符")</f>
        <v>不相符</v>
      </c>
      <c r="I93" s="2085" t="str">
        <f>IF(报表附注!G2886=0,"相符","不相符")</f>
        <v>不相符</v>
      </c>
      <c r="J93" s="2097" t="s">
        <v>83</v>
      </c>
    </row>
    <row r="94" spans="1:10">
      <c r="A94" s="2051" t="s">
        <v>84</v>
      </c>
      <c r="B94" s="2052">
        <f>审定利润表!C10</f>
        <v>13092697.23</v>
      </c>
      <c r="C94" s="2052">
        <f>本月审定利润表!G10</f>
        <v>0</v>
      </c>
      <c r="D94" s="2053">
        <f t="shared" si="8"/>
        <v>0.109017175688598</v>
      </c>
      <c r="E94" s="2054">
        <f t="shared" si="4"/>
        <v>13092697.23</v>
      </c>
      <c r="F94" s="2055">
        <f t="shared" si="7"/>
        <v>1</v>
      </c>
      <c r="G94" s="2056"/>
      <c r="H94" s="2057" t="str">
        <f>IF(报表附注!F2822=0,"相符","不相符")</f>
        <v>不相符</v>
      </c>
      <c r="I94" s="2085" t="str">
        <f>IF(报表附注!G2822=0,"相符","不相符")</f>
        <v>不相符</v>
      </c>
      <c r="J94" s="2097" t="s">
        <v>83</v>
      </c>
    </row>
    <row r="95" spans="1:10">
      <c r="A95" s="2051" t="s">
        <v>85</v>
      </c>
      <c r="B95" s="2052">
        <f>审定利润表!C11</f>
        <v>17583927.65</v>
      </c>
      <c r="C95" s="2052">
        <f>本月审定利润表!G11</f>
        <v>0</v>
      </c>
      <c r="D95" s="2053">
        <f t="shared" si="8"/>
        <v>0.146413691254025</v>
      </c>
      <c r="E95" s="2054">
        <f t="shared" si="4"/>
        <v>17583927.65</v>
      </c>
      <c r="F95" s="2055">
        <f t="shared" si="7"/>
        <v>1</v>
      </c>
      <c r="G95" s="2056"/>
      <c r="H95" s="2057" t="str">
        <f>IF(报表附注!F2748=0,"相符","不相符")</f>
        <v>相符</v>
      </c>
      <c r="I95" s="2085" t="str">
        <f>IF(报表附注!G2748=0,"相符","不相符")</f>
        <v>相符</v>
      </c>
      <c r="J95" s="2096" t="s">
        <v>83</v>
      </c>
    </row>
    <row r="96" spans="1:10">
      <c r="A96" s="2051" t="s">
        <v>86</v>
      </c>
      <c r="B96" s="2052">
        <f>审定利润表!C12</f>
        <v>1792140.07</v>
      </c>
      <c r="C96" s="2052">
        <f>本月审定利润表!G12</f>
        <v>0</v>
      </c>
      <c r="D96" s="2053">
        <f t="shared" si="8"/>
        <v>0.0149223682055441</v>
      </c>
      <c r="E96" s="2054">
        <f t="shared" si="4"/>
        <v>1792140.07</v>
      </c>
      <c r="F96" s="2055">
        <f t="shared" si="7"/>
        <v>1</v>
      </c>
      <c r="G96" s="2056"/>
      <c r="H96" s="2057" t="str">
        <f>IF(报表附注!F2728=0,"相符","不相符")</f>
        <v>相符</v>
      </c>
      <c r="I96" s="2085" t="str">
        <f>IF(报表附注!G2728=0,"相符","不相符")</f>
        <v>相符</v>
      </c>
      <c r="J96" s="2096" t="s">
        <v>87</v>
      </c>
    </row>
    <row r="97" spans="1:10">
      <c r="A97" s="2051" t="s">
        <v>88</v>
      </c>
      <c r="B97" s="2052">
        <f>审定利润表!C13</f>
        <v>0</v>
      </c>
      <c r="C97" s="2052">
        <f>本月审定利润表!G13</f>
        <v>0</v>
      </c>
      <c r="D97" s="2053" t="str">
        <f t="shared" si="8"/>
        <v> </v>
      </c>
      <c r="E97" s="2054">
        <f t="shared" si="4"/>
        <v>0</v>
      </c>
      <c r="F97" s="2055" t="str">
        <f t="shared" si="7"/>
        <v/>
      </c>
      <c r="G97" s="2056"/>
      <c r="H97" s="2057" t="str">
        <f>IF(报表附注!F2653=0,"相符","不相符")</f>
        <v>相符</v>
      </c>
      <c r="I97" s="2085" t="str">
        <f>IF(报表附注!G2653=0,"相符","不相符")</f>
        <v>相符</v>
      </c>
      <c r="J97" s="2097" t="s">
        <v>89</v>
      </c>
    </row>
    <row r="98" spans="1:10">
      <c r="A98" s="2051" t="s">
        <v>90</v>
      </c>
      <c r="B98" s="2052">
        <f>审定利润表!C14</f>
        <v>0</v>
      </c>
      <c r="C98" s="2052">
        <f>本月审定利润表!G14</f>
        <v>0</v>
      </c>
      <c r="D98" s="2053" t="str">
        <f t="shared" si="8"/>
        <v> </v>
      </c>
      <c r="E98" s="2054">
        <f t="shared" si="4"/>
        <v>0</v>
      </c>
      <c r="F98" s="2055" t="str">
        <f t="shared" si="7"/>
        <v/>
      </c>
      <c r="G98" s="2056"/>
      <c r="H98" s="2057" t="str">
        <f>IF(报表附注!F2675=0,"相符","不相符")</f>
        <v>相符</v>
      </c>
      <c r="I98" s="2085" t="str">
        <f>IF(报表附注!G2675=0,"相符","不相符")</f>
        <v>相符</v>
      </c>
      <c r="J98" s="2097" t="s">
        <v>91</v>
      </c>
    </row>
    <row r="99" spans="1:10">
      <c r="A99" s="2088" t="s">
        <v>92</v>
      </c>
      <c r="B99" s="2052">
        <f>审定利润表!C15</f>
        <v>0</v>
      </c>
      <c r="C99" s="2052">
        <f>本月审定利润表!G15</f>
        <v>0</v>
      </c>
      <c r="D99" s="2053" t="str">
        <f t="shared" si="8"/>
        <v> </v>
      </c>
      <c r="E99" s="2054">
        <f t="shared" si="4"/>
        <v>0</v>
      </c>
      <c r="F99" s="2055" t="str">
        <f t="shared" si="7"/>
        <v/>
      </c>
      <c r="G99" s="2056"/>
      <c r="H99" s="2057" t="str">
        <f>IF(报表附注!F2703=0,"相符","不相符")</f>
        <v>相符</v>
      </c>
      <c r="I99" s="2085" t="str">
        <f>IF(报表附注!G2703=0,"相符","不相符")</f>
        <v>相符</v>
      </c>
      <c r="J99" s="2084"/>
    </row>
    <row r="100" spans="1:10">
      <c r="A100" s="2088" t="s">
        <v>267</v>
      </c>
      <c r="B100" s="2052">
        <f>审定利润表!C16</f>
        <v>0</v>
      </c>
      <c r="C100" s="2052">
        <f>本月审定利润表!G16</f>
        <v>0</v>
      </c>
      <c r="D100" s="2053" t="str">
        <f t="shared" si="8"/>
        <v> </v>
      </c>
      <c r="E100" s="2054">
        <f t="shared" si="4"/>
        <v>0</v>
      </c>
      <c r="F100" s="2055" t="str">
        <f t="shared" si="7"/>
        <v/>
      </c>
      <c r="G100" s="2056"/>
      <c r="H100" s="2057" t="str">
        <f>IF(报表附注!F4117=0,"相符","不相符")</f>
        <v>相符</v>
      </c>
      <c r="I100" s="2057" t="str">
        <f>IF(报表附注!G4117=0,"相符","不相符")</f>
        <v>相符</v>
      </c>
      <c r="J100" s="2086" t="s">
        <v>1909</v>
      </c>
    </row>
    <row r="101" spans="1:10">
      <c r="A101" s="2088" t="s">
        <v>93</v>
      </c>
      <c r="B101" s="2052">
        <f>审定利润表!C17</f>
        <v>0</v>
      </c>
      <c r="C101" s="2052">
        <f>本月审定利润表!G17</f>
        <v>0</v>
      </c>
      <c r="D101" s="2053" t="str">
        <f t="shared" si="8"/>
        <v> </v>
      </c>
      <c r="E101" s="2054">
        <f t="shared" si="4"/>
        <v>0</v>
      </c>
      <c r="F101" s="2055" t="str">
        <f t="shared" si="7"/>
        <v/>
      </c>
      <c r="G101" s="2056"/>
      <c r="H101" s="2059"/>
      <c r="I101" s="2059"/>
      <c r="J101" s="2084"/>
    </row>
    <row r="102" spans="1:10">
      <c r="A102" s="2088" t="s">
        <v>268</v>
      </c>
      <c r="B102" s="2052">
        <f>审定利润表!C18</f>
        <v>0</v>
      </c>
      <c r="C102" s="2052">
        <f>本月审定利润表!G18</f>
        <v>0</v>
      </c>
      <c r="D102" s="2053" t="str">
        <f t="shared" si="8"/>
        <v> </v>
      </c>
      <c r="E102" s="2054">
        <f t="shared" si="4"/>
        <v>0</v>
      </c>
      <c r="F102" s="2055" t="str">
        <f t="shared" si="7"/>
        <v/>
      </c>
      <c r="G102" s="2056"/>
      <c r="H102" s="2057" t="str">
        <f>IF(报表附注!F4149=0,"相符","不相符")</f>
        <v>相符</v>
      </c>
      <c r="I102" s="2057" t="str">
        <f>IF(报表附注!G4149=0,"相符","不相符")</f>
        <v>相符</v>
      </c>
      <c r="J102" s="2086" t="s">
        <v>1910</v>
      </c>
    </row>
    <row r="103" spans="1:10">
      <c r="A103" s="2089" t="s">
        <v>94</v>
      </c>
      <c r="B103" s="2052">
        <f>审定利润表!C19</f>
        <v>9834736.93</v>
      </c>
      <c r="C103" s="2052">
        <f>本月审定利润表!G19</f>
        <v>0</v>
      </c>
      <c r="D103" s="2053">
        <f t="shared" si="8"/>
        <v>0.0818895621669361</v>
      </c>
      <c r="E103" s="2054">
        <f t="shared" si="4"/>
        <v>9834736.93</v>
      </c>
      <c r="F103" s="2055">
        <f t="shared" si="7"/>
        <v>1</v>
      </c>
      <c r="G103" s="2056"/>
      <c r="H103" s="2059"/>
      <c r="I103" s="2059"/>
      <c r="J103" s="2097"/>
    </row>
    <row r="104" spans="1:10">
      <c r="A104" s="2088" t="s">
        <v>95</v>
      </c>
      <c r="B104" s="2052">
        <f>审定利润表!C20</f>
        <v>853546.58</v>
      </c>
      <c r="C104" s="2052">
        <f>本月审定利润表!G20</f>
        <v>0</v>
      </c>
      <c r="D104" s="2053">
        <f t="shared" si="8"/>
        <v>0.00710710985182251</v>
      </c>
      <c r="E104" s="2054">
        <f t="shared" si="4"/>
        <v>853546.58</v>
      </c>
      <c r="F104" s="2055">
        <f t="shared" si="7"/>
        <v>1</v>
      </c>
      <c r="G104" s="2056"/>
      <c r="H104" s="2090" t="str">
        <f>IF(AND(报表附注!F2927=0,报表附注!F2959=0),"相符","不相符")</f>
        <v>相符</v>
      </c>
      <c r="I104" s="2085" t="str">
        <f>IF(AND(报表附注!G2959=0,报表附注!G2927=0),"相符","不相符")</f>
        <v>相符</v>
      </c>
      <c r="J104" s="2096" t="s">
        <v>96</v>
      </c>
    </row>
    <row r="105" spans="1:10">
      <c r="A105" s="2088" t="s">
        <v>97</v>
      </c>
      <c r="B105" s="2052">
        <f>审定利润表!C21</f>
        <v>2139962.48</v>
      </c>
      <c r="C105" s="2052">
        <f>本月审定利润表!G21</f>
        <v>0</v>
      </c>
      <c r="D105" s="2053">
        <f t="shared" si="8"/>
        <v>0.0178185336108295</v>
      </c>
      <c r="E105" s="2054">
        <f t="shared" si="4"/>
        <v>2139962.48</v>
      </c>
      <c r="F105" s="2055">
        <f t="shared" si="7"/>
        <v>1</v>
      </c>
      <c r="G105" s="2056"/>
      <c r="H105" s="2057" t="str">
        <f>IF(报表附注!F2993=0,"相符","不相符")</f>
        <v>相符</v>
      </c>
      <c r="I105" s="2085" t="str">
        <f>IF(报表附注!G2993=0,"相符","不相符")</f>
        <v>相符</v>
      </c>
      <c r="J105" s="2096" t="s">
        <v>98</v>
      </c>
    </row>
    <row r="106" spans="1:10">
      <c r="A106" s="2089" t="s">
        <v>100</v>
      </c>
      <c r="B106" s="2052">
        <f>审定利润表!C22</f>
        <v>8548321.03</v>
      </c>
      <c r="C106" s="2052">
        <f>本月审定利润表!G22</f>
        <v>0</v>
      </c>
      <c r="D106" s="2053">
        <f t="shared" si="8"/>
        <v>0.0711781384079291</v>
      </c>
      <c r="E106" s="2054">
        <f t="shared" si="4"/>
        <v>8548321.03</v>
      </c>
      <c r="F106" s="2055">
        <f t="shared" si="7"/>
        <v>1</v>
      </c>
      <c r="G106" s="2056"/>
      <c r="H106" s="2059"/>
      <c r="I106" s="2059"/>
      <c r="J106" s="2084"/>
    </row>
    <row r="107" spans="1:10">
      <c r="A107" s="2088" t="s">
        <v>101</v>
      </c>
      <c r="B107" s="2052">
        <f>审定利润表!C23</f>
        <v>-283323.52</v>
      </c>
      <c r="C107" s="2052">
        <f>本月审定利润表!G23</f>
        <v>0</v>
      </c>
      <c r="D107" s="2053">
        <f t="shared" si="8"/>
        <v>-0.00235911129799739</v>
      </c>
      <c r="E107" s="2054">
        <f t="shared" si="4"/>
        <v>-283323.52</v>
      </c>
      <c r="F107" s="2055">
        <f t="shared" si="7"/>
        <v>1</v>
      </c>
      <c r="G107" s="2056"/>
      <c r="H107" s="2057" t="str">
        <f>IF(报表附注!F3004=0,"相符","不相符")</f>
        <v>相符</v>
      </c>
      <c r="I107" s="2085" t="str">
        <f>IF(报表附注!G3004=0,"相符","不相符")</f>
        <v>相符</v>
      </c>
      <c r="J107" s="2096" t="s">
        <v>102</v>
      </c>
    </row>
    <row r="108" spans="1:10">
      <c r="A108" s="2089" t="s">
        <v>103</v>
      </c>
      <c r="B108" s="2052">
        <f>审定利润表!C24</f>
        <v>8831644.55</v>
      </c>
      <c r="C108" s="2052">
        <f>本月审定利润表!G24</f>
        <v>0</v>
      </c>
      <c r="D108" s="2053">
        <f t="shared" si="8"/>
        <v>0.0735372497059265</v>
      </c>
      <c r="E108" s="2054">
        <f t="shared" si="4"/>
        <v>8831644.55</v>
      </c>
      <c r="F108" s="2055">
        <f t="shared" si="7"/>
        <v>1</v>
      </c>
      <c r="G108" s="2056"/>
      <c r="H108" s="2059"/>
      <c r="I108" s="2059"/>
      <c r="J108" s="2084"/>
    </row>
    <row r="109" spans="1:10">
      <c r="A109" s="2089" t="s">
        <v>271</v>
      </c>
      <c r="B109" s="2052">
        <f>审定利润表!C29</f>
        <v>0</v>
      </c>
      <c r="C109" s="2052">
        <f>审定利润表!D29</f>
        <v>0</v>
      </c>
      <c r="D109" s="2053" t="str">
        <f t="shared" si="8"/>
        <v> </v>
      </c>
      <c r="E109" s="2054">
        <f t="shared" si="4"/>
        <v>0</v>
      </c>
      <c r="F109" s="2055" t="str">
        <f t="shared" si="7"/>
        <v/>
      </c>
      <c r="G109" s="2056"/>
      <c r="H109" s="2057" t="str">
        <f>IF(报表附注!J4057=0,"相符","不相符")</f>
        <v>相符</v>
      </c>
      <c r="I109" s="2085"/>
      <c r="J109" s="2086" t="s">
        <v>1911</v>
      </c>
    </row>
    <row r="110" spans="1:10">
      <c r="A110" s="2058"/>
      <c r="B110" s="2052"/>
      <c r="C110" s="2052"/>
      <c r="D110" s="2053" t="str">
        <f t="shared" si="8"/>
        <v> </v>
      </c>
      <c r="E110" s="2054">
        <f t="shared" si="4"/>
        <v>0</v>
      </c>
      <c r="F110" s="2055" t="str">
        <f t="shared" si="7"/>
        <v/>
      </c>
      <c r="G110" s="2056"/>
      <c r="H110" s="2059"/>
      <c r="I110" s="2059"/>
      <c r="J110" s="2084"/>
    </row>
    <row r="111" ht="19.5" customHeight="1" spans="1:10">
      <c r="A111" s="2091"/>
      <c r="B111" s="2092"/>
      <c r="C111" s="2092"/>
      <c r="D111" s="2092"/>
      <c r="E111" s="2092"/>
      <c r="F111" s="2092"/>
      <c r="G111" s="2092"/>
      <c r="J111" s="2084"/>
    </row>
    <row r="112" spans="1:10">
      <c r="A112" s="2093" t="s">
        <v>61</v>
      </c>
      <c r="B112" s="2052"/>
      <c r="C112" s="2052"/>
      <c r="D112" s="2053"/>
      <c r="E112" s="2053"/>
      <c r="F112" s="2053"/>
      <c r="G112" s="2053"/>
      <c r="H112" s="2059"/>
      <c r="I112" s="2059"/>
      <c r="J112" s="2084"/>
    </row>
    <row r="113" spans="1:10">
      <c r="A113" s="2051"/>
      <c r="B113" s="2094" t="s">
        <v>24</v>
      </c>
      <c r="C113" s="2094" t="s">
        <v>2469</v>
      </c>
      <c r="D113" s="2053"/>
      <c r="E113" s="2053"/>
      <c r="F113" s="2053"/>
      <c r="G113" s="2053"/>
      <c r="H113" s="2059"/>
      <c r="I113" s="2059"/>
      <c r="J113" s="2084"/>
    </row>
    <row r="114" spans="1:10">
      <c r="A114" s="2051" t="s">
        <v>116</v>
      </c>
      <c r="B114" s="2052">
        <f>审定现流表!C6</f>
        <v>0</v>
      </c>
      <c r="C114" s="2052">
        <f>本月审定现流表!G6</f>
        <v>0</v>
      </c>
      <c r="D114" s="2053"/>
      <c r="E114" s="2054">
        <f t="shared" ref="E114:E157" si="9">B114-C114</f>
        <v>0</v>
      </c>
      <c r="F114" s="2055" t="str">
        <f t="shared" ref="F114:F157" si="10">IFERROR(IF(C114=0,B114/B114,ROUND(E114/ABS(C114),4)),"")</f>
        <v/>
      </c>
      <c r="G114" s="2053"/>
      <c r="H114" s="2059"/>
      <c r="I114" s="2059"/>
      <c r="J114" s="2084"/>
    </row>
    <row r="115" spans="1:10">
      <c r="A115" s="2051" t="s">
        <v>117</v>
      </c>
      <c r="B115" s="2052">
        <f>审定现流表!C7</f>
        <v>60566550.55</v>
      </c>
      <c r="C115" s="2052">
        <f>本月审定现流表!G7</f>
        <v>0</v>
      </c>
      <c r="D115" s="2053"/>
      <c r="E115" s="2054">
        <f t="shared" si="9"/>
        <v>60566550.55</v>
      </c>
      <c r="F115" s="2055">
        <f t="shared" si="10"/>
        <v>1</v>
      </c>
      <c r="G115" s="2053"/>
      <c r="H115" s="2059"/>
      <c r="I115" s="2059"/>
      <c r="J115" s="2084"/>
    </row>
    <row r="116" spans="1:10">
      <c r="A116" s="2051" t="s">
        <v>118</v>
      </c>
      <c r="B116" s="2052">
        <f>审定现流表!C8</f>
        <v>715762.64</v>
      </c>
      <c r="C116" s="2052">
        <f>本月审定现流表!G8</f>
        <v>0</v>
      </c>
      <c r="D116" s="2053"/>
      <c r="E116" s="2054">
        <f t="shared" si="9"/>
        <v>715762.64</v>
      </c>
      <c r="F116" s="2055">
        <f t="shared" si="10"/>
        <v>1</v>
      </c>
      <c r="G116" s="2053"/>
      <c r="H116" s="2059"/>
      <c r="I116" s="2059"/>
      <c r="J116" s="2098"/>
    </row>
    <row r="117" spans="1:10">
      <c r="A117" s="2051" t="s">
        <v>119</v>
      </c>
      <c r="B117" s="2052">
        <f>审定现流表!C9</f>
        <v>15400669.23</v>
      </c>
      <c r="C117" s="2052">
        <f>本月审定现流表!G9</f>
        <v>0</v>
      </c>
      <c r="D117" s="2053"/>
      <c r="E117" s="2054">
        <f t="shared" si="9"/>
        <v>15400669.23</v>
      </c>
      <c r="F117" s="2055">
        <f t="shared" si="10"/>
        <v>1</v>
      </c>
      <c r="G117" s="2053"/>
      <c r="H117" s="2057" t="str">
        <f>IF(报表附注!F3155=0,"相符","不相符")</f>
        <v>不相符</v>
      </c>
      <c r="I117" s="2085" t="str">
        <f>IF(报表附注!G3155=0,"相符","不相符")</f>
        <v>相符</v>
      </c>
      <c r="J117" s="2099" t="s">
        <v>120</v>
      </c>
    </row>
    <row r="118" spans="1:10">
      <c r="A118" s="2051" t="s">
        <v>121</v>
      </c>
      <c r="B118" s="2052">
        <f>审定现流表!C10</f>
        <v>76682982.42</v>
      </c>
      <c r="C118" s="2052">
        <f>本月审定现流表!G10</f>
        <v>0</v>
      </c>
      <c r="D118" s="2053"/>
      <c r="E118" s="2054">
        <f t="shared" si="9"/>
        <v>76682982.42</v>
      </c>
      <c r="F118" s="2055">
        <f t="shared" si="10"/>
        <v>1</v>
      </c>
      <c r="G118" s="2053"/>
      <c r="H118" s="2059"/>
      <c r="I118" s="2059"/>
      <c r="J118" s="2084"/>
    </row>
    <row r="119" spans="1:10">
      <c r="A119" s="2051" t="s">
        <v>122</v>
      </c>
      <c r="B119" s="2052">
        <f>审定现流表!C11</f>
        <v>84892237.23</v>
      </c>
      <c r="C119" s="2052">
        <f>本月审定现流表!G11</f>
        <v>0</v>
      </c>
      <c r="D119" s="2053"/>
      <c r="E119" s="2054">
        <f t="shared" si="9"/>
        <v>84892237.23</v>
      </c>
      <c r="F119" s="2055">
        <f t="shared" si="10"/>
        <v>1</v>
      </c>
      <c r="G119" s="2053"/>
      <c r="H119" s="2059"/>
      <c r="I119" s="2059"/>
      <c r="J119" s="2084"/>
    </row>
    <row r="120" spans="1:10">
      <c r="A120" s="2051" t="s">
        <v>123</v>
      </c>
      <c r="B120" s="2052">
        <f>审定现流表!C12</f>
        <v>10228960.26</v>
      </c>
      <c r="C120" s="2052">
        <f>本月审定现流表!G12</f>
        <v>0</v>
      </c>
      <c r="D120" s="2053"/>
      <c r="E120" s="2054">
        <f t="shared" si="9"/>
        <v>10228960.26</v>
      </c>
      <c r="F120" s="2055">
        <f t="shared" si="10"/>
        <v>1</v>
      </c>
      <c r="G120" s="2053"/>
      <c r="H120" s="2095" t="str">
        <f>IF(现流表勾稽!D10=0,"相符","请在表《现流表勾稽》补充不相符差异原因")</f>
        <v>相符</v>
      </c>
      <c r="I120" s="2059"/>
      <c r="J120" s="2098" t="s">
        <v>2470</v>
      </c>
    </row>
    <row r="121" spans="1:10">
      <c r="A121" s="2051" t="s">
        <v>124</v>
      </c>
      <c r="B121" s="2052">
        <f>审定现流表!C13</f>
        <v>6259149.31</v>
      </c>
      <c r="C121" s="2052">
        <f>本月审定现流表!G13</f>
        <v>0</v>
      </c>
      <c r="D121" s="2053"/>
      <c r="E121" s="2054">
        <f t="shared" si="9"/>
        <v>6259149.31</v>
      </c>
      <c r="F121" s="2055">
        <f t="shared" si="10"/>
        <v>1</v>
      </c>
      <c r="G121" s="2053"/>
      <c r="H121" s="2057" t="str">
        <f>IF(现流表勾稽!D25=0,"相符","请在表《现流表勾稽》补充不相符差异原因")</f>
        <v>请在表《现流表勾稽》补充不相符差异原因</v>
      </c>
      <c r="I121" s="2059"/>
      <c r="J121" s="2098" t="s">
        <v>2470</v>
      </c>
    </row>
    <row r="122" spans="1:10">
      <c r="A122" s="2051" t="s">
        <v>125</v>
      </c>
      <c r="B122" s="2052">
        <f>审定现流表!C14</f>
        <v>13364186.34</v>
      </c>
      <c r="C122" s="2052">
        <f>本月审定现流表!G14</f>
        <v>0</v>
      </c>
      <c r="D122" s="2053"/>
      <c r="E122" s="2054">
        <f t="shared" si="9"/>
        <v>13364186.34</v>
      </c>
      <c r="F122" s="2055">
        <f t="shared" si="10"/>
        <v>1</v>
      </c>
      <c r="G122" s="2053"/>
      <c r="H122" s="2057" t="str">
        <f>IF(报表附注!F3157=0,"相符","不相符")</f>
        <v>不相符</v>
      </c>
      <c r="I122" s="2085" t="str">
        <f>IF(报表附注!G3157=0,"相符","不相符")</f>
        <v>相符</v>
      </c>
      <c r="J122" s="2099" t="s">
        <v>120</v>
      </c>
    </row>
    <row r="123" spans="1:10">
      <c r="A123" s="2051" t="s">
        <v>126</v>
      </c>
      <c r="B123" s="2052">
        <f>审定现流表!C15</f>
        <v>114744533.14</v>
      </c>
      <c r="C123" s="2052">
        <f>本月审定现流表!G15</f>
        <v>0</v>
      </c>
      <c r="D123" s="2053"/>
      <c r="E123" s="2054">
        <f t="shared" si="9"/>
        <v>114744533.14</v>
      </c>
      <c r="F123" s="2055">
        <f t="shared" si="10"/>
        <v>1</v>
      </c>
      <c r="G123" s="2053"/>
      <c r="H123" s="2059"/>
      <c r="I123" s="2059"/>
      <c r="J123" s="2084"/>
    </row>
    <row r="124" spans="1:10">
      <c r="A124" s="2051" t="s">
        <v>127</v>
      </c>
      <c r="B124" s="2052">
        <f>审定现流表!C16</f>
        <v>-38061550.72</v>
      </c>
      <c r="C124" s="2052">
        <f>本月审定现流表!G16</f>
        <v>0</v>
      </c>
      <c r="D124" s="2053"/>
      <c r="E124" s="2054">
        <f t="shared" si="9"/>
        <v>-38061550.72</v>
      </c>
      <c r="F124" s="2055">
        <f t="shared" si="10"/>
        <v>1</v>
      </c>
      <c r="G124" s="2053"/>
      <c r="H124" s="2059"/>
      <c r="I124" s="2059"/>
      <c r="J124" s="2084"/>
    </row>
    <row r="125" spans="1:10">
      <c r="A125" s="2051"/>
      <c r="B125" s="2052">
        <f>审定现流表!C17</f>
        <v>0</v>
      </c>
      <c r="C125" s="2052">
        <f>本月审定现流表!G17</f>
        <v>0</v>
      </c>
      <c r="D125" s="2053"/>
      <c r="E125" s="2054">
        <f t="shared" si="9"/>
        <v>0</v>
      </c>
      <c r="F125" s="2055" t="str">
        <f t="shared" si="10"/>
        <v/>
      </c>
      <c r="G125" s="2053"/>
      <c r="H125" s="2059"/>
      <c r="I125" s="2059"/>
      <c r="J125" s="2084"/>
    </row>
    <row r="126" spans="1:10">
      <c r="A126" s="2051" t="s">
        <v>128</v>
      </c>
      <c r="B126" s="2052">
        <f>审定现流表!C18</f>
        <v>0</v>
      </c>
      <c r="C126" s="2052">
        <f>本月审定现流表!G18</f>
        <v>0</v>
      </c>
      <c r="D126" s="2053"/>
      <c r="E126" s="2054">
        <f t="shared" si="9"/>
        <v>0</v>
      </c>
      <c r="F126" s="2055" t="str">
        <f t="shared" si="10"/>
        <v/>
      </c>
      <c r="G126" s="2053"/>
      <c r="H126" s="2059"/>
      <c r="I126" s="2059"/>
      <c r="J126" s="2084"/>
    </row>
    <row r="127" spans="1:10">
      <c r="A127" s="2051" t="s">
        <v>129</v>
      </c>
      <c r="B127" s="2052">
        <f>审定现流表!C19</f>
        <v>0</v>
      </c>
      <c r="C127" s="2052">
        <f>本月审定现流表!G19</f>
        <v>0</v>
      </c>
      <c r="D127" s="2053"/>
      <c r="E127" s="2054">
        <f t="shared" si="9"/>
        <v>0</v>
      </c>
      <c r="F127" s="2055" t="str">
        <f t="shared" si="10"/>
        <v/>
      </c>
      <c r="G127" s="2053"/>
      <c r="H127" s="2059"/>
      <c r="I127" s="2059"/>
      <c r="J127" s="2084"/>
    </row>
    <row r="128" spans="1:10">
      <c r="A128" s="2051" t="s">
        <v>130</v>
      </c>
      <c r="B128" s="2052">
        <f>审定现流表!C20</f>
        <v>0</v>
      </c>
      <c r="C128" s="2052">
        <f>本月审定现流表!G20</f>
        <v>0</v>
      </c>
      <c r="D128" s="2053"/>
      <c r="E128" s="2054">
        <f t="shared" si="9"/>
        <v>0</v>
      </c>
      <c r="F128" s="2055" t="str">
        <f t="shared" si="10"/>
        <v/>
      </c>
      <c r="G128" s="2053"/>
      <c r="H128" s="2059"/>
      <c r="I128" s="2059"/>
      <c r="J128" s="2084"/>
    </row>
    <row r="129" spans="1:10">
      <c r="A129" s="2051" t="s">
        <v>131</v>
      </c>
      <c r="B129" s="2052">
        <f>审定现流表!C21</f>
        <v>51129.13</v>
      </c>
      <c r="C129" s="2052">
        <f>本月审定现流表!G21</f>
        <v>0</v>
      </c>
      <c r="D129" s="2053"/>
      <c r="E129" s="2054">
        <f t="shared" si="9"/>
        <v>51129.13</v>
      </c>
      <c r="F129" s="2055">
        <f t="shared" si="10"/>
        <v>1</v>
      </c>
      <c r="G129" s="2053"/>
      <c r="H129" s="2059"/>
      <c r="I129" s="2059"/>
      <c r="J129" s="2084"/>
    </row>
    <row r="130" spans="1:10">
      <c r="A130" s="2051" t="s">
        <v>132</v>
      </c>
      <c r="B130" s="2052">
        <f>审定现流表!C22</f>
        <v>0</v>
      </c>
      <c r="C130" s="2052">
        <f>本月审定现流表!G22</f>
        <v>0</v>
      </c>
      <c r="D130" s="2053"/>
      <c r="E130" s="2054">
        <f t="shared" si="9"/>
        <v>0</v>
      </c>
      <c r="F130" s="2055" t="str">
        <f t="shared" si="10"/>
        <v/>
      </c>
      <c r="G130" s="2053"/>
      <c r="H130" s="2059"/>
      <c r="I130" s="2059"/>
      <c r="J130" s="2084"/>
    </row>
    <row r="131" spans="1:10">
      <c r="A131" s="2051" t="s">
        <v>133</v>
      </c>
      <c r="B131" s="2052">
        <f>审定现流表!C23</f>
        <v>0</v>
      </c>
      <c r="C131" s="2052">
        <f>本月审定现流表!G23</f>
        <v>0</v>
      </c>
      <c r="D131" s="2053"/>
      <c r="E131" s="2054">
        <f t="shared" si="9"/>
        <v>0</v>
      </c>
      <c r="F131" s="2055" t="str">
        <f t="shared" si="10"/>
        <v/>
      </c>
      <c r="G131" s="2053"/>
      <c r="H131" s="2057" t="str">
        <f>IF(报表附注!F3190=0,"相符","不相符")</f>
        <v>相符</v>
      </c>
      <c r="I131" s="2085" t="str">
        <f>IF(报表附注!G3190=0,"相符","不相符")</f>
        <v>相符</v>
      </c>
      <c r="J131" s="2099" t="s">
        <v>134</v>
      </c>
    </row>
    <row r="132" spans="1:10">
      <c r="A132" s="2051" t="s">
        <v>135</v>
      </c>
      <c r="B132" s="2052">
        <f>审定现流表!C24</f>
        <v>51129.13</v>
      </c>
      <c r="C132" s="2052">
        <f>本月审定现流表!G24</f>
        <v>0</v>
      </c>
      <c r="D132" s="2053"/>
      <c r="E132" s="2054">
        <f t="shared" si="9"/>
        <v>51129.13</v>
      </c>
      <c r="F132" s="2055">
        <f t="shared" si="10"/>
        <v>1</v>
      </c>
      <c r="G132" s="2053"/>
      <c r="H132" s="2059"/>
      <c r="I132" s="2059"/>
      <c r="J132" s="2101"/>
    </row>
    <row r="133" spans="1:10">
      <c r="A133" s="2051" t="s">
        <v>136</v>
      </c>
      <c r="B133" s="2052">
        <f>审定现流表!C25</f>
        <v>28946323.47</v>
      </c>
      <c r="C133" s="2052">
        <f>本月审定现流表!G25</f>
        <v>0</v>
      </c>
      <c r="D133" s="2053"/>
      <c r="E133" s="2054">
        <f t="shared" si="9"/>
        <v>28946323.47</v>
      </c>
      <c r="F133" s="2055">
        <f t="shared" si="10"/>
        <v>1</v>
      </c>
      <c r="G133" s="2053"/>
      <c r="H133" s="2095" t="str">
        <f>IF(现流表勾稽!D46=0,"相符","请在表《现流表勾稽》补充不相符差异原因")</f>
        <v>请在表《现流表勾稽》补充不相符差异原因</v>
      </c>
      <c r="I133" s="2059"/>
      <c r="J133" s="2102"/>
    </row>
    <row r="134" spans="1:10">
      <c r="A134" s="2051" t="s">
        <v>137</v>
      </c>
      <c r="B134" s="2052">
        <f>审定现流表!C26</f>
        <v>0</v>
      </c>
      <c r="C134" s="2052">
        <f>本月审定现流表!G26</f>
        <v>0</v>
      </c>
      <c r="D134" s="2053"/>
      <c r="E134" s="2054">
        <f t="shared" si="9"/>
        <v>0</v>
      </c>
      <c r="F134" s="2055" t="str">
        <f t="shared" si="10"/>
        <v/>
      </c>
      <c r="G134" s="2053"/>
      <c r="H134" s="2059"/>
      <c r="I134" s="2059"/>
      <c r="J134" s="2102"/>
    </row>
    <row r="135" spans="1:10">
      <c r="A135" s="2051" t="s">
        <v>138</v>
      </c>
      <c r="B135" s="2052">
        <f>审定现流表!C27</f>
        <v>0</v>
      </c>
      <c r="C135" s="2052">
        <f>本月审定现流表!G27</f>
        <v>0</v>
      </c>
      <c r="D135" s="2053"/>
      <c r="E135" s="2054">
        <f t="shared" si="9"/>
        <v>0</v>
      </c>
      <c r="F135" s="2055" t="str">
        <f t="shared" si="10"/>
        <v/>
      </c>
      <c r="G135" s="2053"/>
      <c r="H135" s="2059"/>
      <c r="I135" s="2059"/>
      <c r="J135" s="2102"/>
    </row>
    <row r="136" spans="1:10">
      <c r="A136" s="2051" t="s">
        <v>139</v>
      </c>
      <c r="B136" s="2052">
        <f>审定现流表!C28</f>
        <v>0</v>
      </c>
      <c r="C136" s="2052">
        <f>本月审定现流表!G28</f>
        <v>0</v>
      </c>
      <c r="D136" s="2053"/>
      <c r="E136" s="2054">
        <f t="shared" si="9"/>
        <v>0</v>
      </c>
      <c r="F136" s="2055" t="str">
        <f t="shared" si="10"/>
        <v/>
      </c>
      <c r="G136" s="2053"/>
      <c r="H136" s="2057" t="str">
        <f>IF(报表附注!F3192=0,"相符","不相符")</f>
        <v>相符</v>
      </c>
      <c r="I136" s="2085" t="str">
        <f>IF(报表附注!G3192=0,"相符","不相符")</f>
        <v>相符</v>
      </c>
      <c r="J136" s="2099" t="s">
        <v>134</v>
      </c>
    </row>
    <row r="137" spans="1:10">
      <c r="A137" s="2051" t="s">
        <v>140</v>
      </c>
      <c r="B137" s="2052">
        <f>审定现流表!C29</f>
        <v>28946323.47</v>
      </c>
      <c r="C137" s="2052">
        <f>本月审定现流表!G29</f>
        <v>0</v>
      </c>
      <c r="D137" s="2053"/>
      <c r="E137" s="2054">
        <f t="shared" si="9"/>
        <v>28946323.47</v>
      </c>
      <c r="F137" s="2055">
        <f t="shared" si="10"/>
        <v>1</v>
      </c>
      <c r="G137" s="2053"/>
      <c r="H137" s="2059"/>
      <c r="I137" s="2059"/>
      <c r="J137" s="2101"/>
    </row>
    <row r="138" spans="1:10">
      <c r="A138" s="2051" t="s">
        <v>141</v>
      </c>
      <c r="B138" s="2052">
        <f>审定现流表!C30</f>
        <v>-28895194.34</v>
      </c>
      <c r="C138" s="2052">
        <f>本月审定现流表!G30</f>
        <v>0</v>
      </c>
      <c r="D138" s="2053"/>
      <c r="E138" s="2054">
        <f t="shared" si="9"/>
        <v>-28895194.34</v>
      </c>
      <c r="F138" s="2055">
        <f t="shared" si="10"/>
        <v>1</v>
      </c>
      <c r="G138" s="2053"/>
      <c r="H138" s="2059"/>
      <c r="I138" s="2059"/>
      <c r="J138" s="2101"/>
    </row>
    <row r="139" spans="1:10">
      <c r="A139" s="2051"/>
      <c r="B139" s="2052">
        <f>审定现流表!C31</f>
        <v>0</v>
      </c>
      <c r="C139" s="2052">
        <f>本月审定现流表!G31</f>
        <v>0</v>
      </c>
      <c r="D139" s="2053"/>
      <c r="E139" s="2054">
        <f t="shared" si="9"/>
        <v>0</v>
      </c>
      <c r="F139" s="2055" t="str">
        <f t="shared" si="10"/>
        <v/>
      </c>
      <c r="G139" s="2053"/>
      <c r="H139" s="2059"/>
      <c r="I139" s="2059"/>
      <c r="J139" s="2101"/>
    </row>
    <row r="140" spans="1:10">
      <c r="A140" s="2051" t="s">
        <v>142</v>
      </c>
      <c r="B140" s="2052">
        <f>审定现流表!C32</f>
        <v>0</v>
      </c>
      <c r="C140" s="2052">
        <f>本月审定现流表!G32</f>
        <v>0</v>
      </c>
      <c r="D140" s="2053"/>
      <c r="E140" s="2054">
        <f t="shared" si="9"/>
        <v>0</v>
      </c>
      <c r="F140" s="2055" t="str">
        <f t="shared" si="10"/>
        <v/>
      </c>
      <c r="G140" s="2053"/>
      <c r="H140" s="2059"/>
      <c r="I140" s="2059"/>
      <c r="J140" s="2101"/>
    </row>
    <row r="141" spans="1:10">
      <c r="A141" s="2051" t="s">
        <v>143</v>
      </c>
      <c r="B141" s="2052">
        <f>审定现流表!C33</f>
        <v>230642672</v>
      </c>
      <c r="C141" s="2052">
        <f>本月审定现流表!G33</f>
        <v>0</v>
      </c>
      <c r="D141" s="2053"/>
      <c r="E141" s="2054">
        <f t="shared" si="9"/>
        <v>230642672</v>
      </c>
      <c r="F141" s="2055">
        <f t="shared" si="10"/>
        <v>1</v>
      </c>
      <c r="G141" s="2053"/>
      <c r="H141" s="2059"/>
      <c r="I141" s="2059"/>
      <c r="J141" s="2102"/>
    </row>
    <row r="142" spans="1:10">
      <c r="A142" s="2051" t="s">
        <v>144</v>
      </c>
      <c r="B142" s="2052">
        <f>审定现流表!C34</f>
        <v>0</v>
      </c>
      <c r="C142" s="2052">
        <f>本月审定现流表!G34</f>
        <v>0</v>
      </c>
      <c r="D142" s="2053"/>
      <c r="E142" s="2054">
        <f t="shared" si="9"/>
        <v>0</v>
      </c>
      <c r="F142" s="2055" t="str">
        <f t="shared" si="10"/>
        <v/>
      </c>
      <c r="G142" s="2053"/>
      <c r="H142" s="2059"/>
      <c r="I142" s="2059"/>
      <c r="J142" s="2102"/>
    </row>
    <row r="143" spans="1:10">
      <c r="A143" s="2051" t="s">
        <v>145</v>
      </c>
      <c r="B143" s="2052">
        <f>审定现流表!C35</f>
        <v>31000000</v>
      </c>
      <c r="C143" s="2052">
        <f>本月审定现流表!G35</f>
        <v>0</v>
      </c>
      <c r="D143" s="2053"/>
      <c r="E143" s="2054">
        <f t="shared" si="9"/>
        <v>31000000</v>
      </c>
      <c r="F143" s="2055">
        <f t="shared" si="10"/>
        <v>1</v>
      </c>
      <c r="G143" s="2053"/>
      <c r="H143" s="2095" t="str">
        <f>IF(现流表勾稽!D77=0,"相符","请在表《现流表勾稽》补充不相符差异原因")</f>
        <v>请在表《现流表勾稽》补充不相符差异原因</v>
      </c>
      <c r="I143" s="2059"/>
      <c r="J143" s="2102"/>
    </row>
    <row r="144" spans="1:10">
      <c r="A144" s="2051" t="s">
        <v>146</v>
      </c>
      <c r="B144" s="2052">
        <f>审定现流表!C36</f>
        <v>0</v>
      </c>
      <c r="C144" s="2052">
        <f>本月审定现流表!G36</f>
        <v>0</v>
      </c>
      <c r="D144" s="2053"/>
      <c r="E144" s="2054">
        <f t="shared" si="9"/>
        <v>0</v>
      </c>
      <c r="F144" s="2055" t="str">
        <f t="shared" si="10"/>
        <v/>
      </c>
      <c r="G144" s="2053"/>
      <c r="H144" s="2059"/>
      <c r="I144" s="2059"/>
      <c r="J144" s="2102"/>
    </row>
    <row r="145" spans="1:10">
      <c r="A145" s="2051" t="s">
        <v>147</v>
      </c>
      <c r="B145" s="2052">
        <f>审定现流表!C37</f>
        <v>0</v>
      </c>
      <c r="C145" s="2052">
        <f>本月审定现流表!G37</f>
        <v>0</v>
      </c>
      <c r="D145" s="2053"/>
      <c r="E145" s="2054">
        <f t="shared" si="9"/>
        <v>0</v>
      </c>
      <c r="F145" s="2055" t="str">
        <f t="shared" si="10"/>
        <v/>
      </c>
      <c r="G145" s="2053"/>
      <c r="H145" s="2057" t="str">
        <f>IF(报表附注!F3221=0,"相符","不相符")</f>
        <v>相符</v>
      </c>
      <c r="I145" s="2085" t="str">
        <f>IF(报表附注!G3221=0,"相符","不相符")</f>
        <v>相符</v>
      </c>
      <c r="J145" s="2099" t="s">
        <v>148</v>
      </c>
    </row>
    <row r="146" spans="1:10">
      <c r="A146" s="2051" t="s">
        <v>149</v>
      </c>
      <c r="B146" s="2052">
        <f>审定现流表!C38</f>
        <v>261642672</v>
      </c>
      <c r="C146" s="2052">
        <f>本月审定现流表!G38</f>
        <v>0</v>
      </c>
      <c r="D146" s="2053"/>
      <c r="E146" s="2054">
        <f t="shared" si="9"/>
        <v>261642672</v>
      </c>
      <c r="F146" s="2055">
        <f t="shared" si="10"/>
        <v>1</v>
      </c>
      <c r="G146" s="2053"/>
      <c r="H146" s="2059"/>
      <c r="I146" s="2059"/>
      <c r="J146" s="2101"/>
    </row>
    <row r="147" spans="1:10">
      <c r="A147" s="2051" t="s">
        <v>150</v>
      </c>
      <c r="B147" s="2052">
        <f>审定现流表!C39</f>
        <v>44144814.81</v>
      </c>
      <c r="C147" s="2052">
        <f>本月审定现流表!G39</f>
        <v>0</v>
      </c>
      <c r="D147" s="2053"/>
      <c r="E147" s="2054">
        <f t="shared" si="9"/>
        <v>44144814.81</v>
      </c>
      <c r="F147" s="2055">
        <f t="shared" si="10"/>
        <v>1</v>
      </c>
      <c r="G147" s="2053"/>
      <c r="H147" s="2059"/>
      <c r="I147" s="2059"/>
      <c r="J147" s="2102"/>
    </row>
    <row r="148" spans="1:10">
      <c r="A148" s="2051" t="s">
        <v>151</v>
      </c>
      <c r="B148" s="2052">
        <f>审定现流表!C40</f>
        <v>6308223.85</v>
      </c>
      <c r="C148" s="2052">
        <f>本月审定现流表!G40</f>
        <v>0</v>
      </c>
      <c r="D148" s="2053"/>
      <c r="E148" s="2054">
        <f t="shared" si="9"/>
        <v>6308223.85</v>
      </c>
      <c r="F148" s="2055">
        <f t="shared" si="10"/>
        <v>1</v>
      </c>
      <c r="G148" s="2053"/>
      <c r="H148" s="2095" t="str">
        <f>IF(现流表勾稽!D94=0,"相符","请在表《现流表勾稽》补充不相符差异原因")</f>
        <v>相符</v>
      </c>
      <c r="I148" s="2059"/>
      <c r="J148" s="2102"/>
    </row>
    <row r="149" spans="1:10">
      <c r="A149" s="2051" t="s">
        <v>152</v>
      </c>
      <c r="B149" s="2052">
        <f>审定现流表!C41</f>
        <v>0</v>
      </c>
      <c r="C149" s="2052">
        <f>本月审定现流表!G41</f>
        <v>0</v>
      </c>
      <c r="D149" s="2053"/>
      <c r="E149" s="2054">
        <f t="shared" si="9"/>
        <v>0</v>
      </c>
      <c r="F149" s="2055" t="str">
        <f t="shared" si="10"/>
        <v/>
      </c>
      <c r="G149" s="2053"/>
      <c r="H149" s="2059"/>
      <c r="I149" s="2059"/>
      <c r="J149" s="2102"/>
    </row>
    <row r="150" spans="1:10">
      <c r="A150" s="2051" t="s">
        <v>153</v>
      </c>
      <c r="B150" s="2052">
        <f>审定现流表!C42</f>
        <v>10873286.42</v>
      </c>
      <c r="C150" s="2052">
        <f>本月审定现流表!G42</f>
        <v>0</v>
      </c>
      <c r="D150" s="2053"/>
      <c r="E150" s="2054">
        <f t="shared" si="9"/>
        <v>10873286.42</v>
      </c>
      <c r="F150" s="2055">
        <f t="shared" si="10"/>
        <v>1</v>
      </c>
      <c r="G150" s="2053"/>
      <c r="H150" s="2057" t="str">
        <f>IF(报表附注!F3223=0,"相符","不相符")</f>
        <v>不相符</v>
      </c>
      <c r="I150" s="2085" t="str">
        <f>IF(报表附注!G3223=0,"相符","不相符")</f>
        <v>相符</v>
      </c>
      <c r="J150" s="2099" t="s">
        <v>148</v>
      </c>
    </row>
    <row r="151" spans="1:10">
      <c r="A151" s="2051" t="s">
        <v>154</v>
      </c>
      <c r="B151" s="2052">
        <f>审定现流表!C43</f>
        <v>61326325.08</v>
      </c>
      <c r="C151" s="2052">
        <f>本月审定现流表!G43</f>
        <v>0</v>
      </c>
      <c r="D151" s="2053"/>
      <c r="E151" s="2054">
        <f t="shared" si="9"/>
        <v>61326325.08</v>
      </c>
      <c r="F151" s="2055">
        <f t="shared" si="10"/>
        <v>1</v>
      </c>
      <c r="G151" s="2053"/>
      <c r="H151" s="2059"/>
      <c r="I151" s="2059"/>
      <c r="J151" s="2084"/>
    </row>
    <row r="152" spans="1:10">
      <c r="A152" s="2051" t="s">
        <v>155</v>
      </c>
      <c r="B152" s="2052">
        <f>审定现流表!C44</f>
        <v>200316346.92</v>
      </c>
      <c r="C152" s="2052">
        <f>本月审定现流表!G44</f>
        <v>0</v>
      </c>
      <c r="D152" s="2053"/>
      <c r="E152" s="2054">
        <f t="shared" si="9"/>
        <v>200316346.92</v>
      </c>
      <c r="F152" s="2055">
        <f t="shared" si="10"/>
        <v>1</v>
      </c>
      <c r="G152" s="2053"/>
      <c r="H152" s="2059"/>
      <c r="I152" s="2059"/>
      <c r="J152" s="2084"/>
    </row>
    <row r="153" spans="1:10">
      <c r="A153" s="2051"/>
      <c r="B153" s="2052">
        <f>审定现流表!C45</f>
        <v>0</v>
      </c>
      <c r="C153" s="2052">
        <f>本月审定现流表!G45</f>
        <v>0</v>
      </c>
      <c r="D153" s="2053"/>
      <c r="E153" s="2054">
        <f t="shared" si="9"/>
        <v>0</v>
      </c>
      <c r="F153" s="2055" t="str">
        <f t="shared" si="10"/>
        <v/>
      </c>
      <c r="G153" s="2053"/>
      <c r="H153" s="2059"/>
      <c r="I153" s="2059"/>
      <c r="J153" s="2084"/>
    </row>
    <row r="154" spans="1:10">
      <c r="A154" s="2051" t="s">
        <v>156</v>
      </c>
      <c r="B154" s="2052">
        <f>审定现流表!C46</f>
        <v>32553.99</v>
      </c>
      <c r="C154" s="2052">
        <f>本月审定现流表!G46</f>
        <v>0</v>
      </c>
      <c r="D154" s="2053"/>
      <c r="E154" s="2054">
        <f t="shared" si="9"/>
        <v>32553.99</v>
      </c>
      <c r="F154" s="2055">
        <f t="shared" si="10"/>
        <v>1</v>
      </c>
      <c r="G154" s="2053"/>
      <c r="H154" s="2095" t="str">
        <f>IF(现流表勾稽!D105=0,"相符","请在表《现流表勾稽》补充不相符差异原因")</f>
        <v>相符</v>
      </c>
      <c r="I154" s="2059"/>
      <c r="J154" s="2084"/>
    </row>
    <row r="155" spans="1:10">
      <c r="A155" s="2051" t="s">
        <v>157</v>
      </c>
      <c r="B155" s="2052">
        <f>审定现流表!C47</f>
        <v>133392155.85</v>
      </c>
      <c r="C155" s="2052">
        <f>本月审定现流表!G47</f>
        <v>0</v>
      </c>
      <c r="D155" s="2053"/>
      <c r="E155" s="2054">
        <f t="shared" si="9"/>
        <v>133392155.85</v>
      </c>
      <c r="F155" s="2055">
        <f t="shared" si="10"/>
        <v>1</v>
      </c>
      <c r="G155" s="2053"/>
      <c r="H155" s="2059"/>
      <c r="I155" s="2059"/>
      <c r="J155" s="2084"/>
    </row>
    <row r="156" spans="1:10">
      <c r="A156" s="2051" t="s">
        <v>158</v>
      </c>
      <c r="B156" s="2052">
        <f>审定现流表!C48</f>
        <v>66164760.35</v>
      </c>
      <c r="C156" s="2052">
        <f>本月审定现流表!G48</f>
        <v>0</v>
      </c>
      <c r="D156" s="2053"/>
      <c r="E156" s="2054">
        <f t="shared" si="9"/>
        <v>66164760.35</v>
      </c>
      <c r="F156" s="2055">
        <f t="shared" si="10"/>
        <v>1</v>
      </c>
      <c r="G156" s="2053"/>
      <c r="H156" s="2059"/>
      <c r="I156" s="2059"/>
      <c r="J156" s="2084"/>
    </row>
    <row r="157" spans="1:10">
      <c r="A157" s="2051" t="s">
        <v>159</v>
      </c>
      <c r="B157" s="2052">
        <f>审定现流表!C49</f>
        <v>199556916.2</v>
      </c>
      <c r="C157" s="2052">
        <f>本月审定现流表!G49</f>
        <v>0</v>
      </c>
      <c r="D157" s="2053"/>
      <c r="E157" s="2054">
        <f t="shared" si="9"/>
        <v>199556916.2</v>
      </c>
      <c r="F157" s="2055">
        <f t="shared" si="10"/>
        <v>1</v>
      </c>
      <c r="G157" s="2053"/>
      <c r="H157" s="2059"/>
      <c r="I157" s="2059"/>
      <c r="J157" s="2084"/>
    </row>
    <row r="158" spans="2:10">
      <c r="B158" s="2100"/>
      <c r="C158" s="2100"/>
      <c r="J158" s="2084"/>
    </row>
    <row r="159" spans="1:10">
      <c r="A159" s="2051" t="s">
        <v>161</v>
      </c>
      <c r="B159" s="2094" t="s">
        <v>24</v>
      </c>
      <c r="C159" s="2094" t="s">
        <v>2469</v>
      </c>
      <c r="D159" s="2053"/>
      <c r="E159" s="2053"/>
      <c r="F159" s="2053"/>
      <c r="G159" s="2053"/>
      <c r="H159" s="2059"/>
      <c r="I159" s="2059"/>
      <c r="J159" s="2084"/>
    </row>
    <row r="160" spans="1:10">
      <c r="A160" s="2051" t="s">
        <v>164</v>
      </c>
      <c r="B160" s="2052"/>
      <c r="C160" s="2052"/>
      <c r="D160" s="2053"/>
      <c r="E160" s="2054">
        <f t="shared" ref="E160:E189" si="11">B160-C160</f>
        <v>0</v>
      </c>
      <c r="F160" s="2055" t="str">
        <f t="shared" ref="F160:F189" si="12">IFERROR(IF(C160=0,B160/B160,ROUND(E160/ABS(C160),4)),"")</f>
        <v/>
      </c>
      <c r="G160" s="2053"/>
      <c r="H160" s="2059"/>
      <c r="I160" s="2059"/>
      <c r="J160" s="2084"/>
    </row>
    <row r="161" spans="1:10">
      <c r="A161" s="2051" t="s">
        <v>110</v>
      </c>
      <c r="B161" s="2052">
        <f>审定现流表!C56</f>
        <v>8831644.55</v>
      </c>
      <c r="C161" s="2052">
        <f>本月审定现流表!G56</f>
        <v>0</v>
      </c>
      <c r="D161" s="2053"/>
      <c r="E161" s="2054">
        <f t="shared" si="11"/>
        <v>8831644.55</v>
      </c>
      <c r="F161" s="2055">
        <f t="shared" si="12"/>
        <v>1</v>
      </c>
      <c r="G161" s="2053"/>
      <c r="H161" s="2059"/>
      <c r="I161" s="2059"/>
      <c r="J161" s="2084"/>
    </row>
    <row r="162" spans="1:10">
      <c r="A162" s="2051" t="s">
        <v>165</v>
      </c>
      <c r="B162" s="2052">
        <f>审定现流表!C57</f>
        <v>1895849.54</v>
      </c>
      <c r="C162" s="2052">
        <f>本月审定现流表!G57</f>
        <v>0</v>
      </c>
      <c r="D162" s="2053"/>
      <c r="E162" s="2054">
        <f t="shared" si="11"/>
        <v>1895849.54</v>
      </c>
      <c r="F162" s="2055">
        <f t="shared" si="12"/>
        <v>1</v>
      </c>
      <c r="G162" s="2053"/>
      <c r="H162" s="2095" t="str">
        <f>IF(现流表勾稽!D116=0,"相符","请在表《现流表勾稽》补充不相符差异原因")</f>
        <v>请在表《现流表勾稽》补充不相符差异原因</v>
      </c>
      <c r="I162" s="2059"/>
      <c r="J162" s="2084"/>
    </row>
    <row r="163" spans="1:10">
      <c r="A163" s="2051" t="s">
        <v>166</v>
      </c>
      <c r="B163" s="2052">
        <f>审定现流表!C58</f>
        <v>10725982.08</v>
      </c>
      <c r="C163" s="2052">
        <f>本月审定现流表!G58</f>
        <v>0</v>
      </c>
      <c r="D163" s="2053"/>
      <c r="E163" s="2054">
        <f t="shared" si="11"/>
        <v>10725982.08</v>
      </c>
      <c r="F163" s="2055">
        <f t="shared" si="12"/>
        <v>1</v>
      </c>
      <c r="G163" s="2053"/>
      <c r="H163" s="2095" t="str">
        <f>IF(现流表勾稽!D129=0,"相符","请在表《现流表勾稽》补充不相符差异原因")</f>
        <v>请在表《现流表勾稽》补充不相符差异原因</v>
      </c>
      <c r="I163" s="2059"/>
      <c r="J163" s="2084"/>
    </row>
    <row r="164" spans="1:10">
      <c r="A164" s="2051" t="s">
        <v>167</v>
      </c>
      <c r="B164" s="2052">
        <f>审定现流表!C59</f>
        <v>6000</v>
      </c>
      <c r="C164" s="2052">
        <f>本月审定现流表!G59</f>
        <v>0</v>
      </c>
      <c r="D164" s="2053"/>
      <c r="E164" s="2054">
        <f t="shared" si="11"/>
        <v>6000</v>
      </c>
      <c r="F164" s="2055">
        <f t="shared" si="12"/>
        <v>1</v>
      </c>
      <c r="G164" s="2053"/>
      <c r="H164" s="2095" t="str">
        <f>IF(现流表勾稽!D142=0,"相符","请在表《现流表勾稽》补充不相符差异原因")</f>
        <v>相符</v>
      </c>
      <c r="I164" s="2059"/>
      <c r="J164" s="2084"/>
    </row>
    <row r="165" spans="1:10">
      <c r="A165" s="2051" t="s">
        <v>168</v>
      </c>
      <c r="B165" s="2052">
        <f>审定现流表!C60</f>
        <v>207956.57</v>
      </c>
      <c r="C165" s="2052">
        <f>本月审定现流表!G60</f>
        <v>0</v>
      </c>
      <c r="D165" s="2053"/>
      <c r="E165" s="2054">
        <f t="shared" si="11"/>
        <v>207956.57</v>
      </c>
      <c r="F165" s="2055">
        <f t="shared" si="12"/>
        <v>1</v>
      </c>
      <c r="G165" s="2053"/>
      <c r="H165" s="2095" t="str">
        <f>IF(现流表勾稽!D152=0,"相符","请在表《现流表勾稽》补充不相符差异原因")</f>
        <v>相符</v>
      </c>
      <c r="I165" s="2059"/>
      <c r="J165" s="2084"/>
    </row>
    <row r="166" spans="1:10">
      <c r="A166" s="2051" t="s">
        <v>169</v>
      </c>
      <c r="B166" s="2052">
        <f>审定现流表!C61</f>
        <v>68120.1</v>
      </c>
      <c r="C166" s="2052">
        <f>本月审定现流表!G61</f>
        <v>0</v>
      </c>
      <c r="D166" s="2053"/>
      <c r="E166" s="2054">
        <f t="shared" si="11"/>
        <v>68120.1</v>
      </c>
      <c r="F166" s="2055">
        <f t="shared" si="12"/>
        <v>1</v>
      </c>
      <c r="G166" s="2053"/>
      <c r="H166" s="2095" t="str">
        <f>IF(现流表勾稽!D166=0,"相符","请在表《现流表勾稽》补充不相符差异原因")</f>
        <v>相符</v>
      </c>
      <c r="I166" s="2059"/>
      <c r="J166" s="2084"/>
    </row>
    <row r="167" spans="1:10">
      <c r="A167" s="2051" t="s">
        <v>170</v>
      </c>
      <c r="B167" s="2052">
        <f>审定现流表!C62</f>
        <v>0</v>
      </c>
      <c r="C167" s="2052">
        <f>本月审定现流表!G62</f>
        <v>0</v>
      </c>
      <c r="D167" s="2053"/>
      <c r="E167" s="2054">
        <f t="shared" si="11"/>
        <v>0</v>
      </c>
      <c r="F167" s="2055" t="str">
        <f t="shared" si="12"/>
        <v/>
      </c>
      <c r="G167" s="2053"/>
      <c r="H167" s="2059"/>
      <c r="I167" s="2059"/>
      <c r="J167" s="2084"/>
    </row>
    <row r="168" spans="1:10">
      <c r="A168" s="2051" t="s">
        <v>171</v>
      </c>
      <c r="B168" s="2052">
        <f>审定现流表!C63</f>
        <v>0</v>
      </c>
      <c r="C168" s="2052">
        <f>本月审定现流表!G63</f>
        <v>0</v>
      </c>
      <c r="D168" s="2053"/>
      <c r="E168" s="2054">
        <f t="shared" si="11"/>
        <v>0</v>
      </c>
      <c r="F168" s="2055" t="str">
        <f t="shared" si="12"/>
        <v/>
      </c>
      <c r="G168" s="2053"/>
      <c r="H168" s="2095" t="str">
        <f>IF(现流表勾稽!D177=0,"相符","请在表《现流表勾稽》补充不相符差异原因")</f>
        <v>相符</v>
      </c>
      <c r="I168" s="2059"/>
      <c r="J168" s="2084"/>
    </row>
    <row r="169" spans="1:10">
      <c r="A169" s="2051" t="s">
        <v>85</v>
      </c>
      <c r="B169" s="2052">
        <f>审定现流表!C64</f>
        <v>18267390.45</v>
      </c>
      <c r="C169" s="2052">
        <f>本月审定现流表!G64</f>
        <v>0</v>
      </c>
      <c r="D169" s="2053"/>
      <c r="E169" s="2054">
        <f t="shared" si="11"/>
        <v>18267390.45</v>
      </c>
      <c r="F169" s="2055">
        <f t="shared" si="12"/>
        <v>1</v>
      </c>
      <c r="G169" s="2053"/>
      <c r="H169" s="2095" t="str">
        <f>IF(现流表勾稽!D189=0,"相符","请在表《现流表勾稽》补充不相符差异原因")</f>
        <v>相符</v>
      </c>
      <c r="I169" s="2059"/>
      <c r="J169" s="2084"/>
    </row>
    <row r="170" spans="1:10">
      <c r="A170" s="2051" t="s">
        <v>172</v>
      </c>
      <c r="B170" s="2052">
        <f>审定现流表!C65</f>
        <v>0</v>
      </c>
      <c r="C170" s="2052">
        <f>本月审定现流表!G65</f>
        <v>0</v>
      </c>
      <c r="D170" s="2053"/>
      <c r="E170" s="2054">
        <f t="shared" si="11"/>
        <v>0</v>
      </c>
      <c r="F170" s="2055" t="str">
        <f t="shared" si="12"/>
        <v/>
      </c>
      <c r="G170" s="2053"/>
      <c r="H170" s="2095" t="str">
        <f>IF(现流表勾稽!D200=0,"相符","请在表《现流表勾稽》补充不相符差异原因")</f>
        <v>相符</v>
      </c>
      <c r="I170" s="2059"/>
      <c r="J170" s="2084"/>
    </row>
    <row r="171" spans="1:10">
      <c r="A171" s="2051" t="s">
        <v>173</v>
      </c>
      <c r="B171" s="2052">
        <f>审定现流表!C66</f>
        <v>24825.52</v>
      </c>
      <c r="C171" s="2052">
        <f>本月审定现流表!G66</f>
        <v>0</v>
      </c>
      <c r="D171" s="2053"/>
      <c r="E171" s="2054">
        <f t="shared" si="11"/>
        <v>24825.52</v>
      </c>
      <c r="F171" s="2055">
        <f t="shared" si="12"/>
        <v>1</v>
      </c>
      <c r="G171" s="2053"/>
      <c r="H171" s="2095" t="str">
        <f>IF(现流表勾稽!D211=0,"相符","请在表《现流表勾稽》补充不相符差异原因")</f>
        <v>请在表《现流表勾稽》补充不相符差异原因</v>
      </c>
      <c r="I171" s="2059"/>
      <c r="J171" s="2084"/>
    </row>
    <row r="172" spans="1:10">
      <c r="A172" s="2051" t="s">
        <v>174</v>
      </c>
      <c r="B172" s="2052">
        <f>审定现流表!C67</f>
        <v>0</v>
      </c>
      <c r="C172" s="2052">
        <f>本月审定现流表!G67</f>
        <v>0</v>
      </c>
      <c r="D172" s="2053"/>
      <c r="E172" s="2054">
        <f t="shared" si="11"/>
        <v>0</v>
      </c>
      <c r="F172" s="2055" t="str">
        <f t="shared" si="12"/>
        <v/>
      </c>
      <c r="G172" s="2053"/>
      <c r="H172" s="2095" t="str">
        <f>IF(现流表勾稽!D220=0,"相符","请在表《现流表勾稽》补充不相符差异原因")</f>
        <v>相符</v>
      </c>
      <c r="I172" s="2059"/>
      <c r="J172" s="2084"/>
    </row>
    <row r="173" spans="1:10">
      <c r="A173" s="2051" t="s">
        <v>175</v>
      </c>
      <c r="B173" s="2052">
        <f>审定现流表!C68</f>
        <v>-40160366.77</v>
      </c>
      <c r="C173" s="2052">
        <f>本月审定现流表!G68</f>
        <v>0</v>
      </c>
      <c r="D173" s="2053"/>
      <c r="E173" s="2054">
        <f t="shared" si="11"/>
        <v>-40160366.77</v>
      </c>
      <c r="F173" s="2055">
        <f t="shared" si="12"/>
        <v>1</v>
      </c>
      <c r="G173" s="2053"/>
      <c r="H173" s="2095" t="str">
        <f>IF(现流表勾稽!D229=0,"相符","请在表《现流表勾稽》补充不相符差异原因")</f>
        <v>请在表《现流表勾稽》补充不相符差异原因</v>
      </c>
      <c r="I173" s="2059"/>
      <c r="J173" s="2084"/>
    </row>
    <row r="174" spans="1:10">
      <c r="A174" s="2051" t="s">
        <v>176</v>
      </c>
      <c r="B174" s="2052">
        <f>审定现流表!C69</f>
        <v>-64887311.39</v>
      </c>
      <c r="C174" s="2052">
        <f>本月审定现流表!G69</f>
        <v>0</v>
      </c>
      <c r="D174" s="2053"/>
      <c r="E174" s="2054">
        <f t="shared" si="11"/>
        <v>-64887311.39</v>
      </c>
      <c r="F174" s="2055">
        <f t="shared" si="12"/>
        <v>1</v>
      </c>
      <c r="G174" s="2053"/>
      <c r="H174" s="2095" t="str">
        <f>IF(现流表勾稽!D244=0,"相符","请在表《现流表勾稽》补充不相符差异原因")</f>
        <v>请在表《现流表勾稽》补充不相符差异原因</v>
      </c>
      <c r="I174" s="2059"/>
      <c r="J174" s="2084"/>
    </row>
    <row r="175" spans="1:10">
      <c r="A175" s="2051" t="s">
        <v>177</v>
      </c>
      <c r="B175" s="2052">
        <f>审定现流表!C70</f>
        <v>19326315.39</v>
      </c>
      <c r="C175" s="2052">
        <f>本月审定现流表!G70</f>
        <v>0</v>
      </c>
      <c r="D175" s="2053"/>
      <c r="E175" s="2054">
        <f t="shared" si="11"/>
        <v>19326315.39</v>
      </c>
      <c r="F175" s="2055">
        <f t="shared" si="12"/>
        <v>1</v>
      </c>
      <c r="G175" s="2053"/>
      <c r="H175" s="2095" t="str">
        <f>IF(现流表勾稽!D273=0,"相符","请在表《现流表勾稽》补充不相符差异原因")</f>
        <v>请在表《现流表勾稽》补充不相符差异原因</v>
      </c>
      <c r="I175" s="2059"/>
      <c r="J175" s="2084"/>
    </row>
    <row r="176" spans="1:10">
      <c r="A176" s="2051" t="s">
        <v>178</v>
      </c>
      <c r="B176" s="2052">
        <f>审定现流表!C71</f>
        <v>0</v>
      </c>
      <c r="C176" s="2052">
        <f>本月审定现流表!G71</f>
        <v>0</v>
      </c>
      <c r="D176" s="2053"/>
      <c r="E176" s="2054">
        <f t="shared" si="11"/>
        <v>0</v>
      </c>
      <c r="F176" s="2055" t="str">
        <f t="shared" si="12"/>
        <v/>
      </c>
      <c r="G176" s="2053"/>
      <c r="H176" s="2095" t="str">
        <f>IF(现流表勾稽!D291=0,"相符","请在表《现流表勾稽》补充不相符差异原因")</f>
        <v>相符</v>
      </c>
      <c r="I176" s="2059"/>
      <c r="J176" s="2084"/>
    </row>
    <row r="177" spans="1:10">
      <c r="A177" s="2051" t="s">
        <v>179</v>
      </c>
      <c r="B177" s="2052">
        <f>审定现流表!C72</f>
        <v>-45693593.96</v>
      </c>
      <c r="C177" s="2052">
        <f>本月审定现流表!G72</f>
        <v>0</v>
      </c>
      <c r="D177" s="2053"/>
      <c r="E177" s="2054">
        <f t="shared" si="11"/>
        <v>-45693593.96</v>
      </c>
      <c r="F177" s="2055">
        <f t="shared" si="12"/>
        <v>1</v>
      </c>
      <c r="G177" s="2053"/>
      <c r="H177" s="2059"/>
      <c r="I177" s="2059"/>
      <c r="J177" s="2084"/>
    </row>
    <row r="178" spans="1:10">
      <c r="A178" s="2051"/>
      <c r="B178" s="2052">
        <f>审定现流表!C73</f>
        <v>0</v>
      </c>
      <c r="C178" s="2052">
        <f>本月审定现流表!G73</f>
        <v>0</v>
      </c>
      <c r="D178" s="2053"/>
      <c r="E178" s="2054">
        <f t="shared" si="11"/>
        <v>0</v>
      </c>
      <c r="F178" s="2055" t="str">
        <f t="shared" si="12"/>
        <v/>
      </c>
      <c r="G178" s="2053"/>
      <c r="H178" s="2059"/>
      <c r="I178" s="2059"/>
      <c r="J178" s="2084"/>
    </row>
    <row r="179" spans="1:10">
      <c r="A179" s="2051" t="s">
        <v>180</v>
      </c>
      <c r="B179" s="2052">
        <f>审定现流表!C74</f>
        <v>0</v>
      </c>
      <c r="C179" s="2052">
        <f>本月审定现流表!G74</f>
        <v>0</v>
      </c>
      <c r="D179" s="2053"/>
      <c r="E179" s="2054">
        <f t="shared" si="11"/>
        <v>0</v>
      </c>
      <c r="F179" s="2055" t="str">
        <f t="shared" si="12"/>
        <v/>
      </c>
      <c r="G179" s="2053"/>
      <c r="H179" s="2059"/>
      <c r="I179" s="2059"/>
      <c r="J179" s="2084"/>
    </row>
    <row r="180" spans="1:10">
      <c r="A180" s="2051" t="s">
        <v>181</v>
      </c>
      <c r="B180" s="2052">
        <f>审定现流表!C75</f>
        <v>0</v>
      </c>
      <c r="C180" s="2052">
        <f>本月审定现流表!G75</f>
        <v>0</v>
      </c>
      <c r="D180" s="2053"/>
      <c r="E180" s="2054">
        <f t="shared" si="11"/>
        <v>0</v>
      </c>
      <c r="F180" s="2055" t="str">
        <f t="shared" si="12"/>
        <v/>
      </c>
      <c r="G180" s="2053"/>
      <c r="H180" s="2059"/>
      <c r="I180" s="2059"/>
      <c r="J180" s="2084"/>
    </row>
    <row r="181" spans="1:10">
      <c r="A181" s="2051" t="s">
        <v>182</v>
      </c>
      <c r="B181" s="2052">
        <f>审定现流表!C76</f>
        <v>0</v>
      </c>
      <c r="C181" s="2052">
        <f>本月审定现流表!G76</f>
        <v>0</v>
      </c>
      <c r="D181" s="2053"/>
      <c r="E181" s="2054">
        <f t="shared" si="11"/>
        <v>0</v>
      </c>
      <c r="F181" s="2055" t="str">
        <f t="shared" si="12"/>
        <v/>
      </c>
      <c r="G181" s="2053"/>
      <c r="H181" s="2059"/>
      <c r="I181" s="2059"/>
      <c r="J181" s="2084"/>
    </row>
    <row r="182" spans="1:10">
      <c r="A182" s="2051" t="s">
        <v>183</v>
      </c>
      <c r="B182" s="2052">
        <f>审定现流表!C77</f>
        <v>0</v>
      </c>
      <c r="C182" s="2052">
        <f>本月审定现流表!G77</f>
        <v>0</v>
      </c>
      <c r="D182" s="2053"/>
      <c r="E182" s="2054">
        <f t="shared" si="11"/>
        <v>0</v>
      </c>
      <c r="F182" s="2055" t="str">
        <f t="shared" si="12"/>
        <v/>
      </c>
      <c r="G182" s="2053"/>
      <c r="H182" s="2059"/>
      <c r="I182" s="2059"/>
      <c r="J182" s="2084"/>
    </row>
    <row r="183" spans="1:10">
      <c r="A183" s="2051"/>
      <c r="B183" s="2052">
        <f>审定现流表!C78</f>
        <v>0</v>
      </c>
      <c r="C183" s="2052">
        <f>本月审定现流表!G78</f>
        <v>0</v>
      </c>
      <c r="D183" s="2053"/>
      <c r="E183" s="2054">
        <f t="shared" si="11"/>
        <v>0</v>
      </c>
      <c r="F183" s="2055" t="str">
        <f t="shared" si="12"/>
        <v/>
      </c>
      <c r="G183" s="2053"/>
      <c r="H183" s="2059"/>
      <c r="I183" s="2059"/>
      <c r="J183" s="2084"/>
    </row>
    <row r="184" spans="1:10">
      <c r="A184" s="2051" t="s">
        <v>184</v>
      </c>
      <c r="B184" s="2052">
        <f>审定现流表!C79</f>
        <v>0</v>
      </c>
      <c r="C184" s="2052">
        <f>本月审定现流表!G79</f>
        <v>0</v>
      </c>
      <c r="D184" s="2053"/>
      <c r="E184" s="2054">
        <f t="shared" si="11"/>
        <v>0</v>
      </c>
      <c r="F184" s="2055" t="str">
        <f t="shared" si="12"/>
        <v/>
      </c>
      <c r="G184" s="2053"/>
      <c r="H184" s="2059"/>
      <c r="I184" s="2059"/>
      <c r="J184" s="2084"/>
    </row>
    <row r="185" spans="1:10">
      <c r="A185" s="2051" t="s">
        <v>185</v>
      </c>
      <c r="B185" s="2052">
        <f>审定现流表!C80</f>
        <v>203715132.36</v>
      </c>
      <c r="C185" s="2052">
        <f>本月审定现流表!G80</f>
        <v>0</v>
      </c>
      <c r="D185" s="2053"/>
      <c r="E185" s="2054">
        <f t="shared" si="11"/>
        <v>203715132.36</v>
      </c>
      <c r="F185" s="2055">
        <f t="shared" si="12"/>
        <v>1</v>
      </c>
      <c r="G185" s="2053"/>
      <c r="H185" s="2059"/>
      <c r="I185" s="2059"/>
      <c r="J185" s="2084"/>
    </row>
    <row r="186" spans="1:10">
      <c r="A186" s="2051" t="s">
        <v>186</v>
      </c>
      <c r="B186" s="2052">
        <f>审定现流表!C81</f>
        <v>76914775.62</v>
      </c>
      <c r="C186" s="2052">
        <f>本月审定现流表!G81</f>
        <v>0</v>
      </c>
      <c r="D186" s="2053"/>
      <c r="E186" s="2054">
        <f t="shared" si="11"/>
        <v>76914775.62</v>
      </c>
      <c r="F186" s="2055">
        <f t="shared" si="12"/>
        <v>1</v>
      </c>
      <c r="G186" s="2053"/>
      <c r="H186" s="2059"/>
      <c r="I186" s="2059"/>
      <c r="J186" s="2084"/>
    </row>
    <row r="187" spans="1:10">
      <c r="A187" s="2051" t="s">
        <v>187</v>
      </c>
      <c r="B187" s="2052">
        <f>审定现流表!C82</f>
        <v>0</v>
      </c>
      <c r="C187" s="2052">
        <f>本月审定现流表!G82</f>
        <v>0</v>
      </c>
      <c r="D187" s="2053"/>
      <c r="E187" s="2054">
        <f t="shared" si="11"/>
        <v>0</v>
      </c>
      <c r="F187" s="2055" t="str">
        <f t="shared" si="12"/>
        <v/>
      </c>
      <c r="G187" s="2053"/>
      <c r="H187" s="2059"/>
      <c r="I187" s="2059"/>
      <c r="J187" s="2084"/>
    </row>
    <row r="188" spans="1:10">
      <c r="A188" s="2051" t="s">
        <v>188</v>
      </c>
      <c r="B188" s="2052">
        <f>审定现流表!C83</f>
        <v>0</v>
      </c>
      <c r="C188" s="2052">
        <f>本月审定现流表!G83</f>
        <v>0</v>
      </c>
      <c r="D188" s="2053"/>
      <c r="E188" s="2054">
        <f t="shared" si="11"/>
        <v>0</v>
      </c>
      <c r="F188" s="2055" t="str">
        <f t="shared" si="12"/>
        <v/>
      </c>
      <c r="G188" s="2053"/>
      <c r="H188" s="2059"/>
      <c r="I188" s="2059"/>
      <c r="J188" s="2084"/>
    </row>
    <row r="189" spans="1:10">
      <c r="A189" s="2051" t="s">
        <v>189</v>
      </c>
      <c r="B189" s="2052">
        <f>审定现流表!C84</f>
        <v>126800356.74</v>
      </c>
      <c r="C189" s="2052">
        <f>本月审定现流表!G84</f>
        <v>0</v>
      </c>
      <c r="D189" s="2053"/>
      <c r="E189" s="2054">
        <f t="shared" si="11"/>
        <v>126800356.74</v>
      </c>
      <c r="F189" s="2055">
        <f t="shared" si="12"/>
        <v>1</v>
      </c>
      <c r="G189" s="2053"/>
      <c r="H189" s="2059"/>
      <c r="I189" s="2059"/>
      <c r="J189" s="2084"/>
    </row>
  </sheetData>
  <sheetProtection password="CF6E" sheet="1" formatCells="0" formatColumns="0" formatRows="0" insertRows="0" insertColumns="0" insertHyperlinks="0" autoFilter="0" pivotTables="0" objects="1" scenarios="1"/>
  <autoFilter ref="H4:I189">
    <extLst/>
  </autoFilter>
  <mergeCells count="7">
    <mergeCell ref="A111:G111"/>
    <mergeCell ref="A1:A2"/>
    <mergeCell ref="B1:B2"/>
    <mergeCell ref="C1:C2"/>
    <mergeCell ref="D1:D2"/>
    <mergeCell ref="J1:J2"/>
    <mergeCell ref="H1:I2"/>
  </mergeCells>
  <conditionalFormatting sqref="I5">
    <cfRule type="containsText" dxfId="7" priority="91" operator="between" text="不相符">
      <formula>NOT(ISERROR(SEARCH("不相符",I5)))</formula>
    </cfRule>
  </conditionalFormatting>
  <conditionalFormatting sqref="H14:I14">
    <cfRule type="containsText" dxfId="7" priority="11" operator="between" text="不相符">
      <formula>NOT(ISERROR(SEARCH("不相符",H14)))</formula>
    </cfRule>
  </conditionalFormatting>
  <conditionalFormatting sqref="H16:I16">
    <cfRule type="containsText" dxfId="7" priority="15" operator="between" text="不相符">
      <formula>NOT(ISERROR(SEARCH("不相符",H16)))</formula>
    </cfRule>
  </conditionalFormatting>
  <conditionalFormatting sqref="I23">
    <cfRule type="containsText" dxfId="7" priority="92" operator="between" text="不相符">
      <formula>NOT(ISERROR(SEARCH("不相符",I23)))</formula>
    </cfRule>
  </conditionalFormatting>
  <conditionalFormatting sqref="H28">
    <cfRule type="containsText" dxfId="7" priority="84" operator="between" text="不相符">
      <formula>NOT(ISERROR(SEARCH("不相符",H28)))</formula>
    </cfRule>
  </conditionalFormatting>
  <conditionalFormatting sqref="I28">
    <cfRule type="containsText" dxfId="7" priority="83" operator="between" text="不相符">
      <formula>NOT(ISERROR(SEARCH("不相符",I28)))</formula>
    </cfRule>
  </conditionalFormatting>
  <conditionalFormatting sqref="H60:I60">
    <cfRule type="containsText" dxfId="7" priority="13" operator="between" text="不相符">
      <formula>NOT(ISERROR(SEARCH("不相符",H60)))</formula>
    </cfRule>
  </conditionalFormatting>
  <conditionalFormatting sqref="H71">
    <cfRule type="containsText" dxfId="7" priority="23" operator="between" text="不相符">
      <formula>NOT(ISERROR(SEARCH("不相符",H71)))</formula>
    </cfRule>
  </conditionalFormatting>
  <conditionalFormatting sqref="I71">
    <cfRule type="containsText" dxfId="7" priority="22" operator="between" text="不相符">
      <formula>NOT(ISERROR(SEARCH("不相符",I71)))</formula>
    </cfRule>
  </conditionalFormatting>
  <conditionalFormatting sqref="H79">
    <cfRule type="containsText" dxfId="7" priority="6" operator="between" text="不相符">
      <formula>NOT(ISERROR(SEARCH("不相符",H79)))</formula>
    </cfRule>
  </conditionalFormatting>
  <conditionalFormatting sqref="I79">
    <cfRule type="containsText" dxfId="7" priority="5" operator="between" text="不相符">
      <formula>NOT(ISERROR(SEARCH("不相符",I79)))</formula>
    </cfRule>
  </conditionalFormatting>
  <conditionalFormatting sqref="H83:I83">
    <cfRule type="containsText" dxfId="7" priority="2" operator="between" text="不相符">
      <formula>NOT(ISERROR(SEARCH("不相符",H83)))</formula>
    </cfRule>
  </conditionalFormatting>
  <conditionalFormatting sqref="H99:I99">
    <cfRule type="containsText" dxfId="7" priority="21" operator="between" text="不相符">
      <formula>NOT(ISERROR(SEARCH("不相符",H99)))</formula>
    </cfRule>
  </conditionalFormatting>
  <conditionalFormatting sqref="H100:I100">
    <cfRule type="containsText" dxfId="7" priority="9" operator="between" text="不相符">
      <formula>NOT(ISERROR(SEARCH("不相符",H100)))</formula>
    </cfRule>
  </conditionalFormatting>
  <conditionalFormatting sqref="H102:I102">
    <cfRule type="containsText" dxfId="7" priority="8" operator="between" text="不相符">
      <formula>NOT(ISERROR(SEARCH("不相符",H102)))</formula>
    </cfRule>
  </conditionalFormatting>
  <conditionalFormatting sqref="H104">
    <cfRule type="containsText" dxfId="7" priority="17" operator="between" text="不相符">
      <formula>NOT(ISERROR(SEARCH("不相符",H104)))</formula>
    </cfRule>
  </conditionalFormatting>
  <conditionalFormatting sqref="I104">
    <cfRule type="containsText" dxfId="7" priority="16" operator="between" text="不相符">
      <formula>NOT(ISERROR(SEARCH("不相符",I104)))</formula>
    </cfRule>
  </conditionalFormatting>
  <conditionalFormatting sqref="H109:I109">
    <cfRule type="containsText" dxfId="7" priority="7" operator="between" text="不相符">
      <formula>NOT(ISERROR(SEARCH("不相符",H109)))</formula>
    </cfRule>
  </conditionalFormatting>
  <conditionalFormatting sqref="H110">
    <cfRule type="containsText" dxfId="7" priority="73" operator="between" text="不相符">
      <formula>NOT(ISERROR(SEARCH("不相符",H110)))</formula>
    </cfRule>
  </conditionalFormatting>
  <conditionalFormatting sqref="I110">
    <cfRule type="containsText" dxfId="7" priority="72" operator="between" text="不相符">
      <formula>NOT(ISERROR(SEARCH("不相符",I110)))</formula>
    </cfRule>
  </conditionalFormatting>
  <conditionalFormatting sqref="H116">
    <cfRule type="containsText" dxfId="7" priority="18" operator="between" text="不相符">
      <formula>NOT(ISERROR(SEARCH("不相符",H116)))</formula>
    </cfRule>
  </conditionalFormatting>
  <conditionalFormatting sqref="H120">
    <cfRule type="containsText" dxfId="7" priority="55" operator="between" text="不相符">
      <formula>NOT(ISERROR(SEARCH("不相符",H120)))</formula>
    </cfRule>
  </conditionalFormatting>
  <conditionalFormatting sqref="H121">
    <cfRule type="containsText" dxfId="7" priority="19" operator="between" text="不相符">
      <formula>NOT(ISERROR(SEARCH("不相符",H121)))</formula>
    </cfRule>
  </conditionalFormatting>
  <conditionalFormatting sqref="I121">
    <cfRule type="containsText" dxfId="7" priority="20" operator="between" text="不相符">
      <formula>NOT(ISERROR(SEARCH("不相符",I121)))</formula>
    </cfRule>
  </conditionalFormatting>
  <conditionalFormatting sqref="H131:I131">
    <cfRule type="containsText" dxfId="7" priority="81" operator="between" text="不相符">
      <formula>NOT(ISERROR(SEARCH("不相符",H131)))</formula>
    </cfRule>
  </conditionalFormatting>
  <conditionalFormatting sqref="H133">
    <cfRule type="containsText" dxfId="7" priority="50" operator="between" text="不相符">
      <formula>NOT(ISERROR(SEARCH("不相符",H133)))</formula>
    </cfRule>
  </conditionalFormatting>
  <conditionalFormatting sqref="H136:I136">
    <cfRule type="containsText" dxfId="7" priority="80" operator="between" text="不相符">
      <formula>NOT(ISERROR(SEARCH("不相符",H136)))</formula>
    </cfRule>
  </conditionalFormatting>
  <conditionalFormatting sqref="H143">
    <cfRule type="containsText" dxfId="7" priority="48" operator="between" text="不相符">
      <formula>NOT(ISERROR(SEARCH("不相符",H143)))</formula>
    </cfRule>
  </conditionalFormatting>
  <conditionalFormatting sqref="H145:I145">
    <cfRule type="containsText" dxfId="7" priority="78" operator="between" text="不相符">
      <formula>NOT(ISERROR(SEARCH("不相符",H145)))</formula>
    </cfRule>
  </conditionalFormatting>
  <conditionalFormatting sqref="H148">
    <cfRule type="containsText" dxfId="7" priority="45" operator="between" text="不相符">
      <formula>NOT(ISERROR(SEARCH("不相符",H148)))</formula>
    </cfRule>
  </conditionalFormatting>
  <conditionalFormatting sqref="H150:I150">
    <cfRule type="containsText" dxfId="7" priority="79" operator="between" text="不相符">
      <formula>NOT(ISERROR(SEARCH("不相符",H150)))</formula>
    </cfRule>
  </conditionalFormatting>
  <conditionalFormatting sqref="H154">
    <cfRule type="containsText" dxfId="7" priority="24" operator="between" text="不相符">
      <formula>NOT(ISERROR(SEARCH("不相符",H154)))</formula>
    </cfRule>
  </conditionalFormatting>
  <conditionalFormatting sqref="H162">
    <cfRule type="containsText" dxfId="7" priority="27" operator="between" text="不相符">
      <formula>NOT(ISERROR(SEARCH("不相符",H162)))</formula>
    </cfRule>
  </conditionalFormatting>
  <conditionalFormatting sqref="H163">
    <cfRule type="containsText" dxfId="7" priority="26" operator="between" text="不相符">
      <formula>NOT(ISERROR(SEARCH("不相符",H163)))</formula>
    </cfRule>
  </conditionalFormatting>
  <conditionalFormatting sqref="H164">
    <cfRule type="containsText" dxfId="7" priority="29" operator="between" text="不相符">
      <formula>NOT(ISERROR(SEARCH("不相符",H164)))</formula>
    </cfRule>
  </conditionalFormatting>
  <conditionalFormatting sqref="H112:H115">
    <cfRule type="containsText" dxfId="7" priority="71" operator="between" text="不相符">
      <formula>NOT(ISERROR(SEARCH("不相符",H112)))</formula>
    </cfRule>
  </conditionalFormatting>
  <conditionalFormatting sqref="H118:H119">
    <cfRule type="containsText" dxfId="7" priority="69" operator="between" text="不相符">
      <formula>NOT(ISERROR(SEARCH("不相符",H118)))</formula>
    </cfRule>
  </conditionalFormatting>
  <conditionalFormatting sqref="H123:H130">
    <cfRule type="containsText" dxfId="7" priority="67" operator="between" text="不相符">
      <formula>NOT(ISERROR(SEARCH("不相符",H123)))</formula>
    </cfRule>
  </conditionalFormatting>
  <conditionalFormatting sqref="H165:H166">
    <cfRule type="containsText" dxfId="7" priority="28" operator="between" text="不相符">
      <formula>NOT(ISERROR(SEARCH("不相符",H165)))</formula>
    </cfRule>
  </conditionalFormatting>
  <conditionalFormatting sqref="H168:H176">
    <cfRule type="containsText" dxfId="7" priority="30" operator="between" text="不相符">
      <formula>NOT(ISERROR(SEARCH("不相符",H168)))</formula>
    </cfRule>
  </conditionalFormatting>
  <conditionalFormatting sqref="I20:I22">
    <cfRule type="containsText" dxfId="7" priority="89" operator="between" text="不相符">
      <formula>NOT(ISERROR(SEARCH("不相符",I20)))</formula>
    </cfRule>
  </conditionalFormatting>
  <conditionalFormatting sqref="I48:I52">
    <cfRule type="containsText" dxfId="7" priority="87" operator="between" text="不相符">
      <formula>NOT(ISERROR(SEARCH("不相符",I48)))</formula>
    </cfRule>
  </conditionalFormatting>
  <conditionalFormatting sqref="I55:I59">
    <cfRule type="containsText" dxfId="7" priority="86" operator="between" text="不相符">
      <formula>NOT(ISERROR(SEARCH("不相符",I55)))</formula>
    </cfRule>
  </conditionalFormatting>
  <conditionalFormatting sqref="I112:I116">
    <cfRule type="containsText" dxfId="7" priority="70" operator="between" text="不相符">
      <formula>NOT(ISERROR(SEARCH("不相符",I112)))</formula>
    </cfRule>
  </conditionalFormatting>
  <conditionalFormatting sqref="I118:I120">
    <cfRule type="containsText" dxfId="7" priority="68" operator="between" text="不相符">
      <formula>NOT(ISERROR(SEARCH("不相符",I118)))</formula>
    </cfRule>
  </conditionalFormatting>
  <conditionalFormatting sqref="I123:I130">
    <cfRule type="containsText" dxfId="7" priority="66" operator="between" text="不相符">
      <formula>NOT(ISERROR(SEARCH("不相符",I123)))</formula>
    </cfRule>
  </conditionalFormatting>
  <conditionalFormatting sqref="I132:I135">
    <cfRule type="containsText" dxfId="7" priority="64" operator="between" text="不相符">
      <formula>NOT(ISERROR(SEARCH("不相符",I132)))</formula>
    </cfRule>
  </conditionalFormatting>
  <conditionalFormatting sqref="I137:I144">
    <cfRule type="containsText" dxfId="7" priority="62" operator="between" text="不相符">
      <formula>NOT(ISERROR(SEARCH("不相符",I137)))</formula>
    </cfRule>
  </conditionalFormatting>
  <conditionalFormatting sqref="I146:I149">
    <cfRule type="containsText" dxfId="7" priority="60" operator="between" text="不相符">
      <formula>NOT(ISERROR(SEARCH("不相符",I146)))</formula>
    </cfRule>
  </conditionalFormatting>
  <conditionalFormatting sqref="I151:I157">
    <cfRule type="containsText" dxfId="7" priority="58" operator="between" text="不相符">
      <formula>NOT(ISERROR(SEARCH("不相符",I151)))</formula>
    </cfRule>
  </conditionalFormatting>
  <conditionalFormatting sqref="I159:I189">
    <cfRule type="containsText" dxfId="7" priority="56" operator="between" text="不相符">
      <formula>NOT(ISERROR(SEARCH("不相符",I159)))</formula>
    </cfRule>
  </conditionalFormatting>
  <conditionalFormatting sqref="H5:H13 H15 H20:H27 H29:H36 H48:H59 H64:H70 I53:I54 I90:I98 H117:I117 H122:I122 H77:H78 H105:I108 H80:H82 H84:H98">
    <cfRule type="containsText" dxfId="7" priority="107" operator="between" text="不相符">
      <formula>NOT(ISERROR(SEARCH("不相符",H5)))</formula>
    </cfRule>
  </conditionalFormatting>
  <conditionalFormatting sqref="I6:I13 I15">
    <cfRule type="containsText" dxfId="7" priority="90" operator="between" text="不相符">
      <formula>NOT(ISERROR(SEARCH("不相符",I6)))</formula>
    </cfRule>
  </conditionalFormatting>
  <conditionalFormatting sqref="I24:I27 I29:I36">
    <cfRule type="containsText" dxfId="7" priority="88" operator="between" text="不相符">
      <formula>NOT(ISERROR(SEARCH("不相符",I24)))</formula>
    </cfRule>
  </conditionalFormatting>
  <conditionalFormatting sqref="I64:I70 I77:I78 I80:I82 I84:I89">
    <cfRule type="containsText" dxfId="7" priority="85" operator="between" text="不相符">
      <formula>NOT(ISERROR(SEARCH("不相符",I64)))</formula>
    </cfRule>
  </conditionalFormatting>
  <conditionalFormatting sqref="H101 H103">
    <cfRule type="containsText" dxfId="7" priority="77" operator="between" text="不相符">
      <formula>NOT(ISERROR(SEARCH("不相符",H101)))</formula>
    </cfRule>
  </conditionalFormatting>
  <conditionalFormatting sqref="I101 I103">
    <cfRule type="containsText" dxfId="7" priority="76" operator="between" text="不相符">
      <formula>NOT(ISERROR(SEARCH("不相符",I101)))</formula>
    </cfRule>
  </conditionalFormatting>
  <conditionalFormatting sqref="H132 H134:H135">
    <cfRule type="containsText" dxfId="7" priority="65" operator="between" text="不相符">
      <formula>NOT(ISERROR(SEARCH("不相符",H132)))</formula>
    </cfRule>
  </conditionalFormatting>
  <conditionalFormatting sqref="H137:H142 H144">
    <cfRule type="containsText" dxfId="7" priority="63" operator="between" text="不相符">
      <formula>NOT(ISERROR(SEARCH("不相符",H137)))</formula>
    </cfRule>
  </conditionalFormatting>
  <conditionalFormatting sqref="H146:H147 H149">
    <cfRule type="containsText" dxfId="7" priority="61" operator="between" text="不相符">
      <formula>NOT(ISERROR(SEARCH("不相符",H146)))</formula>
    </cfRule>
  </conditionalFormatting>
  <conditionalFormatting sqref="H151:H153 H155:H157">
    <cfRule type="containsText" dxfId="7" priority="59" operator="between" text="不相符">
      <formula>NOT(ISERROR(SEARCH("不相符",H151)))</formula>
    </cfRule>
  </conditionalFormatting>
  <conditionalFormatting sqref="H159:H161 H177:H189 H167">
    <cfRule type="containsText" dxfId="7" priority="57" operator="between" text="不相符">
      <formula>NOT(ISERROR(SEARCH("不相符",H159)))</formula>
    </cfRule>
  </conditionalFormatting>
  <dataValidations count="1">
    <dataValidation type="list" allowBlank="1" showInputMessage="1" showErrorMessage="1" sqref="IX4:IX110 IX65456:IX65581 IX130992:IX131117 IX196528:IX196653 IX262064:IX262189 IX327600:IX327725 IX393136:IX393261 IX458672:IX458797 IX524208:IX524333 IX589744:IX589869 IX655280:IX655405 IX720816:IX720941 IX786352:IX786477 IX851888:IX852013 IX917424:IX917549 IX982960:IX983085 ST4:ST110 ST65456:ST65581 ST130992:ST131117 ST196528:ST196653 ST262064:ST262189 ST327600:ST327725 ST393136:ST393261 ST458672:ST458797 ST524208:ST524333 ST589744:ST589869 ST655280:ST655405 ST720816:ST720941 ST786352:ST786477 ST851888:ST852013 ST917424:ST917549 ST982960:ST983085 ACP4:ACP110 ACP65456:ACP65581 ACP130992:ACP131117 ACP196528:ACP196653 ACP262064:ACP262189 ACP327600:ACP327725 ACP393136:ACP393261 ACP458672:ACP458797 ACP524208:ACP524333 ACP589744:ACP589869 ACP655280:ACP655405 ACP720816:ACP720941 ACP786352:ACP786477 ACP851888:ACP852013 ACP917424:ACP917549 ACP982960:ACP983085 AML4:AML110 AML65456:AML65581 AML130992:AML131117 AML196528:AML196653 AML262064:AML262189 AML327600:AML327725 AML393136:AML393261 AML458672:AML458797 AML524208:AML524333 AML589744:AML589869 AML655280:AML655405 AML720816:AML720941 AML786352:AML786477 AML851888:AML852013 AML917424:AML917549 AML982960:AML983085 AWH4:AWH110 AWH65456:AWH65581 AWH130992:AWH131117 AWH196528:AWH196653 AWH262064:AWH262189 AWH327600:AWH327725 AWH393136:AWH393261 AWH458672:AWH458797 AWH524208:AWH524333 AWH589744:AWH589869 AWH655280:AWH655405 AWH720816:AWH720941 AWH786352:AWH786477 AWH851888:AWH852013 AWH917424:AWH917549 AWH982960:AWH983085 BGD4:BGD110 BGD65456:BGD65581 BGD130992:BGD131117 BGD196528:BGD196653 BGD262064:BGD262189 BGD327600:BGD327725 BGD393136:BGD393261 BGD458672:BGD458797 BGD524208:BGD524333 BGD589744:BGD589869 BGD655280:BGD655405 BGD720816:BGD720941 BGD786352:BGD786477 BGD851888:BGD852013 BGD917424:BGD917549 BGD982960:BGD983085 BPZ4:BPZ110 BPZ65456:BPZ65581 BPZ130992:BPZ131117 BPZ196528:BPZ196653 BPZ262064:BPZ262189 BPZ327600:BPZ327725 BPZ393136:BPZ393261 BPZ458672:BPZ458797 BPZ524208:BPZ524333 BPZ589744:BPZ589869 BPZ655280:BPZ655405 BPZ720816:BPZ720941 BPZ786352:BPZ786477 BPZ851888:BPZ852013 BPZ917424:BPZ917549 BPZ982960:BPZ983085 BZV4:BZV110 BZV65456:BZV65581 BZV130992:BZV131117 BZV196528:BZV196653 BZV262064:BZV262189 BZV327600:BZV327725 BZV393136:BZV393261 BZV458672:BZV458797 BZV524208:BZV524333 BZV589744:BZV589869 BZV655280:BZV655405 BZV720816:BZV720941 BZV786352:BZV786477 BZV851888:BZV852013 BZV917424:BZV917549 BZV982960:BZV983085 CJR4:CJR110 CJR65456:CJR65581 CJR130992:CJR131117 CJR196528:CJR196653 CJR262064:CJR262189 CJR327600:CJR327725 CJR393136:CJR393261 CJR458672:CJR458797 CJR524208:CJR524333 CJR589744:CJR589869 CJR655280:CJR655405 CJR720816:CJR720941 CJR786352:CJR786477 CJR851888:CJR852013 CJR917424:CJR917549 CJR982960:CJR983085 CTN4:CTN110 CTN65456:CTN65581 CTN130992:CTN131117 CTN196528:CTN196653 CTN262064:CTN262189 CTN327600:CTN327725 CTN393136:CTN393261 CTN458672:CTN458797 CTN524208:CTN524333 CTN589744:CTN589869 CTN655280:CTN655405 CTN720816:CTN720941 CTN786352:CTN786477 CTN851888:CTN852013 CTN917424:CTN917549 CTN982960:CTN983085 DDJ4:DDJ110 DDJ65456:DDJ65581 DDJ130992:DDJ131117 DDJ196528:DDJ196653 DDJ262064:DDJ262189 DDJ327600:DDJ327725 DDJ393136:DDJ393261 DDJ458672:DDJ458797 DDJ524208:DDJ524333 DDJ589744:DDJ589869 DDJ655280:DDJ655405 DDJ720816:DDJ720941 DDJ786352:DDJ786477 DDJ851888:DDJ852013 DDJ917424:DDJ917549 DDJ982960:DDJ983085 DNF4:DNF110 DNF65456:DNF65581 DNF130992:DNF131117 DNF196528:DNF196653 DNF262064:DNF262189 DNF327600:DNF327725 DNF393136:DNF393261 DNF458672:DNF458797 DNF524208:DNF524333 DNF589744:DNF589869 DNF655280:DNF655405 DNF720816:DNF720941 DNF786352:DNF786477 DNF851888:DNF852013 DNF917424:DNF917549 DNF982960:DNF983085 DXB4:DXB110 DXB65456:DXB65581 DXB130992:DXB131117 DXB196528:DXB196653 DXB262064:DXB262189 DXB327600:DXB327725 DXB393136:DXB393261 DXB458672:DXB458797 DXB524208:DXB524333 DXB589744:DXB589869 DXB655280:DXB655405 DXB720816:DXB720941 DXB786352:DXB786477 DXB851888:DXB852013 DXB917424:DXB917549 DXB982960:DXB983085 EGX4:EGX110 EGX65456:EGX65581 EGX130992:EGX131117 EGX196528:EGX196653 EGX262064:EGX262189 EGX327600:EGX327725 EGX393136:EGX393261 EGX458672:EGX458797 EGX524208:EGX524333 EGX589744:EGX589869 EGX655280:EGX655405 EGX720816:EGX720941 EGX786352:EGX786477 EGX851888:EGX852013 EGX917424:EGX917549 EGX982960:EGX983085 EQT4:EQT110 EQT65456:EQT65581 EQT130992:EQT131117 EQT196528:EQT196653 EQT262064:EQT262189 EQT327600:EQT327725 EQT393136:EQT393261 EQT458672:EQT458797 EQT524208:EQT524333 EQT589744:EQT589869 EQT655280:EQT655405 EQT720816:EQT720941 EQT786352:EQT786477 EQT851888:EQT852013 EQT917424:EQT917549 EQT982960:EQT983085 FAP4:FAP110 FAP65456:FAP65581 FAP130992:FAP131117 FAP196528:FAP196653 FAP262064:FAP262189 FAP327600:FAP327725 FAP393136:FAP393261 FAP458672:FAP458797 FAP524208:FAP524333 FAP589744:FAP589869 FAP655280:FAP655405 FAP720816:FAP720941 FAP786352:FAP786477 FAP851888:FAP852013 FAP917424:FAP917549 FAP982960:FAP983085 FKL4:FKL110 FKL65456:FKL65581 FKL130992:FKL131117 FKL196528:FKL196653 FKL262064:FKL262189 FKL327600:FKL327725 FKL393136:FKL393261 FKL458672:FKL458797 FKL524208:FKL524333 FKL589744:FKL589869 FKL655280:FKL655405 FKL720816:FKL720941 FKL786352:FKL786477 FKL851888:FKL852013 FKL917424:FKL917549 FKL982960:FKL983085 FUH4:FUH110 FUH65456:FUH65581 FUH130992:FUH131117 FUH196528:FUH196653 FUH262064:FUH262189 FUH327600:FUH327725 FUH393136:FUH393261 FUH458672:FUH458797 FUH524208:FUH524333 FUH589744:FUH589869 FUH655280:FUH655405 FUH720816:FUH720941 FUH786352:FUH786477 FUH851888:FUH852013 FUH917424:FUH917549 FUH982960:FUH983085 GED4:GED110 GED65456:GED65581 GED130992:GED131117 GED196528:GED196653 GED262064:GED262189 GED327600:GED327725 GED393136:GED393261 GED458672:GED458797 GED524208:GED524333 GED589744:GED589869 GED655280:GED655405 GED720816:GED720941 GED786352:GED786477 GED851888:GED852013 GED917424:GED917549 GED982960:GED983085 GNZ4:GNZ110 GNZ65456:GNZ65581 GNZ130992:GNZ131117 GNZ196528:GNZ196653 GNZ262064:GNZ262189 GNZ327600:GNZ327725 GNZ393136:GNZ393261 GNZ458672:GNZ458797 GNZ524208:GNZ524333 GNZ589744:GNZ589869 GNZ655280:GNZ655405 GNZ720816:GNZ720941 GNZ786352:GNZ786477 GNZ851888:GNZ852013 GNZ917424:GNZ917549 GNZ982960:GNZ983085 GXV4:GXV110 GXV65456:GXV65581 GXV130992:GXV131117 GXV196528:GXV196653 GXV262064:GXV262189 GXV327600:GXV327725 GXV393136:GXV393261 GXV458672:GXV458797 GXV524208:GXV524333 GXV589744:GXV589869 GXV655280:GXV655405 GXV720816:GXV720941 GXV786352:GXV786477 GXV851888:GXV852013 GXV917424:GXV917549 GXV982960:GXV983085 HHR4:HHR110 HHR65456:HHR65581 HHR130992:HHR131117 HHR196528:HHR196653 HHR262064:HHR262189 HHR327600:HHR327725 HHR393136:HHR393261 HHR458672:HHR458797 HHR524208:HHR524333 HHR589744:HHR589869 HHR655280:HHR655405 HHR720816:HHR720941 HHR786352:HHR786477 HHR851888:HHR852013 HHR917424:HHR917549 HHR982960:HHR983085 HRN4:HRN110 HRN65456:HRN65581 HRN130992:HRN131117 HRN196528:HRN196653 HRN262064:HRN262189 HRN327600:HRN327725 HRN393136:HRN393261 HRN458672:HRN458797 HRN524208:HRN524333 HRN589744:HRN589869 HRN655280:HRN655405 HRN720816:HRN720941 HRN786352:HRN786477 HRN851888:HRN852013 HRN917424:HRN917549 HRN982960:HRN983085 IBJ4:IBJ110 IBJ65456:IBJ65581 IBJ130992:IBJ131117 IBJ196528:IBJ196653 IBJ262064:IBJ262189 IBJ327600:IBJ327725 IBJ393136:IBJ393261 IBJ458672:IBJ458797 IBJ524208:IBJ524333 IBJ589744:IBJ589869 IBJ655280:IBJ655405 IBJ720816:IBJ720941 IBJ786352:IBJ786477 IBJ851888:IBJ852013 IBJ917424:IBJ917549 IBJ982960:IBJ983085 ILF4:ILF110 ILF65456:ILF65581 ILF130992:ILF131117 ILF196528:ILF196653 ILF262064:ILF262189 ILF327600:ILF327725 ILF393136:ILF393261 ILF458672:ILF458797 ILF524208:ILF524333 ILF589744:ILF589869 ILF655280:ILF655405 ILF720816:ILF720941 ILF786352:ILF786477 ILF851888:ILF852013 ILF917424:ILF917549 ILF982960:ILF983085 IVB4:IVB110 IVB65456:IVB65581 IVB130992:IVB131117 IVB196528:IVB196653 IVB262064:IVB262189 IVB327600:IVB327725 IVB393136:IVB393261 IVB458672:IVB458797 IVB524208:IVB524333 IVB589744:IVB589869 IVB655280:IVB655405 IVB720816:IVB720941 IVB786352:IVB786477 IVB851888:IVB852013 IVB917424:IVB917549 IVB982960:IVB983085 JEX4:JEX110 JEX65456:JEX65581 JEX130992:JEX131117 JEX196528:JEX196653 JEX262064:JEX262189 JEX327600:JEX327725 JEX393136:JEX393261 JEX458672:JEX458797 JEX524208:JEX524333 JEX589744:JEX589869 JEX655280:JEX655405 JEX720816:JEX720941 JEX786352:JEX786477 JEX851888:JEX852013 JEX917424:JEX917549 JEX982960:JEX983085 JOT4:JOT110 JOT65456:JOT65581 JOT130992:JOT131117 JOT196528:JOT196653 JOT262064:JOT262189 JOT327600:JOT327725 JOT393136:JOT393261 JOT458672:JOT458797 JOT524208:JOT524333 JOT589744:JOT589869 JOT655280:JOT655405 JOT720816:JOT720941 JOT786352:JOT786477 JOT851888:JOT852013 JOT917424:JOT917549 JOT982960:JOT983085 JYP4:JYP110 JYP65456:JYP65581 JYP130992:JYP131117 JYP196528:JYP196653 JYP262064:JYP262189 JYP327600:JYP327725 JYP393136:JYP393261 JYP458672:JYP458797 JYP524208:JYP524333 JYP589744:JYP589869 JYP655280:JYP655405 JYP720816:JYP720941 JYP786352:JYP786477 JYP851888:JYP852013 JYP917424:JYP917549 JYP982960:JYP983085 KIL4:KIL110 KIL65456:KIL65581 KIL130992:KIL131117 KIL196528:KIL196653 KIL262064:KIL262189 KIL327600:KIL327725 KIL393136:KIL393261 KIL458672:KIL458797 KIL524208:KIL524333 KIL589744:KIL589869 KIL655280:KIL655405 KIL720816:KIL720941 KIL786352:KIL786477 KIL851888:KIL852013 KIL917424:KIL917549 KIL982960:KIL983085 KSH4:KSH110 KSH65456:KSH65581 KSH130992:KSH131117 KSH196528:KSH196653 KSH262064:KSH262189 KSH327600:KSH327725 KSH393136:KSH393261 KSH458672:KSH458797 KSH524208:KSH524333 KSH589744:KSH589869 KSH655280:KSH655405 KSH720816:KSH720941 KSH786352:KSH786477 KSH851888:KSH852013 KSH917424:KSH917549 KSH982960:KSH983085 LCD4:LCD110 LCD65456:LCD65581 LCD130992:LCD131117 LCD196528:LCD196653 LCD262064:LCD262189 LCD327600:LCD327725 LCD393136:LCD393261 LCD458672:LCD458797 LCD524208:LCD524333 LCD589744:LCD589869 LCD655280:LCD655405 LCD720816:LCD720941 LCD786352:LCD786477 LCD851888:LCD852013 LCD917424:LCD917549 LCD982960:LCD983085 LLZ4:LLZ110 LLZ65456:LLZ65581 LLZ130992:LLZ131117 LLZ196528:LLZ196653 LLZ262064:LLZ262189 LLZ327600:LLZ327725 LLZ393136:LLZ393261 LLZ458672:LLZ458797 LLZ524208:LLZ524333 LLZ589744:LLZ589869 LLZ655280:LLZ655405 LLZ720816:LLZ720941 LLZ786352:LLZ786477 LLZ851888:LLZ852013 LLZ917424:LLZ917549 LLZ982960:LLZ983085 LVV4:LVV110 LVV65456:LVV65581 LVV130992:LVV131117 LVV196528:LVV196653 LVV262064:LVV262189 LVV327600:LVV327725 LVV393136:LVV393261 LVV458672:LVV458797 LVV524208:LVV524333 LVV589744:LVV589869 LVV655280:LVV655405 LVV720816:LVV720941 LVV786352:LVV786477 LVV851888:LVV852013 LVV917424:LVV917549 LVV982960:LVV983085 MFR4:MFR110 MFR65456:MFR65581 MFR130992:MFR131117 MFR196528:MFR196653 MFR262064:MFR262189 MFR327600:MFR327725 MFR393136:MFR393261 MFR458672:MFR458797 MFR524208:MFR524333 MFR589744:MFR589869 MFR655280:MFR655405 MFR720816:MFR720941 MFR786352:MFR786477 MFR851888:MFR852013 MFR917424:MFR917549 MFR982960:MFR983085 MPN4:MPN110 MPN65456:MPN65581 MPN130992:MPN131117 MPN196528:MPN196653 MPN262064:MPN262189 MPN327600:MPN327725 MPN393136:MPN393261 MPN458672:MPN458797 MPN524208:MPN524333 MPN589744:MPN589869 MPN655280:MPN655405 MPN720816:MPN720941 MPN786352:MPN786477 MPN851888:MPN852013 MPN917424:MPN917549 MPN982960:MPN983085 MZJ4:MZJ110 MZJ65456:MZJ65581 MZJ130992:MZJ131117 MZJ196528:MZJ196653 MZJ262064:MZJ262189 MZJ327600:MZJ327725 MZJ393136:MZJ393261 MZJ458672:MZJ458797 MZJ524208:MZJ524333 MZJ589744:MZJ589869 MZJ655280:MZJ655405 MZJ720816:MZJ720941 MZJ786352:MZJ786477 MZJ851888:MZJ852013 MZJ917424:MZJ917549 MZJ982960:MZJ983085 NJF4:NJF110 NJF65456:NJF65581 NJF130992:NJF131117 NJF196528:NJF196653 NJF262064:NJF262189 NJF327600:NJF327725 NJF393136:NJF393261 NJF458672:NJF458797 NJF524208:NJF524333 NJF589744:NJF589869 NJF655280:NJF655405 NJF720816:NJF720941 NJF786352:NJF786477 NJF851888:NJF852013 NJF917424:NJF917549 NJF982960:NJF983085 NTB4:NTB110 NTB65456:NTB65581 NTB130992:NTB131117 NTB196528:NTB196653 NTB262064:NTB262189 NTB327600:NTB327725 NTB393136:NTB393261 NTB458672:NTB458797 NTB524208:NTB524333 NTB589744:NTB589869 NTB655280:NTB655405 NTB720816:NTB720941 NTB786352:NTB786477 NTB851888:NTB852013 NTB917424:NTB917549 NTB982960:NTB983085 OCX4:OCX110 OCX65456:OCX65581 OCX130992:OCX131117 OCX196528:OCX196653 OCX262064:OCX262189 OCX327600:OCX327725 OCX393136:OCX393261 OCX458672:OCX458797 OCX524208:OCX524333 OCX589744:OCX589869 OCX655280:OCX655405 OCX720816:OCX720941 OCX786352:OCX786477 OCX851888:OCX852013 OCX917424:OCX917549 OCX982960:OCX983085 OMT4:OMT110 OMT65456:OMT65581 OMT130992:OMT131117 OMT196528:OMT196653 OMT262064:OMT262189 OMT327600:OMT327725 OMT393136:OMT393261 OMT458672:OMT458797 OMT524208:OMT524333 OMT589744:OMT589869 OMT655280:OMT655405 OMT720816:OMT720941 OMT786352:OMT786477 OMT851888:OMT852013 OMT917424:OMT917549 OMT982960:OMT983085 OWP4:OWP110 OWP65456:OWP65581 OWP130992:OWP131117 OWP196528:OWP196653 OWP262064:OWP262189 OWP327600:OWP327725 OWP393136:OWP393261 OWP458672:OWP458797 OWP524208:OWP524333 OWP589744:OWP589869 OWP655280:OWP655405 OWP720816:OWP720941 OWP786352:OWP786477 OWP851888:OWP852013 OWP917424:OWP917549 OWP982960:OWP983085 PGL4:PGL110 PGL65456:PGL65581 PGL130992:PGL131117 PGL196528:PGL196653 PGL262064:PGL262189 PGL327600:PGL327725 PGL393136:PGL393261 PGL458672:PGL458797 PGL524208:PGL524333 PGL589744:PGL589869 PGL655280:PGL655405 PGL720816:PGL720941 PGL786352:PGL786477 PGL851888:PGL852013 PGL917424:PGL917549 PGL982960:PGL983085 PQH4:PQH110 PQH65456:PQH65581 PQH130992:PQH131117 PQH196528:PQH196653 PQH262064:PQH262189 PQH327600:PQH327725 PQH393136:PQH393261 PQH458672:PQH458797 PQH524208:PQH524333 PQH589744:PQH589869 PQH655280:PQH655405 PQH720816:PQH720941 PQH786352:PQH786477 PQH851888:PQH852013 PQH917424:PQH917549 PQH982960:PQH983085 QAD4:QAD110 QAD65456:QAD65581 QAD130992:QAD131117 QAD196528:QAD196653 QAD262064:QAD262189 QAD327600:QAD327725 QAD393136:QAD393261 QAD458672:QAD458797 QAD524208:QAD524333 QAD589744:QAD589869 QAD655280:QAD655405 QAD720816:QAD720941 QAD786352:QAD786477 QAD851888:QAD852013 QAD917424:QAD917549 QAD982960:QAD983085 QJZ4:QJZ110 QJZ65456:QJZ65581 QJZ130992:QJZ131117 QJZ196528:QJZ196653 QJZ262064:QJZ262189 QJZ327600:QJZ327725 QJZ393136:QJZ393261 QJZ458672:QJZ458797 QJZ524208:QJZ524333 QJZ589744:QJZ589869 QJZ655280:QJZ655405 QJZ720816:QJZ720941 QJZ786352:QJZ786477 QJZ851888:QJZ852013 QJZ917424:QJZ917549 QJZ982960:QJZ983085 QTV4:QTV110 QTV65456:QTV65581 QTV130992:QTV131117 QTV196528:QTV196653 QTV262064:QTV262189 QTV327600:QTV327725 QTV393136:QTV393261 QTV458672:QTV458797 QTV524208:QTV524333 QTV589744:QTV589869 QTV655280:QTV655405 QTV720816:QTV720941 QTV786352:QTV786477 QTV851888:QTV852013 QTV917424:QTV917549 QTV982960:QTV983085 RDR4:RDR110 RDR65456:RDR65581 RDR130992:RDR131117 RDR196528:RDR196653 RDR262064:RDR262189 RDR327600:RDR327725 RDR393136:RDR393261 RDR458672:RDR458797 RDR524208:RDR524333 RDR589744:RDR589869 RDR655280:RDR655405 RDR720816:RDR720941 RDR786352:RDR786477 RDR851888:RDR852013 RDR917424:RDR917549 RDR982960:RDR983085 RNN4:RNN110 RNN65456:RNN65581 RNN130992:RNN131117 RNN196528:RNN196653 RNN262064:RNN262189 RNN327600:RNN327725 RNN393136:RNN393261 RNN458672:RNN458797 RNN524208:RNN524333 RNN589744:RNN589869 RNN655280:RNN655405 RNN720816:RNN720941 RNN786352:RNN786477 RNN851888:RNN852013 RNN917424:RNN917549 RNN982960:RNN983085 RXJ4:RXJ110 RXJ65456:RXJ65581 RXJ130992:RXJ131117 RXJ196528:RXJ196653 RXJ262064:RXJ262189 RXJ327600:RXJ327725 RXJ393136:RXJ393261 RXJ458672:RXJ458797 RXJ524208:RXJ524333 RXJ589744:RXJ589869 RXJ655280:RXJ655405 RXJ720816:RXJ720941 RXJ786352:RXJ786477 RXJ851888:RXJ852013 RXJ917424:RXJ917549 RXJ982960:RXJ983085 SHF4:SHF110 SHF65456:SHF65581 SHF130992:SHF131117 SHF196528:SHF196653 SHF262064:SHF262189 SHF327600:SHF327725 SHF393136:SHF393261 SHF458672:SHF458797 SHF524208:SHF524333 SHF589744:SHF589869 SHF655280:SHF655405 SHF720816:SHF720941 SHF786352:SHF786477 SHF851888:SHF852013 SHF917424:SHF917549 SHF982960:SHF983085 SRB4:SRB110 SRB65456:SRB65581 SRB130992:SRB131117 SRB196528:SRB196653 SRB262064:SRB262189 SRB327600:SRB327725 SRB393136:SRB393261 SRB458672:SRB458797 SRB524208:SRB524333 SRB589744:SRB589869 SRB655280:SRB655405 SRB720816:SRB720941 SRB786352:SRB786477 SRB851888:SRB852013 SRB917424:SRB917549 SRB982960:SRB983085 TAX4:TAX110 TAX65456:TAX65581 TAX130992:TAX131117 TAX196528:TAX196653 TAX262064:TAX262189 TAX327600:TAX327725 TAX393136:TAX393261 TAX458672:TAX458797 TAX524208:TAX524333 TAX589744:TAX589869 TAX655280:TAX655405 TAX720816:TAX720941 TAX786352:TAX786477 TAX851888:TAX852013 TAX917424:TAX917549 TAX982960:TAX983085 TKT4:TKT110 TKT65456:TKT65581 TKT130992:TKT131117 TKT196528:TKT196653 TKT262064:TKT262189 TKT327600:TKT327725 TKT393136:TKT393261 TKT458672:TKT458797 TKT524208:TKT524333 TKT589744:TKT589869 TKT655280:TKT655405 TKT720816:TKT720941 TKT786352:TKT786477 TKT851888:TKT852013 TKT917424:TKT917549 TKT982960:TKT983085 TUP4:TUP110 TUP65456:TUP65581 TUP130992:TUP131117 TUP196528:TUP196653 TUP262064:TUP262189 TUP327600:TUP327725 TUP393136:TUP393261 TUP458672:TUP458797 TUP524208:TUP524333 TUP589744:TUP589869 TUP655280:TUP655405 TUP720816:TUP720941 TUP786352:TUP786477 TUP851888:TUP852013 TUP917424:TUP917549 TUP982960:TUP983085 UEL4:UEL110 UEL65456:UEL65581 UEL130992:UEL131117 UEL196528:UEL196653 UEL262064:UEL262189 UEL327600:UEL327725 UEL393136:UEL393261 UEL458672:UEL458797 UEL524208:UEL524333 UEL589744:UEL589869 UEL655280:UEL655405 UEL720816:UEL720941 UEL786352:UEL786477 UEL851888:UEL852013 UEL917424:UEL917549 UEL982960:UEL983085 UOH4:UOH110 UOH65456:UOH65581 UOH130992:UOH131117 UOH196528:UOH196653 UOH262064:UOH262189 UOH327600:UOH327725 UOH393136:UOH393261 UOH458672:UOH458797 UOH524208:UOH524333 UOH589744:UOH589869 UOH655280:UOH655405 UOH720816:UOH720941 UOH786352:UOH786477 UOH851888:UOH852013 UOH917424:UOH917549 UOH982960:UOH983085 UYD4:UYD110 UYD65456:UYD65581 UYD130992:UYD131117 UYD196528:UYD196653 UYD262064:UYD262189 UYD327600:UYD327725 UYD393136:UYD393261 UYD458672:UYD458797 UYD524208:UYD524333 UYD589744:UYD589869 UYD655280:UYD655405 UYD720816:UYD720941 UYD786352:UYD786477 UYD851888:UYD852013 UYD917424:UYD917549 UYD982960:UYD983085 VHZ4:VHZ110 VHZ65456:VHZ65581 VHZ130992:VHZ131117 VHZ196528:VHZ196653 VHZ262064:VHZ262189 VHZ327600:VHZ327725 VHZ393136:VHZ393261 VHZ458672:VHZ458797 VHZ524208:VHZ524333 VHZ589744:VHZ589869 VHZ655280:VHZ655405 VHZ720816:VHZ720941 VHZ786352:VHZ786477 VHZ851888:VHZ852013 VHZ917424:VHZ917549 VHZ982960:VHZ983085 VRV4:VRV110 VRV65456:VRV65581 VRV130992:VRV131117 VRV196528:VRV196653 VRV262064:VRV262189 VRV327600:VRV327725 VRV393136:VRV393261 VRV458672:VRV458797 VRV524208:VRV524333 VRV589744:VRV589869 VRV655280:VRV655405 VRV720816:VRV720941 VRV786352:VRV786477 VRV851888:VRV852013 VRV917424:VRV917549 VRV982960:VRV983085 WBR4:WBR110 WBR65456:WBR65581 WBR130992:WBR131117 WBR196528:WBR196653 WBR262064:WBR262189 WBR327600:WBR327725 WBR393136:WBR393261 WBR458672:WBR458797 WBR524208:WBR524333 WBR589744:WBR589869 WBR655280:WBR655405 WBR720816:WBR720941 WBR786352:WBR786477 WBR851888:WBR852013 WBR917424:WBR917549 WBR982960:WBR983085 WLN4:WLN110 WLN65456:WLN65581 WLN130992:WLN131117 WLN196528:WLN196653 WLN262064:WLN262189 WLN327600:WLN327725 WLN393136:WLN393261 WLN458672:WLN458797 WLN524208:WLN524333 WLN589744:WLN589869 WLN655280:WLN655405 WLN720816:WLN720941 WLN786352:WLN786477 WLN851888:WLN852013 WLN917424:WLN917549 WLN982960:WLN983085 WVJ4:WVJ110 WVJ65456:WVJ65581 WVJ130992:WVJ131117 WVJ196528:WVJ196653 WVJ262064:WVJ262189 WVJ327600:WVJ327725 WVJ393136:WVJ393261 WVJ458672:WVJ458797 WVJ524208:WVJ524333 WVJ589744:WVJ589869 WVJ655280:WVJ655405 WVJ720816:WVJ720941 WVJ786352:WVJ786477 WVJ851888:WVJ852013 WVJ917424:WVJ917549 WVJ982960:WVJ983085">
      <formula1>"是,否"</formula1>
    </dataValidation>
  </dataValidations>
  <hyperlinks>
    <hyperlink ref="J90" location="报表附注!E2527" display="（五十四）"/>
    <hyperlink ref="J91" location="报表附注!E2527" display="（五十四）"/>
    <hyperlink ref="J92" location="报表附注!E2621" display="（五十六）"/>
    <hyperlink ref="J97" location="报表附注!E2637" display="（五十七）"/>
    <hyperlink ref="J98" location="报表附注!E2658" display="（五十八）"/>
    <hyperlink ref="J96" location="报表附注!E2710" display="（五十九）"/>
    <hyperlink ref="J94" location="'1.管理费用'!H5" display="（六十）"/>
    <hyperlink ref="J93" location="'2.销售费用'!H5" display="（六十）"/>
    <hyperlink ref="J95" location="报表附注!E2732" display="（六十）"/>
    <hyperlink ref="J104" location="报表附注!E2913" display="（六十一）"/>
    <hyperlink ref="J105" location="报表附注!E2979" display="（六十二）"/>
    <hyperlink ref="J107" location="报表附注!E2998" display="（六十三）"/>
    <hyperlink ref="J5" location="报表附注!E2" display="（一）"/>
    <hyperlink ref="J6" location="报表附注!E46" display="（二）"/>
    <hyperlink ref="J7" location="报表附注!E71" display="(三)"/>
    <hyperlink ref="J8" location="报表附注!E196" display="(六)"/>
    <hyperlink ref="J11" location="报表附注!E124" display="(四)"/>
    <hyperlink ref="J10" location="报表附注!E155" display="（五）"/>
    <hyperlink ref="J9" location="报表附注!E500" display="（七）"/>
    <hyperlink ref="J12" location="报表附注!E562" display="（八）"/>
    <hyperlink ref="J13" location="报表附注!E847" display="（九）"/>
    <hyperlink ref="J15" location="报表附注!E943" display="（十）"/>
    <hyperlink ref="J20" location="报表附注!E961" display="（十一）"/>
    <hyperlink ref="J21" location="报表附注!E986" display="（十二）"/>
    <hyperlink ref="J22" location="报表附注!E1014" display="（十三）"/>
    <hyperlink ref="J23" location="报表附注!E1052" display="（十五）"/>
    <hyperlink ref="J24" location="报表附注!E1101" display="（十六）"/>
    <hyperlink ref="J26" location="报表附注!E1226" display="（十八）"/>
    <hyperlink ref="J27" location="报表附注!E1334" display="（十九）"/>
    <hyperlink ref="J28" location="报表附注!E1351" display="（二十）"/>
    <hyperlink ref="J29" location="报表附注!E1365" display="（二十一）"/>
    <hyperlink ref="J30" location="报表附注!E1393" display="（二十二）"/>
    <hyperlink ref="J32" location="报表附注!E1485" display="（二十三）"/>
    <hyperlink ref="J33" location="报表附注!E1557" display="（二十五）"/>
    <hyperlink ref="J34" location="报表附注!E1520" display="（二十四）"/>
    <hyperlink ref="J36" location="报表附注!E1582" display="（二十六）"/>
    <hyperlink ref="J35" location="报表附注!E1597" display="（二十七）"/>
    <hyperlink ref="J48" location="报表附注!E1770" display="（三十）"/>
    <hyperlink ref="J49" location="报表附注!E1796" display="（三十一）"/>
    <hyperlink ref="J50" location="报表附注!E1809" display="（三十二）"/>
    <hyperlink ref="J51" location="报表附注!E1824" display="（三十三）"/>
    <hyperlink ref="J52" location="报表附注!E1890" display="（三十四）"/>
    <hyperlink ref="J53" location="报表附注!E1952" display="(三十五)"/>
    <hyperlink ref="J54" location="报表附注!E1991" display="（三十六）"/>
    <hyperlink ref="J55" location="报表附注!E2025" display="（三十七）"/>
    <hyperlink ref="J56" location="报表附注!E2037" display="（三十八）"/>
    <hyperlink ref="J57" location="报表附注!E2062" display="（三十九）"/>
    <hyperlink ref="J58" location="报表附注!E2173" display="（四十一）"/>
    <hyperlink ref="J59" location="报表附注!E2251" display="（四十二）"/>
    <hyperlink ref="J64" location="报表附注!E2272" display="（四十三）"/>
    <hyperlink ref="J65" location="报表附注!E2313" display="（四十四）"/>
    <hyperlink ref="J66" location="报表附注!E2333" display="（四十五）"/>
    <hyperlink ref="J67" location="报表附注!E2368" display="（四十六）"/>
    <hyperlink ref="J68" location="报表附注!E2157" display="（四十）"/>
    <hyperlink ref="J70" location="报表附注!E2385" display="（四十七）"/>
    <hyperlink ref="J77" location="报表附注!E2401" display="（四十八）"/>
    <hyperlink ref="J78" location="报表附注!E2470" display="（五十一）"/>
    <hyperlink ref="J80" location="报表附注!E2481" display="（五十二）"/>
    <hyperlink ref="J81" location="报表附注!E2493" display="（五十三）"/>
    <hyperlink ref="J69" location="报表附注!E1597" display="（二十七）"/>
    <hyperlink ref="J122" location="报表附注!E3138" display="六十六"/>
    <hyperlink ref="J117" location="报表附注!E3121" display="六十六"/>
    <hyperlink ref="J131" location="报表附注!E3163" display="六十七"/>
    <hyperlink ref="J136" location="报表附注!E3177" display="六十七"/>
    <hyperlink ref="J145" location="报表附注!E3199" display="六十八"/>
    <hyperlink ref="J150" location="报表附注!E3210" display="六十八"/>
    <hyperlink ref="A3" location="报表附注!F1" display="【返回】报表附注"/>
    <hyperlink ref="J120" location="现流表勾稽!D10" display="【返回】现流表勾稽"/>
    <hyperlink ref="H120" location="现流表勾稽!D10" display="=IF(现流表勾稽!D10=0,&quot;相符&quot;,&quot;请在表《现流表勾稽》补充不相符差异原因&quot;)"/>
    <hyperlink ref="H133" location="现流表勾稽!D46" display="=IF(现流表勾稽!D46=0,&quot;相符&quot;,&quot;请在表《现流表勾稽》补充不相符差异原因&quot;)"/>
    <hyperlink ref="H143" location="现流表勾稽!D77" display="=IF(现流表勾稽!D77=0,&quot;相符&quot;,&quot;请在表《现流表勾稽》补充不相符差异原因&quot;)"/>
    <hyperlink ref="H148" location="现流表勾稽!D94" display="=IF(现流表勾稽!D94=0,&quot;相符&quot;,&quot;请在表《现流表勾稽》补充不相符差异原因&quot;)"/>
    <hyperlink ref="H169" location="现流表勾稽!D189" display="=IF(现流表勾稽!D189=0,&quot;相符&quot;,&quot;请在表《现流表勾稽》补充不相符差异原因&quot;)"/>
    <hyperlink ref="H162" location="现流表勾稽!D116" display="=IF(现流表勾稽!D116=0,&quot;相符&quot;,&quot;请在表《现流表勾稽》补充不相符差异原因&quot;)"/>
    <hyperlink ref="H163" location="现流表勾稽!D129" display="=IF(现流表勾稽!D129=0,&quot;相符&quot;,&quot;请在表《现流表勾稽》补充不相符差异原因&quot;)"/>
    <hyperlink ref="H164" location="现流表勾稽!D141" display="=IF(现流表勾稽!D142=0,&quot;相符&quot;,&quot;请在表《现流表勾稽》补充不相符差异原因&quot;)"/>
    <hyperlink ref="H165" location="现流表勾稽!D152" display="=IF(现流表勾稽!D152=0,&quot;相符&quot;,&quot;请在表《现流表勾稽》补充不相符差异原因&quot;)"/>
    <hyperlink ref="H166" location="现流表勾稽!D166" display="=IF(现流表勾稽!D166=0,&quot;相符&quot;,&quot;请在表《现流表勾稽》补充不相符差异原因&quot;)"/>
    <hyperlink ref="H168" location="现流表勾稽!D177" display="=IF(现流表勾稽!D177=0,&quot;相符&quot;,&quot;请在表《现流表勾稽》补充不相符差异原因&quot;)"/>
    <hyperlink ref="H170" location="现流表勾稽!D200" display="=IF(现流表勾稽!D200=0,&quot;相符&quot;,&quot;请在表《现流表勾稽》补充不相符差异原因&quot;)"/>
    <hyperlink ref="H171" location="现流表勾稽!D211" display="=IF(现流表勾稽!D211=0,&quot;相符&quot;,&quot;请在表《现流表勾稽》补充不相符差异原因&quot;)"/>
    <hyperlink ref="H172" location="现流表勾稽!D220" display="=IF(现流表勾稽!D220=0,&quot;相符&quot;,&quot;请在表《现流表勾稽》补充不相符差异原因&quot;)"/>
    <hyperlink ref="H173" location="现流表勾稽!D229" display="=IF(现流表勾稽!D229=0,&quot;相符&quot;,&quot;请在表《现流表勾稽》补充不相符差异原因&quot;)"/>
    <hyperlink ref="H174" location="现流表勾稽!D244" display="=IF(现流表勾稽!D244=0,&quot;相符&quot;,&quot;请在表《现流表勾稽》补充不相符差异原因&quot;)"/>
    <hyperlink ref="H175" location="现流表勾稽!D273" display="=IF(现流表勾稽!D273=0,&quot;相符&quot;,&quot;请在表《现流表勾稽》补充不相符差异原因&quot;)"/>
    <hyperlink ref="H176" location="现流表勾稽!D291" display="=IF(现流表勾稽!D291=0,&quot;相符&quot;,&quot;请在表《现流表勾稽》补充不相符差异原因&quot;)"/>
    <hyperlink ref="H154" location="现流表勾稽!D105" display="=IF(现流表勾稽!D105=0,&quot;相符&quot;,&quot;请在表《现流表勾稽》补充不相符差异原因&quot;)"/>
    <hyperlink ref="J71" location="报表附注!E3903" display="（五十四）"/>
    <hyperlink ref="J25" location="报表附注!F3795" display="填写（十七）"/>
    <hyperlink ref="K25" location="报表附注!F1142" display="（十七）"/>
    <hyperlink ref="J31" location="报表附注!E3850" display="填写（二十三）"/>
    <hyperlink ref="K31" location="报表附注!E1418" display="（二十三）"/>
    <hyperlink ref="J82" location="报表附注!E4057" display="（五十七）"/>
    <hyperlink ref="H121" location="现流表勾稽!D25" display="=IF(现流表勾稽!D25=0,&quot;相符&quot;,&quot;请在表《现流表勾稽》补充不相符差异原因&quot;)"/>
    <hyperlink ref="J121" location="现流表勾稽!D25" display="【返回】现流表勾稽"/>
    <hyperlink ref="J16" location="报表附注!E4059" display="（六十五）"/>
    <hyperlink ref="J60" location="报表附注!E4074" display="（六十六）"/>
    <hyperlink ref="J14" location="报表附注!E4089" display="（六十七）"/>
    <hyperlink ref="J100" location="报表附注!E4104" display="（六十八）"/>
    <hyperlink ref="J102" location="报表附注!E4119" display="（六十九）"/>
    <hyperlink ref="J109" location="报表附注!E4038" display="（六十四）"/>
    <hyperlink ref="J83" location="报表附注!E4057" display="（五十七）"/>
    <hyperlink ref="J79" location="报表附注!E4151" display="（七十）"/>
  </hyperlinks>
  <pageMargins left="0.708661417322835" right="0.393700787401575" top="0.748031496062992" bottom="0.748031496062992" header="0.31496062992126" footer="0.31496062992126"/>
  <pageSetup paperSize="9" scale="85" orientation="portrait"/>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G467"/>
  <sheetViews>
    <sheetView topLeftCell="C1" workbookViewId="0">
      <pane xSplit="1" ySplit="4" topLeftCell="D244" activePane="bottomRight" state="frozen"/>
      <selection/>
      <selection pane="topRight"/>
      <selection pane="bottomLeft"/>
      <selection pane="bottomRight" activeCell="D253" sqref="D253"/>
    </sheetView>
  </sheetViews>
  <sheetFormatPr defaultColWidth="9" defaultRowHeight="12.75" customHeight="1" outlineLevelCol="6"/>
  <cols>
    <col min="1" max="1" width="2" hidden="1" customWidth="1"/>
    <col min="2" max="2" width="2.75" hidden="1" customWidth="1"/>
    <col min="3" max="3" width="56.125" customWidth="1"/>
    <col min="4" max="4" width="19.25" customWidth="1"/>
    <col min="5" max="5" width="15.25" customWidth="1"/>
    <col min="6" max="6" width="16.125" customWidth="1"/>
    <col min="7" max="7" width="4.5" hidden="1" customWidth="1"/>
    <col min="8" max="8" width="9.375" customWidth="1"/>
  </cols>
  <sheetData>
    <row r="1" customHeight="1" spans="3:7">
      <c r="C1" s="312" t="s">
        <v>306</v>
      </c>
      <c r="D1" s="2001"/>
      <c r="G1" s="2002" t="s">
        <v>2471</v>
      </c>
    </row>
    <row r="2" customHeight="1" spans="3:7">
      <c r="C2" s="2003" t="s">
        <v>2472</v>
      </c>
      <c r="D2" s="2004"/>
      <c r="G2" s="2002" t="s">
        <v>2471</v>
      </c>
    </row>
    <row r="3" customHeight="1" spans="1:7">
      <c r="A3" s="2005" t="s">
        <v>2473</v>
      </c>
      <c r="B3" s="2006" t="s">
        <v>2474</v>
      </c>
      <c r="C3" s="2007" t="s">
        <v>2475</v>
      </c>
      <c r="D3" s="2008" t="s">
        <v>366</v>
      </c>
      <c r="E3" s="2009" t="s">
        <v>2476</v>
      </c>
      <c r="F3" s="2010" t="s">
        <v>2477</v>
      </c>
      <c r="G3" s="2002" t="s">
        <v>2471</v>
      </c>
    </row>
    <row r="4" customHeight="1" spans="1:7">
      <c r="A4" s="2005" t="str">
        <f>报表附注!$G$1</f>
        <v>深圳新阳蓝光能源管理科技股份有限公司</v>
      </c>
      <c r="B4" s="2006" t="s">
        <v>123</v>
      </c>
      <c r="C4" s="2011" t="s">
        <v>2478</v>
      </c>
      <c r="G4" s="2002" t="s">
        <v>2471</v>
      </c>
    </row>
    <row r="5" customHeight="1" spans="1:7">
      <c r="A5" s="2005" t="str">
        <f>报表附注!$G$1</f>
        <v>深圳新阳蓝光能源管理科技股份有限公司</v>
      </c>
      <c r="B5" s="2006" t="s">
        <v>123</v>
      </c>
      <c r="C5" s="2012" t="s">
        <v>123</v>
      </c>
      <c r="D5" s="2013">
        <f>审定现流表!C12</f>
        <v>10228960.26</v>
      </c>
      <c r="G5" s="2002" t="s">
        <v>2471</v>
      </c>
    </row>
    <row r="6" customHeight="1" spans="1:7">
      <c r="A6" s="2005" t="str">
        <f>报表附注!$G$1</f>
        <v>深圳新阳蓝光能源管理科技股份有限公司</v>
      </c>
      <c r="B6" s="2006" t="s">
        <v>123</v>
      </c>
      <c r="C6" s="2014" t="s">
        <v>2479</v>
      </c>
      <c r="G6" s="2002" t="s">
        <v>2471</v>
      </c>
    </row>
    <row r="7" customHeight="1" spans="1:7">
      <c r="A7" s="2005" t="str">
        <f>报表附注!$G$1</f>
        <v>深圳新阳蓝光能源管理科技股份有限公司</v>
      </c>
      <c r="B7" s="2006" t="s">
        <v>123</v>
      </c>
      <c r="C7" s="2015" t="s">
        <v>2480</v>
      </c>
      <c r="D7" s="2013">
        <f>报表附注!H1980-报表附注!H1966</f>
        <v>10282028.9</v>
      </c>
      <c r="G7" s="2002" t="s">
        <v>2471</v>
      </c>
    </row>
    <row r="8" customHeight="1" spans="1:7">
      <c r="A8" s="2005" t="str">
        <f>报表附注!$G$1</f>
        <v>深圳新阳蓝光能源管理科技股份有限公司</v>
      </c>
      <c r="B8" s="2006" t="s">
        <v>123</v>
      </c>
      <c r="C8" s="2015" t="s">
        <v>2481</v>
      </c>
      <c r="D8" s="2013">
        <f>报表附注!F2005-报表附注!I2005</f>
        <v>-53068.64</v>
      </c>
      <c r="G8" s="2002" t="s">
        <v>2471</v>
      </c>
    </row>
    <row r="9" customHeight="1" spans="1:7">
      <c r="A9" s="2005" t="str">
        <f>报表附注!$G$1</f>
        <v>深圳新阳蓝光能源管理科技股份有限公司</v>
      </c>
      <c r="B9" s="2006" t="s">
        <v>123</v>
      </c>
      <c r="C9" s="2016" t="s">
        <v>1395</v>
      </c>
      <c r="D9" s="2013">
        <f>ROUND(D5-D7-D8,2)</f>
        <v>0</v>
      </c>
      <c r="G9" s="2002" t="s">
        <v>2471</v>
      </c>
    </row>
    <row r="10" customHeight="1" spans="1:7">
      <c r="A10" s="2005" t="str">
        <f>报表附注!$G$1</f>
        <v>深圳新阳蓝光能源管理科技股份有限公司</v>
      </c>
      <c r="B10" s="2006" t="s">
        <v>123</v>
      </c>
      <c r="C10" s="2017" t="s">
        <v>2482</v>
      </c>
      <c r="D10" s="2018">
        <f>ROUND(SUM(D11:D19)-D9,2)</f>
        <v>0</v>
      </c>
      <c r="E10" s="2019" t="str">
        <f>IF(D10=0,"勾稽一致","最终差异")</f>
        <v>勾稽一致</v>
      </c>
      <c r="G10" s="2002" t="s">
        <v>2471</v>
      </c>
    </row>
    <row r="11" customHeight="1" spans="1:7">
      <c r="A11" s="2005" t="str">
        <f>报表附注!$G$1</f>
        <v>深圳新阳蓝光能源管理科技股份有限公司</v>
      </c>
      <c r="B11" s="2006" t="s">
        <v>123</v>
      </c>
      <c r="C11" s="2020" t="s">
        <v>2483</v>
      </c>
      <c r="G11" s="2002" t="s">
        <v>2471</v>
      </c>
    </row>
    <row r="12" customHeight="1" spans="1:7">
      <c r="A12" s="2005" t="str">
        <f>报表附注!$G$1</f>
        <v>深圳新阳蓝光能源管理科技股份有限公司</v>
      </c>
      <c r="B12" s="2006" t="s">
        <v>123</v>
      </c>
      <c r="C12" s="2021" t="s">
        <v>2484</v>
      </c>
      <c r="G12" s="2002" t="s">
        <v>2471</v>
      </c>
    </row>
    <row r="13" customHeight="1" spans="1:7">
      <c r="A13" s="2005" t="str">
        <f>报表附注!$G$1</f>
        <v>深圳新阳蓝光能源管理科技股份有限公司</v>
      </c>
      <c r="B13" s="2006" t="s">
        <v>123</v>
      </c>
      <c r="C13" s="2020" t="s">
        <v>2485</v>
      </c>
      <c r="G13" s="2002" t="s">
        <v>2471</v>
      </c>
    </row>
    <row r="14" customHeight="1" spans="1:7">
      <c r="A14" s="2005" t="str">
        <f>报表附注!$G$1</f>
        <v>深圳新阳蓝光能源管理科技股份有限公司</v>
      </c>
      <c r="B14" s="2006" t="s">
        <v>123</v>
      </c>
      <c r="C14" s="2020" t="s">
        <v>2486</v>
      </c>
      <c r="G14" s="2002" t="s">
        <v>2471</v>
      </c>
    </row>
    <row r="15" customHeight="1" spans="1:7">
      <c r="A15" s="2005" t="str">
        <f>报表附注!$G$1</f>
        <v>深圳新阳蓝光能源管理科技股份有限公司</v>
      </c>
      <c r="B15" s="2006" t="s">
        <v>123</v>
      </c>
      <c r="C15" s="2010" t="s">
        <v>2487</v>
      </c>
      <c r="G15" s="2002" t="s">
        <v>2471</v>
      </c>
    </row>
    <row r="16" customHeight="1" spans="1:7">
      <c r="A16" s="2005" t="str">
        <f>报表附注!$G$1</f>
        <v>深圳新阳蓝光能源管理科技股份有限公司</v>
      </c>
      <c r="B16" s="2006" t="s">
        <v>123</v>
      </c>
      <c r="C16" s="2010" t="s">
        <v>2488</v>
      </c>
      <c r="G16" s="2002" t="s">
        <v>2471</v>
      </c>
    </row>
    <row r="17" customHeight="1" spans="1:7">
      <c r="A17" s="2005" t="str">
        <f>报表附注!$G$1</f>
        <v>深圳新阳蓝光能源管理科技股份有限公司</v>
      </c>
      <c r="B17" s="2006" t="s">
        <v>123</v>
      </c>
      <c r="C17" s="2010" t="s">
        <v>2489</v>
      </c>
      <c r="G17" s="2002" t="s">
        <v>2471</v>
      </c>
    </row>
    <row r="18" customHeight="1" spans="1:7">
      <c r="A18" s="2005" t="str">
        <f>报表附注!$G$1</f>
        <v>深圳新阳蓝光能源管理科技股份有限公司</v>
      </c>
      <c r="B18" s="2006" t="s">
        <v>123</v>
      </c>
      <c r="C18" s="2010" t="s">
        <v>2490</v>
      </c>
      <c r="G18" s="2002" t="s">
        <v>2471</v>
      </c>
    </row>
    <row r="19" customHeight="1" spans="1:7">
      <c r="A19" s="2005" t="str">
        <f>报表附注!$G$1</f>
        <v>深圳新阳蓝光能源管理科技股份有限公司</v>
      </c>
      <c r="B19" s="2006" t="s">
        <v>123</v>
      </c>
      <c r="G19" s="2002" t="s">
        <v>2471</v>
      </c>
    </row>
    <row r="20" customHeight="1" spans="1:7">
      <c r="A20" s="2005" t="str">
        <f>报表附注!$G$1</f>
        <v>深圳新阳蓝光能源管理科技股份有限公司</v>
      </c>
      <c r="B20" s="2006" t="s">
        <v>124</v>
      </c>
      <c r="C20" s="2011" t="s">
        <v>2478</v>
      </c>
      <c r="G20" s="2002" t="s">
        <v>2471</v>
      </c>
    </row>
    <row r="21" customHeight="1" spans="1:7">
      <c r="A21" s="2005" t="str">
        <f>报表附注!$G$1</f>
        <v>深圳新阳蓝光能源管理科技股份有限公司</v>
      </c>
      <c r="B21" s="2006" t="s">
        <v>124</v>
      </c>
      <c r="C21" s="2012" t="s">
        <v>124</v>
      </c>
      <c r="D21" s="2013">
        <f>审定现流表!C13</f>
        <v>6259149.31</v>
      </c>
      <c r="G21" s="2002" t="s">
        <v>2471</v>
      </c>
    </row>
    <row r="22" customHeight="1" spans="1:7">
      <c r="A22" s="2005" t="str">
        <f>报表附注!$G$1</f>
        <v>深圳新阳蓝光能源管理科技股份有限公司</v>
      </c>
      <c r="B22" s="2006" t="s">
        <v>124</v>
      </c>
      <c r="C22" s="2014" t="s">
        <v>2479</v>
      </c>
      <c r="G22" s="2002" t="s">
        <v>2471</v>
      </c>
    </row>
    <row r="23" customHeight="1" spans="1:7">
      <c r="A23" s="2005" t="str">
        <f>报表附注!$G$1</f>
        <v>深圳新阳蓝光能源管理科技股份有限公司</v>
      </c>
      <c r="B23" s="2006" t="s">
        <v>124</v>
      </c>
      <c r="C23" s="2015" t="s">
        <v>2491</v>
      </c>
      <c r="D23" s="2013">
        <f>报表附注!H2017-报表附注!H2005</f>
        <v>10362303.97</v>
      </c>
      <c r="G23" s="2002" t="s">
        <v>2471</v>
      </c>
    </row>
    <row r="24" customHeight="1" spans="1:7">
      <c r="A24" s="2005" t="str">
        <f>报表附注!$G$1</f>
        <v>深圳新阳蓝光能源管理科技股份有限公司</v>
      </c>
      <c r="B24" s="2006" t="s">
        <v>124</v>
      </c>
      <c r="C24" s="2016" t="s">
        <v>1395</v>
      </c>
      <c r="D24" s="2013">
        <f>D21-D23</f>
        <v>-4103154.66</v>
      </c>
      <c r="G24" s="2002" t="s">
        <v>2471</v>
      </c>
    </row>
    <row r="25" customHeight="1" spans="1:7">
      <c r="A25" s="2005" t="str">
        <f>报表附注!$G$1</f>
        <v>深圳新阳蓝光能源管理科技股份有限公司</v>
      </c>
      <c r="B25" s="2006" t="s">
        <v>124</v>
      </c>
      <c r="C25" s="2017" t="s">
        <v>2482</v>
      </c>
      <c r="D25" s="2018">
        <f>ROUND(SUM(D26:D36)-D24,2)</f>
        <v>4103154.66</v>
      </c>
      <c r="E25" s="2019" t="str">
        <f>IF(D25=0,"勾稽一致","最终差异")</f>
        <v>最终差异</v>
      </c>
      <c r="G25" s="2002" t="s">
        <v>2471</v>
      </c>
    </row>
    <row r="26" customHeight="1" spans="1:7">
      <c r="A26" s="2005" t="str">
        <f>报表附注!$G$1</f>
        <v>深圳新阳蓝光能源管理科技股份有限公司</v>
      </c>
      <c r="B26" s="2006" t="s">
        <v>124</v>
      </c>
      <c r="C26" s="2022" t="s">
        <v>2492</v>
      </c>
      <c r="G26" s="2002" t="s">
        <v>2471</v>
      </c>
    </row>
    <row r="27" customHeight="1" spans="1:7">
      <c r="A27" s="2005" t="str">
        <f>报表附注!$G$1</f>
        <v>深圳新阳蓝光能源管理科技股份有限公司</v>
      </c>
      <c r="B27" s="2006" t="s">
        <v>124</v>
      </c>
      <c r="C27" s="2021" t="s">
        <v>2493</v>
      </c>
      <c r="G27" s="2002" t="s">
        <v>2471</v>
      </c>
    </row>
    <row r="28" customHeight="1" spans="1:7">
      <c r="A28" s="2005" t="str">
        <f>报表附注!$G$1</f>
        <v>深圳新阳蓝光能源管理科技股份有限公司</v>
      </c>
      <c r="B28" s="2006" t="s">
        <v>124</v>
      </c>
      <c r="C28" s="2020" t="s">
        <v>2485</v>
      </c>
      <c r="G28" s="2002" t="s">
        <v>2471</v>
      </c>
    </row>
    <row r="29" customHeight="1" spans="1:7">
      <c r="A29" s="2005" t="str">
        <f>报表附注!$G$1</f>
        <v>深圳新阳蓝光能源管理科技股份有限公司</v>
      </c>
      <c r="B29" s="2006" t="s">
        <v>124</v>
      </c>
      <c r="C29" s="2021" t="s">
        <v>2494</v>
      </c>
      <c r="G29" s="2002" t="s">
        <v>2471</v>
      </c>
    </row>
    <row r="30" customHeight="1" spans="1:7">
      <c r="A30" s="2005" t="str">
        <f>报表附注!$G$1</f>
        <v>深圳新阳蓝光能源管理科技股份有限公司</v>
      </c>
      <c r="B30" s="2006" t="s">
        <v>124</v>
      </c>
      <c r="C30" s="2021" t="s">
        <v>2495</v>
      </c>
      <c r="D30" s="2023">
        <f>报表附注!F947-报表附注!G947+报表附注!F948+报表附注!F953</f>
        <v>0</v>
      </c>
      <c r="G30" s="2002" t="s">
        <v>2471</v>
      </c>
    </row>
    <row r="31" customHeight="1" spans="1:7">
      <c r="A31" s="2005" t="str">
        <f>报表附注!$G$1</f>
        <v>深圳新阳蓝光能源管理科技股份有限公司</v>
      </c>
      <c r="B31" s="2006" t="s">
        <v>124</v>
      </c>
      <c r="G31" s="2002" t="s">
        <v>2471</v>
      </c>
    </row>
    <row r="32" customHeight="1" spans="1:7">
      <c r="A32" s="2005" t="str">
        <f>报表附注!$G$1</f>
        <v>深圳新阳蓝光能源管理科技股份有限公司</v>
      </c>
      <c r="B32" s="2006" t="s">
        <v>124</v>
      </c>
      <c r="G32" s="2002" t="s">
        <v>2471</v>
      </c>
    </row>
    <row r="33" customHeight="1" spans="1:7">
      <c r="A33" s="2005" t="str">
        <f>报表附注!$G$1</f>
        <v>深圳新阳蓝光能源管理科技股份有限公司</v>
      </c>
      <c r="B33" s="2006" t="s">
        <v>124</v>
      </c>
      <c r="G33" s="2002" t="s">
        <v>2471</v>
      </c>
    </row>
    <row r="34" customHeight="1" spans="1:7">
      <c r="A34" s="2005" t="str">
        <f>报表附注!$G$1</f>
        <v>深圳新阳蓝光能源管理科技股份有限公司</v>
      </c>
      <c r="B34" s="2006" t="s">
        <v>124</v>
      </c>
      <c r="G34" s="2002" t="s">
        <v>2471</v>
      </c>
    </row>
    <row r="35" customHeight="1" spans="1:7">
      <c r="A35" s="2005" t="str">
        <f>报表附注!$G$1</f>
        <v>深圳新阳蓝光能源管理科技股份有限公司</v>
      </c>
      <c r="B35" s="2006" t="s">
        <v>124</v>
      </c>
      <c r="G35" s="2002" t="s">
        <v>2471</v>
      </c>
    </row>
    <row r="36" customHeight="1" spans="1:7">
      <c r="A36" s="2005" t="str">
        <f>报表附注!$G$1</f>
        <v>深圳新阳蓝光能源管理科技股份有限公司</v>
      </c>
      <c r="B36" s="2006" t="s">
        <v>124</v>
      </c>
      <c r="G36" s="2002" t="s">
        <v>2471</v>
      </c>
    </row>
    <row r="37" customHeight="1" spans="1:7">
      <c r="A37" s="2005" t="str">
        <f>报表附注!$G$1</f>
        <v>深圳新阳蓝光能源管理科技股份有限公司</v>
      </c>
      <c r="B37" s="2006" t="s">
        <v>136</v>
      </c>
      <c r="C37" s="2011" t="s">
        <v>2478</v>
      </c>
      <c r="G37" s="2002"/>
    </row>
    <row r="38" customHeight="1" spans="1:7">
      <c r="A38" s="2005" t="str">
        <f>报表附注!$G$1</f>
        <v>深圳新阳蓝光能源管理科技股份有限公司</v>
      </c>
      <c r="B38" s="2006" t="s">
        <v>136</v>
      </c>
      <c r="C38" s="2012" t="s">
        <v>136</v>
      </c>
      <c r="D38" s="2013">
        <f>审定现流表!C25</f>
        <v>28946323.47</v>
      </c>
      <c r="G38" s="2002"/>
    </row>
    <row r="39" customHeight="1" spans="1:7">
      <c r="A39" s="2005" t="str">
        <f>报表附注!$G$1</f>
        <v>深圳新阳蓝光能源管理科技股份有限公司</v>
      </c>
      <c r="B39" s="2006" t="s">
        <v>136</v>
      </c>
      <c r="C39" s="2014" t="s">
        <v>2479</v>
      </c>
      <c r="G39" s="2002"/>
    </row>
    <row r="40" customHeight="1" spans="1:7">
      <c r="A40" s="2005" t="str">
        <f>报表附注!$G$1</f>
        <v>深圳新阳蓝光能源管理科技股份有限公司</v>
      </c>
      <c r="B40" s="2006" t="s">
        <v>136</v>
      </c>
      <c r="C40" s="2015" t="s">
        <v>2496</v>
      </c>
      <c r="D40" s="2013">
        <f>报表附注!H1144</f>
        <v>6918315.68</v>
      </c>
      <c r="G40" s="2002"/>
    </row>
    <row r="41" customHeight="1" spans="1:7">
      <c r="A41" s="2005" t="str">
        <f>报表附注!$G$1</f>
        <v>深圳新阳蓝光能源管理科技股份有限公司</v>
      </c>
      <c r="B41" s="2006" t="s">
        <v>136</v>
      </c>
      <c r="C41" s="2024" t="s">
        <v>2497</v>
      </c>
      <c r="D41" s="2013">
        <f>报表附注!I1309</f>
        <v>6792196.69</v>
      </c>
      <c r="G41" s="2002"/>
    </row>
    <row r="42" customHeight="1" spans="1:7">
      <c r="A42" s="2005" t="str">
        <f>报表附注!$G$1</f>
        <v>深圳新阳蓝光能源管理科技股份有限公司</v>
      </c>
      <c r="B42" s="2006" t="s">
        <v>136</v>
      </c>
      <c r="C42" s="2015" t="s">
        <v>2498</v>
      </c>
      <c r="D42" s="2013">
        <f>报表附注!H1309-报表附注!N1309</f>
        <v>55162770.71</v>
      </c>
      <c r="G42" s="2002"/>
    </row>
    <row r="43" customHeight="1" spans="1:7">
      <c r="A43" s="2005" t="str">
        <f>报表附注!$G$1</f>
        <v>深圳新阳蓝光能源管理科技股份有限公司</v>
      </c>
      <c r="B43" s="2006" t="s">
        <v>136</v>
      </c>
      <c r="C43" s="2015" t="s">
        <v>2499</v>
      </c>
      <c r="D43" s="2013">
        <f>报表附注!G1344</f>
        <v>0</v>
      </c>
      <c r="G43" s="2002"/>
    </row>
    <row r="44" customHeight="1" spans="1:7">
      <c r="A44" s="2005" t="str">
        <f>报表附注!$G$1</f>
        <v>深圳新阳蓝光能源管理科技股份有限公司</v>
      </c>
      <c r="B44" s="2006" t="s">
        <v>136</v>
      </c>
      <c r="C44" s="2015" t="s">
        <v>2500</v>
      </c>
      <c r="D44" s="2013">
        <f>报表附注!G1421</f>
        <v>0</v>
      </c>
      <c r="G44" s="2002"/>
    </row>
    <row r="45" customHeight="1" spans="1:7">
      <c r="A45" s="2005" t="str">
        <f>报表附注!$G$1</f>
        <v>深圳新阳蓝光能源管理科技股份有限公司</v>
      </c>
      <c r="B45" s="2006" t="s">
        <v>136</v>
      </c>
      <c r="C45" s="2016" t="s">
        <v>1395</v>
      </c>
      <c r="D45" s="2013">
        <f>D38-D40+D41-D42-D43-D44</f>
        <v>-26342566.23</v>
      </c>
      <c r="G45" s="2002"/>
    </row>
    <row r="46" customHeight="1" spans="1:7">
      <c r="A46" s="2005" t="str">
        <f>报表附注!$G$1</f>
        <v>深圳新阳蓝光能源管理科技股份有限公司</v>
      </c>
      <c r="B46" s="2006" t="s">
        <v>136</v>
      </c>
      <c r="C46" s="2017" t="s">
        <v>2482</v>
      </c>
      <c r="D46" s="2018">
        <f>ROUND(SUM(D47:D70)-D45,2)</f>
        <v>17981307.38</v>
      </c>
      <c r="E46" s="2019" t="str">
        <f>IF(D46=0,"勾稽一致","最终差异")</f>
        <v>最终差异</v>
      </c>
      <c r="G46" s="2002"/>
    </row>
    <row r="47" customHeight="1" spans="1:7">
      <c r="A47" s="2005" t="str">
        <f>报表附注!$G$1</f>
        <v>深圳新阳蓝光能源管理科技股份有限公司</v>
      </c>
      <c r="B47" s="2006" t="s">
        <v>136</v>
      </c>
      <c r="C47" s="2022" t="s">
        <v>2501</v>
      </c>
      <c r="G47" s="2002"/>
    </row>
    <row r="48" customHeight="1" spans="1:7">
      <c r="A48" s="2005" t="str">
        <f>报表附注!$G$1</f>
        <v>深圳新阳蓝光能源管理科技股份有限公司</v>
      </c>
      <c r="B48" s="2006" t="s">
        <v>136</v>
      </c>
      <c r="C48" s="2022" t="s">
        <v>2502</v>
      </c>
      <c r="G48" s="2002"/>
    </row>
    <row r="49" customHeight="1" spans="1:7">
      <c r="A49" s="2005" t="str">
        <f>报表附注!$G$1</f>
        <v>深圳新阳蓝光能源管理科技股份有限公司</v>
      </c>
      <c r="B49" s="2006" t="s">
        <v>136</v>
      </c>
      <c r="C49" s="2022" t="s">
        <v>2503</v>
      </c>
      <c r="G49" s="2002"/>
    </row>
    <row r="50" customHeight="1" spans="1:7">
      <c r="A50" s="2005" t="str">
        <f>报表附注!$G$1</f>
        <v>深圳新阳蓝光能源管理科技股份有限公司</v>
      </c>
      <c r="B50" s="2006" t="s">
        <v>136</v>
      </c>
      <c r="C50" s="2022" t="s">
        <v>2504</v>
      </c>
      <c r="G50" s="2002"/>
    </row>
    <row r="51" customHeight="1" spans="1:7">
      <c r="A51" s="2005" t="str">
        <f>报表附注!$G$1</f>
        <v>深圳新阳蓝光能源管理科技股份有限公司</v>
      </c>
      <c r="B51" s="2006" t="s">
        <v>136</v>
      </c>
      <c r="C51" s="2022" t="s">
        <v>2505</v>
      </c>
      <c r="D51" s="2023">
        <f>D275</f>
        <v>-12167739.6</v>
      </c>
      <c r="G51" s="2002"/>
    </row>
    <row r="52" customHeight="1" spans="1:7">
      <c r="A52" s="2005" t="str">
        <f>报表附注!$G$1</f>
        <v>深圳新阳蓝光能源管理科技股份有限公司</v>
      </c>
      <c r="B52" s="2006" t="s">
        <v>136</v>
      </c>
      <c r="C52" s="2022" t="s">
        <v>2506</v>
      </c>
      <c r="G52" s="2002"/>
    </row>
    <row r="53" customHeight="1" spans="1:7">
      <c r="A53" s="2005" t="str">
        <f>报表附注!$G$1</f>
        <v>深圳新阳蓝光能源管理科技股份有限公司</v>
      </c>
      <c r="B53" s="2006" t="s">
        <v>136</v>
      </c>
      <c r="C53" s="2022" t="s">
        <v>2507</v>
      </c>
      <c r="G53" s="2002"/>
    </row>
    <row r="54" customHeight="1" spans="1:7">
      <c r="A54" s="2005" t="str">
        <f>报表附注!$G$1</f>
        <v>深圳新阳蓝光能源管理科技股份有限公司</v>
      </c>
      <c r="B54" s="2006" t="s">
        <v>136</v>
      </c>
      <c r="C54" s="2022" t="s">
        <v>2508</v>
      </c>
      <c r="G54" s="2002"/>
    </row>
    <row r="55" customHeight="1" spans="1:7">
      <c r="A55" s="2005" t="str">
        <f>报表附注!$G$1</f>
        <v>深圳新阳蓝光能源管理科技股份有限公司</v>
      </c>
      <c r="B55" s="2006" t="s">
        <v>136</v>
      </c>
      <c r="C55" s="2022" t="s">
        <v>2509</v>
      </c>
      <c r="D55" s="2023">
        <v>21440.23</v>
      </c>
      <c r="G55" s="2002"/>
    </row>
    <row r="56" customHeight="1" spans="1:7">
      <c r="A56" s="2005" t="str">
        <f>报表附注!$G$1</f>
        <v>深圳新阳蓝光能源管理科技股份有限公司</v>
      </c>
      <c r="B56" s="2006" t="s">
        <v>136</v>
      </c>
      <c r="C56" s="2020" t="s">
        <v>2510</v>
      </c>
      <c r="G56" s="2002"/>
    </row>
    <row r="57" customHeight="1" spans="1:7">
      <c r="A57" s="2005" t="str">
        <f>报表附注!$G$1</f>
        <v>深圳新阳蓝光能源管理科技股份有限公司</v>
      </c>
      <c r="B57" s="2006" t="s">
        <v>136</v>
      </c>
      <c r="C57" s="2020" t="s">
        <v>2511</v>
      </c>
      <c r="G57" s="2002"/>
    </row>
    <row r="58" customHeight="1" spans="1:7">
      <c r="A58" s="2005" t="str">
        <f>报表附注!$G$1</f>
        <v>深圳新阳蓝光能源管理科技股份有限公司</v>
      </c>
      <c r="B58" s="2006" t="s">
        <v>136</v>
      </c>
      <c r="C58" s="2022" t="s">
        <v>2512</v>
      </c>
      <c r="G58" s="2002"/>
    </row>
    <row r="59" customHeight="1" spans="1:7">
      <c r="A59" s="2005" t="str">
        <f>报表附注!$G$1</f>
        <v>深圳新阳蓝光能源管理科技股份有限公司</v>
      </c>
      <c r="B59" s="2006" t="s">
        <v>136</v>
      </c>
      <c r="C59" s="2022" t="s">
        <v>2513</v>
      </c>
      <c r="G59" s="2002"/>
    </row>
    <row r="60" customHeight="1" spans="1:7">
      <c r="A60" s="2005" t="str">
        <f>报表附注!$G$1</f>
        <v>深圳新阳蓝光能源管理科技股份有限公司</v>
      </c>
      <c r="B60" s="2006" t="s">
        <v>136</v>
      </c>
      <c r="C60" s="2020" t="s">
        <v>2485</v>
      </c>
      <c r="G60" s="2002"/>
    </row>
    <row r="61" customHeight="1" spans="1:7">
      <c r="A61" s="2005" t="str">
        <f>报表附注!$G$1</f>
        <v>深圳新阳蓝光能源管理科技股份有限公司</v>
      </c>
      <c r="B61" s="2006" t="s">
        <v>136</v>
      </c>
      <c r="C61" s="2020" t="s">
        <v>2514</v>
      </c>
      <c r="G61" s="2002"/>
    </row>
    <row r="62" customHeight="1" spans="1:7">
      <c r="A62" s="2005" t="str">
        <f>报表附注!$G$1</f>
        <v>深圳新阳蓝光能源管理科技股份有限公司</v>
      </c>
      <c r="B62" s="2006" t="s">
        <v>136</v>
      </c>
      <c r="C62" s="2020" t="s">
        <v>2515</v>
      </c>
      <c r="G62" s="2002"/>
    </row>
    <row r="63" customHeight="1" spans="1:7">
      <c r="A63" s="2005" t="str">
        <f>报表附注!$G$1</f>
        <v>深圳新阳蓝光能源管理科技股份有限公司</v>
      </c>
      <c r="B63" s="2006" t="s">
        <v>136</v>
      </c>
      <c r="C63" s="2020" t="s">
        <v>2516</v>
      </c>
      <c r="G63" s="2002"/>
    </row>
    <row r="64" customHeight="1" spans="1:7">
      <c r="A64" s="2005" t="str">
        <f>报表附注!$G$1</f>
        <v>深圳新阳蓝光能源管理科技股份有限公司</v>
      </c>
      <c r="B64" s="2006" t="s">
        <v>136</v>
      </c>
      <c r="C64" s="2020" t="s">
        <v>254</v>
      </c>
      <c r="G64" s="2002"/>
    </row>
    <row r="65" customHeight="1" spans="1:7">
      <c r="A65" s="2005" t="str">
        <f>报表附注!$G$1</f>
        <v>深圳新阳蓝光能源管理科技股份有限公司</v>
      </c>
      <c r="B65" s="2006" t="s">
        <v>136</v>
      </c>
      <c r="C65" s="2020" t="s">
        <v>2517</v>
      </c>
      <c r="G65" s="2002"/>
    </row>
    <row r="66" customHeight="1" spans="1:7">
      <c r="A66" s="2005" t="str">
        <f>报表附注!$G$1</f>
        <v>深圳新阳蓝光能源管理科技股份有限公司</v>
      </c>
      <c r="B66" s="2006" t="s">
        <v>136</v>
      </c>
      <c r="C66" s="2025" t="s">
        <v>2518</v>
      </c>
      <c r="D66" s="2023">
        <f>D232</f>
        <v>-2820998.72</v>
      </c>
      <c r="G66" s="2002"/>
    </row>
    <row r="67" customHeight="1" spans="1:7">
      <c r="A67" s="2005" t="str">
        <f>报表附注!$G$1</f>
        <v>深圳新阳蓝光能源管理科技股份有限公司</v>
      </c>
      <c r="B67" s="2006" t="s">
        <v>136</v>
      </c>
      <c r="C67" s="2025" t="s">
        <v>2519</v>
      </c>
      <c r="G67" s="2002"/>
    </row>
    <row r="68" customHeight="1" spans="1:7">
      <c r="A68" s="2005" t="str">
        <f>报表附注!$G$1</f>
        <v>深圳新阳蓝光能源管理科技股份有限公司</v>
      </c>
      <c r="B68" s="2006" t="s">
        <v>136</v>
      </c>
      <c r="C68" s="2025" t="s">
        <v>2520</v>
      </c>
      <c r="D68" s="2023">
        <f>6557196.07+48843.17</f>
        <v>6606039.24</v>
      </c>
      <c r="G68" s="2002"/>
    </row>
    <row r="69" customHeight="1" spans="1:7">
      <c r="A69" s="2005" t="str">
        <f>报表附注!$G$1</f>
        <v>深圳新阳蓝光能源管理科技股份有限公司</v>
      </c>
      <c r="B69" s="2006" t="s">
        <v>136</v>
      </c>
      <c r="C69" s="2025"/>
      <c r="G69" s="2002"/>
    </row>
    <row r="70" customHeight="1" spans="1:7">
      <c r="A70" s="2005" t="str">
        <f>报表附注!$G$1</f>
        <v>深圳新阳蓝光能源管理科技股份有限公司</v>
      </c>
      <c r="B70" s="2006" t="s">
        <v>136</v>
      </c>
      <c r="C70" s="2025"/>
      <c r="G70" s="2002"/>
    </row>
    <row r="71" customHeight="1" spans="1:7">
      <c r="A71" s="2005" t="str">
        <f>报表附注!$G$1</f>
        <v>深圳新阳蓝光能源管理科技股份有限公司</v>
      </c>
      <c r="B71" s="2006" t="s">
        <v>145</v>
      </c>
      <c r="C71" s="2011" t="s">
        <v>2478</v>
      </c>
      <c r="G71" s="2002"/>
    </row>
    <row r="72" customHeight="1" spans="1:7">
      <c r="A72" s="2005" t="str">
        <f>报表附注!$G$1</f>
        <v>深圳新阳蓝光能源管理科技股份有限公司</v>
      </c>
      <c r="B72" s="2006" t="s">
        <v>145</v>
      </c>
      <c r="C72" s="2012" t="s">
        <v>145</v>
      </c>
      <c r="D72" s="2013">
        <f>审定现流表!C35</f>
        <v>31000000</v>
      </c>
      <c r="G72" s="2002"/>
    </row>
    <row r="73" customHeight="1" spans="1:7">
      <c r="A73" s="2005" t="str">
        <f>报表附注!$G$1</f>
        <v>深圳新阳蓝光能源管理科技股份有限公司</v>
      </c>
      <c r="B73" s="2006" t="s">
        <v>145</v>
      </c>
      <c r="C73" s="2012" t="s">
        <v>150</v>
      </c>
      <c r="D73" s="2013">
        <f>审定现流表!C39</f>
        <v>44144814.81</v>
      </c>
      <c r="G73" s="2002"/>
    </row>
    <row r="74" customHeight="1" spans="1:7">
      <c r="A74" s="2005" t="str">
        <f>报表附注!$G$1</f>
        <v>深圳新阳蓝光能源管理科技股份有限公司</v>
      </c>
      <c r="B74" s="2006" t="s">
        <v>145</v>
      </c>
      <c r="C74" s="2014" t="s">
        <v>2521</v>
      </c>
      <c r="G74" s="2002"/>
    </row>
    <row r="75" customHeight="1" spans="1:7">
      <c r="A75" s="2005" t="str">
        <f>报表附注!$G$1</f>
        <v>深圳新阳蓝光能源管理科技股份有限公司</v>
      </c>
      <c r="B75" s="2006" t="s">
        <v>145</v>
      </c>
      <c r="C75" s="2015" t="s">
        <v>2522</v>
      </c>
      <c r="D75" s="2013">
        <f>-报表附注!F2190+报表附注!G2190+审定资负表!H7-审定资负表!G7+审定资负表!H23-审定资负表!G23</f>
        <v>13144814.81</v>
      </c>
      <c r="G75" s="2002"/>
    </row>
    <row r="76" customHeight="1" spans="1:7">
      <c r="A76" s="2005" t="str">
        <f>报表附注!$G$1</f>
        <v>深圳新阳蓝光能源管理科技股份有限公司</v>
      </c>
      <c r="B76" s="2006" t="s">
        <v>145</v>
      </c>
      <c r="C76" s="2016" t="s">
        <v>1395</v>
      </c>
      <c r="D76" s="2013">
        <f>D73-D72-D75</f>
        <v>0</v>
      </c>
      <c r="G76" s="2002"/>
    </row>
    <row r="77" customHeight="1" spans="1:7">
      <c r="A77" s="2005" t="str">
        <f>报表附注!$G$1</f>
        <v>深圳新阳蓝光能源管理科技股份有限公司</v>
      </c>
      <c r="B77" s="2006" t="s">
        <v>145</v>
      </c>
      <c r="C77" s="2017" t="s">
        <v>2482</v>
      </c>
      <c r="D77" s="2018">
        <f>ROUND(SUM(D78:D84)-D76,2)</f>
        <v>17624444.44</v>
      </c>
      <c r="E77" s="2019" t="str">
        <f>IF(D77=0,"勾稽一致","最终差异")</f>
        <v>最终差异</v>
      </c>
      <c r="G77" s="2002"/>
    </row>
    <row r="78" customHeight="1" spans="1:7">
      <c r="A78" s="2005" t="str">
        <f>报表附注!$G$1</f>
        <v>深圳新阳蓝光能源管理科技股份有限公司</v>
      </c>
      <c r="B78" s="2006" t="s">
        <v>145</v>
      </c>
      <c r="C78" s="2026" t="s">
        <v>2523</v>
      </c>
      <c r="G78" s="2002"/>
    </row>
    <row r="79" customHeight="1" spans="1:7">
      <c r="A79" s="2005" t="str">
        <f>报表附注!$G$1</f>
        <v>深圳新阳蓝光能源管理科技股份有限公司</v>
      </c>
      <c r="B79" s="2006" t="s">
        <v>145</v>
      </c>
      <c r="C79" s="2026" t="s">
        <v>2524</v>
      </c>
      <c r="G79" s="2002"/>
    </row>
    <row r="80" customHeight="1" spans="1:7">
      <c r="A80" s="2005" t="str">
        <f>报表附注!$G$1</f>
        <v>深圳新阳蓝光能源管理科技股份有限公司</v>
      </c>
      <c r="B80" s="2006" t="s">
        <v>145</v>
      </c>
      <c r="C80" s="2026" t="s">
        <v>2525</v>
      </c>
      <c r="G80" s="2002"/>
    </row>
    <row r="81" customHeight="1" spans="1:7">
      <c r="A81" s="2005" t="str">
        <f>报表附注!$G$1</f>
        <v>深圳新阳蓝光能源管理科技股份有限公司</v>
      </c>
      <c r="B81" s="2006" t="s">
        <v>145</v>
      </c>
      <c r="C81" s="2025" t="s">
        <v>2526</v>
      </c>
      <c r="G81" s="2002"/>
    </row>
    <row r="82" customHeight="1" spans="1:7">
      <c r="A82" s="2005" t="str">
        <f>报表附注!$G$1</f>
        <v>深圳新阳蓝光能源管理科技股份有限公司</v>
      </c>
      <c r="B82" s="2006" t="s">
        <v>145</v>
      </c>
      <c r="C82" s="2025" t="s">
        <v>2527</v>
      </c>
      <c r="D82" s="2027"/>
      <c r="G82" s="2002"/>
    </row>
    <row r="83" customHeight="1" spans="1:7">
      <c r="A83" s="2005" t="str">
        <f>报表附注!$G$1</f>
        <v>深圳新阳蓝光能源管理科技股份有限公司</v>
      </c>
      <c r="B83" s="2006" t="s">
        <v>145</v>
      </c>
      <c r="C83" s="2025" t="s">
        <v>2528</v>
      </c>
      <c r="G83" s="2002"/>
    </row>
    <row r="84" customHeight="1" spans="1:7">
      <c r="A84" s="2005" t="str">
        <f>报表附注!$G$1</f>
        <v>深圳新阳蓝光能源管理科技股份有限公司</v>
      </c>
      <c r="B84" s="2006" t="s">
        <v>145</v>
      </c>
      <c r="C84" s="2025" t="s">
        <v>2529</v>
      </c>
      <c r="D84" s="2023">
        <f>报表附注!G2176</f>
        <v>17624444.44</v>
      </c>
      <c r="F84" s="2023"/>
      <c r="G84" s="2002"/>
    </row>
    <row r="85" customHeight="1" spans="1:7">
      <c r="A85" s="2005" t="str">
        <f>报表附注!$G$1</f>
        <v>深圳新阳蓝光能源管理科技股份有限公司</v>
      </c>
      <c r="B85" s="2006" t="s">
        <v>151</v>
      </c>
      <c r="C85" s="2011" t="s">
        <v>2478</v>
      </c>
      <c r="G85" s="2002"/>
    </row>
    <row r="86" customHeight="1" spans="1:7">
      <c r="A86" s="2005" t="str">
        <f>报表附注!$G$1</f>
        <v>深圳新阳蓝光能源管理科技股份有限公司</v>
      </c>
      <c r="B86" s="2006" t="s">
        <v>151</v>
      </c>
      <c r="C86" s="2028" t="s">
        <v>151</v>
      </c>
      <c r="D86" s="2013">
        <f>审定现流表!C40</f>
        <v>6308223.85</v>
      </c>
      <c r="G86" s="2002"/>
    </row>
    <row r="87" customHeight="1" spans="1:7">
      <c r="A87" s="2005" t="str">
        <f>报表附注!$G$1</f>
        <v>深圳新阳蓝光能源管理科技股份有限公司</v>
      </c>
      <c r="B87" s="2006" t="s">
        <v>151</v>
      </c>
      <c r="C87" s="2029" t="s">
        <v>2530</v>
      </c>
      <c r="G87" s="2002"/>
    </row>
    <row r="88" customHeight="1" spans="1:7">
      <c r="A88" s="2005" t="str">
        <f>报表附注!$G$1</f>
        <v>深圳新阳蓝光能源管理科技股份有限公司</v>
      </c>
      <c r="B88" s="2006" t="s">
        <v>151</v>
      </c>
      <c r="C88" s="2028" t="s">
        <v>2531</v>
      </c>
      <c r="D88" s="2013">
        <f>审定资负表!H14-审定资负表!G14</f>
        <v>31080.39</v>
      </c>
      <c r="G88" s="2002"/>
    </row>
    <row r="89" customHeight="1" spans="1:7">
      <c r="A89" s="2005" t="str">
        <f>报表附注!$G$1</f>
        <v>深圳新阳蓝光能源管理科技股份有限公司</v>
      </c>
      <c r="B89" s="2006" t="s">
        <v>151</v>
      </c>
      <c r="C89" s="2028" t="s">
        <v>2532</v>
      </c>
      <c r="D89" s="2013">
        <f>审定资负表!H15-审定资负表!G15</f>
        <v>0</v>
      </c>
      <c r="G89" s="2002"/>
    </row>
    <row r="90" customHeight="1" spans="1:7">
      <c r="A90" s="2005" t="str">
        <f>报表附注!$G$1</f>
        <v>深圳新阳蓝光能源管理科技股份有限公司</v>
      </c>
      <c r="B90" s="2006" t="s">
        <v>151</v>
      </c>
      <c r="C90" s="2028" t="s">
        <v>2533</v>
      </c>
      <c r="D90" s="2013">
        <f>报表附注!N1309</f>
        <v>0</v>
      </c>
      <c r="G90" s="2002"/>
    </row>
    <row r="91" customHeight="1" spans="1:7">
      <c r="A91" s="2005" t="str">
        <f>报表附注!$G$1</f>
        <v>深圳新阳蓝光能源管理科技股份有限公司</v>
      </c>
      <c r="B91" s="2006" t="s">
        <v>151</v>
      </c>
      <c r="C91" s="2028" t="s">
        <v>2534</v>
      </c>
      <c r="D91" s="2013">
        <f>报表附注!F2734</f>
        <v>6277143.46</v>
      </c>
      <c r="G91" s="2002"/>
    </row>
    <row r="92" customHeight="1" spans="1:7">
      <c r="A92" s="2005" t="str">
        <f>报表附注!$G$1</f>
        <v>深圳新阳蓝光能源管理科技股份有限公司</v>
      </c>
      <c r="B92" s="2006" t="s">
        <v>151</v>
      </c>
      <c r="C92" s="2028" t="s">
        <v>2535</v>
      </c>
      <c r="D92" s="2013">
        <f>报表附注!F2508</f>
        <v>0</v>
      </c>
      <c r="G92" s="2002"/>
    </row>
    <row r="93" customHeight="1" spans="1:7">
      <c r="A93" s="2005" t="str">
        <f>报表附注!$G$1</f>
        <v>深圳新阳蓝光能源管理科技股份有限公司</v>
      </c>
      <c r="B93" s="2006" t="s">
        <v>151</v>
      </c>
      <c r="C93" s="2028" t="s">
        <v>1395</v>
      </c>
      <c r="D93" s="2013">
        <f>D86-D88-D89-D90-D91-D92</f>
        <v>0</v>
      </c>
      <c r="G93" s="2002"/>
    </row>
    <row r="94" customHeight="1" spans="1:7">
      <c r="A94" s="2005" t="str">
        <f>报表附注!$G$1</f>
        <v>深圳新阳蓝光能源管理科技股份有限公司</v>
      </c>
      <c r="B94" s="2006" t="s">
        <v>151</v>
      </c>
      <c r="C94" s="2017" t="s">
        <v>2482</v>
      </c>
      <c r="D94" s="2018">
        <f>ROUND(SUM(D95:D99)-D93,2)</f>
        <v>0</v>
      </c>
      <c r="E94" s="2019" t="str">
        <f>IF(D94=0,"勾稽一致","最终差异")</f>
        <v>勾稽一致</v>
      </c>
      <c r="G94" s="2002"/>
    </row>
    <row r="95" customHeight="1" spans="1:7">
      <c r="A95" s="2005" t="str">
        <f>报表附注!$G$1</f>
        <v>深圳新阳蓝光能源管理科技股份有限公司</v>
      </c>
      <c r="B95" s="2006" t="s">
        <v>151</v>
      </c>
      <c r="C95" s="2026" t="s">
        <v>2536</v>
      </c>
      <c r="G95" s="2002"/>
    </row>
    <row r="96" customHeight="1" spans="1:7">
      <c r="A96" s="2005" t="str">
        <f>报表附注!$G$1</f>
        <v>深圳新阳蓝光能源管理科技股份有限公司</v>
      </c>
      <c r="B96" s="2006" t="s">
        <v>151</v>
      </c>
      <c r="C96" s="2026" t="s">
        <v>2537</v>
      </c>
      <c r="G96" s="2002"/>
    </row>
    <row r="97" customHeight="1" spans="1:7">
      <c r="A97" s="2005" t="str">
        <f>报表附注!$G$1</f>
        <v>深圳新阳蓝光能源管理科技股份有限公司</v>
      </c>
      <c r="B97" s="2006" t="s">
        <v>151</v>
      </c>
      <c r="C97" s="2010" t="s">
        <v>2538</v>
      </c>
      <c r="G97" s="2002"/>
    </row>
    <row r="98" customHeight="1" spans="1:7">
      <c r="A98" s="2005" t="str">
        <f>报表附注!$G$1</f>
        <v>深圳新阳蓝光能源管理科技股份有限公司</v>
      </c>
      <c r="B98" s="2006" t="s">
        <v>151</v>
      </c>
      <c r="C98" s="2010" t="s">
        <v>2539</v>
      </c>
      <c r="G98" s="2002"/>
    </row>
    <row r="99" customHeight="1" spans="1:7">
      <c r="A99" s="2005" t="str">
        <f>报表附注!$G$1</f>
        <v>深圳新阳蓝光能源管理科技股份有限公司</v>
      </c>
      <c r="B99" s="2006" t="s">
        <v>151</v>
      </c>
      <c r="C99" s="2010" t="s">
        <v>2540</v>
      </c>
      <c r="G99" s="2002"/>
    </row>
    <row r="100" customHeight="1" spans="1:7">
      <c r="A100" s="2005" t="str">
        <f>报表附注!$G$1</f>
        <v>深圳新阳蓝光能源管理科技股份有限公司</v>
      </c>
      <c r="B100" s="2006" t="s">
        <v>156</v>
      </c>
      <c r="C100" s="2011" t="s">
        <v>2478</v>
      </c>
      <c r="G100" s="2002"/>
    </row>
    <row r="101" customHeight="1" spans="1:7">
      <c r="A101" s="2005" t="str">
        <f>报表附注!$G$1</f>
        <v>深圳新阳蓝光能源管理科技股份有限公司</v>
      </c>
      <c r="B101" s="2006" t="s">
        <v>156</v>
      </c>
      <c r="C101" s="2012" t="s">
        <v>156</v>
      </c>
      <c r="D101" s="2013">
        <f>审定现流表!C46</f>
        <v>32553.99</v>
      </c>
      <c r="G101" s="2002" t="s">
        <v>2471</v>
      </c>
    </row>
    <row r="102" customHeight="1" spans="1:7">
      <c r="A102" s="2005" t="str">
        <f>报表附注!$G$1</f>
        <v>深圳新阳蓝光能源管理科技股份有限公司</v>
      </c>
      <c r="B102" s="2006" t="s">
        <v>156</v>
      </c>
      <c r="C102" s="2014" t="s">
        <v>2479</v>
      </c>
      <c r="G102" s="2002" t="s">
        <v>2471</v>
      </c>
    </row>
    <row r="103" customHeight="1" spans="1:7">
      <c r="A103" s="2005" t="str">
        <f>报表附注!$G$1</f>
        <v>深圳新阳蓝光能源管理科技股份有限公司</v>
      </c>
      <c r="B103" s="2006" t="s">
        <v>156</v>
      </c>
      <c r="C103" s="2015" t="s">
        <v>2541</v>
      </c>
      <c r="D103" s="2013">
        <f>-报表附注!F2738</f>
        <v>32553.99</v>
      </c>
      <c r="G103" s="2002" t="s">
        <v>2471</v>
      </c>
    </row>
    <row r="104" customHeight="1" spans="1:7">
      <c r="A104" s="2005" t="str">
        <f>报表附注!$G$1</f>
        <v>深圳新阳蓝光能源管理科技股份有限公司</v>
      </c>
      <c r="B104" s="2006" t="s">
        <v>156</v>
      </c>
      <c r="C104" s="2016" t="s">
        <v>1395</v>
      </c>
      <c r="D104" s="2013">
        <f>D101-D103</f>
        <v>0</v>
      </c>
      <c r="G104" s="2002" t="s">
        <v>2471</v>
      </c>
    </row>
    <row r="105" customHeight="1" spans="1:7">
      <c r="A105" s="2005" t="str">
        <f>报表附注!$G$1</f>
        <v>深圳新阳蓝光能源管理科技股份有限公司</v>
      </c>
      <c r="B105" s="2006" t="s">
        <v>156</v>
      </c>
      <c r="C105" s="2017" t="s">
        <v>2482</v>
      </c>
      <c r="D105" s="2018">
        <f>ROUND(SUM(D106:D108)-D104,2)</f>
        <v>0</v>
      </c>
      <c r="E105" s="2019" t="str">
        <f>IF(D105=0,"勾稽一致","最终差异")</f>
        <v>勾稽一致</v>
      </c>
      <c r="G105" s="2002" t="s">
        <v>2471</v>
      </c>
    </row>
    <row r="106" customHeight="1" spans="1:7">
      <c r="A106" s="2005" t="str">
        <f>报表附注!$G$1</f>
        <v>深圳新阳蓝光能源管理科技股份有限公司</v>
      </c>
      <c r="B106" s="2006" t="s">
        <v>156</v>
      </c>
      <c r="C106" s="2026" t="s">
        <v>259</v>
      </c>
      <c r="G106" s="2002" t="s">
        <v>2471</v>
      </c>
    </row>
    <row r="107" customHeight="1" spans="1:7">
      <c r="A107" s="2005" t="str">
        <f>报表附注!$G$1</f>
        <v>深圳新阳蓝光能源管理科技股份有限公司</v>
      </c>
      <c r="B107" s="2006" t="s">
        <v>156</v>
      </c>
      <c r="G107" s="2002" t="s">
        <v>2471</v>
      </c>
    </row>
    <row r="108" customHeight="1" spans="1:7">
      <c r="A108" s="2005" t="str">
        <f>报表附注!$G$1</f>
        <v>深圳新阳蓝光能源管理科技股份有限公司</v>
      </c>
      <c r="B108" s="2006" t="s">
        <v>156</v>
      </c>
      <c r="G108" s="2002" t="s">
        <v>2471</v>
      </c>
    </row>
    <row r="109" customHeight="1" spans="1:7">
      <c r="A109" s="2005" t="str">
        <f>报表附注!$G$1</f>
        <v>深圳新阳蓝光能源管理科技股份有限公司</v>
      </c>
      <c r="C109" s="2030" t="s">
        <v>2542</v>
      </c>
      <c r="G109" s="2002" t="s">
        <v>2471</v>
      </c>
    </row>
    <row r="110" customHeight="1" spans="1:7">
      <c r="A110" s="2005" t="str">
        <f>报表附注!$G$1</f>
        <v>深圳新阳蓝光能源管理科技股份有限公司</v>
      </c>
      <c r="G110" s="2002" t="s">
        <v>2471</v>
      </c>
    </row>
    <row r="111" customHeight="1" spans="1:7">
      <c r="A111" s="2005" t="str">
        <f>报表附注!$G$1</f>
        <v>深圳新阳蓝光能源管理科技股份有限公司</v>
      </c>
      <c r="B111" s="2006" t="s">
        <v>165</v>
      </c>
      <c r="C111" s="2029" t="s">
        <v>2543</v>
      </c>
      <c r="G111" s="2002" t="s">
        <v>2471</v>
      </c>
    </row>
    <row r="112" customHeight="1" spans="1:7">
      <c r="A112" s="2005" t="str">
        <f>报表附注!$G$1</f>
        <v>深圳新阳蓝光能源管理科技股份有限公司</v>
      </c>
      <c r="B112" s="2006" t="s">
        <v>165</v>
      </c>
      <c r="C112" s="2028" t="s">
        <v>165</v>
      </c>
      <c r="D112" s="2013">
        <f>审定现流表!C57</f>
        <v>1895849.54</v>
      </c>
      <c r="G112" s="2002" t="s">
        <v>2471</v>
      </c>
    </row>
    <row r="113" customHeight="1" spans="1:7">
      <c r="A113" s="2005" t="str">
        <f>报表附注!$G$1</f>
        <v>深圳新阳蓝光能源管理科技股份有限公司</v>
      </c>
      <c r="B113" s="2006" t="s">
        <v>165</v>
      </c>
      <c r="C113" s="2029" t="s">
        <v>2479</v>
      </c>
      <c r="G113" s="2002" t="s">
        <v>2471</v>
      </c>
    </row>
    <row r="114" customHeight="1" spans="1:7">
      <c r="A114" s="2005" t="str">
        <f>报表附注!$G$1</f>
        <v>深圳新阳蓝光能源管理科技股份有限公司</v>
      </c>
      <c r="B114" s="2006" t="s">
        <v>165</v>
      </c>
      <c r="C114" s="2031" t="s">
        <v>2544</v>
      </c>
      <c r="D114" s="2013">
        <f>报表附注!G1745-报表附注!H1745</f>
        <v>1792140.07</v>
      </c>
      <c r="G114" s="2002" t="s">
        <v>2471</v>
      </c>
    </row>
    <row r="115" customHeight="1" spans="1:7">
      <c r="A115" s="2005" t="str">
        <f>报表附注!$G$1</f>
        <v>深圳新阳蓝光能源管理科技股份有限公司</v>
      </c>
      <c r="B115" s="2006" t="s">
        <v>165</v>
      </c>
      <c r="C115" s="2031" t="s">
        <v>1395</v>
      </c>
      <c r="D115" s="2013">
        <f>D112-D114</f>
        <v>103709.47</v>
      </c>
      <c r="G115" s="2002" t="s">
        <v>2471</v>
      </c>
    </row>
    <row r="116" customHeight="1" spans="1:7">
      <c r="A116" s="2005" t="str">
        <f>报表附注!$G$1</f>
        <v>深圳新阳蓝光能源管理科技股份有限公司</v>
      </c>
      <c r="B116" s="2006" t="s">
        <v>165</v>
      </c>
      <c r="C116" s="2017" t="s">
        <v>2482</v>
      </c>
      <c r="D116" s="2018">
        <f>ROUND(SUM(D117:D122)-D115,2)</f>
        <v>-103709.47</v>
      </c>
      <c r="E116" s="2019" t="str">
        <f>IF(D116=0,"勾稽一致","最终差异")</f>
        <v>最终差异</v>
      </c>
      <c r="G116" s="2002" t="s">
        <v>2471</v>
      </c>
    </row>
    <row r="117" customHeight="1" spans="1:7">
      <c r="A117" s="2005" t="str">
        <f>报表附注!$G$1</f>
        <v>深圳新阳蓝光能源管理科技股份有限公司</v>
      </c>
      <c r="B117" s="2006" t="s">
        <v>165</v>
      </c>
      <c r="C117" s="2025"/>
      <c r="G117" s="2002" t="s">
        <v>2471</v>
      </c>
    </row>
    <row r="118" customHeight="1" spans="1:7">
      <c r="A118" s="2005" t="str">
        <f>报表附注!$G$1</f>
        <v>深圳新阳蓝光能源管理科技股份有限公司</v>
      </c>
      <c r="B118" s="2006" t="s">
        <v>165</v>
      </c>
      <c r="C118" s="2025"/>
      <c r="G118" s="2002" t="s">
        <v>2471</v>
      </c>
    </row>
    <row r="119" customHeight="1" spans="1:7">
      <c r="A119" s="2005" t="str">
        <f>报表附注!$G$1</f>
        <v>深圳新阳蓝光能源管理科技股份有限公司</v>
      </c>
      <c r="B119" s="2006" t="s">
        <v>165</v>
      </c>
      <c r="C119" s="2025"/>
      <c r="G119" s="2002" t="s">
        <v>2471</v>
      </c>
    </row>
    <row r="120" customHeight="1" spans="1:7">
      <c r="A120" s="2005" t="str">
        <f>报表附注!$G$1</f>
        <v>深圳新阳蓝光能源管理科技股份有限公司</v>
      </c>
      <c r="B120" s="2006" t="s">
        <v>165</v>
      </c>
      <c r="G120" s="2002" t="s">
        <v>2471</v>
      </c>
    </row>
    <row r="121" customHeight="1" spans="1:7">
      <c r="A121" s="2005" t="str">
        <f>报表附注!$G$1</f>
        <v>深圳新阳蓝光能源管理科技股份有限公司</v>
      </c>
      <c r="B121" s="2006" t="s">
        <v>165</v>
      </c>
      <c r="G121" s="2002" t="s">
        <v>2471</v>
      </c>
    </row>
    <row r="122" customHeight="1" spans="1:7">
      <c r="A122" s="2005" t="str">
        <f>报表附注!$G$1</f>
        <v>深圳新阳蓝光能源管理科技股份有限公司</v>
      </c>
      <c r="B122" s="2006" t="s">
        <v>165</v>
      </c>
      <c r="G122" s="2002" t="s">
        <v>2471</v>
      </c>
    </row>
    <row r="123" customHeight="1" spans="1:7">
      <c r="A123" s="2005" t="str">
        <f>报表附注!$G$1</f>
        <v>深圳新阳蓝光能源管理科技股份有限公司</v>
      </c>
      <c r="B123" s="2006" t="s">
        <v>2545</v>
      </c>
      <c r="C123" s="2029" t="s">
        <v>2543</v>
      </c>
      <c r="G123" s="2002" t="s">
        <v>2471</v>
      </c>
    </row>
    <row r="124" customHeight="1" spans="1:7">
      <c r="A124" s="2005" t="str">
        <f>报表附注!$G$1</f>
        <v>深圳新阳蓝光能源管理科技股份有限公司</v>
      </c>
      <c r="B124" s="2006" t="s">
        <v>2545</v>
      </c>
      <c r="C124" s="2028" t="s">
        <v>166</v>
      </c>
      <c r="D124" s="2013">
        <f>审定现流表!C58</f>
        <v>10725982.08</v>
      </c>
      <c r="G124" s="2002"/>
    </row>
    <row r="125" customHeight="1" spans="1:7">
      <c r="A125" s="2005" t="str">
        <f>报表附注!$G$1</f>
        <v>深圳新阳蓝光能源管理科技股份有限公司</v>
      </c>
      <c r="B125" s="2006" t="s">
        <v>2545</v>
      </c>
      <c r="C125" s="2014" t="s">
        <v>2479</v>
      </c>
      <c r="G125" s="2002"/>
    </row>
    <row r="126" customHeight="1" spans="1:7">
      <c r="A126" s="2005" t="str">
        <f>报表附注!$G$1</f>
        <v>深圳新阳蓝光能源管理科技股份有限公司</v>
      </c>
      <c r="B126" s="2006" t="s">
        <v>2545</v>
      </c>
      <c r="C126" s="2028" t="s">
        <v>2546</v>
      </c>
      <c r="D126" s="2013">
        <f>报表附注!J3815</f>
        <v>11274664.38</v>
      </c>
      <c r="G126" s="2002"/>
    </row>
    <row r="127" customHeight="1" spans="1:7">
      <c r="A127" s="2005" t="str">
        <f>报表附注!$G$1</f>
        <v>深圳新阳蓝光能源管理科技股份有限公司</v>
      </c>
      <c r="B127" s="2006" t="s">
        <v>2545</v>
      </c>
      <c r="C127" s="2028" t="s">
        <v>2547</v>
      </c>
      <c r="D127" s="2013">
        <f>报表附注!F3767</f>
        <v>0</v>
      </c>
      <c r="G127" s="2002"/>
    </row>
    <row r="128" customHeight="1" spans="1:7">
      <c r="A128" s="2005" t="str">
        <f>报表附注!$G$1</f>
        <v>深圳新阳蓝光能源管理科技股份有限公司</v>
      </c>
      <c r="B128" s="2006" t="s">
        <v>2545</v>
      </c>
      <c r="C128" s="2031" t="s">
        <v>1395</v>
      </c>
      <c r="D128" s="2013">
        <f>ROUND(D124-D126-D127,2)</f>
        <v>-548682.3</v>
      </c>
      <c r="G128" s="2002"/>
    </row>
    <row r="129" customHeight="1" spans="1:7">
      <c r="A129" s="2005" t="str">
        <f>报表附注!$G$1</f>
        <v>深圳新阳蓝光能源管理科技股份有限公司</v>
      </c>
      <c r="B129" s="2006" t="s">
        <v>2545</v>
      </c>
      <c r="C129" s="2017" t="s">
        <v>2482</v>
      </c>
      <c r="D129" s="2018">
        <f>ROUND(SUM(D130:D135)-D128,2)</f>
        <v>548682.3</v>
      </c>
      <c r="E129" s="2019" t="str">
        <f>IF(D129=0,"勾稽一致","最终差异")</f>
        <v>最终差异</v>
      </c>
      <c r="G129" s="2002"/>
    </row>
    <row r="130" customHeight="1" spans="1:7">
      <c r="A130" s="2005" t="str">
        <f>报表附注!$G$1</f>
        <v>深圳新阳蓝光能源管理科技股份有限公司</v>
      </c>
      <c r="B130" s="2006" t="s">
        <v>2545</v>
      </c>
      <c r="C130" s="2022" t="s">
        <v>2511</v>
      </c>
      <c r="G130" s="2002"/>
    </row>
    <row r="131" customHeight="1" spans="1:7">
      <c r="A131" s="2005" t="str">
        <f>报表附注!$G$1</f>
        <v>深圳新阳蓝光能源管理科技股份有限公司</v>
      </c>
      <c r="B131" s="2006" t="s">
        <v>2545</v>
      </c>
      <c r="C131" s="2020" t="s">
        <v>2485</v>
      </c>
      <c r="G131" s="2002"/>
    </row>
    <row r="132" customHeight="1" spans="1:7">
      <c r="A132" s="2005" t="str">
        <f>报表附注!$G$1</f>
        <v>深圳新阳蓝光能源管理科技股份有限公司</v>
      </c>
      <c r="B132" s="2006" t="s">
        <v>2545</v>
      </c>
      <c r="C132" s="2025"/>
      <c r="G132" s="2002"/>
    </row>
    <row r="133" customHeight="1" spans="1:7">
      <c r="A133" s="2005" t="str">
        <f>报表附注!$G$1</f>
        <v>深圳新阳蓝光能源管理科技股份有限公司</v>
      </c>
      <c r="B133" s="2006" t="s">
        <v>2545</v>
      </c>
      <c r="G133" s="2002"/>
    </row>
    <row r="134" customHeight="1" spans="1:7">
      <c r="A134" s="2005" t="str">
        <f>报表附注!$G$1</f>
        <v>深圳新阳蓝光能源管理科技股份有限公司</v>
      </c>
      <c r="B134" s="2006" t="s">
        <v>2545</v>
      </c>
      <c r="G134" s="2002"/>
    </row>
    <row r="135" customHeight="1" spans="1:7">
      <c r="A135" s="2005" t="str">
        <f>报表附注!$G$1</f>
        <v>深圳新阳蓝光能源管理科技股份有限公司</v>
      </c>
      <c r="B135" s="2006" t="s">
        <v>2545</v>
      </c>
      <c r="G135" s="2002"/>
    </row>
    <row r="136" customHeight="1" spans="1:7">
      <c r="A136" s="2005" t="str">
        <f>报表附注!$G$1</f>
        <v>深圳新阳蓝光能源管理科技股份有限公司</v>
      </c>
      <c r="B136" s="2006" t="s">
        <v>2548</v>
      </c>
      <c r="C136" s="2029" t="s">
        <v>2543</v>
      </c>
      <c r="G136" s="2002"/>
    </row>
    <row r="137" customHeight="1" spans="1:7">
      <c r="A137" s="2005" t="str">
        <f>报表附注!$G$1</f>
        <v>深圳新阳蓝光能源管理科技股份有限公司</v>
      </c>
      <c r="B137" s="2006" t="s">
        <v>2548</v>
      </c>
      <c r="C137" s="2028" t="s">
        <v>167</v>
      </c>
      <c r="D137" s="2013">
        <f>审定现流表!C59</f>
        <v>6000</v>
      </c>
      <c r="G137" s="2002"/>
    </row>
    <row r="138" customHeight="1" spans="1:7">
      <c r="A138" s="2005" t="str">
        <f>报表附注!$G$1</f>
        <v>深圳新阳蓝光能源管理科技股份有限公司</v>
      </c>
      <c r="B138" s="2006" t="s">
        <v>2548</v>
      </c>
      <c r="C138" s="2029" t="s">
        <v>2479</v>
      </c>
      <c r="G138" s="2002"/>
    </row>
    <row r="139" customHeight="1" spans="1:7">
      <c r="A139" s="2005" t="str">
        <f>报表附注!$G$1</f>
        <v>深圳新阳蓝光能源管理科技股份有限公司</v>
      </c>
      <c r="B139" s="2006" t="s">
        <v>2548</v>
      </c>
      <c r="C139" s="2028" t="s">
        <v>2549</v>
      </c>
      <c r="D139" s="2013">
        <f>报表附注!J3869</f>
        <v>6000</v>
      </c>
      <c r="G139" s="2002"/>
    </row>
    <row r="140" customHeight="1" spans="3:7">
      <c r="C140" s="2028" t="s">
        <v>2550</v>
      </c>
      <c r="D140" s="2013">
        <f>报表附注!G3767</f>
        <v>0</v>
      </c>
      <c r="G140" s="2002"/>
    </row>
    <row r="141" customHeight="1" spans="1:7">
      <c r="A141" s="2005" t="str">
        <f>报表附注!$G$1</f>
        <v>深圳新阳蓝光能源管理科技股份有限公司</v>
      </c>
      <c r="B141" s="2006" t="s">
        <v>2548</v>
      </c>
      <c r="C141" s="2031" t="s">
        <v>1395</v>
      </c>
      <c r="D141" s="2013">
        <f>ROUND(D137-D139-D140,2)</f>
        <v>0</v>
      </c>
      <c r="G141" s="2002"/>
    </row>
    <row r="142" customHeight="1" spans="1:7">
      <c r="A142" s="2005" t="str">
        <f>报表附注!$G$1</f>
        <v>深圳新阳蓝光能源管理科技股份有限公司</v>
      </c>
      <c r="B142" s="2006" t="s">
        <v>2548</v>
      </c>
      <c r="C142" s="2017" t="s">
        <v>2482</v>
      </c>
      <c r="D142" s="2018">
        <f>ROUND(SUM(D143:D146)-D141,2)</f>
        <v>0</v>
      </c>
      <c r="E142" s="2019" t="str">
        <f>IF(D142=0,"勾稽一致","最终差异")</f>
        <v>勾稽一致</v>
      </c>
      <c r="G142" s="2002"/>
    </row>
    <row r="143" customHeight="1" spans="1:7">
      <c r="A143" s="2005" t="str">
        <f>报表附注!$G$1</f>
        <v>深圳新阳蓝光能源管理科技股份有限公司</v>
      </c>
      <c r="B143" s="2006" t="s">
        <v>2548</v>
      </c>
      <c r="C143" s="2022" t="s">
        <v>2512</v>
      </c>
      <c r="G143" s="2002"/>
    </row>
    <row r="144" customHeight="1" spans="1:7">
      <c r="A144" s="2005" t="str">
        <f>报表附注!$G$1</f>
        <v>深圳新阳蓝光能源管理科技股份有限公司</v>
      </c>
      <c r="B144" s="2006" t="s">
        <v>2548</v>
      </c>
      <c r="C144" s="2020" t="s">
        <v>2485</v>
      </c>
      <c r="G144" s="2002"/>
    </row>
    <row r="145" customHeight="1" spans="1:7">
      <c r="A145" s="2005" t="str">
        <f>报表附注!$G$1</f>
        <v>深圳新阳蓝光能源管理科技股份有限公司</v>
      </c>
      <c r="B145" s="2006" t="s">
        <v>2548</v>
      </c>
      <c r="C145" s="2025"/>
      <c r="G145" s="2002"/>
    </row>
    <row r="146" customHeight="1" spans="1:7">
      <c r="A146" s="2005" t="str">
        <f>报表附注!$G$1</f>
        <v>深圳新阳蓝光能源管理科技股份有限公司</v>
      </c>
      <c r="B146" s="2006" t="s">
        <v>2548</v>
      </c>
      <c r="G146" s="2002"/>
    </row>
    <row r="147" customHeight="1" spans="1:7">
      <c r="A147" s="2005" t="str">
        <f>报表附注!$G$1</f>
        <v>深圳新阳蓝光能源管理科技股份有限公司</v>
      </c>
      <c r="B147" s="2006" t="s">
        <v>1700</v>
      </c>
      <c r="C147" s="2029" t="s">
        <v>2543</v>
      </c>
      <c r="G147" s="2002"/>
    </row>
    <row r="148" customHeight="1" spans="1:7">
      <c r="A148" s="2005" t="str">
        <f>报表附注!$G$1</f>
        <v>深圳新阳蓝光能源管理科技股份有限公司</v>
      </c>
      <c r="B148" s="2006" t="s">
        <v>1700</v>
      </c>
      <c r="C148" s="2028" t="s">
        <v>168</v>
      </c>
      <c r="D148" s="2013">
        <f>审定现流表!C60</f>
        <v>207956.57</v>
      </c>
      <c r="G148" s="2002"/>
    </row>
    <row r="149" customHeight="1" spans="1:7">
      <c r="A149" s="2005" t="str">
        <f>报表附注!$G$1</f>
        <v>深圳新阳蓝光能源管理科技股份有限公司</v>
      </c>
      <c r="B149" s="2006" t="s">
        <v>1700</v>
      </c>
      <c r="C149" s="2029" t="s">
        <v>2479</v>
      </c>
      <c r="G149" s="2002"/>
    </row>
    <row r="150" customHeight="1" spans="1:7">
      <c r="A150" s="2005" t="str">
        <f>报表附注!$G$1</f>
        <v>深圳新阳蓝光能源管理科技股份有限公司</v>
      </c>
      <c r="B150" s="2006" t="s">
        <v>1700</v>
      </c>
      <c r="C150" s="2028" t="s">
        <v>2551</v>
      </c>
      <c r="D150" s="2013">
        <f>报表附注!I1552</f>
        <v>207956.57</v>
      </c>
      <c r="G150" s="2002"/>
    </row>
    <row r="151" customHeight="1" spans="1:7">
      <c r="A151" s="2005" t="str">
        <f>报表附注!$G$1</f>
        <v>深圳新阳蓝光能源管理科技股份有限公司</v>
      </c>
      <c r="B151" s="2006" t="s">
        <v>1700</v>
      </c>
      <c r="C151" s="2031" t="s">
        <v>1395</v>
      </c>
      <c r="D151" s="2013">
        <f>D148-D150</f>
        <v>0</v>
      </c>
      <c r="G151" s="2002"/>
    </row>
    <row r="152" customHeight="1" spans="1:7">
      <c r="A152" s="2005" t="str">
        <f>报表附注!$G$1</f>
        <v>深圳新阳蓝光能源管理科技股份有限公司</v>
      </c>
      <c r="B152" s="2006" t="s">
        <v>1700</v>
      </c>
      <c r="C152" s="2017" t="s">
        <v>2482</v>
      </c>
      <c r="D152" s="2018">
        <f>ROUND(SUM(D153:D158)-D151,2)</f>
        <v>0</v>
      </c>
      <c r="E152" s="2019" t="str">
        <f>IF(D152=0,"勾稽一致","最终差异")</f>
        <v>勾稽一致</v>
      </c>
      <c r="G152" s="2002"/>
    </row>
    <row r="153" customHeight="1" spans="1:7">
      <c r="A153" s="2005" t="str">
        <f>报表附注!$G$1</f>
        <v>深圳新阳蓝光能源管理科技股份有限公司</v>
      </c>
      <c r="B153" s="2006" t="s">
        <v>1700</v>
      </c>
      <c r="C153" s="2022" t="s">
        <v>2513</v>
      </c>
      <c r="G153" s="2002"/>
    </row>
    <row r="154" customHeight="1" spans="1:7">
      <c r="A154" s="2005" t="str">
        <f>报表附注!$G$1</f>
        <v>深圳新阳蓝光能源管理科技股份有限公司</v>
      </c>
      <c r="B154" s="2006" t="s">
        <v>1700</v>
      </c>
      <c r="C154" s="2020" t="s">
        <v>2485</v>
      </c>
      <c r="G154" s="2002"/>
    </row>
    <row r="155" customHeight="1" spans="1:7">
      <c r="A155" s="2005" t="str">
        <f>报表附注!$G$1</f>
        <v>深圳新阳蓝光能源管理科技股份有限公司</v>
      </c>
      <c r="B155" s="2006" t="s">
        <v>1700</v>
      </c>
      <c r="C155" s="2025" t="s">
        <v>2552</v>
      </c>
      <c r="G155" s="2002"/>
    </row>
    <row r="156" customHeight="1" spans="1:7">
      <c r="A156" s="2005" t="str">
        <f>报表附注!$G$1</f>
        <v>深圳新阳蓝光能源管理科技股份有限公司</v>
      </c>
      <c r="B156" s="2006" t="s">
        <v>1700</v>
      </c>
      <c r="G156" s="2002"/>
    </row>
    <row r="157" customHeight="1" spans="1:7">
      <c r="A157" s="2005" t="str">
        <f>报表附注!$G$1</f>
        <v>深圳新阳蓝光能源管理科技股份有限公司</v>
      </c>
      <c r="B157" s="2006" t="s">
        <v>1700</v>
      </c>
      <c r="G157" s="2002"/>
    </row>
    <row r="158" customHeight="1" spans="1:7">
      <c r="A158" s="2005" t="str">
        <f>报表附注!$G$1</f>
        <v>深圳新阳蓝光能源管理科技股份有限公司</v>
      </c>
      <c r="B158" s="2006" t="s">
        <v>1700</v>
      </c>
      <c r="G158" s="2002"/>
    </row>
    <row r="159" customHeight="1" spans="1:7">
      <c r="A159" s="2005" t="str">
        <f>报表附注!$G$1</f>
        <v>深圳新阳蓝光能源管理科技股份有限公司</v>
      </c>
      <c r="B159" s="2006" t="s">
        <v>1702</v>
      </c>
      <c r="C159" s="2029" t="s">
        <v>2543</v>
      </c>
      <c r="G159" s="2002"/>
    </row>
    <row r="160" customHeight="1" spans="1:7">
      <c r="A160" s="2005" t="str">
        <f>报表附注!$G$1</f>
        <v>深圳新阳蓝光能源管理科技股份有限公司</v>
      </c>
      <c r="B160" s="2006" t="s">
        <v>1702</v>
      </c>
      <c r="C160" s="2028" t="s">
        <v>169</v>
      </c>
      <c r="D160" s="2013">
        <f>审定现流表!C61</f>
        <v>68120.1</v>
      </c>
      <c r="G160" s="2002" t="s">
        <v>2471</v>
      </c>
    </row>
    <row r="161" customHeight="1" spans="1:7">
      <c r="A161" s="2005" t="str">
        <f>报表附注!$G$1</f>
        <v>深圳新阳蓝光能源管理科技股份有限公司</v>
      </c>
      <c r="B161" s="2006" t="s">
        <v>1702</v>
      </c>
      <c r="C161" s="2028" t="s">
        <v>170</v>
      </c>
      <c r="D161" s="2013">
        <f>审定现流表!C62</f>
        <v>0</v>
      </c>
      <c r="G161" s="2002" t="s">
        <v>2471</v>
      </c>
    </row>
    <row r="162" customHeight="1" spans="1:7">
      <c r="A162" s="2005" t="str">
        <f>报表附注!$G$1</f>
        <v>深圳新阳蓝光能源管理科技股份有限公司</v>
      </c>
      <c r="B162" s="2006" t="s">
        <v>1702</v>
      </c>
      <c r="C162" s="2029" t="s">
        <v>2479</v>
      </c>
      <c r="G162" s="2002" t="s">
        <v>2471</v>
      </c>
    </row>
    <row r="163" customHeight="1" spans="1:7">
      <c r="A163" s="2005" t="str">
        <f>报表附注!$G$1</f>
        <v>深圳新阳蓝光能源管理科技股份有限公司</v>
      </c>
      <c r="B163" s="2006" t="s">
        <v>1702</v>
      </c>
      <c r="C163" s="2028" t="s">
        <v>2553</v>
      </c>
      <c r="D163" s="2013">
        <f>报表附注!F2915</f>
        <v>0</v>
      </c>
      <c r="G163" s="2002" t="s">
        <v>2471</v>
      </c>
    </row>
    <row r="164" customHeight="1" spans="1:7">
      <c r="A164" s="2005" t="str">
        <f>报表附注!$G$1</f>
        <v>深圳新阳蓝光能源管理科技股份有限公司</v>
      </c>
      <c r="B164" s="2006" t="s">
        <v>1702</v>
      </c>
      <c r="C164" s="2028" t="s">
        <v>2554</v>
      </c>
      <c r="D164" s="2013">
        <f>报表附注!F2981</f>
        <v>68120.1</v>
      </c>
      <c r="G164" s="2002" t="s">
        <v>2471</v>
      </c>
    </row>
    <row r="165" customHeight="1" spans="1:7">
      <c r="A165" s="2005" t="str">
        <f>报表附注!$G$1</f>
        <v>深圳新阳蓝光能源管理科技股份有限公司</v>
      </c>
      <c r="B165" s="2006" t="s">
        <v>1702</v>
      </c>
      <c r="C165" s="2031" t="s">
        <v>1395</v>
      </c>
      <c r="D165" s="2013">
        <f>D160+D161-(D164-D163)</f>
        <v>0</v>
      </c>
      <c r="G165" s="2002" t="s">
        <v>2471</v>
      </c>
    </row>
    <row r="166" customHeight="1" spans="1:7">
      <c r="A166" s="2005" t="str">
        <f>报表附注!$G$1</f>
        <v>深圳新阳蓝光能源管理科技股份有限公司</v>
      </c>
      <c r="B166" s="2006" t="s">
        <v>1702</v>
      </c>
      <c r="C166" s="2017" t="s">
        <v>2482</v>
      </c>
      <c r="D166" s="2018">
        <f>ROUND(SUM(D167:D171)-D165,2)</f>
        <v>0</v>
      </c>
      <c r="E166" s="2019" t="str">
        <f>IF(D166=0,"勾稽一致","最终差异")</f>
        <v>勾稽一致</v>
      </c>
      <c r="G166" s="2002" t="s">
        <v>2471</v>
      </c>
    </row>
    <row r="167" customHeight="1" spans="1:7">
      <c r="A167" s="2005" t="str">
        <f>报表附注!$G$1</f>
        <v>深圳新阳蓝光能源管理科技股份有限公司</v>
      </c>
      <c r="B167" s="2006" t="s">
        <v>1702</v>
      </c>
      <c r="C167" s="2020" t="s">
        <v>2555</v>
      </c>
      <c r="G167" s="2002" t="s">
        <v>2471</v>
      </c>
    </row>
    <row r="168" customHeight="1" spans="1:7">
      <c r="A168" s="2005" t="str">
        <f>报表附注!$G$1</f>
        <v>深圳新阳蓝光能源管理科技股份有限公司</v>
      </c>
      <c r="B168" s="2006" t="s">
        <v>1702</v>
      </c>
      <c r="C168" s="2025"/>
      <c r="G168" s="2002" t="s">
        <v>2471</v>
      </c>
    </row>
    <row r="169" customHeight="1" spans="1:7">
      <c r="A169" s="2005" t="str">
        <f>报表附注!$G$1</f>
        <v>深圳新阳蓝光能源管理科技股份有限公司</v>
      </c>
      <c r="B169" s="2006" t="s">
        <v>1702</v>
      </c>
      <c r="C169" s="2025"/>
      <c r="G169" s="2002" t="s">
        <v>2471</v>
      </c>
    </row>
    <row r="170" customHeight="1" spans="1:7">
      <c r="A170" s="2005" t="str">
        <f>报表附注!$G$1</f>
        <v>深圳新阳蓝光能源管理科技股份有限公司</v>
      </c>
      <c r="B170" s="2006" t="s">
        <v>1702</v>
      </c>
      <c r="C170" s="2025"/>
      <c r="G170" s="2002" t="s">
        <v>2471</v>
      </c>
    </row>
    <row r="171" customHeight="1" spans="1:7">
      <c r="A171" s="2005" t="str">
        <f>报表附注!$G$1</f>
        <v>深圳新阳蓝光能源管理科技股份有限公司</v>
      </c>
      <c r="B171" s="2006" t="s">
        <v>1702</v>
      </c>
      <c r="G171" s="2002" t="s">
        <v>2471</v>
      </c>
    </row>
    <row r="172" customHeight="1" spans="1:7">
      <c r="A172" s="2005" t="str">
        <f>报表附注!$G$1</f>
        <v>深圳新阳蓝光能源管理科技股份有限公司</v>
      </c>
      <c r="B172" s="2006" t="s">
        <v>1703</v>
      </c>
      <c r="C172" s="2029" t="s">
        <v>2543</v>
      </c>
      <c r="G172" s="2002"/>
    </row>
    <row r="173" customHeight="1" spans="1:7">
      <c r="A173" s="2005" t="str">
        <f>报表附注!$G$1</f>
        <v>深圳新阳蓝光能源管理科技股份有限公司</v>
      </c>
      <c r="B173" s="2006" t="s">
        <v>1703</v>
      </c>
      <c r="C173" s="2028" t="s">
        <v>171</v>
      </c>
      <c r="D173" s="2013">
        <f>审定现流表!C63</f>
        <v>0</v>
      </c>
      <c r="G173" s="2002"/>
    </row>
    <row r="174" customHeight="1" spans="1:7">
      <c r="A174" s="2005" t="str">
        <f>报表附注!$G$1</f>
        <v>深圳新阳蓝光能源管理科技股份有限公司</v>
      </c>
      <c r="B174" s="2006" t="s">
        <v>1703</v>
      </c>
      <c r="C174" s="2029" t="s">
        <v>2479</v>
      </c>
      <c r="G174" s="2002"/>
    </row>
    <row r="175" customHeight="1" spans="1:7">
      <c r="A175" s="2005" t="str">
        <f>报表附注!$G$1</f>
        <v>深圳新阳蓝光能源管理科技股份有限公司</v>
      </c>
      <c r="B175" s="2006" t="s">
        <v>1703</v>
      </c>
      <c r="C175" s="2028" t="s">
        <v>2556</v>
      </c>
      <c r="D175" s="2013">
        <f>-报表附注!F2651</f>
        <v>0</v>
      </c>
      <c r="G175" s="2002"/>
    </row>
    <row r="176" customHeight="1" spans="1:7">
      <c r="A176" s="2005" t="str">
        <f>报表附注!$G$1</f>
        <v>深圳新阳蓝光能源管理科技股份有限公司</v>
      </c>
      <c r="B176" s="2006" t="s">
        <v>1703</v>
      </c>
      <c r="C176" s="2031" t="s">
        <v>1395</v>
      </c>
      <c r="D176" s="2013">
        <f>D173-D175</f>
        <v>0</v>
      </c>
      <c r="G176" s="2002"/>
    </row>
    <row r="177" customHeight="1" spans="1:7">
      <c r="A177" s="2005" t="str">
        <f>报表附注!$G$1</f>
        <v>深圳新阳蓝光能源管理科技股份有限公司</v>
      </c>
      <c r="B177" s="2006" t="s">
        <v>1703</v>
      </c>
      <c r="C177" s="2017" t="s">
        <v>2482</v>
      </c>
      <c r="D177" s="2018">
        <f>ROUND(SUM(D178:D183)-D176,2)</f>
        <v>0</v>
      </c>
      <c r="E177" s="2019" t="str">
        <f>IF(D177=0,"勾稽一致","最终差异")</f>
        <v>勾稽一致</v>
      </c>
      <c r="G177" s="2002"/>
    </row>
    <row r="178" customHeight="1" spans="1:7">
      <c r="A178" s="2005" t="str">
        <f>报表附注!$G$1</f>
        <v>深圳新阳蓝光能源管理科技股份有限公司</v>
      </c>
      <c r="B178" s="2006" t="s">
        <v>1703</v>
      </c>
      <c r="C178" s="2025"/>
      <c r="G178" s="2002"/>
    </row>
    <row r="179" customHeight="1" spans="1:7">
      <c r="A179" s="2005" t="str">
        <f>报表附注!$G$1</f>
        <v>深圳新阳蓝光能源管理科技股份有限公司</v>
      </c>
      <c r="B179" s="2006" t="s">
        <v>1703</v>
      </c>
      <c r="C179" s="2025"/>
      <c r="G179" s="2002"/>
    </row>
    <row r="180" customHeight="1" spans="1:7">
      <c r="A180" s="2005" t="str">
        <f>报表附注!$G$1</f>
        <v>深圳新阳蓝光能源管理科技股份有限公司</v>
      </c>
      <c r="B180" s="2006" t="s">
        <v>1703</v>
      </c>
      <c r="C180" s="2025"/>
      <c r="G180" s="2002"/>
    </row>
    <row r="181" customHeight="1" spans="1:7">
      <c r="A181" s="2005" t="str">
        <f>报表附注!$G$1</f>
        <v>深圳新阳蓝光能源管理科技股份有限公司</v>
      </c>
      <c r="B181" s="2006" t="s">
        <v>1703</v>
      </c>
      <c r="G181" s="2002"/>
    </row>
    <row r="182" customHeight="1" spans="7:7">
      <c r="G182" s="2002"/>
    </row>
    <row r="183" customHeight="1" spans="1:7">
      <c r="A183" s="2005" t="str">
        <f>报表附注!$G$1</f>
        <v>深圳新阳蓝光能源管理科技股份有限公司</v>
      </c>
      <c r="B183" s="2006" t="s">
        <v>1703</v>
      </c>
      <c r="G183" s="2002"/>
    </row>
    <row r="184" customHeight="1" spans="1:7">
      <c r="A184" s="2005" t="str">
        <f>报表附注!$G$1</f>
        <v>深圳新阳蓝光能源管理科技股份有限公司</v>
      </c>
      <c r="B184" s="2006" t="s">
        <v>2557</v>
      </c>
      <c r="C184" s="2029" t="s">
        <v>2543</v>
      </c>
      <c r="G184" s="2002" t="s">
        <v>2471</v>
      </c>
    </row>
    <row r="185" customHeight="1" spans="1:7">
      <c r="A185" s="2005" t="str">
        <f>报表附注!$G$1</f>
        <v>深圳新阳蓝光能源管理科技股份有限公司</v>
      </c>
      <c r="B185" s="2006" t="s">
        <v>2557</v>
      </c>
      <c r="C185" s="2028" t="s">
        <v>85</v>
      </c>
      <c r="D185" s="2013">
        <f>审定现流表!C64</f>
        <v>18267390.45</v>
      </c>
      <c r="G185" s="2002" t="s">
        <v>2471</v>
      </c>
    </row>
    <row r="186" customHeight="1" spans="1:7">
      <c r="A186" s="2005" t="str">
        <f>报表附注!$G$1</f>
        <v>深圳新阳蓝光能源管理科技股份有限公司</v>
      </c>
      <c r="B186" s="2006" t="s">
        <v>2557</v>
      </c>
      <c r="C186" s="2029" t="s">
        <v>2479</v>
      </c>
      <c r="G186" s="2002" t="s">
        <v>2471</v>
      </c>
    </row>
    <row r="187" customHeight="1" spans="1:7">
      <c r="A187" s="2005" t="str">
        <f>报表附注!$G$1</f>
        <v>深圳新阳蓝光能源管理科技股份有限公司</v>
      </c>
      <c r="B187" s="2006" t="s">
        <v>2557</v>
      </c>
      <c r="C187" s="2028" t="s">
        <v>2558</v>
      </c>
      <c r="D187" s="2013">
        <f>报表附注!F2734+报表附注!F2738</f>
        <v>6244589.47</v>
      </c>
      <c r="G187" s="2002" t="s">
        <v>2471</v>
      </c>
    </row>
    <row r="188" customHeight="1" spans="1:7">
      <c r="A188" s="2005" t="str">
        <f>报表附注!$G$1</f>
        <v>深圳新阳蓝光能源管理科技股份有限公司</v>
      </c>
      <c r="B188" s="2006" t="s">
        <v>2557</v>
      </c>
      <c r="C188" s="2031" t="s">
        <v>1395</v>
      </c>
      <c r="D188" s="2013">
        <f>D185-D187</f>
        <v>12022800.98</v>
      </c>
      <c r="G188" s="2002" t="s">
        <v>2471</v>
      </c>
    </row>
    <row r="189" customHeight="1" spans="1:7">
      <c r="A189" s="2005" t="str">
        <f>报表附注!$G$1</f>
        <v>深圳新阳蓝光能源管理科技股份有限公司</v>
      </c>
      <c r="B189" s="2006" t="s">
        <v>2557</v>
      </c>
      <c r="C189" s="2017" t="s">
        <v>2482</v>
      </c>
      <c r="D189" s="2018">
        <f>ROUND(SUM(D190:D194)-D188,2)</f>
        <v>0</v>
      </c>
      <c r="E189" s="2019" t="str">
        <f>IF(D189=0,"勾稽一致","最终差异")</f>
        <v>勾稽一致</v>
      </c>
      <c r="G189" s="2002" t="s">
        <v>2471</v>
      </c>
    </row>
    <row r="190" customHeight="1" spans="1:7">
      <c r="A190" s="2005" t="str">
        <f>报表附注!$G$1</f>
        <v>深圳新阳蓝光能源管理科技股份有限公司</v>
      </c>
      <c r="B190" s="2006" t="s">
        <v>2557</v>
      </c>
      <c r="C190" s="2020" t="s">
        <v>2559</v>
      </c>
      <c r="G190" s="2002" t="s">
        <v>2471</v>
      </c>
    </row>
    <row r="191" customHeight="1" spans="1:7">
      <c r="A191" s="2005" t="str">
        <f>报表附注!$G$1</f>
        <v>深圳新阳蓝光能源管理科技股份有限公司</v>
      </c>
      <c r="B191" s="2006" t="s">
        <v>2557</v>
      </c>
      <c r="C191" s="2020" t="s">
        <v>2560</v>
      </c>
      <c r="G191" s="2002" t="s">
        <v>2471</v>
      </c>
    </row>
    <row r="192" customHeight="1" spans="1:7">
      <c r="A192" s="2005" t="str">
        <f>报表附注!$G$1</f>
        <v>深圳新阳蓝光能源管理科技股份有限公司</v>
      </c>
      <c r="B192" s="2006" t="s">
        <v>2557</v>
      </c>
      <c r="C192" s="2025" t="s">
        <v>2561</v>
      </c>
      <c r="G192" s="2002" t="s">
        <v>2471</v>
      </c>
    </row>
    <row r="193" customHeight="1" spans="1:7">
      <c r="A193" s="2005" t="str">
        <f>报表附注!$G$1</f>
        <v>深圳新阳蓝光能源管理科技股份有限公司</v>
      </c>
      <c r="B193" s="2006" t="s">
        <v>2557</v>
      </c>
      <c r="C193" s="2025" t="s">
        <v>2562</v>
      </c>
      <c r="G193" s="2002" t="s">
        <v>2471</v>
      </c>
    </row>
    <row r="194" customHeight="1" spans="1:7">
      <c r="A194" s="2005" t="str">
        <f>报表附注!$G$1</f>
        <v>深圳新阳蓝光能源管理科技股份有限公司</v>
      </c>
      <c r="B194" s="2006" t="s">
        <v>2557</v>
      </c>
      <c r="C194" s="2025" t="s">
        <v>2563</v>
      </c>
      <c r="D194" s="2023">
        <v>12022800.98</v>
      </c>
      <c r="G194" s="2002" t="s">
        <v>2471</v>
      </c>
    </row>
    <row r="195" customHeight="1" spans="1:7">
      <c r="A195" s="2005" t="str">
        <f>报表附注!$G$1</f>
        <v>深圳新阳蓝光能源管理科技股份有限公司</v>
      </c>
      <c r="B195" s="2006" t="s">
        <v>2564</v>
      </c>
      <c r="C195" s="2029" t="s">
        <v>2543</v>
      </c>
      <c r="G195" s="2002" t="s">
        <v>2471</v>
      </c>
    </row>
    <row r="196" customHeight="1" spans="1:7">
      <c r="A196" s="2005" t="str">
        <f>报表附注!$G$1</f>
        <v>深圳新阳蓝光能源管理科技股份有限公司</v>
      </c>
      <c r="B196" s="2006" t="s">
        <v>2564</v>
      </c>
      <c r="C196" s="2028" t="s">
        <v>172</v>
      </c>
      <c r="D196" s="2013">
        <f>审定现流表!C65</f>
        <v>0</v>
      </c>
      <c r="G196" s="2002" t="s">
        <v>2471</v>
      </c>
    </row>
    <row r="197" customHeight="1" spans="1:7">
      <c r="A197" s="2005" t="str">
        <f>报表附注!$G$1</f>
        <v>深圳新阳蓝光能源管理科技股份有限公司</v>
      </c>
      <c r="B197" s="2006" t="s">
        <v>2564</v>
      </c>
      <c r="C197" s="2029" t="s">
        <v>2565</v>
      </c>
      <c r="G197" s="2002" t="s">
        <v>2471</v>
      </c>
    </row>
    <row r="198" customHeight="1" spans="1:7">
      <c r="A198" s="2005" t="str">
        <f>报表附注!$G$1</f>
        <v>深圳新阳蓝光能源管理科技股份有限公司</v>
      </c>
      <c r="B198" s="2006" t="s">
        <v>2564</v>
      </c>
      <c r="C198" s="2028" t="s">
        <v>2566</v>
      </c>
      <c r="D198" s="2013">
        <f>-审定利润表!C14</f>
        <v>0</v>
      </c>
      <c r="G198" s="2002" t="s">
        <v>2471</v>
      </c>
    </row>
    <row r="199" customHeight="1" spans="1:7">
      <c r="A199" s="2005" t="str">
        <f>报表附注!$G$1</f>
        <v>深圳新阳蓝光能源管理科技股份有限公司</v>
      </c>
      <c r="B199" s="2006" t="s">
        <v>2564</v>
      </c>
      <c r="C199" s="2031" t="s">
        <v>1395</v>
      </c>
      <c r="D199" s="2013">
        <f>D196-D198</f>
        <v>0</v>
      </c>
      <c r="G199" s="2002" t="s">
        <v>2471</v>
      </c>
    </row>
    <row r="200" customHeight="1" spans="1:7">
      <c r="A200" s="2005" t="str">
        <f>报表附注!$G$1</f>
        <v>深圳新阳蓝光能源管理科技股份有限公司</v>
      </c>
      <c r="B200" s="2006" t="s">
        <v>2564</v>
      </c>
      <c r="C200" s="2017" t="s">
        <v>2482</v>
      </c>
      <c r="D200" s="2018">
        <f>ROUND(SUM(D201:D205)-D199,2)</f>
        <v>0</v>
      </c>
      <c r="E200" s="2019" t="str">
        <f>IF(D200=0,"勾稽一致","最终差异")</f>
        <v>勾稽一致</v>
      </c>
      <c r="G200" s="2002" t="s">
        <v>2471</v>
      </c>
    </row>
    <row r="201" customHeight="1" spans="1:7">
      <c r="A201" s="2005" t="str">
        <f>报表附注!$G$1</f>
        <v>深圳新阳蓝光能源管理科技股份有限公司</v>
      </c>
      <c r="B201" s="2006" t="s">
        <v>2564</v>
      </c>
      <c r="C201" s="2025"/>
      <c r="G201" s="2002" t="s">
        <v>2471</v>
      </c>
    </row>
    <row r="202" customHeight="1" spans="1:7">
      <c r="A202" s="2005" t="str">
        <f>报表附注!$G$1</f>
        <v>深圳新阳蓝光能源管理科技股份有限公司</v>
      </c>
      <c r="B202" s="2006" t="s">
        <v>2564</v>
      </c>
      <c r="C202" s="2025"/>
      <c r="G202" s="2002" t="s">
        <v>2471</v>
      </c>
    </row>
    <row r="203" customHeight="1" spans="1:7">
      <c r="A203" s="2005" t="str">
        <f>报表附注!$G$1</f>
        <v>深圳新阳蓝光能源管理科技股份有限公司</v>
      </c>
      <c r="B203" s="2006" t="s">
        <v>2564</v>
      </c>
      <c r="C203" s="2025"/>
      <c r="G203" s="2002" t="s">
        <v>2471</v>
      </c>
    </row>
    <row r="204" customHeight="1" spans="1:7">
      <c r="A204" s="2005" t="str">
        <f>报表附注!$G$1</f>
        <v>深圳新阳蓝光能源管理科技股份有限公司</v>
      </c>
      <c r="B204" s="2006" t="s">
        <v>2564</v>
      </c>
      <c r="G204" s="2002" t="s">
        <v>2471</v>
      </c>
    </row>
    <row r="205" customHeight="1" spans="1:7">
      <c r="A205" s="2005" t="str">
        <f>报表附注!$G$1</f>
        <v>深圳新阳蓝光能源管理科技股份有限公司</v>
      </c>
      <c r="B205" s="2006" t="s">
        <v>2564</v>
      </c>
      <c r="G205" s="2002" t="s">
        <v>2471</v>
      </c>
    </row>
    <row r="206" customHeight="1" spans="1:7">
      <c r="A206" s="2005" t="str">
        <f>报表附注!$G$1</f>
        <v>深圳新阳蓝光能源管理科技股份有限公司</v>
      </c>
      <c r="B206" s="2006" t="s">
        <v>1705</v>
      </c>
      <c r="C206" s="2029" t="s">
        <v>2543</v>
      </c>
      <c r="G206" s="2002"/>
    </row>
    <row r="207" customHeight="1" spans="1:7">
      <c r="A207" s="2005" t="str">
        <f>报表附注!$G$1</f>
        <v>深圳新阳蓝光能源管理科技股份有限公司</v>
      </c>
      <c r="B207" s="2006" t="s">
        <v>1705</v>
      </c>
      <c r="C207" s="2028" t="s">
        <v>173</v>
      </c>
      <c r="D207" s="2013">
        <f>审定现流表!C66</f>
        <v>24825.52</v>
      </c>
      <c r="G207" s="2002"/>
    </row>
    <row r="208" customHeight="1" spans="1:7">
      <c r="A208" s="2005" t="str">
        <f>报表附注!$G$1</f>
        <v>深圳新阳蓝光能源管理科技股份有限公司</v>
      </c>
      <c r="B208" s="2006" t="s">
        <v>1705</v>
      </c>
      <c r="C208" s="2029" t="s">
        <v>2565</v>
      </c>
      <c r="G208" s="2002"/>
    </row>
    <row r="209" customHeight="1" spans="1:7">
      <c r="A209" s="2005" t="str">
        <f>报表附注!$G$1</f>
        <v>深圳新阳蓝光能源管理科技股份有限公司</v>
      </c>
      <c r="B209" s="2006" t="s">
        <v>1705</v>
      </c>
      <c r="C209" s="2028" t="s">
        <v>2567</v>
      </c>
      <c r="D209" s="2013">
        <f>审定资负表!D37-审定资负表!C37</f>
        <v>-743918.35</v>
      </c>
      <c r="G209" s="2002"/>
    </row>
    <row r="210" customHeight="1" spans="1:7">
      <c r="A210" s="2005" t="str">
        <f>报表附注!$G$1</f>
        <v>深圳新阳蓝光能源管理科技股份有限公司</v>
      </c>
      <c r="B210" s="2006" t="s">
        <v>1705</v>
      </c>
      <c r="C210" s="2031" t="s">
        <v>1395</v>
      </c>
      <c r="D210" s="2013">
        <f>D207-D209</f>
        <v>768743.87</v>
      </c>
      <c r="G210" s="2002"/>
    </row>
    <row r="211" customHeight="1" spans="1:7">
      <c r="A211" s="2005" t="str">
        <f>报表附注!$G$1</f>
        <v>深圳新阳蓝光能源管理科技股份有限公司</v>
      </c>
      <c r="B211" s="2006" t="s">
        <v>1705</v>
      </c>
      <c r="C211" s="2017" t="s">
        <v>2482</v>
      </c>
      <c r="D211" s="2018">
        <f>ROUND(SUM(D212:D214)-D210,2)</f>
        <v>-768743.87</v>
      </c>
      <c r="E211" s="2019" t="str">
        <f>IF(D211=0,"勾稽一致","最终差异")</f>
        <v>最终差异</v>
      </c>
      <c r="G211" s="2002"/>
    </row>
    <row r="212" customHeight="1" spans="1:7">
      <c r="A212" s="2005" t="str">
        <f>报表附注!$G$1</f>
        <v>深圳新阳蓝光能源管理科技股份有限公司</v>
      </c>
      <c r="B212" s="2006" t="s">
        <v>1705</v>
      </c>
      <c r="C212" s="2020" t="s">
        <v>2485</v>
      </c>
      <c r="G212" s="2002"/>
    </row>
    <row r="213" customHeight="1" spans="1:7">
      <c r="A213" s="2005" t="str">
        <f>报表附注!$G$1</f>
        <v>深圳新阳蓝光能源管理科技股份有限公司</v>
      </c>
      <c r="B213" s="2006" t="s">
        <v>1705</v>
      </c>
      <c r="C213" s="2025" t="s">
        <v>2568</v>
      </c>
      <c r="G213" s="2002"/>
    </row>
    <row r="214" customHeight="1" spans="1:7">
      <c r="A214" s="2005" t="str">
        <f>报表附注!$G$1</f>
        <v>深圳新阳蓝光能源管理科技股份有限公司</v>
      </c>
      <c r="B214" s="2006" t="s">
        <v>1705</v>
      </c>
      <c r="C214" s="2025"/>
      <c r="G214" s="2002"/>
    </row>
    <row r="215" customHeight="1" spans="1:7">
      <c r="A215" s="2005" t="str">
        <f>报表附注!$G$1</f>
        <v>深圳新阳蓝光能源管理科技股份有限公司</v>
      </c>
      <c r="B215" s="2006" t="s">
        <v>2569</v>
      </c>
      <c r="C215" s="2029" t="s">
        <v>2543</v>
      </c>
      <c r="G215" s="2002"/>
    </row>
    <row r="216" customHeight="1" spans="1:7">
      <c r="A216" s="2005" t="str">
        <f>报表附注!$G$1</f>
        <v>深圳新阳蓝光能源管理科技股份有限公司</v>
      </c>
      <c r="B216" s="2006" t="s">
        <v>2569</v>
      </c>
      <c r="C216" s="2028" t="s">
        <v>174</v>
      </c>
      <c r="D216" s="2013">
        <f>审定现流表!C67</f>
        <v>0</v>
      </c>
      <c r="G216" s="2002"/>
    </row>
    <row r="217" customHeight="1" spans="1:7">
      <c r="A217" s="2005" t="str">
        <f>报表附注!$G$1</f>
        <v>深圳新阳蓝光能源管理科技股份有限公司</v>
      </c>
      <c r="B217" s="2006" t="s">
        <v>2569</v>
      </c>
      <c r="C217" s="2029" t="s">
        <v>2565</v>
      </c>
      <c r="G217" s="2002"/>
    </row>
    <row r="218" customHeight="1" spans="1:7">
      <c r="A218" s="2005" t="str">
        <f>报表附注!$G$1</f>
        <v>深圳新阳蓝光能源管理科技股份有限公司</v>
      </c>
      <c r="B218" s="2006" t="s">
        <v>2569</v>
      </c>
      <c r="C218" s="2028" t="s">
        <v>2570</v>
      </c>
      <c r="D218" s="2013">
        <f>审定资负表!G28-审定资负表!H28</f>
        <v>0</v>
      </c>
      <c r="G218" s="2002"/>
    </row>
    <row r="219" customHeight="1" spans="1:7">
      <c r="A219" s="2005" t="str">
        <f>报表附注!$G$1</f>
        <v>深圳新阳蓝光能源管理科技股份有限公司</v>
      </c>
      <c r="B219" s="2006" t="s">
        <v>2569</v>
      </c>
      <c r="C219" s="2031" t="s">
        <v>1395</v>
      </c>
      <c r="D219" s="2013">
        <f>D216-D218</f>
        <v>0</v>
      </c>
      <c r="G219" s="2002"/>
    </row>
    <row r="220" customHeight="1" spans="1:7">
      <c r="A220" s="2005" t="str">
        <f>报表附注!$G$1</f>
        <v>深圳新阳蓝光能源管理科技股份有限公司</v>
      </c>
      <c r="B220" s="2006" t="s">
        <v>2569</v>
      </c>
      <c r="C220" s="2017" t="s">
        <v>2482</v>
      </c>
      <c r="D220" s="2018">
        <f>ROUND(SUM(D221:D223)-D219,2)</f>
        <v>0</v>
      </c>
      <c r="E220" s="2019" t="str">
        <f>IF(D220=0,"勾稽一致","最终差异")</f>
        <v>勾稽一致</v>
      </c>
      <c r="G220" s="2002"/>
    </row>
    <row r="221" customHeight="1" spans="1:7">
      <c r="A221" s="2005" t="str">
        <f>报表附注!$G$1</f>
        <v>深圳新阳蓝光能源管理科技股份有限公司</v>
      </c>
      <c r="B221" s="2006" t="s">
        <v>2569</v>
      </c>
      <c r="C221" s="2020" t="s">
        <v>2485</v>
      </c>
      <c r="G221" s="2002"/>
    </row>
    <row r="222" customHeight="1" spans="1:7">
      <c r="A222" s="2005" t="str">
        <f>报表附注!$G$1</f>
        <v>深圳新阳蓝光能源管理科技股份有限公司</v>
      </c>
      <c r="B222" s="2006" t="s">
        <v>2569</v>
      </c>
      <c r="C222" s="2025" t="s">
        <v>2568</v>
      </c>
      <c r="G222" s="2002"/>
    </row>
    <row r="223" customHeight="1" spans="1:7">
      <c r="A223" s="2005" t="str">
        <f>报表附注!$G$1</f>
        <v>深圳新阳蓝光能源管理科技股份有限公司</v>
      </c>
      <c r="B223" s="2006" t="s">
        <v>2569</v>
      </c>
      <c r="C223" s="2025"/>
      <c r="G223" s="2002"/>
    </row>
    <row r="224" customHeight="1" spans="1:7">
      <c r="A224" s="2005" t="str">
        <f>报表附注!$G$1</f>
        <v>深圳新阳蓝光能源管理科技股份有限公司</v>
      </c>
      <c r="B224" s="2006" t="s">
        <v>1707</v>
      </c>
      <c r="C224" s="2029" t="s">
        <v>2543</v>
      </c>
      <c r="G224" s="2002"/>
    </row>
    <row r="225" customHeight="1" spans="1:7">
      <c r="A225" s="2005" t="str">
        <f>报表附注!$G$1</f>
        <v>深圳新阳蓝光能源管理科技股份有限公司</v>
      </c>
      <c r="B225" s="2006" t="s">
        <v>1707</v>
      </c>
      <c r="C225" s="2028" t="s">
        <v>175</v>
      </c>
      <c r="D225" s="2013">
        <f>审定现流表!C68</f>
        <v>-40160366.77</v>
      </c>
      <c r="G225" s="2002"/>
    </row>
    <row r="226" customHeight="1" spans="1:7">
      <c r="A226" s="2005" t="str">
        <f>报表附注!$G$1</f>
        <v>深圳新阳蓝光能源管理科技股份有限公司</v>
      </c>
      <c r="B226" s="2006" t="s">
        <v>1707</v>
      </c>
      <c r="C226" s="2029" t="s">
        <v>2565</v>
      </c>
      <c r="G226" s="2002"/>
    </row>
    <row r="227" customHeight="1" spans="1:7">
      <c r="A227" s="2005" t="str">
        <f>报表附注!$G$1</f>
        <v>深圳新阳蓝光能源管理科技股份有限公司</v>
      </c>
      <c r="B227" s="2006" t="s">
        <v>1707</v>
      </c>
      <c r="C227" s="2028" t="s">
        <v>2571</v>
      </c>
      <c r="D227" s="2013">
        <f>审定资负表!D15-审定资负表!C15</f>
        <v>-22135644.94</v>
      </c>
      <c r="G227" s="2002"/>
    </row>
    <row r="228" customHeight="1" spans="1:7">
      <c r="A228" s="2005" t="str">
        <f>报表附注!$G$1</f>
        <v>深圳新阳蓝光能源管理科技股份有限公司</v>
      </c>
      <c r="B228" s="2006" t="s">
        <v>1707</v>
      </c>
      <c r="C228" s="2031" t="s">
        <v>1395</v>
      </c>
      <c r="D228" s="2013">
        <f>D225-D227</f>
        <v>-18024721.83</v>
      </c>
      <c r="G228" s="2002"/>
    </row>
    <row r="229" customHeight="1" spans="1:7">
      <c r="A229" s="2005" t="str">
        <f>报表附注!$G$1</f>
        <v>深圳新阳蓝光能源管理科技股份有限公司</v>
      </c>
      <c r="B229" s="2006" t="s">
        <v>1707</v>
      </c>
      <c r="C229" s="2017" t="s">
        <v>2482</v>
      </c>
      <c r="D229" s="2018">
        <f>ROUND(SUM(D230:D235)-D228,2)</f>
        <v>15203723.11</v>
      </c>
      <c r="E229" s="2019" t="str">
        <f>IF(D229=0,"勾稽一致","最终差异")</f>
        <v>最终差异</v>
      </c>
      <c r="G229" s="2002"/>
    </row>
    <row r="230" customHeight="1" spans="1:7">
      <c r="A230" s="2005" t="str">
        <f>报表附注!$G$1</f>
        <v>深圳新阳蓝光能源管理科技股份有限公司</v>
      </c>
      <c r="B230" s="2006" t="s">
        <v>1707</v>
      </c>
      <c r="C230" s="2020" t="s">
        <v>2510</v>
      </c>
      <c r="G230" s="2002"/>
    </row>
    <row r="231" customHeight="1" spans="1:7">
      <c r="A231" s="2005" t="str">
        <f>报表附注!$G$1</f>
        <v>深圳新阳蓝光能源管理科技股份有限公司</v>
      </c>
      <c r="B231" s="2006" t="s">
        <v>1707</v>
      </c>
      <c r="C231" s="2020" t="s">
        <v>2485</v>
      </c>
      <c r="G231" s="2002"/>
    </row>
    <row r="232" customHeight="1" spans="1:7">
      <c r="A232" s="2005" t="str">
        <f>报表附注!$G$1</f>
        <v>深圳新阳蓝光能源管理科技股份有限公司</v>
      </c>
      <c r="B232" s="2006" t="s">
        <v>1707</v>
      </c>
      <c r="C232" s="2020" t="s">
        <v>2572</v>
      </c>
      <c r="D232" s="2032">
        <v>-2820998.72</v>
      </c>
      <c r="G232" s="2002"/>
    </row>
    <row r="233" customHeight="1" spans="1:7">
      <c r="A233" s="2005" t="str">
        <f>报表附注!$G$1</f>
        <v>深圳新阳蓝光能源管理科技股份有限公司</v>
      </c>
      <c r="B233" s="2006" t="s">
        <v>1707</v>
      </c>
      <c r="C233" s="2020" t="s">
        <v>2186</v>
      </c>
      <c r="D233" s="2033"/>
      <c r="G233" s="2002"/>
    </row>
    <row r="234" customHeight="1" spans="1:7">
      <c r="A234" s="2005" t="str">
        <f>报表附注!$G$1</f>
        <v>深圳新阳蓝光能源管理科技股份有限公司</v>
      </c>
      <c r="B234" s="2006" t="s">
        <v>1707</v>
      </c>
      <c r="C234" s="2020" t="s">
        <v>2573</v>
      </c>
      <c r="G234" s="2002"/>
    </row>
    <row r="235" customHeight="1" spans="1:7">
      <c r="A235" s="2005" t="str">
        <f>报表附注!$G$1</f>
        <v>深圳新阳蓝光能源管理科技股份有限公司</v>
      </c>
      <c r="B235" s="2006" t="s">
        <v>1707</v>
      </c>
      <c r="G235" s="2002"/>
    </row>
    <row r="236" customHeight="1" spans="1:7">
      <c r="A236" s="2005" t="str">
        <f>报表附注!$G$1</f>
        <v>深圳新阳蓝光能源管理科技股份有限公司</v>
      </c>
      <c r="B236" s="2006" t="s">
        <v>2574</v>
      </c>
      <c r="C236" s="2029" t="s">
        <v>2543</v>
      </c>
      <c r="G236" s="2002"/>
    </row>
    <row r="237" customHeight="1" spans="1:7">
      <c r="A237" s="2005" t="str">
        <f>报表附注!$G$1</f>
        <v>深圳新阳蓝光能源管理科技股份有限公司</v>
      </c>
      <c r="B237" s="2006" t="s">
        <v>2574</v>
      </c>
      <c r="C237" s="2028" t="s">
        <v>176</v>
      </c>
      <c r="D237" s="2013">
        <f>审定现流表!C69</f>
        <v>-64887311.39</v>
      </c>
      <c r="G237" s="2002"/>
    </row>
    <row r="238" customHeight="1" spans="1:7">
      <c r="A238" s="2005" t="str">
        <f>报表附注!$G$1</f>
        <v>深圳新阳蓝光能源管理科技股份有限公司</v>
      </c>
      <c r="B238" s="2006" t="s">
        <v>2574</v>
      </c>
      <c r="C238" s="2029" t="s">
        <v>2565</v>
      </c>
      <c r="G238" s="2002"/>
    </row>
    <row r="239" customHeight="1" spans="1:7">
      <c r="A239" s="2005" t="str">
        <f>报表附注!$G$1</f>
        <v>深圳新阳蓝光能源管理科技股份有限公司</v>
      </c>
      <c r="B239" s="2006" t="s">
        <v>2574</v>
      </c>
      <c r="C239" s="2028" t="s">
        <v>2575</v>
      </c>
      <c r="D239" s="2013">
        <f>审定资负表!D9-审定资负表!C9</f>
        <v>0</v>
      </c>
      <c r="G239" s="2002"/>
    </row>
    <row r="240" customHeight="1" spans="1:7">
      <c r="A240" s="2005" t="str">
        <f>报表附注!$G$1</f>
        <v>深圳新阳蓝光能源管理科技股份有限公司</v>
      </c>
      <c r="B240" s="2006" t="s">
        <v>2574</v>
      </c>
      <c r="C240" s="2028" t="s">
        <v>2576</v>
      </c>
      <c r="D240" s="2013">
        <f>审定资负表!D10-审定资负表!C10</f>
        <v>4555236.22</v>
      </c>
      <c r="F240" s="2023"/>
      <c r="G240" s="2002"/>
    </row>
    <row r="241" customHeight="1" spans="1:7">
      <c r="A241" s="2005" t="str">
        <f>报表附注!$G$1</f>
        <v>深圳新阳蓝光能源管理科技股份有限公司</v>
      </c>
      <c r="B241" s="2006" t="s">
        <v>2574</v>
      </c>
      <c r="C241" s="2028" t="s">
        <v>2577</v>
      </c>
      <c r="D241" s="2013">
        <f>审定资负表!D11-审定资负表!C11</f>
        <v>517041.43</v>
      </c>
      <c r="F241" s="2023"/>
      <c r="G241" s="2002"/>
    </row>
    <row r="242" customHeight="1" spans="1:7">
      <c r="A242" s="2005" t="str">
        <f>报表附注!$G$1</f>
        <v>深圳新阳蓝光能源管理科技股份有限公司</v>
      </c>
      <c r="B242" s="2006" t="s">
        <v>2574</v>
      </c>
      <c r="C242" s="2028" t="s">
        <v>2578</v>
      </c>
      <c r="D242" s="2013">
        <f>审定资负表!D14-审定资负表!C14</f>
        <v>-489790.159999996</v>
      </c>
      <c r="F242" s="2023"/>
      <c r="G242" s="2002"/>
    </row>
    <row r="243" customHeight="1" spans="1:7">
      <c r="A243" s="2005" t="str">
        <f>报表附注!$G$1</f>
        <v>深圳新阳蓝光能源管理科技股份有限公司</v>
      </c>
      <c r="B243" s="2006" t="s">
        <v>2574</v>
      </c>
      <c r="C243" s="2031" t="s">
        <v>1395</v>
      </c>
      <c r="D243" s="2013">
        <f>D237-D239-D240-D241-D242</f>
        <v>-69469798.88</v>
      </c>
      <c r="G243" s="2002"/>
    </row>
    <row r="244" customHeight="1" spans="1:7">
      <c r="A244" s="2005" t="str">
        <f>报表附注!$G$1</f>
        <v>深圳新阳蓝光能源管理科技股份有限公司</v>
      </c>
      <c r="B244" s="2006" t="s">
        <v>2574</v>
      </c>
      <c r="C244" s="2017" t="s">
        <v>2482</v>
      </c>
      <c r="D244" s="2018">
        <f>ROUND(SUM(D245:D262)-D243,2)</f>
        <v>2848925.47</v>
      </c>
      <c r="E244" s="2019" t="str">
        <f>IF(D244=0,"勾稽一致","最终差异")</f>
        <v>最终差异</v>
      </c>
      <c r="G244" s="2002"/>
    </row>
    <row r="245" customHeight="1" spans="1:7">
      <c r="A245" s="2005" t="str">
        <f>报表附注!$G$1</f>
        <v>深圳新阳蓝光能源管理科技股份有限公司</v>
      </c>
      <c r="B245" s="2006" t="s">
        <v>2574</v>
      </c>
      <c r="C245" s="2022" t="s">
        <v>2501</v>
      </c>
      <c r="G245" s="2002"/>
    </row>
    <row r="246" customHeight="1" spans="1:7">
      <c r="A246" s="2005" t="str">
        <f>报表附注!$G$1</f>
        <v>深圳新阳蓝光能源管理科技股份有限公司</v>
      </c>
      <c r="B246" s="2006" t="s">
        <v>2574</v>
      </c>
      <c r="C246" s="2022" t="s">
        <v>2502</v>
      </c>
      <c r="G246" s="2002"/>
    </row>
    <row r="247" customHeight="1" spans="1:7">
      <c r="A247" s="2005" t="str">
        <f>报表附注!$G$1</f>
        <v>深圳新阳蓝光能源管理科技股份有限公司</v>
      </c>
      <c r="B247" s="2006" t="s">
        <v>2574</v>
      </c>
      <c r="C247" s="2022" t="s">
        <v>2503</v>
      </c>
      <c r="G247" s="2002"/>
    </row>
    <row r="248" customHeight="1" spans="1:7">
      <c r="A248" s="2005" t="str">
        <f>报表附注!$G$1</f>
        <v>深圳新阳蓝光能源管理科技股份有限公司</v>
      </c>
      <c r="B248" s="2006" t="s">
        <v>2574</v>
      </c>
      <c r="C248" s="2022" t="s">
        <v>2504</v>
      </c>
      <c r="G248" s="2002"/>
    </row>
    <row r="249" customHeight="1" spans="1:7">
      <c r="A249" s="2005" t="str">
        <f>报表附注!$G$1</f>
        <v>深圳新阳蓝光能源管理科技股份有限公司</v>
      </c>
      <c r="B249" s="2006" t="s">
        <v>2574</v>
      </c>
      <c r="C249" s="2022" t="s">
        <v>2579</v>
      </c>
      <c r="G249" s="2002"/>
    </row>
    <row r="250" customHeight="1" spans="1:7">
      <c r="A250" s="2005" t="str">
        <f>报表附注!$G$1</f>
        <v>深圳新阳蓝光能源管理科技股份有限公司</v>
      </c>
      <c r="B250" s="2006" t="s">
        <v>2574</v>
      </c>
      <c r="C250" s="2022" t="s">
        <v>2580</v>
      </c>
      <c r="G250" s="2002"/>
    </row>
    <row r="251" customHeight="1" spans="1:7">
      <c r="A251" s="2005" t="str">
        <f>报表附注!$G$1</f>
        <v>深圳新阳蓝光能源管理科技股份有限公司</v>
      </c>
      <c r="B251" s="2006" t="s">
        <v>2574</v>
      </c>
      <c r="C251" s="2022" t="s">
        <v>2581</v>
      </c>
      <c r="G251" s="2002"/>
    </row>
    <row r="252" customHeight="1" spans="1:7">
      <c r="A252" s="2005" t="str">
        <f>报表附注!$G$1</f>
        <v>深圳新阳蓝光能源管理科技股份有限公司</v>
      </c>
      <c r="B252" s="2006" t="s">
        <v>2574</v>
      </c>
      <c r="C252" s="2020" t="s">
        <v>2485</v>
      </c>
      <c r="G252" s="2002"/>
    </row>
    <row r="253" customHeight="1" spans="1:7">
      <c r="A253" s="2005" t="str">
        <f>报表附注!$G$1</f>
        <v>深圳新阳蓝光能源管理科技股份有限公司</v>
      </c>
      <c r="B253" s="2006" t="s">
        <v>2574</v>
      </c>
      <c r="C253" s="2022" t="s">
        <v>2582</v>
      </c>
      <c r="D253" s="2023">
        <f>-(报表附注!H205-报表附注!L205)</f>
        <v>-919072.93</v>
      </c>
      <c r="G253" s="2002"/>
    </row>
    <row r="254" customHeight="1" spans="1:7">
      <c r="A254" s="2005" t="str">
        <f>报表附注!$G$1</f>
        <v>深圳新阳蓝光能源管理科技股份有限公司</v>
      </c>
      <c r="B254" s="2006" t="s">
        <v>2574</v>
      </c>
      <c r="C254" s="2022" t="s">
        <v>2583</v>
      </c>
      <c r="D254" s="2023">
        <f>-(报表附注!H571-报表附注!L571)-445459.79</f>
        <v>-873067.14</v>
      </c>
      <c r="F254" s="2010" t="s">
        <v>2584</v>
      </c>
      <c r="G254" s="2002"/>
    </row>
    <row r="255" customHeight="1" spans="1:7">
      <c r="A255" s="2005" t="str">
        <f>报表附注!$G$1</f>
        <v>深圳新阳蓝光能源管理科技股份有限公司</v>
      </c>
      <c r="B255" s="2006" t="s">
        <v>2574</v>
      </c>
      <c r="C255" s="2022" t="s">
        <v>2585</v>
      </c>
      <c r="F255" s="2023"/>
      <c r="G255" s="2002"/>
    </row>
    <row r="256" customHeight="1" spans="1:7">
      <c r="A256" s="2005" t="str">
        <f>报表附注!$G$1</f>
        <v>深圳新阳蓝光能源管理科技股份有限公司</v>
      </c>
      <c r="B256" s="2006" t="s">
        <v>2574</v>
      </c>
      <c r="C256" s="2022" t="s">
        <v>2586</v>
      </c>
      <c r="D256" s="2023">
        <f>-(审定资负表!C17-审定资负表!D17)</f>
        <v>-1151700.16</v>
      </c>
      <c r="F256" s="2034" t="s">
        <v>2587</v>
      </c>
      <c r="G256" s="2002"/>
    </row>
    <row r="257" customHeight="1" spans="1:7">
      <c r="A257" s="2005" t="str">
        <f>报表附注!$G$1</f>
        <v>深圳新阳蓝光能源管理科技股份有限公司</v>
      </c>
      <c r="B257" s="2006" t="s">
        <v>2574</v>
      </c>
      <c r="C257" s="2022" t="s">
        <v>2588</v>
      </c>
      <c r="D257" s="2023">
        <f>报表附注!K20-报表附注!H20</f>
        <v>6591799.11</v>
      </c>
      <c r="G257" s="2002"/>
    </row>
    <row r="258" customHeight="1" spans="1:7">
      <c r="A258" s="2005" t="str">
        <f>报表附注!$G$1</f>
        <v>深圳新阳蓝光能源管理科技股份有限公司</v>
      </c>
      <c r="B258" s="2006" t="s">
        <v>2574</v>
      </c>
      <c r="C258" s="2022" t="s">
        <v>2589</v>
      </c>
      <c r="G258" s="2002"/>
    </row>
    <row r="259" customHeight="1" spans="1:7">
      <c r="A259" s="2005" t="str">
        <f>报表附注!$G$1</f>
        <v>深圳新阳蓝光能源管理科技股份有限公司</v>
      </c>
      <c r="B259" s="2006" t="s">
        <v>2574</v>
      </c>
      <c r="C259" s="2022" t="s">
        <v>2590</v>
      </c>
      <c r="G259" s="2002"/>
    </row>
    <row r="260" customHeight="1" spans="1:7">
      <c r="A260" s="2005" t="str">
        <f>报表附注!$G$1</f>
        <v>深圳新阳蓝光能源管理科技股份有限公司</v>
      </c>
      <c r="B260" s="2006" t="s">
        <v>2574</v>
      </c>
      <c r="C260" s="2022" t="s">
        <v>2591</v>
      </c>
      <c r="F260" s="2034"/>
      <c r="G260" s="2002"/>
    </row>
    <row r="261" customHeight="1" spans="1:7">
      <c r="A261" s="2005" t="str">
        <f>报表附注!$G$1</f>
        <v>深圳新阳蓝光能源管理科技股份有限公司</v>
      </c>
      <c r="B261" s="2006" t="s">
        <v>2574</v>
      </c>
      <c r="C261" s="2025" t="s">
        <v>2592</v>
      </c>
      <c r="D261" s="2023">
        <f>(审定资负表!D16-审定资负表!C16+审定资负表!D24-审定资负表!C24)</f>
        <v>-70268832.29</v>
      </c>
      <c r="F261" s="2023"/>
      <c r="G261" s="2002"/>
    </row>
    <row r="262" customHeight="1" spans="1:7">
      <c r="A262" s="2005" t="str">
        <f>报表附注!$G$1</f>
        <v>深圳新阳蓝光能源管理科技股份有限公司</v>
      </c>
      <c r="B262" s="2006" t="s">
        <v>2574</v>
      </c>
      <c r="C262" s="2025" t="s">
        <v>2593</v>
      </c>
      <c r="G262" s="2002"/>
    </row>
    <row r="263" customHeight="1" spans="1:7">
      <c r="A263" s="2005" t="str">
        <f>报表附注!$G$1</f>
        <v>深圳新阳蓝光能源管理科技股份有限公司</v>
      </c>
      <c r="B263" s="2006" t="s">
        <v>2594</v>
      </c>
      <c r="C263" s="2029" t="s">
        <v>2543</v>
      </c>
      <c r="G263" s="2002"/>
    </row>
    <row r="264" customHeight="1" spans="1:7">
      <c r="A264" s="2005" t="str">
        <f>报表附注!$G$1</f>
        <v>深圳新阳蓝光能源管理科技股份有限公司</v>
      </c>
      <c r="B264" s="2006" t="s">
        <v>2594</v>
      </c>
      <c r="C264" s="2028" t="s">
        <v>177</v>
      </c>
      <c r="D264" s="2013">
        <f>审定现流表!C70</f>
        <v>19326315.39</v>
      </c>
      <c r="F264" s="2023"/>
      <c r="G264" s="2002"/>
    </row>
    <row r="265" customHeight="1" spans="1:7">
      <c r="A265" s="2005" t="str">
        <f>报表附注!$G$1</f>
        <v>深圳新阳蓝光能源管理科技股份有限公司</v>
      </c>
      <c r="B265" s="2006" t="s">
        <v>2594</v>
      </c>
      <c r="C265" s="2029" t="s">
        <v>2565</v>
      </c>
      <c r="G265" s="2002"/>
    </row>
    <row r="266" customHeight="1" spans="1:7">
      <c r="A266" s="2005" t="str">
        <f>报表附注!$G$1</f>
        <v>深圳新阳蓝光能源管理科技股份有限公司</v>
      </c>
      <c r="B266" s="2006" t="s">
        <v>2594</v>
      </c>
      <c r="C266" s="2028" t="s">
        <v>2595</v>
      </c>
      <c r="D266" s="2013">
        <f>审定资负表!G9-审定资负表!H9</f>
        <v>-2882889</v>
      </c>
      <c r="G266" s="2002"/>
    </row>
    <row r="267" customHeight="1" spans="1:7">
      <c r="A267" s="2005" t="str">
        <f>报表附注!$G$1</f>
        <v>深圳新阳蓝光能源管理科技股份有限公司</v>
      </c>
      <c r="B267" s="2006" t="s">
        <v>2594</v>
      </c>
      <c r="C267" s="2028" t="s">
        <v>2596</v>
      </c>
      <c r="D267" s="2013">
        <f>审定资负表!G10-审定资负表!H10</f>
        <v>25338674.24</v>
      </c>
      <c r="G267" s="2002"/>
    </row>
    <row r="268" customHeight="1" spans="1:7">
      <c r="A268" s="2005" t="str">
        <f>报表附注!$G$1</f>
        <v>深圳新阳蓝光能源管理科技股份有限公司</v>
      </c>
      <c r="B268" s="2006" t="s">
        <v>2594</v>
      </c>
      <c r="C268" s="2028" t="s">
        <v>2597</v>
      </c>
      <c r="D268" s="2013">
        <f>审定资负表!G11-审定资负表!H11</f>
        <v>-4711102.57</v>
      </c>
      <c r="G268" s="2002"/>
    </row>
    <row r="269" customHeight="1" spans="1:7">
      <c r="A269" s="2005" t="str">
        <f>报表附注!$G$1</f>
        <v>深圳新阳蓝光能源管理科技股份有限公司</v>
      </c>
      <c r="B269" s="2006" t="s">
        <v>2594</v>
      </c>
      <c r="C269" s="2028" t="s">
        <v>2598</v>
      </c>
      <c r="D269" s="2013">
        <f>审定资负表!G12-审定资负表!H12</f>
        <v>299509.99</v>
      </c>
      <c r="G269" s="2002"/>
    </row>
    <row r="270" customHeight="1" spans="1:7">
      <c r="A270" s="2005" t="str">
        <f>报表附注!$G$1</f>
        <v>深圳新阳蓝光能源管理科技股份有限公司</v>
      </c>
      <c r="B270" s="2006" t="s">
        <v>2594</v>
      </c>
      <c r="C270" s="2028" t="s">
        <v>2599</v>
      </c>
      <c r="D270" s="2013">
        <f>审定资负表!G13-审定资负表!H13</f>
        <v>-5208181.81</v>
      </c>
      <c r="G270" s="2002"/>
    </row>
    <row r="271" customHeight="1" spans="1:7">
      <c r="A271" s="2005" t="str">
        <f>报表附注!$G$1</f>
        <v>深圳新阳蓝光能源管理科技股份有限公司</v>
      </c>
      <c r="B271" s="2006" t="s">
        <v>2594</v>
      </c>
      <c r="C271" s="2028" t="s">
        <v>2600</v>
      </c>
      <c r="D271" s="2013">
        <f>审定资负表!G16-审定资负表!H16</f>
        <v>12546279.34</v>
      </c>
      <c r="G271" s="2002"/>
    </row>
    <row r="272" customHeight="1" spans="1:7">
      <c r="A272" s="2005" t="str">
        <f>报表附注!$G$1</f>
        <v>深圳新阳蓝光能源管理科技股份有限公司</v>
      </c>
      <c r="B272" s="2006" t="s">
        <v>2594</v>
      </c>
      <c r="C272" s="2031" t="s">
        <v>1395</v>
      </c>
      <c r="D272" s="2013">
        <f>D264-D266-D267-D268-D269-D270-D271</f>
        <v>-6055974.8</v>
      </c>
      <c r="G272" s="2002"/>
    </row>
    <row r="273" customHeight="1" spans="1:7">
      <c r="A273" s="2005" t="str">
        <f>报表附注!$G$1</f>
        <v>深圳新阳蓝光能源管理科技股份有限公司</v>
      </c>
      <c r="B273" s="2006" t="s">
        <v>2594</v>
      </c>
      <c r="C273" s="2017" t="s">
        <v>2482</v>
      </c>
      <c r="D273" s="2018">
        <f>ROUND(SUM(D274:D288)-D272,2)</f>
        <v>2488489.82</v>
      </c>
      <c r="E273" s="2019" t="str">
        <f>IF(D273=0,"勾稽一致","最终差异")</f>
        <v>最终差异</v>
      </c>
      <c r="G273" s="2002"/>
    </row>
    <row r="274" customHeight="1" spans="1:7">
      <c r="A274" s="2005" t="str">
        <f>报表附注!$G$1</f>
        <v>深圳新阳蓝光能源管理科技股份有限公司</v>
      </c>
      <c r="B274" s="2006" t="s">
        <v>2594</v>
      </c>
      <c r="C274" s="2022" t="s">
        <v>2601</v>
      </c>
      <c r="D274" s="2023">
        <v>21440.23</v>
      </c>
      <c r="G274" s="2002"/>
    </row>
    <row r="275" customHeight="1" spans="1:7">
      <c r="A275" s="2005" t="str">
        <f>报表附注!$G$1</f>
        <v>深圳新阳蓝光能源管理科技股份有限公司</v>
      </c>
      <c r="B275" s="2006" t="s">
        <v>2594</v>
      </c>
      <c r="C275" s="2022" t="s">
        <v>2505</v>
      </c>
      <c r="D275" s="2023">
        <v>-12167739.6</v>
      </c>
      <c r="G275" s="2002"/>
    </row>
    <row r="276" customHeight="1" spans="1:7">
      <c r="A276" s="2005" t="str">
        <f>报表附注!$G$1</f>
        <v>深圳新阳蓝光能源管理科技股份有限公司</v>
      </c>
      <c r="B276" s="2006" t="s">
        <v>2594</v>
      </c>
      <c r="C276" s="2022" t="s">
        <v>2506</v>
      </c>
      <c r="G276" s="2002"/>
    </row>
    <row r="277" customHeight="1" spans="1:7">
      <c r="A277" s="2005" t="str">
        <f>报表附注!$G$1</f>
        <v>深圳新阳蓝光能源管理科技股份有限公司</v>
      </c>
      <c r="B277" s="2006" t="s">
        <v>2594</v>
      </c>
      <c r="C277" s="2022" t="s">
        <v>2507</v>
      </c>
      <c r="G277" s="2002"/>
    </row>
    <row r="278" customHeight="1" spans="1:7">
      <c r="A278" s="2005" t="str">
        <f>报表附注!$G$1</f>
        <v>深圳新阳蓝光能源管理科技股份有限公司</v>
      </c>
      <c r="B278" s="2006" t="s">
        <v>2594</v>
      </c>
      <c r="C278" s="2022" t="s">
        <v>2602</v>
      </c>
      <c r="G278" s="2002"/>
    </row>
    <row r="279" customHeight="1" spans="1:7">
      <c r="A279" s="2005" t="str">
        <f>报表附注!$G$1</f>
        <v>深圳新阳蓝光能源管理科技股份有限公司</v>
      </c>
      <c r="B279" s="2006" t="s">
        <v>2594</v>
      </c>
      <c r="C279" s="2022" t="s">
        <v>2603</v>
      </c>
      <c r="G279" s="2002"/>
    </row>
    <row r="280" customHeight="1" spans="1:7">
      <c r="A280" s="2005" t="str">
        <f>报表附注!$G$1</f>
        <v>深圳新阳蓝光能源管理科技股份有限公司</v>
      </c>
      <c r="B280" s="2006" t="s">
        <v>2594</v>
      </c>
      <c r="C280" s="2022" t="s">
        <v>2604</v>
      </c>
      <c r="G280" s="2002"/>
    </row>
    <row r="281" customHeight="1" spans="1:7">
      <c r="A281" s="2005" t="str">
        <f>报表附注!$G$1</f>
        <v>深圳新阳蓝光能源管理科技股份有限公司</v>
      </c>
      <c r="B281" s="2006" t="s">
        <v>2594</v>
      </c>
      <c r="C281" s="2022" t="s">
        <v>2605</v>
      </c>
      <c r="D281" s="2023">
        <v>-1149514.56</v>
      </c>
      <c r="G281" s="2002"/>
    </row>
    <row r="282" customHeight="1" spans="1:7">
      <c r="A282" s="2005" t="str">
        <f>报表附注!$G$1</f>
        <v>深圳新阳蓝光能源管理科技股份有限公司</v>
      </c>
      <c r="B282" s="2006" t="s">
        <v>2594</v>
      </c>
      <c r="C282" s="2020" t="s">
        <v>2485</v>
      </c>
      <c r="G282" s="2002"/>
    </row>
    <row r="283" customHeight="1" spans="1:7">
      <c r="A283" s="2005" t="str">
        <f>报表附注!$G$1</f>
        <v>深圳新阳蓝光能源管理科技股份有限公司</v>
      </c>
      <c r="B283" s="2006" t="s">
        <v>2594</v>
      </c>
      <c r="C283" s="2010" t="s">
        <v>2520</v>
      </c>
      <c r="G283" s="2002"/>
    </row>
    <row r="284" customHeight="1" spans="1:7">
      <c r="A284" s="2005" t="str">
        <f>报表附注!$G$1</f>
        <v>深圳新阳蓝光能源管理科技股份有限公司</v>
      </c>
      <c r="B284" s="2006" t="s">
        <v>2594</v>
      </c>
      <c r="C284" s="2010" t="s">
        <v>235</v>
      </c>
      <c r="D284" s="2023">
        <v>-450190.65</v>
      </c>
      <c r="G284" s="2002"/>
    </row>
    <row r="285" customHeight="1" spans="1:7">
      <c r="A285" s="2005" t="str">
        <f>报表附注!$G$1</f>
        <v>深圳新阳蓝光能源管理科技股份有限公司</v>
      </c>
      <c r="B285" s="2006" t="s">
        <v>2594</v>
      </c>
      <c r="C285" s="2010" t="s">
        <v>2520</v>
      </c>
      <c r="G285" s="2002"/>
    </row>
    <row r="286" customHeight="1" spans="1:7">
      <c r="A286" s="2005" t="str">
        <f>报表附注!$G$1</f>
        <v>深圳新阳蓝光能源管理科技股份有限公司</v>
      </c>
      <c r="B286" s="2006" t="s">
        <v>2594</v>
      </c>
      <c r="C286" s="2010" t="s">
        <v>2606</v>
      </c>
      <c r="D286" s="2023">
        <v>1890991.53</v>
      </c>
      <c r="G286" s="2002"/>
    </row>
    <row r="287" customHeight="1" spans="1:7">
      <c r="A287" s="2005" t="str">
        <f>报表附注!$G$1</f>
        <v>深圳新阳蓝光能源管理科技股份有限公司</v>
      </c>
      <c r="B287" s="2006" t="s">
        <v>2594</v>
      </c>
      <c r="C287" s="2010" t="s">
        <v>259</v>
      </c>
      <c r="G287" s="2002"/>
    </row>
    <row r="288" customHeight="1" spans="1:7">
      <c r="A288" s="2005" t="str">
        <f>报表附注!$G$1</f>
        <v>深圳新阳蓝光能源管理科技股份有限公司</v>
      </c>
      <c r="B288" s="2006" t="s">
        <v>2594</v>
      </c>
      <c r="C288" s="2010" t="s">
        <v>2607</v>
      </c>
      <c r="D288" s="2023">
        <f>审定资负表!G18</f>
        <v>8287528.07</v>
      </c>
      <c r="G288" s="2002"/>
    </row>
    <row r="289" customHeight="1" spans="1:7">
      <c r="A289" s="2005" t="str">
        <f>报表附注!$G$1</f>
        <v>深圳新阳蓝光能源管理科技股份有限公司</v>
      </c>
      <c r="B289" s="2006" t="s">
        <v>280</v>
      </c>
      <c r="C289" s="2029" t="s">
        <v>2543</v>
      </c>
      <c r="G289" s="2002"/>
    </row>
    <row r="290" customHeight="1" spans="1:7">
      <c r="A290" s="2005" t="str">
        <f>报表附注!$G$1</f>
        <v>深圳新阳蓝光能源管理科技股份有限公司</v>
      </c>
      <c r="B290" s="2006" t="s">
        <v>280</v>
      </c>
      <c r="C290" s="2035" t="s">
        <v>280</v>
      </c>
      <c r="D290" s="2013">
        <f>审定现流表!C71</f>
        <v>0</v>
      </c>
      <c r="G290" s="2002"/>
    </row>
    <row r="291" customHeight="1" spans="1:7">
      <c r="A291" s="2005" t="str">
        <f>报表附注!$G$1</f>
        <v>深圳新阳蓝光能源管理科技股份有限公司</v>
      </c>
      <c r="B291" s="2006" t="s">
        <v>280</v>
      </c>
      <c r="C291" s="2017" t="s">
        <v>2608</v>
      </c>
      <c r="D291" s="2018">
        <f>ROUND(SUM(D292:D301)-D290,2)</f>
        <v>0</v>
      </c>
      <c r="E291" s="2019" t="str">
        <f>IF(D291=0,"勾稽一致","最终差异")</f>
        <v>勾稽一致</v>
      </c>
      <c r="G291" s="2002"/>
    </row>
    <row r="292" customHeight="1" spans="1:7">
      <c r="A292" s="2005" t="str">
        <f>报表附注!$G$1</f>
        <v>深圳新阳蓝光能源管理科技股份有限公司</v>
      </c>
      <c r="B292" s="2006" t="s">
        <v>280</v>
      </c>
      <c r="G292" s="2002"/>
    </row>
    <row r="293" customHeight="1" spans="1:7">
      <c r="A293" s="2005" t="str">
        <f>报表附注!$G$1</f>
        <v>深圳新阳蓝光能源管理科技股份有限公司</v>
      </c>
      <c r="B293" s="2006" t="s">
        <v>280</v>
      </c>
      <c r="G293" s="2002"/>
    </row>
    <row r="294" customHeight="1" spans="1:7">
      <c r="A294" s="2005" t="str">
        <f>报表附注!$G$1</f>
        <v>深圳新阳蓝光能源管理科技股份有限公司</v>
      </c>
      <c r="B294" s="2006" t="s">
        <v>280</v>
      </c>
      <c r="G294" s="2002"/>
    </row>
    <row r="295" customHeight="1" spans="1:7">
      <c r="A295" s="2005" t="str">
        <f>报表附注!$G$1</f>
        <v>深圳新阳蓝光能源管理科技股份有限公司</v>
      </c>
      <c r="B295" s="2006" t="s">
        <v>280</v>
      </c>
      <c r="G295" s="2002"/>
    </row>
    <row r="296" customHeight="1" spans="1:7">
      <c r="A296" s="2005" t="str">
        <f>报表附注!$G$1</f>
        <v>深圳新阳蓝光能源管理科技股份有限公司</v>
      </c>
      <c r="B296" s="2006" t="s">
        <v>280</v>
      </c>
      <c r="G296" s="2002"/>
    </row>
    <row r="297" customHeight="1" spans="1:7">
      <c r="A297" s="2005" t="str">
        <f>报表附注!$G$1</f>
        <v>深圳新阳蓝光能源管理科技股份有限公司</v>
      </c>
      <c r="B297" s="2006" t="s">
        <v>280</v>
      </c>
      <c r="G297" s="2002"/>
    </row>
    <row r="298" customHeight="1" spans="1:7">
      <c r="A298" s="2005" t="str">
        <f>报表附注!$G$1</f>
        <v>深圳新阳蓝光能源管理科技股份有限公司</v>
      </c>
      <c r="B298" s="2006" t="s">
        <v>280</v>
      </c>
      <c r="G298" s="2002"/>
    </row>
    <row r="299" customHeight="1" spans="1:7">
      <c r="A299" s="2005" t="str">
        <f>报表附注!$G$1</f>
        <v>深圳新阳蓝光能源管理科技股份有限公司</v>
      </c>
      <c r="B299" s="2006" t="s">
        <v>280</v>
      </c>
      <c r="G299" s="2002"/>
    </row>
    <row r="300" customHeight="1" spans="1:7">
      <c r="A300" s="2005" t="str">
        <f>报表附注!$G$1</f>
        <v>深圳新阳蓝光能源管理科技股份有限公司</v>
      </c>
      <c r="B300" s="2006" t="s">
        <v>280</v>
      </c>
      <c r="G300" s="2002"/>
    </row>
    <row r="301" customHeight="1" spans="1:7">
      <c r="A301" s="2005" t="str">
        <f>报表附注!$G$1</f>
        <v>深圳新阳蓝光能源管理科技股份有限公司</v>
      </c>
      <c r="B301" s="2006" t="s">
        <v>280</v>
      </c>
      <c r="G301" s="2002"/>
    </row>
    <row r="302" customHeight="1" spans="1:4">
      <c r="A302" s="2005"/>
      <c r="B302" s="2006"/>
      <c r="D302" s="2036"/>
    </row>
    <row r="303" customHeight="1" spans="1:4">
      <c r="A303" s="2005"/>
      <c r="B303" s="2006"/>
      <c r="D303" s="2036"/>
    </row>
    <row r="304" customHeight="1" spans="1:4">
      <c r="A304" s="2005"/>
      <c r="B304" s="2006"/>
      <c r="D304" s="2036"/>
    </row>
    <row r="305" customHeight="1" spans="1:4">
      <c r="A305" s="2005"/>
      <c r="B305" s="2006"/>
      <c r="D305" s="2036"/>
    </row>
    <row r="306" customHeight="1" spans="1:4">
      <c r="A306" s="2005"/>
      <c r="B306" s="2006"/>
      <c r="D306" s="2036"/>
    </row>
    <row r="307" customHeight="1" spans="1:4">
      <c r="A307" s="2005"/>
      <c r="B307" s="2006"/>
      <c r="D307" s="2036"/>
    </row>
    <row r="308" customHeight="1" spans="1:4">
      <c r="A308" s="2005"/>
      <c r="B308" s="2006"/>
      <c r="D308" s="2036"/>
    </row>
    <row r="309" customHeight="1" spans="1:4">
      <c r="A309" s="2005"/>
      <c r="B309" s="2006"/>
      <c r="D309" s="2036"/>
    </row>
    <row r="310" customHeight="1" spans="1:4">
      <c r="A310" s="2005"/>
      <c r="B310" s="2006"/>
      <c r="D310" s="2036"/>
    </row>
    <row r="311" customHeight="1" spans="1:4">
      <c r="A311" s="2005"/>
      <c r="B311" s="2006"/>
      <c r="D311" s="2036"/>
    </row>
    <row r="312" customHeight="1" spans="1:4">
      <c r="A312" s="2005"/>
      <c r="B312" s="2006"/>
      <c r="D312" s="2036"/>
    </row>
    <row r="313" customHeight="1" spans="1:4">
      <c r="A313" s="2005"/>
      <c r="B313" s="2006"/>
      <c r="D313" s="2036"/>
    </row>
    <row r="314" customHeight="1" spans="1:4">
      <c r="A314" s="2005"/>
      <c r="B314" s="2006"/>
      <c r="D314" s="2036"/>
    </row>
    <row r="315" customHeight="1" spans="1:4">
      <c r="A315" s="2005"/>
      <c r="B315" s="2006"/>
      <c r="D315" s="2036"/>
    </row>
    <row r="316" customHeight="1" spans="1:4">
      <c r="A316" s="2005"/>
      <c r="B316" s="2006"/>
      <c r="D316" s="2036"/>
    </row>
    <row r="317" customHeight="1" spans="1:4">
      <c r="A317" s="2005"/>
      <c r="B317" s="2006"/>
      <c r="D317" s="2036"/>
    </row>
    <row r="318" customHeight="1" spans="1:4">
      <c r="A318" s="2005"/>
      <c r="B318" s="2006"/>
      <c r="D318" s="2036"/>
    </row>
    <row r="319" customHeight="1" spans="1:4">
      <c r="A319" s="2005"/>
      <c r="B319" s="2006"/>
      <c r="D319" s="2036"/>
    </row>
    <row r="320" customHeight="1" spans="1:4">
      <c r="A320" s="2005"/>
      <c r="B320" s="2006"/>
      <c r="D320" s="2036"/>
    </row>
    <row r="321" customHeight="1" spans="1:4">
      <c r="A321" s="2005"/>
      <c r="B321" s="2006"/>
      <c r="D321" s="2036"/>
    </row>
    <row r="322" customHeight="1" spans="1:4">
      <c r="A322" s="2005"/>
      <c r="B322" s="2006"/>
      <c r="D322" s="2036"/>
    </row>
    <row r="323" customHeight="1" spans="1:4">
      <c r="A323" s="2005"/>
      <c r="B323" s="2006"/>
      <c r="D323" s="2036"/>
    </row>
    <row r="324" customHeight="1" spans="1:4">
      <c r="A324" s="2005"/>
      <c r="B324" s="2006"/>
      <c r="D324" s="2036"/>
    </row>
    <row r="325" customHeight="1" spans="1:4">
      <c r="A325" s="2005"/>
      <c r="B325" s="2006"/>
      <c r="D325" s="2036"/>
    </row>
    <row r="326" customHeight="1" spans="1:4">
      <c r="A326" s="2005"/>
      <c r="B326" s="2006"/>
      <c r="D326" s="2036"/>
    </row>
    <row r="327" customHeight="1" spans="1:4">
      <c r="A327" s="2005"/>
      <c r="B327" s="2006"/>
      <c r="D327" s="2036"/>
    </row>
    <row r="328" customHeight="1" spans="1:4">
      <c r="A328" s="2005"/>
      <c r="B328" s="2006"/>
      <c r="D328" s="2036"/>
    </row>
    <row r="329" customHeight="1" spans="1:4">
      <c r="A329" s="2005"/>
      <c r="B329" s="2006"/>
      <c r="D329" s="2036"/>
    </row>
    <row r="330" customHeight="1" spans="1:4">
      <c r="A330" s="2005"/>
      <c r="B330" s="2006"/>
      <c r="D330" s="2036"/>
    </row>
    <row r="331" customHeight="1" spans="1:4">
      <c r="A331" s="2005"/>
      <c r="B331" s="2006"/>
      <c r="D331" s="2036"/>
    </row>
    <row r="332" customHeight="1" spans="1:4">
      <c r="A332" s="2005"/>
      <c r="B332" s="2006"/>
      <c r="D332" s="2036"/>
    </row>
    <row r="333" customHeight="1" spans="1:4">
      <c r="A333" s="2005"/>
      <c r="B333" s="2006"/>
      <c r="D333" s="2036"/>
    </row>
    <row r="334" customHeight="1" spans="1:4">
      <c r="A334" s="2005"/>
      <c r="B334" s="2006"/>
      <c r="D334" s="2036"/>
    </row>
    <row r="335" customHeight="1" spans="1:4">
      <c r="A335" s="2005"/>
      <c r="B335" s="2006"/>
      <c r="D335" s="2036"/>
    </row>
    <row r="336" customHeight="1" spans="1:4">
      <c r="A336" s="2005"/>
      <c r="B336" s="2006"/>
      <c r="D336" s="2036"/>
    </row>
    <row r="337" customHeight="1" spans="1:4">
      <c r="A337" s="2005"/>
      <c r="B337" s="2006"/>
      <c r="D337" s="2036"/>
    </row>
    <row r="338" customHeight="1" spans="1:4">
      <c r="A338" s="2005"/>
      <c r="B338" s="2006"/>
      <c r="D338" s="2036"/>
    </row>
    <row r="339" customHeight="1" spans="1:4">
      <c r="A339" s="2005"/>
      <c r="B339" s="2006"/>
      <c r="D339" s="2036"/>
    </row>
    <row r="340" customHeight="1" spans="1:4">
      <c r="A340" s="2005"/>
      <c r="B340" s="2006"/>
      <c r="D340" s="2036"/>
    </row>
    <row r="341" customHeight="1" spans="1:4">
      <c r="A341" s="2005"/>
      <c r="B341" s="2006"/>
      <c r="D341" s="2036"/>
    </row>
    <row r="342" customHeight="1" spans="1:4">
      <c r="A342" s="2005"/>
      <c r="B342" s="2006"/>
      <c r="D342" s="2036"/>
    </row>
    <row r="343" customHeight="1" spans="1:4">
      <c r="A343" s="2005"/>
      <c r="B343" s="2006"/>
      <c r="D343" s="2036"/>
    </row>
    <row r="344" customHeight="1" spans="1:4">
      <c r="A344" s="2005"/>
      <c r="B344" s="2006"/>
      <c r="D344" s="2036"/>
    </row>
    <row r="345" customHeight="1" spans="1:4">
      <c r="A345" s="2005"/>
      <c r="B345" s="2006"/>
      <c r="D345" s="2036"/>
    </row>
    <row r="346" customHeight="1" spans="1:4">
      <c r="A346" s="2005"/>
      <c r="B346" s="2006"/>
      <c r="D346" s="2036"/>
    </row>
    <row r="347" customHeight="1" spans="1:4">
      <c r="A347" s="2005"/>
      <c r="B347" s="2006"/>
      <c r="D347" s="2036"/>
    </row>
    <row r="348" customHeight="1" spans="1:4">
      <c r="A348" s="2005"/>
      <c r="B348" s="2006"/>
      <c r="D348" s="2036"/>
    </row>
    <row r="349" customHeight="1" spans="1:4">
      <c r="A349" s="2005"/>
      <c r="B349" s="2006"/>
      <c r="D349" s="2036"/>
    </row>
    <row r="350" customHeight="1" spans="1:4">
      <c r="A350" s="2005"/>
      <c r="B350" s="2006"/>
      <c r="D350" s="2036"/>
    </row>
    <row r="351" customHeight="1" spans="1:4">
      <c r="A351" s="2005"/>
      <c r="B351" s="2006"/>
      <c r="D351" s="2036"/>
    </row>
    <row r="352" customHeight="1" spans="1:4">
      <c r="A352" s="2005"/>
      <c r="B352" s="2006"/>
      <c r="D352" s="2036"/>
    </row>
    <row r="353" customHeight="1" spans="1:4">
      <c r="A353" s="2005"/>
      <c r="B353" s="2006"/>
      <c r="D353" s="2036"/>
    </row>
    <row r="354" customHeight="1" spans="1:4">
      <c r="A354" s="2005"/>
      <c r="B354" s="2006"/>
      <c r="D354" s="2036"/>
    </row>
    <row r="355" customHeight="1" spans="1:4">
      <c r="A355" s="2005"/>
      <c r="B355" s="2006"/>
      <c r="D355" s="2036"/>
    </row>
    <row r="356" customHeight="1" spans="1:4">
      <c r="A356" s="2005"/>
      <c r="B356" s="2006"/>
      <c r="D356" s="2036"/>
    </row>
    <row r="357" customHeight="1" spans="1:4">
      <c r="A357" s="2005"/>
      <c r="B357" s="2006"/>
      <c r="D357" s="2036"/>
    </row>
    <row r="358" customHeight="1" spans="1:4">
      <c r="A358" s="2005"/>
      <c r="B358" s="2006"/>
      <c r="D358" s="2036"/>
    </row>
    <row r="359" customHeight="1" spans="1:4">
      <c r="A359" s="2005"/>
      <c r="B359" s="2006"/>
      <c r="D359" s="2036"/>
    </row>
    <row r="360" customHeight="1" spans="1:4">
      <c r="A360" s="2005"/>
      <c r="B360" s="2006"/>
      <c r="D360" s="2036"/>
    </row>
    <row r="361" customHeight="1" spans="1:4">
      <c r="A361" s="2005"/>
      <c r="B361" s="2006"/>
      <c r="D361" s="2036"/>
    </row>
    <row r="362" customHeight="1" spans="1:4">
      <c r="A362" s="2005"/>
      <c r="B362" s="2006"/>
      <c r="D362" s="2036"/>
    </row>
    <row r="363" customHeight="1" spans="1:4">
      <c r="A363" s="2005"/>
      <c r="B363" s="2006"/>
      <c r="D363" s="2036"/>
    </row>
    <row r="364" customHeight="1" spans="1:4">
      <c r="A364" s="2005"/>
      <c r="B364" s="2006"/>
      <c r="D364" s="2036"/>
    </row>
    <row r="365" customHeight="1" spans="1:4">
      <c r="A365" s="2005"/>
      <c r="B365" s="2006"/>
      <c r="D365" s="2036"/>
    </row>
    <row r="366" customHeight="1" spans="1:4">
      <c r="A366" s="2005"/>
      <c r="B366" s="2006"/>
      <c r="D366" s="2036"/>
    </row>
    <row r="367" customHeight="1" spans="1:4">
      <c r="A367" s="2005"/>
      <c r="B367" s="2006"/>
      <c r="D367" s="2036"/>
    </row>
    <row r="368" customHeight="1" spans="1:4">
      <c r="A368" s="2005"/>
      <c r="B368" s="2006"/>
      <c r="D368" s="2036"/>
    </row>
    <row r="369" customHeight="1" spans="1:4">
      <c r="A369" s="2005"/>
      <c r="B369" s="2006"/>
      <c r="D369" s="2036"/>
    </row>
    <row r="370" customHeight="1" spans="1:4">
      <c r="A370" s="2005"/>
      <c r="B370" s="2006"/>
      <c r="D370" s="2036"/>
    </row>
    <row r="371" customHeight="1" spans="1:4">
      <c r="A371" s="2005"/>
      <c r="B371" s="2006"/>
      <c r="D371" s="2036"/>
    </row>
    <row r="372" customHeight="1" spans="1:4">
      <c r="A372" s="2005"/>
      <c r="B372" s="2006"/>
      <c r="D372" s="2036"/>
    </row>
    <row r="373" customHeight="1" spans="1:4">
      <c r="A373" s="2005"/>
      <c r="B373" s="2006"/>
      <c r="D373" s="2036"/>
    </row>
    <row r="374" customHeight="1" spans="1:4">
      <c r="A374" s="2005"/>
      <c r="B374" s="2006"/>
      <c r="D374" s="2036"/>
    </row>
    <row r="375" customHeight="1" spans="1:4">
      <c r="A375" s="2005"/>
      <c r="B375" s="2006"/>
      <c r="D375" s="2036"/>
    </row>
    <row r="376" customHeight="1" spans="1:4">
      <c r="A376" s="2005"/>
      <c r="B376" s="2006"/>
      <c r="D376" s="2036"/>
    </row>
    <row r="377" customHeight="1" spans="1:4">
      <c r="A377" s="2005"/>
      <c r="B377" s="2006"/>
      <c r="D377" s="2036"/>
    </row>
    <row r="378" customHeight="1" spans="1:4">
      <c r="A378" s="2005"/>
      <c r="B378" s="2006"/>
      <c r="D378" s="2036"/>
    </row>
    <row r="379" customHeight="1" spans="1:4">
      <c r="A379" s="2005"/>
      <c r="B379" s="2006"/>
      <c r="D379" s="2036"/>
    </row>
    <row r="380" customHeight="1" spans="1:4">
      <c r="A380" s="2005"/>
      <c r="B380" s="2006"/>
      <c r="D380" s="2036"/>
    </row>
    <row r="381" customHeight="1" spans="1:4">
      <c r="A381" s="2005"/>
      <c r="B381" s="2006"/>
      <c r="D381" s="2036"/>
    </row>
    <row r="382" customHeight="1" spans="1:4">
      <c r="A382" s="2005"/>
      <c r="B382" s="2006"/>
      <c r="D382" s="2036"/>
    </row>
    <row r="383" customHeight="1" spans="1:4">
      <c r="A383" s="2005"/>
      <c r="B383" s="2006"/>
      <c r="D383" s="2036"/>
    </row>
    <row r="384" customHeight="1" spans="1:4">
      <c r="A384" s="2005"/>
      <c r="B384" s="2006"/>
      <c r="D384" s="2036"/>
    </row>
    <row r="385" customHeight="1" spans="1:4">
      <c r="A385" s="2005"/>
      <c r="B385" s="2006"/>
      <c r="D385" s="2036"/>
    </row>
    <row r="386" customHeight="1" spans="1:4">
      <c r="A386" s="2005"/>
      <c r="B386" s="2006"/>
      <c r="D386" s="2036"/>
    </row>
    <row r="387" customHeight="1" spans="1:4">
      <c r="A387" s="2005"/>
      <c r="B387" s="2006"/>
      <c r="D387" s="2036"/>
    </row>
    <row r="388" customHeight="1" spans="1:4">
      <c r="A388" s="2005"/>
      <c r="B388" s="2006"/>
      <c r="D388" s="2036"/>
    </row>
    <row r="389" customHeight="1" spans="1:4">
      <c r="A389" s="2005"/>
      <c r="B389" s="2006"/>
      <c r="D389" s="2036"/>
    </row>
    <row r="390" customHeight="1" spans="1:4">
      <c r="A390" s="2005"/>
      <c r="B390" s="2006"/>
      <c r="D390" s="2036"/>
    </row>
    <row r="391" customHeight="1" spans="1:4">
      <c r="A391" s="2005"/>
      <c r="B391" s="2006"/>
      <c r="D391" s="2036"/>
    </row>
    <row r="392" customHeight="1" spans="1:4">
      <c r="A392" s="2005"/>
      <c r="B392" s="2006"/>
      <c r="D392" s="2036"/>
    </row>
    <row r="393" customHeight="1" spans="1:4">
      <c r="A393" s="2005"/>
      <c r="B393" s="2006"/>
      <c r="D393" s="2036"/>
    </row>
    <row r="394" customHeight="1" spans="1:4">
      <c r="A394" s="2005"/>
      <c r="B394" s="2006"/>
      <c r="D394" s="2036"/>
    </row>
    <row r="395" customHeight="1" spans="1:4">
      <c r="A395" s="2005"/>
      <c r="B395" s="2006"/>
      <c r="D395" s="2036"/>
    </row>
    <row r="396" customHeight="1" spans="1:4">
      <c r="A396" s="2005"/>
      <c r="B396" s="2006"/>
      <c r="D396" s="2036"/>
    </row>
    <row r="397" customHeight="1" spans="1:4">
      <c r="A397" s="2005"/>
      <c r="B397" s="2006"/>
      <c r="D397" s="2036"/>
    </row>
    <row r="398" customHeight="1" spans="1:4">
      <c r="A398" s="2005"/>
      <c r="B398" s="2006"/>
      <c r="D398" s="2036"/>
    </row>
    <row r="399" customHeight="1" spans="1:4">
      <c r="A399" s="2005"/>
      <c r="B399" s="2006"/>
      <c r="D399" s="2036"/>
    </row>
    <row r="400" customHeight="1" spans="1:4">
      <c r="A400" s="2005"/>
      <c r="B400" s="2006"/>
      <c r="D400" s="2036"/>
    </row>
    <row r="401" customHeight="1" spans="1:4">
      <c r="A401" s="2005"/>
      <c r="B401" s="2006"/>
      <c r="D401" s="2036"/>
    </row>
    <row r="402" customHeight="1" spans="1:4">
      <c r="A402" s="2005"/>
      <c r="B402" s="2006"/>
      <c r="D402" s="2036"/>
    </row>
    <row r="403" customHeight="1" spans="1:4">
      <c r="A403" s="2005"/>
      <c r="B403" s="2006"/>
      <c r="D403" s="2036"/>
    </row>
    <row r="404" customHeight="1" spans="1:4">
      <c r="A404" s="2005"/>
      <c r="B404" s="2006"/>
      <c r="D404" s="2036"/>
    </row>
    <row r="405" customHeight="1" spans="1:4">
      <c r="A405" s="2005"/>
      <c r="B405" s="2006"/>
      <c r="D405" s="2036"/>
    </row>
    <row r="406" customHeight="1" spans="1:4">
      <c r="A406" s="2005"/>
      <c r="B406" s="2006"/>
      <c r="D406" s="2036"/>
    </row>
    <row r="407" customHeight="1" spans="1:4">
      <c r="A407" s="2005"/>
      <c r="B407" s="2006"/>
      <c r="D407" s="2036"/>
    </row>
    <row r="408" customHeight="1" spans="1:4">
      <c r="A408" s="2005"/>
      <c r="B408" s="2006"/>
      <c r="D408" s="2036"/>
    </row>
    <row r="409" customHeight="1" spans="1:4">
      <c r="A409" s="2005"/>
      <c r="B409" s="2006"/>
      <c r="D409" s="2036"/>
    </row>
    <row r="410" customHeight="1" spans="1:4">
      <c r="A410" s="2005"/>
      <c r="B410" s="2006"/>
      <c r="D410" s="2036"/>
    </row>
    <row r="411" customHeight="1" spans="1:4">
      <c r="A411" s="2005"/>
      <c r="B411" s="2006"/>
      <c r="D411" s="2036"/>
    </row>
    <row r="412" customHeight="1" spans="1:4">
      <c r="A412" s="2005"/>
      <c r="B412" s="2006"/>
      <c r="D412" s="2036"/>
    </row>
    <row r="413" customHeight="1" spans="1:4">
      <c r="A413" s="2005"/>
      <c r="B413" s="2006"/>
      <c r="D413" s="2036"/>
    </row>
    <row r="414" customHeight="1" spans="1:4">
      <c r="A414" s="2005"/>
      <c r="B414" s="2006"/>
      <c r="D414" s="2036"/>
    </row>
    <row r="415" customHeight="1" spans="1:4">
      <c r="A415" s="2005"/>
      <c r="B415" s="2006"/>
      <c r="D415" s="2036"/>
    </row>
    <row r="416" customHeight="1" spans="1:4">
      <c r="A416" s="2005"/>
      <c r="B416" s="2006"/>
      <c r="D416" s="2036"/>
    </row>
    <row r="417" customHeight="1" spans="1:4">
      <c r="A417" s="2005"/>
      <c r="B417" s="2006"/>
      <c r="D417" s="2036"/>
    </row>
    <row r="418" customHeight="1" spans="1:4">
      <c r="A418" s="2005"/>
      <c r="B418" s="2006"/>
      <c r="D418" s="2036"/>
    </row>
    <row r="419" customHeight="1" spans="1:4">
      <c r="A419" s="2005"/>
      <c r="B419" s="2006"/>
      <c r="D419" s="2036"/>
    </row>
    <row r="420" customHeight="1" spans="1:4">
      <c r="A420" s="2005"/>
      <c r="B420" s="2006"/>
      <c r="D420" s="2036"/>
    </row>
    <row r="421" customHeight="1" spans="1:4">
      <c r="A421" s="2005"/>
      <c r="B421" s="2006"/>
      <c r="D421" s="2036"/>
    </row>
    <row r="422" customHeight="1" spans="1:4">
      <c r="A422" s="2005"/>
      <c r="B422" s="2006"/>
      <c r="D422" s="2036"/>
    </row>
    <row r="423" customHeight="1" spans="1:4">
      <c r="A423" s="2005"/>
      <c r="B423" s="2006"/>
      <c r="D423" s="2036"/>
    </row>
    <row r="424" customHeight="1" spans="1:4">
      <c r="A424" s="2005"/>
      <c r="B424" s="2006"/>
      <c r="D424" s="2036"/>
    </row>
    <row r="425" customHeight="1" spans="1:4">
      <c r="A425" s="2005"/>
      <c r="B425" s="2006"/>
      <c r="D425" s="2036"/>
    </row>
    <row r="426" customHeight="1" spans="1:4">
      <c r="A426" s="2005"/>
      <c r="B426" s="2006"/>
      <c r="D426" s="2036"/>
    </row>
    <row r="427" customHeight="1" spans="1:4">
      <c r="A427" s="2005"/>
      <c r="B427" s="2006"/>
      <c r="D427" s="2036"/>
    </row>
    <row r="428" customHeight="1" spans="1:4">
      <c r="A428" s="2005"/>
      <c r="B428" s="2006"/>
      <c r="D428" s="2036"/>
    </row>
    <row r="429" customHeight="1" spans="1:4">
      <c r="A429" s="2005"/>
      <c r="B429" s="2006"/>
      <c r="D429" s="2036"/>
    </row>
    <row r="430" customHeight="1" spans="1:4">
      <c r="A430" s="2005"/>
      <c r="B430" s="2006"/>
      <c r="D430" s="2036"/>
    </row>
    <row r="431" customHeight="1" spans="1:4">
      <c r="A431" s="2005"/>
      <c r="B431" s="2006"/>
      <c r="D431" s="2036"/>
    </row>
    <row r="432" customHeight="1" spans="1:4">
      <c r="A432" s="2005"/>
      <c r="B432" s="2006"/>
      <c r="D432" s="2036"/>
    </row>
    <row r="433" customHeight="1" spans="1:4">
      <c r="A433" s="2005"/>
      <c r="B433" s="2006"/>
      <c r="D433" s="2036"/>
    </row>
    <row r="434" customHeight="1" spans="1:4">
      <c r="A434" s="2005"/>
      <c r="B434" s="2006"/>
      <c r="D434" s="2036"/>
    </row>
    <row r="435" customHeight="1" spans="1:4">
      <c r="A435" s="2005"/>
      <c r="B435" s="2006"/>
      <c r="D435" s="2036"/>
    </row>
    <row r="436" customHeight="1" spans="1:4">
      <c r="A436" s="2005"/>
      <c r="B436" s="2006"/>
      <c r="D436" s="2036"/>
    </row>
    <row r="437" customHeight="1" spans="1:4">
      <c r="A437" s="2005"/>
      <c r="B437" s="2006"/>
      <c r="D437" s="2036"/>
    </row>
    <row r="438" customHeight="1" spans="1:4">
      <c r="A438" s="2005"/>
      <c r="B438" s="2006"/>
      <c r="D438" s="2036"/>
    </row>
    <row r="439" customHeight="1" spans="1:4">
      <c r="A439" s="2005"/>
      <c r="B439" s="2006"/>
      <c r="D439" s="2036"/>
    </row>
    <row r="440" customHeight="1" spans="1:4">
      <c r="A440" s="2005"/>
      <c r="B440" s="2006"/>
      <c r="D440" s="2036"/>
    </row>
    <row r="441" customHeight="1" spans="1:4">
      <c r="A441" s="2005"/>
      <c r="B441" s="2006"/>
      <c r="D441" s="2036"/>
    </row>
    <row r="442" customHeight="1" spans="1:4">
      <c r="A442" s="2005"/>
      <c r="B442" s="2006"/>
      <c r="D442" s="2036"/>
    </row>
    <row r="443" customHeight="1" spans="1:4">
      <c r="A443" s="2005"/>
      <c r="B443" s="2006"/>
      <c r="D443" s="2036"/>
    </row>
    <row r="444" customHeight="1" spans="1:4">
      <c r="A444" s="2005"/>
      <c r="B444" s="2006"/>
      <c r="D444" s="2036"/>
    </row>
    <row r="445" customHeight="1" spans="1:4">
      <c r="A445" s="2005"/>
      <c r="B445" s="2006"/>
      <c r="D445" s="2036"/>
    </row>
    <row r="446" customHeight="1" spans="1:4">
      <c r="A446" s="2005"/>
      <c r="B446" s="2006"/>
      <c r="D446" s="2036"/>
    </row>
    <row r="447" customHeight="1" spans="1:4">
      <c r="A447" s="2005"/>
      <c r="B447" s="2006"/>
      <c r="D447" s="2036"/>
    </row>
    <row r="448" customHeight="1" spans="1:4">
      <c r="A448" s="2005"/>
      <c r="B448" s="2006"/>
      <c r="D448" s="2036"/>
    </row>
    <row r="449" customHeight="1" spans="1:4">
      <c r="A449" s="2005"/>
      <c r="B449" s="2006"/>
      <c r="D449" s="2036"/>
    </row>
    <row r="450" customHeight="1" spans="1:4">
      <c r="A450" s="2005"/>
      <c r="B450" s="2006"/>
      <c r="D450" s="2036"/>
    </row>
    <row r="451" customHeight="1" spans="1:4">
      <c r="A451" s="2005"/>
      <c r="B451" s="2006"/>
      <c r="D451" s="2036"/>
    </row>
    <row r="452" customHeight="1" spans="1:4">
      <c r="A452" s="2005"/>
      <c r="B452" s="2006"/>
      <c r="D452" s="2036"/>
    </row>
    <row r="453" customHeight="1" spans="1:4">
      <c r="A453" s="2005"/>
      <c r="B453" s="2006"/>
      <c r="D453" s="2036"/>
    </row>
    <row r="454" customHeight="1" spans="1:4">
      <c r="A454" s="2005"/>
      <c r="B454" s="2006"/>
      <c r="D454" s="2036"/>
    </row>
    <row r="455" customHeight="1" spans="1:4">
      <c r="A455" s="2005"/>
      <c r="B455" s="2006"/>
      <c r="D455" s="2036"/>
    </row>
    <row r="456" customHeight="1" spans="1:4">
      <c r="A456" s="2005"/>
      <c r="B456" s="2006"/>
      <c r="D456" s="2036"/>
    </row>
    <row r="457" customHeight="1" spans="1:4">
      <c r="A457" s="2005"/>
      <c r="B457" s="2006"/>
      <c r="D457" s="2036"/>
    </row>
    <row r="458" customHeight="1" spans="1:4">
      <c r="A458" s="2005"/>
      <c r="B458" s="2006"/>
      <c r="D458" s="2036"/>
    </row>
    <row r="459" customHeight="1" spans="1:4">
      <c r="A459" s="2005"/>
      <c r="B459" s="2006"/>
      <c r="D459" s="2036"/>
    </row>
    <row r="460" customHeight="1" spans="1:4">
      <c r="A460" s="2005"/>
      <c r="B460" s="2006"/>
      <c r="D460" s="2036"/>
    </row>
    <row r="461" customHeight="1" spans="1:4">
      <c r="A461" s="2005"/>
      <c r="B461" s="2006"/>
      <c r="D461" s="2036"/>
    </row>
    <row r="462" customHeight="1" spans="1:4">
      <c r="A462" s="2005"/>
      <c r="B462" s="2006"/>
      <c r="D462" s="2036"/>
    </row>
    <row r="463" customHeight="1" spans="1:4">
      <c r="A463" s="2005"/>
      <c r="B463" s="2006"/>
      <c r="D463" s="2036"/>
    </row>
    <row r="464" customHeight="1" spans="1:4">
      <c r="A464" s="2005"/>
      <c r="B464" s="2006"/>
      <c r="D464" s="2036"/>
    </row>
    <row r="465" customHeight="1" spans="1:4">
      <c r="A465" s="2005"/>
      <c r="B465" s="2006"/>
      <c r="D465" s="2036"/>
    </row>
    <row r="466" customHeight="1" spans="1:4">
      <c r="A466" s="2005"/>
      <c r="B466" s="2006"/>
      <c r="D466" s="2036"/>
    </row>
    <row r="467" customHeight="1" spans="1:4">
      <c r="A467" s="2005"/>
      <c r="B467" s="2006"/>
      <c r="D467" s="2036"/>
    </row>
  </sheetData>
  <sheetProtection formatCells="0" autoFilter="0" pivotTables="0"/>
  <autoFilter ref="B4:G301">
    <extLst/>
  </autoFilter>
  <conditionalFormatting sqref="D290">
    <cfRule type="cellIs" dxfId="8" priority="1" operator="notEqual">
      <formula>0</formula>
    </cfRule>
  </conditionalFormatting>
  <conditionalFormatting sqref="D219 D151 D165 D176 D188 D199 D210 D228 D243 D272 D9 D24 D45 D76 D93 D104 D115 D128 D141">
    <cfRule type="cellIs" dxfId="8" priority="20" operator="notEqual">
      <formula>0</formula>
    </cfRule>
  </conditionalFormatting>
  <hyperlinks>
    <hyperlink ref="C1" location="报表附注!F1" display="【返回】报表附注"/>
    <hyperlink ref="C2" location="附注、报表核对!H112" display="【返回】附注、报表核对"/>
  </hyperlinks>
  <pageMargins left="0.7" right="0.7" top="0.75" bottom="0.75" header="0.3" footer="0.3"/>
  <pageSetup paperSize="9" orientation="portrait"/>
  <headerFooter/>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B1:D183"/>
  <sheetViews>
    <sheetView workbookViewId="0">
      <pane xSplit="3" ySplit="1" topLeftCell="D38" activePane="bottomRight" state="frozen"/>
      <selection/>
      <selection pane="topRight"/>
      <selection pane="bottomLeft"/>
      <selection pane="bottomRight" activeCell="C18" sqref="C18"/>
    </sheetView>
  </sheetViews>
  <sheetFormatPr defaultColWidth="9" defaultRowHeight="14.25" outlineLevelCol="3"/>
  <cols>
    <col min="1" max="1" width="1.25" customWidth="1"/>
    <col min="2" max="2" width="39.625" customWidth="1"/>
    <col min="3" max="3" width="25.25" customWidth="1"/>
    <col min="4" max="4" width="39.625" customWidth="1"/>
  </cols>
  <sheetData>
    <row r="1" spans="2:4">
      <c r="B1" s="1983" t="s">
        <v>2609</v>
      </c>
      <c r="C1" s="1984" t="s">
        <v>2610</v>
      </c>
      <c r="D1" s="1984" t="s">
        <v>2611</v>
      </c>
    </row>
    <row r="2" spans="2:2">
      <c r="B2" s="1985" t="s">
        <v>2612</v>
      </c>
    </row>
    <row r="3" spans="2:2">
      <c r="B3" s="1986" t="s">
        <v>2613</v>
      </c>
    </row>
    <row r="4" spans="2:4">
      <c r="B4" s="1987" t="s">
        <v>2027</v>
      </c>
      <c r="C4" s="1988" t="str">
        <f>报表附注!O200</f>
        <v>合理</v>
      </c>
      <c r="D4" s="1989"/>
    </row>
    <row r="5" spans="2:4">
      <c r="B5" s="1987" t="s">
        <v>2028</v>
      </c>
      <c r="C5" s="1988" t="str">
        <f>报表附注!O201</f>
        <v>合理</v>
      </c>
      <c r="D5" s="1989"/>
    </row>
    <row r="6" spans="2:4">
      <c r="B6" s="1987" t="s">
        <v>2029</v>
      </c>
      <c r="C6" s="1988" t="str">
        <f>报表附注!O202</f>
        <v>合理</v>
      </c>
      <c r="D6" s="1989"/>
    </row>
    <row r="7" spans="2:4">
      <c r="B7" s="1987" t="s">
        <v>2030</v>
      </c>
      <c r="C7" s="1988" t="str">
        <f>报表附注!O203</f>
        <v>合理</v>
      </c>
      <c r="D7" s="1989"/>
    </row>
    <row r="8" spans="2:4">
      <c r="B8" s="1987" t="s">
        <v>2031</v>
      </c>
      <c r="C8" s="1988" t="str">
        <f>报表附注!O204</f>
        <v>合理</v>
      </c>
      <c r="D8" s="1989"/>
    </row>
    <row r="9" spans="2:4">
      <c r="B9" s="1990" t="s">
        <v>2614</v>
      </c>
      <c r="C9" s="1988" t="str">
        <f>报表附注!R206</f>
        <v>合理</v>
      </c>
      <c r="D9" s="1989"/>
    </row>
    <row r="10" ht="24.75" spans="2:4">
      <c r="B10" s="1990" t="s">
        <v>2615</v>
      </c>
      <c r="D10" s="1989"/>
    </row>
    <row r="11" spans="2:4">
      <c r="B11" s="1991" t="s">
        <v>2616</v>
      </c>
      <c r="C11" s="1988" t="str">
        <f>IF(报表附注!G383=0,"相符","差异："&amp;报表附注!G383&amp;" "&amp;"不相符，请检查")</f>
        <v>相符</v>
      </c>
      <c r="D11" s="1989"/>
    </row>
    <row r="12" spans="2:4">
      <c r="B12" s="1991" t="s">
        <v>2617</v>
      </c>
      <c r="C12" s="1988" t="str">
        <f>IF(报表附注!H383=0,"相符","差异："&amp;报表附注!H383&amp;"，不相符，请检查")</f>
        <v>相符</v>
      </c>
      <c r="D12" s="1989"/>
    </row>
    <row r="13" ht="15" customHeight="1" spans="2:4">
      <c r="B13" s="1990" t="s">
        <v>2618</v>
      </c>
      <c r="C13" s="1988" t="str">
        <f>IF(OR(报表附注!G205=100%,报表附注!G205=0),"相符","差异："&amp;ROUND((报表附注!G205-100%),4)&amp;" "&amp;"不相符，请检查")</f>
        <v>相符</v>
      </c>
      <c r="D13" s="1989"/>
    </row>
    <row r="14" ht="25.5" customHeight="1" spans="2:4">
      <c r="B14" s="1992" t="s">
        <v>2619</v>
      </c>
      <c r="C14" s="1988" t="str">
        <f>IF(OR(报表附注!G214=100%,报表附注!G214=0),"相符","比例合计不等于100%，差异："&amp;ROUND((报表附注!G214-100%),4)&amp;" "&amp;"不相符，请检查")</f>
        <v>相符</v>
      </c>
      <c r="D14" s="1989"/>
    </row>
    <row r="15" ht="15.75" customHeight="1" spans="2:4">
      <c r="B15" s="1992" t="s">
        <v>2620</v>
      </c>
      <c r="D15" s="1989"/>
    </row>
    <row r="16" ht="15.75" customHeight="1" spans="2:4">
      <c r="B16" s="1991" t="s">
        <v>2616</v>
      </c>
      <c r="C16" s="1988" t="str">
        <f>IF(报表附注!F217=0,"相符","差异："&amp;报表附注!F217&amp;" "&amp;"，不相符，请检查")</f>
        <v>相符</v>
      </c>
      <c r="D16" s="1989"/>
    </row>
    <row r="17" ht="15.75" customHeight="1" spans="2:4">
      <c r="B17" s="1991" t="s">
        <v>2617</v>
      </c>
      <c r="C17" s="1988" t="str">
        <f>IF(报表附注!H217=0,"相符","差异："&amp;报表附注!H217&amp;" "&amp;"，不相符，请检查")</f>
        <v>相符</v>
      </c>
      <c r="D17" s="1989"/>
    </row>
    <row r="18" ht="22.5" spans="2:4">
      <c r="B18" s="1986" t="s">
        <v>2621</v>
      </c>
      <c r="C18" s="1993" t="str">
        <f>IF(报表附注!I441=0,"相符","单项比例合计与合计数不符，请检查")</f>
        <v>单项比例合计与合计数不符，请检查</v>
      </c>
      <c r="D18" s="1989"/>
    </row>
    <row r="19" ht="22.5" spans="2:4">
      <c r="B19" s="1986" t="s">
        <v>2622</v>
      </c>
      <c r="C19" s="1993" t="str">
        <f>IF(报表附注!H469=0,"相符","单项比例合计与合计数不符，请检查")</f>
        <v>相符</v>
      </c>
      <c r="D19" s="1989"/>
    </row>
    <row r="20" spans="2:4">
      <c r="B20" s="1994" t="s">
        <v>2623</v>
      </c>
      <c r="D20" s="1989"/>
    </row>
    <row r="21" spans="2:4">
      <c r="B21" s="1986" t="s">
        <v>2613</v>
      </c>
      <c r="D21" s="1989"/>
    </row>
    <row r="22" spans="2:4">
      <c r="B22" s="1987" t="s">
        <v>2027</v>
      </c>
      <c r="C22" s="1988" t="str">
        <f>报表附注!J503</f>
        <v>合理</v>
      </c>
      <c r="D22" s="1989"/>
    </row>
    <row r="23" spans="2:4">
      <c r="B23" s="1987" t="s">
        <v>2028</v>
      </c>
      <c r="C23" s="1988" t="str">
        <f>报表附注!J504</f>
        <v>合理</v>
      </c>
      <c r="D23" s="1989"/>
    </row>
    <row r="24" spans="2:4">
      <c r="B24" s="1987" t="s">
        <v>2624</v>
      </c>
      <c r="C24" s="1988" t="str">
        <f>报表附注!J505</f>
        <v>合理</v>
      </c>
      <c r="D24" s="1989"/>
    </row>
    <row r="25" spans="2:4">
      <c r="B25" s="1990" t="s">
        <v>2625</v>
      </c>
      <c r="C25" s="1993" t="str">
        <f>报表附注!G507</f>
        <v>相符</v>
      </c>
      <c r="D25" s="1989"/>
    </row>
    <row r="26" ht="22.5" spans="2:4">
      <c r="B26" s="1986" t="s">
        <v>2626</v>
      </c>
      <c r="C26" s="1988" t="str">
        <f>IF(报表附注!I556=0,"相符","差异："&amp;ROUND(报表附注!I556,4)&amp;" "&amp;"，不相符，请检查")</f>
        <v>相符</v>
      </c>
      <c r="D26" s="1989"/>
    </row>
    <row r="27" spans="2:4">
      <c r="B27" s="1994" t="s">
        <v>2627</v>
      </c>
      <c r="D27" s="1989"/>
    </row>
    <row r="28" spans="2:4">
      <c r="B28" s="1986" t="s">
        <v>2613</v>
      </c>
      <c r="D28" s="1989"/>
    </row>
    <row r="29" spans="2:4">
      <c r="B29" s="1987" t="s">
        <v>2027</v>
      </c>
      <c r="C29" s="1988" t="str">
        <f>报表附注!O566</f>
        <v>合理</v>
      </c>
      <c r="D29" s="1989"/>
    </row>
    <row r="30" spans="2:4">
      <c r="B30" s="1987" t="s">
        <v>2028</v>
      </c>
      <c r="C30" s="1988" t="str">
        <f>报表附注!O567</f>
        <v>合理</v>
      </c>
      <c r="D30" s="1989"/>
    </row>
    <row r="31" spans="2:4">
      <c r="B31" s="1987" t="s">
        <v>2029</v>
      </c>
      <c r="C31" s="1988" t="str">
        <f>报表附注!O568</f>
        <v>合理</v>
      </c>
      <c r="D31" s="1989"/>
    </row>
    <row r="32" spans="2:4">
      <c r="B32" s="1987" t="s">
        <v>2030</v>
      </c>
      <c r="C32" s="1988" t="str">
        <f>报表附注!O569</f>
        <v>合理</v>
      </c>
      <c r="D32" s="1989"/>
    </row>
    <row r="33" spans="2:4">
      <c r="B33" s="1987" t="s">
        <v>2031</v>
      </c>
      <c r="C33" s="1988" t="str">
        <f>报表附注!O570</f>
        <v>合理</v>
      </c>
      <c r="D33" s="1989"/>
    </row>
    <row r="34" spans="2:4">
      <c r="B34" s="1990" t="s">
        <v>2614</v>
      </c>
      <c r="C34" s="1988" t="str">
        <f>报表附注!R572</f>
        <v>合理</v>
      </c>
      <c r="D34" s="1995"/>
    </row>
    <row r="35" ht="24.75" spans="2:4">
      <c r="B35" s="1990" t="s">
        <v>2615</v>
      </c>
      <c r="D35" s="1989"/>
    </row>
    <row r="36" spans="2:4">
      <c r="B36" s="1991" t="s">
        <v>2616</v>
      </c>
      <c r="D36" s="1989"/>
    </row>
    <row r="37" spans="2:4">
      <c r="B37" s="1991" t="s">
        <v>2617</v>
      </c>
      <c r="D37" s="1989"/>
    </row>
    <row r="38" spans="2:4">
      <c r="B38" s="1990" t="s">
        <v>2618</v>
      </c>
      <c r="C38" s="1988" t="str">
        <f>IF(OR(报表附注!G571=100%,报表附注!G571=0),"相符","差异："&amp;ROUND((报表附注!G571-100%),4)&amp;" "&amp;"不相符，请检查")</f>
        <v>相符</v>
      </c>
      <c r="D38" s="1989"/>
    </row>
    <row r="39" spans="2:4">
      <c r="B39" s="1992" t="s">
        <v>2619</v>
      </c>
      <c r="C39" s="1993" t="str">
        <f>报表附注!G584</f>
        <v>相符</v>
      </c>
      <c r="D39" s="1989"/>
    </row>
    <row r="40" spans="2:4">
      <c r="B40" s="1992" t="s">
        <v>2620</v>
      </c>
      <c r="D40" s="1989"/>
    </row>
    <row r="41" spans="2:4">
      <c r="B41" s="1991" t="s">
        <v>2616</v>
      </c>
      <c r="C41" s="1988" t="str">
        <f>IF(报表附注!F584=0,"相符","差异："&amp;报表附注!F584&amp;" "&amp;"，不相符，请检查")</f>
        <v>相符</v>
      </c>
      <c r="D41" s="1989"/>
    </row>
    <row r="42" spans="2:4">
      <c r="B42" s="1991" t="s">
        <v>2617</v>
      </c>
      <c r="C42" s="1988" t="str">
        <f>IF(报表附注!H584=0,"相符","差异："&amp;报表附注!H584&amp;" "&amp;"，不相符，请检查")</f>
        <v>相符</v>
      </c>
      <c r="D42" s="1989"/>
    </row>
    <row r="43" ht="22.5" spans="2:4">
      <c r="B43" s="1986" t="s">
        <v>2628</v>
      </c>
      <c r="C43" s="1988" t="str">
        <f>IF(报表附注!I776=0,"相符","差异："&amp;ROUND(报表附注!I776,4)&amp;" "&amp;"，不相符，请检查")</f>
        <v>相符</v>
      </c>
      <c r="D43" s="1989"/>
    </row>
    <row r="44" ht="22.5" spans="2:4">
      <c r="B44" s="1986" t="s">
        <v>2629</v>
      </c>
      <c r="C44" s="1988" t="str">
        <f>IF(报表附注!H804=0,"相符","差异："&amp;ROUND(报表附注!H804,4)&amp;" "&amp;"，不相符，请检查")</f>
        <v>相符</v>
      </c>
      <c r="D44" s="1989"/>
    </row>
    <row r="45" spans="2:4">
      <c r="B45" s="1994" t="s">
        <v>2630</v>
      </c>
      <c r="D45" s="1989"/>
    </row>
    <row r="46" spans="2:4">
      <c r="B46" s="1990" t="s">
        <v>2631</v>
      </c>
      <c r="C46" s="1993" t="str">
        <f>报表附注!K1509</f>
        <v>相符</v>
      </c>
      <c r="D46" s="1989"/>
    </row>
    <row r="47" spans="2:4">
      <c r="B47" s="1994" t="s">
        <v>2632</v>
      </c>
      <c r="D47" s="1989"/>
    </row>
    <row r="48" ht="40.5" customHeight="1" spans="2:4">
      <c r="B48" s="1986" t="s">
        <v>2633</v>
      </c>
      <c r="D48" s="1989"/>
    </row>
    <row r="49" spans="2:4">
      <c r="B49" s="1990" t="str">
        <f>报表附注!E1602</f>
        <v>一、递延所得税资产</v>
      </c>
      <c r="C49" s="1996" t="str">
        <f>报表附注!J1602</f>
        <v>合理</v>
      </c>
      <c r="D49" s="1989"/>
    </row>
    <row r="50" spans="2:4">
      <c r="B50" s="1990" t="str">
        <f>报表附注!E1603</f>
        <v>1、资产减值准备：</v>
      </c>
      <c r="C50" s="1996" t="str">
        <f>报表附注!J1603</f>
        <v>合理</v>
      </c>
      <c r="D50" s="1989"/>
    </row>
    <row r="51" spans="2:4">
      <c r="B51" s="1997" t="str">
        <f>报表附注!E1604</f>
        <v>      其中：坏账准备</v>
      </c>
      <c r="C51" s="1996" t="str">
        <f>报表附注!J1604</f>
        <v>合理</v>
      </c>
      <c r="D51" s="1989"/>
    </row>
    <row r="52" spans="2:4">
      <c r="B52" s="1997" t="str">
        <f>报表附注!E1605</f>
        <v>           存货减值</v>
      </c>
      <c r="C52" s="1996" t="str">
        <f>报表附注!J1605</f>
        <v>合理</v>
      </c>
      <c r="D52" s="1989"/>
    </row>
    <row r="53" spans="2:4">
      <c r="B53" s="1997" t="str">
        <f>报表附注!E1606</f>
        <v>           在建工程减值</v>
      </c>
      <c r="C53" s="1996" t="str">
        <f>报表附注!J1606</f>
        <v>合理</v>
      </c>
      <c r="D53" s="1989"/>
    </row>
    <row r="54" spans="2:4">
      <c r="B54" s="1997" t="str">
        <f>报表附注!E1607</f>
        <v>           长期股权投资减值</v>
      </c>
      <c r="C54" s="1996" t="str">
        <f>报表附注!J1607</f>
        <v>合理</v>
      </c>
      <c r="D54" s="1989"/>
    </row>
    <row r="55" spans="2:4">
      <c r="B55" s="1997" t="str">
        <f>报表附注!E1608</f>
        <v>           固定资产减值</v>
      </c>
      <c r="C55" s="1996" t="str">
        <f>报表附注!J1608</f>
        <v>合理</v>
      </c>
      <c r="D55" s="1989"/>
    </row>
    <row r="56" spans="2:4">
      <c r="B56" s="1990" t="str">
        <f>报表附注!E1609</f>
        <v>            无形资产减值</v>
      </c>
      <c r="C56" s="1996" t="str">
        <f>报表附注!J1609</f>
        <v>合理</v>
      </c>
      <c r="D56" s="1989"/>
    </row>
    <row r="57" spans="2:4">
      <c r="B57" s="1990" t="str">
        <f>报表附注!E1610</f>
        <v>            商誉减值</v>
      </c>
      <c r="C57" s="1996" t="str">
        <f>报表附注!J1610</f>
        <v>合理</v>
      </c>
      <c r="D57" s="1989"/>
    </row>
    <row r="58" spans="2:4">
      <c r="B58" s="1990" t="str">
        <f>报表附注!E1611</f>
        <v>2、预计后期到票的无票支出</v>
      </c>
      <c r="C58" s="1996" t="str">
        <f>报表附注!J1611</f>
        <v>合理</v>
      </c>
      <c r="D58" s="1989"/>
    </row>
    <row r="59" spans="2:4">
      <c r="B59" s="1990" t="str">
        <f>报表附注!E1612</f>
        <v>3、分期付款购入存货融资费用</v>
      </c>
      <c r="C59" s="1996" t="str">
        <f>报表附注!J1612</f>
        <v>合理</v>
      </c>
      <c r="D59" s="1989"/>
    </row>
    <row r="60" spans="2:4">
      <c r="B60" s="1990" t="str">
        <f>报表附注!E1613</f>
        <v>4、非同一控制下企业合并产生递延所得税资产</v>
      </c>
      <c r="C60" s="1996" t="str">
        <f>报表附注!J1613</f>
        <v>合理</v>
      </c>
      <c r="D60" s="1989"/>
    </row>
    <row r="61" spans="2:4">
      <c r="B61" s="1990" t="str">
        <f>报表附注!E1614</f>
        <v>5、计提未付的工资</v>
      </c>
      <c r="C61" s="1996" t="str">
        <f>报表附注!J1614</f>
        <v>合理</v>
      </c>
      <c r="D61" s="1989"/>
    </row>
    <row r="62" spans="2:4">
      <c r="B62" s="1990" t="str">
        <f>报表附注!E1615</f>
        <v>6、递延收益</v>
      </c>
      <c r="C62" s="1996" t="str">
        <f>报表附注!J1615</f>
        <v>合理</v>
      </c>
      <c r="D62" s="1989"/>
    </row>
    <row r="63" spans="2:4">
      <c r="B63" s="1990" t="str">
        <f>报表附注!E1616</f>
        <v>7、内部交易未实现损益</v>
      </c>
      <c r="C63" s="1996" t="str">
        <f>报表附注!J1616</f>
        <v>合理</v>
      </c>
      <c r="D63" s="1989"/>
    </row>
    <row r="64" spans="2:4">
      <c r="B64" s="1990" t="str">
        <f>报表附注!E1617</f>
        <v>二、递延所得税负债</v>
      </c>
      <c r="C64" s="1996" t="str">
        <f>报表附注!J1617</f>
        <v>合理</v>
      </c>
      <c r="D64" s="1989"/>
    </row>
    <row r="65" spans="2:4">
      <c r="B65" s="1990" t="str">
        <f>报表附注!E1618</f>
        <v>1、交易性金融工具、衍生金融工具的估值</v>
      </c>
      <c r="C65" s="1996" t="str">
        <f>报表附注!J1618</f>
        <v>合理</v>
      </c>
      <c r="D65" s="1989"/>
    </row>
    <row r="66" spans="2:4">
      <c r="B66" s="1990" t="str">
        <f>报表附注!E1619</f>
        <v>2、计入资本公积的可供出售金融资产公允价值变动</v>
      </c>
      <c r="C66" s="1996" t="str">
        <f>报表附注!J1619</f>
        <v>合理</v>
      </c>
      <c r="D66" s="1989"/>
    </row>
    <row r="67" spans="2:4">
      <c r="B67" s="1990" t="str">
        <f>报表附注!E1620</f>
        <v>3、非同一控制下企业合并产生递延所得税负债</v>
      </c>
      <c r="C67" s="1996" t="str">
        <f>报表附注!J1620</f>
        <v>合理</v>
      </c>
      <c r="D67" s="1989"/>
    </row>
    <row r="68" spans="2:4">
      <c r="B68" s="1990" t="str">
        <f>报表附注!E1621</f>
        <v>4、内部交易未实现损益</v>
      </c>
      <c r="C68" s="1996" t="str">
        <f>报表附注!J1621</f>
        <v>合理</v>
      </c>
      <c r="D68" s="1989"/>
    </row>
    <row r="69" spans="2:4">
      <c r="B69" s="1990" t="str">
        <f>报表附注!E1622</f>
        <v>5、固定资产评估增值</v>
      </c>
      <c r="C69" s="1996" t="str">
        <f>报表附注!J1622</f>
        <v>合理</v>
      </c>
      <c r="D69" s="1989"/>
    </row>
    <row r="70" spans="2:4">
      <c r="B70" s="1990" t="str">
        <f>报表附注!E1623</f>
        <v>新增项目4……</v>
      </c>
      <c r="C70" s="1996" t="str">
        <f>报表附注!J1623</f>
        <v>合理</v>
      </c>
      <c r="D70" s="1989"/>
    </row>
    <row r="71" spans="2:4">
      <c r="B71" s="1990" t="str">
        <f>报表附注!E1624</f>
        <v>新增项目5……</v>
      </c>
      <c r="C71" s="1996" t="str">
        <f>报表附注!J1624</f>
        <v>合理</v>
      </c>
      <c r="D71" s="1989"/>
    </row>
    <row r="72" spans="2:4">
      <c r="B72" s="1990" t="str">
        <f>报表附注!E1625</f>
        <v>新增项目6……</v>
      </c>
      <c r="C72" s="1996" t="str">
        <f>报表附注!J1625</f>
        <v>合理</v>
      </c>
      <c r="D72" s="1989"/>
    </row>
    <row r="73" spans="2:4">
      <c r="B73" s="1990" t="str">
        <f>报表附注!E1626</f>
        <v>新增项目7……</v>
      </c>
      <c r="C73" s="1996" t="str">
        <f>报表附注!J1626</f>
        <v>合理</v>
      </c>
      <c r="D73" s="1989"/>
    </row>
    <row r="74" spans="2:4">
      <c r="B74" s="1990" t="str">
        <f>报表附注!E1627</f>
        <v>新增项目8……</v>
      </c>
      <c r="C74" s="1996" t="str">
        <f>报表附注!J1627</f>
        <v>合理</v>
      </c>
      <c r="D74" s="1989"/>
    </row>
    <row r="75" spans="2:4">
      <c r="B75" s="1990" t="str">
        <f>报表附注!E1628</f>
        <v>新增项目9……</v>
      </c>
      <c r="C75" s="1996" t="str">
        <f>报表附注!J1628</f>
        <v>合理</v>
      </c>
      <c r="D75" s="1989"/>
    </row>
    <row r="76" spans="2:4">
      <c r="B76" s="1990" t="str">
        <f>报表附注!E1629</f>
        <v>新增项目10……</v>
      </c>
      <c r="C76" s="1996" t="str">
        <f>报表附注!J1629</f>
        <v>合理</v>
      </c>
      <c r="D76" s="1989"/>
    </row>
    <row r="77" spans="2:4">
      <c r="B77" s="1985" t="s">
        <v>2634</v>
      </c>
      <c r="D77" s="1989"/>
    </row>
    <row r="78" spans="2:4">
      <c r="B78" s="1986" t="s">
        <v>2635</v>
      </c>
      <c r="D78" s="1989"/>
    </row>
    <row r="79" spans="2:4">
      <c r="B79" s="1997" t="str">
        <f>报表附注!E1730</f>
        <v>坏账准备</v>
      </c>
      <c r="C79" s="1998" t="str">
        <f>报表附注!R1730</f>
        <v>相符</v>
      </c>
      <c r="D79" s="1989"/>
    </row>
    <row r="80" spans="2:4">
      <c r="B80" s="1997" t="str">
        <f>报表附注!E1731</f>
        <v>存货跌价准备</v>
      </c>
      <c r="C80" s="1998" t="str">
        <f>报表附注!R1731</f>
        <v>相符</v>
      </c>
      <c r="D80" s="1989"/>
    </row>
    <row r="81" spans="2:4">
      <c r="B81" s="1997" t="str">
        <f>报表附注!E1732</f>
        <v>可供出售金融资产减值准备</v>
      </c>
      <c r="C81" s="1998">
        <f>报表附注!R1732</f>
        <v>0</v>
      </c>
      <c r="D81" s="1989"/>
    </row>
    <row r="82" spans="2:4">
      <c r="B82" s="1997" t="str">
        <f>报表附注!E1733</f>
        <v>持有至到期投资减值准备</v>
      </c>
      <c r="C82" s="1998">
        <f>报表附注!R1733</f>
        <v>0</v>
      </c>
      <c r="D82" s="1989"/>
    </row>
    <row r="83" spans="2:4">
      <c r="B83" s="1997" t="str">
        <f>报表附注!E1734</f>
        <v>长期股权投资减值准备</v>
      </c>
      <c r="C83" s="1998" t="str">
        <f>报表附注!R1734</f>
        <v>相符</v>
      </c>
      <c r="D83" s="1989"/>
    </row>
    <row r="84" spans="2:4">
      <c r="B84" s="1997" t="str">
        <f>报表附注!E1735</f>
        <v>投资性房地产减值准备</v>
      </c>
      <c r="C84" s="1998" t="str">
        <f>报表附注!R1735</f>
        <v>相符</v>
      </c>
      <c r="D84" s="1989"/>
    </row>
    <row r="85" spans="2:4">
      <c r="B85" s="1997" t="str">
        <f>报表附注!E1736</f>
        <v>固定资产减值准备</v>
      </c>
      <c r="C85" s="1998" t="str">
        <f>报表附注!R1736</f>
        <v>相符</v>
      </c>
      <c r="D85" s="1989"/>
    </row>
    <row r="86" spans="2:4">
      <c r="B86" s="1997" t="str">
        <f>报表附注!E1737</f>
        <v>工程物资减值准备</v>
      </c>
      <c r="C86" s="1998">
        <f>报表附注!R1737</f>
        <v>0</v>
      </c>
      <c r="D86" s="1989"/>
    </row>
    <row r="87" spans="2:4">
      <c r="B87" s="1997" t="str">
        <f>报表附注!E1738</f>
        <v>在建工程减值准备</v>
      </c>
      <c r="C87" s="1998" t="str">
        <f>报表附注!R1738</f>
        <v>相符</v>
      </c>
      <c r="D87" s="1989"/>
    </row>
    <row r="88" spans="2:4">
      <c r="B88" s="1997" t="str">
        <f>报表附注!E1739</f>
        <v>生产性生物资产减值准备</v>
      </c>
      <c r="C88" s="1998" t="str">
        <f>报表附注!R1739</f>
        <v>相符</v>
      </c>
      <c r="D88" s="1989"/>
    </row>
    <row r="89" spans="2:4">
      <c r="B89" s="1997" t="str">
        <f>报表附注!E1740</f>
        <v>其中：成熟生产性生物资产减值准备</v>
      </c>
      <c r="C89" s="1998">
        <f>报表附注!R1740</f>
        <v>0</v>
      </c>
      <c r="D89" s="1989"/>
    </row>
    <row r="90" spans="2:4">
      <c r="B90" s="1997" t="str">
        <f>报表附注!E1741</f>
        <v>油气资产减值准备</v>
      </c>
      <c r="C90" s="1998" t="str">
        <f>报表附注!R1741</f>
        <v>相符</v>
      </c>
      <c r="D90" s="1989"/>
    </row>
    <row r="91" spans="2:4">
      <c r="B91" s="1997" t="str">
        <f>报表附注!E1742</f>
        <v>无形资产减值准备</v>
      </c>
      <c r="C91" s="1998" t="str">
        <f>报表附注!R1742</f>
        <v>相符</v>
      </c>
      <c r="D91" s="1989"/>
    </row>
    <row r="92" spans="2:4">
      <c r="B92" s="1997" t="str">
        <f>报表附注!E1743</f>
        <v>商誉减值准备</v>
      </c>
      <c r="C92" s="1998" t="str">
        <f>报表附注!R1743</f>
        <v>相符</v>
      </c>
      <c r="D92" s="1989"/>
    </row>
    <row r="93" spans="2:4">
      <c r="B93" s="1997" t="str">
        <f>报表附注!E1744</f>
        <v>其他</v>
      </c>
      <c r="C93" s="1998">
        <f>报表附注!R1744</f>
        <v>0</v>
      </c>
      <c r="D93" s="1989"/>
    </row>
    <row r="94" spans="2:4">
      <c r="B94" s="1986" t="s">
        <v>2636</v>
      </c>
      <c r="D94" s="1989"/>
    </row>
    <row r="95" spans="2:4">
      <c r="B95" s="1997" t="str">
        <f t="shared" ref="B95:B109" si="0">B79</f>
        <v>坏账准备</v>
      </c>
      <c r="C95" s="1998" t="str">
        <f>报表附注!S1730</f>
        <v>相符</v>
      </c>
      <c r="D95" s="1989"/>
    </row>
    <row r="96" spans="2:4">
      <c r="B96" s="1997" t="str">
        <f t="shared" si="0"/>
        <v>存货跌价准备</v>
      </c>
      <c r="C96" s="1998" t="str">
        <f>报表附注!S1731</f>
        <v>不相符，差异：-1788781.28</v>
      </c>
      <c r="D96" s="1989"/>
    </row>
    <row r="97" spans="2:4">
      <c r="B97" s="1997" t="str">
        <f t="shared" si="0"/>
        <v>可供出售金融资产减值准备</v>
      </c>
      <c r="C97" s="1998">
        <f>报表附注!S1732</f>
        <v>0</v>
      </c>
      <c r="D97" s="1989"/>
    </row>
    <row r="98" spans="2:4">
      <c r="B98" s="1997" t="str">
        <f t="shared" si="0"/>
        <v>持有至到期投资减值准备</v>
      </c>
      <c r="C98" s="1998">
        <f>报表附注!S1733</f>
        <v>0</v>
      </c>
      <c r="D98" s="1989"/>
    </row>
    <row r="99" spans="2:4">
      <c r="B99" s="1997" t="str">
        <f t="shared" si="0"/>
        <v>长期股权投资减值准备</v>
      </c>
      <c r="C99" s="1998" t="str">
        <f>报表附注!S1734</f>
        <v>相符</v>
      </c>
      <c r="D99" s="1989"/>
    </row>
    <row r="100" spans="2:4">
      <c r="B100" s="1997" t="str">
        <f t="shared" si="0"/>
        <v>投资性房地产减值准备</v>
      </c>
      <c r="C100" s="1998" t="str">
        <f>报表附注!S1735</f>
        <v>相符</v>
      </c>
      <c r="D100" s="1989"/>
    </row>
    <row r="101" spans="2:4">
      <c r="B101" s="1997" t="str">
        <f t="shared" si="0"/>
        <v>固定资产减值准备</v>
      </c>
      <c r="C101" s="1998" t="str">
        <f>报表附注!S1736</f>
        <v>相符</v>
      </c>
      <c r="D101" s="1989"/>
    </row>
    <row r="102" spans="2:4">
      <c r="B102" s="1997" t="str">
        <f t="shared" si="0"/>
        <v>工程物资减值准备</v>
      </c>
      <c r="C102" s="1998">
        <f>报表附注!S1737</f>
        <v>0</v>
      </c>
      <c r="D102" s="1989"/>
    </row>
    <row r="103" spans="2:4">
      <c r="B103" s="1997" t="str">
        <f t="shared" si="0"/>
        <v>在建工程减值准备</v>
      </c>
      <c r="C103" s="1998" t="str">
        <f>报表附注!S1738</f>
        <v>相符</v>
      </c>
      <c r="D103" s="1989"/>
    </row>
    <row r="104" spans="2:4">
      <c r="B104" s="1997" t="str">
        <f t="shared" si="0"/>
        <v>生产性生物资产减值准备</v>
      </c>
      <c r="C104" s="1998" t="str">
        <f>报表附注!S1739</f>
        <v>相符</v>
      </c>
      <c r="D104" s="1989"/>
    </row>
    <row r="105" spans="2:4">
      <c r="B105" s="1997" t="str">
        <f t="shared" si="0"/>
        <v>其中：成熟生产性生物资产减值准备</v>
      </c>
      <c r="C105" s="1998">
        <f>报表附注!S1740</f>
        <v>0</v>
      </c>
      <c r="D105" s="1989"/>
    </row>
    <row r="106" spans="2:4">
      <c r="B106" s="1997" t="str">
        <f t="shared" si="0"/>
        <v>油气资产减值准备</v>
      </c>
      <c r="C106" s="1998" t="str">
        <f>报表附注!S1741</f>
        <v>相符</v>
      </c>
      <c r="D106" s="1989"/>
    </row>
    <row r="107" spans="2:4">
      <c r="B107" s="1997" t="str">
        <f t="shared" si="0"/>
        <v>无形资产减值准备</v>
      </c>
      <c r="C107" s="1998" t="str">
        <f>报表附注!S1742</f>
        <v>相符</v>
      </c>
      <c r="D107" s="1989"/>
    </row>
    <row r="108" spans="2:4">
      <c r="B108" s="1997" t="str">
        <f t="shared" si="0"/>
        <v>商誉减值准备</v>
      </c>
      <c r="C108" s="1998" t="str">
        <f>报表附注!S1743</f>
        <v>相符</v>
      </c>
      <c r="D108" s="1989"/>
    </row>
    <row r="109" spans="2:4">
      <c r="B109" s="1997" t="str">
        <f t="shared" si="0"/>
        <v>其他</v>
      </c>
      <c r="C109" s="1998">
        <f>报表附注!S1744</f>
        <v>0</v>
      </c>
      <c r="D109" s="1989"/>
    </row>
    <row r="110" spans="2:4">
      <c r="B110" s="1994" t="s">
        <v>2637</v>
      </c>
      <c r="D110" s="1989"/>
    </row>
    <row r="111" spans="2:4">
      <c r="B111" s="1990" t="s">
        <v>2613</v>
      </c>
      <c r="D111" s="1989"/>
    </row>
    <row r="112" spans="2:4">
      <c r="B112" s="1987" t="s">
        <v>2027</v>
      </c>
      <c r="C112" s="1988" t="str">
        <f>报表附注!H1828</f>
        <v>合理</v>
      </c>
      <c r="D112" s="1989"/>
    </row>
    <row r="113" spans="2:4">
      <c r="B113" s="1987" t="s">
        <v>2028</v>
      </c>
      <c r="C113" s="1988" t="str">
        <f>报表附注!H1829</f>
        <v>合理</v>
      </c>
      <c r="D113" s="1989"/>
    </row>
    <row r="114" spans="2:4">
      <c r="B114" s="1987" t="s">
        <v>2029</v>
      </c>
      <c r="C114" s="1988" t="str">
        <f>报表附注!H1830</f>
        <v>合理</v>
      </c>
      <c r="D114" s="1989"/>
    </row>
    <row r="115" spans="2:4">
      <c r="B115" s="1987" t="s">
        <v>2030</v>
      </c>
      <c r="C115" s="1988" t="str">
        <f>报表附注!H1831</f>
        <v>合理</v>
      </c>
      <c r="D115" s="1989"/>
    </row>
    <row r="116" spans="2:4">
      <c r="B116" s="1987" t="s">
        <v>2031</v>
      </c>
      <c r="C116" s="1988" t="str">
        <f>报表附注!H1832</f>
        <v>合理</v>
      </c>
      <c r="D116" s="1989"/>
    </row>
    <row r="117" spans="2:4">
      <c r="B117" s="1994" t="s">
        <v>2638</v>
      </c>
      <c r="D117" s="1989"/>
    </row>
    <row r="118" spans="2:4">
      <c r="B118" s="1986" t="s">
        <v>2613</v>
      </c>
      <c r="D118" s="1989"/>
    </row>
    <row r="119" spans="2:4">
      <c r="B119" s="1987" t="s">
        <v>2027</v>
      </c>
      <c r="C119" s="1988" t="str">
        <f>报表附注!H1894</f>
        <v>合理</v>
      </c>
      <c r="D119" s="1989"/>
    </row>
    <row r="120" spans="2:4">
      <c r="B120" s="1987" t="s">
        <v>2028</v>
      </c>
      <c r="C120" s="1988" t="str">
        <f>报表附注!H1895</f>
        <v>合理</v>
      </c>
      <c r="D120" s="1989"/>
    </row>
    <row r="121" spans="2:4">
      <c r="B121" s="1987" t="s">
        <v>2624</v>
      </c>
      <c r="C121" s="1988" t="str">
        <f>报表附注!H1896</f>
        <v>合理</v>
      </c>
      <c r="D121" s="1989"/>
    </row>
    <row r="122" spans="2:4">
      <c r="B122" s="1994" t="s">
        <v>2639</v>
      </c>
      <c r="D122" s="1989"/>
    </row>
    <row r="123" spans="2:4">
      <c r="B123" s="1990" t="s">
        <v>2613</v>
      </c>
      <c r="D123" s="1989"/>
    </row>
    <row r="124" spans="2:4">
      <c r="B124" s="1987" t="s">
        <v>2027</v>
      </c>
      <c r="C124" s="1988" t="str">
        <f>报表附注!H2066</f>
        <v>合理</v>
      </c>
      <c r="D124" s="1989"/>
    </row>
    <row r="125" spans="2:4">
      <c r="B125" s="1987" t="s">
        <v>2028</v>
      </c>
      <c r="C125" s="1988" t="str">
        <f>报表附注!H2067</f>
        <v>合理</v>
      </c>
      <c r="D125" s="1989"/>
    </row>
    <row r="126" spans="2:4">
      <c r="B126" s="1987" t="s">
        <v>2029</v>
      </c>
      <c r="C126" s="1988" t="str">
        <f>报表附注!H2068</f>
        <v>合理</v>
      </c>
      <c r="D126" s="1989"/>
    </row>
    <row r="127" spans="2:4">
      <c r="B127" s="1987" t="s">
        <v>2030</v>
      </c>
      <c r="C127" s="1988" t="str">
        <f>报表附注!H2069</f>
        <v>合理</v>
      </c>
      <c r="D127" s="1989"/>
    </row>
    <row r="128" spans="2:4">
      <c r="B128" s="1987" t="s">
        <v>2031</v>
      </c>
      <c r="C128" s="1988" t="str">
        <f>报表附注!H2070</f>
        <v>合理</v>
      </c>
      <c r="D128" s="1989"/>
    </row>
    <row r="129" spans="2:4">
      <c r="B129" s="1994" t="s">
        <v>2640</v>
      </c>
      <c r="D129" s="1989"/>
    </row>
    <row r="130" ht="24.75" spans="2:4">
      <c r="B130" s="1990" t="s">
        <v>2641</v>
      </c>
      <c r="C130" s="1988" t="str">
        <f>IF(报表附注!F2191=0,"相符","差异："&amp;报表附注!F2191&amp;"，不相符，请检查")</f>
        <v>相符</v>
      </c>
      <c r="D130" s="1989"/>
    </row>
    <row r="131" ht="24.75" spans="2:4">
      <c r="B131" s="1990" t="s">
        <v>2642</v>
      </c>
      <c r="C131" s="1988" t="str">
        <f>IF(报表附注!N2233=0,"相符","差异："&amp;报表附注!N2233&amp;"，不相符，请检查")</f>
        <v>相符</v>
      </c>
      <c r="D131" s="1989"/>
    </row>
    <row r="132" spans="2:4">
      <c r="B132" s="1994" t="s">
        <v>2643</v>
      </c>
      <c r="D132" s="1989"/>
    </row>
    <row r="133" ht="24.75" spans="2:4">
      <c r="B133" s="1990" t="s">
        <v>2644</v>
      </c>
      <c r="D133" s="1989"/>
    </row>
    <row r="134" spans="2:4">
      <c r="B134" s="1987" t="s">
        <v>2645</v>
      </c>
      <c r="C134" s="1988" t="str">
        <f>IF(报表附注!F2553=0,"相符","差异："&amp;报表附注!F2553&amp;"，不相符，请检查")</f>
        <v>差异：-8296055，不相符，请检查</v>
      </c>
      <c r="D134" s="1989"/>
    </row>
    <row r="135" spans="2:4">
      <c r="B135" s="1987" t="s">
        <v>2646</v>
      </c>
      <c r="C135" s="1988" t="str">
        <f>IF(报表附注!G2553=0,"相符","差异："&amp;报表附注!G2553&amp;"，不相符，请检查")</f>
        <v>差异：3817011.73999999，不相符，请检查</v>
      </c>
      <c r="D135" s="1989"/>
    </row>
    <row r="136" spans="2:4">
      <c r="B136" s="1987" t="s">
        <v>2647</v>
      </c>
      <c r="C136" s="1988" t="str">
        <f>IF(报表附注!H2553=0,"相符","差异："&amp;报表附注!H2553&amp;"，不相符，请检查")</f>
        <v>差异：1575844.5，不相符，请检查</v>
      </c>
      <c r="D136" s="1989"/>
    </row>
    <row r="137" spans="2:4">
      <c r="B137" s="1987" t="s">
        <v>2648</v>
      </c>
      <c r="C137" s="1988" t="str">
        <f>IF(报表附注!I2553=0,"相符","差异："&amp;报表附注!I2553&amp;"，不相符，请检查")</f>
        <v>差异：2514060.29，不相符，请检查</v>
      </c>
      <c r="D137" s="1989"/>
    </row>
    <row r="138" ht="24.75" spans="2:4">
      <c r="B138" s="1990" t="s">
        <v>2649</v>
      </c>
      <c r="D138" s="1989"/>
    </row>
    <row r="139" spans="2:4">
      <c r="B139" s="1987" t="s">
        <v>2645</v>
      </c>
      <c r="C139" s="1988" t="str">
        <f>IF(报表附注!F2571=0,"相符","差异："&amp;报表附注!F2571&amp;"，不相符，请检查")</f>
        <v>差异：-8296055，不相符，请检查</v>
      </c>
      <c r="D139" s="1989"/>
    </row>
    <row r="140" spans="2:4">
      <c r="B140" s="1987" t="s">
        <v>2646</v>
      </c>
      <c r="C140" s="1988" t="str">
        <f>IF(报表附注!G2571=0,"相符","差异："&amp;报表附注!G2571&amp;"，不相符，请检查")</f>
        <v>差异：3817011.73999999，不相符，请检查</v>
      </c>
      <c r="D140" s="1989"/>
    </row>
    <row r="141" spans="2:4">
      <c r="B141" s="1987" t="s">
        <v>2647</v>
      </c>
      <c r="C141" s="1988" t="str">
        <f>IF(报表附注!H2571=0,"相符","差异："&amp;报表附注!H2571&amp;"，不相符，请检查")</f>
        <v>差异：1575844.5，不相符，请检查</v>
      </c>
      <c r="D141" s="1989"/>
    </row>
    <row r="142" spans="2:4">
      <c r="B142" s="1987" t="s">
        <v>2648</v>
      </c>
      <c r="C142" s="1988" t="str">
        <f>IF(报表附注!I2571=0,"相符","差异："&amp;报表附注!I2571&amp;"，不相符，请检查")</f>
        <v>差异：29364509.85，不相符，请检查</v>
      </c>
      <c r="D142" s="1989"/>
    </row>
    <row r="143" ht="24.75" spans="2:4">
      <c r="B143" s="1990" t="s">
        <v>2650</v>
      </c>
      <c r="D143" s="1989"/>
    </row>
    <row r="144" spans="2:4">
      <c r="B144" s="1987" t="s">
        <v>2645</v>
      </c>
      <c r="C144" s="1988" t="str">
        <f>IF(报表附注!F2589=0,"相符","差异："&amp;报表附注!F2589&amp;"，不相符，请检查")</f>
        <v>差异：8296055，不相符，请检查</v>
      </c>
      <c r="D144" s="1989"/>
    </row>
    <row r="145" spans="2:4">
      <c r="B145" s="1987" t="s">
        <v>2646</v>
      </c>
      <c r="C145" s="1988" t="str">
        <f>IF(报表附注!G2589=0,"相符","差异："&amp;报表附注!G2589&amp;"，不相符，请检查")</f>
        <v>差异：-3817011.73999999，不相符，请检查</v>
      </c>
      <c r="D145" s="1989"/>
    </row>
    <row r="146" spans="2:4">
      <c r="B146" s="1987" t="s">
        <v>2647</v>
      </c>
      <c r="C146" s="1988" t="str">
        <f>IF(报表附注!H2589=0,"相符","差异："&amp;报表附注!H2589&amp;"，不相符，请检查")</f>
        <v>差异：-1575844.5，不相符，请检查</v>
      </c>
      <c r="D146" s="1989"/>
    </row>
    <row r="147" spans="2:4">
      <c r="B147" s="1987" t="s">
        <v>2648</v>
      </c>
      <c r="C147" s="1988" t="str">
        <f>IF(报表附注!I2589=0,"相符","差异："&amp;报表附注!I2589&amp;"，不相符，请检查")</f>
        <v>差异：-29364509.85，不相符，请检查</v>
      </c>
      <c r="D147" s="1989"/>
    </row>
    <row r="148" spans="2:4">
      <c r="B148" s="1994" t="s">
        <v>2651</v>
      </c>
      <c r="D148" s="1989"/>
    </row>
    <row r="149" spans="2:4">
      <c r="B149" s="1990" t="s">
        <v>2652</v>
      </c>
      <c r="D149" s="1989"/>
    </row>
    <row r="150" spans="2:4">
      <c r="B150" s="1992" t="s">
        <v>2653</v>
      </c>
      <c r="C150" s="1988" t="str">
        <f>报表附注!H2713</f>
        <v>相符</v>
      </c>
      <c r="D150" s="1989"/>
    </row>
    <row r="151" spans="2:4">
      <c r="B151" s="1992" t="s">
        <v>2654</v>
      </c>
      <c r="C151" s="1988" t="str">
        <f>报表附注!H2716</f>
        <v>相符</v>
      </c>
      <c r="D151" s="1989"/>
    </row>
    <row r="152" spans="2:4">
      <c r="B152" s="1992" t="s">
        <v>2655</v>
      </c>
      <c r="C152" s="1988" t="str">
        <f>报表附注!H2717</f>
        <v>相符</v>
      </c>
      <c r="D152" s="1989"/>
    </row>
    <row r="153" spans="2:4">
      <c r="B153" s="1992" t="s">
        <v>2656</v>
      </c>
      <c r="C153" s="1988" t="str">
        <f>报表附注!H2718</f>
        <v>相符</v>
      </c>
      <c r="D153" s="1989"/>
    </row>
    <row r="154" spans="2:4">
      <c r="B154" s="1992" t="s">
        <v>2657</v>
      </c>
      <c r="C154" s="1988" t="str">
        <f>报表附注!H2720</f>
        <v>相符</v>
      </c>
      <c r="D154" s="1989"/>
    </row>
    <row r="155" spans="2:4">
      <c r="B155" s="1992" t="s">
        <v>2658</v>
      </c>
      <c r="C155" s="1988" t="str">
        <f>报表附注!H2721</f>
        <v>相符</v>
      </c>
      <c r="D155" s="1989"/>
    </row>
    <row r="156" spans="2:4">
      <c r="B156" s="1992" t="s">
        <v>2659</v>
      </c>
      <c r="C156" s="1988" t="str">
        <f>报表附注!H2722</f>
        <v>相符</v>
      </c>
      <c r="D156" s="1989"/>
    </row>
    <row r="157" spans="2:4">
      <c r="B157" s="1992" t="s">
        <v>2660</v>
      </c>
      <c r="C157" s="1988" t="str">
        <f>报表附注!H2723</f>
        <v>相符</v>
      </c>
      <c r="D157" s="1989"/>
    </row>
    <row r="158" spans="2:4">
      <c r="B158" s="1992" t="s">
        <v>2661</v>
      </c>
      <c r="C158" s="1988" t="str">
        <f>报表附注!H2724</f>
        <v>相符</v>
      </c>
      <c r="D158" s="1989"/>
    </row>
    <row r="159" ht="27" spans="2:4">
      <c r="B159" s="1990" t="s">
        <v>2662</v>
      </c>
      <c r="D159" s="1989"/>
    </row>
    <row r="160" spans="2:4">
      <c r="B160" s="1992" t="s">
        <v>2663</v>
      </c>
      <c r="C160" s="1988" t="str">
        <f>报表附注!I2712</f>
        <v>相符</v>
      </c>
      <c r="D160" s="1989"/>
    </row>
    <row r="161" spans="2:4">
      <c r="B161" s="1992" t="s">
        <v>2653</v>
      </c>
      <c r="C161" s="1988" t="str">
        <f>报表附注!I2713</f>
        <v>相符</v>
      </c>
      <c r="D161" s="1989"/>
    </row>
    <row r="162" spans="2:4">
      <c r="B162" s="1992" t="s">
        <v>2664</v>
      </c>
      <c r="C162" s="1988" t="str">
        <f>报表附注!I2714</f>
        <v>相符</v>
      </c>
      <c r="D162" s="1989"/>
    </row>
    <row r="163" spans="2:4">
      <c r="B163" s="1992" t="s">
        <v>2665</v>
      </c>
      <c r="C163" s="1988" t="str">
        <f>报表附注!I2715</f>
        <v>相符</v>
      </c>
      <c r="D163" s="1989"/>
    </row>
    <row r="164" spans="2:4">
      <c r="B164" s="1992" t="s">
        <v>2654</v>
      </c>
      <c r="C164" s="1988" t="str">
        <f>报表附注!I2716</f>
        <v>相符</v>
      </c>
      <c r="D164" s="1989"/>
    </row>
    <row r="165" spans="2:4">
      <c r="B165" s="1992" t="s">
        <v>2655</v>
      </c>
      <c r="C165" s="1988" t="str">
        <f>报表附注!I2717</f>
        <v>相符</v>
      </c>
      <c r="D165" s="1989"/>
    </row>
    <row r="166" spans="2:4">
      <c r="B166" s="1992" t="s">
        <v>2656</v>
      </c>
      <c r="C166" s="1988" t="str">
        <f>报表附注!I2718</f>
        <v>相符</v>
      </c>
      <c r="D166" s="1989"/>
    </row>
    <row r="167" spans="2:4">
      <c r="B167" s="1992" t="s">
        <v>2666</v>
      </c>
      <c r="C167" s="1988" t="str">
        <f>报表附注!I2719</f>
        <v>相符</v>
      </c>
      <c r="D167" s="1989"/>
    </row>
    <row r="168" spans="2:4">
      <c r="B168" s="1992" t="s">
        <v>2657</v>
      </c>
      <c r="C168" s="1988" t="str">
        <f>报表附注!I2720</f>
        <v>相符</v>
      </c>
      <c r="D168" s="1989"/>
    </row>
    <row r="169" spans="2:4">
      <c r="B169" s="1992" t="s">
        <v>2658</v>
      </c>
      <c r="C169" s="1988" t="str">
        <f>报表附注!I2721</f>
        <v>相符</v>
      </c>
      <c r="D169" s="1989"/>
    </row>
    <row r="170" spans="2:4">
      <c r="B170" s="1992" t="s">
        <v>2659</v>
      </c>
      <c r="C170" s="1988" t="str">
        <f>报表附注!I2722</f>
        <v>相符</v>
      </c>
      <c r="D170" s="1989"/>
    </row>
    <row r="171" spans="2:4">
      <c r="B171" s="1992" t="s">
        <v>2660</v>
      </c>
      <c r="C171" s="1988" t="str">
        <f>报表附注!I2723</f>
        <v>相符</v>
      </c>
      <c r="D171" s="1989"/>
    </row>
    <row r="172" spans="2:4">
      <c r="B172" s="1992" t="s">
        <v>2661</v>
      </c>
      <c r="C172" s="1988" t="str">
        <f>报表附注!I2724</f>
        <v>相符</v>
      </c>
      <c r="D172" s="1989"/>
    </row>
    <row r="173" spans="2:4">
      <c r="B173" s="1992" t="s">
        <v>2667</v>
      </c>
      <c r="C173" s="1988" t="str">
        <f>报表附注!I2725</f>
        <v>相符</v>
      </c>
      <c r="D173" s="1989"/>
    </row>
    <row r="174" spans="2:4">
      <c r="B174" s="1994" t="s">
        <v>2668</v>
      </c>
      <c r="D174" s="1989"/>
    </row>
    <row r="175" ht="24.75" spans="2:4">
      <c r="B175" s="1990" t="s">
        <v>2669</v>
      </c>
      <c r="C175" s="1996" t="str">
        <f>报表附注!G2909</f>
        <v>相符</v>
      </c>
      <c r="D175" s="1999"/>
    </row>
    <row r="176" ht="24.75" spans="2:4">
      <c r="B176" s="1990" t="s">
        <v>2670</v>
      </c>
      <c r="C176" s="1996" t="str">
        <f>报表附注!G2910</f>
        <v>不相符，差异:548682.3</v>
      </c>
      <c r="D176" s="1989"/>
    </row>
    <row r="177" ht="24.75" spans="2:4">
      <c r="B177" s="1990" t="s">
        <v>2671</v>
      </c>
      <c r="C177" s="1996" t="str">
        <f>报表附注!G2911</f>
        <v>相符</v>
      </c>
      <c r="D177" s="1989"/>
    </row>
    <row r="178" spans="2:4">
      <c r="B178" s="1994" t="s">
        <v>2672</v>
      </c>
      <c r="D178" s="1989"/>
    </row>
    <row r="179" spans="2:4">
      <c r="B179" s="1990" t="s">
        <v>2673</v>
      </c>
      <c r="C179" s="1996" t="str">
        <f>报表附注!I3155</f>
        <v>不相符，请说明差异：-1112994.49</v>
      </c>
      <c r="D179" s="1989"/>
    </row>
    <row r="180" spans="2:4">
      <c r="B180" s="1990" t="s">
        <v>2674</v>
      </c>
      <c r="C180" s="1996" t="str">
        <f>报表附注!I3156</f>
        <v>合理</v>
      </c>
      <c r="D180" s="1989"/>
    </row>
    <row r="181" spans="2:4">
      <c r="B181" s="1990" t="s">
        <v>2675</v>
      </c>
      <c r="C181" s="1996" t="str">
        <f>报表附注!I3157</f>
        <v>合理</v>
      </c>
      <c r="D181" s="1989"/>
    </row>
    <row r="182" spans="2:4">
      <c r="B182" s="1990" t="s">
        <v>2676</v>
      </c>
      <c r="C182" s="1996" t="str">
        <f>报表附注!I3158</f>
        <v>不合理</v>
      </c>
      <c r="D182" s="1989"/>
    </row>
    <row r="183" spans="2:2">
      <c r="B183" s="2000"/>
    </row>
  </sheetData>
  <sheetProtection formatCells="0"/>
  <conditionalFormatting sqref="C182">
    <cfRule type="containsText" dxfId="7" priority="1" operator="between" text="不">
      <formula>NOT(ISERROR(SEARCH("不",C182)))</formula>
    </cfRule>
    <cfRule type="containsText" priority="2" operator="between" text="不">
      <formula>NOT(ISERROR(SEARCH("不",C182)))</formula>
    </cfRule>
  </conditionalFormatting>
  <conditionalFormatting sqref="C183">
    <cfRule type="containsText" dxfId="7" priority="3" operator="between" text="不">
      <formula>NOT(ISERROR(SEARCH("不",C183)))</formula>
    </cfRule>
    <cfRule type="containsText" priority="4" operator="between" text="不">
      <formula>NOT(ISERROR(SEARCH("不",C183)))</formula>
    </cfRule>
  </conditionalFormatting>
  <conditionalFormatting sqref="D134:F134 C184:C1048576 C1:C181">
    <cfRule type="containsText" dxfId="7" priority="5" operator="between" text="不">
      <formula>NOT(ISERROR(SEARCH("不",C1)))</formula>
    </cfRule>
    <cfRule type="containsText" priority="6" operator="between" text="不">
      <formula>NOT(ISERROR(SEARCH("不",C1)))</formula>
    </cfRule>
  </conditionalFormatting>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IM148"/>
  <sheetViews>
    <sheetView view="pageBreakPreview" zoomScaleNormal="100" zoomScaleSheetLayoutView="100" workbookViewId="0">
      <pane xSplit="6" ySplit="8" topLeftCell="G9" activePane="bottomRight" state="frozen"/>
      <selection/>
      <selection pane="topRight"/>
      <selection pane="bottomLeft"/>
      <selection pane="bottomRight" activeCell="G14" sqref="G14"/>
    </sheetView>
  </sheetViews>
  <sheetFormatPr defaultColWidth="9" defaultRowHeight="14.25"/>
  <cols>
    <col min="1" max="1" width="15.375" customWidth="1"/>
    <col min="2" max="6" width="12.625" customWidth="1"/>
    <col min="7" max="7" width="57.5" customWidth="1"/>
    <col min="8" max="8" width="12.125" customWidth="1"/>
    <col min="252" max="252" width="33.25" customWidth="1"/>
    <col min="253" max="254" width="11.375" customWidth="1"/>
    <col min="255" max="255" width="10" customWidth="1"/>
    <col min="256" max="256" width="8.25" customWidth="1"/>
    <col min="257" max="257" width="7.5" customWidth="1"/>
    <col min="258" max="258" width="32" customWidth="1"/>
    <col min="259" max="259" width="10.25" customWidth="1"/>
    <col min="260" max="260" width="10.125" customWidth="1"/>
    <col min="261" max="261" width="12.25" customWidth="1"/>
    <col min="262" max="262" width="21" customWidth="1"/>
    <col min="508" max="508" width="33.25" customWidth="1"/>
    <col min="509" max="510" width="11.375" customWidth="1"/>
    <col min="511" max="511" width="10" customWidth="1"/>
    <col min="512" max="512" width="8.25" customWidth="1"/>
    <col min="513" max="513" width="7.5" customWidth="1"/>
    <col min="514" max="514" width="32" customWidth="1"/>
    <col min="515" max="515" width="10.25" customWidth="1"/>
    <col min="516" max="516" width="10.125" customWidth="1"/>
    <col min="517" max="517" width="12.25" customWidth="1"/>
    <col min="518" max="518" width="21" customWidth="1"/>
    <col min="764" max="764" width="33.25" customWidth="1"/>
    <col min="765" max="766" width="11.375" customWidth="1"/>
    <col min="767" max="767" width="10" customWidth="1"/>
    <col min="768" max="768" width="8.25" customWidth="1"/>
    <col min="769" max="769" width="7.5" customWidth="1"/>
    <col min="770" max="770" width="32" customWidth="1"/>
    <col min="771" max="771" width="10.25" customWidth="1"/>
    <col min="772" max="772" width="10.125" customWidth="1"/>
    <col min="773" max="773" width="12.25" customWidth="1"/>
    <col min="774" max="774" width="21" customWidth="1"/>
    <col min="1020" max="1020" width="33.25" customWidth="1"/>
    <col min="1021" max="1022" width="11.375" customWidth="1"/>
    <col min="1023" max="1023" width="10" customWidth="1"/>
    <col min="1024" max="1024" width="8.25" customWidth="1"/>
    <col min="1025" max="1025" width="7.5" customWidth="1"/>
    <col min="1026" max="1026" width="32" customWidth="1"/>
    <col min="1027" max="1027" width="10.25" customWidth="1"/>
    <col min="1028" max="1028" width="10.125" customWidth="1"/>
    <col min="1029" max="1029" width="12.25" customWidth="1"/>
    <col min="1030" max="1030" width="21" customWidth="1"/>
    <col min="1276" max="1276" width="33.25" customWidth="1"/>
    <col min="1277" max="1278" width="11.375" customWidth="1"/>
    <col min="1279" max="1279" width="10" customWidth="1"/>
    <col min="1280" max="1280" width="8.25" customWidth="1"/>
    <col min="1281" max="1281" width="7.5" customWidth="1"/>
    <col min="1282" max="1282" width="32" customWidth="1"/>
    <col min="1283" max="1283" width="10.25" customWidth="1"/>
    <col min="1284" max="1284" width="10.125" customWidth="1"/>
    <col min="1285" max="1285" width="12.25" customWidth="1"/>
    <col min="1286" max="1286" width="21" customWidth="1"/>
    <col min="1532" max="1532" width="33.25" customWidth="1"/>
    <col min="1533" max="1534" width="11.375" customWidth="1"/>
    <col min="1535" max="1535" width="10" customWidth="1"/>
    <col min="1536" max="1536" width="8.25" customWidth="1"/>
    <col min="1537" max="1537" width="7.5" customWidth="1"/>
    <col min="1538" max="1538" width="32" customWidth="1"/>
    <col min="1539" max="1539" width="10.25" customWidth="1"/>
    <col min="1540" max="1540" width="10.125" customWidth="1"/>
    <col min="1541" max="1541" width="12.25" customWidth="1"/>
    <col min="1542" max="1542" width="21" customWidth="1"/>
    <col min="1788" max="1788" width="33.25" customWidth="1"/>
    <col min="1789" max="1790" width="11.375" customWidth="1"/>
    <col min="1791" max="1791" width="10" customWidth="1"/>
    <col min="1792" max="1792" width="8.25" customWidth="1"/>
    <col min="1793" max="1793" width="7.5" customWidth="1"/>
    <col min="1794" max="1794" width="32" customWidth="1"/>
    <col min="1795" max="1795" width="10.25" customWidth="1"/>
    <col min="1796" max="1796" width="10.125" customWidth="1"/>
    <col min="1797" max="1797" width="12.25" customWidth="1"/>
    <col min="1798" max="1798" width="21" customWidth="1"/>
    <col min="2044" max="2044" width="33.25" customWidth="1"/>
    <col min="2045" max="2046" width="11.375" customWidth="1"/>
    <col min="2047" max="2047" width="10" customWidth="1"/>
    <col min="2048" max="2048" width="8.25" customWidth="1"/>
    <col min="2049" max="2049" width="7.5" customWidth="1"/>
    <col min="2050" max="2050" width="32" customWidth="1"/>
    <col min="2051" max="2051" width="10.25" customWidth="1"/>
    <col min="2052" max="2052" width="10.125" customWidth="1"/>
    <col min="2053" max="2053" width="12.25" customWidth="1"/>
    <col min="2054" max="2054" width="21" customWidth="1"/>
    <col min="2300" max="2300" width="33.25" customWidth="1"/>
    <col min="2301" max="2302" width="11.375" customWidth="1"/>
    <col min="2303" max="2303" width="10" customWidth="1"/>
    <col min="2304" max="2304" width="8.25" customWidth="1"/>
    <col min="2305" max="2305" width="7.5" customWidth="1"/>
    <col min="2306" max="2306" width="32" customWidth="1"/>
    <col min="2307" max="2307" width="10.25" customWidth="1"/>
    <col min="2308" max="2308" width="10.125" customWidth="1"/>
    <col min="2309" max="2309" width="12.25" customWidth="1"/>
    <col min="2310" max="2310" width="21" customWidth="1"/>
    <col min="2556" max="2556" width="33.25" customWidth="1"/>
    <col min="2557" max="2558" width="11.375" customWidth="1"/>
    <col min="2559" max="2559" width="10" customWidth="1"/>
    <col min="2560" max="2560" width="8.25" customWidth="1"/>
    <col min="2561" max="2561" width="7.5" customWidth="1"/>
    <col min="2562" max="2562" width="32" customWidth="1"/>
    <col min="2563" max="2563" width="10.25" customWidth="1"/>
    <col min="2564" max="2564" width="10.125" customWidth="1"/>
    <col min="2565" max="2565" width="12.25" customWidth="1"/>
    <col min="2566" max="2566" width="21" customWidth="1"/>
    <col min="2812" max="2812" width="33.25" customWidth="1"/>
    <col min="2813" max="2814" width="11.375" customWidth="1"/>
    <col min="2815" max="2815" width="10" customWidth="1"/>
    <col min="2816" max="2816" width="8.25" customWidth="1"/>
    <col min="2817" max="2817" width="7.5" customWidth="1"/>
    <col min="2818" max="2818" width="32" customWidth="1"/>
    <col min="2819" max="2819" width="10.25" customWidth="1"/>
    <col min="2820" max="2820" width="10.125" customWidth="1"/>
    <col min="2821" max="2821" width="12.25" customWidth="1"/>
    <col min="2822" max="2822" width="21" customWidth="1"/>
    <col min="3068" max="3068" width="33.25" customWidth="1"/>
    <col min="3069" max="3070" width="11.375" customWidth="1"/>
    <col min="3071" max="3071" width="10" customWidth="1"/>
    <col min="3072" max="3072" width="8.25" customWidth="1"/>
    <col min="3073" max="3073" width="7.5" customWidth="1"/>
    <col min="3074" max="3074" width="32" customWidth="1"/>
    <col min="3075" max="3075" width="10.25" customWidth="1"/>
    <col min="3076" max="3076" width="10.125" customWidth="1"/>
    <col min="3077" max="3077" width="12.25" customWidth="1"/>
    <col min="3078" max="3078" width="21" customWidth="1"/>
    <col min="3324" max="3324" width="33.25" customWidth="1"/>
    <col min="3325" max="3326" width="11.375" customWidth="1"/>
    <col min="3327" max="3327" width="10" customWidth="1"/>
    <col min="3328" max="3328" width="8.25" customWidth="1"/>
    <col min="3329" max="3329" width="7.5" customWidth="1"/>
    <col min="3330" max="3330" width="32" customWidth="1"/>
    <col min="3331" max="3331" width="10.25" customWidth="1"/>
    <col min="3332" max="3332" width="10.125" customWidth="1"/>
    <col min="3333" max="3333" width="12.25" customWidth="1"/>
    <col min="3334" max="3334" width="21" customWidth="1"/>
    <col min="3580" max="3580" width="33.25" customWidth="1"/>
    <col min="3581" max="3582" width="11.375" customWidth="1"/>
    <col min="3583" max="3583" width="10" customWidth="1"/>
    <col min="3584" max="3584" width="8.25" customWidth="1"/>
    <col min="3585" max="3585" width="7.5" customWidth="1"/>
    <col min="3586" max="3586" width="32" customWidth="1"/>
    <col min="3587" max="3587" width="10.25" customWidth="1"/>
    <col min="3588" max="3588" width="10.125" customWidth="1"/>
    <col min="3589" max="3589" width="12.25" customWidth="1"/>
    <col min="3590" max="3590" width="21" customWidth="1"/>
    <col min="3836" max="3836" width="33.25" customWidth="1"/>
    <col min="3837" max="3838" width="11.375" customWidth="1"/>
    <col min="3839" max="3839" width="10" customWidth="1"/>
    <col min="3840" max="3840" width="8.25" customWidth="1"/>
    <col min="3841" max="3841" width="7.5" customWidth="1"/>
    <col min="3842" max="3842" width="32" customWidth="1"/>
    <col min="3843" max="3843" width="10.25" customWidth="1"/>
    <col min="3844" max="3844" width="10.125" customWidth="1"/>
    <col min="3845" max="3845" width="12.25" customWidth="1"/>
    <col min="3846" max="3846" width="21" customWidth="1"/>
    <col min="4092" max="4092" width="33.25" customWidth="1"/>
    <col min="4093" max="4094" width="11.375" customWidth="1"/>
    <col min="4095" max="4095" width="10" customWidth="1"/>
    <col min="4096" max="4096" width="8.25" customWidth="1"/>
    <col min="4097" max="4097" width="7.5" customWidth="1"/>
    <col min="4098" max="4098" width="32" customWidth="1"/>
    <col min="4099" max="4099" width="10.25" customWidth="1"/>
    <col min="4100" max="4100" width="10.125" customWidth="1"/>
    <col min="4101" max="4101" width="12.25" customWidth="1"/>
    <col min="4102" max="4102" width="21" customWidth="1"/>
    <col min="4348" max="4348" width="33.25" customWidth="1"/>
    <col min="4349" max="4350" width="11.375" customWidth="1"/>
    <col min="4351" max="4351" width="10" customWidth="1"/>
    <col min="4352" max="4352" width="8.25" customWidth="1"/>
    <col min="4353" max="4353" width="7.5" customWidth="1"/>
    <col min="4354" max="4354" width="32" customWidth="1"/>
    <col min="4355" max="4355" width="10.25" customWidth="1"/>
    <col min="4356" max="4356" width="10.125" customWidth="1"/>
    <col min="4357" max="4357" width="12.25" customWidth="1"/>
    <col min="4358" max="4358" width="21" customWidth="1"/>
    <col min="4604" max="4604" width="33.25" customWidth="1"/>
    <col min="4605" max="4606" width="11.375" customWidth="1"/>
    <col min="4607" max="4607" width="10" customWidth="1"/>
    <col min="4608" max="4608" width="8.25" customWidth="1"/>
    <col min="4609" max="4609" width="7.5" customWidth="1"/>
    <col min="4610" max="4610" width="32" customWidth="1"/>
    <col min="4611" max="4611" width="10.25" customWidth="1"/>
    <col min="4612" max="4612" width="10.125" customWidth="1"/>
    <col min="4613" max="4613" width="12.25" customWidth="1"/>
    <col min="4614" max="4614" width="21" customWidth="1"/>
    <col min="4860" max="4860" width="33.25" customWidth="1"/>
    <col min="4861" max="4862" width="11.375" customWidth="1"/>
    <col min="4863" max="4863" width="10" customWidth="1"/>
    <col min="4864" max="4864" width="8.25" customWidth="1"/>
    <col min="4865" max="4865" width="7.5" customWidth="1"/>
    <col min="4866" max="4866" width="32" customWidth="1"/>
    <col min="4867" max="4867" width="10.25" customWidth="1"/>
    <col min="4868" max="4868" width="10.125" customWidth="1"/>
    <col min="4869" max="4869" width="12.25" customWidth="1"/>
    <col min="4870" max="4870" width="21" customWidth="1"/>
    <col min="5116" max="5116" width="33.25" customWidth="1"/>
    <col min="5117" max="5118" width="11.375" customWidth="1"/>
    <col min="5119" max="5119" width="10" customWidth="1"/>
    <col min="5120" max="5120" width="8.25" customWidth="1"/>
    <col min="5121" max="5121" width="7.5" customWidth="1"/>
    <col min="5122" max="5122" width="32" customWidth="1"/>
    <col min="5123" max="5123" width="10.25" customWidth="1"/>
    <col min="5124" max="5124" width="10.125" customWidth="1"/>
    <col min="5125" max="5125" width="12.25" customWidth="1"/>
    <col min="5126" max="5126" width="21" customWidth="1"/>
    <col min="5372" max="5372" width="33.25" customWidth="1"/>
    <col min="5373" max="5374" width="11.375" customWidth="1"/>
    <col min="5375" max="5375" width="10" customWidth="1"/>
    <col min="5376" max="5376" width="8.25" customWidth="1"/>
    <col min="5377" max="5377" width="7.5" customWidth="1"/>
    <col min="5378" max="5378" width="32" customWidth="1"/>
    <col min="5379" max="5379" width="10.25" customWidth="1"/>
    <col min="5380" max="5380" width="10.125" customWidth="1"/>
    <col min="5381" max="5381" width="12.25" customWidth="1"/>
    <col min="5382" max="5382" width="21" customWidth="1"/>
    <col min="5628" max="5628" width="33.25" customWidth="1"/>
    <col min="5629" max="5630" width="11.375" customWidth="1"/>
    <col min="5631" max="5631" width="10" customWidth="1"/>
    <col min="5632" max="5632" width="8.25" customWidth="1"/>
    <col min="5633" max="5633" width="7.5" customWidth="1"/>
    <col min="5634" max="5634" width="32" customWidth="1"/>
    <col min="5635" max="5635" width="10.25" customWidth="1"/>
    <col min="5636" max="5636" width="10.125" customWidth="1"/>
    <col min="5637" max="5637" width="12.25" customWidth="1"/>
    <col min="5638" max="5638" width="21" customWidth="1"/>
    <col min="5884" max="5884" width="33.25" customWidth="1"/>
    <col min="5885" max="5886" width="11.375" customWidth="1"/>
    <col min="5887" max="5887" width="10" customWidth="1"/>
    <col min="5888" max="5888" width="8.25" customWidth="1"/>
    <col min="5889" max="5889" width="7.5" customWidth="1"/>
    <col min="5890" max="5890" width="32" customWidth="1"/>
    <col min="5891" max="5891" width="10.25" customWidth="1"/>
    <col min="5892" max="5892" width="10.125" customWidth="1"/>
    <col min="5893" max="5893" width="12.25" customWidth="1"/>
    <col min="5894" max="5894" width="21" customWidth="1"/>
    <col min="6140" max="6140" width="33.25" customWidth="1"/>
    <col min="6141" max="6142" width="11.375" customWidth="1"/>
    <col min="6143" max="6143" width="10" customWidth="1"/>
    <col min="6144" max="6144" width="8.25" customWidth="1"/>
    <col min="6145" max="6145" width="7.5" customWidth="1"/>
    <col min="6146" max="6146" width="32" customWidth="1"/>
    <col min="6147" max="6147" width="10.25" customWidth="1"/>
    <col min="6148" max="6148" width="10.125" customWidth="1"/>
    <col min="6149" max="6149" width="12.25" customWidth="1"/>
    <col min="6150" max="6150" width="21" customWidth="1"/>
    <col min="6396" max="6396" width="33.25" customWidth="1"/>
    <col min="6397" max="6398" width="11.375" customWidth="1"/>
    <col min="6399" max="6399" width="10" customWidth="1"/>
    <col min="6400" max="6400" width="8.25" customWidth="1"/>
    <col min="6401" max="6401" width="7.5" customWidth="1"/>
    <col min="6402" max="6402" width="32" customWidth="1"/>
    <col min="6403" max="6403" width="10.25" customWidth="1"/>
    <col min="6404" max="6404" width="10.125" customWidth="1"/>
    <col min="6405" max="6405" width="12.25" customWidth="1"/>
    <col min="6406" max="6406" width="21" customWidth="1"/>
    <col min="6652" max="6652" width="33.25" customWidth="1"/>
    <col min="6653" max="6654" width="11.375" customWidth="1"/>
    <col min="6655" max="6655" width="10" customWidth="1"/>
    <col min="6656" max="6656" width="8.25" customWidth="1"/>
    <col min="6657" max="6657" width="7.5" customWidth="1"/>
    <col min="6658" max="6658" width="32" customWidth="1"/>
    <col min="6659" max="6659" width="10.25" customWidth="1"/>
    <col min="6660" max="6660" width="10.125" customWidth="1"/>
    <col min="6661" max="6661" width="12.25" customWidth="1"/>
    <col min="6662" max="6662" width="21" customWidth="1"/>
    <col min="6908" max="6908" width="33.25" customWidth="1"/>
    <col min="6909" max="6910" width="11.375" customWidth="1"/>
    <col min="6911" max="6911" width="10" customWidth="1"/>
    <col min="6912" max="6912" width="8.25" customWidth="1"/>
    <col min="6913" max="6913" width="7.5" customWidth="1"/>
    <col min="6914" max="6914" width="32" customWidth="1"/>
    <col min="6915" max="6915" width="10.25" customWidth="1"/>
    <col min="6916" max="6916" width="10.125" customWidth="1"/>
    <col min="6917" max="6917" width="12.25" customWidth="1"/>
    <col min="6918" max="6918" width="21" customWidth="1"/>
    <col min="7164" max="7164" width="33.25" customWidth="1"/>
    <col min="7165" max="7166" width="11.375" customWidth="1"/>
    <col min="7167" max="7167" width="10" customWidth="1"/>
    <col min="7168" max="7168" width="8.25" customWidth="1"/>
    <col min="7169" max="7169" width="7.5" customWidth="1"/>
    <col min="7170" max="7170" width="32" customWidth="1"/>
    <col min="7171" max="7171" width="10.25" customWidth="1"/>
    <col min="7172" max="7172" width="10.125" customWidth="1"/>
    <col min="7173" max="7173" width="12.25" customWidth="1"/>
    <col min="7174" max="7174" width="21" customWidth="1"/>
    <col min="7420" max="7420" width="33.25" customWidth="1"/>
    <col min="7421" max="7422" width="11.375" customWidth="1"/>
    <col min="7423" max="7423" width="10" customWidth="1"/>
    <col min="7424" max="7424" width="8.25" customWidth="1"/>
    <col min="7425" max="7425" width="7.5" customWidth="1"/>
    <col min="7426" max="7426" width="32" customWidth="1"/>
    <col min="7427" max="7427" width="10.25" customWidth="1"/>
    <col min="7428" max="7428" width="10.125" customWidth="1"/>
    <col min="7429" max="7429" width="12.25" customWidth="1"/>
    <col min="7430" max="7430" width="21" customWidth="1"/>
    <col min="7676" max="7676" width="33.25" customWidth="1"/>
    <col min="7677" max="7678" width="11.375" customWidth="1"/>
    <col min="7679" max="7679" width="10" customWidth="1"/>
    <col min="7680" max="7680" width="8.25" customWidth="1"/>
    <col min="7681" max="7681" width="7.5" customWidth="1"/>
    <col min="7682" max="7682" width="32" customWidth="1"/>
    <col min="7683" max="7683" width="10.25" customWidth="1"/>
    <col min="7684" max="7684" width="10.125" customWidth="1"/>
    <col min="7685" max="7685" width="12.25" customWidth="1"/>
    <col min="7686" max="7686" width="21" customWidth="1"/>
    <col min="7932" max="7932" width="33.25" customWidth="1"/>
    <col min="7933" max="7934" width="11.375" customWidth="1"/>
    <col min="7935" max="7935" width="10" customWidth="1"/>
    <col min="7936" max="7936" width="8.25" customWidth="1"/>
    <col min="7937" max="7937" width="7.5" customWidth="1"/>
    <col min="7938" max="7938" width="32" customWidth="1"/>
    <col min="7939" max="7939" width="10.25" customWidth="1"/>
    <col min="7940" max="7940" width="10.125" customWidth="1"/>
    <col min="7941" max="7941" width="12.25" customWidth="1"/>
    <col min="7942" max="7942" width="21" customWidth="1"/>
    <col min="8188" max="8188" width="33.25" customWidth="1"/>
    <col min="8189" max="8190" width="11.375" customWidth="1"/>
    <col min="8191" max="8191" width="10" customWidth="1"/>
    <col min="8192" max="8192" width="8.25" customWidth="1"/>
    <col min="8193" max="8193" width="7.5" customWidth="1"/>
    <col min="8194" max="8194" width="32" customWidth="1"/>
    <col min="8195" max="8195" width="10.25" customWidth="1"/>
    <col min="8196" max="8196" width="10.125" customWidth="1"/>
    <col min="8197" max="8197" width="12.25" customWidth="1"/>
    <col min="8198" max="8198" width="21" customWidth="1"/>
    <col min="8444" max="8444" width="33.25" customWidth="1"/>
    <col min="8445" max="8446" width="11.375" customWidth="1"/>
    <col min="8447" max="8447" width="10" customWidth="1"/>
    <col min="8448" max="8448" width="8.25" customWidth="1"/>
    <col min="8449" max="8449" width="7.5" customWidth="1"/>
    <col min="8450" max="8450" width="32" customWidth="1"/>
    <col min="8451" max="8451" width="10.25" customWidth="1"/>
    <col min="8452" max="8452" width="10.125" customWidth="1"/>
    <col min="8453" max="8453" width="12.25" customWidth="1"/>
    <col min="8454" max="8454" width="21" customWidth="1"/>
    <col min="8700" max="8700" width="33.25" customWidth="1"/>
    <col min="8701" max="8702" width="11.375" customWidth="1"/>
    <col min="8703" max="8703" width="10" customWidth="1"/>
    <col min="8704" max="8704" width="8.25" customWidth="1"/>
    <col min="8705" max="8705" width="7.5" customWidth="1"/>
    <col min="8706" max="8706" width="32" customWidth="1"/>
    <col min="8707" max="8707" width="10.25" customWidth="1"/>
    <col min="8708" max="8708" width="10.125" customWidth="1"/>
    <col min="8709" max="8709" width="12.25" customWidth="1"/>
    <col min="8710" max="8710" width="21" customWidth="1"/>
    <col min="8956" max="8956" width="33.25" customWidth="1"/>
    <col min="8957" max="8958" width="11.375" customWidth="1"/>
    <col min="8959" max="8959" width="10" customWidth="1"/>
    <col min="8960" max="8960" width="8.25" customWidth="1"/>
    <col min="8961" max="8961" width="7.5" customWidth="1"/>
    <col min="8962" max="8962" width="32" customWidth="1"/>
    <col min="8963" max="8963" width="10.25" customWidth="1"/>
    <col min="8964" max="8964" width="10.125" customWidth="1"/>
    <col min="8965" max="8965" width="12.25" customWidth="1"/>
    <col min="8966" max="8966" width="21" customWidth="1"/>
    <col min="9212" max="9212" width="33.25" customWidth="1"/>
    <col min="9213" max="9214" width="11.375" customWidth="1"/>
    <col min="9215" max="9215" width="10" customWidth="1"/>
    <col min="9216" max="9216" width="8.25" customWidth="1"/>
    <col min="9217" max="9217" width="7.5" customWidth="1"/>
    <col min="9218" max="9218" width="32" customWidth="1"/>
    <col min="9219" max="9219" width="10.25" customWidth="1"/>
    <col min="9220" max="9220" width="10.125" customWidth="1"/>
    <col min="9221" max="9221" width="12.25" customWidth="1"/>
    <col min="9222" max="9222" width="21" customWidth="1"/>
    <col min="9468" max="9468" width="33.25" customWidth="1"/>
    <col min="9469" max="9470" width="11.375" customWidth="1"/>
    <col min="9471" max="9471" width="10" customWidth="1"/>
    <col min="9472" max="9472" width="8.25" customWidth="1"/>
    <col min="9473" max="9473" width="7.5" customWidth="1"/>
    <col min="9474" max="9474" width="32" customWidth="1"/>
    <col min="9475" max="9475" width="10.25" customWidth="1"/>
    <col min="9476" max="9476" width="10.125" customWidth="1"/>
    <col min="9477" max="9477" width="12.25" customWidth="1"/>
    <col min="9478" max="9478" width="21" customWidth="1"/>
    <col min="9724" max="9724" width="33.25" customWidth="1"/>
    <col min="9725" max="9726" width="11.375" customWidth="1"/>
    <col min="9727" max="9727" width="10" customWidth="1"/>
    <col min="9728" max="9728" width="8.25" customWidth="1"/>
    <col min="9729" max="9729" width="7.5" customWidth="1"/>
    <col min="9730" max="9730" width="32" customWidth="1"/>
    <col min="9731" max="9731" width="10.25" customWidth="1"/>
    <col min="9732" max="9732" width="10.125" customWidth="1"/>
    <col min="9733" max="9733" width="12.25" customWidth="1"/>
    <col min="9734" max="9734" width="21" customWidth="1"/>
    <col min="9980" max="9980" width="33.25" customWidth="1"/>
    <col min="9981" max="9982" width="11.375" customWidth="1"/>
    <col min="9983" max="9983" width="10" customWidth="1"/>
    <col min="9984" max="9984" width="8.25" customWidth="1"/>
    <col min="9985" max="9985" width="7.5" customWidth="1"/>
    <col min="9986" max="9986" width="32" customWidth="1"/>
    <col min="9987" max="9987" width="10.25" customWidth="1"/>
    <col min="9988" max="9988" width="10.125" customWidth="1"/>
    <col min="9989" max="9989" width="12.25" customWidth="1"/>
    <col min="9990" max="9990" width="21" customWidth="1"/>
    <col min="10236" max="10236" width="33.25" customWidth="1"/>
    <col min="10237" max="10238" width="11.375" customWidth="1"/>
    <col min="10239" max="10239" width="10" customWidth="1"/>
    <col min="10240" max="10240" width="8.25" customWidth="1"/>
    <col min="10241" max="10241" width="7.5" customWidth="1"/>
    <col min="10242" max="10242" width="32" customWidth="1"/>
    <col min="10243" max="10243" width="10.25" customWidth="1"/>
    <col min="10244" max="10244" width="10.125" customWidth="1"/>
    <col min="10245" max="10245" width="12.25" customWidth="1"/>
    <col min="10246" max="10246" width="21" customWidth="1"/>
    <col min="10492" max="10492" width="33.25" customWidth="1"/>
    <col min="10493" max="10494" width="11.375" customWidth="1"/>
    <col min="10495" max="10495" width="10" customWidth="1"/>
    <col min="10496" max="10496" width="8.25" customWidth="1"/>
    <col min="10497" max="10497" width="7.5" customWidth="1"/>
    <col min="10498" max="10498" width="32" customWidth="1"/>
    <col min="10499" max="10499" width="10.25" customWidth="1"/>
    <col min="10500" max="10500" width="10.125" customWidth="1"/>
    <col min="10501" max="10501" width="12.25" customWidth="1"/>
    <col min="10502" max="10502" width="21" customWidth="1"/>
    <col min="10748" max="10748" width="33.25" customWidth="1"/>
    <col min="10749" max="10750" width="11.375" customWidth="1"/>
    <col min="10751" max="10751" width="10" customWidth="1"/>
    <col min="10752" max="10752" width="8.25" customWidth="1"/>
    <col min="10753" max="10753" width="7.5" customWidth="1"/>
    <col min="10754" max="10754" width="32" customWidth="1"/>
    <col min="10755" max="10755" width="10.25" customWidth="1"/>
    <col min="10756" max="10756" width="10.125" customWidth="1"/>
    <col min="10757" max="10757" width="12.25" customWidth="1"/>
    <col min="10758" max="10758" width="21" customWidth="1"/>
    <col min="11004" max="11004" width="33.25" customWidth="1"/>
    <col min="11005" max="11006" width="11.375" customWidth="1"/>
    <col min="11007" max="11007" width="10" customWidth="1"/>
    <col min="11008" max="11008" width="8.25" customWidth="1"/>
    <col min="11009" max="11009" width="7.5" customWidth="1"/>
    <col min="11010" max="11010" width="32" customWidth="1"/>
    <col min="11011" max="11011" width="10.25" customWidth="1"/>
    <col min="11012" max="11012" width="10.125" customWidth="1"/>
    <col min="11013" max="11013" width="12.25" customWidth="1"/>
    <col min="11014" max="11014" width="21" customWidth="1"/>
    <col min="11260" max="11260" width="33.25" customWidth="1"/>
    <col min="11261" max="11262" width="11.375" customWidth="1"/>
    <col min="11263" max="11263" width="10" customWidth="1"/>
    <col min="11264" max="11264" width="8.25" customWidth="1"/>
    <col min="11265" max="11265" width="7.5" customWidth="1"/>
    <col min="11266" max="11266" width="32" customWidth="1"/>
    <col min="11267" max="11267" width="10.25" customWidth="1"/>
    <col min="11268" max="11268" width="10.125" customWidth="1"/>
    <col min="11269" max="11269" width="12.25" customWidth="1"/>
    <col min="11270" max="11270" width="21" customWidth="1"/>
    <col min="11516" max="11516" width="33.25" customWidth="1"/>
    <col min="11517" max="11518" width="11.375" customWidth="1"/>
    <col min="11519" max="11519" width="10" customWidth="1"/>
    <col min="11520" max="11520" width="8.25" customWidth="1"/>
    <col min="11521" max="11521" width="7.5" customWidth="1"/>
    <col min="11522" max="11522" width="32" customWidth="1"/>
    <col min="11523" max="11523" width="10.25" customWidth="1"/>
    <col min="11524" max="11524" width="10.125" customWidth="1"/>
    <col min="11525" max="11525" width="12.25" customWidth="1"/>
    <col min="11526" max="11526" width="21" customWidth="1"/>
    <col min="11772" max="11772" width="33.25" customWidth="1"/>
    <col min="11773" max="11774" width="11.375" customWidth="1"/>
    <col min="11775" max="11775" width="10" customWidth="1"/>
    <col min="11776" max="11776" width="8.25" customWidth="1"/>
    <col min="11777" max="11777" width="7.5" customWidth="1"/>
    <col min="11778" max="11778" width="32" customWidth="1"/>
    <col min="11779" max="11779" width="10.25" customWidth="1"/>
    <col min="11780" max="11780" width="10.125" customWidth="1"/>
    <col min="11781" max="11781" width="12.25" customWidth="1"/>
    <col min="11782" max="11782" width="21" customWidth="1"/>
    <col min="12028" max="12028" width="33.25" customWidth="1"/>
    <col min="12029" max="12030" width="11.375" customWidth="1"/>
    <col min="12031" max="12031" width="10" customWidth="1"/>
    <col min="12032" max="12032" width="8.25" customWidth="1"/>
    <col min="12033" max="12033" width="7.5" customWidth="1"/>
    <col min="12034" max="12034" width="32" customWidth="1"/>
    <col min="12035" max="12035" width="10.25" customWidth="1"/>
    <col min="12036" max="12036" width="10.125" customWidth="1"/>
    <col min="12037" max="12037" width="12.25" customWidth="1"/>
    <col min="12038" max="12038" width="21" customWidth="1"/>
    <col min="12284" max="12284" width="33.25" customWidth="1"/>
    <col min="12285" max="12286" width="11.375" customWidth="1"/>
    <col min="12287" max="12287" width="10" customWidth="1"/>
    <col min="12288" max="12288" width="8.25" customWidth="1"/>
    <col min="12289" max="12289" width="7.5" customWidth="1"/>
    <col min="12290" max="12290" width="32" customWidth="1"/>
    <col min="12291" max="12291" width="10.25" customWidth="1"/>
    <col min="12292" max="12292" width="10.125" customWidth="1"/>
    <col min="12293" max="12293" width="12.25" customWidth="1"/>
    <col min="12294" max="12294" width="21" customWidth="1"/>
    <col min="12540" max="12540" width="33.25" customWidth="1"/>
    <col min="12541" max="12542" width="11.375" customWidth="1"/>
    <col min="12543" max="12543" width="10" customWidth="1"/>
    <col min="12544" max="12544" width="8.25" customWidth="1"/>
    <col min="12545" max="12545" width="7.5" customWidth="1"/>
    <col min="12546" max="12546" width="32" customWidth="1"/>
    <col min="12547" max="12547" width="10.25" customWidth="1"/>
    <col min="12548" max="12548" width="10.125" customWidth="1"/>
    <col min="12549" max="12549" width="12.25" customWidth="1"/>
    <col min="12550" max="12550" width="21" customWidth="1"/>
    <col min="12796" max="12796" width="33.25" customWidth="1"/>
    <col min="12797" max="12798" width="11.375" customWidth="1"/>
    <col min="12799" max="12799" width="10" customWidth="1"/>
    <col min="12800" max="12800" width="8.25" customWidth="1"/>
    <col min="12801" max="12801" width="7.5" customWidth="1"/>
    <col min="12802" max="12802" width="32" customWidth="1"/>
    <col min="12803" max="12803" width="10.25" customWidth="1"/>
    <col min="12804" max="12804" width="10.125" customWidth="1"/>
    <col min="12805" max="12805" width="12.25" customWidth="1"/>
    <col min="12806" max="12806" width="21" customWidth="1"/>
    <col min="13052" max="13052" width="33.25" customWidth="1"/>
    <col min="13053" max="13054" width="11.375" customWidth="1"/>
    <col min="13055" max="13055" width="10" customWidth="1"/>
    <col min="13056" max="13056" width="8.25" customWidth="1"/>
    <col min="13057" max="13057" width="7.5" customWidth="1"/>
    <col min="13058" max="13058" width="32" customWidth="1"/>
    <col min="13059" max="13059" width="10.25" customWidth="1"/>
    <col min="13060" max="13060" width="10.125" customWidth="1"/>
    <col min="13061" max="13061" width="12.25" customWidth="1"/>
    <col min="13062" max="13062" width="21" customWidth="1"/>
    <col min="13308" max="13308" width="33.25" customWidth="1"/>
    <col min="13309" max="13310" width="11.375" customWidth="1"/>
    <col min="13311" max="13311" width="10" customWidth="1"/>
    <col min="13312" max="13312" width="8.25" customWidth="1"/>
    <col min="13313" max="13313" width="7.5" customWidth="1"/>
    <col min="13314" max="13314" width="32" customWidth="1"/>
    <col min="13315" max="13315" width="10.25" customWidth="1"/>
    <col min="13316" max="13316" width="10.125" customWidth="1"/>
    <col min="13317" max="13317" width="12.25" customWidth="1"/>
    <col min="13318" max="13318" width="21" customWidth="1"/>
    <col min="13564" max="13564" width="33.25" customWidth="1"/>
    <col min="13565" max="13566" width="11.375" customWidth="1"/>
    <col min="13567" max="13567" width="10" customWidth="1"/>
    <col min="13568" max="13568" width="8.25" customWidth="1"/>
    <col min="13569" max="13569" width="7.5" customWidth="1"/>
    <col min="13570" max="13570" width="32" customWidth="1"/>
    <col min="13571" max="13571" width="10.25" customWidth="1"/>
    <col min="13572" max="13572" width="10.125" customWidth="1"/>
    <col min="13573" max="13573" width="12.25" customWidth="1"/>
    <col min="13574" max="13574" width="21" customWidth="1"/>
    <col min="13820" max="13820" width="33.25" customWidth="1"/>
    <col min="13821" max="13822" width="11.375" customWidth="1"/>
    <col min="13823" max="13823" width="10" customWidth="1"/>
    <col min="13824" max="13824" width="8.25" customWidth="1"/>
    <col min="13825" max="13825" width="7.5" customWidth="1"/>
    <col min="13826" max="13826" width="32" customWidth="1"/>
    <col min="13827" max="13827" width="10.25" customWidth="1"/>
    <col min="13828" max="13828" width="10.125" customWidth="1"/>
    <col min="13829" max="13829" width="12.25" customWidth="1"/>
    <col min="13830" max="13830" width="21" customWidth="1"/>
    <col min="14076" max="14076" width="33.25" customWidth="1"/>
    <col min="14077" max="14078" width="11.375" customWidth="1"/>
    <col min="14079" max="14079" width="10" customWidth="1"/>
    <col min="14080" max="14080" width="8.25" customWidth="1"/>
    <col min="14081" max="14081" width="7.5" customWidth="1"/>
    <col min="14082" max="14082" width="32" customWidth="1"/>
    <col min="14083" max="14083" width="10.25" customWidth="1"/>
    <col min="14084" max="14084" width="10.125" customWidth="1"/>
    <col min="14085" max="14085" width="12.25" customWidth="1"/>
    <col min="14086" max="14086" width="21" customWidth="1"/>
    <col min="14332" max="14332" width="33.25" customWidth="1"/>
    <col min="14333" max="14334" width="11.375" customWidth="1"/>
    <col min="14335" max="14335" width="10" customWidth="1"/>
    <col min="14336" max="14336" width="8.25" customWidth="1"/>
    <col min="14337" max="14337" width="7.5" customWidth="1"/>
    <col min="14338" max="14338" width="32" customWidth="1"/>
    <col min="14339" max="14339" width="10.25" customWidth="1"/>
    <col min="14340" max="14340" width="10.125" customWidth="1"/>
    <col min="14341" max="14341" width="12.25" customWidth="1"/>
    <col min="14342" max="14342" width="21" customWidth="1"/>
    <col min="14588" max="14588" width="33.25" customWidth="1"/>
    <col min="14589" max="14590" width="11.375" customWidth="1"/>
    <col min="14591" max="14591" width="10" customWidth="1"/>
    <col min="14592" max="14592" width="8.25" customWidth="1"/>
    <col min="14593" max="14593" width="7.5" customWidth="1"/>
    <col min="14594" max="14594" width="32" customWidth="1"/>
    <col min="14595" max="14595" width="10.25" customWidth="1"/>
    <col min="14596" max="14596" width="10.125" customWidth="1"/>
    <col min="14597" max="14597" width="12.25" customWidth="1"/>
    <col min="14598" max="14598" width="21" customWidth="1"/>
    <col min="14844" max="14844" width="33.25" customWidth="1"/>
    <col min="14845" max="14846" width="11.375" customWidth="1"/>
    <col min="14847" max="14847" width="10" customWidth="1"/>
    <col min="14848" max="14848" width="8.25" customWidth="1"/>
    <col min="14849" max="14849" width="7.5" customWidth="1"/>
    <col min="14850" max="14850" width="32" customWidth="1"/>
    <col min="14851" max="14851" width="10.25" customWidth="1"/>
    <col min="14852" max="14852" width="10.125" customWidth="1"/>
    <col min="14853" max="14853" width="12.25" customWidth="1"/>
    <col min="14854" max="14854" width="21" customWidth="1"/>
    <col min="15100" max="15100" width="33.25" customWidth="1"/>
    <col min="15101" max="15102" width="11.375" customWidth="1"/>
    <col min="15103" max="15103" width="10" customWidth="1"/>
    <col min="15104" max="15104" width="8.25" customWidth="1"/>
    <col min="15105" max="15105" width="7.5" customWidth="1"/>
    <col min="15106" max="15106" width="32" customWidth="1"/>
    <col min="15107" max="15107" width="10.25" customWidth="1"/>
    <col min="15108" max="15108" width="10.125" customWidth="1"/>
    <col min="15109" max="15109" width="12.25" customWidth="1"/>
    <col min="15110" max="15110" width="21" customWidth="1"/>
    <col min="15356" max="15356" width="33.25" customWidth="1"/>
    <col min="15357" max="15358" width="11.375" customWidth="1"/>
    <col min="15359" max="15359" width="10" customWidth="1"/>
    <col min="15360" max="15360" width="8.25" customWidth="1"/>
    <col min="15361" max="15361" width="7.5" customWidth="1"/>
    <col min="15362" max="15362" width="32" customWidth="1"/>
    <col min="15363" max="15363" width="10.25" customWidth="1"/>
    <col min="15364" max="15364" width="10.125" customWidth="1"/>
    <col min="15365" max="15365" width="12.25" customWidth="1"/>
    <col min="15366" max="15366" width="21" customWidth="1"/>
    <col min="15612" max="15612" width="33.25" customWidth="1"/>
    <col min="15613" max="15614" width="11.375" customWidth="1"/>
    <col min="15615" max="15615" width="10" customWidth="1"/>
    <col min="15616" max="15616" width="8.25" customWidth="1"/>
    <col min="15617" max="15617" width="7.5" customWidth="1"/>
    <col min="15618" max="15618" width="32" customWidth="1"/>
    <col min="15619" max="15619" width="10.25" customWidth="1"/>
    <col min="15620" max="15620" width="10.125" customWidth="1"/>
    <col min="15621" max="15621" width="12.25" customWidth="1"/>
    <col min="15622" max="15622" width="21" customWidth="1"/>
    <col min="15868" max="15868" width="33.25" customWidth="1"/>
    <col min="15869" max="15870" width="11.375" customWidth="1"/>
    <col min="15871" max="15871" width="10" customWidth="1"/>
    <col min="15872" max="15872" width="8.25" customWidth="1"/>
    <col min="15873" max="15873" width="7.5" customWidth="1"/>
    <col min="15874" max="15874" width="32" customWidth="1"/>
    <col min="15875" max="15875" width="10.25" customWidth="1"/>
    <col min="15876" max="15876" width="10.125" customWidth="1"/>
    <col min="15877" max="15877" width="12.25" customWidth="1"/>
    <col min="15878" max="15878" width="21" customWidth="1"/>
    <col min="16124" max="16124" width="33.25" customWidth="1"/>
    <col min="16125" max="16126" width="11.375" customWidth="1"/>
    <col min="16127" max="16127" width="10" customWidth="1"/>
    <col min="16128" max="16128" width="8.25" customWidth="1"/>
    <col min="16129" max="16129" width="7.5" customWidth="1"/>
    <col min="16130" max="16130" width="32" customWidth="1"/>
    <col min="16131" max="16131" width="10.25" customWidth="1"/>
    <col min="16132" max="16132" width="10.125" customWidth="1"/>
    <col min="16133" max="16133" width="12.25" customWidth="1"/>
    <col min="16134" max="16134" width="21" customWidth="1"/>
  </cols>
  <sheetData>
    <row r="1" ht="15.75" spans="1:7">
      <c r="A1" s="1920"/>
      <c r="B1" s="1920"/>
      <c r="C1" s="1920"/>
      <c r="D1" s="1920"/>
      <c r="E1" s="1920"/>
      <c r="F1" s="1920"/>
      <c r="G1" s="1920"/>
    </row>
    <row r="2" ht="15.75" spans="1:7">
      <c r="A2" s="1920"/>
      <c r="B2" s="1920"/>
      <c r="C2" s="1920"/>
      <c r="D2" s="1920"/>
      <c r="E2" s="1920"/>
      <c r="F2" s="1920"/>
      <c r="G2" s="1920"/>
    </row>
    <row r="3" ht="22.5" spans="1:7">
      <c r="A3" s="1921" t="s">
        <v>2677</v>
      </c>
      <c r="B3" s="1921"/>
      <c r="C3" s="1921"/>
      <c r="D3" s="1921"/>
      <c r="E3" s="1921"/>
      <c r="F3" s="1921"/>
      <c r="G3" s="1921"/>
    </row>
    <row r="4" spans="1:7">
      <c r="A4" s="1922" t="str">
        <f>"客户名称："&amp;参数表!$C$3</f>
        <v>客户名称：深圳新阳蓝光能源管理科技股份有限公司</v>
      </c>
      <c r="B4" s="1922"/>
      <c r="C4" s="1923" t="str">
        <f>"编制："&amp;参数表!$F$10</f>
        <v>编制：</v>
      </c>
      <c r="D4" s="1923"/>
      <c r="E4" s="1922" t="str">
        <f>"日期："&amp;资负表及利润表调整分录!H169</f>
        <v>日期：43141</v>
      </c>
      <c r="F4" s="1922"/>
      <c r="G4" s="1924" t="s">
        <v>2678</v>
      </c>
    </row>
    <row r="5" spans="1:7">
      <c r="A5" s="1923" t="str">
        <f>"截止日期："&amp;参数表!$D$7</f>
        <v>截止日期：2016年度</v>
      </c>
      <c r="B5" s="1923"/>
      <c r="C5" s="1925" t="str">
        <f>"复核："&amp;参数表!$C$11</f>
        <v>复核：</v>
      </c>
      <c r="D5" s="1925"/>
      <c r="E5" s="1926" t="str">
        <f>"日期："&amp;资负表及利润表调整分录!H170</f>
        <v>日期：43144</v>
      </c>
      <c r="F5" s="1926"/>
      <c r="G5" s="1924"/>
    </row>
    <row r="6" ht="12.75" customHeight="1" spans="1:247">
      <c r="A6" s="1927" t="s">
        <v>2679</v>
      </c>
      <c r="B6" s="1928" t="s">
        <v>2680</v>
      </c>
      <c r="C6" s="1928" t="s">
        <v>2681</v>
      </c>
      <c r="D6" s="1929" t="s">
        <v>2682</v>
      </c>
      <c r="E6" s="1928" t="s">
        <v>2683</v>
      </c>
      <c r="F6" s="1930"/>
      <c r="G6" s="1931"/>
      <c r="H6" s="1932"/>
      <c r="I6" s="1932"/>
      <c r="J6" s="1932"/>
      <c r="K6" s="1932"/>
      <c r="L6" s="1932"/>
      <c r="M6" s="1932"/>
      <c r="N6" s="1932"/>
      <c r="O6" s="1932"/>
      <c r="P6" s="1932"/>
      <c r="Q6" s="1932"/>
      <c r="R6" s="1932"/>
      <c r="S6" s="1932"/>
      <c r="T6" s="1932"/>
      <c r="U6" s="1932"/>
      <c r="V6" s="1932"/>
      <c r="W6" s="1932"/>
      <c r="X6" s="1932"/>
      <c r="Y6" s="1932"/>
      <c r="Z6" s="1932"/>
      <c r="AA6" s="1932"/>
      <c r="AB6" s="1932"/>
      <c r="AC6" s="1932"/>
      <c r="AD6" s="1932"/>
      <c r="AE6" s="1932"/>
      <c r="AF6" s="1932"/>
      <c r="AG6" s="1932"/>
      <c r="AH6" s="1932"/>
      <c r="AI6" s="1932"/>
      <c r="AJ6" s="1932"/>
      <c r="AK6" s="1932"/>
      <c r="AL6" s="1932"/>
      <c r="AM6" s="1932"/>
      <c r="AN6" s="1932"/>
      <c r="AO6" s="1932"/>
      <c r="AP6" s="1932"/>
      <c r="AQ6" s="1932"/>
      <c r="AR6" s="1932"/>
      <c r="AS6" s="1932"/>
      <c r="AT6" s="1932"/>
      <c r="AU6" s="1932"/>
      <c r="AV6" s="1932"/>
      <c r="AW6" s="1932"/>
      <c r="AX6" s="1932"/>
      <c r="AY6" s="1932"/>
      <c r="AZ6" s="1932"/>
      <c r="BA6" s="1932"/>
      <c r="BB6" s="1932"/>
      <c r="BC6" s="1932"/>
      <c r="BD6" s="1932"/>
      <c r="BE6" s="1932"/>
      <c r="BF6" s="1932"/>
      <c r="BG6" s="1932"/>
      <c r="BH6" s="1932"/>
      <c r="BI6" s="1932"/>
      <c r="BJ6" s="1932"/>
      <c r="BK6" s="1932"/>
      <c r="BL6" s="1932"/>
      <c r="BM6" s="1932"/>
      <c r="BN6" s="1932"/>
      <c r="BO6" s="1932"/>
      <c r="BP6" s="1932"/>
      <c r="BQ6" s="1932"/>
      <c r="BR6" s="1932"/>
      <c r="BS6" s="1932"/>
      <c r="BT6" s="1932"/>
      <c r="BU6" s="1932"/>
      <c r="BV6" s="1932"/>
      <c r="BW6" s="1932"/>
      <c r="BX6" s="1932"/>
      <c r="BY6" s="1932"/>
      <c r="BZ6" s="1932"/>
      <c r="CA6" s="1932"/>
      <c r="CB6" s="1932"/>
      <c r="CC6" s="1932"/>
      <c r="CD6" s="1932"/>
      <c r="CE6" s="1932"/>
      <c r="CF6" s="1932"/>
      <c r="CG6" s="1932"/>
      <c r="CH6" s="1932"/>
      <c r="CI6" s="1932"/>
      <c r="CJ6" s="1932"/>
      <c r="CK6" s="1932"/>
      <c r="CL6" s="1932"/>
      <c r="CM6" s="1932"/>
      <c r="CN6" s="1932"/>
      <c r="CO6" s="1932"/>
      <c r="CP6" s="1932"/>
      <c r="CQ6" s="1932"/>
      <c r="CR6" s="1932"/>
      <c r="CS6" s="1932"/>
      <c r="CT6" s="1932"/>
      <c r="CU6" s="1932"/>
      <c r="CV6" s="1932"/>
      <c r="CW6" s="1932"/>
      <c r="CX6" s="1932"/>
      <c r="CY6" s="1932"/>
      <c r="CZ6" s="1932"/>
      <c r="DA6" s="1932"/>
      <c r="DB6" s="1932"/>
      <c r="DC6" s="1932"/>
      <c r="DD6" s="1932"/>
      <c r="DE6" s="1932"/>
      <c r="DF6" s="1932"/>
      <c r="DG6" s="1932"/>
      <c r="DH6" s="1932"/>
      <c r="DI6" s="1932"/>
      <c r="DJ6" s="1932"/>
      <c r="DK6" s="1932"/>
      <c r="DL6" s="1932"/>
      <c r="DM6" s="1932"/>
      <c r="DN6" s="1932"/>
      <c r="DO6" s="1932"/>
      <c r="DP6" s="1932"/>
      <c r="DQ6" s="1932"/>
      <c r="DR6" s="1932"/>
      <c r="DS6" s="1932"/>
      <c r="DT6" s="1932"/>
      <c r="DU6" s="1932"/>
      <c r="DV6" s="1932"/>
      <c r="DW6" s="1932"/>
      <c r="DX6" s="1932"/>
      <c r="DY6" s="1932"/>
      <c r="DZ6" s="1932"/>
      <c r="EA6" s="1932"/>
      <c r="EB6" s="1932"/>
      <c r="EC6" s="1932"/>
      <c r="ED6" s="1932"/>
      <c r="EE6" s="1932"/>
      <c r="EF6" s="1932"/>
      <c r="EG6" s="1932"/>
      <c r="EH6" s="1932"/>
      <c r="EI6" s="1932"/>
      <c r="EJ6" s="1932"/>
      <c r="EK6" s="1932"/>
      <c r="EL6" s="1932"/>
      <c r="EM6" s="1932"/>
      <c r="EN6" s="1932"/>
      <c r="EO6" s="1932"/>
      <c r="EP6" s="1932"/>
      <c r="EQ6" s="1932"/>
      <c r="ER6" s="1932"/>
      <c r="ES6" s="1932"/>
      <c r="ET6" s="1932"/>
      <c r="EU6" s="1932"/>
      <c r="EV6" s="1932"/>
      <c r="EW6" s="1932"/>
      <c r="EX6" s="1932"/>
      <c r="EY6" s="1932"/>
      <c r="EZ6" s="1932"/>
      <c r="FA6" s="1932"/>
      <c r="FB6" s="1932"/>
      <c r="FC6" s="1932"/>
      <c r="FD6" s="1932"/>
      <c r="FE6" s="1932"/>
      <c r="FF6" s="1932"/>
      <c r="FG6" s="1932"/>
      <c r="FH6" s="1932"/>
      <c r="FI6" s="1932"/>
      <c r="FJ6" s="1932"/>
      <c r="FK6" s="1932"/>
      <c r="FL6" s="1932"/>
      <c r="FM6" s="1932"/>
      <c r="FN6" s="1932"/>
      <c r="FO6" s="1932"/>
      <c r="FP6" s="1932"/>
      <c r="FQ6" s="1932"/>
      <c r="FR6" s="1932"/>
      <c r="FS6" s="1932"/>
      <c r="FT6" s="1932"/>
      <c r="FU6" s="1932"/>
      <c r="FV6" s="1932"/>
      <c r="FW6" s="1932"/>
      <c r="FX6" s="1932"/>
      <c r="FY6" s="1932"/>
      <c r="FZ6" s="1932"/>
      <c r="GA6" s="1932"/>
      <c r="GB6" s="1932"/>
      <c r="GC6" s="1932"/>
      <c r="GD6" s="1932"/>
      <c r="GE6" s="1932"/>
      <c r="GF6" s="1932"/>
      <c r="GG6" s="1932"/>
      <c r="GH6" s="1932"/>
      <c r="GI6" s="1932"/>
      <c r="GJ6" s="1932"/>
      <c r="GK6" s="1932"/>
      <c r="GL6" s="1932"/>
      <c r="GM6" s="1932"/>
      <c r="GN6" s="1932"/>
      <c r="GO6" s="1932"/>
      <c r="GP6" s="1932"/>
      <c r="GQ6" s="1932"/>
      <c r="GR6" s="1932"/>
      <c r="GS6" s="1932"/>
      <c r="GT6" s="1932"/>
      <c r="GU6" s="1932"/>
      <c r="GV6" s="1932"/>
      <c r="GW6" s="1932"/>
      <c r="GX6" s="1932"/>
      <c r="GY6" s="1932"/>
      <c r="GZ6" s="1932"/>
      <c r="HA6" s="1932"/>
      <c r="HB6" s="1932"/>
      <c r="HC6" s="1932"/>
      <c r="HD6" s="1932"/>
      <c r="HE6" s="1932"/>
      <c r="HF6" s="1932"/>
      <c r="HG6" s="1932"/>
      <c r="HH6" s="1932"/>
      <c r="HI6" s="1932"/>
      <c r="HJ6" s="1932"/>
      <c r="HK6" s="1932"/>
      <c r="HL6" s="1932"/>
      <c r="HM6" s="1932"/>
      <c r="HN6" s="1932"/>
      <c r="HO6" s="1932"/>
      <c r="HP6" s="1932"/>
      <c r="HQ6" s="1932"/>
      <c r="HR6" s="1932"/>
      <c r="HS6" s="1932"/>
      <c r="HT6" s="1932"/>
      <c r="HU6" s="1932"/>
      <c r="HV6" s="1932"/>
      <c r="HW6" s="1932"/>
      <c r="HX6" s="1932"/>
      <c r="HY6" s="1932"/>
      <c r="HZ6" s="1932"/>
      <c r="IA6" s="1932"/>
      <c r="IB6" s="1932"/>
      <c r="IC6" s="1932"/>
      <c r="ID6" s="1932"/>
      <c r="IE6" s="1932"/>
      <c r="IF6" s="1932"/>
      <c r="IG6" s="1932"/>
      <c r="IH6" s="1932"/>
      <c r="II6" s="1932"/>
      <c r="IJ6" s="1932"/>
      <c r="IK6" s="1932"/>
      <c r="IL6" s="1932"/>
      <c r="IM6" s="1932"/>
    </row>
    <row r="7" ht="12.75" customHeight="1" spans="1:247">
      <c r="A7" s="1933"/>
      <c r="B7" s="1934"/>
      <c r="C7" s="1934"/>
      <c r="D7" s="1935"/>
      <c r="E7" s="1936" t="s">
        <v>2684</v>
      </c>
      <c r="F7" s="1937" t="s">
        <v>2685</v>
      </c>
      <c r="G7" s="1938" t="s">
        <v>2686</v>
      </c>
      <c r="H7" s="1932"/>
      <c r="I7" s="1932"/>
      <c r="J7" s="1932"/>
      <c r="K7" s="1932"/>
      <c r="L7" s="1932"/>
      <c r="M7" s="1932"/>
      <c r="N7" s="1932"/>
      <c r="O7" s="1932"/>
      <c r="P7" s="1932"/>
      <c r="Q7" s="1932"/>
      <c r="R7" s="1932"/>
      <c r="S7" s="1932"/>
      <c r="T7" s="1932"/>
      <c r="U7" s="1932"/>
      <c r="V7" s="1932"/>
      <c r="W7" s="1932"/>
      <c r="X7" s="1932"/>
      <c r="Y7" s="1932"/>
      <c r="Z7" s="1932"/>
      <c r="AA7" s="1932"/>
      <c r="AB7" s="1932"/>
      <c r="AC7" s="1932"/>
      <c r="AD7" s="1932"/>
      <c r="AE7" s="1932"/>
      <c r="AF7" s="1932"/>
      <c r="AG7" s="1932"/>
      <c r="AH7" s="1932"/>
      <c r="AI7" s="1932"/>
      <c r="AJ7" s="1932"/>
      <c r="AK7" s="1932"/>
      <c r="AL7" s="1932"/>
      <c r="AM7" s="1932"/>
      <c r="AN7" s="1932"/>
      <c r="AO7" s="1932"/>
      <c r="AP7" s="1932"/>
      <c r="AQ7" s="1932"/>
      <c r="AR7" s="1932"/>
      <c r="AS7" s="1932"/>
      <c r="AT7" s="1932"/>
      <c r="AU7" s="1932"/>
      <c r="AV7" s="1932"/>
      <c r="AW7" s="1932"/>
      <c r="AX7" s="1932"/>
      <c r="AY7" s="1932"/>
      <c r="AZ7" s="1932"/>
      <c r="BA7" s="1932"/>
      <c r="BB7" s="1932"/>
      <c r="BC7" s="1932"/>
      <c r="BD7" s="1932"/>
      <c r="BE7" s="1932"/>
      <c r="BF7" s="1932"/>
      <c r="BG7" s="1932"/>
      <c r="BH7" s="1932"/>
      <c r="BI7" s="1932"/>
      <c r="BJ7" s="1932"/>
      <c r="BK7" s="1932"/>
      <c r="BL7" s="1932"/>
      <c r="BM7" s="1932"/>
      <c r="BN7" s="1932"/>
      <c r="BO7" s="1932"/>
      <c r="BP7" s="1932"/>
      <c r="BQ7" s="1932"/>
      <c r="BR7" s="1932"/>
      <c r="BS7" s="1932"/>
      <c r="BT7" s="1932"/>
      <c r="BU7" s="1932"/>
      <c r="BV7" s="1932"/>
      <c r="BW7" s="1932"/>
      <c r="BX7" s="1932"/>
      <c r="BY7" s="1932"/>
      <c r="BZ7" s="1932"/>
      <c r="CA7" s="1932"/>
      <c r="CB7" s="1932"/>
      <c r="CC7" s="1932"/>
      <c r="CD7" s="1932"/>
      <c r="CE7" s="1932"/>
      <c r="CF7" s="1932"/>
      <c r="CG7" s="1932"/>
      <c r="CH7" s="1932"/>
      <c r="CI7" s="1932"/>
      <c r="CJ7" s="1932"/>
      <c r="CK7" s="1932"/>
      <c r="CL7" s="1932"/>
      <c r="CM7" s="1932"/>
      <c r="CN7" s="1932"/>
      <c r="CO7" s="1932"/>
      <c r="CP7" s="1932"/>
      <c r="CQ7" s="1932"/>
      <c r="CR7" s="1932"/>
      <c r="CS7" s="1932"/>
      <c r="CT7" s="1932"/>
      <c r="CU7" s="1932"/>
      <c r="CV7" s="1932"/>
      <c r="CW7" s="1932"/>
      <c r="CX7" s="1932"/>
      <c r="CY7" s="1932"/>
      <c r="CZ7" s="1932"/>
      <c r="DA7" s="1932"/>
      <c r="DB7" s="1932"/>
      <c r="DC7" s="1932"/>
      <c r="DD7" s="1932"/>
      <c r="DE7" s="1932"/>
      <c r="DF7" s="1932"/>
      <c r="DG7" s="1932"/>
      <c r="DH7" s="1932"/>
      <c r="DI7" s="1932"/>
      <c r="DJ7" s="1932"/>
      <c r="DK7" s="1932"/>
      <c r="DL7" s="1932"/>
      <c r="DM7" s="1932"/>
      <c r="DN7" s="1932"/>
      <c r="DO7" s="1932"/>
      <c r="DP7" s="1932"/>
      <c r="DQ7" s="1932"/>
      <c r="DR7" s="1932"/>
      <c r="DS7" s="1932"/>
      <c r="DT7" s="1932"/>
      <c r="DU7" s="1932"/>
      <c r="DV7" s="1932"/>
      <c r="DW7" s="1932"/>
      <c r="DX7" s="1932"/>
      <c r="DY7" s="1932"/>
      <c r="DZ7" s="1932"/>
      <c r="EA7" s="1932"/>
      <c r="EB7" s="1932"/>
      <c r="EC7" s="1932"/>
      <c r="ED7" s="1932"/>
      <c r="EE7" s="1932"/>
      <c r="EF7" s="1932"/>
      <c r="EG7" s="1932"/>
      <c r="EH7" s="1932"/>
      <c r="EI7" s="1932"/>
      <c r="EJ7" s="1932"/>
      <c r="EK7" s="1932"/>
      <c r="EL7" s="1932"/>
      <c r="EM7" s="1932"/>
      <c r="EN7" s="1932"/>
      <c r="EO7" s="1932"/>
      <c r="EP7" s="1932"/>
      <c r="EQ7" s="1932"/>
      <c r="ER7" s="1932"/>
      <c r="ES7" s="1932"/>
      <c r="ET7" s="1932"/>
      <c r="EU7" s="1932"/>
      <c r="EV7" s="1932"/>
      <c r="EW7" s="1932"/>
      <c r="EX7" s="1932"/>
      <c r="EY7" s="1932"/>
      <c r="EZ7" s="1932"/>
      <c r="FA7" s="1932"/>
      <c r="FB7" s="1932"/>
      <c r="FC7" s="1932"/>
      <c r="FD7" s="1932"/>
      <c r="FE7" s="1932"/>
      <c r="FF7" s="1932"/>
      <c r="FG7" s="1932"/>
      <c r="FH7" s="1932"/>
      <c r="FI7" s="1932"/>
      <c r="FJ7" s="1932"/>
      <c r="FK7" s="1932"/>
      <c r="FL7" s="1932"/>
      <c r="FM7" s="1932"/>
      <c r="FN7" s="1932"/>
      <c r="FO7" s="1932"/>
      <c r="FP7" s="1932"/>
      <c r="FQ7" s="1932"/>
      <c r="FR7" s="1932"/>
      <c r="FS7" s="1932"/>
      <c r="FT7" s="1932"/>
      <c r="FU7" s="1932"/>
      <c r="FV7" s="1932"/>
      <c r="FW7" s="1932"/>
      <c r="FX7" s="1932"/>
      <c r="FY7" s="1932"/>
      <c r="FZ7" s="1932"/>
      <c r="GA7" s="1932"/>
      <c r="GB7" s="1932"/>
      <c r="GC7" s="1932"/>
      <c r="GD7" s="1932"/>
      <c r="GE7" s="1932"/>
      <c r="GF7" s="1932"/>
      <c r="GG7" s="1932"/>
      <c r="GH7" s="1932"/>
      <c r="GI7" s="1932"/>
      <c r="GJ7" s="1932"/>
      <c r="GK7" s="1932"/>
      <c r="GL7" s="1932"/>
      <c r="GM7" s="1932"/>
      <c r="GN7" s="1932"/>
      <c r="GO7" s="1932"/>
      <c r="GP7" s="1932"/>
      <c r="GQ7" s="1932"/>
      <c r="GR7" s="1932"/>
      <c r="GS7" s="1932"/>
      <c r="GT7" s="1932"/>
      <c r="GU7" s="1932"/>
      <c r="GV7" s="1932"/>
      <c r="GW7" s="1932"/>
      <c r="GX7" s="1932"/>
      <c r="GY7" s="1932"/>
      <c r="GZ7" s="1932"/>
      <c r="HA7" s="1932"/>
      <c r="HB7" s="1932"/>
      <c r="HC7" s="1932"/>
      <c r="HD7" s="1932"/>
      <c r="HE7" s="1932"/>
      <c r="HF7" s="1932"/>
      <c r="HG7" s="1932"/>
      <c r="HH7" s="1932"/>
      <c r="HI7" s="1932"/>
      <c r="HJ7" s="1932"/>
      <c r="HK7" s="1932"/>
      <c r="HL7" s="1932"/>
      <c r="HM7" s="1932"/>
      <c r="HN7" s="1932"/>
      <c r="HO7" s="1932"/>
      <c r="HP7" s="1932"/>
      <c r="HQ7" s="1932"/>
      <c r="HR7" s="1932"/>
      <c r="HS7" s="1932"/>
      <c r="HT7" s="1932"/>
      <c r="HU7" s="1932"/>
      <c r="HV7" s="1932"/>
      <c r="HW7" s="1932"/>
      <c r="HX7" s="1932"/>
      <c r="HY7" s="1932"/>
      <c r="HZ7" s="1932"/>
      <c r="IA7" s="1932"/>
      <c r="IB7" s="1932"/>
      <c r="IC7" s="1932"/>
      <c r="ID7" s="1932"/>
      <c r="IE7" s="1932"/>
      <c r="IF7" s="1932"/>
      <c r="IG7" s="1932"/>
      <c r="IH7" s="1932"/>
      <c r="II7" s="1932"/>
      <c r="IJ7" s="1932"/>
      <c r="IK7" s="1932"/>
      <c r="IL7" s="1932"/>
      <c r="IM7" s="1932"/>
    </row>
    <row r="8" ht="12.75" customHeight="1" spans="1:247">
      <c r="A8" s="1939"/>
      <c r="B8" s="1940">
        <v>1</v>
      </c>
      <c r="C8" s="1940">
        <v>2</v>
      </c>
      <c r="D8" s="1940">
        <v>3</v>
      </c>
      <c r="E8" s="1940" t="s">
        <v>2461</v>
      </c>
      <c r="F8" s="1940" t="s">
        <v>2462</v>
      </c>
      <c r="G8" s="1941">
        <v>6</v>
      </c>
      <c r="H8" s="1932"/>
      <c r="I8" s="1932"/>
      <c r="J8" s="1932"/>
      <c r="K8" s="1932"/>
      <c r="L8" s="1932"/>
      <c r="M8" s="1932"/>
      <c r="N8" s="1932"/>
      <c r="O8" s="1932"/>
      <c r="P8" s="1932"/>
      <c r="Q8" s="1932"/>
      <c r="R8" s="1932"/>
      <c r="S8" s="1932"/>
      <c r="T8" s="1932"/>
      <c r="U8" s="1932"/>
      <c r="V8" s="1932"/>
      <c r="W8" s="1932"/>
      <c r="X8" s="1932"/>
      <c r="Y8" s="1932"/>
      <c r="Z8" s="1932"/>
      <c r="AA8" s="1932"/>
      <c r="AB8" s="1932"/>
      <c r="AC8" s="1932"/>
      <c r="AD8" s="1932"/>
      <c r="AE8" s="1932"/>
      <c r="AF8" s="1932"/>
      <c r="AG8" s="1932"/>
      <c r="AH8" s="1932"/>
      <c r="AI8" s="1932"/>
      <c r="AJ8" s="1932"/>
      <c r="AK8" s="1932"/>
      <c r="AL8" s="1932"/>
      <c r="AM8" s="1932"/>
      <c r="AN8" s="1932"/>
      <c r="AO8" s="1932"/>
      <c r="AP8" s="1932"/>
      <c r="AQ8" s="1932"/>
      <c r="AR8" s="1932"/>
      <c r="AS8" s="1932"/>
      <c r="AT8" s="1932"/>
      <c r="AU8" s="1932"/>
      <c r="AV8" s="1932"/>
      <c r="AW8" s="1932"/>
      <c r="AX8" s="1932"/>
      <c r="AY8" s="1932"/>
      <c r="AZ8" s="1932"/>
      <c r="BA8" s="1932"/>
      <c r="BB8" s="1932"/>
      <c r="BC8" s="1932"/>
      <c r="BD8" s="1932"/>
      <c r="BE8" s="1932"/>
      <c r="BF8" s="1932"/>
      <c r="BG8" s="1932"/>
      <c r="BH8" s="1932"/>
      <c r="BI8" s="1932"/>
      <c r="BJ8" s="1932"/>
      <c r="BK8" s="1932"/>
      <c r="BL8" s="1932"/>
      <c r="BM8" s="1932"/>
      <c r="BN8" s="1932"/>
      <c r="BO8" s="1932"/>
      <c r="BP8" s="1932"/>
      <c r="BQ8" s="1932"/>
      <c r="BR8" s="1932"/>
      <c r="BS8" s="1932"/>
      <c r="BT8" s="1932"/>
      <c r="BU8" s="1932"/>
      <c r="BV8" s="1932"/>
      <c r="BW8" s="1932"/>
      <c r="BX8" s="1932"/>
      <c r="BY8" s="1932"/>
      <c r="BZ8" s="1932"/>
      <c r="CA8" s="1932"/>
      <c r="CB8" s="1932"/>
      <c r="CC8" s="1932"/>
      <c r="CD8" s="1932"/>
      <c r="CE8" s="1932"/>
      <c r="CF8" s="1932"/>
      <c r="CG8" s="1932"/>
      <c r="CH8" s="1932"/>
      <c r="CI8" s="1932"/>
      <c r="CJ8" s="1932"/>
      <c r="CK8" s="1932"/>
      <c r="CL8" s="1932"/>
      <c r="CM8" s="1932"/>
      <c r="CN8" s="1932"/>
      <c r="CO8" s="1932"/>
      <c r="CP8" s="1932"/>
      <c r="CQ8" s="1932"/>
      <c r="CR8" s="1932"/>
      <c r="CS8" s="1932"/>
      <c r="CT8" s="1932"/>
      <c r="CU8" s="1932"/>
      <c r="CV8" s="1932"/>
      <c r="CW8" s="1932"/>
      <c r="CX8" s="1932"/>
      <c r="CY8" s="1932"/>
      <c r="CZ8" s="1932"/>
      <c r="DA8" s="1932"/>
      <c r="DB8" s="1932"/>
      <c r="DC8" s="1932"/>
      <c r="DD8" s="1932"/>
      <c r="DE8" s="1932"/>
      <c r="DF8" s="1932"/>
      <c r="DG8" s="1932"/>
      <c r="DH8" s="1932"/>
      <c r="DI8" s="1932"/>
      <c r="DJ8" s="1932"/>
      <c r="DK8" s="1932"/>
      <c r="DL8" s="1932"/>
      <c r="DM8" s="1932"/>
      <c r="DN8" s="1932"/>
      <c r="DO8" s="1932"/>
      <c r="DP8" s="1932"/>
      <c r="DQ8" s="1932"/>
      <c r="DR8" s="1932"/>
      <c r="DS8" s="1932"/>
      <c r="DT8" s="1932"/>
      <c r="DU8" s="1932"/>
      <c r="DV8" s="1932"/>
      <c r="DW8" s="1932"/>
      <c r="DX8" s="1932"/>
      <c r="DY8" s="1932"/>
      <c r="DZ8" s="1932"/>
      <c r="EA8" s="1932"/>
      <c r="EB8" s="1932"/>
      <c r="EC8" s="1932"/>
      <c r="ED8" s="1932"/>
      <c r="EE8" s="1932"/>
      <c r="EF8" s="1932"/>
      <c r="EG8" s="1932"/>
      <c r="EH8" s="1932"/>
      <c r="EI8" s="1932"/>
      <c r="EJ8" s="1932"/>
      <c r="EK8" s="1932"/>
      <c r="EL8" s="1932"/>
      <c r="EM8" s="1932"/>
      <c r="EN8" s="1932"/>
      <c r="EO8" s="1932"/>
      <c r="EP8" s="1932"/>
      <c r="EQ8" s="1932"/>
      <c r="ER8" s="1932"/>
      <c r="ES8" s="1932"/>
      <c r="ET8" s="1932"/>
      <c r="EU8" s="1932"/>
      <c r="EV8" s="1932"/>
      <c r="EW8" s="1932"/>
      <c r="EX8" s="1932"/>
      <c r="EY8" s="1932"/>
      <c r="EZ8" s="1932"/>
      <c r="FA8" s="1932"/>
      <c r="FB8" s="1932"/>
      <c r="FC8" s="1932"/>
      <c r="FD8" s="1932"/>
      <c r="FE8" s="1932"/>
      <c r="FF8" s="1932"/>
      <c r="FG8" s="1932"/>
      <c r="FH8" s="1932"/>
      <c r="FI8" s="1932"/>
      <c r="FJ8" s="1932"/>
      <c r="FK8" s="1932"/>
      <c r="FL8" s="1932"/>
      <c r="FM8" s="1932"/>
      <c r="FN8" s="1932"/>
      <c r="FO8" s="1932"/>
      <c r="FP8" s="1932"/>
      <c r="FQ8" s="1932"/>
      <c r="FR8" s="1932"/>
      <c r="FS8" s="1932"/>
      <c r="FT8" s="1932"/>
      <c r="FU8" s="1932"/>
      <c r="FV8" s="1932"/>
      <c r="FW8" s="1932"/>
      <c r="FX8" s="1932"/>
      <c r="FY8" s="1932"/>
      <c r="FZ8" s="1932"/>
      <c r="GA8" s="1932"/>
      <c r="GB8" s="1932"/>
      <c r="GC8" s="1932"/>
      <c r="GD8" s="1932"/>
      <c r="GE8" s="1932"/>
      <c r="GF8" s="1932"/>
      <c r="GG8" s="1932"/>
      <c r="GH8" s="1932"/>
      <c r="GI8" s="1932"/>
      <c r="GJ8" s="1932"/>
      <c r="GK8" s="1932"/>
      <c r="GL8" s="1932"/>
      <c r="GM8" s="1932"/>
      <c r="GN8" s="1932"/>
      <c r="GO8" s="1932"/>
      <c r="GP8" s="1932"/>
      <c r="GQ8" s="1932"/>
      <c r="GR8" s="1932"/>
      <c r="GS8" s="1932"/>
      <c r="GT8" s="1932"/>
      <c r="GU8" s="1932"/>
      <c r="GV8" s="1932"/>
      <c r="GW8" s="1932"/>
      <c r="GX8" s="1932"/>
      <c r="GY8" s="1932"/>
      <c r="GZ8" s="1932"/>
      <c r="HA8" s="1932"/>
      <c r="HB8" s="1932"/>
      <c r="HC8" s="1932"/>
      <c r="HD8" s="1932"/>
      <c r="HE8" s="1932"/>
      <c r="HF8" s="1932"/>
      <c r="HG8" s="1932"/>
      <c r="HH8" s="1932"/>
      <c r="HI8" s="1932"/>
      <c r="HJ8" s="1932"/>
      <c r="HK8" s="1932"/>
      <c r="HL8" s="1932"/>
      <c r="HM8" s="1932"/>
      <c r="HN8" s="1932"/>
      <c r="HO8" s="1932"/>
      <c r="HP8" s="1932"/>
      <c r="HQ8" s="1932"/>
      <c r="HR8" s="1932"/>
      <c r="HS8" s="1932"/>
      <c r="HT8" s="1932"/>
      <c r="HU8" s="1932"/>
      <c r="HV8" s="1932"/>
      <c r="HW8" s="1932"/>
      <c r="HX8" s="1932"/>
      <c r="HY8" s="1932"/>
      <c r="HZ8" s="1932"/>
      <c r="IA8" s="1932"/>
      <c r="IB8" s="1932"/>
      <c r="IC8" s="1932"/>
      <c r="ID8" s="1932"/>
      <c r="IE8" s="1932"/>
      <c r="IF8" s="1932"/>
      <c r="IG8" s="1932"/>
      <c r="IH8" s="1932"/>
      <c r="II8" s="1932"/>
      <c r="IJ8" s="1932"/>
      <c r="IK8" s="1932"/>
      <c r="IL8" s="1932"/>
      <c r="IM8" s="1932"/>
    </row>
    <row r="9" ht="16.5" spans="1:247">
      <c r="A9" s="1942" t="s">
        <v>194</v>
      </c>
      <c r="B9" s="1943"/>
      <c r="C9" s="1943"/>
      <c r="D9" s="1943"/>
      <c r="E9" s="1943"/>
      <c r="F9" s="1943"/>
      <c r="G9" s="1944"/>
      <c r="H9" s="1945"/>
      <c r="I9" s="1945"/>
      <c r="J9" s="1945"/>
      <c r="K9" s="1945"/>
      <c r="L9" s="1945"/>
      <c r="M9" s="1945"/>
      <c r="N9" s="1945"/>
      <c r="O9" s="1945"/>
      <c r="P9" s="1945"/>
      <c r="Q9" s="1945"/>
      <c r="R9" s="1945"/>
      <c r="S9" s="1945"/>
      <c r="T9" s="1945"/>
      <c r="U9" s="1945"/>
      <c r="V9" s="1945"/>
      <c r="W9" s="1945"/>
      <c r="X9" s="1945"/>
      <c r="Y9" s="1945"/>
      <c r="Z9" s="1945"/>
      <c r="AA9" s="1945"/>
      <c r="AB9" s="1945"/>
      <c r="AC9" s="1945"/>
      <c r="AD9" s="1945"/>
      <c r="AE9" s="1945"/>
      <c r="AF9" s="1945"/>
      <c r="AG9" s="1945"/>
      <c r="AH9" s="1945"/>
      <c r="AI9" s="1945"/>
      <c r="AJ9" s="1945"/>
      <c r="AK9" s="1945"/>
      <c r="AL9" s="1945"/>
      <c r="AM9" s="1945"/>
      <c r="AN9" s="1945"/>
      <c r="AO9" s="1945"/>
      <c r="AP9" s="1945"/>
      <c r="AQ9" s="1945"/>
      <c r="AR9" s="1945"/>
      <c r="AS9" s="1945"/>
      <c r="AT9" s="1945"/>
      <c r="AU9" s="1945"/>
      <c r="AV9" s="1945"/>
      <c r="AW9" s="1945"/>
      <c r="AX9" s="1945"/>
      <c r="AY9" s="1945"/>
      <c r="AZ9" s="1945"/>
      <c r="BA9" s="1945"/>
      <c r="BB9" s="1945"/>
      <c r="BC9" s="1945"/>
      <c r="BD9" s="1945"/>
      <c r="BE9" s="1945"/>
      <c r="BF9" s="1945"/>
      <c r="BG9" s="1945"/>
      <c r="BH9" s="1945"/>
      <c r="BI9" s="1945"/>
      <c r="BJ9" s="1945"/>
      <c r="BK9" s="1945"/>
      <c r="BL9" s="1945"/>
      <c r="BM9" s="1945"/>
      <c r="BN9" s="1945"/>
      <c r="BO9" s="1945"/>
      <c r="BP9" s="1945"/>
      <c r="BQ9" s="1945"/>
      <c r="BR9" s="1945"/>
      <c r="BS9" s="1945"/>
      <c r="BT9" s="1945"/>
      <c r="BU9" s="1945"/>
      <c r="BV9" s="1945"/>
      <c r="BW9" s="1945"/>
      <c r="BX9" s="1945"/>
      <c r="BY9" s="1945"/>
      <c r="BZ9" s="1945"/>
      <c r="CA9" s="1945"/>
      <c r="CB9" s="1945"/>
      <c r="CC9" s="1945"/>
      <c r="CD9" s="1945"/>
      <c r="CE9" s="1945"/>
      <c r="CF9" s="1945"/>
      <c r="CG9" s="1945"/>
      <c r="CH9" s="1945"/>
      <c r="CI9" s="1945"/>
      <c r="CJ9" s="1945"/>
      <c r="CK9" s="1945"/>
      <c r="CL9" s="1945"/>
      <c r="CM9" s="1945"/>
      <c r="CN9" s="1945"/>
      <c r="CO9" s="1945"/>
      <c r="CP9" s="1945"/>
      <c r="CQ9" s="1945"/>
      <c r="CR9" s="1945"/>
      <c r="CS9" s="1945"/>
      <c r="CT9" s="1945"/>
      <c r="CU9" s="1945"/>
      <c r="CV9" s="1945"/>
      <c r="CW9" s="1945"/>
      <c r="CX9" s="1945"/>
      <c r="CY9" s="1945"/>
      <c r="CZ9" s="1945"/>
      <c r="DA9" s="1945"/>
      <c r="DB9" s="1945"/>
      <c r="DC9" s="1945"/>
      <c r="DD9" s="1945"/>
      <c r="DE9" s="1945"/>
      <c r="DF9" s="1945"/>
      <c r="DG9" s="1945"/>
      <c r="DH9" s="1945"/>
      <c r="DI9" s="1945"/>
      <c r="DJ9" s="1945"/>
      <c r="DK9" s="1945"/>
      <c r="DL9" s="1945"/>
      <c r="DM9" s="1945"/>
      <c r="DN9" s="1945"/>
      <c r="DO9" s="1945"/>
      <c r="DP9" s="1945"/>
      <c r="DQ9" s="1945"/>
      <c r="DR9" s="1945"/>
      <c r="DS9" s="1945"/>
      <c r="DT9" s="1945"/>
      <c r="DU9" s="1945"/>
      <c r="DV9" s="1945"/>
      <c r="DW9" s="1945"/>
      <c r="DX9" s="1945"/>
      <c r="DY9" s="1945"/>
      <c r="DZ9" s="1945"/>
      <c r="EA9" s="1945"/>
      <c r="EB9" s="1945"/>
      <c r="EC9" s="1945"/>
      <c r="ED9" s="1945"/>
      <c r="EE9" s="1945"/>
      <c r="EF9" s="1945"/>
      <c r="EG9" s="1945"/>
      <c r="EH9" s="1945"/>
      <c r="EI9" s="1945"/>
      <c r="EJ9" s="1945"/>
      <c r="EK9" s="1945"/>
      <c r="EL9" s="1945"/>
      <c r="EM9" s="1945"/>
      <c r="EN9" s="1945"/>
      <c r="EO9" s="1945"/>
      <c r="EP9" s="1945"/>
      <c r="EQ9" s="1945"/>
      <c r="ER9" s="1945"/>
      <c r="ES9" s="1945"/>
      <c r="ET9" s="1945"/>
      <c r="EU9" s="1945"/>
      <c r="EV9" s="1945"/>
      <c r="EW9" s="1945"/>
      <c r="EX9" s="1945"/>
      <c r="EY9" s="1945"/>
      <c r="EZ9" s="1945"/>
      <c r="FA9" s="1945"/>
      <c r="FB9" s="1945"/>
      <c r="FC9" s="1945"/>
      <c r="FD9" s="1945"/>
      <c r="FE9" s="1945"/>
      <c r="FF9" s="1945"/>
      <c r="FG9" s="1945"/>
      <c r="FH9" s="1945"/>
      <c r="FI9" s="1945"/>
      <c r="FJ9" s="1945"/>
      <c r="FK9" s="1945"/>
      <c r="FL9" s="1945"/>
      <c r="FM9" s="1945"/>
      <c r="FN9" s="1945"/>
      <c r="FO9" s="1945"/>
      <c r="FP9" s="1945"/>
      <c r="FQ9" s="1945"/>
      <c r="FR9" s="1945"/>
      <c r="FS9" s="1945"/>
      <c r="FT9" s="1945"/>
      <c r="FU9" s="1945"/>
      <c r="FV9" s="1945"/>
      <c r="FW9" s="1945"/>
      <c r="FX9" s="1945"/>
      <c r="FY9" s="1945"/>
      <c r="FZ9" s="1945"/>
      <c r="GA9" s="1945"/>
      <c r="GB9" s="1945"/>
      <c r="GC9" s="1945"/>
      <c r="GD9" s="1945"/>
      <c r="GE9" s="1945"/>
      <c r="GF9" s="1945"/>
      <c r="GG9" s="1945"/>
      <c r="GH9" s="1945"/>
      <c r="GI9" s="1945"/>
      <c r="GJ9" s="1945"/>
      <c r="GK9" s="1945"/>
      <c r="GL9" s="1945"/>
      <c r="GM9" s="1945"/>
      <c r="GN9" s="1945"/>
      <c r="GO9" s="1945"/>
      <c r="GP9" s="1945"/>
      <c r="GQ9" s="1945"/>
      <c r="GR9" s="1945"/>
      <c r="GS9" s="1945"/>
      <c r="GT9" s="1945"/>
      <c r="GU9" s="1945"/>
      <c r="GV9" s="1945"/>
      <c r="GW9" s="1945"/>
      <c r="GX9" s="1945"/>
      <c r="GY9" s="1945"/>
      <c r="GZ9" s="1945"/>
      <c r="HA9" s="1945"/>
      <c r="HB9" s="1945"/>
      <c r="HC9" s="1945"/>
      <c r="HD9" s="1945"/>
      <c r="HE9" s="1945"/>
      <c r="HF9" s="1945"/>
      <c r="HG9" s="1945"/>
      <c r="HH9" s="1945"/>
      <c r="HI9" s="1945"/>
      <c r="HJ9" s="1945"/>
      <c r="HK9" s="1945"/>
      <c r="HL9" s="1945"/>
      <c r="HM9" s="1945"/>
      <c r="HN9" s="1945"/>
      <c r="HO9" s="1945"/>
      <c r="HP9" s="1945"/>
      <c r="HQ9" s="1945"/>
      <c r="HR9" s="1945"/>
      <c r="HS9" s="1945"/>
      <c r="HT9" s="1945"/>
      <c r="HU9" s="1945"/>
      <c r="HV9" s="1945"/>
      <c r="HW9" s="1945"/>
      <c r="HX9" s="1945"/>
      <c r="HY9" s="1945"/>
      <c r="HZ9" s="1945"/>
      <c r="IA9" s="1945"/>
      <c r="IB9" s="1945"/>
      <c r="IC9" s="1945"/>
      <c r="ID9" s="1945"/>
      <c r="IE9" s="1945"/>
      <c r="IF9" s="1945"/>
      <c r="IG9" s="1945"/>
      <c r="IH9" s="1945"/>
      <c r="II9" s="1945"/>
      <c r="IJ9" s="1945"/>
      <c r="IK9" s="1945"/>
      <c r="IL9" s="1945"/>
      <c r="IM9" s="1945"/>
    </row>
    <row r="10" ht="16.5" spans="1:247">
      <c r="A10" s="1946" t="s">
        <v>196</v>
      </c>
      <c r="B10" s="1947">
        <f>审定资负表!C7</f>
        <v>203715132.36</v>
      </c>
      <c r="C10" s="1947">
        <f>审定资负表!D7</f>
        <v>76914775.62</v>
      </c>
      <c r="D10" s="1948">
        <f>IF(B10=0," ",B10/$B$51)</f>
        <v>0.419790013817393</v>
      </c>
      <c r="E10" s="1949">
        <f>B10-C10</f>
        <v>126800356.74</v>
      </c>
      <c r="F10" s="1950">
        <f>IFERROR(IF(C10=0,B10/ABS(B10),ROUND(E10/ABS(C10),4)),0)</f>
        <v>1.6486</v>
      </c>
      <c r="G10" s="1951"/>
      <c r="H10" s="1952"/>
      <c r="I10" s="1952"/>
      <c r="J10" s="1952"/>
      <c r="K10" s="1952"/>
      <c r="L10" s="1952"/>
      <c r="M10" s="1952"/>
      <c r="N10" s="1952"/>
      <c r="O10" s="1952"/>
      <c r="P10" s="1952"/>
      <c r="Q10" s="1952"/>
      <c r="R10" s="1952"/>
      <c r="S10" s="1952"/>
      <c r="T10" s="1952"/>
      <c r="U10" s="1952"/>
      <c r="V10" s="1952"/>
      <c r="W10" s="1952"/>
      <c r="X10" s="1952"/>
      <c r="Y10" s="1952"/>
      <c r="Z10" s="1952"/>
      <c r="AA10" s="1952"/>
      <c r="AB10" s="1952"/>
      <c r="AC10" s="1952"/>
      <c r="AD10" s="1952"/>
      <c r="AE10" s="1952"/>
      <c r="AF10" s="1952"/>
      <c r="AG10" s="1952"/>
      <c r="AH10" s="1952"/>
      <c r="AI10" s="1952"/>
      <c r="AJ10" s="1952"/>
      <c r="AK10" s="1952"/>
      <c r="AL10" s="1952"/>
      <c r="AM10" s="1952"/>
      <c r="AN10" s="1952"/>
      <c r="AO10" s="1952"/>
      <c r="AP10" s="1952"/>
      <c r="AQ10" s="1952"/>
      <c r="AR10" s="1952"/>
      <c r="AS10" s="1952"/>
      <c r="AT10" s="1952"/>
      <c r="AU10" s="1952"/>
      <c r="AV10" s="1952"/>
      <c r="AW10" s="1952"/>
      <c r="AX10" s="1952"/>
      <c r="AY10" s="1952"/>
      <c r="AZ10" s="1952"/>
      <c r="BA10" s="1952"/>
      <c r="BB10" s="1952"/>
      <c r="BC10" s="1952"/>
      <c r="BD10" s="1952"/>
      <c r="BE10" s="1952"/>
      <c r="BF10" s="1952"/>
      <c r="BG10" s="1952"/>
      <c r="BH10" s="1952"/>
      <c r="BI10" s="1952"/>
      <c r="BJ10" s="1952"/>
      <c r="BK10" s="1952"/>
      <c r="BL10" s="1952"/>
      <c r="BM10" s="1952"/>
      <c r="BN10" s="1952"/>
      <c r="BO10" s="1952"/>
      <c r="BP10" s="1952"/>
      <c r="BQ10" s="1952"/>
      <c r="BR10" s="1952"/>
      <c r="BS10" s="1952"/>
      <c r="BT10" s="1952"/>
      <c r="BU10" s="1952"/>
      <c r="BV10" s="1952"/>
      <c r="BW10" s="1952"/>
      <c r="BX10" s="1952"/>
      <c r="BY10" s="1952"/>
      <c r="BZ10" s="1952"/>
      <c r="CA10" s="1952"/>
      <c r="CB10" s="1952"/>
      <c r="CC10" s="1952"/>
      <c r="CD10" s="1952"/>
      <c r="CE10" s="1952"/>
      <c r="CF10" s="1952"/>
      <c r="CG10" s="1952"/>
      <c r="CH10" s="1952"/>
      <c r="CI10" s="1952"/>
      <c r="CJ10" s="1952"/>
      <c r="CK10" s="1952"/>
      <c r="CL10" s="1952"/>
      <c r="CM10" s="1952"/>
      <c r="CN10" s="1952"/>
      <c r="CO10" s="1952"/>
      <c r="CP10" s="1952"/>
      <c r="CQ10" s="1952"/>
      <c r="CR10" s="1952"/>
      <c r="CS10" s="1952"/>
      <c r="CT10" s="1952"/>
      <c r="CU10" s="1952"/>
      <c r="CV10" s="1952"/>
      <c r="CW10" s="1952"/>
      <c r="CX10" s="1952"/>
      <c r="CY10" s="1952"/>
      <c r="CZ10" s="1952"/>
      <c r="DA10" s="1952"/>
      <c r="DB10" s="1952"/>
      <c r="DC10" s="1952"/>
      <c r="DD10" s="1952"/>
      <c r="DE10" s="1952"/>
      <c r="DF10" s="1952"/>
      <c r="DG10" s="1952"/>
      <c r="DH10" s="1952"/>
      <c r="DI10" s="1952"/>
      <c r="DJ10" s="1952"/>
      <c r="DK10" s="1952"/>
      <c r="DL10" s="1952"/>
      <c r="DM10" s="1952"/>
      <c r="DN10" s="1952"/>
      <c r="DO10" s="1952"/>
      <c r="DP10" s="1952"/>
      <c r="DQ10" s="1952"/>
      <c r="DR10" s="1952"/>
      <c r="DS10" s="1952"/>
      <c r="DT10" s="1952"/>
      <c r="DU10" s="1952"/>
      <c r="DV10" s="1952"/>
      <c r="DW10" s="1952"/>
      <c r="DX10" s="1952"/>
      <c r="DY10" s="1952"/>
      <c r="DZ10" s="1952"/>
      <c r="EA10" s="1952"/>
      <c r="EB10" s="1952"/>
      <c r="EC10" s="1952"/>
      <c r="ED10" s="1952"/>
      <c r="EE10" s="1952"/>
      <c r="EF10" s="1952"/>
      <c r="EG10" s="1952"/>
      <c r="EH10" s="1952"/>
      <c r="EI10" s="1952"/>
      <c r="EJ10" s="1952"/>
      <c r="EK10" s="1952"/>
      <c r="EL10" s="1952"/>
      <c r="EM10" s="1952"/>
      <c r="EN10" s="1952"/>
      <c r="EO10" s="1952"/>
      <c r="EP10" s="1952"/>
      <c r="EQ10" s="1952"/>
      <c r="ER10" s="1952"/>
      <c r="ES10" s="1952"/>
      <c r="ET10" s="1952"/>
      <c r="EU10" s="1952"/>
      <c r="EV10" s="1952"/>
      <c r="EW10" s="1952"/>
      <c r="EX10" s="1952"/>
      <c r="EY10" s="1952"/>
      <c r="EZ10" s="1952"/>
      <c r="FA10" s="1952"/>
      <c r="FB10" s="1952"/>
      <c r="FC10" s="1952"/>
      <c r="FD10" s="1952"/>
      <c r="FE10" s="1952"/>
      <c r="FF10" s="1952"/>
      <c r="FG10" s="1952"/>
      <c r="FH10" s="1952"/>
      <c r="FI10" s="1952"/>
      <c r="FJ10" s="1952"/>
      <c r="FK10" s="1952"/>
      <c r="FL10" s="1952"/>
      <c r="FM10" s="1952"/>
      <c r="FN10" s="1952"/>
      <c r="FO10" s="1952"/>
      <c r="FP10" s="1952"/>
      <c r="FQ10" s="1952"/>
      <c r="FR10" s="1952"/>
      <c r="FS10" s="1952"/>
      <c r="FT10" s="1952"/>
      <c r="FU10" s="1952"/>
      <c r="FV10" s="1952"/>
      <c r="FW10" s="1952"/>
      <c r="FX10" s="1952"/>
      <c r="FY10" s="1952"/>
      <c r="FZ10" s="1952"/>
      <c r="GA10" s="1952"/>
      <c r="GB10" s="1952"/>
      <c r="GC10" s="1952"/>
      <c r="GD10" s="1952"/>
      <c r="GE10" s="1952"/>
      <c r="GF10" s="1952"/>
      <c r="GG10" s="1952"/>
      <c r="GH10" s="1952"/>
      <c r="GI10" s="1952"/>
      <c r="GJ10" s="1952"/>
      <c r="GK10" s="1952"/>
      <c r="GL10" s="1952"/>
      <c r="GM10" s="1952"/>
      <c r="GN10" s="1952"/>
      <c r="GO10" s="1952"/>
      <c r="GP10" s="1952"/>
      <c r="GQ10" s="1952"/>
      <c r="GR10" s="1952"/>
      <c r="GS10" s="1952"/>
      <c r="GT10" s="1952"/>
      <c r="GU10" s="1952"/>
      <c r="GV10" s="1952"/>
      <c r="GW10" s="1952"/>
      <c r="GX10" s="1952"/>
      <c r="GY10" s="1952"/>
      <c r="GZ10" s="1952"/>
      <c r="HA10" s="1952"/>
      <c r="HB10" s="1952"/>
      <c r="HC10" s="1952"/>
      <c r="HD10" s="1952"/>
      <c r="HE10" s="1952"/>
      <c r="HF10" s="1952"/>
      <c r="HG10" s="1952"/>
      <c r="HH10" s="1952"/>
      <c r="HI10" s="1952"/>
      <c r="HJ10" s="1952"/>
      <c r="HK10" s="1952"/>
      <c r="HL10" s="1952"/>
      <c r="HM10" s="1952"/>
      <c r="HN10" s="1952"/>
      <c r="HO10" s="1952"/>
      <c r="HP10" s="1952"/>
      <c r="HQ10" s="1952"/>
      <c r="HR10" s="1952"/>
      <c r="HS10" s="1952"/>
      <c r="HT10" s="1952"/>
      <c r="HU10" s="1952"/>
      <c r="HV10" s="1952"/>
      <c r="HW10" s="1952"/>
      <c r="HX10" s="1952"/>
      <c r="HY10" s="1952"/>
      <c r="HZ10" s="1952"/>
      <c r="IA10" s="1952"/>
      <c r="IB10" s="1952"/>
      <c r="IC10" s="1952"/>
      <c r="ID10" s="1952"/>
      <c r="IE10" s="1952"/>
      <c r="IF10" s="1952"/>
      <c r="IG10" s="1952"/>
      <c r="IH10" s="1952"/>
      <c r="II10" s="1952"/>
      <c r="IJ10" s="1952"/>
      <c r="IK10" s="1952"/>
      <c r="IL10" s="1952"/>
      <c r="IM10" s="1952"/>
    </row>
    <row r="11" ht="16.5" spans="1:247">
      <c r="A11" s="1946" t="s">
        <v>1396</v>
      </c>
      <c r="B11" s="1947">
        <f>审定资负表!C8</f>
        <v>0</v>
      </c>
      <c r="C11" s="1947">
        <f>审定资负表!D8</f>
        <v>0</v>
      </c>
      <c r="D11" s="1948" t="str">
        <f t="shared" ref="D11:D74" si="0">IF(B11=0," ",B11/$B$51)</f>
        <v> </v>
      </c>
      <c r="E11" s="1949">
        <f t="shared" ref="E11:E74" si="1">B11-C11</f>
        <v>0</v>
      </c>
      <c r="F11" s="1950">
        <f t="shared" ref="F11:F74" si="2">IFERROR(IF(C11=0,B11/ABS(B11),ROUND(E11/ABS(C11),4)),0)</f>
        <v>0</v>
      </c>
      <c r="G11" s="1953"/>
      <c r="H11" s="1952"/>
      <c r="I11" s="1952"/>
      <c r="J11" s="1952"/>
      <c r="K11" s="1952"/>
      <c r="L11" s="1952"/>
      <c r="M11" s="1952"/>
      <c r="N11" s="1952"/>
      <c r="O11" s="1952"/>
      <c r="P11" s="1952"/>
      <c r="Q11" s="1952"/>
      <c r="R11" s="1952"/>
      <c r="S11" s="1952"/>
      <c r="T11" s="1952"/>
      <c r="U11" s="1952"/>
      <c r="V11" s="1952"/>
      <c r="W11" s="1952"/>
      <c r="X11" s="1952"/>
      <c r="Y11" s="1952"/>
      <c r="Z11" s="1952"/>
      <c r="AA11" s="1952"/>
      <c r="AB11" s="1952"/>
      <c r="AC11" s="1952"/>
      <c r="AD11" s="1952"/>
      <c r="AE11" s="1952"/>
      <c r="AF11" s="1952"/>
      <c r="AG11" s="1952"/>
      <c r="AH11" s="1952"/>
      <c r="AI11" s="1952"/>
      <c r="AJ11" s="1952"/>
      <c r="AK11" s="1952"/>
      <c r="AL11" s="1952"/>
      <c r="AM11" s="1952"/>
      <c r="AN11" s="1952"/>
      <c r="AO11" s="1952"/>
      <c r="AP11" s="1952"/>
      <c r="AQ11" s="1952"/>
      <c r="AR11" s="1952"/>
      <c r="AS11" s="1952"/>
      <c r="AT11" s="1952"/>
      <c r="AU11" s="1952"/>
      <c r="AV11" s="1952"/>
      <c r="AW11" s="1952"/>
      <c r="AX11" s="1952"/>
      <c r="AY11" s="1952"/>
      <c r="AZ11" s="1952"/>
      <c r="BA11" s="1952"/>
      <c r="BB11" s="1952"/>
      <c r="BC11" s="1952"/>
      <c r="BD11" s="1952"/>
      <c r="BE11" s="1952"/>
      <c r="BF11" s="1952"/>
      <c r="BG11" s="1952"/>
      <c r="BH11" s="1952"/>
      <c r="BI11" s="1952"/>
      <c r="BJ11" s="1952"/>
      <c r="BK11" s="1952"/>
      <c r="BL11" s="1952"/>
      <c r="BM11" s="1952"/>
      <c r="BN11" s="1952"/>
      <c r="BO11" s="1952"/>
      <c r="BP11" s="1952"/>
      <c r="BQ11" s="1952"/>
      <c r="BR11" s="1952"/>
      <c r="BS11" s="1952"/>
      <c r="BT11" s="1952"/>
      <c r="BU11" s="1952"/>
      <c r="BV11" s="1952"/>
      <c r="BW11" s="1952"/>
      <c r="BX11" s="1952"/>
      <c r="BY11" s="1952"/>
      <c r="BZ11" s="1952"/>
      <c r="CA11" s="1952"/>
      <c r="CB11" s="1952"/>
      <c r="CC11" s="1952"/>
      <c r="CD11" s="1952"/>
      <c r="CE11" s="1952"/>
      <c r="CF11" s="1952"/>
      <c r="CG11" s="1952"/>
      <c r="CH11" s="1952"/>
      <c r="CI11" s="1952"/>
      <c r="CJ11" s="1952"/>
      <c r="CK11" s="1952"/>
      <c r="CL11" s="1952"/>
      <c r="CM11" s="1952"/>
      <c r="CN11" s="1952"/>
      <c r="CO11" s="1952"/>
      <c r="CP11" s="1952"/>
      <c r="CQ11" s="1952"/>
      <c r="CR11" s="1952"/>
      <c r="CS11" s="1952"/>
      <c r="CT11" s="1952"/>
      <c r="CU11" s="1952"/>
      <c r="CV11" s="1952"/>
      <c r="CW11" s="1952"/>
      <c r="CX11" s="1952"/>
      <c r="CY11" s="1952"/>
      <c r="CZ11" s="1952"/>
      <c r="DA11" s="1952"/>
      <c r="DB11" s="1952"/>
      <c r="DC11" s="1952"/>
      <c r="DD11" s="1952"/>
      <c r="DE11" s="1952"/>
      <c r="DF11" s="1952"/>
      <c r="DG11" s="1952"/>
      <c r="DH11" s="1952"/>
      <c r="DI11" s="1952"/>
      <c r="DJ11" s="1952"/>
      <c r="DK11" s="1952"/>
      <c r="DL11" s="1952"/>
      <c r="DM11" s="1952"/>
      <c r="DN11" s="1952"/>
      <c r="DO11" s="1952"/>
      <c r="DP11" s="1952"/>
      <c r="DQ11" s="1952"/>
      <c r="DR11" s="1952"/>
      <c r="DS11" s="1952"/>
      <c r="DT11" s="1952"/>
      <c r="DU11" s="1952"/>
      <c r="DV11" s="1952"/>
      <c r="DW11" s="1952"/>
      <c r="DX11" s="1952"/>
      <c r="DY11" s="1952"/>
      <c r="DZ11" s="1952"/>
      <c r="EA11" s="1952"/>
      <c r="EB11" s="1952"/>
      <c r="EC11" s="1952"/>
      <c r="ED11" s="1952"/>
      <c r="EE11" s="1952"/>
      <c r="EF11" s="1952"/>
      <c r="EG11" s="1952"/>
      <c r="EH11" s="1952"/>
      <c r="EI11" s="1952"/>
      <c r="EJ11" s="1952"/>
      <c r="EK11" s="1952"/>
      <c r="EL11" s="1952"/>
      <c r="EM11" s="1952"/>
      <c r="EN11" s="1952"/>
      <c r="EO11" s="1952"/>
      <c r="EP11" s="1952"/>
      <c r="EQ11" s="1952"/>
      <c r="ER11" s="1952"/>
      <c r="ES11" s="1952"/>
      <c r="ET11" s="1952"/>
      <c r="EU11" s="1952"/>
      <c r="EV11" s="1952"/>
      <c r="EW11" s="1952"/>
      <c r="EX11" s="1952"/>
      <c r="EY11" s="1952"/>
      <c r="EZ11" s="1952"/>
      <c r="FA11" s="1952"/>
      <c r="FB11" s="1952"/>
      <c r="FC11" s="1952"/>
      <c r="FD11" s="1952"/>
      <c r="FE11" s="1952"/>
      <c r="FF11" s="1952"/>
      <c r="FG11" s="1952"/>
      <c r="FH11" s="1952"/>
      <c r="FI11" s="1952"/>
      <c r="FJ11" s="1952"/>
      <c r="FK11" s="1952"/>
      <c r="FL11" s="1952"/>
      <c r="FM11" s="1952"/>
      <c r="FN11" s="1952"/>
      <c r="FO11" s="1952"/>
      <c r="FP11" s="1952"/>
      <c r="FQ11" s="1952"/>
      <c r="FR11" s="1952"/>
      <c r="FS11" s="1952"/>
      <c r="FT11" s="1952"/>
      <c r="FU11" s="1952"/>
      <c r="FV11" s="1952"/>
      <c r="FW11" s="1952"/>
      <c r="FX11" s="1952"/>
      <c r="FY11" s="1952"/>
      <c r="FZ11" s="1952"/>
      <c r="GA11" s="1952"/>
      <c r="GB11" s="1952"/>
      <c r="GC11" s="1952"/>
      <c r="GD11" s="1952"/>
      <c r="GE11" s="1952"/>
      <c r="GF11" s="1952"/>
      <c r="GG11" s="1952"/>
      <c r="GH11" s="1952"/>
      <c r="GI11" s="1952"/>
      <c r="GJ11" s="1952"/>
      <c r="GK11" s="1952"/>
      <c r="GL11" s="1952"/>
      <c r="GM11" s="1952"/>
      <c r="GN11" s="1952"/>
      <c r="GO11" s="1952"/>
      <c r="GP11" s="1952"/>
      <c r="GQ11" s="1952"/>
      <c r="GR11" s="1952"/>
      <c r="GS11" s="1952"/>
      <c r="GT11" s="1952"/>
      <c r="GU11" s="1952"/>
      <c r="GV11" s="1952"/>
      <c r="GW11" s="1952"/>
      <c r="GX11" s="1952"/>
      <c r="GY11" s="1952"/>
      <c r="GZ11" s="1952"/>
      <c r="HA11" s="1952"/>
      <c r="HB11" s="1952"/>
      <c r="HC11" s="1952"/>
      <c r="HD11" s="1952"/>
      <c r="HE11" s="1952"/>
      <c r="HF11" s="1952"/>
      <c r="HG11" s="1952"/>
      <c r="HH11" s="1952"/>
      <c r="HI11" s="1952"/>
      <c r="HJ11" s="1952"/>
      <c r="HK11" s="1952"/>
      <c r="HL11" s="1952"/>
      <c r="HM11" s="1952"/>
      <c r="HN11" s="1952"/>
      <c r="HO11" s="1952"/>
      <c r="HP11" s="1952"/>
      <c r="HQ11" s="1952"/>
      <c r="HR11" s="1952"/>
      <c r="HS11" s="1952"/>
      <c r="HT11" s="1952"/>
      <c r="HU11" s="1952"/>
      <c r="HV11" s="1952"/>
      <c r="HW11" s="1952"/>
      <c r="HX11" s="1952"/>
      <c r="HY11" s="1952"/>
      <c r="HZ11" s="1952"/>
      <c r="IA11" s="1952"/>
      <c r="IB11" s="1952"/>
      <c r="IC11" s="1952"/>
      <c r="ID11" s="1952"/>
      <c r="IE11" s="1952"/>
      <c r="IF11" s="1952"/>
      <c r="IG11" s="1952"/>
      <c r="IH11" s="1952"/>
      <c r="II11" s="1952"/>
      <c r="IJ11" s="1952"/>
      <c r="IK11" s="1952"/>
      <c r="IL11" s="1952"/>
      <c r="IM11" s="1952"/>
    </row>
    <row r="12" ht="16.5" spans="1:247">
      <c r="A12" s="1946" t="s">
        <v>200</v>
      </c>
      <c r="B12" s="1947">
        <f>审定资负表!C9</f>
        <v>0</v>
      </c>
      <c r="C12" s="1947">
        <f>审定资负表!D9</f>
        <v>0</v>
      </c>
      <c r="D12" s="1948" t="str">
        <f t="shared" si="0"/>
        <v> </v>
      </c>
      <c r="E12" s="1949">
        <f t="shared" si="1"/>
        <v>0</v>
      </c>
      <c r="F12" s="1950">
        <f t="shared" si="2"/>
        <v>0</v>
      </c>
      <c r="G12" s="1953"/>
      <c r="H12" s="1952"/>
      <c r="I12" s="1952"/>
      <c r="J12" s="1952"/>
      <c r="K12" s="1952"/>
      <c r="L12" s="1952"/>
      <c r="M12" s="1952"/>
      <c r="N12" s="1952"/>
      <c r="O12" s="1952"/>
      <c r="P12" s="1952"/>
      <c r="Q12" s="1952"/>
      <c r="R12" s="1952"/>
      <c r="S12" s="1952"/>
      <c r="T12" s="1952"/>
      <c r="U12" s="1952"/>
      <c r="V12" s="1952"/>
      <c r="W12" s="1952"/>
      <c r="X12" s="1952"/>
      <c r="Y12" s="1952"/>
      <c r="Z12" s="1952"/>
      <c r="AA12" s="1952"/>
      <c r="AB12" s="1952"/>
      <c r="AC12" s="1952"/>
      <c r="AD12" s="1952"/>
      <c r="AE12" s="1952"/>
      <c r="AF12" s="1952"/>
      <c r="AG12" s="1952"/>
      <c r="AH12" s="1952"/>
      <c r="AI12" s="1952"/>
      <c r="AJ12" s="1952"/>
      <c r="AK12" s="1952"/>
      <c r="AL12" s="1952"/>
      <c r="AM12" s="1952"/>
      <c r="AN12" s="1952"/>
      <c r="AO12" s="1952"/>
      <c r="AP12" s="1952"/>
      <c r="AQ12" s="1952"/>
      <c r="AR12" s="1952"/>
      <c r="AS12" s="1952"/>
      <c r="AT12" s="1952"/>
      <c r="AU12" s="1952"/>
      <c r="AV12" s="1952"/>
      <c r="AW12" s="1952"/>
      <c r="AX12" s="1952"/>
      <c r="AY12" s="1952"/>
      <c r="AZ12" s="1952"/>
      <c r="BA12" s="1952"/>
      <c r="BB12" s="1952"/>
      <c r="BC12" s="1952"/>
      <c r="BD12" s="1952"/>
      <c r="BE12" s="1952"/>
      <c r="BF12" s="1952"/>
      <c r="BG12" s="1952"/>
      <c r="BH12" s="1952"/>
      <c r="BI12" s="1952"/>
      <c r="BJ12" s="1952"/>
      <c r="BK12" s="1952"/>
      <c r="BL12" s="1952"/>
      <c r="BM12" s="1952"/>
      <c r="BN12" s="1952"/>
      <c r="BO12" s="1952"/>
      <c r="BP12" s="1952"/>
      <c r="BQ12" s="1952"/>
      <c r="BR12" s="1952"/>
      <c r="BS12" s="1952"/>
      <c r="BT12" s="1952"/>
      <c r="BU12" s="1952"/>
      <c r="BV12" s="1952"/>
      <c r="BW12" s="1952"/>
      <c r="BX12" s="1952"/>
      <c r="BY12" s="1952"/>
      <c r="BZ12" s="1952"/>
      <c r="CA12" s="1952"/>
      <c r="CB12" s="1952"/>
      <c r="CC12" s="1952"/>
      <c r="CD12" s="1952"/>
      <c r="CE12" s="1952"/>
      <c r="CF12" s="1952"/>
      <c r="CG12" s="1952"/>
      <c r="CH12" s="1952"/>
      <c r="CI12" s="1952"/>
      <c r="CJ12" s="1952"/>
      <c r="CK12" s="1952"/>
      <c r="CL12" s="1952"/>
      <c r="CM12" s="1952"/>
      <c r="CN12" s="1952"/>
      <c r="CO12" s="1952"/>
      <c r="CP12" s="1952"/>
      <c r="CQ12" s="1952"/>
      <c r="CR12" s="1952"/>
      <c r="CS12" s="1952"/>
      <c r="CT12" s="1952"/>
      <c r="CU12" s="1952"/>
      <c r="CV12" s="1952"/>
      <c r="CW12" s="1952"/>
      <c r="CX12" s="1952"/>
      <c r="CY12" s="1952"/>
      <c r="CZ12" s="1952"/>
      <c r="DA12" s="1952"/>
      <c r="DB12" s="1952"/>
      <c r="DC12" s="1952"/>
      <c r="DD12" s="1952"/>
      <c r="DE12" s="1952"/>
      <c r="DF12" s="1952"/>
      <c r="DG12" s="1952"/>
      <c r="DH12" s="1952"/>
      <c r="DI12" s="1952"/>
      <c r="DJ12" s="1952"/>
      <c r="DK12" s="1952"/>
      <c r="DL12" s="1952"/>
      <c r="DM12" s="1952"/>
      <c r="DN12" s="1952"/>
      <c r="DO12" s="1952"/>
      <c r="DP12" s="1952"/>
      <c r="DQ12" s="1952"/>
      <c r="DR12" s="1952"/>
      <c r="DS12" s="1952"/>
      <c r="DT12" s="1952"/>
      <c r="DU12" s="1952"/>
      <c r="DV12" s="1952"/>
      <c r="DW12" s="1952"/>
      <c r="DX12" s="1952"/>
      <c r="DY12" s="1952"/>
      <c r="DZ12" s="1952"/>
      <c r="EA12" s="1952"/>
      <c r="EB12" s="1952"/>
      <c r="EC12" s="1952"/>
      <c r="ED12" s="1952"/>
      <c r="EE12" s="1952"/>
      <c r="EF12" s="1952"/>
      <c r="EG12" s="1952"/>
      <c r="EH12" s="1952"/>
      <c r="EI12" s="1952"/>
      <c r="EJ12" s="1952"/>
      <c r="EK12" s="1952"/>
      <c r="EL12" s="1952"/>
      <c r="EM12" s="1952"/>
      <c r="EN12" s="1952"/>
      <c r="EO12" s="1952"/>
      <c r="EP12" s="1952"/>
      <c r="EQ12" s="1952"/>
      <c r="ER12" s="1952"/>
      <c r="ES12" s="1952"/>
      <c r="ET12" s="1952"/>
      <c r="EU12" s="1952"/>
      <c r="EV12" s="1952"/>
      <c r="EW12" s="1952"/>
      <c r="EX12" s="1952"/>
      <c r="EY12" s="1952"/>
      <c r="EZ12" s="1952"/>
      <c r="FA12" s="1952"/>
      <c r="FB12" s="1952"/>
      <c r="FC12" s="1952"/>
      <c r="FD12" s="1952"/>
      <c r="FE12" s="1952"/>
      <c r="FF12" s="1952"/>
      <c r="FG12" s="1952"/>
      <c r="FH12" s="1952"/>
      <c r="FI12" s="1952"/>
      <c r="FJ12" s="1952"/>
      <c r="FK12" s="1952"/>
      <c r="FL12" s="1952"/>
      <c r="FM12" s="1952"/>
      <c r="FN12" s="1952"/>
      <c r="FO12" s="1952"/>
      <c r="FP12" s="1952"/>
      <c r="FQ12" s="1952"/>
      <c r="FR12" s="1952"/>
      <c r="FS12" s="1952"/>
      <c r="FT12" s="1952"/>
      <c r="FU12" s="1952"/>
      <c r="FV12" s="1952"/>
      <c r="FW12" s="1952"/>
      <c r="FX12" s="1952"/>
      <c r="FY12" s="1952"/>
      <c r="FZ12" s="1952"/>
      <c r="GA12" s="1952"/>
      <c r="GB12" s="1952"/>
      <c r="GC12" s="1952"/>
      <c r="GD12" s="1952"/>
      <c r="GE12" s="1952"/>
      <c r="GF12" s="1952"/>
      <c r="GG12" s="1952"/>
      <c r="GH12" s="1952"/>
      <c r="GI12" s="1952"/>
      <c r="GJ12" s="1952"/>
      <c r="GK12" s="1952"/>
      <c r="GL12" s="1952"/>
      <c r="GM12" s="1952"/>
      <c r="GN12" s="1952"/>
      <c r="GO12" s="1952"/>
      <c r="GP12" s="1952"/>
      <c r="GQ12" s="1952"/>
      <c r="GR12" s="1952"/>
      <c r="GS12" s="1952"/>
      <c r="GT12" s="1952"/>
      <c r="GU12" s="1952"/>
      <c r="GV12" s="1952"/>
      <c r="GW12" s="1952"/>
      <c r="GX12" s="1952"/>
      <c r="GY12" s="1952"/>
      <c r="GZ12" s="1952"/>
      <c r="HA12" s="1952"/>
      <c r="HB12" s="1952"/>
      <c r="HC12" s="1952"/>
      <c r="HD12" s="1952"/>
      <c r="HE12" s="1952"/>
      <c r="HF12" s="1952"/>
      <c r="HG12" s="1952"/>
      <c r="HH12" s="1952"/>
      <c r="HI12" s="1952"/>
      <c r="HJ12" s="1952"/>
      <c r="HK12" s="1952"/>
      <c r="HL12" s="1952"/>
      <c r="HM12" s="1952"/>
      <c r="HN12" s="1952"/>
      <c r="HO12" s="1952"/>
      <c r="HP12" s="1952"/>
      <c r="HQ12" s="1952"/>
      <c r="HR12" s="1952"/>
      <c r="HS12" s="1952"/>
      <c r="HT12" s="1952"/>
      <c r="HU12" s="1952"/>
      <c r="HV12" s="1952"/>
      <c r="HW12" s="1952"/>
      <c r="HX12" s="1952"/>
      <c r="HY12" s="1952"/>
      <c r="HZ12" s="1952"/>
      <c r="IA12" s="1952"/>
      <c r="IB12" s="1952"/>
      <c r="IC12" s="1952"/>
      <c r="ID12" s="1952"/>
      <c r="IE12" s="1952"/>
      <c r="IF12" s="1952"/>
      <c r="IG12" s="1952"/>
      <c r="IH12" s="1952"/>
      <c r="II12" s="1952"/>
      <c r="IJ12" s="1952"/>
      <c r="IK12" s="1952"/>
      <c r="IL12" s="1952"/>
      <c r="IM12" s="1952"/>
    </row>
    <row r="13" ht="25.5" spans="1:247">
      <c r="A13" s="1946" t="s">
        <v>202</v>
      </c>
      <c r="B13" s="1947">
        <f>审定资负表!C10</f>
        <v>21581677.38</v>
      </c>
      <c r="C13" s="1947">
        <f>审定资负表!D10</f>
        <v>26136913.6</v>
      </c>
      <c r="D13" s="1948">
        <f t="shared" si="0"/>
        <v>0.0444727524195038</v>
      </c>
      <c r="E13" s="1949">
        <f t="shared" si="1"/>
        <v>-4555236.22</v>
      </c>
      <c r="F13" s="1950">
        <f t="shared" si="2"/>
        <v>-0.1743</v>
      </c>
      <c r="G13" s="1953" t="s">
        <v>2687</v>
      </c>
      <c r="H13" s="1952"/>
      <c r="I13" s="1952"/>
      <c r="J13" s="1952"/>
      <c r="K13" s="1952"/>
      <c r="L13" s="1952"/>
      <c r="M13" s="1952"/>
      <c r="N13" s="1952"/>
      <c r="O13" s="1952"/>
      <c r="P13" s="1952"/>
      <c r="Q13" s="1952"/>
      <c r="R13" s="1952"/>
      <c r="S13" s="1952"/>
      <c r="T13" s="1952"/>
      <c r="U13" s="1952"/>
      <c r="V13" s="1952"/>
      <c r="W13" s="1952"/>
      <c r="X13" s="1952"/>
      <c r="Y13" s="1952"/>
      <c r="Z13" s="1952"/>
      <c r="AA13" s="1952"/>
      <c r="AB13" s="1952"/>
      <c r="AC13" s="1952"/>
      <c r="AD13" s="1952"/>
      <c r="AE13" s="1952"/>
      <c r="AF13" s="1952"/>
      <c r="AG13" s="1952"/>
      <c r="AH13" s="1952"/>
      <c r="AI13" s="1952"/>
      <c r="AJ13" s="1952"/>
      <c r="AK13" s="1952"/>
      <c r="AL13" s="1952"/>
      <c r="AM13" s="1952"/>
      <c r="AN13" s="1952"/>
      <c r="AO13" s="1952"/>
      <c r="AP13" s="1952"/>
      <c r="AQ13" s="1952"/>
      <c r="AR13" s="1952"/>
      <c r="AS13" s="1952"/>
      <c r="AT13" s="1952"/>
      <c r="AU13" s="1952"/>
      <c r="AV13" s="1952"/>
      <c r="AW13" s="1952"/>
      <c r="AX13" s="1952"/>
      <c r="AY13" s="1952"/>
      <c r="AZ13" s="1952"/>
      <c r="BA13" s="1952"/>
      <c r="BB13" s="1952"/>
      <c r="BC13" s="1952"/>
      <c r="BD13" s="1952"/>
      <c r="BE13" s="1952"/>
      <c r="BF13" s="1952"/>
      <c r="BG13" s="1952"/>
      <c r="BH13" s="1952"/>
      <c r="BI13" s="1952"/>
      <c r="BJ13" s="1952"/>
      <c r="BK13" s="1952"/>
      <c r="BL13" s="1952"/>
      <c r="BM13" s="1952"/>
      <c r="BN13" s="1952"/>
      <c r="BO13" s="1952"/>
      <c r="BP13" s="1952"/>
      <c r="BQ13" s="1952"/>
      <c r="BR13" s="1952"/>
      <c r="BS13" s="1952"/>
      <c r="BT13" s="1952"/>
      <c r="BU13" s="1952"/>
      <c r="BV13" s="1952"/>
      <c r="BW13" s="1952"/>
      <c r="BX13" s="1952"/>
      <c r="BY13" s="1952"/>
      <c r="BZ13" s="1952"/>
      <c r="CA13" s="1952"/>
      <c r="CB13" s="1952"/>
      <c r="CC13" s="1952"/>
      <c r="CD13" s="1952"/>
      <c r="CE13" s="1952"/>
      <c r="CF13" s="1952"/>
      <c r="CG13" s="1952"/>
      <c r="CH13" s="1952"/>
      <c r="CI13" s="1952"/>
      <c r="CJ13" s="1952"/>
      <c r="CK13" s="1952"/>
      <c r="CL13" s="1952"/>
      <c r="CM13" s="1952"/>
      <c r="CN13" s="1952"/>
      <c r="CO13" s="1952"/>
      <c r="CP13" s="1952"/>
      <c r="CQ13" s="1952"/>
      <c r="CR13" s="1952"/>
      <c r="CS13" s="1952"/>
      <c r="CT13" s="1952"/>
      <c r="CU13" s="1952"/>
      <c r="CV13" s="1952"/>
      <c r="CW13" s="1952"/>
      <c r="CX13" s="1952"/>
      <c r="CY13" s="1952"/>
      <c r="CZ13" s="1952"/>
      <c r="DA13" s="1952"/>
      <c r="DB13" s="1952"/>
      <c r="DC13" s="1952"/>
      <c r="DD13" s="1952"/>
      <c r="DE13" s="1952"/>
      <c r="DF13" s="1952"/>
      <c r="DG13" s="1952"/>
      <c r="DH13" s="1952"/>
      <c r="DI13" s="1952"/>
      <c r="DJ13" s="1952"/>
      <c r="DK13" s="1952"/>
      <c r="DL13" s="1952"/>
      <c r="DM13" s="1952"/>
      <c r="DN13" s="1952"/>
      <c r="DO13" s="1952"/>
      <c r="DP13" s="1952"/>
      <c r="DQ13" s="1952"/>
      <c r="DR13" s="1952"/>
      <c r="DS13" s="1952"/>
      <c r="DT13" s="1952"/>
      <c r="DU13" s="1952"/>
      <c r="DV13" s="1952"/>
      <c r="DW13" s="1952"/>
      <c r="DX13" s="1952"/>
      <c r="DY13" s="1952"/>
      <c r="DZ13" s="1952"/>
      <c r="EA13" s="1952"/>
      <c r="EB13" s="1952"/>
      <c r="EC13" s="1952"/>
      <c r="ED13" s="1952"/>
      <c r="EE13" s="1952"/>
      <c r="EF13" s="1952"/>
      <c r="EG13" s="1952"/>
      <c r="EH13" s="1952"/>
      <c r="EI13" s="1952"/>
      <c r="EJ13" s="1952"/>
      <c r="EK13" s="1952"/>
      <c r="EL13" s="1952"/>
      <c r="EM13" s="1952"/>
      <c r="EN13" s="1952"/>
      <c r="EO13" s="1952"/>
      <c r="EP13" s="1952"/>
      <c r="EQ13" s="1952"/>
      <c r="ER13" s="1952"/>
      <c r="ES13" s="1952"/>
      <c r="ET13" s="1952"/>
      <c r="EU13" s="1952"/>
      <c r="EV13" s="1952"/>
      <c r="EW13" s="1952"/>
      <c r="EX13" s="1952"/>
      <c r="EY13" s="1952"/>
      <c r="EZ13" s="1952"/>
      <c r="FA13" s="1952"/>
      <c r="FB13" s="1952"/>
      <c r="FC13" s="1952"/>
      <c r="FD13" s="1952"/>
      <c r="FE13" s="1952"/>
      <c r="FF13" s="1952"/>
      <c r="FG13" s="1952"/>
      <c r="FH13" s="1952"/>
      <c r="FI13" s="1952"/>
      <c r="FJ13" s="1952"/>
      <c r="FK13" s="1952"/>
      <c r="FL13" s="1952"/>
      <c r="FM13" s="1952"/>
      <c r="FN13" s="1952"/>
      <c r="FO13" s="1952"/>
      <c r="FP13" s="1952"/>
      <c r="FQ13" s="1952"/>
      <c r="FR13" s="1952"/>
      <c r="FS13" s="1952"/>
      <c r="FT13" s="1952"/>
      <c r="FU13" s="1952"/>
      <c r="FV13" s="1952"/>
      <c r="FW13" s="1952"/>
      <c r="FX13" s="1952"/>
      <c r="FY13" s="1952"/>
      <c r="FZ13" s="1952"/>
      <c r="GA13" s="1952"/>
      <c r="GB13" s="1952"/>
      <c r="GC13" s="1952"/>
      <c r="GD13" s="1952"/>
      <c r="GE13" s="1952"/>
      <c r="GF13" s="1952"/>
      <c r="GG13" s="1952"/>
      <c r="GH13" s="1952"/>
      <c r="GI13" s="1952"/>
      <c r="GJ13" s="1952"/>
      <c r="GK13" s="1952"/>
      <c r="GL13" s="1952"/>
      <c r="GM13" s="1952"/>
      <c r="GN13" s="1952"/>
      <c r="GO13" s="1952"/>
      <c r="GP13" s="1952"/>
      <c r="GQ13" s="1952"/>
      <c r="GR13" s="1952"/>
      <c r="GS13" s="1952"/>
      <c r="GT13" s="1952"/>
      <c r="GU13" s="1952"/>
      <c r="GV13" s="1952"/>
      <c r="GW13" s="1952"/>
      <c r="GX13" s="1952"/>
      <c r="GY13" s="1952"/>
      <c r="GZ13" s="1952"/>
      <c r="HA13" s="1952"/>
      <c r="HB13" s="1952"/>
      <c r="HC13" s="1952"/>
      <c r="HD13" s="1952"/>
      <c r="HE13" s="1952"/>
      <c r="HF13" s="1952"/>
      <c r="HG13" s="1952"/>
      <c r="HH13" s="1952"/>
      <c r="HI13" s="1952"/>
      <c r="HJ13" s="1952"/>
      <c r="HK13" s="1952"/>
      <c r="HL13" s="1952"/>
      <c r="HM13" s="1952"/>
      <c r="HN13" s="1952"/>
      <c r="HO13" s="1952"/>
      <c r="HP13" s="1952"/>
      <c r="HQ13" s="1952"/>
      <c r="HR13" s="1952"/>
      <c r="HS13" s="1952"/>
      <c r="HT13" s="1952"/>
      <c r="HU13" s="1952"/>
      <c r="HV13" s="1952"/>
      <c r="HW13" s="1952"/>
      <c r="HX13" s="1952"/>
      <c r="HY13" s="1952"/>
      <c r="HZ13" s="1952"/>
      <c r="IA13" s="1952"/>
      <c r="IB13" s="1952"/>
      <c r="IC13" s="1952"/>
      <c r="ID13" s="1952"/>
      <c r="IE13" s="1952"/>
      <c r="IF13" s="1952"/>
      <c r="IG13" s="1952"/>
      <c r="IH13" s="1952"/>
      <c r="II13" s="1952"/>
      <c r="IJ13" s="1952"/>
      <c r="IK13" s="1952"/>
      <c r="IL13" s="1952"/>
      <c r="IM13" s="1952"/>
    </row>
    <row r="14" ht="24.75" spans="1:247">
      <c r="A14" s="1946" t="s">
        <v>204</v>
      </c>
      <c r="B14" s="1947">
        <f>审定资负表!C11</f>
        <v>1579739.99</v>
      </c>
      <c r="C14" s="1947">
        <f>审定资负表!D11</f>
        <v>2096781.42</v>
      </c>
      <c r="D14" s="1948">
        <f t="shared" si="0"/>
        <v>0.00325532553496355</v>
      </c>
      <c r="E14" s="1949">
        <f t="shared" si="1"/>
        <v>-517041.43</v>
      </c>
      <c r="F14" s="1950">
        <f t="shared" si="2"/>
        <v>-0.2466</v>
      </c>
      <c r="G14" s="1953" t="s">
        <v>2688</v>
      </c>
      <c r="H14" s="1952"/>
      <c r="I14" s="1952"/>
      <c r="J14" s="1952"/>
      <c r="K14" s="1952"/>
      <c r="L14" s="1952"/>
      <c r="M14" s="1952"/>
      <c r="N14" s="1952"/>
      <c r="O14" s="1952"/>
      <c r="P14" s="1952"/>
      <c r="Q14" s="1952"/>
      <c r="R14" s="1952"/>
      <c r="S14" s="1952"/>
      <c r="T14" s="1952"/>
      <c r="U14" s="1952"/>
      <c r="V14" s="1952"/>
      <c r="W14" s="1952"/>
      <c r="X14" s="1952"/>
      <c r="Y14" s="1952"/>
      <c r="Z14" s="1952"/>
      <c r="AA14" s="1952"/>
      <c r="AB14" s="1952"/>
      <c r="AC14" s="1952"/>
      <c r="AD14" s="1952"/>
      <c r="AE14" s="1952"/>
      <c r="AF14" s="1952"/>
      <c r="AG14" s="1952"/>
      <c r="AH14" s="1952"/>
      <c r="AI14" s="1952"/>
      <c r="AJ14" s="1952"/>
      <c r="AK14" s="1952"/>
      <c r="AL14" s="1952"/>
      <c r="AM14" s="1952"/>
      <c r="AN14" s="1952"/>
      <c r="AO14" s="1952"/>
      <c r="AP14" s="1952"/>
      <c r="AQ14" s="1952"/>
      <c r="AR14" s="1952"/>
      <c r="AS14" s="1952"/>
      <c r="AT14" s="1952"/>
      <c r="AU14" s="1952"/>
      <c r="AV14" s="1952"/>
      <c r="AW14" s="1952"/>
      <c r="AX14" s="1952"/>
      <c r="AY14" s="1952"/>
      <c r="AZ14" s="1952"/>
      <c r="BA14" s="1952"/>
      <c r="BB14" s="1952"/>
      <c r="BC14" s="1952"/>
      <c r="BD14" s="1952"/>
      <c r="BE14" s="1952"/>
      <c r="BF14" s="1952"/>
      <c r="BG14" s="1952"/>
      <c r="BH14" s="1952"/>
      <c r="BI14" s="1952"/>
      <c r="BJ14" s="1952"/>
      <c r="BK14" s="1952"/>
      <c r="BL14" s="1952"/>
      <c r="BM14" s="1952"/>
      <c r="BN14" s="1952"/>
      <c r="BO14" s="1952"/>
      <c r="BP14" s="1952"/>
      <c r="BQ14" s="1952"/>
      <c r="BR14" s="1952"/>
      <c r="BS14" s="1952"/>
      <c r="BT14" s="1952"/>
      <c r="BU14" s="1952"/>
      <c r="BV14" s="1952"/>
      <c r="BW14" s="1952"/>
      <c r="BX14" s="1952"/>
      <c r="BY14" s="1952"/>
      <c r="BZ14" s="1952"/>
      <c r="CA14" s="1952"/>
      <c r="CB14" s="1952"/>
      <c r="CC14" s="1952"/>
      <c r="CD14" s="1952"/>
      <c r="CE14" s="1952"/>
      <c r="CF14" s="1952"/>
      <c r="CG14" s="1952"/>
      <c r="CH14" s="1952"/>
      <c r="CI14" s="1952"/>
      <c r="CJ14" s="1952"/>
      <c r="CK14" s="1952"/>
      <c r="CL14" s="1952"/>
      <c r="CM14" s="1952"/>
      <c r="CN14" s="1952"/>
      <c r="CO14" s="1952"/>
      <c r="CP14" s="1952"/>
      <c r="CQ14" s="1952"/>
      <c r="CR14" s="1952"/>
      <c r="CS14" s="1952"/>
      <c r="CT14" s="1952"/>
      <c r="CU14" s="1952"/>
      <c r="CV14" s="1952"/>
      <c r="CW14" s="1952"/>
      <c r="CX14" s="1952"/>
      <c r="CY14" s="1952"/>
      <c r="CZ14" s="1952"/>
      <c r="DA14" s="1952"/>
      <c r="DB14" s="1952"/>
      <c r="DC14" s="1952"/>
      <c r="DD14" s="1952"/>
      <c r="DE14" s="1952"/>
      <c r="DF14" s="1952"/>
      <c r="DG14" s="1952"/>
      <c r="DH14" s="1952"/>
      <c r="DI14" s="1952"/>
      <c r="DJ14" s="1952"/>
      <c r="DK14" s="1952"/>
      <c r="DL14" s="1952"/>
      <c r="DM14" s="1952"/>
      <c r="DN14" s="1952"/>
      <c r="DO14" s="1952"/>
      <c r="DP14" s="1952"/>
      <c r="DQ14" s="1952"/>
      <c r="DR14" s="1952"/>
      <c r="DS14" s="1952"/>
      <c r="DT14" s="1952"/>
      <c r="DU14" s="1952"/>
      <c r="DV14" s="1952"/>
      <c r="DW14" s="1952"/>
      <c r="DX14" s="1952"/>
      <c r="DY14" s="1952"/>
      <c r="DZ14" s="1952"/>
      <c r="EA14" s="1952"/>
      <c r="EB14" s="1952"/>
      <c r="EC14" s="1952"/>
      <c r="ED14" s="1952"/>
      <c r="EE14" s="1952"/>
      <c r="EF14" s="1952"/>
      <c r="EG14" s="1952"/>
      <c r="EH14" s="1952"/>
      <c r="EI14" s="1952"/>
      <c r="EJ14" s="1952"/>
      <c r="EK14" s="1952"/>
      <c r="EL14" s="1952"/>
      <c r="EM14" s="1952"/>
      <c r="EN14" s="1952"/>
      <c r="EO14" s="1952"/>
      <c r="EP14" s="1952"/>
      <c r="EQ14" s="1952"/>
      <c r="ER14" s="1952"/>
      <c r="ES14" s="1952"/>
      <c r="ET14" s="1952"/>
      <c r="EU14" s="1952"/>
      <c r="EV14" s="1952"/>
      <c r="EW14" s="1952"/>
      <c r="EX14" s="1952"/>
      <c r="EY14" s="1952"/>
      <c r="EZ14" s="1952"/>
      <c r="FA14" s="1952"/>
      <c r="FB14" s="1952"/>
      <c r="FC14" s="1952"/>
      <c r="FD14" s="1952"/>
      <c r="FE14" s="1952"/>
      <c r="FF14" s="1952"/>
      <c r="FG14" s="1952"/>
      <c r="FH14" s="1952"/>
      <c r="FI14" s="1952"/>
      <c r="FJ14" s="1952"/>
      <c r="FK14" s="1952"/>
      <c r="FL14" s="1952"/>
      <c r="FM14" s="1952"/>
      <c r="FN14" s="1952"/>
      <c r="FO14" s="1952"/>
      <c r="FP14" s="1952"/>
      <c r="FQ14" s="1952"/>
      <c r="FR14" s="1952"/>
      <c r="FS14" s="1952"/>
      <c r="FT14" s="1952"/>
      <c r="FU14" s="1952"/>
      <c r="FV14" s="1952"/>
      <c r="FW14" s="1952"/>
      <c r="FX14" s="1952"/>
      <c r="FY14" s="1952"/>
      <c r="FZ14" s="1952"/>
      <c r="GA14" s="1952"/>
      <c r="GB14" s="1952"/>
      <c r="GC14" s="1952"/>
      <c r="GD14" s="1952"/>
      <c r="GE14" s="1952"/>
      <c r="GF14" s="1952"/>
      <c r="GG14" s="1952"/>
      <c r="GH14" s="1952"/>
      <c r="GI14" s="1952"/>
      <c r="GJ14" s="1952"/>
      <c r="GK14" s="1952"/>
      <c r="GL14" s="1952"/>
      <c r="GM14" s="1952"/>
      <c r="GN14" s="1952"/>
      <c r="GO14" s="1952"/>
      <c r="GP14" s="1952"/>
      <c r="GQ14" s="1952"/>
      <c r="GR14" s="1952"/>
      <c r="GS14" s="1952"/>
      <c r="GT14" s="1952"/>
      <c r="GU14" s="1952"/>
      <c r="GV14" s="1952"/>
      <c r="GW14" s="1952"/>
      <c r="GX14" s="1952"/>
      <c r="GY14" s="1952"/>
      <c r="GZ14" s="1952"/>
      <c r="HA14" s="1952"/>
      <c r="HB14" s="1952"/>
      <c r="HC14" s="1952"/>
      <c r="HD14" s="1952"/>
      <c r="HE14" s="1952"/>
      <c r="HF14" s="1952"/>
      <c r="HG14" s="1952"/>
      <c r="HH14" s="1952"/>
      <c r="HI14" s="1952"/>
      <c r="HJ14" s="1952"/>
      <c r="HK14" s="1952"/>
      <c r="HL14" s="1952"/>
      <c r="HM14" s="1952"/>
      <c r="HN14" s="1952"/>
      <c r="HO14" s="1952"/>
      <c r="HP14" s="1952"/>
      <c r="HQ14" s="1952"/>
      <c r="HR14" s="1952"/>
      <c r="HS14" s="1952"/>
      <c r="HT14" s="1952"/>
      <c r="HU14" s="1952"/>
      <c r="HV14" s="1952"/>
      <c r="HW14" s="1952"/>
      <c r="HX14" s="1952"/>
      <c r="HY14" s="1952"/>
      <c r="HZ14" s="1952"/>
      <c r="IA14" s="1952"/>
      <c r="IB14" s="1952"/>
      <c r="IC14" s="1952"/>
      <c r="ID14" s="1952"/>
      <c r="IE14" s="1952"/>
      <c r="IF14" s="1952"/>
      <c r="IG14" s="1952"/>
      <c r="IH14" s="1952"/>
      <c r="II14" s="1952"/>
      <c r="IJ14" s="1952"/>
      <c r="IK14" s="1952"/>
      <c r="IL14" s="1952"/>
      <c r="IM14" s="1952"/>
    </row>
    <row r="15" ht="24.75" spans="1:247">
      <c r="A15" s="1946" t="s">
        <v>206</v>
      </c>
      <c r="B15" s="1947">
        <f>审定资负表!C12</f>
        <v>5230925.94</v>
      </c>
      <c r="C15" s="1947">
        <f>审定资负表!D12</f>
        <v>5230925.94</v>
      </c>
      <c r="D15" s="1948">
        <f t="shared" si="0"/>
        <v>0.0107792211957521</v>
      </c>
      <c r="E15" s="1949">
        <f t="shared" si="1"/>
        <v>0</v>
      </c>
      <c r="F15" s="1950">
        <f t="shared" si="2"/>
        <v>0</v>
      </c>
      <c r="G15" s="1953" t="s">
        <v>2689</v>
      </c>
      <c r="H15" s="1952"/>
      <c r="I15" s="1952"/>
      <c r="J15" s="1952"/>
      <c r="K15" s="1952"/>
      <c r="L15" s="1952"/>
      <c r="M15" s="1952"/>
      <c r="N15" s="1952"/>
      <c r="O15" s="1952"/>
      <c r="P15" s="1952"/>
      <c r="Q15" s="1952"/>
      <c r="R15" s="1952"/>
      <c r="S15" s="1952"/>
      <c r="T15" s="1952"/>
      <c r="U15" s="1952"/>
      <c r="V15" s="1952"/>
      <c r="W15" s="1952"/>
      <c r="X15" s="1952"/>
      <c r="Y15" s="1952"/>
      <c r="Z15" s="1952"/>
      <c r="AA15" s="1952"/>
      <c r="AB15" s="1952"/>
      <c r="AC15" s="1952"/>
      <c r="AD15" s="1952"/>
      <c r="AE15" s="1952"/>
      <c r="AF15" s="1952"/>
      <c r="AG15" s="1952"/>
      <c r="AH15" s="1952"/>
      <c r="AI15" s="1952"/>
      <c r="AJ15" s="1952"/>
      <c r="AK15" s="1952"/>
      <c r="AL15" s="1952"/>
      <c r="AM15" s="1952"/>
      <c r="AN15" s="1952"/>
      <c r="AO15" s="1952"/>
      <c r="AP15" s="1952"/>
      <c r="AQ15" s="1952"/>
      <c r="AR15" s="1952"/>
      <c r="AS15" s="1952"/>
      <c r="AT15" s="1952"/>
      <c r="AU15" s="1952"/>
      <c r="AV15" s="1952"/>
      <c r="AW15" s="1952"/>
      <c r="AX15" s="1952"/>
      <c r="AY15" s="1952"/>
      <c r="AZ15" s="1952"/>
      <c r="BA15" s="1952"/>
      <c r="BB15" s="1952"/>
      <c r="BC15" s="1952"/>
      <c r="BD15" s="1952"/>
      <c r="BE15" s="1952"/>
      <c r="BF15" s="1952"/>
      <c r="BG15" s="1952"/>
      <c r="BH15" s="1952"/>
      <c r="BI15" s="1952"/>
      <c r="BJ15" s="1952"/>
      <c r="BK15" s="1952"/>
      <c r="BL15" s="1952"/>
      <c r="BM15" s="1952"/>
      <c r="BN15" s="1952"/>
      <c r="BO15" s="1952"/>
      <c r="BP15" s="1952"/>
      <c r="BQ15" s="1952"/>
      <c r="BR15" s="1952"/>
      <c r="BS15" s="1952"/>
      <c r="BT15" s="1952"/>
      <c r="BU15" s="1952"/>
      <c r="BV15" s="1952"/>
      <c r="BW15" s="1952"/>
      <c r="BX15" s="1952"/>
      <c r="BY15" s="1952"/>
      <c r="BZ15" s="1952"/>
      <c r="CA15" s="1952"/>
      <c r="CB15" s="1952"/>
      <c r="CC15" s="1952"/>
      <c r="CD15" s="1952"/>
      <c r="CE15" s="1952"/>
      <c r="CF15" s="1952"/>
      <c r="CG15" s="1952"/>
      <c r="CH15" s="1952"/>
      <c r="CI15" s="1952"/>
      <c r="CJ15" s="1952"/>
      <c r="CK15" s="1952"/>
      <c r="CL15" s="1952"/>
      <c r="CM15" s="1952"/>
      <c r="CN15" s="1952"/>
      <c r="CO15" s="1952"/>
      <c r="CP15" s="1952"/>
      <c r="CQ15" s="1952"/>
      <c r="CR15" s="1952"/>
      <c r="CS15" s="1952"/>
      <c r="CT15" s="1952"/>
      <c r="CU15" s="1952"/>
      <c r="CV15" s="1952"/>
      <c r="CW15" s="1952"/>
      <c r="CX15" s="1952"/>
      <c r="CY15" s="1952"/>
      <c r="CZ15" s="1952"/>
      <c r="DA15" s="1952"/>
      <c r="DB15" s="1952"/>
      <c r="DC15" s="1952"/>
      <c r="DD15" s="1952"/>
      <c r="DE15" s="1952"/>
      <c r="DF15" s="1952"/>
      <c r="DG15" s="1952"/>
      <c r="DH15" s="1952"/>
      <c r="DI15" s="1952"/>
      <c r="DJ15" s="1952"/>
      <c r="DK15" s="1952"/>
      <c r="DL15" s="1952"/>
      <c r="DM15" s="1952"/>
      <c r="DN15" s="1952"/>
      <c r="DO15" s="1952"/>
      <c r="DP15" s="1952"/>
      <c r="DQ15" s="1952"/>
      <c r="DR15" s="1952"/>
      <c r="DS15" s="1952"/>
      <c r="DT15" s="1952"/>
      <c r="DU15" s="1952"/>
      <c r="DV15" s="1952"/>
      <c r="DW15" s="1952"/>
      <c r="DX15" s="1952"/>
      <c r="DY15" s="1952"/>
      <c r="DZ15" s="1952"/>
      <c r="EA15" s="1952"/>
      <c r="EB15" s="1952"/>
      <c r="EC15" s="1952"/>
      <c r="ED15" s="1952"/>
      <c r="EE15" s="1952"/>
      <c r="EF15" s="1952"/>
      <c r="EG15" s="1952"/>
      <c r="EH15" s="1952"/>
      <c r="EI15" s="1952"/>
      <c r="EJ15" s="1952"/>
      <c r="EK15" s="1952"/>
      <c r="EL15" s="1952"/>
      <c r="EM15" s="1952"/>
      <c r="EN15" s="1952"/>
      <c r="EO15" s="1952"/>
      <c r="EP15" s="1952"/>
      <c r="EQ15" s="1952"/>
      <c r="ER15" s="1952"/>
      <c r="ES15" s="1952"/>
      <c r="ET15" s="1952"/>
      <c r="EU15" s="1952"/>
      <c r="EV15" s="1952"/>
      <c r="EW15" s="1952"/>
      <c r="EX15" s="1952"/>
      <c r="EY15" s="1952"/>
      <c r="EZ15" s="1952"/>
      <c r="FA15" s="1952"/>
      <c r="FB15" s="1952"/>
      <c r="FC15" s="1952"/>
      <c r="FD15" s="1952"/>
      <c r="FE15" s="1952"/>
      <c r="FF15" s="1952"/>
      <c r="FG15" s="1952"/>
      <c r="FH15" s="1952"/>
      <c r="FI15" s="1952"/>
      <c r="FJ15" s="1952"/>
      <c r="FK15" s="1952"/>
      <c r="FL15" s="1952"/>
      <c r="FM15" s="1952"/>
      <c r="FN15" s="1952"/>
      <c r="FO15" s="1952"/>
      <c r="FP15" s="1952"/>
      <c r="FQ15" s="1952"/>
      <c r="FR15" s="1952"/>
      <c r="FS15" s="1952"/>
      <c r="FT15" s="1952"/>
      <c r="FU15" s="1952"/>
      <c r="FV15" s="1952"/>
      <c r="FW15" s="1952"/>
      <c r="FX15" s="1952"/>
      <c r="FY15" s="1952"/>
      <c r="FZ15" s="1952"/>
      <c r="GA15" s="1952"/>
      <c r="GB15" s="1952"/>
      <c r="GC15" s="1952"/>
      <c r="GD15" s="1952"/>
      <c r="GE15" s="1952"/>
      <c r="GF15" s="1952"/>
      <c r="GG15" s="1952"/>
      <c r="GH15" s="1952"/>
      <c r="GI15" s="1952"/>
      <c r="GJ15" s="1952"/>
      <c r="GK15" s="1952"/>
      <c r="GL15" s="1952"/>
      <c r="GM15" s="1952"/>
      <c r="GN15" s="1952"/>
      <c r="GO15" s="1952"/>
      <c r="GP15" s="1952"/>
      <c r="GQ15" s="1952"/>
      <c r="GR15" s="1952"/>
      <c r="GS15" s="1952"/>
      <c r="GT15" s="1952"/>
      <c r="GU15" s="1952"/>
      <c r="GV15" s="1952"/>
      <c r="GW15" s="1952"/>
      <c r="GX15" s="1952"/>
      <c r="GY15" s="1952"/>
      <c r="GZ15" s="1952"/>
      <c r="HA15" s="1952"/>
      <c r="HB15" s="1952"/>
      <c r="HC15" s="1952"/>
      <c r="HD15" s="1952"/>
      <c r="HE15" s="1952"/>
      <c r="HF15" s="1952"/>
      <c r="HG15" s="1952"/>
      <c r="HH15" s="1952"/>
      <c r="HI15" s="1952"/>
      <c r="HJ15" s="1952"/>
      <c r="HK15" s="1952"/>
      <c r="HL15" s="1952"/>
      <c r="HM15" s="1952"/>
      <c r="HN15" s="1952"/>
      <c r="HO15" s="1952"/>
      <c r="HP15" s="1952"/>
      <c r="HQ15" s="1952"/>
      <c r="HR15" s="1952"/>
      <c r="HS15" s="1952"/>
      <c r="HT15" s="1952"/>
      <c r="HU15" s="1952"/>
      <c r="HV15" s="1952"/>
      <c r="HW15" s="1952"/>
      <c r="HX15" s="1952"/>
      <c r="HY15" s="1952"/>
      <c r="HZ15" s="1952"/>
      <c r="IA15" s="1952"/>
      <c r="IB15" s="1952"/>
      <c r="IC15" s="1952"/>
      <c r="ID15" s="1952"/>
      <c r="IE15" s="1952"/>
      <c r="IF15" s="1952"/>
      <c r="IG15" s="1952"/>
      <c r="IH15" s="1952"/>
      <c r="II15" s="1952"/>
      <c r="IJ15" s="1952"/>
      <c r="IK15" s="1952"/>
      <c r="IL15" s="1952"/>
      <c r="IM15" s="1952"/>
    </row>
    <row r="16" ht="16.5" spans="1:247">
      <c r="A16" s="1946" t="s">
        <v>208</v>
      </c>
      <c r="B16" s="1947">
        <f>审定资负表!C13</f>
        <v>0</v>
      </c>
      <c r="C16" s="1947">
        <f>审定资负表!D13</f>
        <v>0</v>
      </c>
      <c r="D16" s="1948" t="str">
        <f t="shared" si="0"/>
        <v> </v>
      </c>
      <c r="E16" s="1949">
        <f t="shared" si="1"/>
        <v>0</v>
      </c>
      <c r="F16" s="1950">
        <f t="shared" si="2"/>
        <v>0</v>
      </c>
      <c r="G16" s="1953"/>
      <c r="H16" s="1952"/>
      <c r="I16" s="1952"/>
      <c r="J16" s="1952"/>
      <c r="K16" s="1952"/>
      <c r="L16" s="1952"/>
      <c r="M16" s="1952"/>
      <c r="N16" s="1952"/>
      <c r="O16" s="1952"/>
      <c r="P16" s="1952"/>
      <c r="Q16" s="1952"/>
      <c r="R16" s="1952"/>
      <c r="S16" s="1952"/>
      <c r="T16" s="1952"/>
      <c r="U16" s="1952"/>
      <c r="V16" s="1952"/>
      <c r="W16" s="1952"/>
      <c r="X16" s="1952"/>
      <c r="Y16" s="1952"/>
      <c r="Z16" s="1952"/>
      <c r="AA16" s="1952"/>
      <c r="AB16" s="1952"/>
      <c r="AC16" s="1952"/>
      <c r="AD16" s="1952"/>
      <c r="AE16" s="1952"/>
      <c r="AF16" s="1952"/>
      <c r="AG16" s="1952"/>
      <c r="AH16" s="1952"/>
      <c r="AI16" s="1952"/>
      <c r="AJ16" s="1952"/>
      <c r="AK16" s="1952"/>
      <c r="AL16" s="1952"/>
      <c r="AM16" s="1952"/>
      <c r="AN16" s="1952"/>
      <c r="AO16" s="1952"/>
      <c r="AP16" s="1952"/>
      <c r="AQ16" s="1952"/>
      <c r="AR16" s="1952"/>
      <c r="AS16" s="1952"/>
      <c r="AT16" s="1952"/>
      <c r="AU16" s="1952"/>
      <c r="AV16" s="1952"/>
      <c r="AW16" s="1952"/>
      <c r="AX16" s="1952"/>
      <c r="AY16" s="1952"/>
      <c r="AZ16" s="1952"/>
      <c r="BA16" s="1952"/>
      <c r="BB16" s="1952"/>
      <c r="BC16" s="1952"/>
      <c r="BD16" s="1952"/>
      <c r="BE16" s="1952"/>
      <c r="BF16" s="1952"/>
      <c r="BG16" s="1952"/>
      <c r="BH16" s="1952"/>
      <c r="BI16" s="1952"/>
      <c r="BJ16" s="1952"/>
      <c r="BK16" s="1952"/>
      <c r="BL16" s="1952"/>
      <c r="BM16" s="1952"/>
      <c r="BN16" s="1952"/>
      <c r="BO16" s="1952"/>
      <c r="BP16" s="1952"/>
      <c r="BQ16" s="1952"/>
      <c r="BR16" s="1952"/>
      <c r="BS16" s="1952"/>
      <c r="BT16" s="1952"/>
      <c r="BU16" s="1952"/>
      <c r="BV16" s="1952"/>
      <c r="BW16" s="1952"/>
      <c r="BX16" s="1952"/>
      <c r="BY16" s="1952"/>
      <c r="BZ16" s="1952"/>
      <c r="CA16" s="1952"/>
      <c r="CB16" s="1952"/>
      <c r="CC16" s="1952"/>
      <c r="CD16" s="1952"/>
      <c r="CE16" s="1952"/>
      <c r="CF16" s="1952"/>
      <c r="CG16" s="1952"/>
      <c r="CH16" s="1952"/>
      <c r="CI16" s="1952"/>
      <c r="CJ16" s="1952"/>
      <c r="CK16" s="1952"/>
      <c r="CL16" s="1952"/>
      <c r="CM16" s="1952"/>
      <c r="CN16" s="1952"/>
      <c r="CO16" s="1952"/>
      <c r="CP16" s="1952"/>
      <c r="CQ16" s="1952"/>
      <c r="CR16" s="1952"/>
      <c r="CS16" s="1952"/>
      <c r="CT16" s="1952"/>
      <c r="CU16" s="1952"/>
      <c r="CV16" s="1952"/>
      <c r="CW16" s="1952"/>
      <c r="CX16" s="1952"/>
      <c r="CY16" s="1952"/>
      <c r="CZ16" s="1952"/>
      <c r="DA16" s="1952"/>
      <c r="DB16" s="1952"/>
      <c r="DC16" s="1952"/>
      <c r="DD16" s="1952"/>
      <c r="DE16" s="1952"/>
      <c r="DF16" s="1952"/>
      <c r="DG16" s="1952"/>
      <c r="DH16" s="1952"/>
      <c r="DI16" s="1952"/>
      <c r="DJ16" s="1952"/>
      <c r="DK16" s="1952"/>
      <c r="DL16" s="1952"/>
      <c r="DM16" s="1952"/>
      <c r="DN16" s="1952"/>
      <c r="DO16" s="1952"/>
      <c r="DP16" s="1952"/>
      <c r="DQ16" s="1952"/>
      <c r="DR16" s="1952"/>
      <c r="DS16" s="1952"/>
      <c r="DT16" s="1952"/>
      <c r="DU16" s="1952"/>
      <c r="DV16" s="1952"/>
      <c r="DW16" s="1952"/>
      <c r="DX16" s="1952"/>
      <c r="DY16" s="1952"/>
      <c r="DZ16" s="1952"/>
      <c r="EA16" s="1952"/>
      <c r="EB16" s="1952"/>
      <c r="EC16" s="1952"/>
      <c r="ED16" s="1952"/>
      <c r="EE16" s="1952"/>
      <c r="EF16" s="1952"/>
      <c r="EG16" s="1952"/>
      <c r="EH16" s="1952"/>
      <c r="EI16" s="1952"/>
      <c r="EJ16" s="1952"/>
      <c r="EK16" s="1952"/>
      <c r="EL16" s="1952"/>
      <c r="EM16" s="1952"/>
      <c r="EN16" s="1952"/>
      <c r="EO16" s="1952"/>
      <c r="EP16" s="1952"/>
      <c r="EQ16" s="1952"/>
      <c r="ER16" s="1952"/>
      <c r="ES16" s="1952"/>
      <c r="ET16" s="1952"/>
      <c r="EU16" s="1952"/>
      <c r="EV16" s="1952"/>
      <c r="EW16" s="1952"/>
      <c r="EX16" s="1952"/>
      <c r="EY16" s="1952"/>
      <c r="EZ16" s="1952"/>
      <c r="FA16" s="1952"/>
      <c r="FB16" s="1952"/>
      <c r="FC16" s="1952"/>
      <c r="FD16" s="1952"/>
      <c r="FE16" s="1952"/>
      <c r="FF16" s="1952"/>
      <c r="FG16" s="1952"/>
      <c r="FH16" s="1952"/>
      <c r="FI16" s="1952"/>
      <c r="FJ16" s="1952"/>
      <c r="FK16" s="1952"/>
      <c r="FL16" s="1952"/>
      <c r="FM16" s="1952"/>
      <c r="FN16" s="1952"/>
      <c r="FO16" s="1952"/>
      <c r="FP16" s="1952"/>
      <c r="FQ16" s="1952"/>
      <c r="FR16" s="1952"/>
      <c r="FS16" s="1952"/>
      <c r="FT16" s="1952"/>
      <c r="FU16" s="1952"/>
      <c r="FV16" s="1952"/>
      <c r="FW16" s="1952"/>
      <c r="FX16" s="1952"/>
      <c r="FY16" s="1952"/>
      <c r="FZ16" s="1952"/>
      <c r="GA16" s="1952"/>
      <c r="GB16" s="1952"/>
      <c r="GC16" s="1952"/>
      <c r="GD16" s="1952"/>
      <c r="GE16" s="1952"/>
      <c r="GF16" s="1952"/>
      <c r="GG16" s="1952"/>
      <c r="GH16" s="1952"/>
      <c r="GI16" s="1952"/>
      <c r="GJ16" s="1952"/>
      <c r="GK16" s="1952"/>
      <c r="GL16" s="1952"/>
      <c r="GM16" s="1952"/>
      <c r="GN16" s="1952"/>
      <c r="GO16" s="1952"/>
      <c r="GP16" s="1952"/>
      <c r="GQ16" s="1952"/>
      <c r="GR16" s="1952"/>
      <c r="GS16" s="1952"/>
      <c r="GT16" s="1952"/>
      <c r="GU16" s="1952"/>
      <c r="GV16" s="1952"/>
      <c r="GW16" s="1952"/>
      <c r="GX16" s="1952"/>
      <c r="GY16" s="1952"/>
      <c r="GZ16" s="1952"/>
      <c r="HA16" s="1952"/>
      <c r="HB16" s="1952"/>
      <c r="HC16" s="1952"/>
      <c r="HD16" s="1952"/>
      <c r="HE16" s="1952"/>
      <c r="HF16" s="1952"/>
      <c r="HG16" s="1952"/>
      <c r="HH16" s="1952"/>
      <c r="HI16" s="1952"/>
      <c r="HJ16" s="1952"/>
      <c r="HK16" s="1952"/>
      <c r="HL16" s="1952"/>
      <c r="HM16" s="1952"/>
      <c r="HN16" s="1952"/>
      <c r="HO16" s="1952"/>
      <c r="HP16" s="1952"/>
      <c r="HQ16" s="1952"/>
      <c r="HR16" s="1952"/>
      <c r="HS16" s="1952"/>
      <c r="HT16" s="1952"/>
      <c r="HU16" s="1952"/>
      <c r="HV16" s="1952"/>
      <c r="HW16" s="1952"/>
      <c r="HX16" s="1952"/>
      <c r="HY16" s="1952"/>
      <c r="HZ16" s="1952"/>
      <c r="IA16" s="1952"/>
      <c r="IB16" s="1952"/>
      <c r="IC16" s="1952"/>
      <c r="ID16" s="1952"/>
      <c r="IE16" s="1952"/>
      <c r="IF16" s="1952"/>
      <c r="IG16" s="1952"/>
      <c r="IH16" s="1952"/>
      <c r="II16" s="1952"/>
      <c r="IJ16" s="1952"/>
      <c r="IK16" s="1952"/>
      <c r="IL16" s="1952"/>
      <c r="IM16" s="1952"/>
    </row>
    <row r="17" ht="50.25" spans="1:247">
      <c r="A17" s="1946" t="s">
        <v>210</v>
      </c>
      <c r="B17" s="1947">
        <f>审定资负表!C14</f>
        <v>17472054.83</v>
      </c>
      <c r="C17" s="1947">
        <f>审定资负表!D14</f>
        <v>16982264.67</v>
      </c>
      <c r="D17" s="1948">
        <f t="shared" si="0"/>
        <v>0.0360041694180207</v>
      </c>
      <c r="E17" s="1949">
        <f t="shared" si="1"/>
        <v>489790.159999996</v>
      </c>
      <c r="F17" s="1950">
        <f t="shared" si="2"/>
        <v>0.0288</v>
      </c>
      <c r="G17" s="1953" t="s">
        <v>2690</v>
      </c>
      <c r="H17" s="1952"/>
      <c r="I17" s="1952"/>
      <c r="J17" s="1952"/>
      <c r="K17" s="1952"/>
      <c r="L17" s="1952"/>
      <c r="M17" s="1952"/>
      <c r="N17" s="1952"/>
      <c r="O17" s="1952"/>
      <c r="P17" s="1952"/>
      <c r="Q17" s="1952"/>
      <c r="R17" s="1952"/>
      <c r="S17" s="1952"/>
      <c r="T17" s="1952"/>
      <c r="U17" s="1952"/>
      <c r="V17" s="1952"/>
      <c r="W17" s="1952"/>
      <c r="X17" s="1952"/>
      <c r="Y17" s="1952"/>
      <c r="Z17" s="1952"/>
      <c r="AA17" s="1952"/>
      <c r="AB17" s="1952"/>
      <c r="AC17" s="1952"/>
      <c r="AD17" s="1952"/>
      <c r="AE17" s="1952"/>
      <c r="AF17" s="1952"/>
      <c r="AG17" s="1952"/>
      <c r="AH17" s="1952"/>
      <c r="AI17" s="1952"/>
      <c r="AJ17" s="1952"/>
      <c r="AK17" s="1952"/>
      <c r="AL17" s="1952"/>
      <c r="AM17" s="1952"/>
      <c r="AN17" s="1952"/>
      <c r="AO17" s="1952"/>
      <c r="AP17" s="1952"/>
      <c r="AQ17" s="1952"/>
      <c r="AR17" s="1952"/>
      <c r="AS17" s="1952"/>
      <c r="AT17" s="1952"/>
      <c r="AU17" s="1952"/>
      <c r="AV17" s="1952"/>
      <c r="AW17" s="1952"/>
      <c r="AX17" s="1952"/>
      <c r="AY17" s="1952"/>
      <c r="AZ17" s="1952"/>
      <c r="BA17" s="1952"/>
      <c r="BB17" s="1952"/>
      <c r="BC17" s="1952"/>
      <c r="BD17" s="1952"/>
      <c r="BE17" s="1952"/>
      <c r="BF17" s="1952"/>
      <c r="BG17" s="1952"/>
      <c r="BH17" s="1952"/>
      <c r="BI17" s="1952"/>
      <c r="BJ17" s="1952"/>
      <c r="BK17" s="1952"/>
      <c r="BL17" s="1952"/>
      <c r="BM17" s="1952"/>
      <c r="BN17" s="1952"/>
      <c r="BO17" s="1952"/>
      <c r="BP17" s="1952"/>
      <c r="BQ17" s="1952"/>
      <c r="BR17" s="1952"/>
      <c r="BS17" s="1952"/>
      <c r="BT17" s="1952"/>
      <c r="BU17" s="1952"/>
      <c r="BV17" s="1952"/>
      <c r="BW17" s="1952"/>
      <c r="BX17" s="1952"/>
      <c r="BY17" s="1952"/>
      <c r="BZ17" s="1952"/>
      <c r="CA17" s="1952"/>
      <c r="CB17" s="1952"/>
      <c r="CC17" s="1952"/>
      <c r="CD17" s="1952"/>
      <c r="CE17" s="1952"/>
      <c r="CF17" s="1952"/>
      <c r="CG17" s="1952"/>
      <c r="CH17" s="1952"/>
      <c r="CI17" s="1952"/>
      <c r="CJ17" s="1952"/>
      <c r="CK17" s="1952"/>
      <c r="CL17" s="1952"/>
      <c r="CM17" s="1952"/>
      <c r="CN17" s="1952"/>
      <c r="CO17" s="1952"/>
      <c r="CP17" s="1952"/>
      <c r="CQ17" s="1952"/>
      <c r="CR17" s="1952"/>
      <c r="CS17" s="1952"/>
      <c r="CT17" s="1952"/>
      <c r="CU17" s="1952"/>
      <c r="CV17" s="1952"/>
      <c r="CW17" s="1952"/>
      <c r="CX17" s="1952"/>
      <c r="CY17" s="1952"/>
      <c r="CZ17" s="1952"/>
      <c r="DA17" s="1952"/>
      <c r="DB17" s="1952"/>
      <c r="DC17" s="1952"/>
      <c r="DD17" s="1952"/>
      <c r="DE17" s="1952"/>
      <c r="DF17" s="1952"/>
      <c r="DG17" s="1952"/>
      <c r="DH17" s="1952"/>
      <c r="DI17" s="1952"/>
      <c r="DJ17" s="1952"/>
      <c r="DK17" s="1952"/>
      <c r="DL17" s="1952"/>
      <c r="DM17" s="1952"/>
      <c r="DN17" s="1952"/>
      <c r="DO17" s="1952"/>
      <c r="DP17" s="1952"/>
      <c r="DQ17" s="1952"/>
      <c r="DR17" s="1952"/>
      <c r="DS17" s="1952"/>
      <c r="DT17" s="1952"/>
      <c r="DU17" s="1952"/>
      <c r="DV17" s="1952"/>
      <c r="DW17" s="1952"/>
      <c r="DX17" s="1952"/>
      <c r="DY17" s="1952"/>
      <c r="DZ17" s="1952"/>
      <c r="EA17" s="1952"/>
      <c r="EB17" s="1952"/>
      <c r="EC17" s="1952"/>
      <c r="ED17" s="1952"/>
      <c r="EE17" s="1952"/>
      <c r="EF17" s="1952"/>
      <c r="EG17" s="1952"/>
      <c r="EH17" s="1952"/>
      <c r="EI17" s="1952"/>
      <c r="EJ17" s="1952"/>
      <c r="EK17" s="1952"/>
      <c r="EL17" s="1952"/>
      <c r="EM17" s="1952"/>
      <c r="EN17" s="1952"/>
      <c r="EO17" s="1952"/>
      <c r="EP17" s="1952"/>
      <c r="EQ17" s="1952"/>
      <c r="ER17" s="1952"/>
      <c r="ES17" s="1952"/>
      <c r="ET17" s="1952"/>
      <c r="EU17" s="1952"/>
      <c r="EV17" s="1952"/>
      <c r="EW17" s="1952"/>
      <c r="EX17" s="1952"/>
      <c r="EY17" s="1952"/>
      <c r="EZ17" s="1952"/>
      <c r="FA17" s="1952"/>
      <c r="FB17" s="1952"/>
      <c r="FC17" s="1952"/>
      <c r="FD17" s="1952"/>
      <c r="FE17" s="1952"/>
      <c r="FF17" s="1952"/>
      <c r="FG17" s="1952"/>
      <c r="FH17" s="1952"/>
      <c r="FI17" s="1952"/>
      <c r="FJ17" s="1952"/>
      <c r="FK17" s="1952"/>
      <c r="FL17" s="1952"/>
      <c r="FM17" s="1952"/>
      <c r="FN17" s="1952"/>
      <c r="FO17" s="1952"/>
      <c r="FP17" s="1952"/>
      <c r="FQ17" s="1952"/>
      <c r="FR17" s="1952"/>
      <c r="FS17" s="1952"/>
      <c r="FT17" s="1952"/>
      <c r="FU17" s="1952"/>
      <c r="FV17" s="1952"/>
      <c r="FW17" s="1952"/>
      <c r="FX17" s="1952"/>
      <c r="FY17" s="1952"/>
      <c r="FZ17" s="1952"/>
      <c r="GA17" s="1952"/>
      <c r="GB17" s="1952"/>
      <c r="GC17" s="1952"/>
      <c r="GD17" s="1952"/>
      <c r="GE17" s="1952"/>
      <c r="GF17" s="1952"/>
      <c r="GG17" s="1952"/>
      <c r="GH17" s="1952"/>
      <c r="GI17" s="1952"/>
      <c r="GJ17" s="1952"/>
      <c r="GK17" s="1952"/>
      <c r="GL17" s="1952"/>
      <c r="GM17" s="1952"/>
      <c r="GN17" s="1952"/>
      <c r="GO17" s="1952"/>
      <c r="GP17" s="1952"/>
      <c r="GQ17" s="1952"/>
      <c r="GR17" s="1952"/>
      <c r="GS17" s="1952"/>
      <c r="GT17" s="1952"/>
      <c r="GU17" s="1952"/>
      <c r="GV17" s="1952"/>
      <c r="GW17" s="1952"/>
      <c r="GX17" s="1952"/>
      <c r="GY17" s="1952"/>
      <c r="GZ17" s="1952"/>
      <c r="HA17" s="1952"/>
      <c r="HB17" s="1952"/>
      <c r="HC17" s="1952"/>
      <c r="HD17" s="1952"/>
      <c r="HE17" s="1952"/>
      <c r="HF17" s="1952"/>
      <c r="HG17" s="1952"/>
      <c r="HH17" s="1952"/>
      <c r="HI17" s="1952"/>
      <c r="HJ17" s="1952"/>
      <c r="HK17" s="1952"/>
      <c r="HL17" s="1952"/>
      <c r="HM17" s="1952"/>
      <c r="HN17" s="1952"/>
      <c r="HO17" s="1952"/>
      <c r="HP17" s="1952"/>
      <c r="HQ17" s="1952"/>
      <c r="HR17" s="1952"/>
      <c r="HS17" s="1952"/>
      <c r="HT17" s="1952"/>
      <c r="HU17" s="1952"/>
      <c r="HV17" s="1952"/>
      <c r="HW17" s="1952"/>
      <c r="HX17" s="1952"/>
      <c r="HY17" s="1952"/>
      <c r="HZ17" s="1952"/>
      <c r="IA17" s="1952"/>
      <c r="IB17" s="1952"/>
      <c r="IC17" s="1952"/>
      <c r="ID17" s="1952"/>
      <c r="IE17" s="1952"/>
      <c r="IF17" s="1952"/>
      <c r="IG17" s="1952"/>
      <c r="IH17" s="1952"/>
      <c r="II17" s="1952"/>
      <c r="IJ17" s="1952"/>
      <c r="IK17" s="1952"/>
      <c r="IL17" s="1952"/>
      <c r="IM17" s="1952"/>
    </row>
    <row r="18" ht="62.25" spans="1:247">
      <c r="A18" s="1946" t="s">
        <v>212</v>
      </c>
      <c r="B18" s="1947">
        <f>审定资负表!C15</f>
        <v>31962413.89</v>
      </c>
      <c r="C18" s="1947">
        <f>审定资负表!D15</f>
        <v>9826768.95</v>
      </c>
      <c r="D18" s="1948">
        <f t="shared" si="0"/>
        <v>0.0658640426613438</v>
      </c>
      <c r="E18" s="1949">
        <f t="shared" si="1"/>
        <v>22135644.94</v>
      </c>
      <c r="F18" s="1950">
        <f t="shared" si="2"/>
        <v>2.2526</v>
      </c>
      <c r="G18" s="1953" t="s">
        <v>2691</v>
      </c>
      <c r="H18" s="1952"/>
      <c r="I18" s="1952"/>
      <c r="J18" s="1952"/>
      <c r="K18" s="1952"/>
      <c r="L18" s="1952"/>
      <c r="M18" s="1952"/>
      <c r="N18" s="1952"/>
      <c r="O18" s="1952"/>
      <c r="P18" s="1952"/>
      <c r="Q18" s="1952"/>
      <c r="R18" s="1952"/>
      <c r="S18" s="1952"/>
      <c r="T18" s="1952"/>
      <c r="U18" s="1952"/>
      <c r="V18" s="1952"/>
      <c r="W18" s="1952"/>
      <c r="X18" s="1952"/>
      <c r="Y18" s="1952"/>
      <c r="Z18" s="1952"/>
      <c r="AA18" s="1952"/>
      <c r="AB18" s="1952"/>
      <c r="AC18" s="1952"/>
      <c r="AD18" s="1952"/>
      <c r="AE18" s="1952"/>
      <c r="AF18" s="1952"/>
      <c r="AG18" s="1952"/>
      <c r="AH18" s="1952"/>
      <c r="AI18" s="1952"/>
      <c r="AJ18" s="1952"/>
      <c r="AK18" s="1952"/>
      <c r="AL18" s="1952"/>
      <c r="AM18" s="1952"/>
      <c r="AN18" s="1952"/>
      <c r="AO18" s="1952"/>
      <c r="AP18" s="1952"/>
      <c r="AQ18" s="1952"/>
      <c r="AR18" s="1952"/>
      <c r="AS18" s="1952"/>
      <c r="AT18" s="1952"/>
      <c r="AU18" s="1952"/>
      <c r="AV18" s="1952"/>
      <c r="AW18" s="1952"/>
      <c r="AX18" s="1952"/>
      <c r="AY18" s="1952"/>
      <c r="AZ18" s="1952"/>
      <c r="BA18" s="1952"/>
      <c r="BB18" s="1952"/>
      <c r="BC18" s="1952"/>
      <c r="BD18" s="1952"/>
      <c r="BE18" s="1952"/>
      <c r="BF18" s="1952"/>
      <c r="BG18" s="1952"/>
      <c r="BH18" s="1952"/>
      <c r="BI18" s="1952"/>
      <c r="BJ18" s="1952"/>
      <c r="BK18" s="1952"/>
      <c r="BL18" s="1952"/>
      <c r="BM18" s="1952"/>
      <c r="BN18" s="1952"/>
      <c r="BO18" s="1952"/>
      <c r="BP18" s="1952"/>
      <c r="BQ18" s="1952"/>
      <c r="BR18" s="1952"/>
      <c r="BS18" s="1952"/>
      <c r="BT18" s="1952"/>
      <c r="BU18" s="1952"/>
      <c r="BV18" s="1952"/>
      <c r="BW18" s="1952"/>
      <c r="BX18" s="1952"/>
      <c r="BY18" s="1952"/>
      <c r="BZ18" s="1952"/>
      <c r="CA18" s="1952"/>
      <c r="CB18" s="1952"/>
      <c r="CC18" s="1952"/>
      <c r="CD18" s="1952"/>
      <c r="CE18" s="1952"/>
      <c r="CF18" s="1952"/>
      <c r="CG18" s="1952"/>
      <c r="CH18" s="1952"/>
      <c r="CI18" s="1952"/>
      <c r="CJ18" s="1952"/>
      <c r="CK18" s="1952"/>
      <c r="CL18" s="1952"/>
      <c r="CM18" s="1952"/>
      <c r="CN18" s="1952"/>
      <c r="CO18" s="1952"/>
      <c r="CP18" s="1952"/>
      <c r="CQ18" s="1952"/>
      <c r="CR18" s="1952"/>
      <c r="CS18" s="1952"/>
      <c r="CT18" s="1952"/>
      <c r="CU18" s="1952"/>
      <c r="CV18" s="1952"/>
      <c r="CW18" s="1952"/>
      <c r="CX18" s="1952"/>
      <c r="CY18" s="1952"/>
      <c r="CZ18" s="1952"/>
      <c r="DA18" s="1952"/>
      <c r="DB18" s="1952"/>
      <c r="DC18" s="1952"/>
      <c r="DD18" s="1952"/>
      <c r="DE18" s="1952"/>
      <c r="DF18" s="1952"/>
      <c r="DG18" s="1952"/>
      <c r="DH18" s="1952"/>
      <c r="DI18" s="1952"/>
      <c r="DJ18" s="1952"/>
      <c r="DK18" s="1952"/>
      <c r="DL18" s="1952"/>
      <c r="DM18" s="1952"/>
      <c r="DN18" s="1952"/>
      <c r="DO18" s="1952"/>
      <c r="DP18" s="1952"/>
      <c r="DQ18" s="1952"/>
      <c r="DR18" s="1952"/>
      <c r="DS18" s="1952"/>
      <c r="DT18" s="1952"/>
      <c r="DU18" s="1952"/>
      <c r="DV18" s="1952"/>
      <c r="DW18" s="1952"/>
      <c r="DX18" s="1952"/>
      <c r="DY18" s="1952"/>
      <c r="DZ18" s="1952"/>
      <c r="EA18" s="1952"/>
      <c r="EB18" s="1952"/>
      <c r="EC18" s="1952"/>
      <c r="ED18" s="1952"/>
      <c r="EE18" s="1952"/>
      <c r="EF18" s="1952"/>
      <c r="EG18" s="1952"/>
      <c r="EH18" s="1952"/>
      <c r="EI18" s="1952"/>
      <c r="EJ18" s="1952"/>
      <c r="EK18" s="1952"/>
      <c r="EL18" s="1952"/>
      <c r="EM18" s="1952"/>
      <c r="EN18" s="1952"/>
      <c r="EO18" s="1952"/>
      <c r="EP18" s="1952"/>
      <c r="EQ18" s="1952"/>
      <c r="ER18" s="1952"/>
      <c r="ES18" s="1952"/>
      <c r="ET18" s="1952"/>
      <c r="EU18" s="1952"/>
      <c r="EV18" s="1952"/>
      <c r="EW18" s="1952"/>
      <c r="EX18" s="1952"/>
      <c r="EY18" s="1952"/>
      <c r="EZ18" s="1952"/>
      <c r="FA18" s="1952"/>
      <c r="FB18" s="1952"/>
      <c r="FC18" s="1952"/>
      <c r="FD18" s="1952"/>
      <c r="FE18" s="1952"/>
      <c r="FF18" s="1952"/>
      <c r="FG18" s="1952"/>
      <c r="FH18" s="1952"/>
      <c r="FI18" s="1952"/>
      <c r="FJ18" s="1952"/>
      <c r="FK18" s="1952"/>
      <c r="FL18" s="1952"/>
      <c r="FM18" s="1952"/>
      <c r="FN18" s="1952"/>
      <c r="FO18" s="1952"/>
      <c r="FP18" s="1952"/>
      <c r="FQ18" s="1952"/>
      <c r="FR18" s="1952"/>
      <c r="FS18" s="1952"/>
      <c r="FT18" s="1952"/>
      <c r="FU18" s="1952"/>
      <c r="FV18" s="1952"/>
      <c r="FW18" s="1952"/>
      <c r="FX18" s="1952"/>
      <c r="FY18" s="1952"/>
      <c r="FZ18" s="1952"/>
      <c r="GA18" s="1952"/>
      <c r="GB18" s="1952"/>
      <c r="GC18" s="1952"/>
      <c r="GD18" s="1952"/>
      <c r="GE18" s="1952"/>
      <c r="GF18" s="1952"/>
      <c r="GG18" s="1952"/>
      <c r="GH18" s="1952"/>
      <c r="GI18" s="1952"/>
      <c r="GJ18" s="1952"/>
      <c r="GK18" s="1952"/>
      <c r="GL18" s="1952"/>
      <c r="GM18" s="1952"/>
      <c r="GN18" s="1952"/>
      <c r="GO18" s="1952"/>
      <c r="GP18" s="1952"/>
      <c r="GQ18" s="1952"/>
      <c r="GR18" s="1952"/>
      <c r="GS18" s="1952"/>
      <c r="GT18" s="1952"/>
      <c r="GU18" s="1952"/>
      <c r="GV18" s="1952"/>
      <c r="GW18" s="1952"/>
      <c r="GX18" s="1952"/>
      <c r="GY18" s="1952"/>
      <c r="GZ18" s="1952"/>
      <c r="HA18" s="1952"/>
      <c r="HB18" s="1952"/>
      <c r="HC18" s="1952"/>
      <c r="HD18" s="1952"/>
      <c r="HE18" s="1952"/>
      <c r="HF18" s="1952"/>
      <c r="HG18" s="1952"/>
      <c r="HH18" s="1952"/>
      <c r="HI18" s="1952"/>
      <c r="HJ18" s="1952"/>
      <c r="HK18" s="1952"/>
      <c r="HL18" s="1952"/>
      <c r="HM18" s="1952"/>
      <c r="HN18" s="1952"/>
      <c r="HO18" s="1952"/>
      <c r="HP18" s="1952"/>
      <c r="HQ18" s="1952"/>
      <c r="HR18" s="1952"/>
      <c r="HS18" s="1952"/>
      <c r="HT18" s="1952"/>
      <c r="HU18" s="1952"/>
      <c r="HV18" s="1952"/>
      <c r="HW18" s="1952"/>
      <c r="HX18" s="1952"/>
      <c r="HY18" s="1952"/>
      <c r="HZ18" s="1952"/>
      <c r="IA18" s="1952"/>
      <c r="IB18" s="1952"/>
      <c r="IC18" s="1952"/>
      <c r="ID18" s="1952"/>
      <c r="IE18" s="1952"/>
      <c r="IF18" s="1952"/>
      <c r="IG18" s="1952"/>
      <c r="IH18" s="1952"/>
      <c r="II18" s="1952"/>
      <c r="IJ18" s="1952"/>
      <c r="IK18" s="1952"/>
      <c r="IL18" s="1952"/>
      <c r="IM18" s="1952"/>
    </row>
    <row r="19" ht="37.5" spans="1:247">
      <c r="A19" s="1946" t="s">
        <v>214</v>
      </c>
      <c r="B19" s="1947">
        <f>审定资负表!C16</f>
        <v>10231163.73</v>
      </c>
      <c r="C19" s="1947">
        <f>审定资负表!D16</f>
        <v>2192971</v>
      </c>
      <c r="D19" s="1948">
        <f t="shared" si="0"/>
        <v>0.0210830698428176</v>
      </c>
      <c r="E19" s="1949">
        <f t="shared" si="1"/>
        <v>8038192.73</v>
      </c>
      <c r="F19" s="1950">
        <f t="shared" si="2"/>
        <v>3.6654</v>
      </c>
      <c r="G19" s="1953" t="s">
        <v>2692</v>
      </c>
      <c r="H19" s="1952"/>
      <c r="I19" s="1952"/>
      <c r="J19" s="1952"/>
      <c r="K19" s="1952"/>
      <c r="L19" s="1952"/>
      <c r="M19" s="1952"/>
      <c r="N19" s="1952"/>
      <c r="O19" s="1952"/>
      <c r="P19" s="1952"/>
      <c r="Q19" s="1952"/>
      <c r="R19" s="1952"/>
      <c r="S19" s="1952"/>
      <c r="T19" s="1952"/>
      <c r="U19" s="1952"/>
      <c r="V19" s="1952"/>
      <c r="W19" s="1952"/>
      <c r="X19" s="1952"/>
      <c r="Y19" s="1952"/>
      <c r="Z19" s="1952"/>
      <c r="AA19" s="1952"/>
      <c r="AB19" s="1952"/>
      <c r="AC19" s="1952"/>
      <c r="AD19" s="1952"/>
      <c r="AE19" s="1952"/>
      <c r="AF19" s="1952"/>
      <c r="AG19" s="1952"/>
      <c r="AH19" s="1952"/>
      <c r="AI19" s="1952"/>
      <c r="AJ19" s="1952"/>
      <c r="AK19" s="1952"/>
      <c r="AL19" s="1952"/>
      <c r="AM19" s="1952"/>
      <c r="AN19" s="1952"/>
      <c r="AO19" s="1952"/>
      <c r="AP19" s="1952"/>
      <c r="AQ19" s="1952"/>
      <c r="AR19" s="1952"/>
      <c r="AS19" s="1952"/>
      <c r="AT19" s="1952"/>
      <c r="AU19" s="1952"/>
      <c r="AV19" s="1952"/>
      <c r="AW19" s="1952"/>
      <c r="AX19" s="1952"/>
      <c r="AY19" s="1952"/>
      <c r="AZ19" s="1952"/>
      <c r="BA19" s="1952"/>
      <c r="BB19" s="1952"/>
      <c r="BC19" s="1952"/>
      <c r="BD19" s="1952"/>
      <c r="BE19" s="1952"/>
      <c r="BF19" s="1952"/>
      <c r="BG19" s="1952"/>
      <c r="BH19" s="1952"/>
      <c r="BI19" s="1952"/>
      <c r="BJ19" s="1952"/>
      <c r="BK19" s="1952"/>
      <c r="BL19" s="1952"/>
      <c r="BM19" s="1952"/>
      <c r="BN19" s="1952"/>
      <c r="BO19" s="1952"/>
      <c r="BP19" s="1952"/>
      <c r="BQ19" s="1952"/>
      <c r="BR19" s="1952"/>
      <c r="BS19" s="1952"/>
      <c r="BT19" s="1952"/>
      <c r="BU19" s="1952"/>
      <c r="BV19" s="1952"/>
      <c r="BW19" s="1952"/>
      <c r="BX19" s="1952"/>
      <c r="BY19" s="1952"/>
      <c r="BZ19" s="1952"/>
      <c r="CA19" s="1952"/>
      <c r="CB19" s="1952"/>
      <c r="CC19" s="1952"/>
      <c r="CD19" s="1952"/>
      <c r="CE19" s="1952"/>
      <c r="CF19" s="1952"/>
      <c r="CG19" s="1952"/>
      <c r="CH19" s="1952"/>
      <c r="CI19" s="1952"/>
      <c r="CJ19" s="1952"/>
      <c r="CK19" s="1952"/>
      <c r="CL19" s="1952"/>
      <c r="CM19" s="1952"/>
      <c r="CN19" s="1952"/>
      <c r="CO19" s="1952"/>
      <c r="CP19" s="1952"/>
      <c r="CQ19" s="1952"/>
      <c r="CR19" s="1952"/>
      <c r="CS19" s="1952"/>
      <c r="CT19" s="1952"/>
      <c r="CU19" s="1952"/>
      <c r="CV19" s="1952"/>
      <c r="CW19" s="1952"/>
      <c r="CX19" s="1952"/>
      <c r="CY19" s="1952"/>
      <c r="CZ19" s="1952"/>
      <c r="DA19" s="1952"/>
      <c r="DB19" s="1952"/>
      <c r="DC19" s="1952"/>
      <c r="DD19" s="1952"/>
      <c r="DE19" s="1952"/>
      <c r="DF19" s="1952"/>
      <c r="DG19" s="1952"/>
      <c r="DH19" s="1952"/>
      <c r="DI19" s="1952"/>
      <c r="DJ19" s="1952"/>
      <c r="DK19" s="1952"/>
      <c r="DL19" s="1952"/>
      <c r="DM19" s="1952"/>
      <c r="DN19" s="1952"/>
      <c r="DO19" s="1952"/>
      <c r="DP19" s="1952"/>
      <c r="DQ19" s="1952"/>
      <c r="DR19" s="1952"/>
      <c r="DS19" s="1952"/>
      <c r="DT19" s="1952"/>
      <c r="DU19" s="1952"/>
      <c r="DV19" s="1952"/>
      <c r="DW19" s="1952"/>
      <c r="DX19" s="1952"/>
      <c r="DY19" s="1952"/>
      <c r="DZ19" s="1952"/>
      <c r="EA19" s="1952"/>
      <c r="EB19" s="1952"/>
      <c r="EC19" s="1952"/>
      <c r="ED19" s="1952"/>
      <c r="EE19" s="1952"/>
      <c r="EF19" s="1952"/>
      <c r="EG19" s="1952"/>
      <c r="EH19" s="1952"/>
      <c r="EI19" s="1952"/>
      <c r="EJ19" s="1952"/>
      <c r="EK19" s="1952"/>
      <c r="EL19" s="1952"/>
      <c r="EM19" s="1952"/>
      <c r="EN19" s="1952"/>
      <c r="EO19" s="1952"/>
      <c r="EP19" s="1952"/>
      <c r="EQ19" s="1952"/>
      <c r="ER19" s="1952"/>
      <c r="ES19" s="1952"/>
      <c r="ET19" s="1952"/>
      <c r="EU19" s="1952"/>
      <c r="EV19" s="1952"/>
      <c r="EW19" s="1952"/>
      <c r="EX19" s="1952"/>
      <c r="EY19" s="1952"/>
      <c r="EZ19" s="1952"/>
      <c r="FA19" s="1952"/>
      <c r="FB19" s="1952"/>
      <c r="FC19" s="1952"/>
      <c r="FD19" s="1952"/>
      <c r="FE19" s="1952"/>
      <c r="FF19" s="1952"/>
      <c r="FG19" s="1952"/>
      <c r="FH19" s="1952"/>
      <c r="FI19" s="1952"/>
      <c r="FJ19" s="1952"/>
      <c r="FK19" s="1952"/>
      <c r="FL19" s="1952"/>
      <c r="FM19" s="1952"/>
      <c r="FN19" s="1952"/>
      <c r="FO19" s="1952"/>
      <c r="FP19" s="1952"/>
      <c r="FQ19" s="1952"/>
      <c r="FR19" s="1952"/>
      <c r="FS19" s="1952"/>
      <c r="FT19" s="1952"/>
      <c r="FU19" s="1952"/>
      <c r="FV19" s="1952"/>
      <c r="FW19" s="1952"/>
      <c r="FX19" s="1952"/>
      <c r="FY19" s="1952"/>
      <c r="FZ19" s="1952"/>
      <c r="GA19" s="1952"/>
      <c r="GB19" s="1952"/>
      <c r="GC19" s="1952"/>
      <c r="GD19" s="1952"/>
      <c r="GE19" s="1952"/>
      <c r="GF19" s="1952"/>
      <c r="GG19" s="1952"/>
      <c r="GH19" s="1952"/>
      <c r="GI19" s="1952"/>
      <c r="GJ19" s="1952"/>
      <c r="GK19" s="1952"/>
      <c r="GL19" s="1952"/>
      <c r="GM19" s="1952"/>
      <c r="GN19" s="1952"/>
      <c r="GO19" s="1952"/>
      <c r="GP19" s="1952"/>
      <c r="GQ19" s="1952"/>
      <c r="GR19" s="1952"/>
      <c r="GS19" s="1952"/>
      <c r="GT19" s="1952"/>
      <c r="GU19" s="1952"/>
      <c r="GV19" s="1952"/>
      <c r="GW19" s="1952"/>
      <c r="GX19" s="1952"/>
      <c r="GY19" s="1952"/>
      <c r="GZ19" s="1952"/>
      <c r="HA19" s="1952"/>
      <c r="HB19" s="1952"/>
      <c r="HC19" s="1952"/>
      <c r="HD19" s="1952"/>
      <c r="HE19" s="1952"/>
      <c r="HF19" s="1952"/>
      <c r="HG19" s="1952"/>
      <c r="HH19" s="1952"/>
      <c r="HI19" s="1952"/>
      <c r="HJ19" s="1952"/>
      <c r="HK19" s="1952"/>
      <c r="HL19" s="1952"/>
      <c r="HM19" s="1952"/>
      <c r="HN19" s="1952"/>
      <c r="HO19" s="1952"/>
      <c r="HP19" s="1952"/>
      <c r="HQ19" s="1952"/>
      <c r="HR19" s="1952"/>
      <c r="HS19" s="1952"/>
      <c r="HT19" s="1952"/>
      <c r="HU19" s="1952"/>
      <c r="HV19" s="1952"/>
      <c r="HW19" s="1952"/>
      <c r="HX19" s="1952"/>
      <c r="HY19" s="1952"/>
      <c r="HZ19" s="1952"/>
      <c r="IA19" s="1952"/>
      <c r="IB19" s="1952"/>
      <c r="IC19" s="1952"/>
      <c r="ID19" s="1952"/>
      <c r="IE19" s="1952"/>
      <c r="IF19" s="1952"/>
      <c r="IG19" s="1952"/>
      <c r="IH19" s="1952"/>
      <c r="II19" s="1952"/>
      <c r="IJ19" s="1952"/>
      <c r="IK19" s="1952"/>
      <c r="IL19" s="1952"/>
      <c r="IM19" s="1952"/>
    </row>
    <row r="20" ht="16.5" spans="1:247">
      <c r="A20" s="1946" t="s">
        <v>216</v>
      </c>
      <c r="B20" s="1947">
        <f>审定资负表!C17</f>
        <v>2044868.72</v>
      </c>
      <c r="C20" s="1947">
        <f>审定资负表!D17</f>
        <v>893168.56</v>
      </c>
      <c r="D20" s="1948">
        <f t="shared" si="0"/>
        <v>0.00421380315874908</v>
      </c>
      <c r="E20" s="1949">
        <f t="shared" si="1"/>
        <v>1151700.16</v>
      </c>
      <c r="F20" s="1950">
        <f t="shared" si="2"/>
        <v>1.2895</v>
      </c>
      <c r="G20" s="1953"/>
      <c r="H20" s="1952"/>
      <c r="I20" s="1952"/>
      <c r="J20" s="1952"/>
      <c r="K20" s="1952"/>
      <c r="L20" s="1952"/>
      <c r="M20" s="1952"/>
      <c r="N20" s="1952"/>
      <c r="O20" s="1952"/>
      <c r="P20" s="1952"/>
      <c r="Q20" s="1952"/>
      <c r="R20" s="1952"/>
      <c r="S20" s="1952"/>
      <c r="T20" s="1952"/>
      <c r="U20" s="1952"/>
      <c r="V20" s="1952"/>
      <c r="W20" s="1952"/>
      <c r="X20" s="1952"/>
      <c r="Y20" s="1952"/>
      <c r="Z20" s="1952"/>
      <c r="AA20" s="1952"/>
      <c r="AB20" s="1952"/>
      <c r="AC20" s="1952"/>
      <c r="AD20" s="1952"/>
      <c r="AE20" s="1952"/>
      <c r="AF20" s="1952"/>
      <c r="AG20" s="1952"/>
      <c r="AH20" s="1952"/>
      <c r="AI20" s="1952"/>
      <c r="AJ20" s="1952"/>
      <c r="AK20" s="1952"/>
      <c r="AL20" s="1952"/>
      <c r="AM20" s="1952"/>
      <c r="AN20" s="1952"/>
      <c r="AO20" s="1952"/>
      <c r="AP20" s="1952"/>
      <c r="AQ20" s="1952"/>
      <c r="AR20" s="1952"/>
      <c r="AS20" s="1952"/>
      <c r="AT20" s="1952"/>
      <c r="AU20" s="1952"/>
      <c r="AV20" s="1952"/>
      <c r="AW20" s="1952"/>
      <c r="AX20" s="1952"/>
      <c r="AY20" s="1952"/>
      <c r="AZ20" s="1952"/>
      <c r="BA20" s="1952"/>
      <c r="BB20" s="1952"/>
      <c r="BC20" s="1952"/>
      <c r="BD20" s="1952"/>
      <c r="BE20" s="1952"/>
      <c r="BF20" s="1952"/>
      <c r="BG20" s="1952"/>
      <c r="BH20" s="1952"/>
      <c r="BI20" s="1952"/>
      <c r="BJ20" s="1952"/>
      <c r="BK20" s="1952"/>
      <c r="BL20" s="1952"/>
      <c r="BM20" s="1952"/>
      <c r="BN20" s="1952"/>
      <c r="BO20" s="1952"/>
      <c r="BP20" s="1952"/>
      <c r="BQ20" s="1952"/>
      <c r="BR20" s="1952"/>
      <c r="BS20" s="1952"/>
      <c r="BT20" s="1952"/>
      <c r="BU20" s="1952"/>
      <c r="BV20" s="1952"/>
      <c r="BW20" s="1952"/>
      <c r="BX20" s="1952"/>
      <c r="BY20" s="1952"/>
      <c r="BZ20" s="1952"/>
      <c r="CA20" s="1952"/>
      <c r="CB20" s="1952"/>
      <c r="CC20" s="1952"/>
      <c r="CD20" s="1952"/>
      <c r="CE20" s="1952"/>
      <c r="CF20" s="1952"/>
      <c r="CG20" s="1952"/>
      <c r="CH20" s="1952"/>
      <c r="CI20" s="1952"/>
      <c r="CJ20" s="1952"/>
      <c r="CK20" s="1952"/>
      <c r="CL20" s="1952"/>
      <c r="CM20" s="1952"/>
      <c r="CN20" s="1952"/>
      <c r="CO20" s="1952"/>
      <c r="CP20" s="1952"/>
      <c r="CQ20" s="1952"/>
      <c r="CR20" s="1952"/>
      <c r="CS20" s="1952"/>
      <c r="CT20" s="1952"/>
      <c r="CU20" s="1952"/>
      <c r="CV20" s="1952"/>
      <c r="CW20" s="1952"/>
      <c r="CX20" s="1952"/>
      <c r="CY20" s="1952"/>
      <c r="CZ20" s="1952"/>
      <c r="DA20" s="1952"/>
      <c r="DB20" s="1952"/>
      <c r="DC20" s="1952"/>
      <c r="DD20" s="1952"/>
      <c r="DE20" s="1952"/>
      <c r="DF20" s="1952"/>
      <c r="DG20" s="1952"/>
      <c r="DH20" s="1952"/>
      <c r="DI20" s="1952"/>
      <c r="DJ20" s="1952"/>
      <c r="DK20" s="1952"/>
      <c r="DL20" s="1952"/>
      <c r="DM20" s="1952"/>
      <c r="DN20" s="1952"/>
      <c r="DO20" s="1952"/>
      <c r="DP20" s="1952"/>
      <c r="DQ20" s="1952"/>
      <c r="DR20" s="1952"/>
      <c r="DS20" s="1952"/>
      <c r="DT20" s="1952"/>
      <c r="DU20" s="1952"/>
      <c r="DV20" s="1952"/>
      <c r="DW20" s="1952"/>
      <c r="DX20" s="1952"/>
      <c r="DY20" s="1952"/>
      <c r="DZ20" s="1952"/>
      <c r="EA20" s="1952"/>
      <c r="EB20" s="1952"/>
      <c r="EC20" s="1952"/>
      <c r="ED20" s="1952"/>
      <c r="EE20" s="1952"/>
      <c r="EF20" s="1952"/>
      <c r="EG20" s="1952"/>
      <c r="EH20" s="1952"/>
      <c r="EI20" s="1952"/>
      <c r="EJ20" s="1952"/>
      <c r="EK20" s="1952"/>
      <c r="EL20" s="1952"/>
      <c r="EM20" s="1952"/>
      <c r="EN20" s="1952"/>
      <c r="EO20" s="1952"/>
      <c r="EP20" s="1952"/>
      <c r="EQ20" s="1952"/>
      <c r="ER20" s="1952"/>
      <c r="ES20" s="1952"/>
      <c r="ET20" s="1952"/>
      <c r="EU20" s="1952"/>
      <c r="EV20" s="1952"/>
      <c r="EW20" s="1952"/>
      <c r="EX20" s="1952"/>
      <c r="EY20" s="1952"/>
      <c r="EZ20" s="1952"/>
      <c r="FA20" s="1952"/>
      <c r="FB20" s="1952"/>
      <c r="FC20" s="1952"/>
      <c r="FD20" s="1952"/>
      <c r="FE20" s="1952"/>
      <c r="FF20" s="1952"/>
      <c r="FG20" s="1952"/>
      <c r="FH20" s="1952"/>
      <c r="FI20" s="1952"/>
      <c r="FJ20" s="1952"/>
      <c r="FK20" s="1952"/>
      <c r="FL20" s="1952"/>
      <c r="FM20" s="1952"/>
      <c r="FN20" s="1952"/>
      <c r="FO20" s="1952"/>
      <c r="FP20" s="1952"/>
      <c r="FQ20" s="1952"/>
      <c r="FR20" s="1952"/>
      <c r="FS20" s="1952"/>
      <c r="FT20" s="1952"/>
      <c r="FU20" s="1952"/>
      <c r="FV20" s="1952"/>
      <c r="FW20" s="1952"/>
      <c r="FX20" s="1952"/>
      <c r="FY20" s="1952"/>
      <c r="FZ20" s="1952"/>
      <c r="GA20" s="1952"/>
      <c r="GB20" s="1952"/>
      <c r="GC20" s="1952"/>
      <c r="GD20" s="1952"/>
      <c r="GE20" s="1952"/>
      <c r="GF20" s="1952"/>
      <c r="GG20" s="1952"/>
      <c r="GH20" s="1952"/>
      <c r="GI20" s="1952"/>
      <c r="GJ20" s="1952"/>
      <c r="GK20" s="1952"/>
      <c r="GL20" s="1952"/>
      <c r="GM20" s="1952"/>
      <c r="GN20" s="1952"/>
      <c r="GO20" s="1952"/>
      <c r="GP20" s="1952"/>
      <c r="GQ20" s="1952"/>
      <c r="GR20" s="1952"/>
      <c r="GS20" s="1952"/>
      <c r="GT20" s="1952"/>
      <c r="GU20" s="1952"/>
      <c r="GV20" s="1952"/>
      <c r="GW20" s="1952"/>
      <c r="GX20" s="1952"/>
      <c r="GY20" s="1952"/>
      <c r="GZ20" s="1952"/>
      <c r="HA20" s="1952"/>
      <c r="HB20" s="1952"/>
      <c r="HC20" s="1952"/>
      <c r="HD20" s="1952"/>
      <c r="HE20" s="1952"/>
      <c r="HF20" s="1952"/>
      <c r="HG20" s="1952"/>
      <c r="HH20" s="1952"/>
      <c r="HI20" s="1952"/>
      <c r="HJ20" s="1952"/>
      <c r="HK20" s="1952"/>
      <c r="HL20" s="1952"/>
      <c r="HM20" s="1952"/>
      <c r="HN20" s="1952"/>
      <c r="HO20" s="1952"/>
      <c r="HP20" s="1952"/>
      <c r="HQ20" s="1952"/>
      <c r="HR20" s="1952"/>
      <c r="HS20" s="1952"/>
      <c r="HT20" s="1952"/>
      <c r="HU20" s="1952"/>
      <c r="HV20" s="1952"/>
      <c r="HW20" s="1952"/>
      <c r="HX20" s="1952"/>
      <c r="HY20" s="1952"/>
      <c r="HZ20" s="1952"/>
      <c r="IA20" s="1952"/>
      <c r="IB20" s="1952"/>
      <c r="IC20" s="1952"/>
      <c r="ID20" s="1952"/>
      <c r="IE20" s="1952"/>
      <c r="IF20" s="1952"/>
      <c r="IG20" s="1952"/>
      <c r="IH20" s="1952"/>
      <c r="II20" s="1952"/>
      <c r="IJ20" s="1952"/>
      <c r="IK20" s="1952"/>
      <c r="IL20" s="1952"/>
      <c r="IM20" s="1952"/>
    </row>
    <row r="21" ht="16.5" spans="1:247">
      <c r="A21" s="1946" t="s">
        <v>1847</v>
      </c>
      <c r="B21" s="1947">
        <f>审定资负表!C18</f>
        <v>0</v>
      </c>
      <c r="C21" s="1947">
        <f>审定资负表!D18</f>
        <v>0</v>
      </c>
      <c r="D21" s="1948" t="str">
        <f t="shared" si="0"/>
        <v> </v>
      </c>
      <c r="E21" s="1949">
        <f t="shared" si="1"/>
        <v>0</v>
      </c>
      <c r="F21" s="1950">
        <f t="shared" si="2"/>
        <v>0</v>
      </c>
      <c r="G21" s="1953"/>
      <c r="H21" s="1952"/>
      <c r="I21" s="1952"/>
      <c r="J21" s="1952"/>
      <c r="K21" s="1952"/>
      <c r="L21" s="1952"/>
      <c r="M21" s="1952"/>
      <c r="N21" s="1952"/>
      <c r="O21" s="1952"/>
      <c r="P21" s="1952"/>
      <c r="Q21" s="1952"/>
      <c r="R21" s="1952"/>
      <c r="S21" s="1952"/>
      <c r="T21" s="1952"/>
      <c r="U21" s="1952"/>
      <c r="V21" s="1952"/>
      <c r="W21" s="1952"/>
      <c r="X21" s="1952"/>
      <c r="Y21" s="1952"/>
      <c r="Z21" s="1952"/>
      <c r="AA21" s="1952"/>
      <c r="AB21" s="1952"/>
      <c r="AC21" s="1952"/>
      <c r="AD21" s="1952"/>
      <c r="AE21" s="1952"/>
      <c r="AF21" s="1952"/>
      <c r="AG21" s="1952"/>
      <c r="AH21" s="1952"/>
      <c r="AI21" s="1952"/>
      <c r="AJ21" s="1952"/>
      <c r="AK21" s="1952"/>
      <c r="AL21" s="1952"/>
      <c r="AM21" s="1952"/>
      <c r="AN21" s="1952"/>
      <c r="AO21" s="1952"/>
      <c r="AP21" s="1952"/>
      <c r="AQ21" s="1952"/>
      <c r="AR21" s="1952"/>
      <c r="AS21" s="1952"/>
      <c r="AT21" s="1952"/>
      <c r="AU21" s="1952"/>
      <c r="AV21" s="1952"/>
      <c r="AW21" s="1952"/>
      <c r="AX21" s="1952"/>
      <c r="AY21" s="1952"/>
      <c r="AZ21" s="1952"/>
      <c r="BA21" s="1952"/>
      <c r="BB21" s="1952"/>
      <c r="BC21" s="1952"/>
      <c r="BD21" s="1952"/>
      <c r="BE21" s="1952"/>
      <c r="BF21" s="1952"/>
      <c r="BG21" s="1952"/>
      <c r="BH21" s="1952"/>
      <c r="BI21" s="1952"/>
      <c r="BJ21" s="1952"/>
      <c r="BK21" s="1952"/>
      <c r="BL21" s="1952"/>
      <c r="BM21" s="1952"/>
      <c r="BN21" s="1952"/>
      <c r="BO21" s="1952"/>
      <c r="BP21" s="1952"/>
      <c r="BQ21" s="1952"/>
      <c r="BR21" s="1952"/>
      <c r="BS21" s="1952"/>
      <c r="BT21" s="1952"/>
      <c r="BU21" s="1952"/>
      <c r="BV21" s="1952"/>
      <c r="BW21" s="1952"/>
      <c r="BX21" s="1952"/>
      <c r="BY21" s="1952"/>
      <c r="BZ21" s="1952"/>
      <c r="CA21" s="1952"/>
      <c r="CB21" s="1952"/>
      <c r="CC21" s="1952"/>
      <c r="CD21" s="1952"/>
      <c r="CE21" s="1952"/>
      <c r="CF21" s="1952"/>
      <c r="CG21" s="1952"/>
      <c r="CH21" s="1952"/>
      <c r="CI21" s="1952"/>
      <c r="CJ21" s="1952"/>
      <c r="CK21" s="1952"/>
      <c r="CL21" s="1952"/>
      <c r="CM21" s="1952"/>
      <c r="CN21" s="1952"/>
      <c r="CO21" s="1952"/>
      <c r="CP21" s="1952"/>
      <c r="CQ21" s="1952"/>
      <c r="CR21" s="1952"/>
      <c r="CS21" s="1952"/>
      <c r="CT21" s="1952"/>
      <c r="CU21" s="1952"/>
      <c r="CV21" s="1952"/>
      <c r="CW21" s="1952"/>
      <c r="CX21" s="1952"/>
      <c r="CY21" s="1952"/>
      <c r="CZ21" s="1952"/>
      <c r="DA21" s="1952"/>
      <c r="DB21" s="1952"/>
      <c r="DC21" s="1952"/>
      <c r="DD21" s="1952"/>
      <c r="DE21" s="1952"/>
      <c r="DF21" s="1952"/>
      <c r="DG21" s="1952"/>
      <c r="DH21" s="1952"/>
      <c r="DI21" s="1952"/>
      <c r="DJ21" s="1952"/>
      <c r="DK21" s="1952"/>
      <c r="DL21" s="1952"/>
      <c r="DM21" s="1952"/>
      <c r="DN21" s="1952"/>
      <c r="DO21" s="1952"/>
      <c r="DP21" s="1952"/>
      <c r="DQ21" s="1952"/>
      <c r="DR21" s="1952"/>
      <c r="DS21" s="1952"/>
      <c r="DT21" s="1952"/>
      <c r="DU21" s="1952"/>
      <c r="DV21" s="1952"/>
      <c r="DW21" s="1952"/>
      <c r="DX21" s="1952"/>
      <c r="DY21" s="1952"/>
      <c r="DZ21" s="1952"/>
      <c r="EA21" s="1952"/>
      <c r="EB21" s="1952"/>
      <c r="EC21" s="1952"/>
      <c r="ED21" s="1952"/>
      <c r="EE21" s="1952"/>
      <c r="EF21" s="1952"/>
      <c r="EG21" s="1952"/>
      <c r="EH21" s="1952"/>
      <c r="EI21" s="1952"/>
      <c r="EJ21" s="1952"/>
      <c r="EK21" s="1952"/>
      <c r="EL21" s="1952"/>
      <c r="EM21" s="1952"/>
      <c r="EN21" s="1952"/>
      <c r="EO21" s="1952"/>
      <c r="EP21" s="1952"/>
      <c r="EQ21" s="1952"/>
      <c r="ER21" s="1952"/>
      <c r="ES21" s="1952"/>
      <c r="ET21" s="1952"/>
      <c r="EU21" s="1952"/>
      <c r="EV21" s="1952"/>
      <c r="EW21" s="1952"/>
      <c r="EX21" s="1952"/>
      <c r="EY21" s="1952"/>
      <c r="EZ21" s="1952"/>
      <c r="FA21" s="1952"/>
      <c r="FB21" s="1952"/>
      <c r="FC21" s="1952"/>
      <c r="FD21" s="1952"/>
      <c r="FE21" s="1952"/>
      <c r="FF21" s="1952"/>
      <c r="FG21" s="1952"/>
      <c r="FH21" s="1952"/>
      <c r="FI21" s="1952"/>
      <c r="FJ21" s="1952"/>
      <c r="FK21" s="1952"/>
      <c r="FL21" s="1952"/>
      <c r="FM21" s="1952"/>
      <c r="FN21" s="1952"/>
      <c r="FO21" s="1952"/>
      <c r="FP21" s="1952"/>
      <c r="FQ21" s="1952"/>
      <c r="FR21" s="1952"/>
      <c r="FS21" s="1952"/>
      <c r="FT21" s="1952"/>
      <c r="FU21" s="1952"/>
      <c r="FV21" s="1952"/>
      <c r="FW21" s="1952"/>
      <c r="FX21" s="1952"/>
      <c r="FY21" s="1952"/>
      <c r="FZ21" s="1952"/>
      <c r="GA21" s="1952"/>
      <c r="GB21" s="1952"/>
      <c r="GC21" s="1952"/>
      <c r="GD21" s="1952"/>
      <c r="GE21" s="1952"/>
      <c r="GF21" s="1952"/>
      <c r="GG21" s="1952"/>
      <c r="GH21" s="1952"/>
      <c r="GI21" s="1952"/>
      <c r="GJ21" s="1952"/>
      <c r="GK21" s="1952"/>
      <c r="GL21" s="1952"/>
      <c r="GM21" s="1952"/>
      <c r="GN21" s="1952"/>
      <c r="GO21" s="1952"/>
      <c r="GP21" s="1952"/>
      <c r="GQ21" s="1952"/>
      <c r="GR21" s="1952"/>
      <c r="GS21" s="1952"/>
      <c r="GT21" s="1952"/>
      <c r="GU21" s="1952"/>
      <c r="GV21" s="1952"/>
      <c r="GW21" s="1952"/>
      <c r="GX21" s="1952"/>
      <c r="GY21" s="1952"/>
      <c r="GZ21" s="1952"/>
      <c r="HA21" s="1952"/>
      <c r="HB21" s="1952"/>
      <c r="HC21" s="1952"/>
      <c r="HD21" s="1952"/>
      <c r="HE21" s="1952"/>
      <c r="HF21" s="1952"/>
      <c r="HG21" s="1952"/>
      <c r="HH21" s="1952"/>
      <c r="HI21" s="1952"/>
      <c r="HJ21" s="1952"/>
      <c r="HK21" s="1952"/>
      <c r="HL21" s="1952"/>
      <c r="HM21" s="1952"/>
      <c r="HN21" s="1952"/>
      <c r="HO21" s="1952"/>
      <c r="HP21" s="1952"/>
      <c r="HQ21" s="1952"/>
      <c r="HR21" s="1952"/>
      <c r="HS21" s="1952"/>
      <c r="HT21" s="1952"/>
      <c r="HU21" s="1952"/>
      <c r="HV21" s="1952"/>
      <c r="HW21" s="1952"/>
      <c r="HX21" s="1952"/>
      <c r="HY21" s="1952"/>
      <c r="HZ21" s="1952"/>
      <c r="IA21" s="1952"/>
      <c r="IB21" s="1952"/>
      <c r="IC21" s="1952"/>
      <c r="ID21" s="1952"/>
      <c r="IE21" s="1952"/>
      <c r="IF21" s="1952"/>
      <c r="IG21" s="1952"/>
      <c r="IH21" s="1952"/>
      <c r="II21" s="1952"/>
      <c r="IJ21" s="1952"/>
      <c r="IK21" s="1952"/>
      <c r="IL21" s="1952"/>
      <c r="IM21" s="1952"/>
    </row>
    <row r="22" ht="16.5" spans="1:247">
      <c r="A22" s="1954" t="s">
        <v>220</v>
      </c>
      <c r="B22" s="1947">
        <f>审定资负表!C19</f>
        <v>293817976.84</v>
      </c>
      <c r="C22" s="1947">
        <f>审定资负表!D19</f>
        <v>140274569.76</v>
      </c>
      <c r="D22" s="1948">
        <f t="shared" si="0"/>
        <v>0.605462398048544</v>
      </c>
      <c r="E22" s="1949">
        <f t="shared" si="1"/>
        <v>153543407.08</v>
      </c>
      <c r="F22" s="1950">
        <f t="shared" si="2"/>
        <v>1.0946</v>
      </c>
      <c r="G22" s="1953"/>
      <c r="H22" s="1952"/>
      <c r="I22" s="1952"/>
      <c r="J22" s="1952"/>
      <c r="K22" s="1952"/>
      <c r="L22" s="1952"/>
      <c r="M22" s="1952"/>
      <c r="N22" s="1952"/>
      <c r="O22" s="1952"/>
      <c r="P22" s="1952"/>
      <c r="Q22" s="1952"/>
      <c r="R22" s="1952"/>
      <c r="S22" s="1952"/>
      <c r="T22" s="1952"/>
      <c r="U22" s="1952"/>
      <c r="V22" s="1952"/>
      <c r="W22" s="1952"/>
      <c r="X22" s="1952"/>
      <c r="Y22" s="1952"/>
      <c r="Z22" s="1952"/>
      <c r="AA22" s="1952"/>
      <c r="AB22" s="1952"/>
      <c r="AC22" s="1952"/>
      <c r="AD22" s="1952"/>
      <c r="AE22" s="1952"/>
      <c r="AF22" s="1952"/>
      <c r="AG22" s="1952"/>
      <c r="AH22" s="1952"/>
      <c r="AI22" s="1952"/>
      <c r="AJ22" s="1952"/>
      <c r="AK22" s="1952"/>
      <c r="AL22" s="1952"/>
      <c r="AM22" s="1952"/>
      <c r="AN22" s="1952"/>
      <c r="AO22" s="1952"/>
      <c r="AP22" s="1952"/>
      <c r="AQ22" s="1952"/>
      <c r="AR22" s="1952"/>
      <c r="AS22" s="1952"/>
      <c r="AT22" s="1952"/>
      <c r="AU22" s="1952"/>
      <c r="AV22" s="1952"/>
      <c r="AW22" s="1952"/>
      <c r="AX22" s="1952"/>
      <c r="AY22" s="1952"/>
      <c r="AZ22" s="1952"/>
      <c r="BA22" s="1952"/>
      <c r="BB22" s="1952"/>
      <c r="BC22" s="1952"/>
      <c r="BD22" s="1952"/>
      <c r="BE22" s="1952"/>
      <c r="BF22" s="1952"/>
      <c r="BG22" s="1952"/>
      <c r="BH22" s="1952"/>
      <c r="BI22" s="1952"/>
      <c r="BJ22" s="1952"/>
      <c r="BK22" s="1952"/>
      <c r="BL22" s="1952"/>
      <c r="BM22" s="1952"/>
      <c r="BN22" s="1952"/>
      <c r="BO22" s="1952"/>
      <c r="BP22" s="1952"/>
      <c r="BQ22" s="1952"/>
      <c r="BR22" s="1952"/>
      <c r="BS22" s="1952"/>
      <c r="BT22" s="1952"/>
      <c r="BU22" s="1952"/>
      <c r="BV22" s="1952"/>
      <c r="BW22" s="1952"/>
      <c r="BX22" s="1952"/>
      <c r="BY22" s="1952"/>
      <c r="BZ22" s="1952"/>
      <c r="CA22" s="1952"/>
      <c r="CB22" s="1952"/>
      <c r="CC22" s="1952"/>
      <c r="CD22" s="1952"/>
      <c r="CE22" s="1952"/>
      <c r="CF22" s="1952"/>
      <c r="CG22" s="1952"/>
      <c r="CH22" s="1952"/>
      <c r="CI22" s="1952"/>
      <c r="CJ22" s="1952"/>
      <c r="CK22" s="1952"/>
      <c r="CL22" s="1952"/>
      <c r="CM22" s="1952"/>
      <c r="CN22" s="1952"/>
      <c r="CO22" s="1952"/>
      <c r="CP22" s="1952"/>
      <c r="CQ22" s="1952"/>
      <c r="CR22" s="1952"/>
      <c r="CS22" s="1952"/>
      <c r="CT22" s="1952"/>
      <c r="CU22" s="1952"/>
      <c r="CV22" s="1952"/>
      <c r="CW22" s="1952"/>
      <c r="CX22" s="1952"/>
      <c r="CY22" s="1952"/>
      <c r="CZ22" s="1952"/>
      <c r="DA22" s="1952"/>
      <c r="DB22" s="1952"/>
      <c r="DC22" s="1952"/>
      <c r="DD22" s="1952"/>
      <c r="DE22" s="1952"/>
      <c r="DF22" s="1952"/>
      <c r="DG22" s="1952"/>
      <c r="DH22" s="1952"/>
      <c r="DI22" s="1952"/>
      <c r="DJ22" s="1952"/>
      <c r="DK22" s="1952"/>
      <c r="DL22" s="1952"/>
      <c r="DM22" s="1952"/>
      <c r="DN22" s="1952"/>
      <c r="DO22" s="1952"/>
      <c r="DP22" s="1952"/>
      <c r="DQ22" s="1952"/>
      <c r="DR22" s="1952"/>
      <c r="DS22" s="1952"/>
      <c r="DT22" s="1952"/>
      <c r="DU22" s="1952"/>
      <c r="DV22" s="1952"/>
      <c r="DW22" s="1952"/>
      <c r="DX22" s="1952"/>
      <c r="DY22" s="1952"/>
      <c r="DZ22" s="1952"/>
      <c r="EA22" s="1952"/>
      <c r="EB22" s="1952"/>
      <c r="EC22" s="1952"/>
      <c r="ED22" s="1952"/>
      <c r="EE22" s="1952"/>
      <c r="EF22" s="1952"/>
      <c r="EG22" s="1952"/>
      <c r="EH22" s="1952"/>
      <c r="EI22" s="1952"/>
      <c r="EJ22" s="1952"/>
      <c r="EK22" s="1952"/>
      <c r="EL22" s="1952"/>
      <c r="EM22" s="1952"/>
      <c r="EN22" s="1952"/>
      <c r="EO22" s="1952"/>
      <c r="EP22" s="1952"/>
      <c r="EQ22" s="1952"/>
      <c r="ER22" s="1952"/>
      <c r="ES22" s="1952"/>
      <c r="ET22" s="1952"/>
      <c r="EU22" s="1952"/>
      <c r="EV22" s="1952"/>
      <c r="EW22" s="1952"/>
      <c r="EX22" s="1952"/>
      <c r="EY22" s="1952"/>
      <c r="EZ22" s="1952"/>
      <c r="FA22" s="1952"/>
      <c r="FB22" s="1952"/>
      <c r="FC22" s="1952"/>
      <c r="FD22" s="1952"/>
      <c r="FE22" s="1952"/>
      <c r="FF22" s="1952"/>
      <c r="FG22" s="1952"/>
      <c r="FH22" s="1952"/>
      <c r="FI22" s="1952"/>
      <c r="FJ22" s="1952"/>
      <c r="FK22" s="1952"/>
      <c r="FL22" s="1952"/>
      <c r="FM22" s="1952"/>
      <c r="FN22" s="1952"/>
      <c r="FO22" s="1952"/>
      <c r="FP22" s="1952"/>
      <c r="FQ22" s="1952"/>
      <c r="FR22" s="1952"/>
      <c r="FS22" s="1952"/>
      <c r="FT22" s="1952"/>
      <c r="FU22" s="1952"/>
      <c r="FV22" s="1952"/>
      <c r="FW22" s="1952"/>
      <c r="FX22" s="1952"/>
      <c r="FY22" s="1952"/>
      <c r="FZ22" s="1952"/>
      <c r="GA22" s="1952"/>
      <c r="GB22" s="1952"/>
      <c r="GC22" s="1952"/>
      <c r="GD22" s="1952"/>
      <c r="GE22" s="1952"/>
      <c r="GF22" s="1952"/>
      <c r="GG22" s="1952"/>
      <c r="GH22" s="1952"/>
      <c r="GI22" s="1952"/>
      <c r="GJ22" s="1952"/>
      <c r="GK22" s="1952"/>
      <c r="GL22" s="1952"/>
      <c r="GM22" s="1952"/>
      <c r="GN22" s="1952"/>
      <c r="GO22" s="1952"/>
      <c r="GP22" s="1952"/>
      <c r="GQ22" s="1952"/>
      <c r="GR22" s="1952"/>
      <c r="GS22" s="1952"/>
      <c r="GT22" s="1952"/>
      <c r="GU22" s="1952"/>
      <c r="GV22" s="1952"/>
      <c r="GW22" s="1952"/>
      <c r="GX22" s="1952"/>
      <c r="GY22" s="1952"/>
      <c r="GZ22" s="1952"/>
      <c r="HA22" s="1952"/>
      <c r="HB22" s="1952"/>
      <c r="HC22" s="1952"/>
      <c r="HD22" s="1952"/>
      <c r="HE22" s="1952"/>
      <c r="HF22" s="1952"/>
      <c r="HG22" s="1952"/>
      <c r="HH22" s="1952"/>
      <c r="HI22" s="1952"/>
      <c r="HJ22" s="1952"/>
      <c r="HK22" s="1952"/>
      <c r="HL22" s="1952"/>
      <c r="HM22" s="1952"/>
      <c r="HN22" s="1952"/>
      <c r="HO22" s="1952"/>
      <c r="HP22" s="1952"/>
      <c r="HQ22" s="1952"/>
      <c r="HR22" s="1952"/>
      <c r="HS22" s="1952"/>
      <c r="HT22" s="1952"/>
      <c r="HU22" s="1952"/>
      <c r="HV22" s="1952"/>
      <c r="HW22" s="1952"/>
      <c r="HX22" s="1952"/>
      <c r="HY22" s="1952"/>
      <c r="HZ22" s="1952"/>
      <c r="IA22" s="1952"/>
      <c r="IB22" s="1952"/>
      <c r="IC22" s="1952"/>
      <c r="ID22" s="1952"/>
      <c r="IE22" s="1952"/>
      <c r="IF22" s="1952"/>
      <c r="IG22" s="1952"/>
      <c r="IH22" s="1952"/>
      <c r="II22" s="1952"/>
      <c r="IJ22" s="1952"/>
      <c r="IK22" s="1952"/>
      <c r="IL22" s="1952"/>
      <c r="IM22" s="1952"/>
    </row>
    <row r="23" ht="16.5" spans="1:247">
      <c r="A23" s="1946"/>
      <c r="B23" s="1947">
        <f>审定资负表!C20</f>
        <v>0</v>
      </c>
      <c r="C23" s="1947">
        <f>审定资负表!D20</f>
        <v>0</v>
      </c>
      <c r="D23" s="1948" t="str">
        <f t="shared" si="0"/>
        <v> </v>
      </c>
      <c r="E23" s="1949">
        <f t="shared" si="1"/>
        <v>0</v>
      </c>
      <c r="F23" s="1950">
        <f t="shared" si="2"/>
        <v>0</v>
      </c>
      <c r="G23" s="1953"/>
      <c r="H23" s="1952"/>
      <c r="I23" s="1952"/>
      <c r="J23" s="1952"/>
      <c r="K23" s="1952"/>
      <c r="L23" s="1952"/>
      <c r="M23" s="1952"/>
      <c r="N23" s="1952"/>
      <c r="O23" s="1952"/>
      <c r="P23" s="1952"/>
      <c r="Q23" s="1952"/>
      <c r="R23" s="1952"/>
      <c r="S23" s="1952"/>
      <c r="T23" s="1952"/>
      <c r="U23" s="1952"/>
      <c r="V23" s="1952"/>
      <c r="W23" s="1952"/>
      <c r="X23" s="1952"/>
      <c r="Y23" s="1952"/>
      <c r="Z23" s="1952"/>
      <c r="AA23" s="1952"/>
      <c r="AB23" s="1952"/>
      <c r="AC23" s="1952"/>
      <c r="AD23" s="1952"/>
      <c r="AE23" s="1952"/>
      <c r="AF23" s="1952"/>
      <c r="AG23" s="1952"/>
      <c r="AH23" s="1952"/>
      <c r="AI23" s="1952"/>
      <c r="AJ23" s="1952"/>
      <c r="AK23" s="1952"/>
      <c r="AL23" s="1952"/>
      <c r="AM23" s="1952"/>
      <c r="AN23" s="1952"/>
      <c r="AO23" s="1952"/>
      <c r="AP23" s="1952"/>
      <c r="AQ23" s="1952"/>
      <c r="AR23" s="1952"/>
      <c r="AS23" s="1952"/>
      <c r="AT23" s="1952"/>
      <c r="AU23" s="1952"/>
      <c r="AV23" s="1952"/>
      <c r="AW23" s="1952"/>
      <c r="AX23" s="1952"/>
      <c r="AY23" s="1952"/>
      <c r="AZ23" s="1952"/>
      <c r="BA23" s="1952"/>
      <c r="BB23" s="1952"/>
      <c r="BC23" s="1952"/>
      <c r="BD23" s="1952"/>
      <c r="BE23" s="1952"/>
      <c r="BF23" s="1952"/>
      <c r="BG23" s="1952"/>
      <c r="BH23" s="1952"/>
      <c r="BI23" s="1952"/>
      <c r="BJ23" s="1952"/>
      <c r="BK23" s="1952"/>
      <c r="BL23" s="1952"/>
      <c r="BM23" s="1952"/>
      <c r="BN23" s="1952"/>
      <c r="BO23" s="1952"/>
      <c r="BP23" s="1952"/>
      <c r="BQ23" s="1952"/>
      <c r="BR23" s="1952"/>
      <c r="BS23" s="1952"/>
      <c r="BT23" s="1952"/>
      <c r="BU23" s="1952"/>
      <c r="BV23" s="1952"/>
      <c r="BW23" s="1952"/>
      <c r="BX23" s="1952"/>
      <c r="BY23" s="1952"/>
      <c r="BZ23" s="1952"/>
      <c r="CA23" s="1952"/>
      <c r="CB23" s="1952"/>
      <c r="CC23" s="1952"/>
      <c r="CD23" s="1952"/>
      <c r="CE23" s="1952"/>
      <c r="CF23" s="1952"/>
      <c r="CG23" s="1952"/>
      <c r="CH23" s="1952"/>
      <c r="CI23" s="1952"/>
      <c r="CJ23" s="1952"/>
      <c r="CK23" s="1952"/>
      <c r="CL23" s="1952"/>
      <c r="CM23" s="1952"/>
      <c r="CN23" s="1952"/>
      <c r="CO23" s="1952"/>
      <c r="CP23" s="1952"/>
      <c r="CQ23" s="1952"/>
      <c r="CR23" s="1952"/>
      <c r="CS23" s="1952"/>
      <c r="CT23" s="1952"/>
      <c r="CU23" s="1952"/>
      <c r="CV23" s="1952"/>
      <c r="CW23" s="1952"/>
      <c r="CX23" s="1952"/>
      <c r="CY23" s="1952"/>
      <c r="CZ23" s="1952"/>
      <c r="DA23" s="1952"/>
      <c r="DB23" s="1952"/>
      <c r="DC23" s="1952"/>
      <c r="DD23" s="1952"/>
      <c r="DE23" s="1952"/>
      <c r="DF23" s="1952"/>
      <c r="DG23" s="1952"/>
      <c r="DH23" s="1952"/>
      <c r="DI23" s="1952"/>
      <c r="DJ23" s="1952"/>
      <c r="DK23" s="1952"/>
      <c r="DL23" s="1952"/>
      <c r="DM23" s="1952"/>
      <c r="DN23" s="1952"/>
      <c r="DO23" s="1952"/>
      <c r="DP23" s="1952"/>
      <c r="DQ23" s="1952"/>
      <c r="DR23" s="1952"/>
      <c r="DS23" s="1952"/>
      <c r="DT23" s="1952"/>
      <c r="DU23" s="1952"/>
      <c r="DV23" s="1952"/>
      <c r="DW23" s="1952"/>
      <c r="DX23" s="1952"/>
      <c r="DY23" s="1952"/>
      <c r="DZ23" s="1952"/>
      <c r="EA23" s="1952"/>
      <c r="EB23" s="1952"/>
      <c r="EC23" s="1952"/>
      <c r="ED23" s="1952"/>
      <c r="EE23" s="1952"/>
      <c r="EF23" s="1952"/>
      <c r="EG23" s="1952"/>
      <c r="EH23" s="1952"/>
      <c r="EI23" s="1952"/>
      <c r="EJ23" s="1952"/>
      <c r="EK23" s="1952"/>
      <c r="EL23" s="1952"/>
      <c r="EM23" s="1952"/>
      <c r="EN23" s="1952"/>
      <c r="EO23" s="1952"/>
      <c r="EP23" s="1952"/>
      <c r="EQ23" s="1952"/>
      <c r="ER23" s="1952"/>
      <c r="ES23" s="1952"/>
      <c r="ET23" s="1952"/>
      <c r="EU23" s="1952"/>
      <c r="EV23" s="1952"/>
      <c r="EW23" s="1952"/>
      <c r="EX23" s="1952"/>
      <c r="EY23" s="1952"/>
      <c r="EZ23" s="1952"/>
      <c r="FA23" s="1952"/>
      <c r="FB23" s="1952"/>
      <c r="FC23" s="1952"/>
      <c r="FD23" s="1952"/>
      <c r="FE23" s="1952"/>
      <c r="FF23" s="1952"/>
      <c r="FG23" s="1952"/>
      <c r="FH23" s="1952"/>
      <c r="FI23" s="1952"/>
      <c r="FJ23" s="1952"/>
      <c r="FK23" s="1952"/>
      <c r="FL23" s="1952"/>
      <c r="FM23" s="1952"/>
      <c r="FN23" s="1952"/>
      <c r="FO23" s="1952"/>
      <c r="FP23" s="1952"/>
      <c r="FQ23" s="1952"/>
      <c r="FR23" s="1952"/>
      <c r="FS23" s="1952"/>
      <c r="FT23" s="1952"/>
      <c r="FU23" s="1952"/>
      <c r="FV23" s="1952"/>
      <c r="FW23" s="1952"/>
      <c r="FX23" s="1952"/>
      <c r="FY23" s="1952"/>
      <c r="FZ23" s="1952"/>
      <c r="GA23" s="1952"/>
      <c r="GB23" s="1952"/>
      <c r="GC23" s="1952"/>
      <c r="GD23" s="1952"/>
      <c r="GE23" s="1952"/>
      <c r="GF23" s="1952"/>
      <c r="GG23" s="1952"/>
      <c r="GH23" s="1952"/>
      <c r="GI23" s="1952"/>
      <c r="GJ23" s="1952"/>
      <c r="GK23" s="1952"/>
      <c r="GL23" s="1952"/>
      <c r="GM23" s="1952"/>
      <c r="GN23" s="1952"/>
      <c r="GO23" s="1952"/>
      <c r="GP23" s="1952"/>
      <c r="GQ23" s="1952"/>
      <c r="GR23" s="1952"/>
      <c r="GS23" s="1952"/>
      <c r="GT23" s="1952"/>
      <c r="GU23" s="1952"/>
      <c r="GV23" s="1952"/>
      <c r="GW23" s="1952"/>
      <c r="GX23" s="1952"/>
      <c r="GY23" s="1952"/>
      <c r="GZ23" s="1952"/>
      <c r="HA23" s="1952"/>
      <c r="HB23" s="1952"/>
      <c r="HC23" s="1952"/>
      <c r="HD23" s="1952"/>
      <c r="HE23" s="1952"/>
      <c r="HF23" s="1952"/>
      <c r="HG23" s="1952"/>
      <c r="HH23" s="1952"/>
      <c r="HI23" s="1952"/>
      <c r="HJ23" s="1952"/>
      <c r="HK23" s="1952"/>
      <c r="HL23" s="1952"/>
      <c r="HM23" s="1952"/>
      <c r="HN23" s="1952"/>
      <c r="HO23" s="1952"/>
      <c r="HP23" s="1952"/>
      <c r="HQ23" s="1952"/>
      <c r="HR23" s="1952"/>
      <c r="HS23" s="1952"/>
      <c r="HT23" s="1952"/>
      <c r="HU23" s="1952"/>
      <c r="HV23" s="1952"/>
      <c r="HW23" s="1952"/>
      <c r="HX23" s="1952"/>
      <c r="HY23" s="1952"/>
      <c r="HZ23" s="1952"/>
      <c r="IA23" s="1952"/>
      <c r="IB23" s="1952"/>
      <c r="IC23" s="1952"/>
      <c r="ID23" s="1952"/>
      <c r="IE23" s="1952"/>
      <c r="IF23" s="1952"/>
      <c r="IG23" s="1952"/>
      <c r="IH23" s="1952"/>
      <c r="II23" s="1952"/>
      <c r="IJ23" s="1952"/>
      <c r="IK23" s="1952"/>
      <c r="IL23" s="1952"/>
      <c r="IM23" s="1952"/>
    </row>
    <row r="24" ht="16.5" spans="1:247">
      <c r="A24" s="1955" t="s">
        <v>223</v>
      </c>
      <c r="B24" s="1947">
        <f>审定资负表!C21</f>
        <v>0</v>
      </c>
      <c r="C24" s="1947">
        <f>审定资负表!D21</f>
        <v>0</v>
      </c>
      <c r="D24" s="1948" t="str">
        <f t="shared" si="0"/>
        <v> </v>
      </c>
      <c r="E24" s="1949">
        <f t="shared" si="1"/>
        <v>0</v>
      </c>
      <c r="F24" s="1950">
        <f t="shared" si="2"/>
        <v>0</v>
      </c>
      <c r="G24" s="1953"/>
      <c r="H24" s="1952"/>
      <c r="I24" s="1952"/>
      <c r="J24" s="1952"/>
      <c r="K24" s="1952"/>
      <c r="L24" s="1952"/>
      <c r="M24" s="1952"/>
      <c r="N24" s="1952"/>
      <c r="O24" s="1952"/>
      <c r="P24" s="1952"/>
      <c r="Q24" s="1952"/>
      <c r="R24" s="1952"/>
      <c r="S24" s="1952"/>
      <c r="T24" s="1952"/>
      <c r="U24" s="1952"/>
      <c r="V24" s="1952"/>
      <c r="W24" s="1952"/>
      <c r="X24" s="1952"/>
      <c r="Y24" s="1952"/>
      <c r="Z24" s="1952"/>
      <c r="AA24" s="1952"/>
      <c r="AB24" s="1952"/>
      <c r="AC24" s="1952"/>
      <c r="AD24" s="1952"/>
      <c r="AE24" s="1952"/>
      <c r="AF24" s="1952"/>
      <c r="AG24" s="1952"/>
      <c r="AH24" s="1952"/>
      <c r="AI24" s="1952"/>
      <c r="AJ24" s="1952"/>
      <c r="AK24" s="1952"/>
      <c r="AL24" s="1952"/>
      <c r="AM24" s="1952"/>
      <c r="AN24" s="1952"/>
      <c r="AO24" s="1952"/>
      <c r="AP24" s="1952"/>
      <c r="AQ24" s="1952"/>
      <c r="AR24" s="1952"/>
      <c r="AS24" s="1952"/>
      <c r="AT24" s="1952"/>
      <c r="AU24" s="1952"/>
      <c r="AV24" s="1952"/>
      <c r="AW24" s="1952"/>
      <c r="AX24" s="1952"/>
      <c r="AY24" s="1952"/>
      <c r="AZ24" s="1952"/>
      <c r="BA24" s="1952"/>
      <c r="BB24" s="1952"/>
      <c r="BC24" s="1952"/>
      <c r="BD24" s="1952"/>
      <c r="BE24" s="1952"/>
      <c r="BF24" s="1952"/>
      <c r="BG24" s="1952"/>
      <c r="BH24" s="1952"/>
      <c r="BI24" s="1952"/>
      <c r="BJ24" s="1952"/>
      <c r="BK24" s="1952"/>
      <c r="BL24" s="1952"/>
      <c r="BM24" s="1952"/>
      <c r="BN24" s="1952"/>
      <c r="BO24" s="1952"/>
      <c r="BP24" s="1952"/>
      <c r="BQ24" s="1952"/>
      <c r="BR24" s="1952"/>
      <c r="BS24" s="1952"/>
      <c r="BT24" s="1952"/>
      <c r="BU24" s="1952"/>
      <c r="BV24" s="1952"/>
      <c r="BW24" s="1952"/>
      <c r="BX24" s="1952"/>
      <c r="BY24" s="1952"/>
      <c r="BZ24" s="1952"/>
      <c r="CA24" s="1952"/>
      <c r="CB24" s="1952"/>
      <c r="CC24" s="1952"/>
      <c r="CD24" s="1952"/>
      <c r="CE24" s="1952"/>
      <c r="CF24" s="1952"/>
      <c r="CG24" s="1952"/>
      <c r="CH24" s="1952"/>
      <c r="CI24" s="1952"/>
      <c r="CJ24" s="1952"/>
      <c r="CK24" s="1952"/>
      <c r="CL24" s="1952"/>
      <c r="CM24" s="1952"/>
      <c r="CN24" s="1952"/>
      <c r="CO24" s="1952"/>
      <c r="CP24" s="1952"/>
      <c r="CQ24" s="1952"/>
      <c r="CR24" s="1952"/>
      <c r="CS24" s="1952"/>
      <c r="CT24" s="1952"/>
      <c r="CU24" s="1952"/>
      <c r="CV24" s="1952"/>
      <c r="CW24" s="1952"/>
      <c r="CX24" s="1952"/>
      <c r="CY24" s="1952"/>
      <c r="CZ24" s="1952"/>
      <c r="DA24" s="1952"/>
      <c r="DB24" s="1952"/>
      <c r="DC24" s="1952"/>
      <c r="DD24" s="1952"/>
      <c r="DE24" s="1952"/>
      <c r="DF24" s="1952"/>
      <c r="DG24" s="1952"/>
      <c r="DH24" s="1952"/>
      <c r="DI24" s="1952"/>
      <c r="DJ24" s="1952"/>
      <c r="DK24" s="1952"/>
      <c r="DL24" s="1952"/>
      <c r="DM24" s="1952"/>
      <c r="DN24" s="1952"/>
      <c r="DO24" s="1952"/>
      <c r="DP24" s="1952"/>
      <c r="DQ24" s="1952"/>
      <c r="DR24" s="1952"/>
      <c r="DS24" s="1952"/>
      <c r="DT24" s="1952"/>
      <c r="DU24" s="1952"/>
      <c r="DV24" s="1952"/>
      <c r="DW24" s="1952"/>
      <c r="DX24" s="1952"/>
      <c r="DY24" s="1952"/>
      <c r="DZ24" s="1952"/>
      <c r="EA24" s="1952"/>
      <c r="EB24" s="1952"/>
      <c r="EC24" s="1952"/>
      <c r="ED24" s="1952"/>
      <c r="EE24" s="1952"/>
      <c r="EF24" s="1952"/>
      <c r="EG24" s="1952"/>
      <c r="EH24" s="1952"/>
      <c r="EI24" s="1952"/>
      <c r="EJ24" s="1952"/>
      <c r="EK24" s="1952"/>
      <c r="EL24" s="1952"/>
      <c r="EM24" s="1952"/>
      <c r="EN24" s="1952"/>
      <c r="EO24" s="1952"/>
      <c r="EP24" s="1952"/>
      <c r="EQ24" s="1952"/>
      <c r="ER24" s="1952"/>
      <c r="ES24" s="1952"/>
      <c r="ET24" s="1952"/>
      <c r="EU24" s="1952"/>
      <c r="EV24" s="1952"/>
      <c r="EW24" s="1952"/>
      <c r="EX24" s="1952"/>
      <c r="EY24" s="1952"/>
      <c r="EZ24" s="1952"/>
      <c r="FA24" s="1952"/>
      <c r="FB24" s="1952"/>
      <c r="FC24" s="1952"/>
      <c r="FD24" s="1952"/>
      <c r="FE24" s="1952"/>
      <c r="FF24" s="1952"/>
      <c r="FG24" s="1952"/>
      <c r="FH24" s="1952"/>
      <c r="FI24" s="1952"/>
      <c r="FJ24" s="1952"/>
      <c r="FK24" s="1952"/>
      <c r="FL24" s="1952"/>
      <c r="FM24" s="1952"/>
      <c r="FN24" s="1952"/>
      <c r="FO24" s="1952"/>
      <c r="FP24" s="1952"/>
      <c r="FQ24" s="1952"/>
      <c r="FR24" s="1952"/>
      <c r="FS24" s="1952"/>
      <c r="FT24" s="1952"/>
      <c r="FU24" s="1952"/>
      <c r="FV24" s="1952"/>
      <c r="FW24" s="1952"/>
      <c r="FX24" s="1952"/>
      <c r="FY24" s="1952"/>
      <c r="FZ24" s="1952"/>
      <c r="GA24" s="1952"/>
      <c r="GB24" s="1952"/>
      <c r="GC24" s="1952"/>
      <c r="GD24" s="1952"/>
      <c r="GE24" s="1952"/>
      <c r="GF24" s="1952"/>
      <c r="GG24" s="1952"/>
      <c r="GH24" s="1952"/>
      <c r="GI24" s="1952"/>
      <c r="GJ24" s="1952"/>
      <c r="GK24" s="1952"/>
      <c r="GL24" s="1952"/>
      <c r="GM24" s="1952"/>
      <c r="GN24" s="1952"/>
      <c r="GO24" s="1952"/>
      <c r="GP24" s="1952"/>
      <c r="GQ24" s="1952"/>
      <c r="GR24" s="1952"/>
      <c r="GS24" s="1952"/>
      <c r="GT24" s="1952"/>
      <c r="GU24" s="1952"/>
      <c r="GV24" s="1952"/>
      <c r="GW24" s="1952"/>
      <c r="GX24" s="1952"/>
      <c r="GY24" s="1952"/>
      <c r="GZ24" s="1952"/>
      <c r="HA24" s="1952"/>
      <c r="HB24" s="1952"/>
      <c r="HC24" s="1952"/>
      <c r="HD24" s="1952"/>
      <c r="HE24" s="1952"/>
      <c r="HF24" s="1952"/>
      <c r="HG24" s="1952"/>
      <c r="HH24" s="1952"/>
      <c r="HI24" s="1952"/>
      <c r="HJ24" s="1952"/>
      <c r="HK24" s="1952"/>
      <c r="HL24" s="1952"/>
      <c r="HM24" s="1952"/>
      <c r="HN24" s="1952"/>
      <c r="HO24" s="1952"/>
      <c r="HP24" s="1952"/>
      <c r="HQ24" s="1952"/>
      <c r="HR24" s="1952"/>
      <c r="HS24" s="1952"/>
      <c r="HT24" s="1952"/>
      <c r="HU24" s="1952"/>
      <c r="HV24" s="1952"/>
      <c r="HW24" s="1952"/>
      <c r="HX24" s="1952"/>
      <c r="HY24" s="1952"/>
      <c r="HZ24" s="1952"/>
      <c r="IA24" s="1952"/>
      <c r="IB24" s="1952"/>
      <c r="IC24" s="1952"/>
      <c r="ID24" s="1952"/>
      <c r="IE24" s="1952"/>
      <c r="IF24" s="1952"/>
      <c r="IG24" s="1952"/>
      <c r="IH24" s="1952"/>
      <c r="II24" s="1952"/>
      <c r="IJ24" s="1952"/>
      <c r="IK24" s="1952"/>
      <c r="IL24" s="1952"/>
      <c r="IM24" s="1952"/>
    </row>
    <row r="25" ht="16.5" spans="1:247">
      <c r="A25" s="1946" t="s">
        <v>224</v>
      </c>
      <c r="B25" s="1947">
        <f>审定资负表!C22</f>
        <v>0</v>
      </c>
      <c r="C25" s="1947">
        <f>审定资负表!D22</f>
        <v>0</v>
      </c>
      <c r="D25" s="1948" t="str">
        <f t="shared" si="0"/>
        <v> </v>
      </c>
      <c r="E25" s="1949">
        <f t="shared" si="1"/>
        <v>0</v>
      </c>
      <c r="F25" s="1950">
        <f t="shared" si="2"/>
        <v>0</v>
      </c>
      <c r="G25" s="1953"/>
      <c r="H25" s="1952"/>
      <c r="I25" s="1952"/>
      <c r="J25" s="1952"/>
      <c r="K25" s="1952"/>
      <c r="L25" s="1952"/>
      <c r="M25" s="1952"/>
      <c r="N25" s="1952"/>
      <c r="O25" s="1952"/>
      <c r="P25" s="1952"/>
      <c r="Q25" s="1952"/>
      <c r="R25" s="1952"/>
      <c r="S25" s="1952"/>
      <c r="T25" s="1952"/>
      <c r="U25" s="1952"/>
      <c r="V25" s="1952"/>
      <c r="W25" s="1952"/>
      <c r="X25" s="1952"/>
      <c r="Y25" s="1952"/>
      <c r="Z25" s="1952"/>
      <c r="AA25" s="1952"/>
      <c r="AB25" s="1952"/>
      <c r="AC25" s="1952"/>
      <c r="AD25" s="1952"/>
      <c r="AE25" s="1952"/>
      <c r="AF25" s="1952"/>
      <c r="AG25" s="1952"/>
      <c r="AH25" s="1952"/>
      <c r="AI25" s="1952"/>
      <c r="AJ25" s="1952"/>
      <c r="AK25" s="1952"/>
      <c r="AL25" s="1952"/>
      <c r="AM25" s="1952"/>
      <c r="AN25" s="1952"/>
      <c r="AO25" s="1952"/>
      <c r="AP25" s="1952"/>
      <c r="AQ25" s="1952"/>
      <c r="AR25" s="1952"/>
      <c r="AS25" s="1952"/>
      <c r="AT25" s="1952"/>
      <c r="AU25" s="1952"/>
      <c r="AV25" s="1952"/>
      <c r="AW25" s="1952"/>
      <c r="AX25" s="1952"/>
      <c r="AY25" s="1952"/>
      <c r="AZ25" s="1952"/>
      <c r="BA25" s="1952"/>
      <c r="BB25" s="1952"/>
      <c r="BC25" s="1952"/>
      <c r="BD25" s="1952"/>
      <c r="BE25" s="1952"/>
      <c r="BF25" s="1952"/>
      <c r="BG25" s="1952"/>
      <c r="BH25" s="1952"/>
      <c r="BI25" s="1952"/>
      <c r="BJ25" s="1952"/>
      <c r="BK25" s="1952"/>
      <c r="BL25" s="1952"/>
      <c r="BM25" s="1952"/>
      <c r="BN25" s="1952"/>
      <c r="BO25" s="1952"/>
      <c r="BP25" s="1952"/>
      <c r="BQ25" s="1952"/>
      <c r="BR25" s="1952"/>
      <c r="BS25" s="1952"/>
      <c r="BT25" s="1952"/>
      <c r="BU25" s="1952"/>
      <c r="BV25" s="1952"/>
      <c r="BW25" s="1952"/>
      <c r="BX25" s="1952"/>
      <c r="BY25" s="1952"/>
      <c r="BZ25" s="1952"/>
      <c r="CA25" s="1952"/>
      <c r="CB25" s="1952"/>
      <c r="CC25" s="1952"/>
      <c r="CD25" s="1952"/>
      <c r="CE25" s="1952"/>
      <c r="CF25" s="1952"/>
      <c r="CG25" s="1952"/>
      <c r="CH25" s="1952"/>
      <c r="CI25" s="1952"/>
      <c r="CJ25" s="1952"/>
      <c r="CK25" s="1952"/>
      <c r="CL25" s="1952"/>
      <c r="CM25" s="1952"/>
      <c r="CN25" s="1952"/>
      <c r="CO25" s="1952"/>
      <c r="CP25" s="1952"/>
      <c r="CQ25" s="1952"/>
      <c r="CR25" s="1952"/>
      <c r="CS25" s="1952"/>
      <c r="CT25" s="1952"/>
      <c r="CU25" s="1952"/>
      <c r="CV25" s="1952"/>
      <c r="CW25" s="1952"/>
      <c r="CX25" s="1952"/>
      <c r="CY25" s="1952"/>
      <c r="CZ25" s="1952"/>
      <c r="DA25" s="1952"/>
      <c r="DB25" s="1952"/>
      <c r="DC25" s="1952"/>
      <c r="DD25" s="1952"/>
      <c r="DE25" s="1952"/>
      <c r="DF25" s="1952"/>
      <c r="DG25" s="1952"/>
      <c r="DH25" s="1952"/>
      <c r="DI25" s="1952"/>
      <c r="DJ25" s="1952"/>
      <c r="DK25" s="1952"/>
      <c r="DL25" s="1952"/>
      <c r="DM25" s="1952"/>
      <c r="DN25" s="1952"/>
      <c r="DO25" s="1952"/>
      <c r="DP25" s="1952"/>
      <c r="DQ25" s="1952"/>
      <c r="DR25" s="1952"/>
      <c r="DS25" s="1952"/>
      <c r="DT25" s="1952"/>
      <c r="DU25" s="1952"/>
      <c r="DV25" s="1952"/>
      <c r="DW25" s="1952"/>
      <c r="DX25" s="1952"/>
      <c r="DY25" s="1952"/>
      <c r="DZ25" s="1952"/>
      <c r="EA25" s="1952"/>
      <c r="EB25" s="1952"/>
      <c r="EC25" s="1952"/>
      <c r="ED25" s="1952"/>
      <c r="EE25" s="1952"/>
      <c r="EF25" s="1952"/>
      <c r="EG25" s="1952"/>
      <c r="EH25" s="1952"/>
      <c r="EI25" s="1952"/>
      <c r="EJ25" s="1952"/>
      <c r="EK25" s="1952"/>
      <c r="EL25" s="1952"/>
      <c r="EM25" s="1952"/>
      <c r="EN25" s="1952"/>
      <c r="EO25" s="1952"/>
      <c r="EP25" s="1952"/>
      <c r="EQ25" s="1952"/>
      <c r="ER25" s="1952"/>
      <c r="ES25" s="1952"/>
      <c r="ET25" s="1952"/>
      <c r="EU25" s="1952"/>
      <c r="EV25" s="1952"/>
      <c r="EW25" s="1952"/>
      <c r="EX25" s="1952"/>
      <c r="EY25" s="1952"/>
      <c r="EZ25" s="1952"/>
      <c r="FA25" s="1952"/>
      <c r="FB25" s="1952"/>
      <c r="FC25" s="1952"/>
      <c r="FD25" s="1952"/>
      <c r="FE25" s="1952"/>
      <c r="FF25" s="1952"/>
      <c r="FG25" s="1952"/>
      <c r="FH25" s="1952"/>
      <c r="FI25" s="1952"/>
      <c r="FJ25" s="1952"/>
      <c r="FK25" s="1952"/>
      <c r="FL25" s="1952"/>
      <c r="FM25" s="1952"/>
      <c r="FN25" s="1952"/>
      <c r="FO25" s="1952"/>
      <c r="FP25" s="1952"/>
      <c r="FQ25" s="1952"/>
      <c r="FR25" s="1952"/>
      <c r="FS25" s="1952"/>
      <c r="FT25" s="1952"/>
      <c r="FU25" s="1952"/>
      <c r="FV25" s="1952"/>
      <c r="FW25" s="1952"/>
      <c r="FX25" s="1952"/>
      <c r="FY25" s="1952"/>
      <c r="FZ25" s="1952"/>
      <c r="GA25" s="1952"/>
      <c r="GB25" s="1952"/>
      <c r="GC25" s="1952"/>
      <c r="GD25" s="1952"/>
      <c r="GE25" s="1952"/>
      <c r="GF25" s="1952"/>
      <c r="GG25" s="1952"/>
      <c r="GH25" s="1952"/>
      <c r="GI25" s="1952"/>
      <c r="GJ25" s="1952"/>
      <c r="GK25" s="1952"/>
      <c r="GL25" s="1952"/>
      <c r="GM25" s="1952"/>
      <c r="GN25" s="1952"/>
      <c r="GO25" s="1952"/>
      <c r="GP25" s="1952"/>
      <c r="GQ25" s="1952"/>
      <c r="GR25" s="1952"/>
      <c r="GS25" s="1952"/>
      <c r="GT25" s="1952"/>
      <c r="GU25" s="1952"/>
      <c r="GV25" s="1952"/>
      <c r="GW25" s="1952"/>
      <c r="GX25" s="1952"/>
      <c r="GY25" s="1952"/>
      <c r="GZ25" s="1952"/>
      <c r="HA25" s="1952"/>
      <c r="HB25" s="1952"/>
      <c r="HC25" s="1952"/>
      <c r="HD25" s="1952"/>
      <c r="HE25" s="1952"/>
      <c r="HF25" s="1952"/>
      <c r="HG25" s="1952"/>
      <c r="HH25" s="1952"/>
      <c r="HI25" s="1952"/>
      <c r="HJ25" s="1952"/>
      <c r="HK25" s="1952"/>
      <c r="HL25" s="1952"/>
      <c r="HM25" s="1952"/>
      <c r="HN25" s="1952"/>
      <c r="HO25" s="1952"/>
      <c r="HP25" s="1952"/>
      <c r="HQ25" s="1952"/>
      <c r="HR25" s="1952"/>
      <c r="HS25" s="1952"/>
      <c r="HT25" s="1952"/>
      <c r="HU25" s="1952"/>
      <c r="HV25" s="1952"/>
      <c r="HW25" s="1952"/>
      <c r="HX25" s="1952"/>
      <c r="HY25" s="1952"/>
      <c r="HZ25" s="1952"/>
      <c r="IA25" s="1952"/>
      <c r="IB25" s="1952"/>
      <c r="IC25" s="1952"/>
      <c r="ID25" s="1952"/>
      <c r="IE25" s="1952"/>
      <c r="IF25" s="1952"/>
      <c r="IG25" s="1952"/>
      <c r="IH25" s="1952"/>
      <c r="II25" s="1952"/>
      <c r="IJ25" s="1952"/>
      <c r="IK25" s="1952"/>
      <c r="IL25" s="1952"/>
      <c r="IM25" s="1952"/>
    </row>
    <row r="26" ht="16.5" spans="1:247">
      <c r="A26" s="1946" t="s">
        <v>226</v>
      </c>
      <c r="B26" s="1947">
        <f>审定资负表!C23</f>
        <v>0</v>
      </c>
      <c r="C26" s="1947">
        <f>审定资负表!D23</f>
        <v>0</v>
      </c>
      <c r="D26" s="1948" t="str">
        <f t="shared" si="0"/>
        <v> </v>
      </c>
      <c r="E26" s="1949">
        <f t="shared" si="1"/>
        <v>0</v>
      </c>
      <c r="F26" s="1950">
        <f t="shared" si="2"/>
        <v>0</v>
      </c>
      <c r="G26" s="1953"/>
      <c r="H26" s="1952"/>
      <c r="I26" s="1952"/>
      <c r="J26" s="1952"/>
      <c r="K26" s="1952"/>
      <c r="L26" s="1952"/>
      <c r="M26" s="1952"/>
      <c r="N26" s="1952"/>
      <c r="O26" s="1952"/>
      <c r="P26" s="1952"/>
      <c r="Q26" s="1952"/>
      <c r="R26" s="1952"/>
      <c r="S26" s="1952"/>
      <c r="T26" s="1952"/>
      <c r="U26" s="1952"/>
      <c r="V26" s="1952"/>
      <c r="W26" s="1952"/>
      <c r="X26" s="1952"/>
      <c r="Y26" s="1952"/>
      <c r="Z26" s="1952"/>
      <c r="AA26" s="1952"/>
      <c r="AB26" s="1952"/>
      <c r="AC26" s="1952"/>
      <c r="AD26" s="1952"/>
      <c r="AE26" s="1952"/>
      <c r="AF26" s="1952"/>
      <c r="AG26" s="1952"/>
      <c r="AH26" s="1952"/>
      <c r="AI26" s="1952"/>
      <c r="AJ26" s="1952"/>
      <c r="AK26" s="1952"/>
      <c r="AL26" s="1952"/>
      <c r="AM26" s="1952"/>
      <c r="AN26" s="1952"/>
      <c r="AO26" s="1952"/>
      <c r="AP26" s="1952"/>
      <c r="AQ26" s="1952"/>
      <c r="AR26" s="1952"/>
      <c r="AS26" s="1952"/>
      <c r="AT26" s="1952"/>
      <c r="AU26" s="1952"/>
      <c r="AV26" s="1952"/>
      <c r="AW26" s="1952"/>
      <c r="AX26" s="1952"/>
      <c r="AY26" s="1952"/>
      <c r="AZ26" s="1952"/>
      <c r="BA26" s="1952"/>
      <c r="BB26" s="1952"/>
      <c r="BC26" s="1952"/>
      <c r="BD26" s="1952"/>
      <c r="BE26" s="1952"/>
      <c r="BF26" s="1952"/>
      <c r="BG26" s="1952"/>
      <c r="BH26" s="1952"/>
      <c r="BI26" s="1952"/>
      <c r="BJ26" s="1952"/>
      <c r="BK26" s="1952"/>
      <c r="BL26" s="1952"/>
      <c r="BM26" s="1952"/>
      <c r="BN26" s="1952"/>
      <c r="BO26" s="1952"/>
      <c r="BP26" s="1952"/>
      <c r="BQ26" s="1952"/>
      <c r="BR26" s="1952"/>
      <c r="BS26" s="1952"/>
      <c r="BT26" s="1952"/>
      <c r="BU26" s="1952"/>
      <c r="BV26" s="1952"/>
      <c r="BW26" s="1952"/>
      <c r="BX26" s="1952"/>
      <c r="BY26" s="1952"/>
      <c r="BZ26" s="1952"/>
      <c r="CA26" s="1952"/>
      <c r="CB26" s="1952"/>
      <c r="CC26" s="1952"/>
      <c r="CD26" s="1952"/>
      <c r="CE26" s="1952"/>
      <c r="CF26" s="1952"/>
      <c r="CG26" s="1952"/>
      <c r="CH26" s="1952"/>
      <c r="CI26" s="1952"/>
      <c r="CJ26" s="1952"/>
      <c r="CK26" s="1952"/>
      <c r="CL26" s="1952"/>
      <c r="CM26" s="1952"/>
      <c r="CN26" s="1952"/>
      <c r="CO26" s="1952"/>
      <c r="CP26" s="1952"/>
      <c r="CQ26" s="1952"/>
      <c r="CR26" s="1952"/>
      <c r="CS26" s="1952"/>
      <c r="CT26" s="1952"/>
      <c r="CU26" s="1952"/>
      <c r="CV26" s="1952"/>
      <c r="CW26" s="1952"/>
      <c r="CX26" s="1952"/>
      <c r="CY26" s="1952"/>
      <c r="CZ26" s="1952"/>
      <c r="DA26" s="1952"/>
      <c r="DB26" s="1952"/>
      <c r="DC26" s="1952"/>
      <c r="DD26" s="1952"/>
      <c r="DE26" s="1952"/>
      <c r="DF26" s="1952"/>
      <c r="DG26" s="1952"/>
      <c r="DH26" s="1952"/>
      <c r="DI26" s="1952"/>
      <c r="DJ26" s="1952"/>
      <c r="DK26" s="1952"/>
      <c r="DL26" s="1952"/>
      <c r="DM26" s="1952"/>
      <c r="DN26" s="1952"/>
      <c r="DO26" s="1952"/>
      <c r="DP26" s="1952"/>
      <c r="DQ26" s="1952"/>
      <c r="DR26" s="1952"/>
      <c r="DS26" s="1952"/>
      <c r="DT26" s="1952"/>
      <c r="DU26" s="1952"/>
      <c r="DV26" s="1952"/>
      <c r="DW26" s="1952"/>
      <c r="DX26" s="1952"/>
      <c r="DY26" s="1952"/>
      <c r="DZ26" s="1952"/>
      <c r="EA26" s="1952"/>
      <c r="EB26" s="1952"/>
      <c r="EC26" s="1952"/>
      <c r="ED26" s="1952"/>
      <c r="EE26" s="1952"/>
      <c r="EF26" s="1952"/>
      <c r="EG26" s="1952"/>
      <c r="EH26" s="1952"/>
      <c r="EI26" s="1952"/>
      <c r="EJ26" s="1952"/>
      <c r="EK26" s="1952"/>
      <c r="EL26" s="1952"/>
      <c r="EM26" s="1952"/>
      <c r="EN26" s="1952"/>
      <c r="EO26" s="1952"/>
      <c r="EP26" s="1952"/>
      <c r="EQ26" s="1952"/>
      <c r="ER26" s="1952"/>
      <c r="ES26" s="1952"/>
      <c r="ET26" s="1952"/>
      <c r="EU26" s="1952"/>
      <c r="EV26" s="1952"/>
      <c r="EW26" s="1952"/>
      <c r="EX26" s="1952"/>
      <c r="EY26" s="1952"/>
      <c r="EZ26" s="1952"/>
      <c r="FA26" s="1952"/>
      <c r="FB26" s="1952"/>
      <c r="FC26" s="1952"/>
      <c r="FD26" s="1952"/>
      <c r="FE26" s="1952"/>
      <c r="FF26" s="1952"/>
      <c r="FG26" s="1952"/>
      <c r="FH26" s="1952"/>
      <c r="FI26" s="1952"/>
      <c r="FJ26" s="1952"/>
      <c r="FK26" s="1952"/>
      <c r="FL26" s="1952"/>
      <c r="FM26" s="1952"/>
      <c r="FN26" s="1952"/>
      <c r="FO26" s="1952"/>
      <c r="FP26" s="1952"/>
      <c r="FQ26" s="1952"/>
      <c r="FR26" s="1952"/>
      <c r="FS26" s="1952"/>
      <c r="FT26" s="1952"/>
      <c r="FU26" s="1952"/>
      <c r="FV26" s="1952"/>
      <c r="FW26" s="1952"/>
      <c r="FX26" s="1952"/>
      <c r="FY26" s="1952"/>
      <c r="FZ26" s="1952"/>
      <c r="GA26" s="1952"/>
      <c r="GB26" s="1952"/>
      <c r="GC26" s="1952"/>
      <c r="GD26" s="1952"/>
      <c r="GE26" s="1952"/>
      <c r="GF26" s="1952"/>
      <c r="GG26" s="1952"/>
      <c r="GH26" s="1952"/>
      <c r="GI26" s="1952"/>
      <c r="GJ26" s="1952"/>
      <c r="GK26" s="1952"/>
      <c r="GL26" s="1952"/>
      <c r="GM26" s="1952"/>
      <c r="GN26" s="1952"/>
      <c r="GO26" s="1952"/>
      <c r="GP26" s="1952"/>
      <c r="GQ26" s="1952"/>
      <c r="GR26" s="1952"/>
      <c r="GS26" s="1952"/>
      <c r="GT26" s="1952"/>
      <c r="GU26" s="1952"/>
      <c r="GV26" s="1952"/>
      <c r="GW26" s="1952"/>
      <c r="GX26" s="1952"/>
      <c r="GY26" s="1952"/>
      <c r="GZ26" s="1952"/>
      <c r="HA26" s="1952"/>
      <c r="HB26" s="1952"/>
      <c r="HC26" s="1952"/>
      <c r="HD26" s="1952"/>
      <c r="HE26" s="1952"/>
      <c r="HF26" s="1952"/>
      <c r="HG26" s="1952"/>
      <c r="HH26" s="1952"/>
      <c r="HI26" s="1952"/>
      <c r="HJ26" s="1952"/>
      <c r="HK26" s="1952"/>
      <c r="HL26" s="1952"/>
      <c r="HM26" s="1952"/>
      <c r="HN26" s="1952"/>
      <c r="HO26" s="1952"/>
      <c r="HP26" s="1952"/>
      <c r="HQ26" s="1952"/>
      <c r="HR26" s="1952"/>
      <c r="HS26" s="1952"/>
      <c r="HT26" s="1952"/>
      <c r="HU26" s="1952"/>
      <c r="HV26" s="1952"/>
      <c r="HW26" s="1952"/>
      <c r="HX26" s="1952"/>
      <c r="HY26" s="1952"/>
      <c r="HZ26" s="1952"/>
      <c r="IA26" s="1952"/>
      <c r="IB26" s="1952"/>
      <c r="IC26" s="1952"/>
      <c r="ID26" s="1952"/>
      <c r="IE26" s="1952"/>
      <c r="IF26" s="1952"/>
      <c r="IG26" s="1952"/>
      <c r="IH26" s="1952"/>
      <c r="II26" s="1952"/>
      <c r="IJ26" s="1952"/>
      <c r="IK26" s="1952"/>
      <c r="IL26" s="1952"/>
      <c r="IM26" s="1952"/>
    </row>
    <row r="27" ht="24.75" spans="1:247">
      <c r="A27" s="1946" t="s">
        <v>228</v>
      </c>
      <c r="B27" s="1947">
        <f>审定资负表!C24</f>
        <v>71889420.62</v>
      </c>
      <c r="C27" s="1947">
        <f>审定资负表!D24</f>
        <v>9658781.06</v>
      </c>
      <c r="D27" s="1948">
        <f t="shared" si="0"/>
        <v>0.148140496613004</v>
      </c>
      <c r="E27" s="1949">
        <f t="shared" si="1"/>
        <v>62230639.56</v>
      </c>
      <c r="F27" s="1950">
        <f t="shared" si="2"/>
        <v>6.4429</v>
      </c>
      <c r="G27" s="1956" t="s">
        <v>2693</v>
      </c>
      <c r="H27" s="1952"/>
      <c r="I27" s="1952"/>
      <c r="J27" s="1952"/>
      <c r="K27" s="1952"/>
      <c r="L27" s="1952"/>
      <c r="M27" s="1952"/>
      <c r="N27" s="1952"/>
      <c r="O27" s="1952"/>
      <c r="P27" s="1952"/>
      <c r="Q27" s="1952"/>
      <c r="R27" s="1952"/>
      <c r="S27" s="1952"/>
      <c r="T27" s="1952"/>
      <c r="U27" s="1952"/>
      <c r="V27" s="1952"/>
      <c r="W27" s="1952"/>
      <c r="X27" s="1952"/>
      <c r="Y27" s="1952"/>
      <c r="Z27" s="1952"/>
      <c r="AA27" s="1952"/>
      <c r="AB27" s="1952"/>
      <c r="AC27" s="1952"/>
      <c r="AD27" s="1952"/>
      <c r="AE27" s="1952"/>
      <c r="AF27" s="1952"/>
      <c r="AG27" s="1952"/>
      <c r="AH27" s="1952"/>
      <c r="AI27" s="1952"/>
      <c r="AJ27" s="1952"/>
      <c r="AK27" s="1952"/>
      <c r="AL27" s="1952"/>
      <c r="AM27" s="1952"/>
      <c r="AN27" s="1952"/>
      <c r="AO27" s="1952"/>
      <c r="AP27" s="1952"/>
      <c r="AQ27" s="1952"/>
      <c r="AR27" s="1952"/>
      <c r="AS27" s="1952"/>
      <c r="AT27" s="1952"/>
      <c r="AU27" s="1952"/>
      <c r="AV27" s="1952"/>
      <c r="AW27" s="1952"/>
      <c r="AX27" s="1952"/>
      <c r="AY27" s="1952"/>
      <c r="AZ27" s="1952"/>
      <c r="BA27" s="1952"/>
      <c r="BB27" s="1952"/>
      <c r="BC27" s="1952"/>
      <c r="BD27" s="1952"/>
      <c r="BE27" s="1952"/>
      <c r="BF27" s="1952"/>
      <c r="BG27" s="1952"/>
      <c r="BH27" s="1952"/>
      <c r="BI27" s="1952"/>
      <c r="BJ27" s="1952"/>
      <c r="BK27" s="1952"/>
      <c r="BL27" s="1952"/>
      <c r="BM27" s="1952"/>
      <c r="BN27" s="1952"/>
      <c r="BO27" s="1952"/>
      <c r="BP27" s="1952"/>
      <c r="BQ27" s="1952"/>
      <c r="BR27" s="1952"/>
      <c r="BS27" s="1952"/>
      <c r="BT27" s="1952"/>
      <c r="BU27" s="1952"/>
      <c r="BV27" s="1952"/>
      <c r="BW27" s="1952"/>
      <c r="BX27" s="1952"/>
      <c r="BY27" s="1952"/>
      <c r="BZ27" s="1952"/>
      <c r="CA27" s="1952"/>
      <c r="CB27" s="1952"/>
      <c r="CC27" s="1952"/>
      <c r="CD27" s="1952"/>
      <c r="CE27" s="1952"/>
      <c r="CF27" s="1952"/>
      <c r="CG27" s="1952"/>
      <c r="CH27" s="1952"/>
      <c r="CI27" s="1952"/>
      <c r="CJ27" s="1952"/>
      <c r="CK27" s="1952"/>
      <c r="CL27" s="1952"/>
      <c r="CM27" s="1952"/>
      <c r="CN27" s="1952"/>
      <c r="CO27" s="1952"/>
      <c r="CP27" s="1952"/>
      <c r="CQ27" s="1952"/>
      <c r="CR27" s="1952"/>
      <c r="CS27" s="1952"/>
      <c r="CT27" s="1952"/>
      <c r="CU27" s="1952"/>
      <c r="CV27" s="1952"/>
      <c r="CW27" s="1952"/>
      <c r="CX27" s="1952"/>
      <c r="CY27" s="1952"/>
      <c r="CZ27" s="1952"/>
      <c r="DA27" s="1952"/>
      <c r="DB27" s="1952"/>
      <c r="DC27" s="1952"/>
      <c r="DD27" s="1952"/>
      <c r="DE27" s="1952"/>
      <c r="DF27" s="1952"/>
      <c r="DG27" s="1952"/>
      <c r="DH27" s="1952"/>
      <c r="DI27" s="1952"/>
      <c r="DJ27" s="1952"/>
      <c r="DK27" s="1952"/>
      <c r="DL27" s="1952"/>
      <c r="DM27" s="1952"/>
      <c r="DN27" s="1952"/>
      <c r="DO27" s="1952"/>
      <c r="DP27" s="1952"/>
      <c r="DQ27" s="1952"/>
      <c r="DR27" s="1952"/>
      <c r="DS27" s="1952"/>
      <c r="DT27" s="1952"/>
      <c r="DU27" s="1952"/>
      <c r="DV27" s="1952"/>
      <c r="DW27" s="1952"/>
      <c r="DX27" s="1952"/>
      <c r="DY27" s="1952"/>
      <c r="DZ27" s="1952"/>
      <c r="EA27" s="1952"/>
      <c r="EB27" s="1952"/>
      <c r="EC27" s="1952"/>
      <c r="ED27" s="1952"/>
      <c r="EE27" s="1952"/>
      <c r="EF27" s="1952"/>
      <c r="EG27" s="1952"/>
      <c r="EH27" s="1952"/>
      <c r="EI27" s="1952"/>
      <c r="EJ27" s="1952"/>
      <c r="EK27" s="1952"/>
      <c r="EL27" s="1952"/>
      <c r="EM27" s="1952"/>
      <c r="EN27" s="1952"/>
      <c r="EO27" s="1952"/>
      <c r="EP27" s="1952"/>
      <c r="EQ27" s="1952"/>
      <c r="ER27" s="1952"/>
      <c r="ES27" s="1952"/>
      <c r="ET27" s="1952"/>
      <c r="EU27" s="1952"/>
      <c r="EV27" s="1952"/>
      <c r="EW27" s="1952"/>
      <c r="EX27" s="1952"/>
      <c r="EY27" s="1952"/>
      <c r="EZ27" s="1952"/>
      <c r="FA27" s="1952"/>
      <c r="FB27" s="1952"/>
      <c r="FC27" s="1952"/>
      <c r="FD27" s="1952"/>
      <c r="FE27" s="1952"/>
      <c r="FF27" s="1952"/>
      <c r="FG27" s="1952"/>
      <c r="FH27" s="1952"/>
      <c r="FI27" s="1952"/>
      <c r="FJ27" s="1952"/>
      <c r="FK27" s="1952"/>
      <c r="FL27" s="1952"/>
      <c r="FM27" s="1952"/>
      <c r="FN27" s="1952"/>
      <c r="FO27" s="1952"/>
      <c r="FP27" s="1952"/>
      <c r="FQ27" s="1952"/>
      <c r="FR27" s="1952"/>
      <c r="FS27" s="1952"/>
      <c r="FT27" s="1952"/>
      <c r="FU27" s="1952"/>
      <c r="FV27" s="1952"/>
      <c r="FW27" s="1952"/>
      <c r="FX27" s="1952"/>
      <c r="FY27" s="1952"/>
      <c r="FZ27" s="1952"/>
      <c r="GA27" s="1952"/>
      <c r="GB27" s="1952"/>
      <c r="GC27" s="1952"/>
      <c r="GD27" s="1952"/>
      <c r="GE27" s="1952"/>
      <c r="GF27" s="1952"/>
      <c r="GG27" s="1952"/>
      <c r="GH27" s="1952"/>
      <c r="GI27" s="1952"/>
      <c r="GJ27" s="1952"/>
      <c r="GK27" s="1952"/>
      <c r="GL27" s="1952"/>
      <c r="GM27" s="1952"/>
      <c r="GN27" s="1952"/>
      <c r="GO27" s="1952"/>
      <c r="GP27" s="1952"/>
      <c r="GQ27" s="1952"/>
      <c r="GR27" s="1952"/>
      <c r="GS27" s="1952"/>
      <c r="GT27" s="1952"/>
      <c r="GU27" s="1952"/>
      <c r="GV27" s="1952"/>
      <c r="GW27" s="1952"/>
      <c r="GX27" s="1952"/>
      <c r="GY27" s="1952"/>
      <c r="GZ27" s="1952"/>
      <c r="HA27" s="1952"/>
      <c r="HB27" s="1952"/>
      <c r="HC27" s="1952"/>
      <c r="HD27" s="1952"/>
      <c r="HE27" s="1952"/>
      <c r="HF27" s="1952"/>
      <c r="HG27" s="1952"/>
      <c r="HH27" s="1952"/>
      <c r="HI27" s="1952"/>
      <c r="HJ27" s="1952"/>
      <c r="HK27" s="1952"/>
      <c r="HL27" s="1952"/>
      <c r="HM27" s="1952"/>
      <c r="HN27" s="1952"/>
      <c r="HO27" s="1952"/>
      <c r="HP27" s="1952"/>
      <c r="HQ27" s="1952"/>
      <c r="HR27" s="1952"/>
      <c r="HS27" s="1952"/>
      <c r="HT27" s="1952"/>
      <c r="HU27" s="1952"/>
      <c r="HV27" s="1952"/>
      <c r="HW27" s="1952"/>
      <c r="HX27" s="1952"/>
      <c r="HY27" s="1952"/>
      <c r="HZ27" s="1952"/>
      <c r="IA27" s="1952"/>
      <c r="IB27" s="1952"/>
      <c r="IC27" s="1952"/>
      <c r="ID27" s="1952"/>
      <c r="IE27" s="1952"/>
      <c r="IF27" s="1952"/>
      <c r="IG27" s="1952"/>
      <c r="IH27" s="1952"/>
      <c r="II27" s="1952"/>
      <c r="IJ27" s="1952"/>
      <c r="IK27" s="1952"/>
      <c r="IL27" s="1952"/>
      <c r="IM27" s="1952"/>
    </row>
    <row r="28" ht="24" spans="1:247">
      <c r="A28" s="1946" t="s">
        <v>230</v>
      </c>
      <c r="B28" s="1947">
        <f>审定资负表!C25</f>
        <v>4000000</v>
      </c>
      <c r="C28" s="1947">
        <f>审定资负表!D25</f>
        <v>4000000</v>
      </c>
      <c r="D28" s="1948">
        <f t="shared" si="0"/>
        <v>0.00824268691194822</v>
      </c>
      <c r="E28" s="1949">
        <f t="shared" si="1"/>
        <v>0</v>
      </c>
      <c r="F28" s="1950">
        <f t="shared" si="2"/>
        <v>0</v>
      </c>
      <c r="G28" s="1956" t="s">
        <v>2694</v>
      </c>
      <c r="H28" s="1952"/>
      <c r="I28" s="1952"/>
      <c r="J28" s="1952"/>
      <c r="K28" s="1952"/>
      <c r="L28" s="1952"/>
      <c r="M28" s="1952"/>
      <c r="N28" s="1952"/>
      <c r="O28" s="1952"/>
      <c r="P28" s="1952"/>
      <c r="Q28" s="1952"/>
      <c r="R28" s="1952"/>
      <c r="S28" s="1952"/>
      <c r="T28" s="1952"/>
      <c r="U28" s="1952"/>
      <c r="V28" s="1952"/>
      <c r="W28" s="1952"/>
      <c r="X28" s="1952"/>
      <c r="Y28" s="1952"/>
      <c r="Z28" s="1952"/>
      <c r="AA28" s="1952"/>
      <c r="AB28" s="1952"/>
      <c r="AC28" s="1952"/>
      <c r="AD28" s="1952"/>
      <c r="AE28" s="1952"/>
      <c r="AF28" s="1952"/>
      <c r="AG28" s="1952"/>
      <c r="AH28" s="1952"/>
      <c r="AI28" s="1952"/>
      <c r="AJ28" s="1952"/>
      <c r="AK28" s="1952"/>
      <c r="AL28" s="1952"/>
      <c r="AM28" s="1952"/>
      <c r="AN28" s="1952"/>
      <c r="AO28" s="1952"/>
      <c r="AP28" s="1952"/>
      <c r="AQ28" s="1952"/>
      <c r="AR28" s="1952"/>
      <c r="AS28" s="1952"/>
      <c r="AT28" s="1952"/>
      <c r="AU28" s="1952"/>
      <c r="AV28" s="1952"/>
      <c r="AW28" s="1952"/>
      <c r="AX28" s="1952"/>
      <c r="AY28" s="1952"/>
      <c r="AZ28" s="1952"/>
      <c r="BA28" s="1952"/>
      <c r="BB28" s="1952"/>
      <c r="BC28" s="1952"/>
      <c r="BD28" s="1952"/>
      <c r="BE28" s="1952"/>
      <c r="BF28" s="1952"/>
      <c r="BG28" s="1952"/>
      <c r="BH28" s="1952"/>
      <c r="BI28" s="1952"/>
      <c r="BJ28" s="1952"/>
      <c r="BK28" s="1952"/>
      <c r="BL28" s="1952"/>
      <c r="BM28" s="1952"/>
      <c r="BN28" s="1952"/>
      <c r="BO28" s="1952"/>
      <c r="BP28" s="1952"/>
      <c r="BQ28" s="1952"/>
      <c r="BR28" s="1952"/>
      <c r="BS28" s="1952"/>
      <c r="BT28" s="1952"/>
      <c r="BU28" s="1952"/>
      <c r="BV28" s="1952"/>
      <c r="BW28" s="1952"/>
      <c r="BX28" s="1952"/>
      <c r="BY28" s="1952"/>
      <c r="BZ28" s="1952"/>
      <c r="CA28" s="1952"/>
      <c r="CB28" s="1952"/>
      <c r="CC28" s="1952"/>
      <c r="CD28" s="1952"/>
      <c r="CE28" s="1952"/>
      <c r="CF28" s="1952"/>
      <c r="CG28" s="1952"/>
      <c r="CH28" s="1952"/>
      <c r="CI28" s="1952"/>
      <c r="CJ28" s="1952"/>
      <c r="CK28" s="1952"/>
      <c r="CL28" s="1952"/>
      <c r="CM28" s="1952"/>
      <c r="CN28" s="1952"/>
      <c r="CO28" s="1952"/>
      <c r="CP28" s="1952"/>
      <c r="CQ28" s="1952"/>
      <c r="CR28" s="1952"/>
      <c r="CS28" s="1952"/>
      <c r="CT28" s="1952"/>
      <c r="CU28" s="1952"/>
      <c r="CV28" s="1952"/>
      <c r="CW28" s="1952"/>
      <c r="CX28" s="1952"/>
      <c r="CY28" s="1952"/>
      <c r="CZ28" s="1952"/>
      <c r="DA28" s="1952"/>
      <c r="DB28" s="1952"/>
      <c r="DC28" s="1952"/>
      <c r="DD28" s="1952"/>
      <c r="DE28" s="1952"/>
      <c r="DF28" s="1952"/>
      <c r="DG28" s="1952"/>
      <c r="DH28" s="1952"/>
      <c r="DI28" s="1952"/>
      <c r="DJ28" s="1952"/>
      <c r="DK28" s="1952"/>
      <c r="DL28" s="1952"/>
      <c r="DM28" s="1952"/>
      <c r="DN28" s="1952"/>
      <c r="DO28" s="1952"/>
      <c r="DP28" s="1952"/>
      <c r="DQ28" s="1952"/>
      <c r="DR28" s="1952"/>
      <c r="DS28" s="1952"/>
      <c r="DT28" s="1952"/>
      <c r="DU28" s="1952"/>
      <c r="DV28" s="1952"/>
      <c r="DW28" s="1952"/>
      <c r="DX28" s="1952"/>
      <c r="DY28" s="1952"/>
      <c r="DZ28" s="1952"/>
      <c r="EA28" s="1952"/>
      <c r="EB28" s="1952"/>
      <c r="EC28" s="1952"/>
      <c r="ED28" s="1952"/>
      <c r="EE28" s="1952"/>
      <c r="EF28" s="1952"/>
      <c r="EG28" s="1952"/>
      <c r="EH28" s="1952"/>
      <c r="EI28" s="1952"/>
      <c r="EJ28" s="1952"/>
      <c r="EK28" s="1952"/>
      <c r="EL28" s="1952"/>
      <c r="EM28" s="1952"/>
      <c r="EN28" s="1952"/>
      <c r="EO28" s="1952"/>
      <c r="EP28" s="1952"/>
      <c r="EQ28" s="1952"/>
      <c r="ER28" s="1952"/>
      <c r="ES28" s="1952"/>
      <c r="ET28" s="1952"/>
      <c r="EU28" s="1952"/>
      <c r="EV28" s="1952"/>
      <c r="EW28" s="1952"/>
      <c r="EX28" s="1952"/>
      <c r="EY28" s="1952"/>
      <c r="EZ28" s="1952"/>
      <c r="FA28" s="1952"/>
      <c r="FB28" s="1952"/>
      <c r="FC28" s="1952"/>
      <c r="FD28" s="1952"/>
      <c r="FE28" s="1952"/>
      <c r="FF28" s="1952"/>
      <c r="FG28" s="1952"/>
      <c r="FH28" s="1952"/>
      <c r="FI28" s="1952"/>
      <c r="FJ28" s="1952"/>
      <c r="FK28" s="1952"/>
      <c r="FL28" s="1952"/>
      <c r="FM28" s="1952"/>
      <c r="FN28" s="1952"/>
      <c r="FO28" s="1952"/>
      <c r="FP28" s="1952"/>
      <c r="FQ28" s="1952"/>
      <c r="FR28" s="1952"/>
      <c r="FS28" s="1952"/>
      <c r="FT28" s="1952"/>
      <c r="FU28" s="1952"/>
      <c r="FV28" s="1952"/>
      <c r="FW28" s="1952"/>
      <c r="FX28" s="1952"/>
      <c r="FY28" s="1952"/>
      <c r="FZ28" s="1952"/>
      <c r="GA28" s="1952"/>
      <c r="GB28" s="1952"/>
      <c r="GC28" s="1952"/>
      <c r="GD28" s="1952"/>
      <c r="GE28" s="1952"/>
      <c r="GF28" s="1952"/>
      <c r="GG28" s="1952"/>
      <c r="GH28" s="1952"/>
      <c r="GI28" s="1952"/>
      <c r="GJ28" s="1952"/>
      <c r="GK28" s="1952"/>
      <c r="GL28" s="1952"/>
      <c r="GM28" s="1952"/>
      <c r="GN28" s="1952"/>
      <c r="GO28" s="1952"/>
      <c r="GP28" s="1952"/>
      <c r="GQ28" s="1952"/>
      <c r="GR28" s="1952"/>
      <c r="GS28" s="1952"/>
      <c r="GT28" s="1952"/>
      <c r="GU28" s="1952"/>
      <c r="GV28" s="1952"/>
      <c r="GW28" s="1952"/>
      <c r="GX28" s="1952"/>
      <c r="GY28" s="1952"/>
      <c r="GZ28" s="1952"/>
      <c r="HA28" s="1952"/>
      <c r="HB28" s="1952"/>
      <c r="HC28" s="1952"/>
      <c r="HD28" s="1952"/>
      <c r="HE28" s="1952"/>
      <c r="HF28" s="1952"/>
      <c r="HG28" s="1952"/>
      <c r="HH28" s="1952"/>
      <c r="HI28" s="1952"/>
      <c r="HJ28" s="1952"/>
      <c r="HK28" s="1952"/>
      <c r="HL28" s="1952"/>
      <c r="HM28" s="1952"/>
      <c r="HN28" s="1952"/>
      <c r="HO28" s="1952"/>
      <c r="HP28" s="1952"/>
      <c r="HQ28" s="1952"/>
      <c r="HR28" s="1952"/>
      <c r="HS28" s="1952"/>
      <c r="HT28" s="1952"/>
      <c r="HU28" s="1952"/>
      <c r="HV28" s="1952"/>
      <c r="HW28" s="1952"/>
      <c r="HX28" s="1952"/>
      <c r="HY28" s="1952"/>
      <c r="HZ28" s="1952"/>
      <c r="IA28" s="1952"/>
      <c r="IB28" s="1952"/>
      <c r="IC28" s="1952"/>
      <c r="ID28" s="1952"/>
      <c r="IE28" s="1952"/>
      <c r="IF28" s="1952"/>
      <c r="IG28" s="1952"/>
      <c r="IH28" s="1952"/>
      <c r="II28" s="1952"/>
      <c r="IJ28" s="1952"/>
      <c r="IK28" s="1952"/>
      <c r="IL28" s="1952"/>
      <c r="IM28" s="1952"/>
    </row>
    <row r="29" ht="16.5" spans="1:247">
      <c r="A29" s="1946" t="s">
        <v>232</v>
      </c>
      <c r="B29" s="1947">
        <f>审定资负表!C26</f>
        <v>0</v>
      </c>
      <c r="C29" s="1947">
        <f>审定资负表!D26</f>
        <v>0</v>
      </c>
      <c r="D29" s="1948" t="str">
        <f t="shared" si="0"/>
        <v> </v>
      </c>
      <c r="E29" s="1949">
        <f t="shared" si="1"/>
        <v>0</v>
      </c>
      <c r="F29" s="1950">
        <f t="shared" si="2"/>
        <v>0</v>
      </c>
      <c r="G29" s="1956"/>
      <c r="H29" s="1952"/>
      <c r="I29" s="1952"/>
      <c r="J29" s="1952"/>
      <c r="K29" s="1952"/>
      <c r="L29" s="1952"/>
      <c r="M29" s="1952"/>
      <c r="N29" s="1952"/>
      <c r="O29" s="1952"/>
      <c r="P29" s="1952"/>
      <c r="Q29" s="1952"/>
      <c r="R29" s="1952"/>
      <c r="S29" s="1952"/>
      <c r="T29" s="1952"/>
      <c r="U29" s="1952"/>
      <c r="V29" s="1952"/>
      <c r="W29" s="1952"/>
      <c r="X29" s="1952"/>
      <c r="Y29" s="1952"/>
      <c r="Z29" s="1952"/>
      <c r="AA29" s="1952"/>
      <c r="AB29" s="1952"/>
      <c r="AC29" s="1952"/>
      <c r="AD29" s="1952"/>
      <c r="AE29" s="1952"/>
      <c r="AF29" s="1952"/>
      <c r="AG29" s="1952"/>
      <c r="AH29" s="1952"/>
      <c r="AI29" s="1952"/>
      <c r="AJ29" s="1952"/>
      <c r="AK29" s="1952"/>
      <c r="AL29" s="1952"/>
      <c r="AM29" s="1952"/>
      <c r="AN29" s="1952"/>
      <c r="AO29" s="1952"/>
      <c r="AP29" s="1952"/>
      <c r="AQ29" s="1952"/>
      <c r="AR29" s="1952"/>
      <c r="AS29" s="1952"/>
      <c r="AT29" s="1952"/>
      <c r="AU29" s="1952"/>
      <c r="AV29" s="1952"/>
      <c r="AW29" s="1952"/>
      <c r="AX29" s="1952"/>
      <c r="AY29" s="1952"/>
      <c r="AZ29" s="1952"/>
      <c r="BA29" s="1952"/>
      <c r="BB29" s="1952"/>
      <c r="BC29" s="1952"/>
      <c r="BD29" s="1952"/>
      <c r="BE29" s="1952"/>
      <c r="BF29" s="1952"/>
      <c r="BG29" s="1952"/>
      <c r="BH29" s="1952"/>
      <c r="BI29" s="1952"/>
      <c r="BJ29" s="1952"/>
      <c r="BK29" s="1952"/>
      <c r="BL29" s="1952"/>
      <c r="BM29" s="1952"/>
      <c r="BN29" s="1952"/>
      <c r="BO29" s="1952"/>
      <c r="BP29" s="1952"/>
      <c r="BQ29" s="1952"/>
      <c r="BR29" s="1952"/>
      <c r="BS29" s="1952"/>
      <c r="BT29" s="1952"/>
      <c r="BU29" s="1952"/>
      <c r="BV29" s="1952"/>
      <c r="BW29" s="1952"/>
      <c r="BX29" s="1952"/>
      <c r="BY29" s="1952"/>
      <c r="BZ29" s="1952"/>
      <c r="CA29" s="1952"/>
      <c r="CB29" s="1952"/>
      <c r="CC29" s="1952"/>
      <c r="CD29" s="1952"/>
      <c r="CE29" s="1952"/>
      <c r="CF29" s="1952"/>
      <c r="CG29" s="1952"/>
      <c r="CH29" s="1952"/>
      <c r="CI29" s="1952"/>
      <c r="CJ29" s="1952"/>
      <c r="CK29" s="1952"/>
      <c r="CL29" s="1952"/>
      <c r="CM29" s="1952"/>
      <c r="CN29" s="1952"/>
      <c r="CO29" s="1952"/>
      <c r="CP29" s="1952"/>
      <c r="CQ29" s="1952"/>
      <c r="CR29" s="1952"/>
      <c r="CS29" s="1952"/>
      <c r="CT29" s="1952"/>
      <c r="CU29" s="1952"/>
      <c r="CV29" s="1952"/>
      <c r="CW29" s="1952"/>
      <c r="CX29" s="1952"/>
      <c r="CY29" s="1952"/>
      <c r="CZ29" s="1952"/>
      <c r="DA29" s="1952"/>
      <c r="DB29" s="1952"/>
      <c r="DC29" s="1952"/>
      <c r="DD29" s="1952"/>
      <c r="DE29" s="1952"/>
      <c r="DF29" s="1952"/>
      <c r="DG29" s="1952"/>
      <c r="DH29" s="1952"/>
      <c r="DI29" s="1952"/>
      <c r="DJ29" s="1952"/>
      <c r="DK29" s="1952"/>
      <c r="DL29" s="1952"/>
      <c r="DM29" s="1952"/>
      <c r="DN29" s="1952"/>
      <c r="DO29" s="1952"/>
      <c r="DP29" s="1952"/>
      <c r="DQ29" s="1952"/>
      <c r="DR29" s="1952"/>
      <c r="DS29" s="1952"/>
      <c r="DT29" s="1952"/>
      <c r="DU29" s="1952"/>
      <c r="DV29" s="1952"/>
      <c r="DW29" s="1952"/>
      <c r="DX29" s="1952"/>
      <c r="DY29" s="1952"/>
      <c r="DZ29" s="1952"/>
      <c r="EA29" s="1952"/>
      <c r="EB29" s="1952"/>
      <c r="EC29" s="1952"/>
      <c r="ED29" s="1952"/>
      <c r="EE29" s="1952"/>
      <c r="EF29" s="1952"/>
      <c r="EG29" s="1952"/>
      <c r="EH29" s="1952"/>
      <c r="EI29" s="1952"/>
      <c r="EJ29" s="1952"/>
      <c r="EK29" s="1952"/>
      <c r="EL29" s="1952"/>
      <c r="EM29" s="1952"/>
      <c r="EN29" s="1952"/>
      <c r="EO29" s="1952"/>
      <c r="EP29" s="1952"/>
      <c r="EQ29" s="1952"/>
      <c r="ER29" s="1952"/>
      <c r="ES29" s="1952"/>
      <c r="ET29" s="1952"/>
      <c r="EU29" s="1952"/>
      <c r="EV29" s="1952"/>
      <c r="EW29" s="1952"/>
      <c r="EX29" s="1952"/>
      <c r="EY29" s="1952"/>
      <c r="EZ29" s="1952"/>
      <c r="FA29" s="1952"/>
      <c r="FB29" s="1952"/>
      <c r="FC29" s="1952"/>
      <c r="FD29" s="1952"/>
      <c r="FE29" s="1952"/>
      <c r="FF29" s="1952"/>
      <c r="FG29" s="1952"/>
      <c r="FH29" s="1952"/>
      <c r="FI29" s="1952"/>
      <c r="FJ29" s="1952"/>
      <c r="FK29" s="1952"/>
      <c r="FL29" s="1952"/>
      <c r="FM29" s="1952"/>
      <c r="FN29" s="1952"/>
      <c r="FO29" s="1952"/>
      <c r="FP29" s="1952"/>
      <c r="FQ29" s="1952"/>
      <c r="FR29" s="1952"/>
      <c r="FS29" s="1952"/>
      <c r="FT29" s="1952"/>
      <c r="FU29" s="1952"/>
      <c r="FV29" s="1952"/>
      <c r="FW29" s="1952"/>
      <c r="FX29" s="1952"/>
      <c r="FY29" s="1952"/>
      <c r="FZ29" s="1952"/>
      <c r="GA29" s="1952"/>
      <c r="GB29" s="1952"/>
      <c r="GC29" s="1952"/>
      <c r="GD29" s="1952"/>
      <c r="GE29" s="1952"/>
      <c r="GF29" s="1952"/>
      <c r="GG29" s="1952"/>
      <c r="GH29" s="1952"/>
      <c r="GI29" s="1952"/>
      <c r="GJ29" s="1952"/>
      <c r="GK29" s="1952"/>
      <c r="GL29" s="1952"/>
      <c r="GM29" s="1952"/>
      <c r="GN29" s="1952"/>
      <c r="GO29" s="1952"/>
      <c r="GP29" s="1952"/>
      <c r="GQ29" s="1952"/>
      <c r="GR29" s="1952"/>
      <c r="GS29" s="1952"/>
      <c r="GT29" s="1952"/>
      <c r="GU29" s="1952"/>
      <c r="GV29" s="1952"/>
      <c r="GW29" s="1952"/>
      <c r="GX29" s="1952"/>
      <c r="GY29" s="1952"/>
      <c r="GZ29" s="1952"/>
      <c r="HA29" s="1952"/>
      <c r="HB29" s="1952"/>
      <c r="HC29" s="1952"/>
      <c r="HD29" s="1952"/>
      <c r="HE29" s="1952"/>
      <c r="HF29" s="1952"/>
      <c r="HG29" s="1952"/>
      <c r="HH29" s="1952"/>
      <c r="HI29" s="1952"/>
      <c r="HJ29" s="1952"/>
      <c r="HK29" s="1952"/>
      <c r="HL29" s="1952"/>
      <c r="HM29" s="1952"/>
      <c r="HN29" s="1952"/>
      <c r="HO29" s="1952"/>
      <c r="HP29" s="1952"/>
      <c r="HQ29" s="1952"/>
      <c r="HR29" s="1952"/>
      <c r="HS29" s="1952"/>
      <c r="HT29" s="1952"/>
      <c r="HU29" s="1952"/>
      <c r="HV29" s="1952"/>
      <c r="HW29" s="1952"/>
      <c r="HX29" s="1952"/>
      <c r="HY29" s="1952"/>
      <c r="HZ29" s="1952"/>
      <c r="IA29" s="1952"/>
      <c r="IB29" s="1952"/>
      <c r="IC29" s="1952"/>
      <c r="ID29" s="1952"/>
      <c r="IE29" s="1952"/>
      <c r="IF29" s="1952"/>
      <c r="IG29" s="1952"/>
      <c r="IH29" s="1952"/>
      <c r="II29" s="1952"/>
      <c r="IJ29" s="1952"/>
      <c r="IK29" s="1952"/>
      <c r="IL29" s="1952"/>
      <c r="IM29" s="1952"/>
    </row>
    <row r="30" ht="16.5" spans="1:247">
      <c r="A30" s="1946" t="s">
        <v>234</v>
      </c>
      <c r="B30" s="1947">
        <f>审定资负表!C27</f>
        <v>63138192.37</v>
      </c>
      <c r="C30" s="1947">
        <f>审定资负表!D27</f>
        <v>67613790.3</v>
      </c>
      <c r="D30" s="1948">
        <f t="shared" si="0"/>
        <v>0.130107087973067</v>
      </c>
      <c r="E30" s="1949">
        <f t="shared" si="1"/>
        <v>-4475597.93</v>
      </c>
      <c r="F30" s="1950">
        <f t="shared" si="2"/>
        <v>-0.0662</v>
      </c>
      <c r="G30" s="1956" t="s">
        <v>2695</v>
      </c>
      <c r="H30" s="1952"/>
      <c r="I30" s="1952"/>
      <c r="J30" s="1952"/>
      <c r="K30" s="1952"/>
      <c r="L30" s="1952"/>
      <c r="M30" s="1952"/>
      <c r="N30" s="1952"/>
      <c r="O30" s="1952"/>
      <c r="P30" s="1952"/>
      <c r="Q30" s="1952"/>
      <c r="R30" s="1952"/>
      <c r="S30" s="1952"/>
      <c r="T30" s="1952"/>
      <c r="U30" s="1952"/>
      <c r="V30" s="1952"/>
      <c r="W30" s="1952"/>
      <c r="X30" s="1952"/>
      <c r="Y30" s="1952"/>
      <c r="Z30" s="1952"/>
      <c r="AA30" s="1952"/>
      <c r="AB30" s="1952"/>
      <c r="AC30" s="1952"/>
      <c r="AD30" s="1952"/>
      <c r="AE30" s="1952"/>
      <c r="AF30" s="1952"/>
      <c r="AG30" s="1952"/>
      <c r="AH30" s="1952"/>
      <c r="AI30" s="1952"/>
      <c r="AJ30" s="1952"/>
      <c r="AK30" s="1952"/>
      <c r="AL30" s="1952"/>
      <c r="AM30" s="1952"/>
      <c r="AN30" s="1952"/>
      <c r="AO30" s="1952"/>
      <c r="AP30" s="1952"/>
      <c r="AQ30" s="1952"/>
      <c r="AR30" s="1952"/>
      <c r="AS30" s="1952"/>
      <c r="AT30" s="1952"/>
      <c r="AU30" s="1952"/>
      <c r="AV30" s="1952"/>
      <c r="AW30" s="1952"/>
      <c r="AX30" s="1952"/>
      <c r="AY30" s="1952"/>
      <c r="AZ30" s="1952"/>
      <c r="BA30" s="1952"/>
      <c r="BB30" s="1952"/>
      <c r="BC30" s="1952"/>
      <c r="BD30" s="1952"/>
      <c r="BE30" s="1952"/>
      <c r="BF30" s="1952"/>
      <c r="BG30" s="1952"/>
      <c r="BH30" s="1952"/>
      <c r="BI30" s="1952"/>
      <c r="BJ30" s="1952"/>
      <c r="BK30" s="1952"/>
      <c r="BL30" s="1952"/>
      <c r="BM30" s="1952"/>
      <c r="BN30" s="1952"/>
      <c r="BO30" s="1952"/>
      <c r="BP30" s="1952"/>
      <c r="BQ30" s="1952"/>
      <c r="BR30" s="1952"/>
      <c r="BS30" s="1952"/>
      <c r="BT30" s="1952"/>
      <c r="BU30" s="1952"/>
      <c r="BV30" s="1952"/>
      <c r="BW30" s="1952"/>
      <c r="BX30" s="1952"/>
      <c r="BY30" s="1952"/>
      <c r="BZ30" s="1952"/>
      <c r="CA30" s="1952"/>
      <c r="CB30" s="1952"/>
      <c r="CC30" s="1952"/>
      <c r="CD30" s="1952"/>
      <c r="CE30" s="1952"/>
      <c r="CF30" s="1952"/>
      <c r="CG30" s="1952"/>
      <c r="CH30" s="1952"/>
      <c r="CI30" s="1952"/>
      <c r="CJ30" s="1952"/>
      <c r="CK30" s="1952"/>
      <c r="CL30" s="1952"/>
      <c r="CM30" s="1952"/>
      <c r="CN30" s="1952"/>
      <c r="CO30" s="1952"/>
      <c r="CP30" s="1952"/>
      <c r="CQ30" s="1952"/>
      <c r="CR30" s="1952"/>
      <c r="CS30" s="1952"/>
      <c r="CT30" s="1952"/>
      <c r="CU30" s="1952"/>
      <c r="CV30" s="1952"/>
      <c r="CW30" s="1952"/>
      <c r="CX30" s="1952"/>
      <c r="CY30" s="1952"/>
      <c r="CZ30" s="1952"/>
      <c r="DA30" s="1952"/>
      <c r="DB30" s="1952"/>
      <c r="DC30" s="1952"/>
      <c r="DD30" s="1952"/>
      <c r="DE30" s="1952"/>
      <c r="DF30" s="1952"/>
      <c r="DG30" s="1952"/>
      <c r="DH30" s="1952"/>
      <c r="DI30" s="1952"/>
      <c r="DJ30" s="1952"/>
      <c r="DK30" s="1952"/>
      <c r="DL30" s="1952"/>
      <c r="DM30" s="1952"/>
      <c r="DN30" s="1952"/>
      <c r="DO30" s="1952"/>
      <c r="DP30" s="1952"/>
      <c r="DQ30" s="1952"/>
      <c r="DR30" s="1952"/>
      <c r="DS30" s="1952"/>
      <c r="DT30" s="1952"/>
      <c r="DU30" s="1952"/>
      <c r="DV30" s="1952"/>
      <c r="DW30" s="1952"/>
      <c r="DX30" s="1952"/>
      <c r="DY30" s="1952"/>
      <c r="DZ30" s="1952"/>
      <c r="EA30" s="1952"/>
      <c r="EB30" s="1952"/>
      <c r="EC30" s="1952"/>
      <c r="ED30" s="1952"/>
      <c r="EE30" s="1952"/>
      <c r="EF30" s="1952"/>
      <c r="EG30" s="1952"/>
      <c r="EH30" s="1952"/>
      <c r="EI30" s="1952"/>
      <c r="EJ30" s="1952"/>
      <c r="EK30" s="1952"/>
      <c r="EL30" s="1952"/>
      <c r="EM30" s="1952"/>
      <c r="EN30" s="1952"/>
      <c r="EO30" s="1952"/>
      <c r="EP30" s="1952"/>
      <c r="EQ30" s="1952"/>
      <c r="ER30" s="1952"/>
      <c r="ES30" s="1952"/>
      <c r="ET30" s="1952"/>
      <c r="EU30" s="1952"/>
      <c r="EV30" s="1952"/>
      <c r="EW30" s="1952"/>
      <c r="EX30" s="1952"/>
      <c r="EY30" s="1952"/>
      <c r="EZ30" s="1952"/>
      <c r="FA30" s="1952"/>
      <c r="FB30" s="1952"/>
      <c r="FC30" s="1952"/>
      <c r="FD30" s="1952"/>
      <c r="FE30" s="1952"/>
      <c r="FF30" s="1952"/>
      <c r="FG30" s="1952"/>
      <c r="FH30" s="1952"/>
      <c r="FI30" s="1952"/>
      <c r="FJ30" s="1952"/>
      <c r="FK30" s="1952"/>
      <c r="FL30" s="1952"/>
      <c r="FM30" s="1952"/>
      <c r="FN30" s="1952"/>
      <c r="FO30" s="1952"/>
      <c r="FP30" s="1952"/>
      <c r="FQ30" s="1952"/>
      <c r="FR30" s="1952"/>
      <c r="FS30" s="1952"/>
      <c r="FT30" s="1952"/>
      <c r="FU30" s="1952"/>
      <c r="FV30" s="1952"/>
      <c r="FW30" s="1952"/>
      <c r="FX30" s="1952"/>
      <c r="FY30" s="1952"/>
      <c r="FZ30" s="1952"/>
      <c r="GA30" s="1952"/>
      <c r="GB30" s="1952"/>
      <c r="GC30" s="1952"/>
      <c r="GD30" s="1952"/>
      <c r="GE30" s="1952"/>
      <c r="GF30" s="1952"/>
      <c r="GG30" s="1952"/>
      <c r="GH30" s="1952"/>
      <c r="GI30" s="1952"/>
      <c r="GJ30" s="1952"/>
      <c r="GK30" s="1952"/>
      <c r="GL30" s="1952"/>
      <c r="GM30" s="1952"/>
      <c r="GN30" s="1952"/>
      <c r="GO30" s="1952"/>
      <c r="GP30" s="1952"/>
      <c r="GQ30" s="1952"/>
      <c r="GR30" s="1952"/>
      <c r="GS30" s="1952"/>
      <c r="GT30" s="1952"/>
      <c r="GU30" s="1952"/>
      <c r="GV30" s="1952"/>
      <c r="GW30" s="1952"/>
      <c r="GX30" s="1952"/>
      <c r="GY30" s="1952"/>
      <c r="GZ30" s="1952"/>
      <c r="HA30" s="1952"/>
      <c r="HB30" s="1952"/>
      <c r="HC30" s="1952"/>
      <c r="HD30" s="1952"/>
      <c r="HE30" s="1952"/>
      <c r="HF30" s="1952"/>
      <c r="HG30" s="1952"/>
      <c r="HH30" s="1952"/>
      <c r="HI30" s="1952"/>
      <c r="HJ30" s="1952"/>
      <c r="HK30" s="1952"/>
      <c r="HL30" s="1952"/>
      <c r="HM30" s="1952"/>
      <c r="HN30" s="1952"/>
      <c r="HO30" s="1952"/>
      <c r="HP30" s="1952"/>
      <c r="HQ30" s="1952"/>
      <c r="HR30" s="1952"/>
      <c r="HS30" s="1952"/>
      <c r="HT30" s="1952"/>
      <c r="HU30" s="1952"/>
      <c r="HV30" s="1952"/>
      <c r="HW30" s="1952"/>
      <c r="HX30" s="1952"/>
      <c r="HY30" s="1952"/>
      <c r="HZ30" s="1952"/>
      <c r="IA30" s="1952"/>
      <c r="IB30" s="1952"/>
      <c r="IC30" s="1952"/>
      <c r="ID30" s="1952"/>
      <c r="IE30" s="1952"/>
      <c r="IF30" s="1952"/>
      <c r="IG30" s="1952"/>
      <c r="IH30" s="1952"/>
      <c r="II30" s="1952"/>
      <c r="IJ30" s="1952"/>
      <c r="IK30" s="1952"/>
      <c r="IL30" s="1952"/>
      <c r="IM30" s="1952"/>
    </row>
    <row r="31" ht="51" spans="1:247">
      <c r="A31" s="1946" t="s">
        <v>236</v>
      </c>
      <c r="B31" s="1947">
        <f>审定资负表!C28</f>
        <v>50697993.93</v>
      </c>
      <c r="C31" s="1947">
        <f>审定资负表!D28</f>
        <v>2327419.91</v>
      </c>
      <c r="D31" s="1948">
        <f t="shared" si="0"/>
        <v>0.10447192275721</v>
      </c>
      <c r="E31" s="1949">
        <f t="shared" si="1"/>
        <v>48370574.02</v>
      </c>
      <c r="F31" s="1950">
        <f t="shared" si="2"/>
        <v>20.7829</v>
      </c>
      <c r="G31" s="1956" t="s">
        <v>2696</v>
      </c>
      <c r="H31" s="1952"/>
      <c r="I31" s="1952"/>
      <c r="J31" s="1952"/>
      <c r="K31" s="1952"/>
      <c r="L31" s="1952"/>
      <c r="M31" s="1952"/>
      <c r="N31" s="1952"/>
      <c r="O31" s="1952"/>
      <c r="P31" s="1952"/>
      <c r="Q31" s="1952"/>
      <c r="R31" s="1952"/>
      <c r="S31" s="1952"/>
      <c r="T31" s="1952"/>
      <c r="U31" s="1952"/>
      <c r="V31" s="1952"/>
      <c r="W31" s="1952"/>
      <c r="X31" s="1952"/>
      <c r="Y31" s="1952"/>
      <c r="Z31" s="1952"/>
      <c r="AA31" s="1952"/>
      <c r="AB31" s="1952"/>
      <c r="AC31" s="1952"/>
      <c r="AD31" s="1952"/>
      <c r="AE31" s="1952"/>
      <c r="AF31" s="1952"/>
      <c r="AG31" s="1952"/>
      <c r="AH31" s="1952"/>
      <c r="AI31" s="1952"/>
      <c r="AJ31" s="1952"/>
      <c r="AK31" s="1952"/>
      <c r="AL31" s="1952"/>
      <c r="AM31" s="1952"/>
      <c r="AN31" s="1952"/>
      <c r="AO31" s="1952"/>
      <c r="AP31" s="1952"/>
      <c r="AQ31" s="1952"/>
      <c r="AR31" s="1952"/>
      <c r="AS31" s="1952"/>
      <c r="AT31" s="1952"/>
      <c r="AU31" s="1952"/>
      <c r="AV31" s="1952"/>
      <c r="AW31" s="1952"/>
      <c r="AX31" s="1952"/>
      <c r="AY31" s="1952"/>
      <c r="AZ31" s="1952"/>
      <c r="BA31" s="1952"/>
      <c r="BB31" s="1952"/>
      <c r="BC31" s="1952"/>
      <c r="BD31" s="1952"/>
      <c r="BE31" s="1952"/>
      <c r="BF31" s="1952"/>
      <c r="BG31" s="1952"/>
      <c r="BH31" s="1952"/>
      <c r="BI31" s="1952"/>
      <c r="BJ31" s="1952"/>
      <c r="BK31" s="1952"/>
      <c r="BL31" s="1952"/>
      <c r="BM31" s="1952"/>
      <c r="BN31" s="1952"/>
      <c r="BO31" s="1952"/>
      <c r="BP31" s="1952"/>
      <c r="BQ31" s="1952"/>
      <c r="BR31" s="1952"/>
      <c r="BS31" s="1952"/>
      <c r="BT31" s="1952"/>
      <c r="BU31" s="1952"/>
      <c r="BV31" s="1952"/>
      <c r="BW31" s="1952"/>
      <c r="BX31" s="1952"/>
      <c r="BY31" s="1952"/>
      <c r="BZ31" s="1952"/>
      <c r="CA31" s="1952"/>
      <c r="CB31" s="1952"/>
      <c r="CC31" s="1952"/>
      <c r="CD31" s="1952"/>
      <c r="CE31" s="1952"/>
      <c r="CF31" s="1952"/>
      <c r="CG31" s="1952"/>
      <c r="CH31" s="1952"/>
      <c r="CI31" s="1952"/>
      <c r="CJ31" s="1952"/>
      <c r="CK31" s="1952"/>
      <c r="CL31" s="1952"/>
      <c r="CM31" s="1952"/>
      <c r="CN31" s="1952"/>
      <c r="CO31" s="1952"/>
      <c r="CP31" s="1952"/>
      <c r="CQ31" s="1952"/>
      <c r="CR31" s="1952"/>
      <c r="CS31" s="1952"/>
      <c r="CT31" s="1952"/>
      <c r="CU31" s="1952"/>
      <c r="CV31" s="1952"/>
      <c r="CW31" s="1952"/>
      <c r="CX31" s="1952"/>
      <c r="CY31" s="1952"/>
      <c r="CZ31" s="1952"/>
      <c r="DA31" s="1952"/>
      <c r="DB31" s="1952"/>
      <c r="DC31" s="1952"/>
      <c r="DD31" s="1952"/>
      <c r="DE31" s="1952"/>
      <c r="DF31" s="1952"/>
      <c r="DG31" s="1952"/>
      <c r="DH31" s="1952"/>
      <c r="DI31" s="1952"/>
      <c r="DJ31" s="1952"/>
      <c r="DK31" s="1952"/>
      <c r="DL31" s="1952"/>
      <c r="DM31" s="1952"/>
      <c r="DN31" s="1952"/>
      <c r="DO31" s="1952"/>
      <c r="DP31" s="1952"/>
      <c r="DQ31" s="1952"/>
      <c r="DR31" s="1952"/>
      <c r="DS31" s="1952"/>
      <c r="DT31" s="1952"/>
      <c r="DU31" s="1952"/>
      <c r="DV31" s="1952"/>
      <c r="DW31" s="1952"/>
      <c r="DX31" s="1952"/>
      <c r="DY31" s="1952"/>
      <c r="DZ31" s="1952"/>
      <c r="EA31" s="1952"/>
      <c r="EB31" s="1952"/>
      <c r="EC31" s="1952"/>
      <c r="ED31" s="1952"/>
      <c r="EE31" s="1952"/>
      <c r="EF31" s="1952"/>
      <c r="EG31" s="1952"/>
      <c r="EH31" s="1952"/>
      <c r="EI31" s="1952"/>
      <c r="EJ31" s="1952"/>
      <c r="EK31" s="1952"/>
      <c r="EL31" s="1952"/>
      <c r="EM31" s="1952"/>
      <c r="EN31" s="1952"/>
      <c r="EO31" s="1952"/>
      <c r="EP31" s="1952"/>
      <c r="EQ31" s="1952"/>
      <c r="ER31" s="1952"/>
      <c r="ES31" s="1952"/>
      <c r="ET31" s="1952"/>
      <c r="EU31" s="1952"/>
      <c r="EV31" s="1952"/>
      <c r="EW31" s="1952"/>
      <c r="EX31" s="1952"/>
      <c r="EY31" s="1952"/>
      <c r="EZ31" s="1952"/>
      <c r="FA31" s="1952"/>
      <c r="FB31" s="1952"/>
      <c r="FC31" s="1952"/>
      <c r="FD31" s="1952"/>
      <c r="FE31" s="1952"/>
      <c r="FF31" s="1952"/>
      <c r="FG31" s="1952"/>
      <c r="FH31" s="1952"/>
      <c r="FI31" s="1952"/>
      <c r="FJ31" s="1952"/>
      <c r="FK31" s="1952"/>
      <c r="FL31" s="1952"/>
      <c r="FM31" s="1952"/>
      <c r="FN31" s="1952"/>
      <c r="FO31" s="1952"/>
      <c r="FP31" s="1952"/>
      <c r="FQ31" s="1952"/>
      <c r="FR31" s="1952"/>
      <c r="FS31" s="1952"/>
      <c r="FT31" s="1952"/>
      <c r="FU31" s="1952"/>
      <c r="FV31" s="1952"/>
      <c r="FW31" s="1952"/>
      <c r="FX31" s="1952"/>
      <c r="FY31" s="1952"/>
      <c r="FZ31" s="1952"/>
      <c r="GA31" s="1952"/>
      <c r="GB31" s="1952"/>
      <c r="GC31" s="1952"/>
      <c r="GD31" s="1952"/>
      <c r="GE31" s="1952"/>
      <c r="GF31" s="1952"/>
      <c r="GG31" s="1952"/>
      <c r="GH31" s="1952"/>
      <c r="GI31" s="1952"/>
      <c r="GJ31" s="1952"/>
      <c r="GK31" s="1952"/>
      <c r="GL31" s="1952"/>
      <c r="GM31" s="1952"/>
      <c r="GN31" s="1952"/>
      <c r="GO31" s="1952"/>
      <c r="GP31" s="1952"/>
      <c r="GQ31" s="1952"/>
      <c r="GR31" s="1952"/>
      <c r="GS31" s="1952"/>
      <c r="GT31" s="1952"/>
      <c r="GU31" s="1952"/>
      <c r="GV31" s="1952"/>
      <c r="GW31" s="1952"/>
      <c r="GX31" s="1952"/>
      <c r="GY31" s="1952"/>
      <c r="GZ31" s="1952"/>
      <c r="HA31" s="1952"/>
      <c r="HB31" s="1952"/>
      <c r="HC31" s="1952"/>
      <c r="HD31" s="1952"/>
      <c r="HE31" s="1952"/>
      <c r="HF31" s="1952"/>
      <c r="HG31" s="1952"/>
      <c r="HH31" s="1952"/>
      <c r="HI31" s="1952"/>
      <c r="HJ31" s="1952"/>
      <c r="HK31" s="1952"/>
      <c r="HL31" s="1952"/>
      <c r="HM31" s="1952"/>
      <c r="HN31" s="1952"/>
      <c r="HO31" s="1952"/>
      <c r="HP31" s="1952"/>
      <c r="HQ31" s="1952"/>
      <c r="HR31" s="1952"/>
      <c r="HS31" s="1952"/>
      <c r="HT31" s="1952"/>
      <c r="HU31" s="1952"/>
      <c r="HV31" s="1952"/>
      <c r="HW31" s="1952"/>
      <c r="HX31" s="1952"/>
      <c r="HY31" s="1952"/>
      <c r="HZ31" s="1952"/>
      <c r="IA31" s="1952"/>
      <c r="IB31" s="1952"/>
      <c r="IC31" s="1952"/>
      <c r="ID31" s="1952"/>
      <c r="IE31" s="1952"/>
      <c r="IF31" s="1952"/>
      <c r="IG31" s="1952"/>
      <c r="IH31" s="1952"/>
      <c r="II31" s="1952"/>
      <c r="IJ31" s="1952"/>
      <c r="IK31" s="1952"/>
      <c r="IL31" s="1952"/>
      <c r="IM31" s="1952"/>
    </row>
    <row r="32" ht="16.5" spans="1:247">
      <c r="A32" s="1946" t="s">
        <v>238</v>
      </c>
      <c r="B32" s="1947">
        <f>审定资负表!C29</f>
        <v>0</v>
      </c>
      <c r="C32" s="1947">
        <f>审定资负表!D29</f>
        <v>0</v>
      </c>
      <c r="D32" s="1948" t="str">
        <f t="shared" si="0"/>
        <v> </v>
      </c>
      <c r="E32" s="1949">
        <f t="shared" si="1"/>
        <v>0</v>
      </c>
      <c r="F32" s="1950">
        <f t="shared" si="2"/>
        <v>0</v>
      </c>
      <c r="G32" s="1956"/>
      <c r="H32" s="1952"/>
      <c r="I32" s="1952"/>
      <c r="J32" s="1952"/>
      <c r="K32" s="1952"/>
      <c r="L32" s="1952"/>
      <c r="M32" s="1952"/>
      <c r="N32" s="1952"/>
      <c r="O32" s="1952"/>
      <c r="P32" s="1952"/>
      <c r="Q32" s="1952"/>
      <c r="R32" s="1952"/>
      <c r="S32" s="1952"/>
      <c r="T32" s="1952"/>
      <c r="U32" s="1952"/>
      <c r="V32" s="1952"/>
      <c r="W32" s="1952"/>
      <c r="X32" s="1952"/>
      <c r="Y32" s="1952"/>
      <c r="Z32" s="1952"/>
      <c r="AA32" s="1952"/>
      <c r="AB32" s="1952"/>
      <c r="AC32" s="1952"/>
      <c r="AD32" s="1952"/>
      <c r="AE32" s="1952"/>
      <c r="AF32" s="1952"/>
      <c r="AG32" s="1952"/>
      <c r="AH32" s="1952"/>
      <c r="AI32" s="1952"/>
      <c r="AJ32" s="1952"/>
      <c r="AK32" s="1952"/>
      <c r="AL32" s="1952"/>
      <c r="AM32" s="1952"/>
      <c r="AN32" s="1952"/>
      <c r="AO32" s="1952"/>
      <c r="AP32" s="1952"/>
      <c r="AQ32" s="1952"/>
      <c r="AR32" s="1952"/>
      <c r="AS32" s="1952"/>
      <c r="AT32" s="1952"/>
      <c r="AU32" s="1952"/>
      <c r="AV32" s="1952"/>
      <c r="AW32" s="1952"/>
      <c r="AX32" s="1952"/>
      <c r="AY32" s="1952"/>
      <c r="AZ32" s="1952"/>
      <c r="BA32" s="1952"/>
      <c r="BB32" s="1952"/>
      <c r="BC32" s="1952"/>
      <c r="BD32" s="1952"/>
      <c r="BE32" s="1952"/>
      <c r="BF32" s="1952"/>
      <c r="BG32" s="1952"/>
      <c r="BH32" s="1952"/>
      <c r="BI32" s="1952"/>
      <c r="BJ32" s="1952"/>
      <c r="BK32" s="1952"/>
      <c r="BL32" s="1952"/>
      <c r="BM32" s="1952"/>
      <c r="BN32" s="1952"/>
      <c r="BO32" s="1952"/>
      <c r="BP32" s="1952"/>
      <c r="BQ32" s="1952"/>
      <c r="BR32" s="1952"/>
      <c r="BS32" s="1952"/>
      <c r="BT32" s="1952"/>
      <c r="BU32" s="1952"/>
      <c r="BV32" s="1952"/>
      <c r="BW32" s="1952"/>
      <c r="BX32" s="1952"/>
      <c r="BY32" s="1952"/>
      <c r="BZ32" s="1952"/>
      <c r="CA32" s="1952"/>
      <c r="CB32" s="1952"/>
      <c r="CC32" s="1952"/>
      <c r="CD32" s="1952"/>
      <c r="CE32" s="1952"/>
      <c r="CF32" s="1952"/>
      <c r="CG32" s="1952"/>
      <c r="CH32" s="1952"/>
      <c r="CI32" s="1952"/>
      <c r="CJ32" s="1952"/>
      <c r="CK32" s="1952"/>
      <c r="CL32" s="1952"/>
      <c r="CM32" s="1952"/>
      <c r="CN32" s="1952"/>
      <c r="CO32" s="1952"/>
      <c r="CP32" s="1952"/>
      <c r="CQ32" s="1952"/>
      <c r="CR32" s="1952"/>
      <c r="CS32" s="1952"/>
      <c r="CT32" s="1952"/>
      <c r="CU32" s="1952"/>
      <c r="CV32" s="1952"/>
      <c r="CW32" s="1952"/>
      <c r="CX32" s="1952"/>
      <c r="CY32" s="1952"/>
      <c r="CZ32" s="1952"/>
      <c r="DA32" s="1952"/>
      <c r="DB32" s="1952"/>
      <c r="DC32" s="1952"/>
      <c r="DD32" s="1952"/>
      <c r="DE32" s="1952"/>
      <c r="DF32" s="1952"/>
      <c r="DG32" s="1952"/>
      <c r="DH32" s="1952"/>
      <c r="DI32" s="1952"/>
      <c r="DJ32" s="1952"/>
      <c r="DK32" s="1952"/>
      <c r="DL32" s="1952"/>
      <c r="DM32" s="1952"/>
      <c r="DN32" s="1952"/>
      <c r="DO32" s="1952"/>
      <c r="DP32" s="1952"/>
      <c r="DQ32" s="1952"/>
      <c r="DR32" s="1952"/>
      <c r="DS32" s="1952"/>
      <c r="DT32" s="1952"/>
      <c r="DU32" s="1952"/>
      <c r="DV32" s="1952"/>
      <c r="DW32" s="1952"/>
      <c r="DX32" s="1952"/>
      <c r="DY32" s="1952"/>
      <c r="DZ32" s="1952"/>
      <c r="EA32" s="1952"/>
      <c r="EB32" s="1952"/>
      <c r="EC32" s="1952"/>
      <c r="ED32" s="1952"/>
      <c r="EE32" s="1952"/>
      <c r="EF32" s="1952"/>
      <c r="EG32" s="1952"/>
      <c r="EH32" s="1952"/>
      <c r="EI32" s="1952"/>
      <c r="EJ32" s="1952"/>
      <c r="EK32" s="1952"/>
      <c r="EL32" s="1952"/>
      <c r="EM32" s="1952"/>
      <c r="EN32" s="1952"/>
      <c r="EO32" s="1952"/>
      <c r="EP32" s="1952"/>
      <c r="EQ32" s="1952"/>
      <c r="ER32" s="1952"/>
      <c r="ES32" s="1952"/>
      <c r="ET32" s="1952"/>
      <c r="EU32" s="1952"/>
      <c r="EV32" s="1952"/>
      <c r="EW32" s="1952"/>
      <c r="EX32" s="1952"/>
      <c r="EY32" s="1952"/>
      <c r="EZ32" s="1952"/>
      <c r="FA32" s="1952"/>
      <c r="FB32" s="1952"/>
      <c r="FC32" s="1952"/>
      <c r="FD32" s="1952"/>
      <c r="FE32" s="1952"/>
      <c r="FF32" s="1952"/>
      <c r="FG32" s="1952"/>
      <c r="FH32" s="1952"/>
      <c r="FI32" s="1952"/>
      <c r="FJ32" s="1952"/>
      <c r="FK32" s="1952"/>
      <c r="FL32" s="1952"/>
      <c r="FM32" s="1952"/>
      <c r="FN32" s="1952"/>
      <c r="FO32" s="1952"/>
      <c r="FP32" s="1952"/>
      <c r="FQ32" s="1952"/>
      <c r="FR32" s="1952"/>
      <c r="FS32" s="1952"/>
      <c r="FT32" s="1952"/>
      <c r="FU32" s="1952"/>
      <c r="FV32" s="1952"/>
      <c r="FW32" s="1952"/>
      <c r="FX32" s="1952"/>
      <c r="FY32" s="1952"/>
      <c r="FZ32" s="1952"/>
      <c r="GA32" s="1952"/>
      <c r="GB32" s="1952"/>
      <c r="GC32" s="1952"/>
      <c r="GD32" s="1952"/>
      <c r="GE32" s="1952"/>
      <c r="GF32" s="1952"/>
      <c r="GG32" s="1952"/>
      <c r="GH32" s="1952"/>
      <c r="GI32" s="1952"/>
      <c r="GJ32" s="1952"/>
      <c r="GK32" s="1952"/>
      <c r="GL32" s="1952"/>
      <c r="GM32" s="1952"/>
      <c r="GN32" s="1952"/>
      <c r="GO32" s="1952"/>
      <c r="GP32" s="1952"/>
      <c r="GQ32" s="1952"/>
      <c r="GR32" s="1952"/>
      <c r="GS32" s="1952"/>
      <c r="GT32" s="1952"/>
      <c r="GU32" s="1952"/>
      <c r="GV32" s="1952"/>
      <c r="GW32" s="1952"/>
      <c r="GX32" s="1952"/>
      <c r="GY32" s="1952"/>
      <c r="GZ32" s="1952"/>
      <c r="HA32" s="1952"/>
      <c r="HB32" s="1952"/>
      <c r="HC32" s="1952"/>
      <c r="HD32" s="1952"/>
      <c r="HE32" s="1952"/>
      <c r="HF32" s="1952"/>
      <c r="HG32" s="1952"/>
      <c r="HH32" s="1952"/>
      <c r="HI32" s="1952"/>
      <c r="HJ32" s="1952"/>
      <c r="HK32" s="1952"/>
      <c r="HL32" s="1952"/>
      <c r="HM32" s="1952"/>
      <c r="HN32" s="1952"/>
      <c r="HO32" s="1952"/>
      <c r="HP32" s="1952"/>
      <c r="HQ32" s="1952"/>
      <c r="HR32" s="1952"/>
      <c r="HS32" s="1952"/>
      <c r="HT32" s="1952"/>
      <c r="HU32" s="1952"/>
      <c r="HV32" s="1952"/>
      <c r="HW32" s="1952"/>
      <c r="HX32" s="1952"/>
      <c r="HY32" s="1952"/>
      <c r="HZ32" s="1952"/>
      <c r="IA32" s="1952"/>
      <c r="IB32" s="1952"/>
      <c r="IC32" s="1952"/>
      <c r="ID32" s="1952"/>
      <c r="IE32" s="1952"/>
      <c r="IF32" s="1952"/>
      <c r="IG32" s="1952"/>
      <c r="IH32" s="1952"/>
      <c r="II32" s="1952"/>
      <c r="IJ32" s="1952"/>
      <c r="IK32" s="1952"/>
      <c r="IL32" s="1952"/>
      <c r="IM32" s="1952"/>
    </row>
    <row r="33" ht="16.5" spans="1:247">
      <c r="A33" s="1946" t="s">
        <v>240</v>
      </c>
      <c r="B33" s="1947">
        <f>审定资负表!C30</f>
        <v>0</v>
      </c>
      <c r="C33" s="1947">
        <f>审定资负表!D30</f>
        <v>0</v>
      </c>
      <c r="D33" s="1948" t="str">
        <f t="shared" si="0"/>
        <v> </v>
      </c>
      <c r="E33" s="1949">
        <f t="shared" si="1"/>
        <v>0</v>
      </c>
      <c r="F33" s="1950">
        <f t="shared" si="2"/>
        <v>0</v>
      </c>
      <c r="G33" s="1956"/>
      <c r="H33" s="1952"/>
      <c r="I33" s="1952"/>
      <c r="J33" s="1952"/>
      <c r="K33" s="1952"/>
      <c r="L33" s="1952"/>
      <c r="M33" s="1952"/>
      <c r="N33" s="1952"/>
      <c r="O33" s="1952"/>
      <c r="P33" s="1952"/>
      <c r="Q33" s="1952"/>
      <c r="R33" s="1952"/>
      <c r="S33" s="1952"/>
      <c r="T33" s="1952"/>
      <c r="U33" s="1952"/>
      <c r="V33" s="1952"/>
      <c r="W33" s="1952"/>
      <c r="X33" s="1952"/>
      <c r="Y33" s="1952"/>
      <c r="Z33" s="1952"/>
      <c r="AA33" s="1952"/>
      <c r="AB33" s="1952"/>
      <c r="AC33" s="1952"/>
      <c r="AD33" s="1952"/>
      <c r="AE33" s="1952"/>
      <c r="AF33" s="1952"/>
      <c r="AG33" s="1952"/>
      <c r="AH33" s="1952"/>
      <c r="AI33" s="1952"/>
      <c r="AJ33" s="1952"/>
      <c r="AK33" s="1952"/>
      <c r="AL33" s="1952"/>
      <c r="AM33" s="1952"/>
      <c r="AN33" s="1952"/>
      <c r="AO33" s="1952"/>
      <c r="AP33" s="1952"/>
      <c r="AQ33" s="1952"/>
      <c r="AR33" s="1952"/>
      <c r="AS33" s="1952"/>
      <c r="AT33" s="1952"/>
      <c r="AU33" s="1952"/>
      <c r="AV33" s="1952"/>
      <c r="AW33" s="1952"/>
      <c r="AX33" s="1952"/>
      <c r="AY33" s="1952"/>
      <c r="AZ33" s="1952"/>
      <c r="BA33" s="1952"/>
      <c r="BB33" s="1952"/>
      <c r="BC33" s="1952"/>
      <c r="BD33" s="1952"/>
      <c r="BE33" s="1952"/>
      <c r="BF33" s="1952"/>
      <c r="BG33" s="1952"/>
      <c r="BH33" s="1952"/>
      <c r="BI33" s="1952"/>
      <c r="BJ33" s="1952"/>
      <c r="BK33" s="1952"/>
      <c r="BL33" s="1952"/>
      <c r="BM33" s="1952"/>
      <c r="BN33" s="1952"/>
      <c r="BO33" s="1952"/>
      <c r="BP33" s="1952"/>
      <c r="BQ33" s="1952"/>
      <c r="BR33" s="1952"/>
      <c r="BS33" s="1952"/>
      <c r="BT33" s="1952"/>
      <c r="BU33" s="1952"/>
      <c r="BV33" s="1952"/>
      <c r="BW33" s="1952"/>
      <c r="BX33" s="1952"/>
      <c r="BY33" s="1952"/>
      <c r="BZ33" s="1952"/>
      <c r="CA33" s="1952"/>
      <c r="CB33" s="1952"/>
      <c r="CC33" s="1952"/>
      <c r="CD33" s="1952"/>
      <c r="CE33" s="1952"/>
      <c r="CF33" s="1952"/>
      <c r="CG33" s="1952"/>
      <c r="CH33" s="1952"/>
      <c r="CI33" s="1952"/>
      <c r="CJ33" s="1952"/>
      <c r="CK33" s="1952"/>
      <c r="CL33" s="1952"/>
      <c r="CM33" s="1952"/>
      <c r="CN33" s="1952"/>
      <c r="CO33" s="1952"/>
      <c r="CP33" s="1952"/>
      <c r="CQ33" s="1952"/>
      <c r="CR33" s="1952"/>
      <c r="CS33" s="1952"/>
      <c r="CT33" s="1952"/>
      <c r="CU33" s="1952"/>
      <c r="CV33" s="1952"/>
      <c r="CW33" s="1952"/>
      <c r="CX33" s="1952"/>
      <c r="CY33" s="1952"/>
      <c r="CZ33" s="1952"/>
      <c r="DA33" s="1952"/>
      <c r="DB33" s="1952"/>
      <c r="DC33" s="1952"/>
      <c r="DD33" s="1952"/>
      <c r="DE33" s="1952"/>
      <c r="DF33" s="1952"/>
      <c r="DG33" s="1952"/>
      <c r="DH33" s="1952"/>
      <c r="DI33" s="1952"/>
      <c r="DJ33" s="1952"/>
      <c r="DK33" s="1952"/>
      <c r="DL33" s="1952"/>
      <c r="DM33" s="1952"/>
      <c r="DN33" s="1952"/>
      <c r="DO33" s="1952"/>
      <c r="DP33" s="1952"/>
      <c r="DQ33" s="1952"/>
      <c r="DR33" s="1952"/>
      <c r="DS33" s="1952"/>
      <c r="DT33" s="1952"/>
      <c r="DU33" s="1952"/>
      <c r="DV33" s="1952"/>
      <c r="DW33" s="1952"/>
      <c r="DX33" s="1952"/>
      <c r="DY33" s="1952"/>
      <c r="DZ33" s="1952"/>
      <c r="EA33" s="1952"/>
      <c r="EB33" s="1952"/>
      <c r="EC33" s="1952"/>
      <c r="ED33" s="1952"/>
      <c r="EE33" s="1952"/>
      <c r="EF33" s="1952"/>
      <c r="EG33" s="1952"/>
      <c r="EH33" s="1952"/>
      <c r="EI33" s="1952"/>
      <c r="EJ33" s="1952"/>
      <c r="EK33" s="1952"/>
      <c r="EL33" s="1952"/>
      <c r="EM33" s="1952"/>
      <c r="EN33" s="1952"/>
      <c r="EO33" s="1952"/>
      <c r="EP33" s="1952"/>
      <c r="EQ33" s="1952"/>
      <c r="ER33" s="1952"/>
      <c r="ES33" s="1952"/>
      <c r="ET33" s="1952"/>
      <c r="EU33" s="1952"/>
      <c r="EV33" s="1952"/>
      <c r="EW33" s="1952"/>
      <c r="EX33" s="1952"/>
      <c r="EY33" s="1952"/>
      <c r="EZ33" s="1952"/>
      <c r="FA33" s="1952"/>
      <c r="FB33" s="1952"/>
      <c r="FC33" s="1952"/>
      <c r="FD33" s="1952"/>
      <c r="FE33" s="1952"/>
      <c r="FF33" s="1952"/>
      <c r="FG33" s="1952"/>
      <c r="FH33" s="1952"/>
      <c r="FI33" s="1952"/>
      <c r="FJ33" s="1952"/>
      <c r="FK33" s="1952"/>
      <c r="FL33" s="1952"/>
      <c r="FM33" s="1952"/>
      <c r="FN33" s="1952"/>
      <c r="FO33" s="1952"/>
      <c r="FP33" s="1952"/>
      <c r="FQ33" s="1952"/>
      <c r="FR33" s="1952"/>
      <c r="FS33" s="1952"/>
      <c r="FT33" s="1952"/>
      <c r="FU33" s="1952"/>
      <c r="FV33" s="1952"/>
      <c r="FW33" s="1952"/>
      <c r="FX33" s="1952"/>
      <c r="FY33" s="1952"/>
      <c r="FZ33" s="1952"/>
      <c r="GA33" s="1952"/>
      <c r="GB33" s="1952"/>
      <c r="GC33" s="1952"/>
      <c r="GD33" s="1952"/>
      <c r="GE33" s="1952"/>
      <c r="GF33" s="1952"/>
      <c r="GG33" s="1952"/>
      <c r="GH33" s="1952"/>
      <c r="GI33" s="1952"/>
      <c r="GJ33" s="1952"/>
      <c r="GK33" s="1952"/>
      <c r="GL33" s="1952"/>
      <c r="GM33" s="1952"/>
      <c r="GN33" s="1952"/>
      <c r="GO33" s="1952"/>
      <c r="GP33" s="1952"/>
      <c r="GQ33" s="1952"/>
      <c r="GR33" s="1952"/>
      <c r="GS33" s="1952"/>
      <c r="GT33" s="1952"/>
      <c r="GU33" s="1952"/>
      <c r="GV33" s="1952"/>
      <c r="GW33" s="1952"/>
      <c r="GX33" s="1952"/>
      <c r="GY33" s="1952"/>
      <c r="GZ33" s="1952"/>
      <c r="HA33" s="1952"/>
      <c r="HB33" s="1952"/>
      <c r="HC33" s="1952"/>
      <c r="HD33" s="1952"/>
      <c r="HE33" s="1952"/>
      <c r="HF33" s="1952"/>
      <c r="HG33" s="1952"/>
      <c r="HH33" s="1952"/>
      <c r="HI33" s="1952"/>
      <c r="HJ33" s="1952"/>
      <c r="HK33" s="1952"/>
      <c r="HL33" s="1952"/>
      <c r="HM33" s="1952"/>
      <c r="HN33" s="1952"/>
      <c r="HO33" s="1952"/>
      <c r="HP33" s="1952"/>
      <c r="HQ33" s="1952"/>
      <c r="HR33" s="1952"/>
      <c r="HS33" s="1952"/>
      <c r="HT33" s="1952"/>
      <c r="HU33" s="1952"/>
      <c r="HV33" s="1952"/>
      <c r="HW33" s="1952"/>
      <c r="HX33" s="1952"/>
      <c r="HY33" s="1952"/>
      <c r="HZ33" s="1952"/>
      <c r="IA33" s="1952"/>
      <c r="IB33" s="1952"/>
      <c r="IC33" s="1952"/>
      <c r="ID33" s="1952"/>
      <c r="IE33" s="1952"/>
      <c r="IF33" s="1952"/>
      <c r="IG33" s="1952"/>
      <c r="IH33" s="1952"/>
      <c r="II33" s="1952"/>
      <c r="IJ33" s="1952"/>
      <c r="IK33" s="1952"/>
      <c r="IL33" s="1952"/>
      <c r="IM33" s="1952"/>
    </row>
    <row r="34" ht="16.5" spans="1:247">
      <c r="A34" s="1946" t="s">
        <v>242</v>
      </c>
      <c r="B34" s="1947">
        <f>审定资负表!C31</f>
        <v>0</v>
      </c>
      <c r="C34" s="1947">
        <f>审定资负表!D31</f>
        <v>0</v>
      </c>
      <c r="D34" s="1948" t="str">
        <f t="shared" si="0"/>
        <v> </v>
      </c>
      <c r="E34" s="1949">
        <f t="shared" si="1"/>
        <v>0</v>
      </c>
      <c r="F34" s="1950">
        <f t="shared" si="2"/>
        <v>0</v>
      </c>
      <c r="G34" s="1956"/>
      <c r="H34" s="1952"/>
      <c r="I34" s="1952"/>
      <c r="J34" s="1952"/>
      <c r="K34" s="1952"/>
      <c r="L34" s="1952"/>
      <c r="M34" s="1952"/>
      <c r="N34" s="1952"/>
      <c r="O34" s="1952"/>
      <c r="P34" s="1952"/>
      <c r="Q34" s="1952"/>
      <c r="R34" s="1952"/>
      <c r="S34" s="1952"/>
      <c r="T34" s="1952"/>
      <c r="U34" s="1952"/>
      <c r="V34" s="1952"/>
      <c r="W34" s="1952"/>
      <c r="X34" s="1952"/>
      <c r="Y34" s="1952"/>
      <c r="Z34" s="1952"/>
      <c r="AA34" s="1952"/>
      <c r="AB34" s="1952"/>
      <c r="AC34" s="1952"/>
      <c r="AD34" s="1952"/>
      <c r="AE34" s="1952"/>
      <c r="AF34" s="1952"/>
      <c r="AG34" s="1952"/>
      <c r="AH34" s="1952"/>
      <c r="AI34" s="1952"/>
      <c r="AJ34" s="1952"/>
      <c r="AK34" s="1952"/>
      <c r="AL34" s="1952"/>
      <c r="AM34" s="1952"/>
      <c r="AN34" s="1952"/>
      <c r="AO34" s="1952"/>
      <c r="AP34" s="1952"/>
      <c r="AQ34" s="1952"/>
      <c r="AR34" s="1952"/>
      <c r="AS34" s="1952"/>
      <c r="AT34" s="1952"/>
      <c r="AU34" s="1952"/>
      <c r="AV34" s="1952"/>
      <c r="AW34" s="1952"/>
      <c r="AX34" s="1952"/>
      <c r="AY34" s="1952"/>
      <c r="AZ34" s="1952"/>
      <c r="BA34" s="1952"/>
      <c r="BB34" s="1952"/>
      <c r="BC34" s="1952"/>
      <c r="BD34" s="1952"/>
      <c r="BE34" s="1952"/>
      <c r="BF34" s="1952"/>
      <c r="BG34" s="1952"/>
      <c r="BH34" s="1952"/>
      <c r="BI34" s="1952"/>
      <c r="BJ34" s="1952"/>
      <c r="BK34" s="1952"/>
      <c r="BL34" s="1952"/>
      <c r="BM34" s="1952"/>
      <c r="BN34" s="1952"/>
      <c r="BO34" s="1952"/>
      <c r="BP34" s="1952"/>
      <c r="BQ34" s="1952"/>
      <c r="BR34" s="1952"/>
      <c r="BS34" s="1952"/>
      <c r="BT34" s="1952"/>
      <c r="BU34" s="1952"/>
      <c r="BV34" s="1952"/>
      <c r="BW34" s="1952"/>
      <c r="BX34" s="1952"/>
      <c r="BY34" s="1952"/>
      <c r="BZ34" s="1952"/>
      <c r="CA34" s="1952"/>
      <c r="CB34" s="1952"/>
      <c r="CC34" s="1952"/>
      <c r="CD34" s="1952"/>
      <c r="CE34" s="1952"/>
      <c r="CF34" s="1952"/>
      <c r="CG34" s="1952"/>
      <c r="CH34" s="1952"/>
      <c r="CI34" s="1952"/>
      <c r="CJ34" s="1952"/>
      <c r="CK34" s="1952"/>
      <c r="CL34" s="1952"/>
      <c r="CM34" s="1952"/>
      <c r="CN34" s="1952"/>
      <c r="CO34" s="1952"/>
      <c r="CP34" s="1952"/>
      <c r="CQ34" s="1952"/>
      <c r="CR34" s="1952"/>
      <c r="CS34" s="1952"/>
      <c r="CT34" s="1952"/>
      <c r="CU34" s="1952"/>
      <c r="CV34" s="1952"/>
      <c r="CW34" s="1952"/>
      <c r="CX34" s="1952"/>
      <c r="CY34" s="1952"/>
      <c r="CZ34" s="1952"/>
      <c r="DA34" s="1952"/>
      <c r="DB34" s="1952"/>
      <c r="DC34" s="1952"/>
      <c r="DD34" s="1952"/>
      <c r="DE34" s="1952"/>
      <c r="DF34" s="1952"/>
      <c r="DG34" s="1952"/>
      <c r="DH34" s="1952"/>
      <c r="DI34" s="1952"/>
      <c r="DJ34" s="1952"/>
      <c r="DK34" s="1952"/>
      <c r="DL34" s="1952"/>
      <c r="DM34" s="1952"/>
      <c r="DN34" s="1952"/>
      <c r="DO34" s="1952"/>
      <c r="DP34" s="1952"/>
      <c r="DQ34" s="1952"/>
      <c r="DR34" s="1952"/>
      <c r="DS34" s="1952"/>
      <c r="DT34" s="1952"/>
      <c r="DU34" s="1952"/>
      <c r="DV34" s="1952"/>
      <c r="DW34" s="1952"/>
      <c r="DX34" s="1952"/>
      <c r="DY34" s="1952"/>
      <c r="DZ34" s="1952"/>
      <c r="EA34" s="1952"/>
      <c r="EB34" s="1952"/>
      <c r="EC34" s="1952"/>
      <c r="ED34" s="1952"/>
      <c r="EE34" s="1952"/>
      <c r="EF34" s="1952"/>
      <c r="EG34" s="1952"/>
      <c r="EH34" s="1952"/>
      <c r="EI34" s="1952"/>
      <c r="EJ34" s="1952"/>
      <c r="EK34" s="1952"/>
      <c r="EL34" s="1952"/>
      <c r="EM34" s="1952"/>
      <c r="EN34" s="1952"/>
      <c r="EO34" s="1952"/>
      <c r="EP34" s="1952"/>
      <c r="EQ34" s="1952"/>
      <c r="ER34" s="1952"/>
      <c r="ES34" s="1952"/>
      <c r="ET34" s="1952"/>
      <c r="EU34" s="1952"/>
      <c r="EV34" s="1952"/>
      <c r="EW34" s="1952"/>
      <c r="EX34" s="1952"/>
      <c r="EY34" s="1952"/>
      <c r="EZ34" s="1952"/>
      <c r="FA34" s="1952"/>
      <c r="FB34" s="1952"/>
      <c r="FC34" s="1952"/>
      <c r="FD34" s="1952"/>
      <c r="FE34" s="1952"/>
      <c r="FF34" s="1952"/>
      <c r="FG34" s="1952"/>
      <c r="FH34" s="1952"/>
      <c r="FI34" s="1952"/>
      <c r="FJ34" s="1952"/>
      <c r="FK34" s="1952"/>
      <c r="FL34" s="1952"/>
      <c r="FM34" s="1952"/>
      <c r="FN34" s="1952"/>
      <c r="FO34" s="1952"/>
      <c r="FP34" s="1952"/>
      <c r="FQ34" s="1952"/>
      <c r="FR34" s="1952"/>
      <c r="FS34" s="1952"/>
      <c r="FT34" s="1952"/>
      <c r="FU34" s="1952"/>
      <c r="FV34" s="1952"/>
      <c r="FW34" s="1952"/>
      <c r="FX34" s="1952"/>
      <c r="FY34" s="1952"/>
      <c r="FZ34" s="1952"/>
      <c r="GA34" s="1952"/>
      <c r="GB34" s="1952"/>
      <c r="GC34" s="1952"/>
      <c r="GD34" s="1952"/>
      <c r="GE34" s="1952"/>
      <c r="GF34" s="1952"/>
      <c r="GG34" s="1952"/>
      <c r="GH34" s="1952"/>
      <c r="GI34" s="1952"/>
      <c r="GJ34" s="1952"/>
      <c r="GK34" s="1952"/>
      <c r="GL34" s="1952"/>
      <c r="GM34" s="1952"/>
      <c r="GN34" s="1952"/>
      <c r="GO34" s="1952"/>
      <c r="GP34" s="1952"/>
      <c r="GQ34" s="1952"/>
      <c r="GR34" s="1952"/>
      <c r="GS34" s="1952"/>
      <c r="GT34" s="1952"/>
      <c r="GU34" s="1952"/>
      <c r="GV34" s="1952"/>
      <c r="GW34" s="1952"/>
      <c r="GX34" s="1952"/>
      <c r="GY34" s="1952"/>
      <c r="GZ34" s="1952"/>
      <c r="HA34" s="1952"/>
      <c r="HB34" s="1952"/>
      <c r="HC34" s="1952"/>
      <c r="HD34" s="1952"/>
      <c r="HE34" s="1952"/>
      <c r="HF34" s="1952"/>
      <c r="HG34" s="1952"/>
      <c r="HH34" s="1952"/>
      <c r="HI34" s="1952"/>
      <c r="HJ34" s="1952"/>
      <c r="HK34" s="1952"/>
      <c r="HL34" s="1952"/>
      <c r="HM34" s="1952"/>
      <c r="HN34" s="1952"/>
      <c r="HO34" s="1952"/>
      <c r="HP34" s="1952"/>
      <c r="HQ34" s="1952"/>
      <c r="HR34" s="1952"/>
      <c r="HS34" s="1952"/>
      <c r="HT34" s="1952"/>
      <c r="HU34" s="1952"/>
      <c r="HV34" s="1952"/>
      <c r="HW34" s="1952"/>
      <c r="HX34" s="1952"/>
      <c r="HY34" s="1952"/>
      <c r="HZ34" s="1952"/>
      <c r="IA34" s="1952"/>
      <c r="IB34" s="1952"/>
      <c r="IC34" s="1952"/>
      <c r="ID34" s="1952"/>
      <c r="IE34" s="1952"/>
      <c r="IF34" s="1952"/>
      <c r="IG34" s="1952"/>
      <c r="IH34" s="1952"/>
      <c r="II34" s="1952"/>
      <c r="IJ34" s="1952"/>
      <c r="IK34" s="1952"/>
      <c r="IL34" s="1952"/>
      <c r="IM34" s="1952"/>
    </row>
    <row r="35" ht="16.5" spans="1:247">
      <c r="A35" s="1946" t="s">
        <v>244</v>
      </c>
      <c r="B35" s="1947">
        <f>审定资负表!C32</f>
        <v>0</v>
      </c>
      <c r="C35" s="1947">
        <f>审定资负表!D32</f>
        <v>0</v>
      </c>
      <c r="D35" s="1948" t="str">
        <f t="shared" si="0"/>
        <v> </v>
      </c>
      <c r="E35" s="1949">
        <f t="shared" si="1"/>
        <v>0</v>
      </c>
      <c r="F35" s="1950">
        <f t="shared" si="2"/>
        <v>0</v>
      </c>
      <c r="G35" s="1956"/>
      <c r="H35" s="1952"/>
      <c r="I35" s="1952"/>
      <c r="J35" s="1952"/>
      <c r="K35" s="1952"/>
      <c r="L35" s="1952"/>
      <c r="M35" s="1952"/>
      <c r="N35" s="1952"/>
      <c r="O35" s="1952"/>
      <c r="P35" s="1952"/>
      <c r="Q35" s="1952"/>
      <c r="R35" s="1952"/>
      <c r="S35" s="1952"/>
      <c r="T35" s="1952"/>
      <c r="U35" s="1952"/>
      <c r="V35" s="1952"/>
      <c r="W35" s="1952"/>
      <c r="X35" s="1952"/>
      <c r="Y35" s="1952"/>
      <c r="Z35" s="1952"/>
      <c r="AA35" s="1952"/>
      <c r="AB35" s="1952"/>
      <c r="AC35" s="1952"/>
      <c r="AD35" s="1952"/>
      <c r="AE35" s="1952"/>
      <c r="AF35" s="1952"/>
      <c r="AG35" s="1952"/>
      <c r="AH35" s="1952"/>
      <c r="AI35" s="1952"/>
      <c r="AJ35" s="1952"/>
      <c r="AK35" s="1952"/>
      <c r="AL35" s="1952"/>
      <c r="AM35" s="1952"/>
      <c r="AN35" s="1952"/>
      <c r="AO35" s="1952"/>
      <c r="AP35" s="1952"/>
      <c r="AQ35" s="1952"/>
      <c r="AR35" s="1952"/>
      <c r="AS35" s="1952"/>
      <c r="AT35" s="1952"/>
      <c r="AU35" s="1952"/>
      <c r="AV35" s="1952"/>
      <c r="AW35" s="1952"/>
      <c r="AX35" s="1952"/>
      <c r="AY35" s="1952"/>
      <c r="AZ35" s="1952"/>
      <c r="BA35" s="1952"/>
      <c r="BB35" s="1952"/>
      <c r="BC35" s="1952"/>
      <c r="BD35" s="1952"/>
      <c r="BE35" s="1952"/>
      <c r="BF35" s="1952"/>
      <c r="BG35" s="1952"/>
      <c r="BH35" s="1952"/>
      <c r="BI35" s="1952"/>
      <c r="BJ35" s="1952"/>
      <c r="BK35" s="1952"/>
      <c r="BL35" s="1952"/>
      <c r="BM35" s="1952"/>
      <c r="BN35" s="1952"/>
      <c r="BO35" s="1952"/>
      <c r="BP35" s="1952"/>
      <c r="BQ35" s="1952"/>
      <c r="BR35" s="1952"/>
      <c r="BS35" s="1952"/>
      <c r="BT35" s="1952"/>
      <c r="BU35" s="1952"/>
      <c r="BV35" s="1952"/>
      <c r="BW35" s="1952"/>
      <c r="BX35" s="1952"/>
      <c r="BY35" s="1952"/>
      <c r="BZ35" s="1952"/>
      <c r="CA35" s="1952"/>
      <c r="CB35" s="1952"/>
      <c r="CC35" s="1952"/>
      <c r="CD35" s="1952"/>
      <c r="CE35" s="1952"/>
      <c r="CF35" s="1952"/>
      <c r="CG35" s="1952"/>
      <c r="CH35" s="1952"/>
      <c r="CI35" s="1952"/>
      <c r="CJ35" s="1952"/>
      <c r="CK35" s="1952"/>
      <c r="CL35" s="1952"/>
      <c r="CM35" s="1952"/>
      <c r="CN35" s="1952"/>
      <c r="CO35" s="1952"/>
      <c r="CP35" s="1952"/>
      <c r="CQ35" s="1952"/>
      <c r="CR35" s="1952"/>
      <c r="CS35" s="1952"/>
      <c r="CT35" s="1952"/>
      <c r="CU35" s="1952"/>
      <c r="CV35" s="1952"/>
      <c r="CW35" s="1952"/>
      <c r="CX35" s="1952"/>
      <c r="CY35" s="1952"/>
      <c r="CZ35" s="1952"/>
      <c r="DA35" s="1952"/>
      <c r="DB35" s="1952"/>
      <c r="DC35" s="1952"/>
      <c r="DD35" s="1952"/>
      <c r="DE35" s="1952"/>
      <c r="DF35" s="1952"/>
      <c r="DG35" s="1952"/>
      <c r="DH35" s="1952"/>
      <c r="DI35" s="1952"/>
      <c r="DJ35" s="1952"/>
      <c r="DK35" s="1952"/>
      <c r="DL35" s="1952"/>
      <c r="DM35" s="1952"/>
      <c r="DN35" s="1952"/>
      <c r="DO35" s="1952"/>
      <c r="DP35" s="1952"/>
      <c r="DQ35" s="1952"/>
      <c r="DR35" s="1952"/>
      <c r="DS35" s="1952"/>
      <c r="DT35" s="1952"/>
      <c r="DU35" s="1952"/>
      <c r="DV35" s="1952"/>
      <c r="DW35" s="1952"/>
      <c r="DX35" s="1952"/>
      <c r="DY35" s="1952"/>
      <c r="DZ35" s="1952"/>
      <c r="EA35" s="1952"/>
      <c r="EB35" s="1952"/>
      <c r="EC35" s="1952"/>
      <c r="ED35" s="1952"/>
      <c r="EE35" s="1952"/>
      <c r="EF35" s="1952"/>
      <c r="EG35" s="1952"/>
      <c r="EH35" s="1952"/>
      <c r="EI35" s="1952"/>
      <c r="EJ35" s="1952"/>
      <c r="EK35" s="1952"/>
      <c r="EL35" s="1952"/>
      <c r="EM35" s="1952"/>
      <c r="EN35" s="1952"/>
      <c r="EO35" s="1952"/>
      <c r="EP35" s="1952"/>
      <c r="EQ35" s="1952"/>
      <c r="ER35" s="1952"/>
      <c r="ES35" s="1952"/>
      <c r="ET35" s="1952"/>
      <c r="EU35" s="1952"/>
      <c r="EV35" s="1952"/>
      <c r="EW35" s="1952"/>
      <c r="EX35" s="1952"/>
      <c r="EY35" s="1952"/>
      <c r="EZ35" s="1952"/>
      <c r="FA35" s="1952"/>
      <c r="FB35" s="1952"/>
      <c r="FC35" s="1952"/>
      <c r="FD35" s="1952"/>
      <c r="FE35" s="1952"/>
      <c r="FF35" s="1952"/>
      <c r="FG35" s="1952"/>
      <c r="FH35" s="1952"/>
      <c r="FI35" s="1952"/>
      <c r="FJ35" s="1952"/>
      <c r="FK35" s="1952"/>
      <c r="FL35" s="1952"/>
      <c r="FM35" s="1952"/>
      <c r="FN35" s="1952"/>
      <c r="FO35" s="1952"/>
      <c r="FP35" s="1952"/>
      <c r="FQ35" s="1952"/>
      <c r="FR35" s="1952"/>
      <c r="FS35" s="1952"/>
      <c r="FT35" s="1952"/>
      <c r="FU35" s="1952"/>
      <c r="FV35" s="1952"/>
      <c r="FW35" s="1952"/>
      <c r="FX35" s="1952"/>
      <c r="FY35" s="1952"/>
      <c r="FZ35" s="1952"/>
      <c r="GA35" s="1952"/>
      <c r="GB35" s="1952"/>
      <c r="GC35" s="1952"/>
      <c r="GD35" s="1952"/>
      <c r="GE35" s="1952"/>
      <c r="GF35" s="1952"/>
      <c r="GG35" s="1952"/>
      <c r="GH35" s="1952"/>
      <c r="GI35" s="1952"/>
      <c r="GJ35" s="1952"/>
      <c r="GK35" s="1952"/>
      <c r="GL35" s="1952"/>
      <c r="GM35" s="1952"/>
      <c r="GN35" s="1952"/>
      <c r="GO35" s="1952"/>
      <c r="GP35" s="1952"/>
      <c r="GQ35" s="1952"/>
      <c r="GR35" s="1952"/>
      <c r="GS35" s="1952"/>
      <c r="GT35" s="1952"/>
      <c r="GU35" s="1952"/>
      <c r="GV35" s="1952"/>
      <c r="GW35" s="1952"/>
      <c r="GX35" s="1952"/>
      <c r="GY35" s="1952"/>
      <c r="GZ35" s="1952"/>
      <c r="HA35" s="1952"/>
      <c r="HB35" s="1952"/>
      <c r="HC35" s="1952"/>
      <c r="HD35" s="1952"/>
      <c r="HE35" s="1952"/>
      <c r="HF35" s="1952"/>
      <c r="HG35" s="1952"/>
      <c r="HH35" s="1952"/>
      <c r="HI35" s="1952"/>
      <c r="HJ35" s="1952"/>
      <c r="HK35" s="1952"/>
      <c r="HL35" s="1952"/>
      <c r="HM35" s="1952"/>
      <c r="HN35" s="1952"/>
      <c r="HO35" s="1952"/>
      <c r="HP35" s="1952"/>
      <c r="HQ35" s="1952"/>
      <c r="HR35" s="1952"/>
      <c r="HS35" s="1952"/>
      <c r="HT35" s="1952"/>
      <c r="HU35" s="1952"/>
      <c r="HV35" s="1952"/>
      <c r="HW35" s="1952"/>
      <c r="HX35" s="1952"/>
      <c r="HY35" s="1952"/>
      <c r="HZ35" s="1952"/>
      <c r="IA35" s="1952"/>
      <c r="IB35" s="1952"/>
      <c r="IC35" s="1952"/>
      <c r="ID35" s="1952"/>
      <c r="IE35" s="1952"/>
      <c r="IF35" s="1952"/>
      <c r="IG35" s="1952"/>
      <c r="IH35" s="1952"/>
      <c r="II35" s="1952"/>
      <c r="IJ35" s="1952"/>
      <c r="IK35" s="1952"/>
      <c r="IL35" s="1952"/>
      <c r="IM35" s="1952"/>
    </row>
    <row r="36" ht="16.5" spans="1:247">
      <c r="A36" s="1946" t="s">
        <v>245</v>
      </c>
      <c r="B36" s="1947">
        <f>审定资负表!C33</f>
        <v>10000</v>
      </c>
      <c r="C36" s="1947">
        <f>审定资负表!D33</f>
        <v>16000</v>
      </c>
      <c r="D36" s="1948">
        <f t="shared" si="0"/>
        <v>2.06067172798706e-5</v>
      </c>
      <c r="E36" s="1949">
        <f t="shared" si="1"/>
        <v>-6000</v>
      </c>
      <c r="F36" s="1950">
        <f t="shared" si="2"/>
        <v>-0.375</v>
      </c>
      <c r="G36" s="1956" t="s">
        <v>2697</v>
      </c>
      <c r="H36" s="1952"/>
      <c r="I36" s="1952"/>
      <c r="J36" s="1952"/>
      <c r="K36" s="1952"/>
      <c r="L36" s="1952"/>
      <c r="M36" s="1952"/>
      <c r="N36" s="1952"/>
      <c r="O36" s="1952"/>
      <c r="P36" s="1952"/>
      <c r="Q36" s="1952"/>
      <c r="R36" s="1952"/>
      <c r="S36" s="1952"/>
      <c r="T36" s="1952"/>
      <c r="U36" s="1952"/>
      <c r="V36" s="1952"/>
      <c r="W36" s="1952"/>
      <c r="X36" s="1952"/>
      <c r="Y36" s="1952"/>
      <c r="Z36" s="1952"/>
      <c r="AA36" s="1952"/>
      <c r="AB36" s="1952"/>
      <c r="AC36" s="1952"/>
      <c r="AD36" s="1952"/>
      <c r="AE36" s="1952"/>
      <c r="AF36" s="1952"/>
      <c r="AG36" s="1952"/>
      <c r="AH36" s="1952"/>
      <c r="AI36" s="1952"/>
      <c r="AJ36" s="1952"/>
      <c r="AK36" s="1952"/>
      <c r="AL36" s="1952"/>
      <c r="AM36" s="1952"/>
      <c r="AN36" s="1952"/>
      <c r="AO36" s="1952"/>
      <c r="AP36" s="1952"/>
      <c r="AQ36" s="1952"/>
      <c r="AR36" s="1952"/>
      <c r="AS36" s="1952"/>
      <c r="AT36" s="1952"/>
      <c r="AU36" s="1952"/>
      <c r="AV36" s="1952"/>
      <c r="AW36" s="1952"/>
      <c r="AX36" s="1952"/>
      <c r="AY36" s="1952"/>
      <c r="AZ36" s="1952"/>
      <c r="BA36" s="1952"/>
      <c r="BB36" s="1952"/>
      <c r="BC36" s="1952"/>
      <c r="BD36" s="1952"/>
      <c r="BE36" s="1952"/>
      <c r="BF36" s="1952"/>
      <c r="BG36" s="1952"/>
      <c r="BH36" s="1952"/>
      <c r="BI36" s="1952"/>
      <c r="BJ36" s="1952"/>
      <c r="BK36" s="1952"/>
      <c r="BL36" s="1952"/>
      <c r="BM36" s="1952"/>
      <c r="BN36" s="1952"/>
      <c r="BO36" s="1952"/>
      <c r="BP36" s="1952"/>
      <c r="BQ36" s="1952"/>
      <c r="BR36" s="1952"/>
      <c r="BS36" s="1952"/>
      <c r="BT36" s="1952"/>
      <c r="BU36" s="1952"/>
      <c r="BV36" s="1952"/>
      <c r="BW36" s="1952"/>
      <c r="BX36" s="1952"/>
      <c r="BY36" s="1952"/>
      <c r="BZ36" s="1952"/>
      <c r="CA36" s="1952"/>
      <c r="CB36" s="1952"/>
      <c r="CC36" s="1952"/>
      <c r="CD36" s="1952"/>
      <c r="CE36" s="1952"/>
      <c r="CF36" s="1952"/>
      <c r="CG36" s="1952"/>
      <c r="CH36" s="1952"/>
      <c r="CI36" s="1952"/>
      <c r="CJ36" s="1952"/>
      <c r="CK36" s="1952"/>
      <c r="CL36" s="1952"/>
      <c r="CM36" s="1952"/>
      <c r="CN36" s="1952"/>
      <c r="CO36" s="1952"/>
      <c r="CP36" s="1952"/>
      <c r="CQ36" s="1952"/>
      <c r="CR36" s="1952"/>
      <c r="CS36" s="1952"/>
      <c r="CT36" s="1952"/>
      <c r="CU36" s="1952"/>
      <c r="CV36" s="1952"/>
      <c r="CW36" s="1952"/>
      <c r="CX36" s="1952"/>
      <c r="CY36" s="1952"/>
      <c r="CZ36" s="1952"/>
      <c r="DA36" s="1952"/>
      <c r="DB36" s="1952"/>
      <c r="DC36" s="1952"/>
      <c r="DD36" s="1952"/>
      <c r="DE36" s="1952"/>
      <c r="DF36" s="1952"/>
      <c r="DG36" s="1952"/>
      <c r="DH36" s="1952"/>
      <c r="DI36" s="1952"/>
      <c r="DJ36" s="1952"/>
      <c r="DK36" s="1952"/>
      <c r="DL36" s="1952"/>
      <c r="DM36" s="1952"/>
      <c r="DN36" s="1952"/>
      <c r="DO36" s="1952"/>
      <c r="DP36" s="1952"/>
      <c r="DQ36" s="1952"/>
      <c r="DR36" s="1952"/>
      <c r="DS36" s="1952"/>
      <c r="DT36" s="1952"/>
      <c r="DU36" s="1952"/>
      <c r="DV36" s="1952"/>
      <c r="DW36" s="1952"/>
      <c r="DX36" s="1952"/>
      <c r="DY36" s="1952"/>
      <c r="DZ36" s="1952"/>
      <c r="EA36" s="1952"/>
      <c r="EB36" s="1952"/>
      <c r="EC36" s="1952"/>
      <c r="ED36" s="1952"/>
      <c r="EE36" s="1952"/>
      <c r="EF36" s="1952"/>
      <c r="EG36" s="1952"/>
      <c r="EH36" s="1952"/>
      <c r="EI36" s="1952"/>
      <c r="EJ36" s="1952"/>
      <c r="EK36" s="1952"/>
      <c r="EL36" s="1952"/>
      <c r="EM36" s="1952"/>
      <c r="EN36" s="1952"/>
      <c r="EO36" s="1952"/>
      <c r="EP36" s="1952"/>
      <c r="EQ36" s="1952"/>
      <c r="ER36" s="1952"/>
      <c r="ES36" s="1952"/>
      <c r="ET36" s="1952"/>
      <c r="EU36" s="1952"/>
      <c r="EV36" s="1952"/>
      <c r="EW36" s="1952"/>
      <c r="EX36" s="1952"/>
      <c r="EY36" s="1952"/>
      <c r="EZ36" s="1952"/>
      <c r="FA36" s="1952"/>
      <c r="FB36" s="1952"/>
      <c r="FC36" s="1952"/>
      <c r="FD36" s="1952"/>
      <c r="FE36" s="1952"/>
      <c r="FF36" s="1952"/>
      <c r="FG36" s="1952"/>
      <c r="FH36" s="1952"/>
      <c r="FI36" s="1952"/>
      <c r="FJ36" s="1952"/>
      <c r="FK36" s="1952"/>
      <c r="FL36" s="1952"/>
      <c r="FM36" s="1952"/>
      <c r="FN36" s="1952"/>
      <c r="FO36" s="1952"/>
      <c r="FP36" s="1952"/>
      <c r="FQ36" s="1952"/>
      <c r="FR36" s="1952"/>
      <c r="FS36" s="1952"/>
      <c r="FT36" s="1952"/>
      <c r="FU36" s="1952"/>
      <c r="FV36" s="1952"/>
      <c r="FW36" s="1952"/>
      <c r="FX36" s="1952"/>
      <c r="FY36" s="1952"/>
      <c r="FZ36" s="1952"/>
      <c r="GA36" s="1952"/>
      <c r="GB36" s="1952"/>
      <c r="GC36" s="1952"/>
      <c r="GD36" s="1952"/>
      <c r="GE36" s="1952"/>
      <c r="GF36" s="1952"/>
      <c r="GG36" s="1952"/>
      <c r="GH36" s="1952"/>
      <c r="GI36" s="1952"/>
      <c r="GJ36" s="1952"/>
      <c r="GK36" s="1952"/>
      <c r="GL36" s="1952"/>
      <c r="GM36" s="1952"/>
      <c r="GN36" s="1952"/>
      <c r="GO36" s="1952"/>
      <c r="GP36" s="1952"/>
      <c r="GQ36" s="1952"/>
      <c r="GR36" s="1952"/>
      <c r="GS36" s="1952"/>
      <c r="GT36" s="1952"/>
      <c r="GU36" s="1952"/>
      <c r="GV36" s="1952"/>
      <c r="GW36" s="1952"/>
      <c r="GX36" s="1952"/>
      <c r="GY36" s="1952"/>
      <c r="GZ36" s="1952"/>
      <c r="HA36" s="1952"/>
      <c r="HB36" s="1952"/>
      <c r="HC36" s="1952"/>
      <c r="HD36" s="1952"/>
      <c r="HE36" s="1952"/>
      <c r="HF36" s="1952"/>
      <c r="HG36" s="1952"/>
      <c r="HH36" s="1952"/>
      <c r="HI36" s="1952"/>
      <c r="HJ36" s="1952"/>
      <c r="HK36" s="1952"/>
      <c r="HL36" s="1952"/>
      <c r="HM36" s="1952"/>
      <c r="HN36" s="1952"/>
      <c r="HO36" s="1952"/>
      <c r="HP36" s="1952"/>
      <c r="HQ36" s="1952"/>
      <c r="HR36" s="1952"/>
      <c r="HS36" s="1952"/>
      <c r="HT36" s="1952"/>
      <c r="HU36" s="1952"/>
      <c r="HV36" s="1952"/>
      <c r="HW36" s="1952"/>
      <c r="HX36" s="1952"/>
      <c r="HY36" s="1952"/>
      <c r="HZ36" s="1952"/>
      <c r="IA36" s="1952"/>
      <c r="IB36" s="1952"/>
      <c r="IC36" s="1952"/>
      <c r="ID36" s="1952"/>
      <c r="IE36" s="1952"/>
      <c r="IF36" s="1952"/>
      <c r="IG36" s="1952"/>
      <c r="IH36" s="1952"/>
      <c r="II36" s="1952"/>
      <c r="IJ36" s="1952"/>
      <c r="IK36" s="1952"/>
      <c r="IL36" s="1952"/>
      <c r="IM36" s="1952"/>
    </row>
    <row r="37" ht="16.5" spans="1:247">
      <c r="A37" s="1946" t="s">
        <v>247</v>
      </c>
      <c r="B37" s="1947">
        <f>审定资负表!C34</f>
        <v>0</v>
      </c>
      <c r="C37" s="1947">
        <f>审定资负表!D34</f>
        <v>0</v>
      </c>
      <c r="D37" s="1948" t="str">
        <f t="shared" si="0"/>
        <v> </v>
      </c>
      <c r="E37" s="1949">
        <f t="shared" si="1"/>
        <v>0</v>
      </c>
      <c r="F37" s="1950">
        <f t="shared" si="2"/>
        <v>0</v>
      </c>
      <c r="G37" s="1956"/>
      <c r="H37" s="1952"/>
      <c r="I37" s="1952"/>
      <c r="J37" s="1952"/>
      <c r="K37" s="1952"/>
      <c r="L37" s="1952"/>
      <c r="M37" s="1952"/>
      <c r="N37" s="1952"/>
      <c r="O37" s="1952"/>
      <c r="P37" s="1952"/>
      <c r="Q37" s="1952"/>
      <c r="R37" s="1952"/>
      <c r="S37" s="1952"/>
      <c r="T37" s="1952"/>
      <c r="U37" s="1952"/>
      <c r="V37" s="1952"/>
      <c r="W37" s="1952"/>
      <c r="X37" s="1952"/>
      <c r="Y37" s="1952"/>
      <c r="Z37" s="1952"/>
      <c r="AA37" s="1952"/>
      <c r="AB37" s="1952"/>
      <c r="AC37" s="1952"/>
      <c r="AD37" s="1952"/>
      <c r="AE37" s="1952"/>
      <c r="AF37" s="1952"/>
      <c r="AG37" s="1952"/>
      <c r="AH37" s="1952"/>
      <c r="AI37" s="1952"/>
      <c r="AJ37" s="1952"/>
      <c r="AK37" s="1952"/>
      <c r="AL37" s="1952"/>
      <c r="AM37" s="1952"/>
      <c r="AN37" s="1952"/>
      <c r="AO37" s="1952"/>
      <c r="AP37" s="1952"/>
      <c r="AQ37" s="1952"/>
      <c r="AR37" s="1952"/>
      <c r="AS37" s="1952"/>
      <c r="AT37" s="1952"/>
      <c r="AU37" s="1952"/>
      <c r="AV37" s="1952"/>
      <c r="AW37" s="1952"/>
      <c r="AX37" s="1952"/>
      <c r="AY37" s="1952"/>
      <c r="AZ37" s="1952"/>
      <c r="BA37" s="1952"/>
      <c r="BB37" s="1952"/>
      <c r="BC37" s="1952"/>
      <c r="BD37" s="1952"/>
      <c r="BE37" s="1952"/>
      <c r="BF37" s="1952"/>
      <c r="BG37" s="1952"/>
      <c r="BH37" s="1952"/>
      <c r="BI37" s="1952"/>
      <c r="BJ37" s="1952"/>
      <c r="BK37" s="1952"/>
      <c r="BL37" s="1952"/>
      <c r="BM37" s="1952"/>
      <c r="BN37" s="1952"/>
      <c r="BO37" s="1952"/>
      <c r="BP37" s="1952"/>
      <c r="BQ37" s="1952"/>
      <c r="BR37" s="1952"/>
      <c r="BS37" s="1952"/>
      <c r="BT37" s="1952"/>
      <c r="BU37" s="1952"/>
      <c r="BV37" s="1952"/>
      <c r="BW37" s="1952"/>
      <c r="BX37" s="1952"/>
      <c r="BY37" s="1952"/>
      <c r="BZ37" s="1952"/>
      <c r="CA37" s="1952"/>
      <c r="CB37" s="1952"/>
      <c r="CC37" s="1952"/>
      <c r="CD37" s="1952"/>
      <c r="CE37" s="1952"/>
      <c r="CF37" s="1952"/>
      <c r="CG37" s="1952"/>
      <c r="CH37" s="1952"/>
      <c r="CI37" s="1952"/>
      <c r="CJ37" s="1952"/>
      <c r="CK37" s="1952"/>
      <c r="CL37" s="1952"/>
      <c r="CM37" s="1952"/>
      <c r="CN37" s="1952"/>
      <c r="CO37" s="1952"/>
      <c r="CP37" s="1952"/>
      <c r="CQ37" s="1952"/>
      <c r="CR37" s="1952"/>
      <c r="CS37" s="1952"/>
      <c r="CT37" s="1952"/>
      <c r="CU37" s="1952"/>
      <c r="CV37" s="1952"/>
      <c r="CW37" s="1952"/>
      <c r="CX37" s="1952"/>
      <c r="CY37" s="1952"/>
      <c r="CZ37" s="1952"/>
      <c r="DA37" s="1952"/>
      <c r="DB37" s="1952"/>
      <c r="DC37" s="1952"/>
      <c r="DD37" s="1952"/>
      <c r="DE37" s="1952"/>
      <c r="DF37" s="1952"/>
      <c r="DG37" s="1952"/>
      <c r="DH37" s="1952"/>
      <c r="DI37" s="1952"/>
      <c r="DJ37" s="1952"/>
      <c r="DK37" s="1952"/>
      <c r="DL37" s="1952"/>
      <c r="DM37" s="1952"/>
      <c r="DN37" s="1952"/>
      <c r="DO37" s="1952"/>
      <c r="DP37" s="1952"/>
      <c r="DQ37" s="1952"/>
      <c r="DR37" s="1952"/>
      <c r="DS37" s="1952"/>
      <c r="DT37" s="1952"/>
      <c r="DU37" s="1952"/>
      <c r="DV37" s="1952"/>
      <c r="DW37" s="1952"/>
      <c r="DX37" s="1952"/>
      <c r="DY37" s="1952"/>
      <c r="DZ37" s="1952"/>
      <c r="EA37" s="1952"/>
      <c r="EB37" s="1952"/>
      <c r="EC37" s="1952"/>
      <c r="ED37" s="1952"/>
      <c r="EE37" s="1952"/>
      <c r="EF37" s="1952"/>
      <c r="EG37" s="1952"/>
      <c r="EH37" s="1952"/>
      <c r="EI37" s="1952"/>
      <c r="EJ37" s="1952"/>
      <c r="EK37" s="1952"/>
      <c r="EL37" s="1952"/>
      <c r="EM37" s="1952"/>
      <c r="EN37" s="1952"/>
      <c r="EO37" s="1952"/>
      <c r="EP37" s="1952"/>
      <c r="EQ37" s="1952"/>
      <c r="ER37" s="1952"/>
      <c r="ES37" s="1952"/>
      <c r="ET37" s="1952"/>
      <c r="EU37" s="1952"/>
      <c r="EV37" s="1952"/>
      <c r="EW37" s="1952"/>
      <c r="EX37" s="1952"/>
      <c r="EY37" s="1952"/>
      <c r="EZ37" s="1952"/>
      <c r="FA37" s="1952"/>
      <c r="FB37" s="1952"/>
      <c r="FC37" s="1952"/>
      <c r="FD37" s="1952"/>
      <c r="FE37" s="1952"/>
      <c r="FF37" s="1952"/>
      <c r="FG37" s="1952"/>
      <c r="FH37" s="1952"/>
      <c r="FI37" s="1952"/>
      <c r="FJ37" s="1952"/>
      <c r="FK37" s="1952"/>
      <c r="FL37" s="1952"/>
      <c r="FM37" s="1952"/>
      <c r="FN37" s="1952"/>
      <c r="FO37" s="1952"/>
      <c r="FP37" s="1952"/>
      <c r="FQ37" s="1952"/>
      <c r="FR37" s="1952"/>
      <c r="FS37" s="1952"/>
      <c r="FT37" s="1952"/>
      <c r="FU37" s="1952"/>
      <c r="FV37" s="1952"/>
      <c r="FW37" s="1952"/>
      <c r="FX37" s="1952"/>
      <c r="FY37" s="1952"/>
      <c r="FZ37" s="1952"/>
      <c r="GA37" s="1952"/>
      <c r="GB37" s="1952"/>
      <c r="GC37" s="1952"/>
      <c r="GD37" s="1952"/>
      <c r="GE37" s="1952"/>
      <c r="GF37" s="1952"/>
      <c r="GG37" s="1952"/>
      <c r="GH37" s="1952"/>
      <c r="GI37" s="1952"/>
      <c r="GJ37" s="1952"/>
      <c r="GK37" s="1952"/>
      <c r="GL37" s="1952"/>
      <c r="GM37" s="1952"/>
      <c r="GN37" s="1952"/>
      <c r="GO37" s="1952"/>
      <c r="GP37" s="1952"/>
      <c r="GQ37" s="1952"/>
      <c r="GR37" s="1952"/>
      <c r="GS37" s="1952"/>
      <c r="GT37" s="1952"/>
      <c r="GU37" s="1952"/>
      <c r="GV37" s="1952"/>
      <c r="GW37" s="1952"/>
      <c r="GX37" s="1952"/>
      <c r="GY37" s="1952"/>
      <c r="GZ37" s="1952"/>
      <c r="HA37" s="1952"/>
      <c r="HB37" s="1952"/>
      <c r="HC37" s="1952"/>
      <c r="HD37" s="1952"/>
      <c r="HE37" s="1952"/>
      <c r="HF37" s="1952"/>
      <c r="HG37" s="1952"/>
      <c r="HH37" s="1952"/>
      <c r="HI37" s="1952"/>
      <c r="HJ37" s="1952"/>
      <c r="HK37" s="1952"/>
      <c r="HL37" s="1952"/>
      <c r="HM37" s="1952"/>
      <c r="HN37" s="1952"/>
      <c r="HO37" s="1952"/>
      <c r="HP37" s="1952"/>
      <c r="HQ37" s="1952"/>
      <c r="HR37" s="1952"/>
      <c r="HS37" s="1952"/>
      <c r="HT37" s="1952"/>
      <c r="HU37" s="1952"/>
      <c r="HV37" s="1952"/>
      <c r="HW37" s="1952"/>
      <c r="HX37" s="1952"/>
      <c r="HY37" s="1952"/>
      <c r="HZ37" s="1952"/>
      <c r="IA37" s="1952"/>
      <c r="IB37" s="1952"/>
      <c r="IC37" s="1952"/>
      <c r="ID37" s="1952"/>
      <c r="IE37" s="1952"/>
      <c r="IF37" s="1952"/>
      <c r="IG37" s="1952"/>
      <c r="IH37" s="1952"/>
      <c r="II37" s="1952"/>
      <c r="IJ37" s="1952"/>
      <c r="IK37" s="1952"/>
      <c r="IL37" s="1952"/>
      <c r="IM37" s="1952"/>
    </row>
    <row r="38" ht="16.5" spans="1:247">
      <c r="A38" s="1946" t="s">
        <v>248</v>
      </c>
      <c r="B38" s="1947">
        <f>审定资负表!C35</f>
        <v>0</v>
      </c>
      <c r="C38" s="1947">
        <f>审定资负表!D35</f>
        <v>0</v>
      </c>
      <c r="D38" s="1948" t="str">
        <f t="shared" si="0"/>
        <v> </v>
      </c>
      <c r="E38" s="1949">
        <f t="shared" si="1"/>
        <v>0</v>
      </c>
      <c r="F38" s="1950">
        <f t="shared" si="2"/>
        <v>0</v>
      </c>
      <c r="G38" s="1956"/>
      <c r="H38" s="1952"/>
      <c r="I38" s="1952"/>
      <c r="J38" s="1952"/>
      <c r="K38" s="1952"/>
      <c r="L38" s="1952"/>
      <c r="M38" s="1952"/>
      <c r="N38" s="1952"/>
      <c r="O38" s="1952"/>
      <c r="P38" s="1952"/>
      <c r="Q38" s="1952"/>
      <c r="R38" s="1952"/>
      <c r="S38" s="1952"/>
      <c r="T38" s="1952"/>
      <c r="U38" s="1952"/>
      <c r="V38" s="1952"/>
      <c r="W38" s="1952"/>
      <c r="X38" s="1952"/>
      <c r="Y38" s="1952"/>
      <c r="Z38" s="1952"/>
      <c r="AA38" s="1952"/>
      <c r="AB38" s="1952"/>
      <c r="AC38" s="1952"/>
      <c r="AD38" s="1952"/>
      <c r="AE38" s="1952"/>
      <c r="AF38" s="1952"/>
      <c r="AG38" s="1952"/>
      <c r="AH38" s="1952"/>
      <c r="AI38" s="1952"/>
      <c r="AJ38" s="1952"/>
      <c r="AK38" s="1952"/>
      <c r="AL38" s="1952"/>
      <c r="AM38" s="1952"/>
      <c r="AN38" s="1952"/>
      <c r="AO38" s="1952"/>
      <c r="AP38" s="1952"/>
      <c r="AQ38" s="1952"/>
      <c r="AR38" s="1952"/>
      <c r="AS38" s="1952"/>
      <c r="AT38" s="1952"/>
      <c r="AU38" s="1952"/>
      <c r="AV38" s="1952"/>
      <c r="AW38" s="1952"/>
      <c r="AX38" s="1952"/>
      <c r="AY38" s="1952"/>
      <c r="AZ38" s="1952"/>
      <c r="BA38" s="1952"/>
      <c r="BB38" s="1952"/>
      <c r="BC38" s="1952"/>
      <c r="BD38" s="1952"/>
      <c r="BE38" s="1952"/>
      <c r="BF38" s="1952"/>
      <c r="BG38" s="1952"/>
      <c r="BH38" s="1952"/>
      <c r="BI38" s="1952"/>
      <c r="BJ38" s="1952"/>
      <c r="BK38" s="1952"/>
      <c r="BL38" s="1952"/>
      <c r="BM38" s="1952"/>
      <c r="BN38" s="1952"/>
      <c r="BO38" s="1952"/>
      <c r="BP38" s="1952"/>
      <c r="BQ38" s="1952"/>
      <c r="BR38" s="1952"/>
      <c r="BS38" s="1952"/>
      <c r="BT38" s="1952"/>
      <c r="BU38" s="1952"/>
      <c r="BV38" s="1952"/>
      <c r="BW38" s="1952"/>
      <c r="BX38" s="1952"/>
      <c r="BY38" s="1952"/>
      <c r="BZ38" s="1952"/>
      <c r="CA38" s="1952"/>
      <c r="CB38" s="1952"/>
      <c r="CC38" s="1952"/>
      <c r="CD38" s="1952"/>
      <c r="CE38" s="1952"/>
      <c r="CF38" s="1952"/>
      <c r="CG38" s="1952"/>
      <c r="CH38" s="1952"/>
      <c r="CI38" s="1952"/>
      <c r="CJ38" s="1952"/>
      <c r="CK38" s="1952"/>
      <c r="CL38" s="1952"/>
      <c r="CM38" s="1952"/>
      <c r="CN38" s="1952"/>
      <c r="CO38" s="1952"/>
      <c r="CP38" s="1952"/>
      <c r="CQ38" s="1952"/>
      <c r="CR38" s="1952"/>
      <c r="CS38" s="1952"/>
      <c r="CT38" s="1952"/>
      <c r="CU38" s="1952"/>
      <c r="CV38" s="1952"/>
      <c r="CW38" s="1952"/>
      <c r="CX38" s="1952"/>
      <c r="CY38" s="1952"/>
      <c r="CZ38" s="1952"/>
      <c r="DA38" s="1952"/>
      <c r="DB38" s="1952"/>
      <c r="DC38" s="1952"/>
      <c r="DD38" s="1952"/>
      <c r="DE38" s="1952"/>
      <c r="DF38" s="1952"/>
      <c r="DG38" s="1952"/>
      <c r="DH38" s="1952"/>
      <c r="DI38" s="1952"/>
      <c r="DJ38" s="1952"/>
      <c r="DK38" s="1952"/>
      <c r="DL38" s="1952"/>
      <c r="DM38" s="1952"/>
      <c r="DN38" s="1952"/>
      <c r="DO38" s="1952"/>
      <c r="DP38" s="1952"/>
      <c r="DQ38" s="1952"/>
      <c r="DR38" s="1952"/>
      <c r="DS38" s="1952"/>
      <c r="DT38" s="1952"/>
      <c r="DU38" s="1952"/>
      <c r="DV38" s="1952"/>
      <c r="DW38" s="1952"/>
      <c r="DX38" s="1952"/>
      <c r="DY38" s="1952"/>
      <c r="DZ38" s="1952"/>
      <c r="EA38" s="1952"/>
      <c r="EB38" s="1952"/>
      <c r="EC38" s="1952"/>
      <c r="ED38" s="1952"/>
      <c r="EE38" s="1952"/>
      <c r="EF38" s="1952"/>
      <c r="EG38" s="1952"/>
      <c r="EH38" s="1952"/>
      <c r="EI38" s="1952"/>
      <c r="EJ38" s="1952"/>
      <c r="EK38" s="1952"/>
      <c r="EL38" s="1952"/>
      <c r="EM38" s="1952"/>
      <c r="EN38" s="1952"/>
      <c r="EO38" s="1952"/>
      <c r="EP38" s="1952"/>
      <c r="EQ38" s="1952"/>
      <c r="ER38" s="1952"/>
      <c r="ES38" s="1952"/>
      <c r="ET38" s="1952"/>
      <c r="EU38" s="1952"/>
      <c r="EV38" s="1952"/>
      <c r="EW38" s="1952"/>
      <c r="EX38" s="1952"/>
      <c r="EY38" s="1952"/>
      <c r="EZ38" s="1952"/>
      <c r="FA38" s="1952"/>
      <c r="FB38" s="1952"/>
      <c r="FC38" s="1952"/>
      <c r="FD38" s="1952"/>
      <c r="FE38" s="1952"/>
      <c r="FF38" s="1952"/>
      <c r="FG38" s="1952"/>
      <c r="FH38" s="1952"/>
      <c r="FI38" s="1952"/>
      <c r="FJ38" s="1952"/>
      <c r="FK38" s="1952"/>
      <c r="FL38" s="1952"/>
      <c r="FM38" s="1952"/>
      <c r="FN38" s="1952"/>
      <c r="FO38" s="1952"/>
      <c r="FP38" s="1952"/>
      <c r="FQ38" s="1952"/>
      <c r="FR38" s="1952"/>
      <c r="FS38" s="1952"/>
      <c r="FT38" s="1952"/>
      <c r="FU38" s="1952"/>
      <c r="FV38" s="1952"/>
      <c r="FW38" s="1952"/>
      <c r="FX38" s="1952"/>
      <c r="FY38" s="1952"/>
      <c r="FZ38" s="1952"/>
      <c r="GA38" s="1952"/>
      <c r="GB38" s="1952"/>
      <c r="GC38" s="1952"/>
      <c r="GD38" s="1952"/>
      <c r="GE38" s="1952"/>
      <c r="GF38" s="1952"/>
      <c r="GG38" s="1952"/>
      <c r="GH38" s="1952"/>
      <c r="GI38" s="1952"/>
      <c r="GJ38" s="1952"/>
      <c r="GK38" s="1952"/>
      <c r="GL38" s="1952"/>
      <c r="GM38" s="1952"/>
      <c r="GN38" s="1952"/>
      <c r="GO38" s="1952"/>
      <c r="GP38" s="1952"/>
      <c r="GQ38" s="1952"/>
      <c r="GR38" s="1952"/>
      <c r="GS38" s="1952"/>
      <c r="GT38" s="1952"/>
      <c r="GU38" s="1952"/>
      <c r="GV38" s="1952"/>
      <c r="GW38" s="1952"/>
      <c r="GX38" s="1952"/>
      <c r="GY38" s="1952"/>
      <c r="GZ38" s="1952"/>
      <c r="HA38" s="1952"/>
      <c r="HB38" s="1952"/>
      <c r="HC38" s="1952"/>
      <c r="HD38" s="1952"/>
      <c r="HE38" s="1952"/>
      <c r="HF38" s="1952"/>
      <c r="HG38" s="1952"/>
      <c r="HH38" s="1952"/>
      <c r="HI38" s="1952"/>
      <c r="HJ38" s="1952"/>
      <c r="HK38" s="1952"/>
      <c r="HL38" s="1952"/>
      <c r="HM38" s="1952"/>
      <c r="HN38" s="1952"/>
      <c r="HO38" s="1952"/>
      <c r="HP38" s="1952"/>
      <c r="HQ38" s="1952"/>
      <c r="HR38" s="1952"/>
      <c r="HS38" s="1952"/>
      <c r="HT38" s="1952"/>
      <c r="HU38" s="1952"/>
      <c r="HV38" s="1952"/>
      <c r="HW38" s="1952"/>
      <c r="HX38" s="1952"/>
      <c r="HY38" s="1952"/>
      <c r="HZ38" s="1952"/>
      <c r="IA38" s="1952"/>
      <c r="IB38" s="1952"/>
      <c r="IC38" s="1952"/>
      <c r="ID38" s="1952"/>
      <c r="IE38" s="1952"/>
      <c r="IF38" s="1952"/>
      <c r="IG38" s="1952"/>
      <c r="IH38" s="1952"/>
      <c r="II38" s="1952"/>
      <c r="IJ38" s="1952"/>
      <c r="IK38" s="1952"/>
      <c r="IL38" s="1952"/>
      <c r="IM38" s="1952"/>
    </row>
    <row r="39" ht="16.5" spans="1:247">
      <c r="A39" s="1946" t="s">
        <v>250</v>
      </c>
      <c r="B39" s="1947">
        <f>审定资负表!C36</f>
        <v>170458.45</v>
      </c>
      <c r="C39" s="1947">
        <f>审定资负表!D36</f>
        <v>378415.02</v>
      </c>
      <c r="D39" s="1948">
        <f t="shared" si="0"/>
        <v>0.000351258908711495</v>
      </c>
      <c r="E39" s="1949">
        <f t="shared" si="1"/>
        <v>-207956.57</v>
      </c>
      <c r="F39" s="1950">
        <f t="shared" si="2"/>
        <v>-0.5495</v>
      </c>
      <c r="G39" s="1956" t="s">
        <v>2697</v>
      </c>
      <c r="H39" s="1952"/>
      <c r="I39" s="1952"/>
      <c r="J39" s="1952"/>
      <c r="K39" s="1952"/>
      <c r="L39" s="1952"/>
      <c r="M39" s="1952"/>
      <c r="N39" s="1952"/>
      <c r="O39" s="1952"/>
      <c r="P39" s="1952"/>
      <c r="Q39" s="1952"/>
      <c r="R39" s="1952"/>
      <c r="S39" s="1952"/>
      <c r="T39" s="1952"/>
      <c r="U39" s="1952"/>
      <c r="V39" s="1952"/>
      <c r="W39" s="1952"/>
      <c r="X39" s="1952"/>
      <c r="Y39" s="1952"/>
      <c r="Z39" s="1952"/>
      <c r="AA39" s="1952"/>
      <c r="AB39" s="1952"/>
      <c r="AC39" s="1952"/>
      <c r="AD39" s="1952"/>
      <c r="AE39" s="1952"/>
      <c r="AF39" s="1952"/>
      <c r="AG39" s="1952"/>
      <c r="AH39" s="1952"/>
      <c r="AI39" s="1952"/>
      <c r="AJ39" s="1952"/>
      <c r="AK39" s="1952"/>
      <c r="AL39" s="1952"/>
      <c r="AM39" s="1952"/>
      <c r="AN39" s="1952"/>
      <c r="AO39" s="1952"/>
      <c r="AP39" s="1952"/>
      <c r="AQ39" s="1952"/>
      <c r="AR39" s="1952"/>
      <c r="AS39" s="1952"/>
      <c r="AT39" s="1952"/>
      <c r="AU39" s="1952"/>
      <c r="AV39" s="1952"/>
      <c r="AW39" s="1952"/>
      <c r="AX39" s="1952"/>
      <c r="AY39" s="1952"/>
      <c r="AZ39" s="1952"/>
      <c r="BA39" s="1952"/>
      <c r="BB39" s="1952"/>
      <c r="BC39" s="1952"/>
      <c r="BD39" s="1952"/>
      <c r="BE39" s="1952"/>
      <c r="BF39" s="1952"/>
      <c r="BG39" s="1952"/>
      <c r="BH39" s="1952"/>
      <c r="BI39" s="1952"/>
      <c r="BJ39" s="1952"/>
      <c r="BK39" s="1952"/>
      <c r="BL39" s="1952"/>
      <c r="BM39" s="1952"/>
      <c r="BN39" s="1952"/>
      <c r="BO39" s="1952"/>
      <c r="BP39" s="1952"/>
      <c r="BQ39" s="1952"/>
      <c r="BR39" s="1952"/>
      <c r="BS39" s="1952"/>
      <c r="BT39" s="1952"/>
      <c r="BU39" s="1952"/>
      <c r="BV39" s="1952"/>
      <c r="BW39" s="1952"/>
      <c r="BX39" s="1952"/>
      <c r="BY39" s="1952"/>
      <c r="BZ39" s="1952"/>
      <c r="CA39" s="1952"/>
      <c r="CB39" s="1952"/>
      <c r="CC39" s="1952"/>
      <c r="CD39" s="1952"/>
      <c r="CE39" s="1952"/>
      <c r="CF39" s="1952"/>
      <c r="CG39" s="1952"/>
      <c r="CH39" s="1952"/>
      <c r="CI39" s="1952"/>
      <c r="CJ39" s="1952"/>
      <c r="CK39" s="1952"/>
      <c r="CL39" s="1952"/>
      <c r="CM39" s="1952"/>
      <c r="CN39" s="1952"/>
      <c r="CO39" s="1952"/>
      <c r="CP39" s="1952"/>
      <c r="CQ39" s="1952"/>
      <c r="CR39" s="1952"/>
      <c r="CS39" s="1952"/>
      <c r="CT39" s="1952"/>
      <c r="CU39" s="1952"/>
      <c r="CV39" s="1952"/>
      <c r="CW39" s="1952"/>
      <c r="CX39" s="1952"/>
      <c r="CY39" s="1952"/>
      <c r="CZ39" s="1952"/>
      <c r="DA39" s="1952"/>
      <c r="DB39" s="1952"/>
      <c r="DC39" s="1952"/>
      <c r="DD39" s="1952"/>
      <c r="DE39" s="1952"/>
      <c r="DF39" s="1952"/>
      <c r="DG39" s="1952"/>
      <c r="DH39" s="1952"/>
      <c r="DI39" s="1952"/>
      <c r="DJ39" s="1952"/>
      <c r="DK39" s="1952"/>
      <c r="DL39" s="1952"/>
      <c r="DM39" s="1952"/>
      <c r="DN39" s="1952"/>
      <c r="DO39" s="1952"/>
      <c r="DP39" s="1952"/>
      <c r="DQ39" s="1952"/>
      <c r="DR39" s="1952"/>
      <c r="DS39" s="1952"/>
      <c r="DT39" s="1952"/>
      <c r="DU39" s="1952"/>
      <c r="DV39" s="1952"/>
      <c r="DW39" s="1952"/>
      <c r="DX39" s="1952"/>
      <c r="DY39" s="1952"/>
      <c r="DZ39" s="1952"/>
      <c r="EA39" s="1952"/>
      <c r="EB39" s="1952"/>
      <c r="EC39" s="1952"/>
      <c r="ED39" s="1952"/>
      <c r="EE39" s="1952"/>
      <c r="EF39" s="1952"/>
      <c r="EG39" s="1952"/>
      <c r="EH39" s="1952"/>
      <c r="EI39" s="1952"/>
      <c r="EJ39" s="1952"/>
      <c r="EK39" s="1952"/>
      <c r="EL39" s="1952"/>
      <c r="EM39" s="1952"/>
      <c r="EN39" s="1952"/>
      <c r="EO39" s="1952"/>
      <c r="EP39" s="1952"/>
      <c r="EQ39" s="1952"/>
      <c r="ER39" s="1952"/>
      <c r="ES39" s="1952"/>
      <c r="ET39" s="1952"/>
      <c r="EU39" s="1952"/>
      <c r="EV39" s="1952"/>
      <c r="EW39" s="1952"/>
      <c r="EX39" s="1952"/>
      <c r="EY39" s="1952"/>
      <c r="EZ39" s="1952"/>
      <c r="FA39" s="1952"/>
      <c r="FB39" s="1952"/>
      <c r="FC39" s="1952"/>
      <c r="FD39" s="1952"/>
      <c r="FE39" s="1952"/>
      <c r="FF39" s="1952"/>
      <c r="FG39" s="1952"/>
      <c r="FH39" s="1952"/>
      <c r="FI39" s="1952"/>
      <c r="FJ39" s="1952"/>
      <c r="FK39" s="1952"/>
      <c r="FL39" s="1952"/>
      <c r="FM39" s="1952"/>
      <c r="FN39" s="1952"/>
      <c r="FO39" s="1952"/>
      <c r="FP39" s="1952"/>
      <c r="FQ39" s="1952"/>
      <c r="FR39" s="1952"/>
      <c r="FS39" s="1952"/>
      <c r="FT39" s="1952"/>
      <c r="FU39" s="1952"/>
      <c r="FV39" s="1952"/>
      <c r="FW39" s="1952"/>
      <c r="FX39" s="1952"/>
      <c r="FY39" s="1952"/>
      <c r="FZ39" s="1952"/>
      <c r="GA39" s="1952"/>
      <c r="GB39" s="1952"/>
      <c r="GC39" s="1952"/>
      <c r="GD39" s="1952"/>
      <c r="GE39" s="1952"/>
      <c r="GF39" s="1952"/>
      <c r="GG39" s="1952"/>
      <c r="GH39" s="1952"/>
      <c r="GI39" s="1952"/>
      <c r="GJ39" s="1952"/>
      <c r="GK39" s="1952"/>
      <c r="GL39" s="1952"/>
      <c r="GM39" s="1952"/>
      <c r="GN39" s="1952"/>
      <c r="GO39" s="1952"/>
      <c r="GP39" s="1952"/>
      <c r="GQ39" s="1952"/>
      <c r="GR39" s="1952"/>
      <c r="GS39" s="1952"/>
      <c r="GT39" s="1952"/>
      <c r="GU39" s="1952"/>
      <c r="GV39" s="1952"/>
      <c r="GW39" s="1952"/>
      <c r="GX39" s="1952"/>
      <c r="GY39" s="1952"/>
      <c r="GZ39" s="1952"/>
      <c r="HA39" s="1952"/>
      <c r="HB39" s="1952"/>
      <c r="HC39" s="1952"/>
      <c r="HD39" s="1952"/>
      <c r="HE39" s="1952"/>
      <c r="HF39" s="1952"/>
      <c r="HG39" s="1952"/>
      <c r="HH39" s="1952"/>
      <c r="HI39" s="1952"/>
      <c r="HJ39" s="1952"/>
      <c r="HK39" s="1952"/>
      <c r="HL39" s="1952"/>
      <c r="HM39" s="1952"/>
      <c r="HN39" s="1952"/>
      <c r="HO39" s="1952"/>
      <c r="HP39" s="1952"/>
      <c r="HQ39" s="1952"/>
      <c r="HR39" s="1952"/>
      <c r="HS39" s="1952"/>
      <c r="HT39" s="1952"/>
      <c r="HU39" s="1952"/>
      <c r="HV39" s="1952"/>
      <c r="HW39" s="1952"/>
      <c r="HX39" s="1952"/>
      <c r="HY39" s="1952"/>
      <c r="HZ39" s="1952"/>
      <c r="IA39" s="1952"/>
      <c r="IB39" s="1952"/>
      <c r="IC39" s="1952"/>
      <c r="ID39" s="1952"/>
      <c r="IE39" s="1952"/>
      <c r="IF39" s="1952"/>
      <c r="IG39" s="1952"/>
      <c r="IH39" s="1952"/>
      <c r="II39" s="1952"/>
      <c r="IJ39" s="1952"/>
      <c r="IK39" s="1952"/>
      <c r="IL39" s="1952"/>
      <c r="IM39" s="1952"/>
    </row>
    <row r="40" ht="16.5" spans="1:247">
      <c r="A40" s="1946" t="s">
        <v>252</v>
      </c>
      <c r="B40" s="1947">
        <f>审定资负表!C37</f>
        <v>1554610.58</v>
      </c>
      <c r="C40" s="1947">
        <f>审定资负表!D37</f>
        <v>810692.23</v>
      </c>
      <c r="D40" s="1948">
        <f t="shared" si="0"/>
        <v>0.00320354207023556</v>
      </c>
      <c r="E40" s="1949">
        <f t="shared" si="1"/>
        <v>743918.35</v>
      </c>
      <c r="F40" s="1950">
        <f t="shared" si="2"/>
        <v>0.9176</v>
      </c>
      <c r="G40" s="1956" t="s">
        <v>2698</v>
      </c>
      <c r="H40" s="1952"/>
      <c r="I40" s="1952"/>
      <c r="J40" s="1952"/>
      <c r="K40" s="1952"/>
      <c r="L40" s="1952"/>
      <c r="M40" s="1952"/>
      <c r="N40" s="1952"/>
      <c r="O40" s="1952"/>
      <c r="P40" s="1952"/>
      <c r="Q40" s="1952"/>
      <c r="R40" s="1952"/>
      <c r="S40" s="1952"/>
      <c r="T40" s="1952"/>
      <c r="U40" s="1952"/>
      <c r="V40" s="1952"/>
      <c r="W40" s="1952"/>
      <c r="X40" s="1952"/>
      <c r="Y40" s="1952"/>
      <c r="Z40" s="1952"/>
      <c r="AA40" s="1952"/>
      <c r="AB40" s="1952"/>
      <c r="AC40" s="1952"/>
      <c r="AD40" s="1952"/>
      <c r="AE40" s="1952"/>
      <c r="AF40" s="1952"/>
      <c r="AG40" s="1952"/>
      <c r="AH40" s="1952"/>
      <c r="AI40" s="1952"/>
      <c r="AJ40" s="1952"/>
      <c r="AK40" s="1952"/>
      <c r="AL40" s="1952"/>
      <c r="AM40" s="1952"/>
      <c r="AN40" s="1952"/>
      <c r="AO40" s="1952"/>
      <c r="AP40" s="1952"/>
      <c r="AQ40" s="1952"/>
      <c r="AR40" s="1952"/>
      <c r="AS40" s="1952"/>
      <c r="AT40" s="1952"/>
      <c r="AU40" s="1952"/>
      <c r="AV40" s="1952"/>
      <c r="AW40" s="1952"/>
      <c r="AX40" s="1952"/>
      <c r="AY40" s="1952"/>
      <c r="AZ40" s="1952"/>
      <c r="BA40" s="1952"/>
      <c r="BB40" s="1952"/>
      <c r="BC40" s="1952"/>
      <c r="BD40" s="1952"/>
      <c r="BE40" s="1952"/>
      <c r="BF40" s="1952"/>
      <c r="BG40" s="1952"/>
      <c r="BH40" s="1952"/>
      <c r="BI40" s="1952"/>
      <c r="BJ40" s="1952"/>
      <c r="BK40" s="1952"/>
      <c r="BL40" s="1952"/>
      <c r="BM40" s="1952"/>
      <c r="BN40" s="1952"/>
      <c r="BO40" s="1952"/>
      <c r="BP40" s="1952"/>
      <c r="BQ40" s="1952"/>
      <c r="BR40" s="1952"/>
      <c r="BS40" s="1952"/>
      <c r="BT40" s="1952"/>
      <c r="BU40" s="1952"/>
      <c r="BV40" s="1952"/>
      <c r="BW40" s="1952"/>
      <c r="BX40" s="1952"/>
      <c r="BY40" s="1952"/>
      <c r="BZ40" s="1952"/>
      <c r="CA40" s="1952"/>
      <c r="CB40" s="1952"/>
      <c r="CC40" s="1952"/>
      <c r="CD40" s="1952"/>
      <c r="CE40" s="1952"/>
      <c r="CF40" s="1952"/>
      <c r="CG40" s="1952"/>
      <c r="CH40" s="1952"/>
      <c r="CI40" s="1952"/>
      <c r="CJ40" s="1952"/>
      <c r="CK40" s="1952"/>
      <c r="CL40" s="1952"/>
      <c r="CM40" s="1952"/>
      <c r="CN40" s="1952"/>
      <c r="CO40" s="1952"/>
      <c r="CP40" s="1952"/>
      <c r="CQ40" s="1952"/>
      <c r="CR40" s="1952"/>
      <c r="CS40" s="1952"/>
      <c r="CT40" s="1952"/>
      <c r="CU40" s="1952"/>
      <c r="CV40" s="1952"/>
      <c r="CW40" s="1952"/>
      <c r="CX40" s="1952"/>
      <c r="CY40" s="1952"/>
      <c r="CZ40" s="1952"/>
      <c r="DA40" s="1952"/>
      <c r="DB40" s="1952"/>
      <c r="DC40" s="1952"/>
      <c r="DD40" s="1952"/>
      <c r="DE40" s="1952"/>
      <c r="DF40" s="1952"/>
      <c r="DG40" s="1952"/>
      <c r="DH40" s="1952"/>
      <c r="DI40" s="1952"/>
      <c r="DJ40" s="1952"/>
      <c r="DK40" s="1952"/>
      <c r="DL40" s="1952"/>
      <c r="DM40" s="1952"/>
      <c r="DN40" s="1952"/>
      <c r="DO40" s="1952"/>
      <c r="DP40" s="1952"/>
      <c r="DQ40" s="1952"/>
      <c r="DR40" s="1952"/>
      <c r="DS40" s="1952"/>
      <c r="DT40" s="1952"/>
      <c r="DU40" s="1952"/>
      <c r="DV40" s="1952"/>
      <c r="DW40" s="1952"/>
      <c r="DX40" s="1952"/>
      <c r="DY40" s="1952"/>
      <c r="DZ40" s="1952"/>
      <c r="EA40" s="1952"/>
      <c r="EB40" s="1952"/>
      <c r="EC40" s="1952"/>
      <c r="ED40" s="1952"/>
      <c r="EE40" s="1952"/>
      <c r="EF40" s="1952"/>
      <c r="EG40" s="1952"/>
      <c r="EH40" s="1952"/>
      <c r="EI40" s="1952"/>
      <c r="EJ40" s="1952"/>
      <c r="EK40" s="1952"/>
      <c r="EL40" s="1952"/>
      <c r="EM40" s="1952"/>
      <c r="EN40" s="1952"/>
      <c r="EO40" s="1952"/>
      <c r="EP40" s="1952"/>
      <c r="EQ40" s="1952"/>
      <c r="ER40" s="1952"/>
      <c r="ES40" s="1952"/>
      <c r="ET40" s="1952"/>
      <c r="EU40" s="1952"/>
      <c r="EV40" s="1952"/>
      <c r="EW40" s="1952"/>
      <c r="EX40" s="1952"/>
      <c r="EY40" s="1952"/>
      <c r="EZ40" s="1952"/>
      <c r="FA40" s="1952"/>
      <c r="FB40" s="1952"/>
      <c r="FC40" s="1952"/>
      <c r="FD40" s="1952"/>
      <c r="FE40" s="1952"/>
      <c r="FF40" s="1952"/>
      <c r="FG40" s="1952"/>
      <c r="FH40" s="1952"/>
      <c r="FI40" s="1952"/>
      <c r="FJ40" s="1952"/>
      <c r="FK40" s="1952"/>
      <c r="FL40" s="1952"/>
      <c r="FM40" s="1952"/>
      <c r="FN40" s="1952"/>
      <c r="FO40" s="1952"/>
      <c r="FP40" s="1952"/>
      <c r="FQ40" s="1952"/>
      <c r="FR40" s="1952"/>
      <c r="FS40" s="1952"/>
      <c r="FT40" s="1952"/>
      <c r="FU40" s="1952"/>
      <c r="FV40" s="1952"/>
      <c r="FW40" s="1952"/>
      <c r="FX40" s="1952"/>
      <c r="FY40" s="1952"/>
      <c r="FZ40" s="1952"/>
      <c r="GA40" s="1952"/>
      <c r="GB40" s="1952"/>
      <c r="GC40" s="1952"/>
      <c r="GD40" s="1952"/>
      <c r="GE40" s="1952"/>
      <c r="GF40" s="1952"/>
      <c r="GG40" s="1952"/>
      <c r="GH40" s="1952"/>
      <c r="GI40" s="1952"/>
      <c r="GJ40" s="1952"/>
      <c r="GK40" s="1952"/>
      <c r="GL40" s="1952"/>
      <c r="GM40" s="1952"/>
      <c r="GN40" s="1952"/>
      <c r="GO40" s="1952"/>
      <c r="GP40" s="1952"/>
      <c r="GQ40" s="1952"/>
      <c r="GR40" s="1952"/>
      <c r="GS40" s="1952"/>
      <c r="GT40" s="1952"/>
      <c r="GU40" s="1952"/>
      <c r="GV40" s="1952"/>
      <c r="GW40" s="1952"/>
      <c r="GX40" s="1952"/>
      <c r="GY40" s="1952"/>
      <c r="GZ40" s="1952"/>
      <c r="HA40" s="1952"/>
      <c r="HB40" s="1952"/>
      <c r="HC40" s="1952"/>
      <c r="HD40" s="1952"/>
      <c r="HE40" s="1952"/>
      <c r="HF40" s="1952"/>
      <c r="HG40" s="1952"/>
      <c r="HH40" s="1952"/>
      <c r="HI40" s="1952"/>
      <c r="HJ40" s="1952"/>
      <c r="HK40" s="1952"/>
      <c r="HL40" s="1952"/>
      <c r="HM40" s="1952"/>
      <c r="HN40" s="1952"/>
      <c r="HO40" s="1952"/>
      <c r="HP40" s="1952"/>
      <c r="HQ40" s="1952"/>
      <c r="HR40" s="1952"/>
      <c r="HS40" s="1952"/>
      <c r="HT40" s="1952"/>
      <c r="HU40" s="1952"/>
      <c r="HV40" s="1952"/>
      <c r="HW40" s="1952"/>
      <c r="HX40" s="1952"/>
      <c r="HY40" s="1952"/>
      <c r="HZ40" s="1952"/>
      <c r="IA40" s="1952"/>
      <c r="IB40" s="1952"/>
      <c r="IC40" s="1952"/>
      <c r="ID40" s="1952"/>
      <c r="IE40" s="1952"/>
      <c r="IF40" s="1952"/>
      <c r="IG40" s="1952"/>
      <c r="IH40" s="1952"/>
      <c r="II40" s="1952"/>
      <c r="IJ40" s="1952"/>
      <c r="IK40" s="1952"/>
      <c r="IL40" s="1952"/>
      <c r="IM40" s="1952"/>
    </row>
    <row r="41" ht="16.5" spans="1:247">
      <c r="A41" s="1946" t="s">
        <v>254</v>
      </c>
      <c r="B41" s="1947">
        <f>审定资负表!C38</f>
        <v>0</v>
      </c>
      <c r="C41" s="1947">
        <f>审定资负表!D38</f>
        <v>0</v>
      </c>
      <c r="D41" s="1948" t="str">
        <f t="shared" si="0"/>
        <v> </v>
      </c>
      <c r="E41" s="1949">
        <f t="shared" si="1"/>
        <v>0</v>
      </c>
      <c r="F41" s="1950">
        <f t="shared" si="2"/>
        <v>0</v>
      </c>
      <c r="G41" s="1956"/>
      <c r="H41" s="1952"/>
      <c r="I41" s="1952"/>
      <c r="J41" s="1952"/>
      <c r="K41" s="1952"/>
      <c r="L41" s="1952"/>
      <c r="M41" s="1952"/>
      <c r="N41" s="1952"/>
      <c r="O41" s="1952"/>
      <c r="P41" s="1952"/>
      <c r="Q41" s="1952"/>
      <c r="R41" s="1952"/>
      <c r="S41" s="1952"/>
      <c r="T41" s="1952"/>
      <c r="U41" s="1952"/>
      <c r="V41" s="1952"/>
      <c r="W41" s="1952"/>
      <c r="X41" s="1952"/>
      <c r="Y41" s="1952"/>
      <c r="Z41" s="1952"/>
      <c r="AA41" s="1952"/>
      <c r="AB41" s="1952"/>
      <c r="AC41" s="1952"/>
      <c r="AD41" s="1952"/>
      <c r="AE41" s="1952"/>
      <c r="AF41" s="1952"/>
      <c r="AG41" s="1952"/>
      <c r="AH41" s="1952"/>
      <c r="AI41" s="1952"/>
      <c r="AJ41" s="1952"/>
      <c r="AK41" s="1952"/>
      <c r="AL41" s="1952"/>
      <c r="AM41" s="1952"/>
      <c r="AN41" s="1952"/>
      <c r="AO41" s="1952"/>
      <c r="AP41" s="1952"/>
      <c r="AQ41" s="1952"/>
      <c r="AR41" s="1952"/>
      <c r="AS41" s="1952"/>
      <c r="AT41" s="1952"/>
      <c r="AU41" s="1952"/>
      <c r="AV41" s="1952"/>
      <c r="AW41" s="1952"/>
      <c r="AX41" s="1952"/>
      <c r="AY41" s="1952"/>
      <c r="AZ41" s="1952"/>
      <c r="BA41" s="1952"/>
      <c r="BB41" s="1952"/>
      <c r="BC41" s="1952"/>
      <c r="BD41" s="1952"/>
      <c r="BE41" s="1952"/>
      <c r="BF41" s="1952"/>
      <c r="BG41" s="1952"/>
      <c r="BH41" s="1952"/>
      <c r="BI41" s="1952"/>
      <c r="BJ41" s="1952"/>
      <c r="BK41" s="1952"/>
      <c r="BL41" s="1952"/>
      <c r="BM41" s="1952"/>
      <c r="BN41" s="1952"/>
      <c r="BO41" s="1952"/>
      <c r="BP41" s="1952"/>
      <c r="BQ41" s="1952"/>
      <c r="BR41" s="1952"/>
      <c r="BS41" s="1952"/>
      <c r="BT41" s="1952"/>
      <c r="BU41" s="1952"/>
      <c r="BV41" s="1952"/>
      <c r="BW41" s="1952"/>
      <c r="BX41" s="1952"/>
      <c r="BY41" s="1952"/>
      <c r="BZ41" s="1952"/>
      <c r="CA41" s="1952"/>
      <c r="CB41" s="1952"/>
      <c r="CC41" s="1952"/>
      <c r="CD41" s="1952"/>
      <c r="CE41" s="1952"/>
      <c r="CF41" s="1952"/>
      <c r="CG41" s="1952"/>
      <c r="CH41" s="1952"/>
      <c r="CI41" s="1952"/>
      <c r="CJ41" s="1952"/>
      <c r="CK41" s="1952"/>
      <c r="CL41" s="1952"/>
      <c r="CM41" s="1952"/>
      <c r="CN41" s="1952"/>
      <c r="CO41" s="1952"/>
      <c r="CP41" s="1952"/>
      <c r="CQ41" s="1952"/>
      <c r="CR41" s="1952"/>
      <c r="CS41" s="1952"/>
      <c r="CT41" s="1952"/>
      <c r="CU41" s="1952"/>
      <c r="CV41" s="1952"/>
      <c r="CW41" s="1952"/>
      <c r="CX41" s="1952"/>
      <c r="CY41" s="1952"/>
      <c r="CZ41" s="1952"/>
      <c r="DA41" s="1952"/>
      <c r="DB41" s="1952"/>
      <c r="DC41" s="1952"/>
      <c r="DD41" s="1952"/>
      <c r="DE41" s="1952"/>
      <c r="DF41" s="1952"/>
      <c r="DG41" s="1952"/>
      <c r="DH41" s="1952"/>
      <c r="DI41" s="1952"/>
      <c r="DJ41" s="1952"/>
      <c r="DK41" s="1952"/>
      <c r="DL41" s="1952"/>
      <c r="DM41" s="1952"/>
      <c r="DN41" s="1952"/>
      <c r="DO41" s="1952"/>
      <c r="DP41" s="1952"/>
      <c r="DQ41" s="1952"/>
      <c r="DR41" s="1952"/>
      <c r="DS41" s="1952"/>
      <c r="DT41" s="1952"/>
      <c r="DU41" s="1952"/>
      <c r="DV41" s="1952"/>
      <c r="DW41" s="1952"/>
      <c r="DX41" s="1952"/>
      <c r="DY41" s="1952"/>
      <c r="DZ41" s="1952"/>
      <c r="EA41" s="1952"/>
      <c r="EB41" s="1952"/>
      <c r="EC41" s="1952"/>
      <c r="ED41" s="1952"/>
      <c r="EE41" s="1952"/>
      <c r="EF41" s="1952"/>
      <c r="EG41" s="1952"/>
      <c r="EH41" s="1952"/>
      <c r="EI41" s="1952"/>
      <c r="EJ41" s="1952"/>
      <c r="EK41" s="1952"/>
      <c r="EL41" s="1952"/>
      <c r="EM41" s="1952"/>
      <c r="EN41" s="1952"/>
      <c r="EO41" s="1952"/>
      <c r="EP41" s="1952"/>
      <c r="EQ41" s="1952"/>
      <c r="ER41" s="1952"/>
      <c r="ES41" s="1952"/>
      <c r="ET41" s="1952"/>
      <c r="EU41" s="1952"/>
      <c r="EV41" s="1952"/>
      <c r="EW41" s="1952"/>
      <c r="EX41" s="1952"/>
      <c r="EY41" s="1952"/>
      <c r="EZ41" s="1952"/>
      <c r="FA41" s="1952"/>
      <c r="FB41" s="1952"/>
      <c r="FC41" s="1952"/>
      <c r="FD41" s="1952"/>
      <c r="FE41" s="1952"/>
      <c r="FF41" s="1952"/>
      <c r="FG41" s="1952"/>
      <c r="FH41" s="1952"/>
      <c r="FI41" s="1952"/>
      <c r="FJ41" s="1952"/>
      <c r="FK41" s="1952"/>
      <c r="FL41" s="1952"/>
      <c r="FM41" s="1952"/>
      <c r="FN41" s="1952"/>
      <c r="FO41" s="1952"/>
      <c r="FP41" s="1952"/>
      <c r="FQ41" s="1952"/>
      <c r="FR41" s="1952"/>
      <c r="FS41" s="1952"/>
      <c r="FT41" s="1952"/>
      <c r="FU41" s="1952"/>
      <c r="FV41" s="1952"/>
      <c r="FW41" s="1952"/>
      <c r="FX41" s="1952"/>
      <c r="FY41" s="1952"/>
      <c r="FZ41" s="1952"/>
      <c r="GA41" s="1952"/>
      <c r="GB41" s="1952"/>
      <c r="GC41" s="1952"/>
      <c r="GD41" s="1952"/>
      <c r="GE41" s="1952"/>
      <c r="GF41" s="1952"/>
      <c r="GG41" s="1952"/>
      <c r="GH41" s="1952"/>
      <c r="GI41" s="1952"/>
      <c r="GJ41" s="1952"/>
      <c r="GK41" s="1952"/>
      <c r="GL41" s="1952"/>
      <c r="GM41" s="1952"/>
      <c r="GN41" s="1952"/>
      <c r="GO41" s="1952"/>
      <c r="GP41" s="1952"/>
      <c r="GQ41" s="1952"/>
      <c r="GR41" s="1952"/>
      <c r="GS41" s="1952"/>
      <c r="GT41" s="1952"/>
      <c r="GU41" s="1952"/>
      <c r="GV41" s="1952"/>
      <c r="GW41" s="1952"/>
      <c r="GX41" s="1952"/>
      <c r="GY41" s="1952"/>
      <c r="GZ41" s="1952"/>
      <c r="HA41" s="1952"/>
      <c r="HB41" s="1952"/>
      <c r="HC41" s="1952"/>
      <c r="HD41" s="1952"/>
      <c r="HE41" s="1952"/>
      <c r="HF41" s="1952"/>
      <c r="HG41" s="1952"/>
      <c r="HH41" s="1952"/>
      <c r="HI41" s="1952"/>
      <c r="HJ41" s="1952"/>
      <c r="HK41" s="1952"/>
      <c r="HL41" s="1952"/>
      <c r="HM41" s="1952"/>
      <c r="HN41" s="1952"/>
      <c r="HO41" s="1952"/>
      <c r="HP41" s="1952"/>
      <c r="HQ41" s="1952"/>
      <c r="HR41" s="1952"/>
      <c r="HS41" s="1952"/>
      <c r="HT41" s="1952"/>
      <c r="HU41" s="1952"/>
      <c r="HV41" s="1952"/>
      <c r="HW41" s="1952"/>
      <c r="HX41" s="1952"/>
      <c r="HY41" s="1952"/>
      <c r="HZ41" s="1952"/>
      <c r="IA41" s="1952"/>
      <c r="IB41" s="1952"/>
      <c r="IC41" s="1952"/>
      <c r="ID41" s="1952"/>
      <c r="IE41" s="1952"/>
      <c r="IF41" s="1952"/>
      <c r="IG41" s="1952"/>
      <c r="IH41" s="1952"/>
      <c r="II41" s="1952"/>
      <c r="IJ41" s="1952"/>
      <c r="IK41" s="1952"/>
      <c r="IL41" s="1952"/>
      <c r="IM41" s="1952"/>
    </row>
    <row r="42" ht="16.5" spans="1:247">
      <c r="A42" s="1946" t="s">
        <v>1847</v>
      </c>
      <c r="B42" s="1947">
        <f>审定资负表!C39</f>
        <v>0</v>
      </c>
      <c r="C42" s="1947">
        <f>审定资负表!D39</f>
        <v>0</v>
      </c>
      <c r="D42" s="1948" t="str">
        <f t="shared" si="0"/>
        <v> </v>
      </c>
      <c r="E42" s="1949">
        <f t="shared" si="1"/>
        <v>0</v>
      </c>
      <c r="F42" s="1950">
        <f t="shared" si="2"/>
        <v>0</v>
      </c>
      <c r="G42" s="1956"/>
      <c r="H42" s="1952"/>
      <c r="I42" s="1952"/>
      <c r="J42" s="1952"/>
      <c r="K42" s="1952"/>
      <c r="L42" s="1952"/>
      <c r="M42" s="1952"/>
      <c r="N42" s="1952"/>
      <c r="O42" s="1952"/>
      <c r="P42" s="1952"/>
      <c r="Q42" s="1952"/>
      <c r="R42" s="1952"/>
      <c r="S42" s="1952"/>
      <c r="T42" s="1952"/>
      <c r="U42" s="1952"/>
      <c r="V42" s="1952"/>
      <c r="W42" s="1952"/>
      <c r="X42" s="1952"/>
      <c r="Y42" s="1952"/>
      <c r="Z42" s="1952"/>
      <c r="AA42" s="1952"/>
      <c r="AB42" s="1952"/>
      <c r="AC42" s="1952"/>
      <c r="AD42" s="1952"/>
      <c r="AE42" s="1952"/>
      <c r="AF42" s="1952"/>
      <c r="AG42" s="1952"/>
      <c r="AH42" s="1952"/>
      <c r="AI42" s="1952"/>
      <c r="AJ42" s="1952"/>
      <c r="AK42" s="1952"/>
      <c r="AL42" s="1952"/>
      <c r="AM42" s="1952"/>
      <c r="AN42" s="1952"/>
      <c r="AO42" s="1952"/>
      <c r="AP42" s="1952"/>
      <c r="AQ42" s="1952"/>
      <c r="AR42" s="1952"/>
      <c r="AS42" s="1952"/>
      <c r="AT42" s="1952"/>
      <c r="AU42" s="1952"/>
      <c r="AV42" s="1952"/>
      <c r="AW42" s="1952"/>
      <c r="AX42" s="1952"/>
      <c r="AY42" s="1952"/>
      <c r="AZ42" s="1952"/>
      <c r="BA42" s="1952"/>
      <c r="BB42" s="1952"/>
      <c r="BC42" s="1952"/>
      <c r="BD42" s="1952"/>
      <c r="BE42" s="1952"/>
      <c r="BF42" s="1952"/>
      <c r="BG42" s="1952"/>
      <c r="BH42" s="1952"/>
      <c r="BI42" s="1952"/>
      <c r="BJ42" s="1952"/>
      <c r="BK42" s="1952"/>
      <c r="BL42" s="1952"/>
      <c r="BM42" s="1952"/>
      <c r="BN42" s="1952"/>
      <c r="BO42" s="1952"/>
      <c r="BP42" s="1952"/>
      <c r="BQ42" s="1952"/>
      <c r="BR42" s="1952"/>
      <c r="BS42" s="1952"/>
      <c r="BT42" s="1952"/>
      <c r="BU42" s="1952"/>
      <c r="BV42" s="1952"/>
      <c r="BW42" s="1952"/>
      <c r="BX42" s="1952"/>
      <c r="BY42" s="1952"/>
      <c r="BZ42" s="1952"/>
      <c r="CA42" s="1952"/>
      <c r="CB42" s="1952"/>
      <c r="CC42" s="1952"/>
      <c r="CD42" s="1952"/>
      <c r="CE42" s="1952"/>
      <c r="CF42" s="1952"/>
      <c r="CG42" s="1952"/>
      <c r="CH42" s="1952"/>
      <c r="CI42" s="1952"/>
      <c r="CJ42" s="1952"/>
      <c r="CK42" s="1952"/>
      <c r="CL42" s="1952"/>
      <c r="CM42" s="1952"/>
      <c r="CN42" s="1952"/>
      <c r="CO42" s="1952"/>
      <c r="CP42" s="1952"/>
      <c r="CQ42" s="1952"/>
      <c r="CR42" s="1952"/>
      <c r="CS42" s="1952"/>
      <c r="CT42" s="1952"/>
      <c r="CU42" s="1952"/>
      <c r="CV42" s="1952"/>
      <c r="CW42" s="1952"/>
      <c r="CX42" s="1952"/>
      <c r="CY42" s="1952"/>
      <c r="CZ42" s="1952"/>
      <c r="DA42" s="1952"/>
      <c r="DB42" s="1952"/>
      <c r="DC42" s="1952"/>
      <c r="DD42" s="1952"/>
      <c r="DE42" s="1952"/>
      <c r="DF42" s="1952"/>
      <c r="DG42" s="1952"/>
      <c r="DH42" s="1952"/>
      <c r="DI42" s="1952"/>
      <c r="DJ42" s="1952"/>
      <c r="DK42" s="1952"/>
      <c r="DL42" s="1952"/>
      <c r="DM42" s="1952"/>
      <c r="DN42" s="1952"/>
      <c r="DO42" s="1952"/>
      <c r="DP42" s="1952"/>
      <c r="DQ42" s="1952"/>
      <c r="DR42" s="1952"/>
      <c r="DS42" s="1952"/>
      <c r="DT42" s="1952"/>
      <c r="DU42" s="1952"/>
      <c r="DV42" s="1952"/>
      <c r="DW42" s="1952"/>
      <c r="DX42" s="1952"/>
      <c r="DY42" s="1952"/>
      <c r="DZ42" s="1952"/>
      <c r="EA42" s="1952"/>
      <c r="EB42" s="1952"/>
      <c r="EC42" s="1952"/>
      <c r="ED42" s="1952"/>
      <c r="EE42" s="1952"/>
      <c r="EF42" s="1952"/>
      <c r="EG42" s="1952"/>
      <c r="EH42" s="1952"/>
      <c r="EI42" s="1952"/>
      <c r="EJ42" s="1952"/>
      <c r="EK42" s="1952"/>
      <c r="EL42" s="1952"/>
      <c r="EM42" s="1952"/>
      <c r="EN42" s="1952"/>
      <c r="EO42" s="1952"/>
      <c r="EP42" s="1952"/>
      <c r="EQ42" s="1952"/>
      <c r="ER42" s="1952"/>
      <c r="ES42" s="1952"/>
      <c r="ET42" s="1952"/>
      <c r="EU42" s="1952"/>
      <c r="EV42" s="1952"/>
      <c r="EW42" s="1952"/>
      <c r="EX42" s="1952"/>
      <c r="EY42" s="1952"/>
      <c r="EZ42" s="1952"/>
      <c r="FA42" s="1952"/>
      <c r="FB42" s="1952"/>
      <c r="FC42" s="1952"/>
      <c r="FD42" s="1952"/>
      <c r="FE42" s="1952"/>
      <c r="FF42" s="1952"/>
      <c r="FG42" s="1952"/>
      <c r="FH42" s="1952"/>
      <c r="FI42" s="1952"/>
      <c r="FJ42" s="1952"/>
      <c r="FK42" s="1952"/>
      <c r="FL42" s="1952"/>
      <c r="FM42" s="1952"/>
      <c r="FN42" s="1952"/>
      <c r="FO42" s="1952"/>
      <c r="FP42" s="1952"/>
      <c r="FQ42" s="1952"/>
      <c r="FR42" s="1952"/>
      <c r="FS42" s="1952"/>
      <c r="FT42" s="1952"/>
      <c r="FU42" s="1952"/>
      <c r="FV42" s="1952"/>
      <c r="FW42" s="1952"/>
      <c r="FX42" s="1952"/>
      <c r="FY42" s="1952"/>
      <c r="FZ42" s="1952"/>
      <c r="GA42" s="1952"/>
      <c r="GB42" s="1952"/>
      <c r="GC42" s="1952"/>
      <c r="GD42" s="1952"/>
      <c r="GE42" s="1952"/>
      <c r="GF42" s="1952"/>
      <c r="GG42" s="1952"/>
      <c r="GH42" s="1952"/>
      <c r="GI42" s="1952"/>
      <c r="GJ42" s="1952"/>
      <c r="GK42" s="1952"/>
      <c r="GL42" s="1952"/>
      <c r="GM42" s="1952"/>
      <c r="GN42" s="1952"/>
      <c r="GO42" s="1952"/>
      <c r="GP42" s="1952"/>
      <c r="GQ42" s="1952"/>
      <c r="GR42" s="1952"/>
      <c r="GS42" s="1952"/>
      <c r="GT42" s="1952"/>
      <c r="GU42" s="1952"/>
      <c r="GV42" s="1952"/>
      <c r="GW42" s="1952"/>
      <c r="GX42" s="1952"/>
      <c r="GY42" s="1952"/>
      <c r="GZ42" s="1952"/>
      <c r="HA42" s="1952"/>
      <c r="HB42" s="1952"/>
      <c r="HC42" s="1952"/>
      <c r="HD42" s="1952"/>
      <c r="HE42" s="1952"/>
      <c r="HF42" s="1952"/>
      <c r="HG42" s="1952"/>
      <c r="HH42" s="1952"/>
      <c r="HI42" s="1952"/>
      <c r="HJ42" s="1952"/>
      <c r="HK42" s="1952"/>
      <c r="HL42" s="1952"/>
      <c r="HM42" s="1952"/>
      <c r="HN42" s="1952"/>
      <c r="HO42" s="1952"/>
      <c r="HP42" s="1952"/>
      <c r="HQ42" s="1952"/>
      <c r="HR42" s="1952"/>
      <c r="HS42" s="1952"/>
      <c r="HT42" s="1952"/>
      <c r="HU42" s="1952"/>
      <c r="HV42" s="1952"/>
      <c r="HW42" s="1952"/>
      <c r="HX42" s="1952"/>
      <c r="HY42" s="1952"/>
      <c r="HZ42" s="1952"/>
      <c r="IA42" s="1952"/>
      <c r="IB42" s="1952"/>
      <c r="IC42" s="1952"/>
      <c r="ID42" s="1952"/>
      <c r="IE42" s="1952"/>
      <c r="IF42" s="1952"/>
      <c r="IG42" s="1952"/>
      <c r="IH42" s="1952"/>
      <c r="II42" s="1952"/>
      <c r="IJ42" s="1952"/>
      <c r="IK42" s="1952"/>
      <c r="IL42" s="1952"/>
      <c r="IM42" s="1952"/>
    </row>
    <row r="43" ht="16.5" spans="1:247">
      <c r="A43" s="1954" t="s">
        <v>257</v>
      </c>
      <c r="B43" s="1947">
        <f>审定资负表!C40</f>
        <v>191460675.95</v>
      </c>
      <c r="C43" s="1947">
        <f>审定资负表!D40</f>
        <v>84805098.52</v>
      </c>
      <c r="D43" s="1948">
        <f t="shared" si="0"/>
        <v>0.394537601951456</v>
      </c>
      <c r="E43" s="1949">
        <f t="shared" si="1"/>
        <v>106655577.43</v>
      </c>
      <c r="F43" s="1950">
        <f t="shared" si="2"/>
        <v>1.2577</v>
      </c>
      <c r="G43" s="1956"/>
      <c r="H43" s="1952"/>
      <c r="I43" s="1952"/>
      <c r="J43" s="1952"/>
      <c r="K43" s="1952"/>
      <c r="L43" s="1952"/>
      <c r="M43" s="1952"/>
      <c r="N43" s="1952"/>
      <c r="O43" s="1952"/>
      <c r="P43" s="1952"/>
      <c r="Q43" s="1952"/>
      <c r="R43" s="1952"/>
      <c r="S43" s="1952"/>
      <c r="T43" s="1952"/>
      <c r="U43" s="1952"/>
      <c r="V43" s="1952"/>
      <c r="W43" s="1952"/>
      <c r="X43" s="1952"/>
      <c r="Y43" s="1952"/>
      <c r="Z43" s="1952"/>
      <c r="AA43" s="1952"/>
      <c r="AB43" s="1952"/>
      <c r="AC43" s="1952"/>
      <c r="AD43" s="1952"/>
      <c r="AE43" s="1952"/>
      <c r="AF43" s="1952"/>
      <c r="AG43" s="1952"/>
      <c r="AH43" s="1952"/>
      <c r="AI43" s="1952"/>
      <c r="AJ43" s="1952"/>
      <c r="AK43" s="1952"/>
      <c r="AL43" s="1952"/>
      <c r="AM43" s="1952"/>
      <c r="AN43" s="1952"/>
      <c r="AO43" s="1952"/>
      <c r="AP43" s="1952"/>
      <c r="AQ43" s="1952"/>
      <c r="AR43" s="1952"/>
      <c r="AS43" s="1952"/>
      <c r="AT43" s="1952"/>
      <c r="AU43" s="1952"/>
      <c r="AV43" s="1952"/>
      <c r="AW43" s="1952"/>
      <c r="AX43" s="1952"/>
      <c r="AY43" s="1952"/>
      <c r="AZ43" s="1952"/>
      <c r="BA43" s="1952"/>
      <c r="BB43" s="1952"/>
      <c r="BC43" s="1952"/>
      <c r="BD43" s="1952"/>
      <c r="BE43" s="1952"/>
      <c r="BF43" s="1952"/>
      <c r="BG43" s="1952"/>
      <c r="BH43" s="1952"/>
      <c r="BI43" s="1952"/>
      <c r="BJ43" s="1952"/>
      <c r="BK43" s="1952"/>
      <c r="BL43" s="1952"/>
      <c r="BM43" s="1952"/>
      <c r="BN43" s="1952"/>
      <c r="BO43" s="1952"/>
      <c r="BP43" s="1952"/>
      <c r="BQ43" s="1952"/>
      <c r="BR43" s="1952"/>
      <c r="BS43" s="1952"/>
      <c r="BT43" s="1952"/>
      <c r="BU43" s="1952"/>
      <c r="BV43" s="1952"/>
      <c r="BW43" s="1952"/>
      <c r="BX43" s="1952"/>
      <c r="BY43" s="1952"/>
      <c r="BZ43" s="1952"/>
      <c r="CA43" s="1952"/>
      <c r="CB43" s="1952"/>
      <c r="CC43" s="1952"/>
      <c r="CD43" s="1952"/>
      <c r="CE43" s="1952"/>
      <c r="CF43" s="1952"/>
      <c r="CG43" s="1952"/>
      <c r="CH43" s="1952"/>
      <c r="CI43" s="1952"/>
      <c r="CJ43" s="1952"/>
      <c r="CK43" s="1952"/>
      <c r="CL43" s="1952"/>
      <c r="CM43" s="1952"/>
      <c r="CN43" s="1952"/>
      <c r="CO43" s="1952"/>
      <c r="CP43" s="1952"/>
      <c r="CQ43" s="1952"/>
      <c r="CR43" s="1952"/>
      <c r="CS43" s="1952"/>
      <c r="CT43" s="1952"/>
      <c r="CU43" s="1952"/>
      <c r="CV43" s="1952"/>
      <c r="CW43" s="1952"/>
      <c r="CX43" s="1952"/>
      <c r="CY43" s="1952"/>
      <c r="CZ43" s="1952"/>
      <c r="DA43" s="1952"/>
      <c r="DB43" s="1952"/>
      <c r="DC43" s="1952"/>
      <c r="DD43" s="1952"/>
      <c r="DE43" s="1952"/>
      <c r="DF43" s="1952"/>
      <c r="DG43" s="1952"/>
      <c r="DH43" s="1952"/>
      <c r="DI43" s="1952"/>
      <c r="DJ43" s="1952"/>
      <c r="DK43" s="1952"/>
      <c r="DL43" s="1952"/>
      <c r="DM43" s="1952"/>
      <c r="DN43" s="1952"/>
      <c r="DO43" s="1952"/>
      <c r="DP43" s="1952"/>
      <c r="DQ43" s="1952"/>
      <c r="DR43" s="1952"/>
      <c r="DS43" s="1952"/>
      <c r="DT43" s="1952"/>
      <c r="DU43" s="1952"/>
      <c r="DV43" s="1952"/>
      <c r="DW43" s="1952"/>
      <c r="DX43" s="1952"/>
      <c r="DY43" s="1952"/>
      <c r="DZ43" s="1952"/>
      <c r="EA43" s="1952"/>
      <c r="EB43" s="1952"/>
      <c r="EC43" s="1952"/>
      <c r="ED43" s="1952"/>
      <c r="EE43" s="1952"/>
      <c r="EF43" s="1952"/>
      <c r="EG43" s="1952"/>
      <c r="EH43" s="1952"/>
      <c r="EI43" s="1952"/>
      <c r="EJ43" s="1952"/>
      <c r="EK43" s="1952"/>
      <c r="EL43" s="1952"/>
      <c r="EM43" s="1952"/>
      <c r="EN43" s="1952"/>
      <c r="EO43" s="1952"/>
      <c r="EP43" s="1952"/>
      <c r="EQ43" s="1952"/>
      <c r="ER43" s="1952"/>
      <c r="ES43" s="1952"/>
      <c r="ET43" s="1952"/>
      <c r="EU43" s="1952"/>
      <c r="EV43" s="1952"/>
      <c r="EW43" s="1952"/>
      <c r="EX43" s="1952"/>
      <c r="EY43" s="1952"/>
      <c r="EZ43" s="1952"/>
      <c r="FA43" s="1952"/>
      <c r="FB43" s="1952"/>
      <c r="FC43" s="1952"/>
      <c r="FD43" s="1952"/>
      <c r="FE43" s="1952"/>
      <c r="FF43" s="1952"/>
      <c r="FG43" s="1952"/>
      <c r="FH43" s="1952"/>
      <c r="FI43" s="1952"/>
      <c r="FJ43" s="1952"/>
      <c r="FK43" s="1952"/>
      <c r="FL43" s="1952"/>
      <c r="FM43" s="1952"/>
      <c r="FN43" s="1952"/>
      <c r="FO43" s="1952"/>
      <c r="FP43" s="1952"/>
      <c r="FQ43" s="1952"/>
      <c r="FR43" s="1952"/>
      <c r="FS43" s="1952"/>
      <c r="FT43" s="1952"/>
      <c r="FU43" s="1952"/>
      <c r="FV43" s="1952"/>
      <c r="FW43" s="1952"/>
      <c r="FX43" s="1952"/>
      <c r="FY43" s="1952"/>
      <c r="FZ43" s="1952"/>
      <c r="GA43" s="1952"/>
      <c r="GB43" s="1952"/>
      <c r="GC43" s="1952"/>
      <c r="GD43" s="1952"/>
      <c r="GE43" s="1952"/>
      <c r="GF43" s="1952"/>
      <c r="GG43" s="1952"/>
      <c r="GH43" s="1952"/>
      <c r="GI43" s="1952"/>
      <c r="GJ43" s="1952"/>
      <c r="GK43" s="1952"/>
      <c r="GL43" s="1952"/>
      <c r="GM43" s="1952"/>
      <c r="GN43" s="1952"/>
      <c r="GO43" s="1952"/>
      <c r="GP43" s="1952"/>
      <c r="GQ43" s="1952"/>
      <c r="GR43" s="1952"/>
      <c r="GS43" s="1952"/>
      <c r="GT43" s="1952"/>
      <c r="GU43" s="1952"/>
      <c r="GV43" s="1952"/>
      <c r="GW43" s="1952"/>
      <c r="GX43" s="1952"/>
      <c r="GY43" s="1952"/>
      <c r="GZ43" s="1952"/>
      <c r="HA43" s="1952"/>
      <c r="HB43" s="1952"/>
      <c r="HC43" s="1952"/>
      <c r="HD43" s="1952"/>
      <c r="HE43" s="1952"/>
      <c r="HF43" s="1952"/>
      <c r="HG43" s="1952"/>
      <c r="HH43" s="1952"/>
      <c r="HI43" s="1952"/>
      <c r="HJ43" s="1952"/>
      <c r="HK43" s="1952"/>
      <c r="HL43" s="1952"/>
      <c r="HM43" s="1952"/>
      <c r="HN43" s="1952"/>
      <c r="HO43" s="1952"/>
      <c r="HP43" s="1952"/>
      <c r="HQ43" s="1952"/>
      <c r="HR43" s="1952"/>
      <c r="HS43" s="1952"/>
      <c r="HT43" s="1952"/>
      <c r="HU43" s="1952"/>
      <c r="HV43" s="1952"/>
      <c r="HW43" s="1952"/>
      <c r="HX43" s="1952"/>
      <c r="HY43" s="1952"/>
      <c r="HZ43" s="1952"/>
      <c r="IA43" s="1952"/>
      <c r="IB43" s="1952"/>
      <c r="IC43" s="1952"/>
      <c r="ID43" s="1952"/>
      <c r="IE43" s="1952"/>
      <c r="IF43" s="1952"/>
      <c r="IG43" s="1952"/>
      <c r="IH43" s="1952"/>
      <c r="II43" s="1952"/>
      <c r="IJ43" s="1952"/>
      <c r="IK43" s="1952"/>
      <c r="IL43" s="1952"/>
      <c r="IM43" s="1952"/>
    </row>
    <row r="44" ht="16.5" spans="1:247">
      <c r="A44" s="1946"/>
      <c r="B44" s="1947">
        <f>审定资负表!C41</f>
        <v>0</v>
      </c>
      <c r="C44" s="1947">
        <f>审定资负表!D41</f>
        <v>0</v>
      </c>
      <c r="D44" s="1948" t="str">
        <f t="shared" si="0"/>
        <v> </v>
      </c>
      <c r="E44" s="1949">
        <f t="shared" si="1"/>
        <v>0</v>
      </c>
      <c r="F44" s="1950">
        <f t="shared" si="2"/>
        <v>0</v>
      </c>
      <c r="G44" s="1956"/>
      <c r="H44" s="1952"/>
      <c r="I44" s="1952"/>
      <c r="J44" s="1952"/>
      <c r="K44" s="1952"/>
      <c r="L44" s="1952"/>
      <c r="M44" s="1952"/>
      <c r="N44" s="1952"/>
      <c r="O44" s="1952"/>
      <c r="P44" s="1952"/>
      <c r="Q44" s="1952"/>
      <c r="R44" s="1952"/>
      <c r="S44" s="1952"/>
      <c r="T44" s="1952"/>
      <c r="U44" s="1952"/>
      <c r="V44" s="1952"/>
      <c r="W44" s="1952"/>
      <c r="X44" s="1952"/>
      <c r="Y44" s="1952"/>
      <c r="Z44" s="1952"/>
      <c r="AA44" s="1952"/>
      <c r="AB44" s="1952"/>
      <c r="AC44" s="1952"/>
      <c r="AD44" s="1952"/>
      <c r="AE44" s="1952"/>
      <c r="AF44" s="1952"/>
      <c r="AG44" s="1952"/>
      <c r="AH44" s="1952"/>
      <c r="AI44" s="1952"/>
      <c r="AJ44" s="1952"/>
      <c r="AK44" s="1952"/>
      <c r="AL44" s="1952"/>
      <c r="AM44" s="1952"/>
      <c r="AN44" s="1952"/>
      <c r="AO44" s="1952"/>
      <c r="AP44" s="1952"/>
      <c r="AQ44" s="1952"/>
      <c r="AR44" s="1952"/>
      <c r="AS44" s="1952"/>
      <c r="AT44" s="1952"/>
      <c r="AU44" s="1952"/>
      <c r="AV44" s="1952"/>
      <c r="AW44" s="1952"/>
      <c r="AX44" s="1952"/>
      <c r="AY44" s="1952"/>
      <c r="AZ44" s="1952"/>
      <c r="BA44" s="1952"/>
      <c r="BB44" s="1952"/>
      <c r="BC44" s="1952"/>
      <c r="BD44" s="1952"/>
      <c r="BE44" s="1952"/>
      <c r="BF44" s="1952"/>
      <c r="BG44" s="1952"/>
      <c r="BH44" s="1952"/>
      <c r="BI44" s="1952"/>
      <c r="BJ44" s="1952"/>
      <c r="BK44" s="1952"/>
      <c r="BL44" s="1952"/>
      <c r="BM44" s="1952"/>
      <c r="BN44" s="1952"/>
      <c r="BO44" s="1952"/>
      <c r="BP44" s="1952"/>
      <c r="BQ44" s="1952"/>
      <c r="BR44" s="1952"/>
      <c r="BS44" s="1952"/>
      <c r="BT44" s="1952"/>
      <c r="BU44" s="1952"/>
      <c r="BV44" s="1952"/>
      <c r="BW44" s="1952"/>
      <c r="BX44" s="1952"/>
      <c r="BY44" s="1952"/>
      <c r="BZ44" s="1952"/>
      <c r="CA44" s="1952"/>
      <c r="CB44" s="1952"/>
      <c r="CC44" s="1952"/>
      <c r="CD44" s="1952"/>
      <c r="CE44" s="1952"/>
      <c r="CF44" s="1952"/>
      <c r="CG44" s="1952"/>
      <c r="CH44" s="1952"/>
      <c r="CI44" s="1952"/>
      <c r="CJ44" s="1952"/>
      <c r="CK44" s="1952"/>
      <c r="CL44" s="1952"/>
      <c r="CM44" s="1952"/>
      <c r="CN44" s="1952"/>
      <c r="CO44" s="1952"/>
      <c r="CP44" s="1952"/>
      <c r="CQ44" s="1952"/>
      <c r="CR44" s="1952"/>
      <c r="CS44" s="1952"/>
      <c r="CT44" s="1952"/>
      <c r="CU44" s="1952"/>
      <c r="CV44" s="1952"/>
      <c r="CW44" s="1952"/>
      <c r="CX44" s="1952"/>
      <c r="CY44" s="1952"/>
      <c r="CZ44" s="1952"/>
      <c r="DA44" s="1952"/>
      <c r="DB44" s="1952"/>
      <c r="DC44" s="1952"/>
      <c r="DD44" s="1952"/>
      <c r="DE44" s="1952"/>
      <c r="DF44" s="1952"/>
      <c r="DG44" s="1952"/>
      <c r="DH44" s="1952"/>
      <c r="DI44" s="1952"/>
      <c r="DJ44" s="1952"/>
      <c r="DK44" s="1952"/>
      <c r="DL44" s="1952"/>
      <c r="DM44" s="1952"/>
      <c r="DN44" s="1952"/>
      <c r="DO44" s="1952"/>
      <c r="DP44" s="1952"/>
      <c r="DQ44" s="1952"/>
      <c r="DR44" s="1952"/>
      <c r="DS44" s="1952"/>
      <c r="DT44" s="1952"/>
      <c r="DU44" s="1952"/>
      <c r="DV44" s="1952"/>
      <c r="DW44" s="1952"/>
      <c r="DX44" s="1952"/>
      <c r="DY44" s="1952"/>
      <c r="DZ44" s="1952"/>
      <c r="EA44" s="1952"/>
      <c r="EB44" s="1952"/>
      <c r="EC44" s="1952"/>
      <c r="ED44" s="1952"/>
      <c r="EE44" s="1952"/>
      <c r="EF44" s="1952"/>
      <c r="EG44" s="1952"/>
      <c r="EH44" s="1952"/>
      <c r="EI44" s="1952"/>
      <c r="EJ44" s="1952"/>
      <c r="EK44" s="1952"/>
      <c r="EL44" s="1952"/>
      <c r="EM44" s="1952"/>
      <c r="EN44" s="1952"/>
      <c r="EO44" s="1952"/>
      <c r="EP44" s="1952"/>
      <c r="EQ44" s="1952"/>
      <c r="ER44" s="1952"/>
      <c r="ES44" s="1952"/>
      <c r="ET44" s="1952"/>
      <c r="EU44" s="1952"/>
      <c r="EV44" s="1952"/>
      <c r="EW44" s="1952"/>
      <c r="EX44" s="1952"/>
      <c r="EY44" s="1952"/>
      <c r="EZ44" s="1952"/>
      <c r="FA44" s="1952"/>
      <c r="FB44" s="1952"/>
      <c r="FC44" s="1952"/>
      <c r="FD44" s="1952"/>
      <c r="FE44" s="1952"/>
      <c r="FF44" s="1952"/>
      <c r="FG44" s="1952"/>
      <c r="FH44" s="1952"/>
      <c r="FI44" s="1952"/>
      <c r="FJ44" s="1952"/>
      <c r="FK44" s="1952"/>
      <c r="FL44" s="1952"/>
      <c r="FM44" s="1952"/>
      <c r="FN44" s="1952"/>
      <c r="FO44" s="1952"/>
      <c r="FP44" s="1952"/>
      <c r="FQ44" s="1952"/>
      <c r="FR44" s="1952"/>
      <c r="FS44" s="1952"/>
      <c r="FT44" s="1952"/>
      <c r="FU44" s="1952"/>
      <c r="FV44" s="1952"/>
      <c r="FW44" s="1952"/>
      <c r="FX44" s="1952"/>
      <c r="FY44" s="1952"/>
      <c r="FZ44" s="1952"/>
      <c r="GA44" s="1952"/>
      <c r="GB44" s="1952"/>
      <c r="GC44" s="1952"/>
      <c r="GD44" s="1952"/>
      <c r="GE44" s="1952"/>
      <c r="GF44" s="1952"/>
      <c r="GG44" s="1952"/>
      <c r="GH44" s="1952"/>
      <c r="GI44" s="1952"/>
      <c r="GJ44" s="1952"/>
      <c r="GK44" s="1952"/>
      <c r="GL44" s="1952"/>
      <c r="GM44" s="1952"/>
      <c r="GN44" s="1952"/>
      <c r="GO44" s="1952"/>
      <c r="GP44" s="1952"/>
      <c r="GQ44" s="1952"/>
      <c r="GR44" s="1952"/>
      <c r="GS44" s="1952"/>
      <c r="GT44" s="1952"/>
      <c r="GU44" s="1952"/>
      <c r="GV44" s="1952"/>
      <c r="GW44" s="1952"/>
      <c r="GX44" s="1952"/>
      <c r="GY44" s="1952"/>
      <c r="GZ44" s="1952"/>
      <c r="HA44" s="1952"/>
      <c r="HB44" s="1952"/>
      <c r="HC44" s="1952"/>
      <c r="HD44" s="1952"/>
      <c r="HE44" s="1952"/>
      <c r="HF44" s="1952"/>
      <c r="HG44" s="1952"/>
      <c r="HH44" s="1952"/>
      <c r="HI44" s="1952"/>
      <c r="HJ44" s="1952"/>
      <c r="HK44" s="1952"/>
      <c r="HL44" s="1952"/>
      <c r="HM44" s="1952"/>
      <c r="HN44" s="1952"/>
      <c r="HO44" s="1952"/>
      <c r="HP44" s="1952"/>
      <c r="HQ44" s="1952"/>
      <c r="HR44" s="1952"/>
      <c r="HS44" s="1952"/>
      <c r="HT44" s="1952"/>
      <c r="HU44" s="1952"/>
      <c r="HV44" s="1952"/>
      <c r="HW44" s="1952"/>
      <c r="HX44" s="1952"/>
      <c r="HY44" s="1952"/>
      <c r="HZ44" s="1952"/>
      <c r="IA44" s="1952"/>
      <c r="IB44" s="1952"/>
      <c r="IC44" s="1952"/>
      <c r="ID44" s="1952"/>
      <c r="IE44" s="1952"/>
      <c r="IF44" s="1952"/>
      <c r="IG44" s="1952"/>
      <c r="IH44" s="1952"/>
      <c r="II44" s="1952"/>
      <c r="IJ44" s="1952"/>
      <c r="IK44" s="1952"/>
      <c r="IL44" s="1952"/>
      <c r="IM44" s="1952"/>
    </row>
    <row r="45" ht="16.5" spans="1:247">
      <c r="A45" s="1946"/>
      <c r="B45" s="1947">
        <f>审定资负表!C42</f>
        <v>0</v>
      </c>
      <c r="C45" s="1947">
        <f>审定资负表!D42</f>
        <v>0</v>
      </c>
      <c r="D45" s="1948" t="str">
        <f t="shared" si="0"/>
        <v> </v>
      </c>
      <c r="E45" s="1949">
        <f t="shared" si="1"/>
        <v>0</v>
      </c>
      <c r="F45" s="1950">
        <f t="shared" si="2"/>
        <v>0</v>
      </c>
      <c r="G45" s="1956"/>
      <c r="H45" s="1952"/>
      <c r="I45" s="1952"/>
      <c r="J45" s="1952"/>
      <c r="K45" s="1952"/>
      <c r="L45" s="1952"/>
      <c r="M45" s="1952"/>
      <c r="N45" s="1952"/>
      <c r="O45" s="1952"/>
      <c r="P45" s="1952"/>
      <c r="Q45" s="1952"/>
      <c r="R45" s="1952"/>
      <c r="S45" s="1952"/>
      <c r="T45" s="1952"/>
      <c r="U45" s="1952"/>
      <c r="V45" s="1952"/>
      <c r="W45" s="1952"/>
      <c r="X45" s="1952"/>
      <c r="Y45" s="1952"/>
      <c r="Z45" s="1952"/>
      <c r="AA45" s="1952"/>
      <c r="AB45" s="1952"/>
      <c r="AC45" s="1952"/>
      <c r="AD45" s="1952"/>
      <c r="AE45" s="1952"/>
      <c r="AF45" s="1952"/>
      <c r="AG45" s="1952"/>
      <c r="AH45" s="1952"/>
      <c r="AI45" s="1952"/>
      <c r="AJ45" s="1952"/>
      <c r="AK45" s="1952"/>
      <c r="AL45" s="1952"/>
      <c r="AM45" s="1952"/>
      <c r="AN45" s="1952"/>
      <c r="AO45" s="1952"/>
      <c r="AP45" s="1952"/>
      <c r="AQ45" s="1952"/>
      <c r="AR45" s="1952"/>
      <c r="AS45" s="1952"/>
      <c r="AT45" s="1952"/>
      <c r="AU45" s="1952"/>
      <c r="AV45" s="1952"/>
      <c r="AW45" s="1952"/>
      <c r="AX45" s="1952"/>
      <c r="AY45" s="1952"/>
      <c r="AZ45" s="1952"/>
      <c r="BA45" s="1952"/>
      <c r="BB45" s="1952"/>
      <c r="BC45" s="1952"/>
      <c r="BD45" s="1952"/>
      <c r="BE45" s="1952"/>
      <c r="BF45" s="1952"/>
      <c r="BG45" s="1952"/>
      <c r="BH45" s="1952"/>
      <c r="BI45" s="1952"/>
      <c r="BJ45" s="1952"/>
      <c r="BK45" s="1952"/>
      <c r="BL45" s="1952"/>
      <c r="BM45" s="1952"/>
      <c r="BN45" s="1952"/>
      <c r="BO45" s="1952"/>
      <c r="BP45" s="1952"/>
      <c r="BQ45" s="1952"/>
      <c r="BR45" s="1952"/>
      <c r="BS45" s="1952"/>
      <c r="BT45" s="1952"/>
      <c r="BU45" s="1952"/>
      <c r="BV45" s="1952"/>
      <c r="BW45" s="1952"/>
      <c r="BX45" s="1952"/>
      <c r="BY45" s="1952"/>
      <c r="BZ45" s="1952"/>
      <c r="CA45" s="1952"/>
      <c r="CB45" s="1952"/>
      <c r="CC45" s="1952"/>
      <c r="CD45" s="1952"/>
      <c r="CE45" s="1952"/>
      <c r="CF45" s="1952"/>
      <c r="CG45" s="1952"/>
      <c r="CH45" s="1952"/>
      <c r="CI45" s="1952"/>
      <c r="CJ45" s="1952"/>
      <c r="CK45" s="1952"/>
      <c r="CL45" s="1952"/>
      <c r="CM45" s="1952"/>
      <c r="CN45" s="1952"/>
      <c r="CO45" s="1952"/>
      <c r="CP45" s="1952"/>
      <c r="CQ45" s="1952"/>
      <c r="CR45" s="1952"/>
      <c r="CS45" s="1952"/>
      <c r="CT45" s="1952"/>
      <c r="CU45" s="1952"/>
      <c r="CV45" s="1952"/>
      <c r="CW45" s="1952"/>
      <c r="CX45" s="1952"/>
      <c r="CY45" s="1952"/>
      <c r="CZ45" s="1952"/>
      <c r="DA45" s="1952"/>
      <c r="DB45" s="1952"/>
      <c r="DC45" s="1952"/>
      <c r="DD45" s="1952"/>
      <c r="DE45" s="1952"/>
      <c r="DF45" s="1952"/>
      <c r="DG45" s="1952"/>
      <c r="DH45" s="1952"/>
      <c r="DI45" s="1952"/>
      <c r="DJ45" s="1952"/>
      <c r="DK45" s="1952"/>
      <c r="DL45" s="1952"/>
      <c r="DM45" s="1952"/>
      <c r="DN45" s="1952"/>
      <c r="DO45" s="1952"/>
      <c r="DP45" s="1952"/>
      <c r="DQ45" s="1952"/>
      <c r="DR45" s="1952"/>
      <c r="DS45" s="1952"/>
      <c r="DT45" s="1952"/>
      <c r="DU45" s="1952"/>
      <c r="DV45" s="1952"/>
      <c r="DW45" s="1952"/>
      <c r="DX45" s="1952"/>
      <c r="DY45" s="1952"/>
      <c r="DZ45" s="1952"/>
      <c r="EA45" s="1952"/>
      <c r="EB45" s="1952"/>
      <c r="EC45" s="1952"/>
      <c r="ED45" s="1952"/>
      <c r="EE45" s="1952"/>
      <c r="EF45" s="1952"/>
      <c r="EG45" s="1952"/>
      <c r="EH45" s="1952"/>
      <c r="EI45" s="1952"/>
      <c r="EJ45" s="1952"/>
      <c r="EK45" s="1952"/>
      <c r="EL45" s="1952"/>
      <c r="EM45" s="1952"/>
      <c r="EN45" s="1952"/>
      <c r="EO45" s="1952"/>
      <c r="EP45" s="1952"/>
      <c r="EQ45" s="1952"/>
      <c r="ER45" s="1952"/>
      <c r="ES45" s="1952"/>
      <c r="ET45" s="1952"/>
      <c r="EU45" s="1952"/>
      <c r="EV45" s="1952"/>
      <c r="EW45" s="1952"/>
      <c r="EX45" s="1952"/>
      <c r="EY45" s="1952"/>
      <c r="EZ45" s="1952"/>
      <c r="FA45" s="1952"/>
      <c r="FB45" s="1952"/>
      <c r="FC45" s="1952"/>
      <c r="FD45" s="1952"/>
      <c r="FE45" s="1952"/>
      <c r="FF45" s="1952"/>
      <c r="FG45" s="1952"/>
      <c r="FH45" s="1952"/>
      <c r="FI45" s="1952"/>
      <c r="FJ45" s="1952"/>
      <c r="FK45" s="1952"/>
      <c r="FL45" s="1952"/>
      <c r="FM45" s="1952"/>
      <c r="FN45" s="1952"/>
      <c r="FO45" s="1952"/>
      <c r="FP45" s="1952"/>
      <c r="FQ45" s="1952"/>
      <c r="FR45" s="1952"/>
      <c r="FS45" s="1952"/>
      <c r="FT45" s="1952"/>
      <c r="FU45" s="1952"/>
      <c r="FV45" s="1952"/>
      <c r="FW45" s="1952"/>
      <c r="FX45" s="1952"/>
      <c r="FY45" s="1952"/>
      <c r="FZ45" s="1952"/>
      <c r="GA45" s="1952"/>
      <c r="GB45" s="1952"/>
      <c r="GC45" s="1952"/>
      <c r="GD45" s="1952"/>
      <c r="GE45" s="1952"/>
      <c r="GF45" s="1952"/>
      <c r="GG45" s="1952"/>
      <c r="GH45" s="1952"/>
      <c r="GI45" s="1952"/>
      <c r="GJ45" s="1952"/>
      <c r="GK45" s="1952"/>
      <c r="GL45" s="1952"/>
      <c r="GM45" s="1952"/>
      <c r="GN45" s="1952"/>
      <c r="GO45" s="1952"/>
      <c r="GP45" s="1952"/>
      <c r="GQ45" s="1952"/>
      <c r="GR45" s="1952"/>
      <c r="GS45" s="1952"/>
      <c r="GT45" s="1952"/>
      <c r="GU45" s="1952"/>
      <c r="GV45" s="1952"/>
      <c r="GW45" s="1952"/>
      <c r="GX45" s="1952"/>
      <c r="GY45" s="1952"/>
      <c r="GZ45" s="1952"/>
      <c r="HA45" s="1952"/>
      <c r="HB45" s="1952"/>
      <c r="HC45" s="1952"/>
      <c r="HD45" s="1952"/>
      <c r="HE45" s="1952"/>
      <c r="HF45" s="1952"/>
      <c r="HG45" s="1952"/>
      <c r="HH45" s="1952"/>
      <c r="HI45" s="1952"/>
      <c r="HJ45" s="1952"/>
      <c r="HK45" s="1952"/>
      <c r="HL45" s="1952"/>
      <c r="HM45" s="1952"/>
      <c r="HN45" s="1952"/>
      <c r="HO45" s="1952"/>
      <c r="HP45" s="1952"/>
      <c r="HQ45" s="1952"/>
      <c r="HR45" s="1952"/>
      <c r="HS45" s="1952"/>
      <c r="HT45" s="1952"/>
      <c r="HU45" s="1952"/>
      <c r="HV45" s="1952"/>
      <c r="HW45" s="1952"/>
      <c r="HX45" s="1952"/>
      <c r="HY45" s="1952"/>
      <c r="HZ45" s="1952"/>
      <c r="IA45" s="1952"/>
      <c r="IB45" s="1952"/>
      <c r="IC45" s="1952"/>
      <c r="ID45" s="1952"/>
      <c r="IE45" s="1952"/>
      <c r="IF45" s="1952"/>
      <c r="IG45" s="1952"/>
      <c r="IH45" s="1952"/>
      <c r="II45" s="1952"/>
      <c r="IJ45" s="1952"/>
      <c r="IK45" s="1952"/>
      <c r="IL45" s="1952"/>
      <c r="IM45" s="1952"/>
    </row>
    <row r="46" ht="16.5" spans="1:247">
      <c r="A46" s="1946"/>
      <c r="B46" s="1947">
        <f>审定资负表!C43</f>
        <v>0</v>
      </c>
      <c r="C46" s="1947">
        <f>审定资负表!D43</f>
        <v>0</v>
      </c>
      <c r="D46" s="1948" t="str">
        <f t="shared" si="0"/>
        <v> </v>
      </c>
      <c r="E46" s="1949">
        <f t="shared" si="1"/>
        <v>0</v>
      </c>
      <c r="F46" s="1950">
        <f t="shared" si="2"/>
        <v>0</v>
      </c>
      <c r="G46" s="1956"/>
      <c r="H46" s="1952"/>
      <c r="I46" s="1952"/>
      <c r="J46" s="1952"/>
      <c r="K46" s="1952"/>
      <c r="L46" s="1952"/>
      <c r="M46" s="1952"/>
      <c r="N46" s="1952"/>
      <c r="O46" s="1952"/>
      <c r="P46" s="1952"/>
      <c r="Q46" s="1952"/>
      <c r="R46" s="1952"/>
      <c r="S46" s="1952"/>
      <c r="T46" s="1952"/>
      <c r="U46" s="1952"/>
      <c r="V46" s="1952"/>
      <c r="W46" s="1952"/>
      <c r="X46" s="1952"/>
      <c r="Y46" s="1952"/>
      <c r="Z46" s="1952"/>
      <c r="AA46" s="1952"/>
      <c r="AB46" s="1952"/>
      <c r="AC46" s="1952"/>
      <c r="AD46" s="1952"/>
      <c r="AE46" s="1952"/>
      <c r="AF46" s="1952"/>
      <c r="AG46" s="1952"/>
      <c r="AH46" s="1952"/>
      <c r="AI46" s="1952"/>
      <c r="AJ46" s="1952"/>
      <c r="AK46" s="1952"/>
      <c r="AL46" s="1952"/>
      <c r="AM46" s="1952"/>
      <c r="AN46" s="1952"/>
      <c r="AO46" s="1952"/>
      <c r="AP46" s="1952"/>
      <c r="AQ46" s="1952"/>
      <c r="AR46" s="1952"/>
      <c r="AS46" s="1952"/>
      <c r="AT46" s="1952"/>
      <c r="AU46" s="1952"/>
      <c r="AV46" s="1952"/>
      <c r="AW46" s="1952"/>
      <c r="AX46" s="1952"/>
      <c r="AY46" s="1952"/>
      <c r="AZ46" s="1952"/>
      <c r="BA46" s="1952"/>
      <c r="BB46" s="1952"/>
      <c r="BC46" s="1952"/>
      <c r="BD46" s="1952"/>
      <c r="BE46" s="1952"/>
      <c r="BF46" s="1952"/>
      <c r="BG46" s="1952"/>
      <c r="BH46" s="1952"/>
      <c r="BI46" s="1952"/>
      <c r="BJ46" s="1952"/>
      <c r="BK46" s="1952"/>
      <c r="BL46" s="1952"/>
      <c r="BM46" s="1952"/>
      <c r="BN46" s="1952"/>
      <c r="BO46" s="1952"/>
      <c r="BP46" s="1952"/>
      <c r="BQ46" s="1952"/>
      <c r="BR46" s="1952"/>
      <c r="BS46" s="1952"/>
      <c r="BT46" s="1952"/>
      <c r="BU46" s="1952"/>
      <c r="BV46" s="1952"/>
      <c r="BW46" s="1952"/>
      <c r="BX46" s="1952"/>
      <c r="BY46" s="1952"/>
      <c r="BZ46" s="1952"/>
      <c r="CA46" s="1952"/>
      <c r="CB46" s="1952"/>
      <c r="CC46" s="1952"/>
      <c r="CD46" s="1952"/>
      <c r="CE46" s="1952"/>
      <c r="CF46" s="1952"/>
      <c r="CG46" s="1952"/>
      <c r="CH46" s="1952"/>
      <c r="CI46" s="1952"/>
      <c r="CJ46" s="1952"/>
      <c r="CK46" s="1952"/>
      <c r="CL46" s="1952"/>
      <c r="CM46" s="1952"/>
      <c r="CN46" s="1952"/>
      <c r="CO46" s="1952"/>
      <c r="CP46" s="1952"/>
      <c r="CQ46" s="1952"/>
      <c r="CR46" s="1952"/>
      <c r="CS46" s="1952"/>
      <c r="CT46" s="1952"/>
      <c r="CU46" s="1952"/>
      <c r="CV46" s="1952"/>
      <c r="CW46" s="1952"/>
      <c r="CX46" s="1952"/>
      <c r="CY46" s="1952"/>
      <c r="CZ46" s="1952"/>
      <c r="DA46" s="1952"/>
      <c r="DB46" s="1952"/>
      <c r="DC46" s="1952"/>
      <c r="DD46" s="1952"/>
      <c r="DE46" s="1952"/>
      <c r="DF46" s="1952"/>
      <c r="DG46" s="1952"/>
      <c r="DH46" s="1952"/>
      <c r="DI46" s="1952"/>
      <c r="DJ46" s="1952"/>
      <c r="DK46" s="1952"/>
      <c r="DL46" s="1952"/>
      <c r="DM46" s="1952"/>
      <c r="DN46" s="1952"/>
      <c r="DO46" s="1952"/>
      <c r="DP46" s="1952"/>
      <c r="DQ46" s="1952"/>
      <c r="DR46" s="1952"/>
      <c r="DS46" s="1952"/>
      <c r="DT46" s="1952"/>
      <c r="DU46" s="1952"/>
      <c r="DV46" s="1952"/>
      <c r="DW46" s="1952"/>
      <c r="DX46" s="1952"/>
      <c r="DY46" s="1952"/>
      <c r="DZ46" s="1952"/>
      <c r="EA46" s="1952"/>
      <c r="EB46" s="1952"/>
      <c r="EC46" s="1952"/>
      <c r="ED46" s="1952"/>
      <c r="EE46" s="1952"/>
      <c r="EF46" s="1952"/>
      <c r="EG46" s="1952"/>
      <c r="EH46" s="1952"/>
      <c r="EI46" s="1952"/>
      <c r="EJ46" s="1952"/>
      <c r="EK46" s="1952"/>
      <c r="EL46" s="1952"/>
      <c r="EM46" s="1952"/>
      <c r="EN46" s="1952"/>
      <c r="EO46" s="1952"/>
      <c r="EP46" s="1952"/>
      <c r="EQ46" s="1952"/>
      <c r="ER46" s="1952"/>
      <c r="ES46" s="1952"/>
      <c r="ET46" s="1952"/>
      <c r="EU46" s="1952"/>
      <c r="EV46" s="1952"/>
      <c r="EW46" s="1952"/>
      <c r="EX46" s="1952"/>
      <c r="EY46" s="1952"/>
      <c r="EZ46" s="1952"/>
      <c r="FA46" s="1952"/>
      <c r="FB46" s="1952"/>
      <c r="FC46" s="1952"/>
      <c r="FD46" s="1952"/>
      <c r="FE46" s="1952"/>
      <c r="FF46" s="1952"/>
      <c r="FG46" s="1952"/>
      <c r="FH46" s="1952"/>
      <c r="FI46" s="1952"/>
      <c r="FJ46" s="1952"/>
      <c r="FK46" s="1952"/>
      <c r="FL46" s="1952"/>
      <c r="FM46" s="1952"/>
      <c r="FN46" s="1952"/>
      <c r="FO46" s="1952"/>
      <c r="FP46" s="1952"/>
      <c r="FQ46" s="1952"/>
      <c r="FR46" s="1952"/>
      <c r="FS46" s="1952"/>
      <c r="FT46" s="1952"/>
      <c r="FU46" s="1952"/>
      <c r="FV46" s="1952"/>
      <c r="FW46" s="1952"/>
      <c r="FX46" s="1952"/>
      <c r="FY46" s="1952"/>
      <c r="FZ46" s="1952"/>
      <c r="GA46" s="1952"/>
      <c r="GB46" s="1952"/>
      <c r="GC46" s="1952"/>
      <c r="GD46" s="1952"/>
      <c r="GE46" s="1952"/>
      <c r="GF46" s="1952"/>
      <c r="GG46" s="1952"/>
      <c r="GH46" s="1952"/>
      <c r="GI46" s="1952"/>
      <c r="GJ46" s="1952"/>
      <c r="GK46" s="1952"/>
      <c r="GL46" s="1952"/>
      <c r="GM46" s="1952"/>
      <c r="GN46" s="1952"/>
      <c r="GO46" s="1952"/>
      <c r="GP46" s="1952"/>
      <c r="GQ46" s="1952"/>
      <c r="GR46" s="1952"/>
      <c r="GS46" s="1952"/>
      <c r="GT46" s="1952"/>
      <c r="GU46" s="1952"/>
      <c r="GV46" s="1952"/>
      <c r="GW46" s="1952"/>
      <c r="GX46" s="1952"/>
      <c r="GY46" s="1952"/>
      <c r="GZ46" s="1952"/>
      <c r="HA46" s="1952"/>
      <c r="HB46" s="1952"/>
      <c r="HC46" s="1952"/>
      <c r="HD46" s="1952"/>
      <c r="HE46" s="1952"/>
      <c r="HF46" s="1952"/>
      <c r="HG46" s="1952"/>
      <c r="HH46" s="1952"/>
      <c r="HI46" s="1952"/>
      <c r="HJ46" s="1952"/>
      <c r="HK46" s="1952"/>
      <c r="HL46" s="1952"/>
      <c r="HM46" s="1952"/>
      <c r="HN46" s="1952"/>
      <c r="HO46" s="1952"/>
      <c r="HP46" s="1952"/>
      <c r="HQ46" s="1952"/>
      <c r="HR46" s="1952"/>
      <c r="HS46" s="1952"/>
      <c r="HT46" s="1952"/>
      <c r="HU46" s="1952"/>
      <c r="HV46" s="1952"/>
      <c r="HW46" s="1952"/>
      <c r="HX46" s="1952"/>
      <c r="HY46" s="1952"/>
      <c r="HZ46" s="1952"/>
      <c r="IA46" s="1952"/>
      <c r="IB46" s="1952"/>
      <c r="IC46" s="1952"/>
      <c r="ID46" s="1952"/>
      <c r="IE46" s="1952"/>
      <c r="IF46" s="1952"/>
      <c r="IG46" s="1952"/>
      <c r="IH46" s="1952"/>
      <c r="II46" s="1952"/>
      <c r="IJ46" s="1952"/>
      <c r="IK46" s="1952"/>
      <c r="IL46" s="1952"/>
      <c r="IM46" s="1952"/>
    </row>
    <row r="47" ht="16.5" spans="1:247">
      <c r="A47" s="1946"/>
      <c r="B47" s="1947">
        <f>审定资负表!C44</f>
        <v>0</v>
      </c>
      <c r="C47" s="1947">
        <f>审定资负表!D44</f>
        <v>0</v>
      </c>
      <c r="D47" s="1948" t="str">
        <f t="shared" si="0"/>
        <v> </v>
      </c>
      <c r="E47" s="1949">
        <f t="shared" si="1"/>
        <v>0</v>
      </c>
      <c r="F47" s="1950">
        <f t="shared" si="2"/>
        <v>0</v>
      </c>
      <c r="G47" s="1956"/>
      <c r="H47" s="1952"/>
      <c r="I47" s="1952"/>
      <c r="J47" s="1952"/>
      <c r="K47" s="1952"/>
      <c r="L47" s="1952"/>
      <c r="M47" s="1952"/>
      <c r="N47" s="1952"/>
      <c r="O47" s="1952"/>
      <c r="P47" s="1952"/>
      <c r="Q47" s="1952"/>
      <c r="R47" s="1952"/>
      <c r="S47" s="1952"/>
      <c r="T47" s="1952"/>
      <c r="U47" s="1952"/>
      <c r="V47" s="1952"/>
      <c r="W47" s="1952"/>
      <c r="X47" s="1952"/>
      <c r="Y47" s="1952"/>
      <c r="Z47" s="1952"/>
      <c r="AA47" s="1952"/>
      <c r="AB47" s="1952"/>
      <c r="AC47" s="1952"/>
      <c r="AD47" s="1952"/>
      <c r="AE47" s="1952"/>
      <c r="AF47" s="1952"/>
      <c r="AG47" s="1952"/>
      <c r="AH47" s="1952"/>
      <c r="AI47" s="1952"/>
      <c r="AJ47" s="1952"/>
      <c r="AK47" s="1952"/>
      <c r="AL47" s="1952"/>
      <c r="AM47" s="1952"/>
      <c r="AN47" s="1952"/>
      <c r="AO47" s="1952"/>
      <c r="AP47" s="1952"/>
      <c r="AQ47" s="1952"/>
      <c r="AR47" s="1952"/>
      <c r="AS47" s="1952"/>
      <c r="AT47" s="1952"/>
      <c r="AU47" s="1952"/>
      <c r="AV47" s="1952"/>
      <c r="AW47" s="1952"/>
      <c r="AX47" s="1952"/>
      <c r="AY47" s="1952"/>
      <c r="AZ47" s="1952"/>
      <c r="BA47" s="1952"/>
      <c r="BB47" s="1952"/>
      <c r="BC47" s="1952"/>
      <c r="BD47" s="1952"/>
      <c r="BE47" s="1952"/>
      <c r="BF47" s="1952"/>
      <c r="BG47" s="1952"/>
      <c r="BH47" s="1952"/>
      <c r="BI47" s="1952"/>
      <c r="BJ47" s="1952"/>
      <c r="BK47" s="1952"/>
      <c r="BL47" s="1952"/>
      <c r="BM47" s="1952"/>
      <c r="BN47" s="1952"/>
      <c r="BO47" s="1952"/>
      <c r="BP47" s="1952"/>
      <c r="BQ47" s="1952"/>
      <c r="BR47" s="1952"/>
      <c r="BS47" s="1952"/>
      <c r="BT47" s="1952"/>
      <c r="BU47" s="1952"/>
      <c r="BV47" s="1952"/>
      <c r="BW47" s="1952"/>
      <c r="BX47" s="1952"/>
      <c r="BY47" s="1952"/>
      <c r="BZ47" s="1952"/>
      <c r="CA47" s="1952"/>
      <c r="CB47" s="1952"/>
      <c r="CC47" s="1952"/>
      <c r="CD47" s="1952"/>
      <c r="CE47" s="1952"/>
      <c r="CF47" s="1952"/>
      <c r="CG47" s="1952"/>
      <c r="CH47" s="1952"/>
      <c r="CI47" s="1952"/>
      <c r="CJ47" s="1952"/>
      <c r="CK47" s="1952"/>
      <c r="CL47" s="1952"/>
      <c r="CM47" s="1952"/>
      <c r="CN47" s="1952"/>
      <c r="CO47" s="1952"/>
      <c r="CP47" s="1952"/>
      <c r="CQ47" s="1952"/>
      <c r="CR47" s="1952"/>
      <c r="CS47" s="1952"/>
      <c r="CT47" s="1952"/>
      <c r="CU47" s="1952"/>
      <c r="CV47" s="1952"/>
      <c r="CW47" s="1952"/>
      <c r="CX47" s="1952"/>
      <c r="CY47" s="1952"/>
      <c r="CZ47" s="1952"/>
      <c r="DA47" s="1952"/>
      <c r="DB47" s="1952"/>
      <c r="DC47" s="1952"/>
      <c r="DD47" s="1952"/>
      <c r="DE47" s="1952"/>
      <c r="DF47" s="1952"/>
      <c r="DG47" s="1952"/>
      <c r="DH47" s="1952"/>
      <c r="DI47" s="1952"/>
      <c r="DJ47" s="1952"/>
      <c r="DK47" s="1952"/>
      <c r="DL47" s="1952"/>
      <c r="DM47" s="1952"/>
      <c r="DN47" s="1952"/>
      <c r="DO47" s="1952"/>
      <c r="DP47" s="1952"/>
      <c r="DQ47" s="1952"/>
      <c r="DR47" s="1952"/>
      <c r="DS47" s="1952"/>
      <c r="DT47" s="1952"/>
      <c r="DU47" s="1952"/>
      <c r="DV47" s="1952"/>
      <c r="DW47" s="1952"/>
      <c r="DX47" s="1952"/>
      <c r="DY47" s="1952"/>
      <c r="DZ47" s="1952"/>
      <c r="EA47" s="1952"/>
      <c r="EB47" s="1952"/>
      <c r="EC47" s="1952"/>
      <c r="ED47" s="1952"/>
      <c r="EE47" s="1952"/>
      <c r="EF47" s="1952"/>
      <c r="EG47" s="1952"/>
      <c r="EH47" s="1952"/>
      <c r="EI47" s="1952"/>
      <c r="EJ47" s="1952"/>
      <c r="EK47" s="1952"/>
      <c r="EL47" s="1952"/>
      <c r="EM47" s="1952"/>
      <c r="EN47" s="1952"/>
      <c r="EO47" s="1952"/>
      <c r="EP47" s="1952"/>
      <c r="EQ47" s="1952"/>
      <c r="ER47" s="1952"/>
      <c r="ES47" s="1952"/>
      <c r="ET47" s="1952"/>
      <c r="EU47" s="1952"/>
      <c r="EV47" s="1952"/>
      <c r="EW47" s="1952"/>
      <c r="EX47" s="1952"/>
      <c r="EY47" s="1952"/>
      <c r="EZ47" s="1952"/>
      <c r="FA47" s="1952"/>
      <c r="FB47" s="1952"/>
      <c r="FC47" s="1952"/>
      <c r="FD47" s="1952"/>
      <c r="FE47" s="1952"/>
      <c r="FF47" s="1952"/>
      <c r="FG47" s="1952"/>
      <c r="FH47" s="1952"/>
      <c r="FI47" s="1952"/>
      <c r="FJ47" s="1952"/>
      <c r="FK47" s="1952"/>
      <c r="FL47" s="1952"/>
      <c r="FM47" s="1952"/>
      <c r="FN47" s="1952"/>
      <c r="FO47" s="1952"/>
      <c r="FP47" s="1952"/>
      <c r="FQ47" s="1952"/>
      <c r="FR47" s="1952"/>
      <c r="FS47" s="1952"/>
      <c r="FT47" s="1952"/>
      <c r="FU47" s="1952"/>
      <c r="FV47" s="1952"/>
      <c r="FW47" s="1952"/>
      <c r="FX47" s="1952"/>
      <c r="FY47" s="1952"/>
      <c r="FZ47" s="1952"/>
      <c r="GA47" s="1952"/>
      <c r="GB47" s="1952"/>
      <c r="GC47" s="1952"/>
      <c r="GD47" s="1952"/>
      <c r="GE47" s="1952"/>
      <c r="GF47" s="1952"/>
      <c r="GG47" s="1952"/>
      <c r="GH47" s="1952"/>
      <c r="GI47" s="1952"/>
      <c r="GJ47" s="1952"/>
      <c r="GK47" s="1952"/>
      <c r="GL47" s="1952"/>
      <c r="GM47" s="1952"/>
      <c r="GN47" s="1952"/>
      <c r="GO47" s="1952"/>
      <c r="GP47" s="1952"/>
      <c r="GQ47" s="1952"/>
      <c r="GR47" s="1952"/>
      <c r="GS47" s="1952"/>
      <c r="GT47" s="1952"/>
      <c r="GU47" s="1952"/>
      <c r="GV47" s="1952"/>
      <c r="GW47" s="1952"/>
      <c r="GX47" s="1952"/>
      <c r="GY47" s="1952"/>
      <c r="GZ47" s="1952"/>
      <c r="HA47" s="1952"/>
      <c r="HB47" s="1952"/>
      <c r="HC47" s="1952"/>
      <c r="HD47" s="1952"/>
      <c r="HE47" s="1952"/>
      <c r="HF47" s="1952"/>
      <c r="HG47" s="1952"/>
      <c r="HH47" s="1952"/>
      <c r="HI47" s="1952"/>
      <c r="HJ47" s="1952"/>
      <c r="HK47" s="1952"/>
      <c r="HL47" s="1952"/>
      <c r="HM47" s="1952"/>
      <c r="HN47" s="1952"/>
      <c r="HO47" s="1952"/>
      <c r="HP47" s="1952"/>
      <c r="HQ47" s="1952"/>
      <c r="HR47" s="1952"/>
      <c r="HS47" s="1952"/>
      <c r="HT47" s="1952"/>
      <c r="HU47" s="1952"/>
      <c r="HV47" s="1952"/>
      <c r="HW47" s="1952"/>
      <c r="HX47" s="1952"/>
      <c r="HY47" s="1952"/>
      <c r="HZ47" s="1952"/>
      <c r="IA47" s="1952"/>
      <c r="IB47" s="1952"/>
      <c r="IC47" s="1952"/>
      <c r="ID47" s="1952"/>
      <c r="IE47" s="1952"/>
      <c r="IF47" s="1952"/>
      <c r="IG47" s="1952"/>
      <c r="IH47" s="1952"/>
      <c r="II47" s="1952"/>
      <c r="IJ47" s="1952"/>
      <c r="IK47" s="1952"/>
      <c r="IL47" s="1952"/>
      <c r="IM47" s="1952"/>
    </row>
    <row r="48" ht="16.5" spans="1:247">
      <c r="A48" s="1946"/>
      <c r="B48" s="1947">
        <f>审定资负表!C45</f>
        <v>0</v>
      </c>
      <c r="C48" s="1947">
        <f>审定资负表!D45</f>
        <v>0</v>
      </c>
      <c r="D48" s="1948" t="str">
        <f t="shared" si="0"/>
        <v> </v>
      </c>
      <c r="E48" s="1949">
        <f t="shared" si="1"/>
        <v>0</v>
      </c>
      <c r="F48" s="1950">
        <f t="shared" si="2"/>
        <v>0</v>
      </c>
      <c r="G48" s="1956"/>
      <c r="H48" s="1952"/>
      <c r="I48" s="1952"/>
      <c r="J48" s="1952"/>
      <c r="K48" s="1952"/>
      <c r="L48" s="1952"/>
      <c r="M48" s="1952"/>
      <c r="N48" s="1952"/>
      <c r="O48" s="1952"/>
      <c r="P48" s="1952"/>
      <c r="Q48" s="1952"/>
      <c r="R48" s="1952"/>
      <c r="S48" s="1952"/>
      <c r="T48" s="1952"/>
      <c r="U48" s="1952"/>
      <c r="V48" s="1952"/>
      <c r="W48" s="1952"/>
      <c r="X48" s="1952"/>
      <c r="Y48" s="1952"/>
      <c r="Z48" s="1952"/>
      <c r="AA48" s="1952"/>
      <c r="AB48" s="1952"/>
      <c r="AC48" s="1952"/>
      <c r="AD48" s="1952"/>
      <c r="AE48" s="1952"/>
      <c r="AF48" s="1952"/>
      <c r="AG48" s="1952"/>
      <c r="AH48" s="1952"/>
      <c r="AI48" s="1952"/>
      <c r="AJ48" s="1952"/>
      <c r="AK48" s="1952"/>
      <c r="AL48" s="1952"/>
      <c r="AM48" s="1952"/>
      <c r="AN48" s="1952"/>
      <c r="AO48" s="1952"/>
      <c r="AP48" s="1952"/>
      <c r="AQ48" s="1952"/>
      <c r="AR48" s="1952"/>
      <c r="AS48" s="1952"/>
      <c r="AT48" s="1952"/>
      <c r="AU48" s="1952"/>
      <c r="AV48" s="1952"/>
      <c r="AW48" s="1952"/>
      <c r="AX48" s="1952"/>
      <c r="AY48" s="1952"/>
      <c r="AZ48" s="1952"/>
      <c r="BA48" s="1952"/>
      <c r="BB48" s="1952"/>
      <c r="BC48" s="1952"/>
      <c r="BD48" s="1952"/>
      <c r="BE48" s="1952"/>
      <c r="BF48" s="1952"/>
      <c r="BG48" s="1952"/>
      <c r="BH48" s="1952"/>
      <c r="BI48" s="1952"/>
      <c r="BJ48" s="1952"/>
      <c r="BK48" s="1952"/>
      <c r="BL48" s="1952"/>
      <c r="BM48" s="1952"/>
      <c r="BN48" s="1952"/>
      <c r="BO48" s="1952"/>
      <c r="BP48" s="1952"/>
      <c r="BQ48" s="1952"/>
      <c r="BR48" s="1952"/>
      <c r="BS48" s="1952"/>
      <c r="BT48" s="1952"/>
      <c r="BU48" s="1952"/>
      <c r="BV48" s="1952"/>
      <c r="BW48" s="1952"/>
      <c r="BX48" s="1952"/>
      <c r="BY48" s="1952"/>
      <c r="BZ48" s="1952"/>
      <c r="CA48" s="1952"/>
      <c r="CB48" s="1952"/>
      <c r="CC48" s="1952"/>
      <c r="CD48" s="1952"/>
      <c r="CE48" s="1952"/>
      <c r="CF48" s="1952"/>
      <c r="CG48" s="1952"/>
      <c r="CH48" s="1952"/>
      <c r="CI48" s="1952"/>
      <c r="CJ48" s="1952"/>
      <c r="CK48" s="1952"/>
      <c r="CL48" s="1952"/>
      <c r="CM48" s="1952"/>
      <c r="CN48" s="1952"/>
      <c r="CO48" s="1952"/>
      <c r="CP48" s="1952"/>
      <c r="CQ48" s="1952"/>
      <c r="CR48" s="1952"/>
      <c r="CS48" s="1952"/>
      <c r="CT48" s="1952"/>
      <c r="CU48" s="1952"/>
      <c r="CV48" s="1952"/>
      <c r="CW48" s="1952"/>
      <c r="CX48" s="1952"/>
      <c r="CY48" s="1952"/>
      <c r="CZ48" s="1952"/>
      <c r="DA48" s="1952"/>
      <c r="DB48" s="1952"/>
      <c r="DC48" s="1952"/>
      <c r="DD48" s="1952"/>
      <c r="DE48" s="1952"/>
      <c r="DF48" s="1952"/>
      <c r="DG48" s="1952"/>
      <c r="DH48" s="1952"/>
      <c r="DI48" s="1952"/>
      <c r="DJ48" s="1952"/>
      <c r="DK48" s="1952"/>
      <c r="DL48" s="1952"/>
      <c r="DM48" s="1952"/>
      <c r="DN48" s="1952"/>
      <c r="DO48" s="1952"/>
      <c r="DP48" s="1952"/>
      <c r="DQ48" s="1952"/>
      <c r="DR48" s="1952"/>
      <c r="DS48" s="1952"/>
      <c r="DT48" s="1952"/>
      <c r="DU48" s="1952"/>
      <c r="DV48" s="1952"/>
      <c r="DW48" s="1952"/>
      <c r="DX48" s="1952"/>
      <c r="DY48" s="1952"/>
      <c r="DZ48" s="1952"/>
      <c r="EA48" s="1952"/>
      <c r="EB48" s="1952"/>
      <c r="EC48" s="1952"/>
      <c r="ED48" s="1952"/>
      <c r="EE48" s="1952"/>
      <c r="EF48" s="1952"/>
      <c r="EG48" s="1952"/>
      <c r="EH48" s="1952"/>
      <c r="EI48" s="1952"/>
      <c r="EJ48" s="1952"/>
      <c r="EK48" s="1952"/>
      <c r="EL48" s="1952"/>
      <c r="EM48" s="1952"/>
      <c r="EN48" s="1952"/>
      <c r="EO48" s="1952"/>
      <c r="EP48" s="1952"/>
      <c r="EQ48" s="1952"/>
      <c r="ER48" s="1952"/>
      <c r="ES48" s="1952"/>
      <c r="ET48" s="1952"/>
      <c r="EU48" s="1952"/>
      <c r="EV48" s="1952"/>
      <c r="EW48" s="1952"/>
      <c r="EX48" s="1952"/>
      <c r="EY48" s="1952"/>
      <c r="EZ48" s="1952"/>
      <c r="FA48" s="1952"/>
      <c r="FB48" s="1952"/>
      <c r="FC48" s="1952"/>
      <c r="FD48" s="1952"/>
      <c r="FE48" s="1952"/>
      <c r="FF48" s="1952"/>
      <c r="FG48" s="1952"/>
      <c r="FH48" s="1952"/>
      <c r="FI48" s="1952"/>
      <c r="FJ48" s="1952"/>
      <c r="FK48" s="1952"/>
      <c r="FL48" s="1952"/>
      <c r="FM48" s="1952"/>
      <c r="FN48" s="1952"/>
      <c r="FO48" s="1952"/>
      <c r="FP48" s="1952"/>
      <c r="FQ48" s="1952"/>
      <c r="FR48" s="1952"/>
      <c r="FS48" s="1952"/>
      <c r="FT48" s="1952"/>
      <c r="FU48" s="1952"/>
      <c r="FV48" s="1952"/>
      <c r="FW48" s="1952"/>
      <c r="FX48" s="1952"/>
      <c r="FY48" s="1952"/>
      <c r="FZ48" s="1952"/>
      <c r="GA48" s="1952"/>
      <c r="GB48" s="1952"/>
      <c r="GC48" s="1952"/>
      <c r="GD48" s="1952"/>
      <c r="GE48" s="1952"/>
      <c r="GF48" s="1952"/>
      <c r="GG48" s="1952"/>
      <c r="GH48" s="1952"/>
      <c r="GI48" s="1952"/>
      <c r="GJ48" s="1952"/>
      <c r="GK48" s="1952"/>
      <c r="GL48" s="1952"/>
      <c r="GM48" s="1952"/>
      <c r="GN48" s="1952"/>
      <c r="GO48" s="1952"/>
      <c r="GP48" s="1952"/>
      <c r="GQ48" s="1952"/>
      <c r="GR48" s="1952"/>
      <c r="GS48" s="1952"/>
      <c r="GT48" s="1952"/>
      <c r="GU48" s="1952"/>
      <c r="GV48" s="1952"/>
      <c r="GW48" s="1952"/>
      <c r="GX48" s="1952"/>
      <c r="GY48" s="1952"/>
      <c r="GZ48" s="1952"/>
      <c r="HA48" s="1952"/>
      <c r="HB48" s="1952"/>
      <c r="HC48" s="1952"/>
      <c r="HD48" s="1952"/>
      <c r="HE48" s="1952"/>
      <c r="HF48" s="1952"/>
      <c r="HG48" s="1952"/>
      <c r="HH48" s="1952"/>
      <c r="HI48" s="1952"/>
      <c r="HJ48" s="1952"/>
      <c r="HK48" s="1952"/>
      <c r="HL48" s="1952"/>
      <c r="HM48" s="1952"/>
      <c r="HN48" s="1952"/>
      <c r="HO48" s="1952"/>
      <c r="HP48" s="1952"/>
      <c r="HQ48" s="1952"/>
      <c r="HR48" s="1952"/>
      <c r="HS48" s="1952"/>
      <c r="HT48" s="1952"/>
      <c r="HU48" s="1952"/>
      <c r="HV48" s="1952"/>
      <c r="HW48" s="1952"/>
      <c r="HX48" s="1952"/>
      <c r="HY48" s="1952"/>
      <c r="HZ48" s="1952"/>
      <c r="IA48" s="1952"/>
      <c r="IB48" s="1952"/>
      <c r="IC48" s="1952"/>
      <c r="ID48" s="1952"/>
      <c r="IE48" s="1952"/>
      <c r="IF48" s="1952"/>
      <c r="IG48" s="1952"/>
      <c r="IH48" s="1952"/>
      <c r="II48" s="1952"/>
      <c r="IJ48" s="1952"/>
      <c r="IK48" s="1952"/>
      <c r="IL48" s="1952"/>
      <c r="IM48" s="1952"/>
    </row>
    <row r="49" spans="1:7">
      <c r="A49" s="1946"/>
      <c r="B49" s="1947">
        <f>审定资负表!C46</f>
        <v>0</v>
      </c>
      <c r="C49" s="1947">
        <f>审定资负表!D46</f>
        <v>0</v>
      </c>
      <c r="D49" s="1948" t="str">
        <f t="shared" si="0"/>
        <v> </v>
      </c>
      <c r="E49" s="1949">
        <f t="shared" si="1"/>
        <v>0</v>
      </c>
      <c r="F49" s="1950">
        <f t="shared" si="2"/>
        <v>0</v>
      </c>
      <c r="G49" s="1956"/>
    </row>
    <row r="50" ht="16.5" spans="1:247">
      <c r="A50" s="1946"/>
      <c r="B50" s="1947">
        <f>审定资负表!C47</f>
        <v>0</v>
      </c>
      <c r="C50" s="1947">
        <f>审定资负表!D47</f>
        <v>0</v>
      </c>
      <c r="D50" s="1948" t="str">
        <f t="shared" si="0"/>
        <v> </v>
      </c>
      <c r="E50" s="1949">
        <f t="shared" si="1"/>
        <v>0</v>
      </c>
      <c r="F50" s="1950">
        <f t="shared" si="2"/>
        <v>0</v>
      </c>
      <c r="G50" s="1956"/>
      <c r="H50" s="1952"/>
      <c r="I50" s="1952"/>
      <c r="J50" s="1952"/>
      <c r="K50" s="1952"/>
      <c r="L50" s="1952"/>
      <c r="M50" s="1952"/>
      <c r="N50" s="1952"/>
      <c r="O50" s="1952"/>
      <c r="P50" s="1952"/>
      <c r="Q50" s="1952"/>
      <c r="R50" s="1952"/>
      <c r="S50" s="1952"/>
      <c r="T50" s="1952"/>
      <c r="U50" s="1952"/>
      <c r="V50" s="1952"/>
      <c r="W50" s="1952"/>
      <c r="X50" s="1952"/>
      <c r="Y50" s="1952"/>
      <c r="Z50" s="1952"/>
      <c r="AA50" s="1952"/>
      <c r="AB50" s="1952"/>
      <c r="AC50" s="1952"/>
      <c r="AD50" s="1952"/>
      <c r="AE50" s="1952"/>
      <c r="AF50" s="1952"/>
      <c r="AG50" s="1952"/>
      <c r="AH50" s="1952"/>
      <c r="AI50" s="1952"/>
      <c r="AJ50" s="1952"/>
      <c r="AK50" s="1952"/>
      <c r="AL50" s="1952"/>
      <c r="AM50" s="1952"/>
      <c r="AN50" s="1952"/>
      <c r="AO50" s="1952"/>
      <c r="AP50" s="1952"/>
      <c r="AQ50" s="1952"/>
      <c r="AR50" s="1952"/>
      <c r="AS50" s="1952"/>
      <c r="AT50" s="1952"/>
      <c r="AU50" s="1952"/>
      <c r="AV50" s="1952"/>
      <c r="AW50" s="1952"/>
      <c r="AX50" s="1952"/>
      <c r="AY50" s="1952"/>
      <c r="AZ50" s="1952"/>
      <c r="BA50" s="1952"/>
      <c r="BB50" s="1952"/>
      <c r="BC50" s="1952"/>
      <c r="BD50" s="1952"/>
      <c r="BE50" s="1952"/>
      <c r="BF50" s="1952"/>
      <c r="BG50" s="1952"/>
      <c r="BH50" s="1952"/>
      <c r="BI50" s="1952"/>
      <c r="BJ50" s="1952"/>
      <c r="BK50" s="1952"/>
      <c r="BL50" s="1952"/>
      <c r="BM50" s="1952"/>
      <c r="BN50" s="1952"/>
      <c r="BO50" s="1952"/>
      <c r="BP50" s="1952"/>
      <c r="BQ50" s="1952"/>
      <c r="BR50" s="1952"/>
      <c r="BS50" s="1952"/>
      <c r="BT50" s="1952"/>
      <c r="BU50" s="1952"/>
      <c r="BV50" s="1952"/>
      <c r="BW50" s="1952"/>
      <c r="BX50" s="1952"/>
      <c r="BY50" s="1952"/>
      <c r="BZ50" s="1952"/>
      <c r="CA50" s="1952"/>
      <c r="CB50" s="1952"/>
      <c r="CC50" s="1952"/>
      <c r="CD50" s="1952"/>
      <c r="CE50" s="1952"/>
      <c r="CF50" s="1952"/>
      <c r="CG50" s="1952"/>
      <c r="CH50" s="1952"/>
      <c r="CI50" s="1952"/>
      <c r="CJ50" s="1952"/>
      <c r="CK50" s="1952"/>
      <c r="CL50" s="1952"/>
      <c r="CM50" s="1952"/>
      <c r="CN50" s="1952"/>
      <c r="CO50" s="1952"/>
      <c r="CP50" s="1952"/>
      <c r="CQ50" s="1952"/>
      <c r="CR50" s="1952"/>
      <c r="CS50" s="1952"/>
      <c r="CT50" s="1952"/>
      <c r="CU50" s="1952"/>
      <c r="CV50" s="1952"/>
      <c r="CW50" s="1952"/>
      <c r="CX50" s="1952"/>
      <c r="CY50" s="1952"/>
      <c r="CZ50" s="1952"/>
      <c r="DA50" s="1952"/>
      <c r="DB50" s="1952"/>
      <c r="DC50" s="1952"/>
      <c r="DD50" s="1952"/>
      <c r="DE50" s="1952"/>
      <c r="DF50" s="1952"/>
      <c r="DG50" s="1952"/>
      <c r="DH50" s="1952"/>
      <c r="DI50" s="1952"/>
      <c r="DJ50" s="1952"/>
      <c r="DK50" s="1952"/>
      <c r="DL50" s="1952"/>
      <c r="DM50" s="1952"/>
      <c r="DN50" s="1952"/>
      <c r="DO50" s="1952"/>
      <c r="DP50" s="1952"/>
      <c r="DQ50" s="1952"/>
      <c r="DR50" s="1952"/>
      <c r="DS50" s="1952"/>
      <c r="DT50" s="1952"/>
      <c r="DU50" s="1952"/>
      <c r="DV50" s="1952"/>
      <c r="DW50" s="1952"/>
      <c r="DX50" s="1952"/>
      <c r="DY50" s="1952"/>
      <c r="DZ50" s="1952"/>
      <c r="EA50" s="1952"/>
      <c r="EB50" s="1952"/>
      <c r="EC50" s="1952"/>
      <c r="ED50" s="1952"/>
      <c r="EE50" s="1952"/>
      <c r="EF50" s="1952"/>
      <c r="EG50" s="1952"/>
      <c r="EH50" s="1952"/>
      <c r="EI50" s="1952"/>
      <c r="EJ50" s="1952"/>
      <c r="EK50" s="1952"/>
      <c r="EL50" s="1952"/>
      <c r="EM50" s="1952"/>
      <c r="EN50" s="1952"/>
      <c r="EO50" s="1952"/>
      <c r="EP50" s="1952"/>
      <c r="EQ50" s="1952"/>
      <c r="ER50" s="1952"/>
      <c r="ES50" s="1952"/>
      <c r="ET50" s="1952"/>
      <c r="EU50" s="1952"/>
      <c r="EV50" s="1952"/>
      <c r="EW50" s="1952"/>
      <c r="EX50" s="1952"/>
      <c r="EY50" s="1952"/>
      <c r="EZ50" s="1952"/>
      <c r="FA50" s="1952"/>
      <c r="FB50" s="1952"/>
      <c r="FC50" s="1952"/>
      <c r="FD50" s="1952"/>
      <c r="FE50" s="1952"/>
      <c r="FF50" s="1952"/>
      <c r="FG50" s="1952"/>
      <c r="FH50" s="1952"/>
      <c r="FI50" s="1952"/>
      <c r="FJ50" s="1952"/>
      <c r="FK50" s="1952"/>
      <c r="FL50" s="1952"/>
      <c r="FM50" s="1952"/>
      <c r="FN50" s="1952"/>
      <c r="FO50" s="1952"/>
      <c r="FP50" s="1952"/>
      <c r="FQ50" s="1952"/>
      <c r="FR50" s="1952"/>
      <c r="FS50" s="1952"/>
      <c r="FT50" s="1952"/>
      <c r="FU50" s="1952"/>
      <c r="FV50" s="1952"/>
      <c r="FW50" s="1952"/>
      <c r="FX50" s="1952"/>
      <c r="FY50" s="1952"/>
      <c r="FZ50" s="1952"/>
      <c r="GA50" s="1952"/>
      <c r="GB50" s="1952"/>
      <c r="GC50" s="1952"/>
      <c r="GD50" s="1952"/>
      <c r="GE50" s="1952"/>
      <c r="GF50" s="1952"/>
      <c r="GG50" s="1952"/>
      <c r="GH50" s="1952"/>
      <c r="GI50" s="1952"/>
      <c r="GJ50" s="1952"/>
      <c r="GK50" s="1952"/>
      <c r="GL50" s="1952"/>
      <c r="GM50" s="1952"/>
      <c r="GN50" s="1952"/>
      <c r="GO50" s="1952"/>
      <c r="GP50" s="1952"/>
      <c r="GQ50" s="1952"/>
      <c r="GR50" s="1952"/>
      <c r="GS50" s="1952"/>
      <c r="GT50" s="1952"/>
      <c r="GU50" s="1952"/>
      <c r="GV50" s="1952"/>
      <c r="GW50" s="1952"/>
      <c r="GX50" s="1952"/>
      <c r="GY50" s="1952"/>
      <c r="GZ50" s="1952"/>
      <c r="HA50" s="1952"/>
      <c r="HB50" s="1952"/>
      <c r="HC50" s="1952"/>
      <c r="HD50" s="1952"/>
      <c r="HE50" s="1952"/>
      <c r="HF50" s="1952"/>
      <c r="HG50" s="1952"/>
      <c r="HH50" s="1952"/>
      <c r="HI50" s="1952"/>
      <c r="HJ50" s="1952"/>
      <c r="HK50" s="1952"/>
      <c r="HL50" s="1952"/>
      <c r="HM50" s="1952"/>
      <c r="HN50" s="1952"/>
      <c r="HO50" s="1952"/>
      <c r="HP50" s="1952"/>
      <c r="HQ50" s="1952"/>
      <c r="HR50" s="1952"/>
      <c r="HS50" s="1952"/>
      <c r="HT50" s="1952"/>
      <c r="HU50" s="1952"/>
      <c r="HV50" s="1952"/>
      <c r="HW50" s="1952"/>
      <c r="HX50" s="1952"/>
      <c r="HY50" s="1952"/>
      <c r="HZ50" s="1952"/>
      <c r="IA50" s="1952"/>
      <c r="IB50" s="1952"/>
      <c r="IC50" s="1952"/>
      <c r="ID50" s="1952"/>
      <c r="IE50" s="1952"/>
      <c r="IF50" s="1952"/>
      <c r="IG50" s="1952"/>
      <c r="IH50" s="1952"/>
      <c r="II50" s="1952"/>
      <c r="IJ50" s="1952"/>
      <c r="IK50" s="1952"/>
      <c r="IL50" s="1952"/>
      <c r="IM50" s="1952"/>
    </row>
    <row r="51" ht="16.5" spans="1:247">
      <c r="A51" s="1957" t="s">
        <v>264</v>
      </c>
      <c r="B51" s="1947">
        <f>审定资负表!C48</f>
        <v>485278652.79</v>
      </c>
      <c r="C51" s="1947">
        <f>审定资负表!D48</f>
        <v>225079668.28</v>
      </c>
      <c r="D51" s="1948">
        <f t="shared" si="0"/>
        <v>1</v>
      </c>
      <c r="E51" s="1949">
        <f t="shared" si="1"/>
        <v>260198984.51</v>
      </c>
      <c r="F51" s="1950">
        <f t="shared" si="2"/>
        <v>1.156</v>
      </c>
      <c r="G51" s="1956"/>
      <c r="H51" s="1952"/>
      <c r="I51" s="1952"/>
      <c r="J51" s="1952"/>
      <c r="K51" s="1952"/>
      <c r="L51" s="1952"/>
      <c r="M51" s="1952"/>
      <c r="N51" s="1952"/>
      <c r="O51" s="1952"/>
      <c r="P51" s="1952"/>
      <c r="Q51" s="1952"/>
      <c r="R51" s="1952"/>
      <c r="S51" s="1952"/>
      <c r="T51" s="1952"/>
      <c r="U51" s="1952"/>
      <c r="V51" s="1952"/>
      <c r="W51" s="1952"/>
      <c r="X51" s="1952"/>
      <c r="Y51" s="1952"/>
      <c r="Z51" s="1952"/>
      <c r="AA51" s="1952"/>
      <c r="AB51" s="1952"/>
      <c r="AC51" s="1952"/>
      <c r="AD51" s="1952"/>
      <c r="AE51" s="1952"/>
      <c r="AF51" s="1952"/>
      <c r="AG51" s="1952"/>
      <c r="AH51" s="1952"/>
      <c r="AI51" s="1952"/>
      <c r="AJ51" s="1952"/>
      <c r="AK51" s="1952"/>
      <c r="AL51" s="1952"/>
      <c r="AM51" s="1952"/>
      <c r="AN51" s="1952"/>
      <c r="AO51" s="1952"/>
      <c r="AP51" s="1952"/>
      <c r="AQ51" s="1952"/>
      <c r="AR51" s="1952"/>
      <c r="AS51" s="1952"/>
      <c r="AT51" s="1952"/>
      <c r="AU51" s="1952"/>
      <c r="AV51" s="1952"/>
      <c r="AW51" s="1952"/>
      <c r="AX51" s="1952"/>
      <c r="AY51" s="1952"/>
      <c r="AZ51" s="1952"/>
      <c r="BA51" s="1952"/>
      <c r="BB51" s="1952"/>
      <c r="BC51" s="1952"/>
      <c r="BD51" s="1952"/>
      <c r="BE51" s="1952"/>
      <c r="BF51" s="1952"/>
      <c r="BG51" s="1952"/>
      <c r="BH51" s="1952"/>
      <c r="BI51" s="1952"/>
      <c r="BJ51" s="1952"/>
      <c r="BK51" s="1952"/>
      <c r="BL51" s="1952"/>
      <c r="BM51" s="1952"/>
      <c r="BN51" s="1952"/>
      <c r="BO51" s="1952"/>
      <c r="BP51" s="1952"/>
      <c r="BQ51" s="1952"/>
      <c r="BR51" s="1952"/>
      <c r="BS51" s="1952"/>
      <c r="BT51" s="1952"/>
      <c r="BU51" s="1952"/>
      <c r="BV51" s="1952"/>
      <c r="BW51" s="1952"/>
      <c r="BX51" s="1952"/>
      <c r="BY51" s="1952"/>
      <c r="BZ51" s="1952"/>
      <c r="CA51" s="1952"/>
      <c r="CB51" s="1952"/>
      <c r="CC51" s="1952"/>
      <c r="CD51" s="1952"/>
      <c r="CE51" s="1952"/>
      <c r="CF51" s="1952"/>
      <c r="CG51" s="1952"/>
      <c r="CH51" s="1952"/>
      <c r="CI51" s="1952"/>
      <c r="CJ51" s="1952"/>
      <c r="CK51" s="1952"/>
      <c r="CL51" s="1952"/>
      <c r="CM51" s="1952"/>
      <c r="CN51" s="1952"/>
      <c r="CO51" s="1952"/>
      <c r="CP51" s="1952"/>
      <c r="CQ51" s="1952"/>
      <c r="CR51" s="1952"/>
      <c r="CS51" s="1952"/>
      <c r="CT51" s="1952"/>
      <c r="CU51" s="1952"/>
      <c r="CV51" s="1952"/>
      <c r="CW51" s="1952"/>
      <c r="CX51" s="1952"/>
      <c r="CY51" s="1952"/>
      <c r="CZ51" s="1952"/>
      <c r="DA51" s="1952"/>
      <c r="DB51" s="1952"/>
      <c r="DC51" s="1952"/>
      <c r="DD51" s="1952"/>
      <c r="DE51" s="1952"/>
      <c r="DF51" s="1952"/>
      <c r="DG51" s="1952"/>
      <c r="DH51" s="1952"/>
      <c r="DI51" s="1952"/>
      <c r="DJ51" s="1952"/>
      <c r="DK51" s="1952"/>
      <c r="DL51" s="1952"/>
      <c r="DM51" s="1952"/>
      <c r="DN51" s="1952"/>
      <c r="DO51" s="1952"/>
      <c r="DP51" s="1952"/>
      <c r="DQ51" s="1952"/>
      <c r="DR51" s="1952"/>
      <c r="DS51" s="1952"/>
      <c r="DT51" s="1952"/>
      <c r="DU51" s="1952"/>
      <c r="DV51" s="1952"/>
      <c r="DW51" s="1952"/>
      <c r="DX51" s="1952"/>
      <c r="DY51" s="1952"/>
      <c r="DZ51" s="1952"/>
      <c r="EA51" s="1952"/>
      <c r="EB51" s="1952"/>
      <c r="EC51" s="1952"/>
      <c r="ED51" s="1952"/>
      <c r="EE51" s="1952"/>
      <c r="EF51" s="1952"/>
      <c r="EG51" s="1952"/>
      <c r="EH51" s="1952"/>
      <c r="EI51" s="1952"/>
      <c r="EJ51" s="1952"/>
      <c r="EK51" s="1952"/>
      <c r="EL51" s="1952"/>
      <c r="EM51" s="1952"/>
      <c r="EN51" s="1952"/>
      <c r="EO51" s="1952"/>
      <c r="EP51" s="1952"/>
      <c r="EQ51" s="1952"/>
      <c r="ER51" s="1952"/>
      <c r="ES51" s="1952"/>
      <c r="ET51" s="1952"/>
      <c r="EU51" s="1952"/>
      <c r="EV51" s="1952"/>
      <c r="EW51" s="1952"/>
      <c r="EX51" s="1952"/>
      <c r="EY51" s="1952"/>
      <c r="EZ51" s="1952"/>
      <c r="FA51" s="1952"/>
      <c r="FB51" s="1952"/>
      <c r="FC51" s="1952"/>
      <c r="FD51" s="1952"/>
      <c r="FE51" s="1952"/>
      <c r="FF51" s="1952"/>
      <c r="FG51" s="1952"/>
      <c r="FH51" s="1952"/>
      <c r="FI51" s="1952"/>
      <c r="FJ51" s="1952"/>
      <c r="FK51" s="1952"/>
      <c r="FL51" s="1952"/>
      <c r="FM51" s="1952"/>
      <c r="FN51" s="1952"/>
      <c r="FO51" s="1952"/>
      <c r="FP51" s="1952"/>
      <c r="FQ51" s="1952"/>
      <c r="FR51" s="1952"/>
      <c r="FS51" s="1952"/>
      <c r="FT51" s="1952"/>
      <c r="FU51" s="1952"/>
      <c r="FV51" s="1952"/>
      <c r="FW51" s="1952"/>
      <c r="FX51" s="1952"/>
      <c r="FY51" s="1952"/>
      <c r="FZ51" s="1952"/>
      <c r="GA51" s="1952"/>
      <c r="GB51" s="1952"/>
      <c r="GC51" s="1952"/>
      <c r="GD51" s="1952"/>
      <c r="GE51" s="1952"/>
      <c r="GF51" s="1952"/>
      <c r="GG51" s="1952"/>
      <c r="GH51" s="1952"/>
      <c r="GI51" s="1952"/>
      <c r="GJ51" s="1952"/>
      <c r="GK51" s="1952"/>
      <c r="GL51" s="1952"/>
      <c r="GM51" s="1952"/>
      <c r="GN51" s="1952"/>
      <c r="GO51" s="1952"/>
      <c r="GP51" s="1952"/>
      <c r="GQ51" s="1952"/>
      <c r="GR51" s="1952"/>
      <c r="GS51" s="1952"/>
      <c r="GT51" s="1952"/>
      <c r="GU51" s="1952"/>
      <c r="GV51" s="1952"/>
      <c r="GW51" s="1952"/>
      <c r="GX51" s="1952"/>
      <c r="GY51" s="1952"/>
      <c r="GZ51" s="1952"/>
      <c r="HA51" s="1952"/>
      <c r="HB51" s="1952"/>
      <c r="HC51" s="1952"/>
      <c r="HD51" s="1952"/>
      <c r="HE51" s="1952"/>
      <c r="HF51" s="1952"/>
      <c r="HG51" s="1952"/>
      <c r="HH51" s="1952"/>
      <c r="HI51" s="1952"/>
      <c r="HJ51" s="1952"/>
      <c r="HK51" s="1952"/>
      <c r="HL51" s="1952"/>
      <c r="HM51" s="1952"/>
      <c r="HN51" s="1952"/>
      <c r="HO51" s="1952"/>
      <c r="HP51" s="1952"/>
      <c r="HQ51" s="1952"/>
      <c r="HR51" s="1952"/>
      <c r="HS51" s="1952"/>
      <c r="HT51" s="1952"/>
      <c r="HU51" s="1952"/>
      <c r="HV51" s="1952"/>
      <c r="HW51" s="1952"/>
      <c r="HX51" s="1952"/>
      <c r="HY51" s="1952"/>
      <c r="HZ51" s="1952"/>
      <c r="IA51" s="1952"/>
      <c r="IB51" s="1952"/>
      <c r="IC51" s="1952"/>
      <c r="ID51" s="1952"/>
      <c r="IE51" s="1952"/>
      <c r="IF51" s="1952"/>
      <c r="IG51" s="1952"/>
      <c r="IH51" s="1952"/>
      <c r="II51" s="1952"/>
      <c r="IJ51" s="1952"/>
      <c r="IK51" s="1952"/>
      <c r="IL51" s="1952"/>
      <c r="IM51" s="1952"/>
    </row>
    <row r="52" ht="16.5" spans="1:247">
      <c r="A52" s="1955" t="s">
        <v>195</v>
      </c>
      <c r="B52" s="1947"/>
      <c r="C52" s="1947"/>
      <c r="D52" s="1948" t="str">
        <f t="shared" si="0"/>
        <v> </v>
      </c>
      <c r="E52" s="1949">
        <f t="shared" si="1"/>
        <v>0</v>
      </c>
      <c r="F52" s="1950">
        <f t="shared" si="2"/>
        <v>0</v>
      </c>
      <c r="G52" s="1956"/>
      <c r="H52" s="1952"/>
      <c r="I52" s="1952"/>
      <c r="J52" s="1952"/>
      <c r="K52" s="1952"/>
      <c r="L52" s="1952"/>
      <c r="M52" s="1952"/>
      <c r="N52" s="1952"/>
      <c r="O52" s="1952"/>
      <c r="P52" s="1952"/>
      <c r="Q52" s="1952"/>
      <c r="R52" s="1952"/>
      <c r="S52" s="1952"/>
      <c r="T52" s="1952"/>
      <c r="U52" s="1952"/>
      <c r="V52" s="1952"/>
      <c r="W52" s="1952"/>
      <c r="X52" s="1952"/>
      <c r="Y52" s="1952"/>
      <c r="Z52" s="1952"/>
      <c r="AA52" s="1952"/>
      <c r="AB52" s="1952"/>
      <c r="AC52" s="1952"/>
      <c r="AD52" s="1952"/>
      <c r="AE52" s="1952"/>
      <c r="AF52" s="1952"/>
      <c r="AG52" s="1952"/>
      <c r="AH52" s="1952"/>
      <c r="AI52" s="1952"/>
      <c r="AJ52" s="1952"/>
      <c r="AK52" s="1952"/>
      <c r="AL52" s="1952"/>
      <c r="AM52" s="1952"/>
      <c r="AN52" s="1952"/>
      <c r="AO52" s="1952"/>
      <c r="AP52" s="1952"/>
      <c r="AQ52" s="1952"/>
      <c r="AR52" s="1952"/>
      <c r="AS52" s="1952"/>
      <c r="AT52" s="1952"/>
      <c r="AU52" s="1952"/>
      <c r="AV52" s="1952"/>
      <c r="AW52" s="1952"/>
      <c r="AX52" s="1952"/>
      <c r="AY52" s="1952"/>
      <c r="AZ52" s="1952"/>
      <c r="BA52" s="1952"/>
      <c r="BB52" s="1952"/>
      <c r="BC52" s="1952"/>
      <c r="BD52" s="1952"/>
      <c r="BE52" s="1952"/>
      <c r="BF52" s="1952"/>
      <c r="BG52" s="1952"/>
      <c r="BH52" s="1952"/>
      <c r="BI52" s="1952"/>
      <c r="BJ52" s="1952"/>
      <c r="BK52" s="1952"/>
      <c r="BL52" s="1952"/>
      <c r="BM52" s="1952"/>
      <c r="BN52" s="1952"/>
      <c r="BO52" s="1952"/>
      <c r="BP52" s="1952"/>
      <c r="BQ52" s="1952"/>
      <c r="BR52" s="1952"/>
      <c r="BS52" s="1952"/>
      <c r="BT52" s="1952"/>
      <c r="BU52" s="1952"/>
      <c r="BV52" s="1952"/>
      <c r="BW52" s="1952"/>
      <c r="BX52" s="1952"/>
      <c r="BY52" s="1952"/>
      <c r="BZ52" s="1952"/>
      <c r="CA52" s="1952"/>
      <c r="CB52" s="1952"/>
      <c r="CC52" s="1952"/>
      <c r="CD52" s="1952"/>
      <c r="CE52" s="1952"/>
      <c r="CF52" s="1952"/>
      <c r="CG52" s="1952"/>
      <c r="CH52" s="1952"/>
      <c r="CI52" s="1952"/>
      <c r="CJ52" s="1952"/>
      <c r="CK52" s="1952"/>
      <c r="CL52" s="1952"/>
      <c r="CM52" s="1952"/>
      <c r="CN52" s="1952"/>
      <c r="CO52" s="1952"/>
      <c r="CP52" s="1952"/>
      <c r="CQ52" s="1952"/>
      <c r="CR52" s="1952"/>
      <c r="CS52" s="1952"/>
      <c r="CT52" s="1952"/>
      <c r="CU52" s="1952"/>
      <c r="CV52" s="1952"/>
      <c r="CW52" s="1952"/>
      <c r="CX52" s="1952"/>
      <c r="CY52" s="1952"/>
      <c r="CZ52" s="1952"/>
      <c r="DA52" s="1952"/>
      <c r="DB52" s="1952"/>
      <c r="DC52" s="1952"/>
      <c r="DD52" s="1952"/>
      <c r="DE52" s="1952"/>
      <c r="DF52" s="1952"/>
      <c r="DG52" s="1952"/>
      <c r="DH52" s="1952"/>
      <c r="DI52" s="1952"/>
      <c r="DJ52" s="1952"/>
      <c r="DK52" s="1952"/>
      <c r="DL52" s="1952"/>
      <c r="DM52" s="1952"/>
      <c r="DN52" s="1952"/>
      <c r="DO52" s="1952"/>
      <c r="DP52" s="1952"/>
      <c r="DQ52" s="1952"/>
      <c r="DR52" s="1952"/>
      <c r="DS52" s="1952"/>
      <c r="DT52" s="1952"/>
      <c r="DU52" s="1952"/>
      <c r="DV52" s="1952"/>
      <c r="DW52" s="1952"/>
      <c r="DX52" s="1952"/>
      <c r="DY52" s="1952"/>
      <c r="DZ52" s="1952"/>
      <c r="EA52" s="1952"/>
      <c r="EB52" s="1952"/>
      <c r="EC52" s="1952"/>
      <c r="ED52" s="1952"/>
      <c r="EE52" s="1952"/>
      <c r="EF52" s="1952"/>
      <c r="EG52" s="1952"/>
      <c r="EH52" s="1952"/>
      <c r="EI52" s="1952"/>
      <c r="EJ52" s="1952"/>
      <c r="EK52" s="1952"/>
      <c r="EL52" s="1952"/>
      <c r="EM52" s="1952"/>
      <c r="EN52" s="1952"/>
      <c r="EO52" s="1952"/>
      <c r="EP52" s="1952"/>
      <c r="EQ52" s="1952"/>
      <c r="ER52" s="1952"/>
      <c r="ES52" s="1952"/>
      <c r="ET52" s="1952"/>
      <c r="EU52" s="1952"/>
      <c r="EV52" s="1952"/>
      <c r="EW52" s="1952"/>
      <c r="EX52" s="1952"/>
      <c r="EY52" s="1952"/>
      <c r="EZ52" s="1952"/>
      <c r="FA52" s="1952"/>
      <c r="FB52" s="1952"/>
      <c r="FC52" s="1952"/>
      <c r="FD52" s="1952"/>
      <c r="FE52" s="1952"/>
      <c r="FF52" s="1952"/>
      <c r="FG52" s="1952"/>
      <c r="FH52" s="1952"/>
      <c r="FI52" s="1952"/>
      <c r="FJ52" s="1952"/>
      <c r="FK52" s="1952"/>
      <c r="FL52" s="1952"/>
      <c r="FM52" s="1952"/>
      <c r="FN52" s="1952"/>
      <c r="FO52" s="1952"/>
      <c r="FP52" s="1952"/>
      <c r="FQ52" s="1952"/>
      <c r="FR52" s="1952"/>
      <c r="FS52" s="1952"/>
      <c r="FT52" s="1952"/>
      <c r="FU52" s="1952"/>
      <c r="FV52" s="1952"/>
      <c r="FW52" s="1952"/>
      <c r="FX52" s="1952"/>
      <c r="FY52" s="1952"/>
      <c r="FZ52" s="1952"/>
      <c r="GA52" s="1952"/>
      <c r="GB52" s="1952"/>
      <c r="GC52" s="1952"/>
      <c r="GD52" s="1952"/>
      <c r="GE52" s="1952"/>
      <c r="GF52" s="1952"/>
      <c r="GG52" s="1952"/>
      <c r="GH52" s="1952"/>
      <c r="GI52" s="1952"/>
      <c r="GJ52" s="1952"/>
      <c r="GK52" s="1952"/>
      <c r="GL52" s="1952"/>
      <c r="GM52" s="1952"/>
      <c r="GN52" s="1952"/>
      <c r="GO52" s="1952"/>
      <c r="GP52" s="1952"/>
      <c r="GQ52" s="1952"/>
      <c r="GR52" s="1952"/>
      <c r="GS52" s="1952"/>
      <c r="GT52" s="1952"/>
      <c r="GU52" s="1952"/>
      <c r="GV52" s="1952"/>
      <c r="GW52" s="1952"/>
      <c r="GX52" s="1952"/>
      <c r="GY52" s="1952"/>
      <c r="GZ52" s="1952"/>
      <c r="HA52" s="1952"/>
      <c r="HB52" s="1952"/>
      <c r="HC52" s="1952"/>
      <c r="HD52" s="1952"/>
      <c r="HE52" s="1952"/>
      <c r="HF52" s="1952"/>
      <c r="HG52" s="1952"/>
      <c r="HH52" s="1952"/>
      <c r="HI52" s="1952"/>
      <c r="HJ52" s="1952"/>
      <c r="HK52" s="1952"/>
      <c r="HL52" s="1952"/>
      <c r="HM52" s="1952"/>
      <c r="HN52" s="1952"/>
      <c r="HO52" s="1952"/>
      <c r="HP52" s="1952"/>
      <c r="HQ52" s="1952"/>
      <c r="HR52" s="1952"/>
      <c r="HS52" s="1952"/>
      <c r="HT52" s="1952"/>
      <c r="HU52" s="1952"/>
      <c r="HV52" s="1952"/>
      <c r="HW52" s="1952"/>
      <c r="HX52" s="1952"/>
      <c r="HY52" s="1952"/>
      <c r="HZ52" s="1952"/>
      <c r="IA52" s="1952"/>
      <c r="IB52" s="1952"/>
      <c r="IC52" s="1952"/>
      <c r="ID52" s="1952"/>
      <c r="IE52" s="1952"/>
      <c r="IF52" s="1952"/>
      <c r="IG52" s="1952"/>
      <c r="IH52" s="1952"/>
      <c r="II52" s="1952"/>
      <c r="IJ52" s="1952"/>
      <c r="IK52" s="1952"/>
      <c r="IL52" s="1952"/>
      <c r="IM52" s="1952"/>
    </row>
    <row r="53" ht="16.5" spans="1:247">
      <c r="A53" s="1946" t="s">
        <v>197</v>
      </c>
      <c r="B53" s="1947">
        <f>审定资负表!G7</f>
        <v>4850000</v>
      </c>
      <c r="C53" s="1947">
        <f>审定资负表!H7</f>
        <v>0</v>
      </c>
      <c r="D53" s="1948">
        <f t="shared" si="0"/>
        <v>0.00999425788073722</v>
      </c>
      <c r="E53" s="1949">
        <f t="shared" si="1"/>
        <v>4850000</v>
      </c>
      <c r="F53" s="1950">
        <f t="shared" si="2"/>
        <v>1</v>
      </c>
      <c r="G53" s="1956"/>
      <c r="H53" s="1952"/>
      <c r="I53" s="1952"/>
      <c r="J53" s="1952"/>
      <c r="K53" s="1952"/>
      <c r="L53" s="1952"/>
      <c r="M53" s="1952"/>
      <c r="N53" s="1952"/>
      <c r="O53" s="1952"/>
      <c r="P53" s="1952"/>
      <c r="Q53" s="1952"/>
      <c r="R53" s="1952"/>
      <c r="S53" s="1952"/>
      <c r="T53" s="1952"/>
      <c r="U53" s="1952"/>
      <c r="V53" s="1952"/>
      <c r="W53" s="1952"/>
      <c r="X53" s="1952"/>
      <c r="Y53" s="1952"/>
      <c r="Z53" s="1952"/>
      <c r="AA53" s="1952"/>
      <c r="AB53" s="1952"/>
      <c r="AC53" s="1952"/>
      <c r="AD53" s="1952"/>
      <c r="AE53" s="1952"/>
      <c r="AF53" s="1952"/>
      <c r="AG53" s="1952"/>
      <c r="AH53" s="1952"/>
      <c r="AI53" s="1952"/>
      <c r="AJ53" s="1952"/>
      <c r="AK53" s="1952"/>
      <c r="AL53" s="1952"/>
      <c r="AM53" s="1952"/>
      <c r="AN53" s="1952"/>
      <c r="AO53" s="1952"/>
      <c r="AP53" s="1952"/>
      <c r="AQ53" s="1952"/>
      <c r="AR53" s="1952"/>
      <c r="AS53" s="1952"/>
      <c r="AT53" s="1952"/>
      <c r="AU53" s="1952"/>
      <c r="AV53" s="1952"/>
      <c r="AW53" s="1952"/>
      <c r="AX53" s="1952"/>
      <c r="AY53" s="1952"/>
      <c r="AZ53" s="1952"/>
      <c r="BA53" s="1952"/>
      <c r="BB53" s="1952"/>
      <c r="BC53" s="1952"/>
      <c r="BD53" s="1952"/>
      <c r="BE53" s="1952"/>
      <c r="BF53" s="1952"/>
      <c r="BG53" s="1952"/>
      <c r="BH53" s="1952"/>
      <c r="BI53" s="1952"/>
      <c r="BJ53" s="1952"/>
      <c r="BK53" s="1952"/>
      <c r="BL53" s="1952"/>
      <c r="BM53" s="1952"/>
      <c r="BN53" s="1952"/>
      <c r="BO53" s="1952"/>
      <c r="BP53" s="1952"/>
      <c r="BQ53" s="1952"/>
      <c r="BR53" s="1952"/>
      <c r="BS53" s="1952"/>
      <c r="BT53" s="1952"/>
      <c r="BU53" s="1952"/>
      <c r="BV53" s="1952"/>
      <c r="BW53" s="1952"/>
      <c r="BX53" s="1952"/>
      <c r="BY53" s="1952"/>
      <c r="BZ53" s="1952"/>
      <c r="CA53" s="1952"/>
      <c r="CB53" s="1952"/>
      <c r="CC53" s="1952"/>
      <c r="CD53" s="1952"/>
      <c r="CE53" s="1952"/>
      <c r="CF53" s="1952"/>
      <c r="CG53" s="1952"/>
      <c r="CH53" s="1952"/>
      <c r="CI53" s="1952"/>
      <c r="CJ53" s="1952"/>
      <c r="CK53" s="1952"/>
      <c r="CL53" s="1952"/>
      <c r="CM53" s="1952"/>
      <c r="CN53" s="1952"/>
      <c r="CO53" s="1952"/>
      <c r="CP53" s="1952"/>
      <c r="CQ53" s="1952"/>
      <c r="CR53" s="1952"/>
      <c r="CS53" s="1952"/>
      <c r="CT53" s="1952"/>
      <c r="CU53" s="1952"/>
      <c r="CV53" s="1952"/>
      <c r="CW53" s="1952"/>
      <c r="CX53" s="1952"/>
      <c r="CY53" s="1952"/>
      <c r="CZ53" s="1952"/>
      <c r="DA53" s="1952"/>
      <c r="DB53" s="1952"/>
      <c r="DC53" s="1952"/>
      <c r="DD53" s="1952"/>
      <c r="DE53" s="1952"/>
      <c r="DF53" s="1952"/>
      <c r="DG53" s="1952"/>
      <c r="DH53" s="1952"/>
      <c r="DI53" s="1952"/>
      <c r="DJ53" s="1952"/>
      <c r="DK53" s="1952"/>
      <c r="DL53" s="1952"/>
      <c r="DM53" s="1952"/>
      <c r="DN53" s="1952"/>
      <c r="DO53" s="1952"/>
      <c r="DP53" s="1952"/>
      <c r="DQ53" s="1952"/>
      <c r="DR53" s="1952"/>
      <c r="DS53" s="1952"/>
      <c r="DT53" s="1952"/>
      <c r="DU53" s="1952"/>
      <c r="DV53" s="1952"/>
      <c r="DW53" s="1952"/>
      <c r="DX53" s="1952"/>
      <c r="DY53" s="1952"/>
      <c r="DZ53" s="1952"/>
      <c r="EA53" s="1952"/>
      <c r="EB53" s="1952"/>
      <c r="EC53" s="1952"/>
      <c r="ED53" s="1952"/>
      <c r="EE53" s="1952"/>
      <c r="EF53" s="1952"/>
      <c r="EG53" s="1952"/>
      <c r="EH53" s="1952"/>
      <c r="EI53" s="1952"/>
      <c r="EJ53" s="1952"/>
      <c r="EK53" s="1952"/>
      <c r="EL53" s="1952"/>
      <c r="EM53" s="1952"/>
      <c r="EN53" s="1952"/>
      <c r="EO53" s="1952"/>
      <c r="EP53" s="1952"/>
      <c r="EQ53" s="1952"/>
      <c r="ER53" s="1952"/>
      <c r="ES53" s="1952"/>
      <c r="ET53" s="1952"/>
      <c r="EU53" s="1952"/>
      <c r="EV53" s="1952"/>
      <c r="EW53" s="1952"/>
      <c r="EX53" s="1952"/>
      <c r="EY53" s="1952"/>
      <c r="EZ53" s="1952"/>
      <c r="FA53" s="1952"/>
      <c r="FB53" s="1952"/>
      <c r="FC53" s="1952"/>
      <c r="FD53" s="1952"/>
      <c r="FE53" s="1952"/>
      <c r="FF53" s="1952"/>
      <c r="FG53" s="1952"/>
      <c r="FH53" s="1952"/>
      <c r="FI53" s="1952"/>
      <c r="FJ53" s="1952"/>
      <c r="FK53" s="1952"/>
      <c r="FL53" s="1952"/>
      <c r="FM53" s="1952"/>
      <c r="FN53" s="1952"/>
      <c r="FO53" s="1952"/>
      <c r="FP53" s="1952"/>
      <c r="FQ53" s="1952"/>
      <c r="FR53" s="1952"/>
      <c r="FS53" s="1952"/>
      <c r="FT53" s="1952"/>
      <c r="FU53" s="1952"/>
      <c r="FV53" s="1952"/>
      <c r="FW53" s="1952"/>
      <c r="FX53" s="1952"/>
      <c r="FY53" s="1952"/>
      <c r="FZ53" s="1952"/>
      <c r="GA53" s="1952"/>
      <c r="GB53" s="1952"/>
      <c r="GC53" s="1952"/>
      <c r="GD53" s="1952"/>
      <c r="GE53" s="1952"/>
      <c r="GF53" s="1952"/>
      <c r="GG53" s="1952"/>
      <c r="GH53" s="1952"/>
      <c r="GI53" s="1952"/>
      <c r="GJ53" s="1952"/>
      <c r="GK53" s="1952"/>
      <c r="GL53" s="1952"/>
      <c r="GM53" s="1952"/>
      <c r="GN53" s="1952"/>
      <c r="GO53" s="1952"/>
      <c r="GP53" s="1952"/>
      <c r="GQ53" s="1952"/>
      <c r="GR53" s="1952"/>
      <c r="GS53" s="1952"/>
      <c r="GT53" s="1952"/>
      <c r="GU53" s="1952"/>
      <c r="GV53" s="1952"/>
      <c r="GW53" s="1952"/>
      <c r="GX53" s="1952"/>
      <c r="GY53" s="1952"/>
      <c r="GZ53" s="1952"/>
      <c r="HA53" s="1952"/>
      <c r="HB53" s="1952"/>
      <c r="HC53" s="1952"/>
      <c r="HD53" s="1952"/>
      <c r="HE53" s="1952"/>
      <c r="HF53" s="1952"/>
      <c r="HG53" s="1952"/>
      <c r="HH53" s="1952"/>
      <c r="HI53" s="1952"/>
      <c r="HJ53" s="1952"/>
      <c r="HK53" s="1952"/>
      <c r="HL53" s="1952"/>
      <c r="HM53" s="1952"/>
      <c r="HN53" s="1952"/>
      <c r="HO53" s="1952"/>
      <c r="HP53" s="1952"/>
      <c r="HQ53" s="1952"/>
      <c r="HR53" s="1952"/>
      <c r="HS53" s="1952"/>
      <c r="HT53" s="1952"/>
      <c r="HU53" s="1952"/>
      <c r="HV53" s="1952"/>
      <c r="HW53" s="1952"/>
      <c r="HX53" s="1952"/>
      <c r="HY53" s="1952"/>
      <c r="HZ53" s="1952"/>
      <c r="IA53" s="1952"/>
      <c r="IB53" s="1952"/>
      <c r="IC53" s="1952"/>
      <c r="ID53" s="1952"/>
      <c r="IE53" s="1952"/>
      <c r="IF53" s="1952"/>
      <c r="IG53" s="1952"/>
      <c r="IH53" s="1952"/>
      <c r="II53" s="1952"/>
      <c r="IJ53" s="1952"/>
      <c r="IK53" s="1952"/>
      <c r="IL53" s="1952"/>
      <c r="IM53" s="1952"/>
    </row>
    <row r="54" ht="16.5" spans="1:247">
      <c r="A54" s="1946" t="s">
        <v>1398</v>
      </c>
      <c r="B54" s="1947">
        <f>审定资负表!G8</f>
        <v>0</v>
      </c>
      <c r="C54" s="1947">
        <f>审定资负表!H8</f>
        <v>0</v>
      </c>
      <c r="D54" s="1948" t="str">
        <f t="shared" si="0"/>
        <v> </v>
      </c>
      <c r="E54" s="1949">
        <f t="shared" si="1"/>
        <v>0</v>
      </c>
      <c r="F54" s="1950">
        <f t="shared" si="2"/>
        <v>0</v>
      </c>
      <c r="G54" s="1956"/>
      <c r="H54" s="1952"/>
      <c r="I54" s="1952"/>
      <c r="J54" s="1952"/>
      <c r="K54" s="1952"/>
      <c r="L54" s="1952"/>
      <c r="M54" s="1952"/>
      <c r="N54" s="1952"/>
      <c r="O54" s="1952"/>
      <c r="P54" s="1952"/>
      <c r="Q54" s="1952"/>
      <c r="R54" s="1952"/>
      <c r="S54" s="1952"/>
      <c r="T54" s="1952"/>
      <c r="U54" s="1952"/>
      <c r="V54" s="1952"/>
      <c r="W54" s="1952"/>
      <c r="X54" s="1952"/>
      <c r="Y54" s="1952"/>
      <c r="Z54" s="1952"/>
      <c r="AA54" s="1952"/>
      <c r="AB54" s="1952"/>
      <c r="AC54" s="1952"/>
      <c r="AD54" s="1952"/>
      <c r="AE54" s="1952"/>
      <c r="AF54" s="1952"/>
      <c r="AG54" s="1952"/>
      <c r="AH54" s="1952"/>
      <c r="AI54" s="1952"/>
      <c r="AJ54" s="1952"/>
      <c r="AK54" s="1952"/>
      <c r="AL54" s="1952"/>
      <c r="AM54" s="1952"/>
      <c r="AN54" s="1952"/>
      <c r="AO54" s="1952"/>
      <c r="AP54" s="1952"/>
      <c r="AQ54" s="1952"/>
      <c r="AR54" s="1952"/>
      <c r="AS54" s="1952"/>
      <c r="AT54" s="1952"/>
      <c r="AU54" s="1952"/>
      <c r="AV54" s="1952"/>
      <c r="AW54" s="1952"/>
      <c r="AX54" s="1952"/>
      <c r="AY54" s="1952"/>
      <c r="AZ54" s="1952"/>
      <c r="BA54" s="1952"/>
      <c r="BB54" s="1952"/>
      <c r="BC54" s="1952"/>
      <c r="BD54" s="1952"/>
      <c r="BE54" s="1952"/>
      <c r="BF54" s="1952"/>
      <c r="BG54" s="1952"/>
      <c r="BH54" s="1952"/>
      <c r="BI54" s="1952"/>
      <c r="BJ54" s="1952"/>
      <c r="BK54" s="1952"/>
      <c r="BL54" s="1952"/>
      <c r="BM54" s="1952"/>
      <c r="BN54" s="1952"/>
      <c r="BO54" s="1952"/>
      <c r="BP54" s="1952"/>
      <c r="BQ54" s="1952"/>
      <c r="BR54" s="1952"/>
      <c r="BS54" s="1952"/>
      <c r="BT54" s="1952"/>
      <c r="BU54" s="1952"/>
      <c r="BV54" s="1952"/>
      <c r="BW54" s="1952"/>
      <c r="BX54" s="1952"/>
      <c r="BY54" s="1952"/>
      <c r="BZ54" s="1952"/>
      <c r="CA54" s="1952"/>
      <c r="CB54" s="1952"/>
      <c r="CC54" s="1952"/>
      <c r="CD54" s="1952"/>
      <c r="CE54" s="1952"/>
      <c r="CF54" s="1952"/>
      <c r="CG54" s="1952"/>
      <c r="CH54" s="1952"/>
      <c r="CI54" s="1952"/>
      <c r="CJ54" s="1952"/>
      <c r="CK54" s="1952"/>
      <c r="CL54" s="1952"/>
      <c r="CM54" s="1952"/>
      <c r="CN54" s="1952"/>
      <c r="CO54" s="1952"/>
      <c r="CP54" s="1952"/>
      <c r="CQ54" s="1952"/>
      <c r="CR54" s="1952"/>
      <c r="CS54" s="1952"/>
      <c r="CT54" s="1952"/>
      <c r="CU54" s="1952"/>
      <c r="CV54" s="1952"/>
      <c r="CW54" s="1952"/>
      <c r="CX54" s="1952"/>
      <c r="CY54" s="1952"/>
      <c r="CZ54" s="1952"/>
      <c r="DA54" s="1952"/>
      <c r="DB54" s="1952"/>
      <c r="DC54" s="1952"/>
      <c r="DD54" s="1952"/>
      <c r="DE54" s="1952"/>
      <c r="DF54" s="1952"/>
      <c r="DG54" s="1952"/>
      <c r="DH54" s="1952"/>
      <c r="DI54" s="1952"/>
      <c r="DJ54" s="1952"/>
      <c r="DK54" s="1952"/>
      <c r="DL54" s="1952"/>
      <c r="DM54" s="1952"/>
      <c r="DN54" s="1952"/>
      <c r="DO54" s="1952"/>
      <c r="DP54" s="1952"/>
      <c r="DQ54" s="1952"/>
      <c r="DR54" s="1952"/>
      <c r="DS54" s="1952"/>
      <c r="DT54" s="1952"/>
      <c r="DU54" s="1952"/>
      <c r="DV54" s="1952"/>
      <c r="DW54" s="1952"/>
      <c r="DX54" s="1952"/>
      <c r="DY54" s="1952"/>
      <c r="DZ54" s="1952"/>
      <c r="EA54" s="1952"/>
      <c r="EB54" s="1952"/>
      <c r="EC54" s="1952"/>
      <c r="ED54" s="1952"/>
      <c r="EE54" s="1952"/>
      <c r="EF54" s="1952"/>
      <c r="EG54" s="1952"/>
      <c r="EH54" s="1952"/>
      <c r="EI54" s="1952"/>
      <c r="EJ54" s="1952"/>
      <c r="EK54" s="1952"/>
      <c r="EL54" s="1952"/>
      <c r="EM54" s="1952"/>
      <c r="EN54" s="1952"/>
      <c r="EO54" s="1952"/>
      <c r="EP54" s="1952"/>
      <c r="EQ54" s="1952"/>
      <c r="ER54" s="1952"/>
      <c r="ES54" s="1952"/>
      <c r="ET54" s="1952"/>
      <c r="EU54" s="1952"/>
      <c r="EV54" s="1952"/>
      <c r="EW54" s="1952"/>
      <c r="EX54" s="1952"/>
      <c r="EY54" s="1952"/>
      <c r="EZ54" s="1952"/>
      <c r="FA54" s="1952"/>
      <c r="FB54" s="1952"/>
      <c r="FC54" s="1952"/>
      <c r="FD54" s="1952"/>
      <c r="FE54" s="1952"/>
      <c r="FF54" s="1952"/>
      <c r="FG54" s="1952"/>
      <c r="FH54" s="1952"/>
      <c r="FI54" s="1952"/>
      <c r="FJ54" s="1952"/>
      <c r="FK54" s="1952"/>
      <c r="FL54" s="1952"/>
      <c r="FM54" s="1952"/>
      <c r="FN54" s="1952"/>
      <c r="FO54" s="1952"/>
      <c r="FP54" s="1952"/>
      <c r="FQ54" s="1952"/>
      <c r="FR54" s="1952"/>
      <c r="FS54" s="1952"/>
      <c r="FT54" s="1952"/>
      <c r="FU54" s="1952"/>
      <c r="FV54" s="1952"/>
      <c r="FW54" s="1952"/>
      <c r="FX54" s="1952"/>
      <c r="FY54" s="1952"/>
      <c r="FZ54" s="1952"/>
      <c r="GA54" s="1952"/>
      <c r="GB54" s="1952"/>
      <c r="GC54" s="1952"/>
      <c r="GD54" s="1952"/>
      <c r="GE54" s="1952"/>
      <c r="GF54" s="1952"/>
      <c r="GG54" s="1952"/>
      <c r="GH54" s="1952"/>
      <c r="GI54" s="1952"/>
      <c r="GJ54" s="1952"/>
      <c r="GK54" s="1952"/>
      <c r="GL54" s="1952"/>
      <c r="GM54" s="1952"/>
      <c r="GN54" s="1952"/>
      <c r="GO54" s="1952"/>
      <c r="GP54" s="1952"/>
      <c r="GQ54" s="1952"/>
      <c r="GR54" s="1952"/>
      <c r="GS54" s="1952"/>
      <c r="GT54" s="1952"/>
      <c r="GU54" s="1952"/>
      <c r="GV54" s="1952"/>
      <c r="GW54" s="1952"/>
      <c r="GX54" s="1952"/>
      <c r="GY54" s="1952"/>
      <c r="GZ54" s="1952"/>
      <c r="HA54" s="1952"/>
      <c r="HB54" s="1952"/>
      <c r="HC54" s="1952"/>
      <c r="HD54" s="1952"/>
      <c r="HE54" s="1952"/>
      <c r="HF54" s="1952"/>
      <c r="HG54" s="1952"/>
      <c r="HH54" s="1952"/>
      <c r="HI54" s="1952"/>
      <c r="HJ54" s="1952"/>
      <c r="HK54" s="1952"/>
      <c r="HL54" s="1952"/>
      <c r="HM54" s="1952"/>
      <c r="HN54" s="1952"/>
      <c r="HO54" s="1952"/>
      <c r="HP54" s="1952"/>
      <c r="HQ54" s="1952"/>
      <c r="HR54" s="1952"/>
      <c r="HS54" s="1952"/>
      <c r="HT54" s="1952"/>
      <c r="HU54" s="1952"/>
      <c r="HV54" s="1952"/>
      <c r="HW54" s="1952"/>
      <c r="HX54" s="1952"/>
      <c r="HY54" s="1952"/>
      <c r="HZ54" s="1952"/>
      <c r="IA54" s="1952"/>
      <c r="IB54" s="1952"/>
      <c r="IC54" s="1952"/>
      <c r="ID54" s="1952"/>
      <c r="IE54" s="1952"/>
      <c r="IF54" s="1952"/>
      <c r="IG54" s="1952"/>
      <c r="IH54" s="1952"/>
      <c r="II54" s="1952"/>
      <c r="IJ54" s="1952"/>
      <c r="IK54" s="1952"/>
      <c r="IL54" s="1952"/>
      <c r="IM54" s="1952"/>
    </row>
    <row r="55" ht="16.5" spans="1:247">
      <c r="A55" s="1946" t="s">
        <v>201</v>
      </c>
      <c r="B55" s="1947">
        <f>审定资负表!G9</f>
        <v>4117111</v>
      </c>
      <c r="C55" s="1947">
        <f>审定资负表!H9</f>
        <v>7000000</v>
      </c>
      <c r="D55" s="1948">
        <f t="shared" si="0"/>
        <v>0.00848401423868452</v>
      </c>
      <c r="E55" s="1949">
        <f t="shared" si="1"/>
        <v>-2882889</v>
      </c>
      <c r="F55" s="1950">
        <f t="shared" si="2"/>
        <v>-0.4118</v>
      </c>
      <c r="G55" s="1958"/>
      <c r="H55" s="1952"/>
      <c r="I55" s="1952"/>
      <c r="J55" s="1952"/>
      <c r="K55" s="1952"/>
      <c r="L55" s="1952"/>
      <c r="M55" s="1952"/>
      <c r="N55" s="1952"/>
      <c r="O55" s="1952"/>
      <c r="P55" s="1952"/>
      <c r="Q55" s="1952"/>
      <c r="R55" s="1952"/>
      <c r="S55" s="1952"/>
      <c r="T55" s="1952"/>
      <c r="U55" s="1952"/>
      <c r="V55" s="1952"/>
      <c r="W55" s="1952"/>
      <c r="X55" s="1952"/>
      <c r="Y55" s="1952"/>
      <c r="Z55" s="1952"/>
      <c r="AA55" s="1952"/>
      <c r="AB55" s="1952"/>
      <c r="AC55" s="1952"/>
      <c r="AD55" s="1952"/>
      <c r="AE55" s="1952"/>
      <c r="AF55" s="1952"/>
      <c r="AG55" s="1952"/>
      <c r="AH55" s="1952"/>
      <c r="AI55" s="1952"/>
      <c r="AJ55" s="1952"/>
      <c r="AK55" s="1952"/>
      <c r="AL55" s="1952"/>
      <c r="AM55" s="1952"/>
      <c r="AN55" s="1952"/>
      <c r="AO55" s="1952"/>
      <c r="AP55" s="1952"/>
      <c r="AQ55" s="1952"/>
      <c r="AR55" s="1952"/>
      <c r="AS55" s="1952"/>
      <c r="AT55" s="1952"/>
      <c r="AU55" s="1952"/>
      <c r="AV55" s="1952"/>
      <c r="AW55" s="1952"/>
      <c r="AX55" s="1952"/>
      <c r="AY55" s="1952"/>
      <c r="AZ55" s="1952"/>
      <c r="BA55" s="1952"/>
      <c r="BB55" s="1952"/>
      <c r="BC55" s="1952"/>
      <c r="BD55" s="1952"/>
      <c r="BE55" s="1952"/>
      <c r="BF55" s="1952"/>
      <c r="BG55" s="1952"/>
      <c r="BH55" s="1952"/>
      <c r="BI55" s="1952"/>
      <c r="BJ55" s="1952"/>
      <c r="BK55" s="1952"/>
      <c r="BL55" s="1952"/>
      <c r="BM55" s="1952"/>
      <c r="BN55" s="1952"/>
      <c r="BO55" s="1952"/>
      <c r="BP55" s="1952"/>
      <c r="BQ55" s="1952"/>
      <c r="BR55" s="1952"/>
      <c r="BS55" s="1952"/>
      <c r="BT55" s="1952"/>
      <c r="BU55" s="1952"/>
      <c r="BV55" s="1952"/>
      <c r="BW55" s="1952"/>
      <c r="BX55" s="1952"/>
      <c r="BY55" s="1952"/>
      <c r="BZ55" s="1952"/>
      <c r="CA55" s="1952"/>
      <c r="CB55" s="1952"/>
      <c r="CC55" s="1952"/>
      <c r="CD55" s="1952"/>
      <c r="CE55" s="1952"/>
      <c r="CF55" s="1952"/>
      <c r="CG55" s="1952"/>
      <c r="CH55" s="1952"/>
      <c r="CI55" s="1952"/>
      <c r="CJ55" s="1952"/>
      <c r="CK55" s="1952"/>
      <c r="CL55" s="1952"/>
      <c r="CM55" s="1952"/>
      <c r="CN55" s="1952"/>
      <c r="CO55" s="1952"/>
      <c r="CP55" s="1952"/>
      <c r="CQ55" s="1952"/>
      <c r="CR55" s="1952"/>
      <c r="CS55" s="1952"/>
      <c r="CT55" s="1952"/>
      <c r="CU55" s="1952"/>
      <c r="CV55" s="1952"/>
      <c r="CW55" s="1952"/>
      <c r="CX55" s="1952"/>
      <c r="CY55" s="1952"/>
      <c r="CZ55" s="1952"/>
      <c r="DA55" s="1952"/>
      <c r="DB55" s="1952"/>
      <c r="DC55" s="1952"/>
      <c r="DD55" s="1952"/>
      <c r="DE55" s="1952"/>
      <c r="DF55" s="1952"/>
      <c r="DG55" s="1952"/>
      <c r="DH55" s="1952"/>
      <c r="DI55" s="1952"/>
      <c r="DJ55" s="1952"/>
      <c r="DK55" s="1952"/>
      <c r="DL55" s="1952"/>
      <c r="DM55" s="1952"/>
      <c r="DN55" s="1952"/>
      <c r="DO55" s="1952"/>
      <c r="DP55" s="1952"/>
      <c r="DQ55" s="1952"/>
      <c r="DR55" s="1952"/>
      <c r="DS55" s="1952"/>
      <c r="DT55" s="1952"/>
      <c r="DU55" s="1952"/>
      <c r="DV55" s="1952"/>
      <c r="DW55" s="1952"/>
      <c r="DX55" s="1952"/>
      <c r="DY55" s="1952"/>
      <c r="DZ55" s="1952"/>
      <c r="EA55" s="1952"/>
      <c r="EB55" s="1952"/>
      <c r="EC55" s="1952"/>
      <c r="ED55" s="1952"/>
      <c r="EE55" s="1952"/>
      <c r="EF55" s="1952"/>
      <c r="EG55" s="1952"/>
      <c r="EH55" s="1952"/>
      <c r="EI55" s="1952"/>
      <c r="EJ55" s="1952"/>
      <c r="EK55" s="1952"/>
      <c r="EL55" s="1952"/>
      <c r="EM55" s="1952"/>
      <c r="EN55" s="1952"/>
      <c r="EO55" s="1952"/>
      <c r="EP55" s="1952"/>
      <c r="EQ55" s="1952"/>
      <c r="ER55" s="1952"/>
      <c r="ES55" s="1952"/>
      <c r="ET55" s="1952"/>
      <c r="EU55" s="1952"/>
      <c r="EV55" s="1952"/>
      <c r="EW55" s="1952"/>
      <c r="EX55" s="1952"/>
      <c r="EY55" s="1952"/>
      <c r="EZ55" s="1952"/>
      <c r="FA55" s="1952"/>
      <c r="FB55" s="1952"/>
      <c r="FC55" s="1952"/>
      <c r="FD55" s="1952"/>
      <c r="FE55" s="1952"/>
      <c r="FF55" s="1952"/>
      <c r="FG55" s="1952"/>
      <c r="FH55" s="1952"/>
      <c r="FI55" s="1952"/>
      <c r="FJ55" s="1952"/>
      <c r="FK55" s="1952"/>
      <c r="FL55" s="1952"/>
      <c r="FM55" s="1952"/>
      <c r="FN55" s="1952"/>
      <c r="FO55" s="1952"/>
      <c r="FP55" s="1952"/>
      <c r="FQ55" s="1952"/>
      <c r="FR55" s="1952"/>
      <c r="FS55" s="1952"/>
      <c r="FT55" s="1952"/>
      <c r="FU55" s="1952"/>
      <c r="FV55" s="1952"/>
      <c r="FW55" s="1952"/>
      <c r="FX55" s="1952"/>
      <c r="FY55" s="1952"/>
      <c r="FZ55" s="1952"/>
      <c r="GA55" s="1952"/>
      <c r="GB55" s="1952"/>
      <c r="GC55" s="1952"/>
      <c r="GD55" s="1952"/>
      <c r="GE55" s="1952"/>
      <c r="GF55" s="1952"/>
      <c r="GG55" s="1952"/>
      <c r="GH55" s="1952"/>
      <c r="GI55" s="1952"/>
      <c r="GJ55" s="1952"/>
      <c r="GK55" s="1952"/>
      <c r="GL55" s="1952"/>
      <c r="GM55" s="1952"/>
      <c r="GN55" s="1952"/>
      <c r="GO55" s="1952"/>
      <c r="GP55" s="1952"/>
      <c r="GQ55" s="1952"/>
      <c r="GR55" s="1952"/>
      <c r="GS55" s="1952"/>
      <c r="GT55" s="1952"/>
      <c r="GU55" s="1952"/>
      <c r="GV55" s="1952"/>
      <c r="GW55" s="1952"/>
      <c r="GX55" s="1952"/>
      <c r="GY55" s="1952"/>
      <c r="GZ55" s="1952"/>
      <c r="HA55" s="1952"/>
      <c r="HB55" s="1952"/>
      <c r="HC55" s="1952"/>
      <c r="HD55" s="1952"/>
      <c r="HE55" s="1952"/>
      <c r="HF55" s="1952"/>
      <c r="HG55" s="1952"/>
      <c r="HH55" s="1952"/>
      <c r="HI55" s="1952"/>
      <c r="HJ55" s="1952"/>
      <c r="HK55" s="1952"/>
      <c r="HL55" s="1952"/>
      <c r="HM55" s="1952"/>
      <c r="HN55" s="1952"/>
      <c r="HO55" s="1952"/>
      <c r="HP55" s="1952"/>
      <c r="HQ55" s="1952"/>
      <c r="HR55" s="1952"/>
      <c r="HS55" s="1952"/>
      <c r="HT55" s="1952"/>
      <c r="HU55" s="1952"/>
      <c r="HV55" s="1952"/>
      <c r="HW55" s="1952"/>
      <c r="HX55" s="1952"/>
      <c r="HY55" s="1952"/>
      <c r="HZ55" s="1952"/>
      <c r="IA55" s="1952"/>
      <c r="IB55" s="1952"/>
      <c r="IC55" s="1952"/>
      <c r="ID55" s="1952"/>
      <c r="IE55" s="1952"/>
      <c r="IF55" s="1952"/>
      <c r="IG55" s="1952"/>
      <c r="IH55" s="1952"/>
      <c r="II55" s="1952"/>
      <c r="IJ55" s="1952"/>
      <c r="IK55" s="1952"/>
      <c r="IL55" s="1952"/>
      <c r="IM55" s="1952"/>
    </row>
    <row r="56" ht="16.5" spans="1:247">
      <c r="A56" s="1946" t="s">
        <v>203</v>
      </c>
      <c r="B56" s="1947">
        <f>审定资负表!G10</f>
        <v>41707145.22</v>
      </c>
      <c r="C56" s="1947">
        <f>审定资负表!H10</f>
        <v>16368470.98</v>
      </c>
      <c r="D56" s="1948">
        <f t="shared" si="0"/>
        <v>0.0859447350099045</v>
      </c>
      <c r="E56" s="1949">
        <f t="shared" si="1"/>
        <v>25338674.24</v>
      </c>
      <c r="F56" s="1950">
        <f t="shared" si="2"/>
        <v>1.548</v>
      </c>
      <c r="G56" s="1958"/>
      <c r="H56" s="1952"/>
      <c r="I56" s="1952"/>
      <c r="J56" s="1952"/>
      <c r="K56" s="1952"/>
      <c r="L56" s="1952"/>
      <c r="M56" s="1952"/>
      <c r="N56" s="1952"/>
      <c r="O56" s="1952"/>
      <c r="P56" s="1952"/>
      <c r="Q56" s="1952"/>
      <c r="R56" s="1952"/>
      <c r="S56" s="1952"/>
      <c r="T56" s="1952"/>
      <c r="U56" s="1952"/>
      <c r="V56" s="1952"/>
      <c r="W56" s="1952"/>
      <c r="X56" s="1952"/>
      <c r="Y56" s="1952"/>
      <c r="Z56" s="1952"/>
      <c r="AA56" s="1952"/>
      <c r="AB56" s="1952"/>
      <c r="AC56" s="1952"/>
      <c r="AD56" s="1952"/>
      <c r="AE56" s="1952"/>
      <c r="AF56" s="1952"/>
      <c r="AG56" s="1952"/>
      <c r="AH56" s="1952"/>
      <c r="AI56" s="1952"/>
      <c r="AJ56" s="1952"/>
      <c r="AK56" s="1952"/>
      <c r="AL56" s="1952"/>
      <c r="AM56" s="1952"/>
      <c r="AN56" s="1952"/>
      <c r="AO56" s="1952"/>
      <c r="AP56" s="1952"/>
      <c r="AQ56" s="1952"/>
      <c r="AR56" s="1952"/>
      <c r="AS56" s="1952"/>
      <c r="AT56" s="1952"/>
      <c r="AU56" s="1952"/>
      <c r="AV56" s="1952"/>
      <c r="AW56" s="1952"/>
      <c r="AX56" s="1952"/>
      <c r="AY56" s="1952"/>
      <c r="AZ56" s="1952"/>
      <c r="BA56" s="1952"/>
      <c r="BB56" s="1952"/>
      <c r="BC56" s="1952"/>
      <c r="BD56" s="1952"/>
      <c r="BE56" s="1952"/>
      <c r="BF56" s="1952"/>
      <c r="BG56" s="1952"/>
      <c r="BH56" s="1952"/>
      <c r="BI56" s="1952"/>
      <c r="BJ56" s="1952"/>
      <c r="BK56" s="1952"/>
      <c r="BL56" s="1952"/>
      <c r="BM56" s="1952"/>
      <c r="BN56" s="1952"/>
      <c r="BO56" s="1952"/>
      <c r="BP56" s="1952"/>
      <c r="BQ56" s="1952"/>
      <c r="BR56" s="1952"/>
      <c r="BS56" s="1952"/>
      <c r="BT56" s="1952"/>
      <c r="BU56" s="1952"/>
      <c r="BV56" s="1952"/>
      <c r="BW56" s="1952"/>
      <c r="BX56" s="1952"/>
      <c r="BY56" s="1952"/>
      <c r="BZ56" s="1952"/>
      <c r="CA56" s="1952"/>
      <c r="CB56" s="1952"/>
      <c r="CC56" s="1952"/>
      <c r="CD56" s="1952"/>
      <c r="CE56" s="1952"/>
      <c r="CF56" s="1952"/>
      <c r="CG56" s="1952"/>
      <c r="CH56" s="1952"/>
      <c r="CI56" s="1952"/>
      <c r="CJ56" s="1952"/>
      <c r="CK56" s="1952"/>
      <c r="CL56" s="1952"/>
      <c r="CM56" s="1952"/>
      <c r="CN56" s="1952"/>
      <c r="CO56" s="1952"/>
      <c r="CP56" s="1952"/>
      <c r="CQ56" s="1952"/>
      <c r="CR56" s="1952"/>
      <c r="CS56" s="1952"/>
      <c r="CT56" s="1952"/>
      <c r="CU56" s="1952"/>
      <c r="CV56" s="1952"/>
      <c r="CW56" s="1952"/>
      <c r="CX56" s="1952"/>
      <c r="CY56" s="1952"/>
      <c r="CZ56" s="1952"/>
      <c r="DA56" s="1952"/>
      <c r="DB56" s="1952"/>
      <c r="DC56" s="1952"/>
      <c r="DD56" s="1952"/>
      <c r="DE56" s="1952"/>
      <c r="DF56" s="1952"/>
      <c r="DG56" s="1952"/>
      <c r="DH56" s="1952"/>
      <c r="DI56" s="1952"/>
      <c r="DJ56" s="1952"/>
      <c r="DK56" s="1952"/>
      <c r="DL56" s="1952"/>
      <c r="DM56" s="1952"/>
      <c r="DN56" s="1952"/>
      <c r="DO56" s="1952"/>
      <c r="DP56" s="1952"/>
      <c r="DQ56" s="1952"/>
      <c r="DR56" s="1952"/>
      <c r="DS56" s="1952"/>
      <c r="DT56" s="1952"/>
      <c r="DU56" s="1952"/>
      <c r="DV56" s="1952"/>
      <c r="DW56" s="1952"/>
      <c r="DX56" s="1952"/>
      <c r="DY56" s="1952"/>
      <c r="DZ56" s="1952"/>
      <c r="EA56" s="1952"/>
      <c r="EB56" s="1952"/>
      <c r="EC56" s="1952"/>
      <c r="ED56" s="1952"/>
      <c r="EE56" s="1952"/>
      <c r="EF56" s="1952"/>
      <c r="EG56" s="1952"/>
      <c r="EH56" s="1952"/>
      <c r="EI56" s="1952"/>
      <c r="EJ56" s="1952"/>
      <c r="EK56" s="1952"/>
      <c r="EL56" s="1952"/>
      <c r="EM56" s="1952"/>
      <c r="EN56" s="1952"/>
      <c r="EO56" s="1952"/>
      <c r="EP56" s="1952"/>
      <c r="EQ56" s="1952"/>
      <c r="ER56" s="1952"/>
      <c r="ES56" s="1952"/>
      <c r="ET56" s="1952"/>
      <c r="EU56" s="1952"/>
      <c r="EV56" s="1952"/>
      <c r="EW56" s="1952"/>
      <c r="EX56" s="1952"/>
      <c r="EY56" s="1952"/>
      <c r="EZ56" s="1952"/>
      <c r="FA56" s="1952"/>
      <c r="FB56" s="1952"/>
      <c r="FC56" s="1952"/>
      <c r="FD56" s="1952"/>
      <c r="FE56" s="1952"/>
      <c r="FF56" s="1952"/>
      <c r="FG56" s="1952"/>
      <c r="FH56" s="1952"/>
      <c r="FI56" s="1952"/>
      <c r="FJ56" s="1952"/>
      <c r="FK56" s="1952"/>
      <c r="FL56" s="1952"/>
      <c r="FM56" s="1952"/>
      <c r="FN56" s="1952"/>
      <c r="FO56" s="1952"/>
      <c r="FP56" s="1952"/>
      <c r="FQ56" s="1952"/>
      <c r="FR56" s="1952"/>
      <c r="FS56" s="1952"/>
      <c r="FT56" s="1952"/>
      <c r="FU56" s="1952"/>
      <c r="FV56" s="1952"/>
      <c r="FW56" s="1952"/>
      <c r="FX56" s="1952"/>
      <c r="FY56" s="1952"/>
      <c r="FZ56" s="1952"/>
      <c r="GA56" s="1952"/>
      <c r="GB56" s="1952"/>
      <c r="GC56" s="1952"/>
      <c r="GD56" s="1952"/>
      <c r="GE56" s="1952"/>
      <c r="GF56" s="1952"/>
      <c r="GG56" s="1952"/>
      <c r="GH56" s="1952"/>
      <c r="GI56" s="1952"/>
      <c r="GJ56" s="1952"/>
      <c r="GK56" s="1952"/>
      <c r="GL56" s="1952"/>
      <c r="GM56" s="1952"/>
      <c r="GN56" s="1952"/>
      <c r="GO56" s="1952"/>
      <c r="GP56" s="1952"/>
      <c r="GQ56" s="1952"/>
      <c r="GR56" s="1952"/>
      <c r="GS56" s="1952"/>
      <c r="GT56" s="1952"/>
      <c r="GU56" s="1952"/>
      <c r="GV56" s="1952"/>
      <c r="GW56" s="1952"/>
      <c r="GX56" s="1952"/>
      <c r="GY56" s="1952"/>
      <c r="GZ56" s="1952"/>
      <c r="HA56" s="1952"/>
      <c r="HB56" s="1952"/>
      <c r="HC56" s="1952"/>
      <c r="HD56" s="1952"/>
      <c r="HE56" s="1952"/>
      <c r="HF56" s="1952"/>
      <c r="HG56" s="1952"/>
      <c r="HH56" s="1952"/>
      <c r="HI56" s="1952"/>
      <c r="HJ56" s="1952"/>
      <c r="HK56" s="1952"/>
      <c r="HL56" s="1952"/>
      <c r="HM56" s="1952"/>
      <c r="HN56" s="1952"/>
      <c r="HO56" s="1952"/>
      <c r="HP56" s="1952"/>
      <c r="HQ56" s="1952"/>
      <c r="HR56" s="1952"/>
      <c r="HS56" s="1952"/>
      <c r="HT56" s="1952"/>
      <c r="HU56" s="1952"/>
      <c r="HV56" s="1952"/>
      <c r="HW56" s="1952"/>
      <c r="HX56" s="1952"/>
      <c r="HY56" s="1952"/>
      <c r="HZ56" s="1952"/>
      <c r="IA56" s="1952"/>
      <c r="IB56" s="1952"/>
      <c r="IC56" s="1952"/>
      <c r="ID56" s="1952"/>
      <c r="IE56" s="1952"/>
      <c r="IF56" s="1952"/>
      <c r="IG56" s="1952"/>
      <c r="IH56" s="1952"/>
      <c r="II56" s="1952"/>
      <c r="IJ56" s="1952"/>
      <c r="IK56" s="1952"/>
      <c r="IL56" s="1952"/>
      <c r="IM56" s="1952"/>
    </row>
    <row r="57" ht="16.5" spans="1:247">
      <c r="A57" s="1946" t="s">
        <v>205</v>
      </c>
      <c r="B57" s="1947">
        <f>审定资负表!G11</f>
        <v>0</v>
      </c>
      <c r="C57" s="1947">
        <f>审定资负表!H11</f>
        <v>4711102.57</v>
      </c>
      <c r="D57" s="1948" t="str">
        <f t="shared" si="0"/>
        <v> </v>
      </c>
      <c r="E57" s="1949">
        <f t="shared" si="1"/>
        <v>-4711102.57</v>
      </c>
      <c r="F57" s="1950">
        <f t="shared" si="2"/>
        <v>-1</v>
      </c>
      <c r="G57" s="1953"/>
      <c r="H57" s="1952"/>
      <c r="I57" s="1952"/>
      <c r="J57" s="1952"/>
      <c r="K57" s="1952"/>
      <c r="L57" s="1952"/>
      <c r="M57" s="1952"/>
      <c r="N57" s="1952"/>
      <c r="O57" s="1952"/>
      <c r="P57" s="1952"/>
      <c r="Q57" s="1952"/>
      <c r="R57" s="1952"/>
      <c r="S57" s="1952"/>
      <c r="T57" s="1952"/>
      <c r="U57" s="1952"/>
      <c r="V57" s="1952"/>
      <c r="W57" s="1952"/>
      <c r="X57" s="1952"/>
      <c r="Y57" s="1952"/>
      <c r="Z57" s="1952"/>
      <c r="AA57" s="1952"/>
      <c r="AB57" s="1952"/>
      <c r="AC57" s="1952"/>
      <c r="AD57" s="1952"/>
      <c r="AE57" s="1952"/>
      <c r="AF57" s="1952"/>
      <c r="AG57" s="1952"/>
      <c r="AH57" s="1952"/>
      <c r="AI57" s="1952"/>
      <c r="AJ57" s="1952"/>
      <c r="AK57" s="1952"/>
      <c r="AL57" s="1952"/>
      <c r="AM57" s="1952"/>
      <c r="AN57" s="1952"/>
      <c r="AO57" s="1952"/>
      <c r="AP57" s="1952"/>
      <c r="AQ57" s="1952"/>
      <c r="AR57" s="1952"/>
      <c r="AS57" s="1952"/>
      <c r="AT57" s="1952"/>
      <c r="AU57" s="1952"/>
      <c r="AV57" s="1952"/>
      <c r="AW57" s="1952"/>
      <c r="AX57" s="1952"/>
      <c r="AY57" s="1952"/>
      <c r="AZ57" s="1952"/>
      <c r="BA57" s="1952"/>
      <c r="BB57" s="1952"/>
      <c r="BC57" s="1952"/>
      <c r="BD57" s="1952"/>
      <c r="BE57" s="1952"/>
      <c r="BF57" s="1952"/>
      <c r="BG57" s="1952"/>
      <c r="BH57" s="1952"/>
      <c r="BI57" s="1952"/>
      <c r="BJ57" s="1952"/>
      <c r="BK57" s="1952"/>
      <c r="BL57" s="1952"/>
      <c r="BM57" s="1952"/>
      <c r="BN57" s="1952"/>
      <c r="BO57" s="1952"/>
      <c r="BP57" s="1952"/>
      <c r="BQ57" s="1952"/>
      <c r="BR57" s="1952"/>
      <c r="BS57" s="1952"/>
      <c r="BT57" s="1952"/>
      <c r="BU57" s="1952"/>
      <c r="BV57" s="1952"/>
      <c r="BW57" s="1952"/>
      <c r="BX57" s="1952"/>
      <c r="BY57" s="1952"/>
      <c r="BZ57" s="1952"/>
      <c r="CA57" s="1952"/>
      <c r="CB57" s="1952"/>
      <c r="CC57" s="1952"/>
      <c r="CD57" s="1952"/>
      <c r="CE57" s="1952"/>
      <c r="CF57" s="1952"/>
      <c r="CG57" s="1952"/>
      <c r="CH57" s="1952"/>
      <c r="CI57" s="1952"/>
      <c r="CJ57" s="1952"/>
      <c r="CK57" s="1952"/>
      <c r="CL57" s="1952"/>
      <c r="CM57" s="1952"/>
      <c r="CN57" s="1952"/>
      <c r="CO57" s="1952"/>
      <c r="CP57" s="1952"/>
      <c r="CQ57" s="1952"/>
      <c r="CR57" s="1952"/>
      <c r="CS57" s="1952"/>
      <c r="CT57" s="1952"/>
      <c r="CU57" s="1952"/>
      <c r="CV57" s="1952"/>
      <c r="CW57" s="1952"/>
      <c r="CX57" s="1952"/>
      <c r="CY57" s="1952"/>
      <c r="CZ57" s="1952"/>
      <c r="DA57" s="1952"/>
      <c r="DB57" s="1952"/>
      <c r="DC57" s="1952"/>
      <c r="DD57" s="1952"/>
      <c r="DE57" s="1952"/>
      <c r="DF57" s="1952"/>
      <c r="DG57" s="1952"/>
      <c r="DH57" s="1952"/>
      <c r="DI57" s="1952"/>
      <c r="DJ57" s="1952"/>
      <c r="DK57" s="1952"/>
      <c r="DL57" s="1952"/>
      <c r="DM57" s="1952"/>
      <c r="DN57" s="1952"/>
      <c r="DO57" s="1952"/>
      <c r="DP57" s="1952"/>
      <c r="DQ57" s="1952"/>
      <c r="DR57" s="1952"/>
      <c r="DS57" s="1952"/>
      <c r="DT57" s="1952"/>
      <c r="DU57" s="1952"/>
      <c r="DV57" s="1952"/>
      <c r="DW57" s="1952"/>
      <c r="DX57" s="1952"/>
      <c r="DY57" s="1952"/>
      <c r="DZ57" s="1952"/>
      <c r="EA57" s="1952"/>
      <c r="EB57" s="1952"/>
      <c r="EC57" s="1952"/>
      <c r="ED57" s="1952"/>
      <c r="EE57" s="1952"/>
      <c r="EF57" s="1952"/>
      <c r="EG57" s="1952"/>
      <c r="EH57" s="1952"/>
      <c r="EI57" s="1952"/>
      <c r="EJ57" s="1952"/>
      <c r="EK57" s="1952"/>
      <c r="EL57" s="1952"/>
      <c r="EM57" s="1952"/>
      <c r="EN57" s="1952"/>
      <c r="EO57" s="1952"/>
      <c r="EP57" s="1952"/>
      <c r="EQ57" s="1952"/>
      <c r="ER57" s="1952"/>
      <c r="ES57" s="1952"/>
      <c r="ET57" s="1952"/>
      <c r="EU57" s="1952"/>
      <c r="EV57" s="1952"/>
      <c r="EW57" s="1952"/>
      <c r="EX57" s="1952"/>
      <c r="EY57" s="1952"/>
      <c r="EZ57" s="1952"/>
      <c r="FA57" s="1952"/>
      <c r="FB57" s="1952"/>
      <c r="FC57" s="1952"/>
      <c r="FD57" s="1952"/>
      <c r="FE57" s="1952"/>
      <c r="FF57" s="1952"/>
      <c r="FG57" s="1952"/>
      <c r="FH57" s="1952"/>
      <c r="FI57" s="1952"/>
      <c r="FJ57" s="1952"/>
      <c r="FK57" s="1952"/>
      <c r="FL57" s="1952"/>
      <c r="FM57" s="1952"/>
      <c r="FN57" s="1952"/>
      <c r="FO57" s="1952"/>
      <c r="FP57" s="1952"/>
      <c r="FQ57" s="1952"/>
      <c r="FR57" s="1952"/>
      <c r="FS57" s="1952"/>
      <c r="FT57" s="1952"/>
      <c r="FU57" s="1952"/>
      <c r="FV57" s="1952"/>
      <c r="FW57" s="1952"/>
      <c r="FX57" s="1952"/>
      <c r="FY57" s="1952"/>
      <c r="FZ57" s="1952"/>
      <c r="GA57" s="1952"/>
      <c r="GB57" s="1952"/>
      <c r="GC57" s="1952"/>
      <c r="GD57" s="1952"/>
      <c r="GE57" s="1952"/>
      <c r="GF57" s="1952"/>
      <c r="GG57" s="1952"/>
      <c r="GH57" s="1952"/>
      <c r="GI57" s="1952"/>
      <c r="GJ57" s="1952"/>
      <c r="GK57" s="1952"/>
      <c r="GL57" s="1952"/>
      <c r="GM57" s="1952"/>
      <c r="GN57" s="1952"/>
      <c r="GO57" s="1952"/>
      <c r="GP57" s="1952"/>
      <c r="GQ57" s="1952"/>
      <c r="GR57" s="1952"/>
      <c r="GS57" s="1952"/>
      <c r="GT57" s="1952"/>
      <c r="GU57" s="1952"/>
      <c r="GV57" s="1952"/>
      <c r="GW57" s="1952"/>
      <c r="GX57" s="1952"/>
      <c r="GY57" s="1952"/>
      <c r="GZ57" s="1952"/>
      <c r="HA57" s="1952"/>
      <c r="HB57" s="1952"/>
      <c r="HC57" s="1952"/>
      <c r="HD57" s="1952"/>
      <c r="HE57" s="1952"/>
      <c r="HF57" s="1952"/>
      <c r="HG57" s="1952"/>
      <c r="HH57" s="1952"/>
      <c r="HI57" s="1952"/>
      <c r="HJ57" s="1952"/>
      <c r="HK57" s="1952"/>
      <c r="HL57" s="1952"/>
      <c r="HM57" s="1952"/>
      <c r="HN57" s="1952"/>
      <c r="HO57" s="1952"/>
      <c r="HP57" s="1952"/>
      <c r="HQ57" s="1952"/>
      <c r="HR57" s="1952"/>
      <c r="HS57" s="1952"/>
      <c r="HT57" s="1952"/>
      <c r="HU57" s="1952"/>
      <c r="HV57" s="1952"/>
      <c r="HW57" s="1952"/>
      <c r="HX57" s="1952"/>
      <c r="HY57" s="1952"/>
      <c r="HZ57" s="1952"/>
      <c r="IA57" s="1952"/>
      <c r="IB57" s="1952"/>
      <c r="IC57" s="1952"/>
      <c r="ID57" s="1952"/>
      <c r="IE57" s="1952"/>
      <c r="IF57" s="1952"/>
      <c r="IG57" s="1952"/>
      <c r="IH57" s="1952"/>
      <c r="II57" s="1952"/>
      <c r="IJ57" s="1952"/>
      <c r="IK57" s="1952"/>
      <c r="IL57" s="1952"/>
      <c r="IM57" s="1952"/>
    </row>
    <row r="58" ht="88.5" spans="1:247">
      <c r="A58" s="1946" t="s">
        <v>207</v>
      </c>
      <c r="B58" s="1947">
        <f>审定资负表!G12</f>
        <v>1416018.5</v>
      </c>
      <c r="C58" s="1947">
        <f>审定资负表!H12</f>
        <v>1116508.51</v>
      </c>
      <c r="D58" s="1948">
        <f t="shared" si="0"/>
        <v>0.00291794928925664</v>
      </c>
      <c r="E58" s="1949">
        <f t="shared" si="1"/>
        <v>299509.99</v>
      </c>
      <c r="F58" s="1950">
        <f t="shared" si="2"/>
        <v>0.2683</v>
      </c>
      <c r="G58" s="1953" t="s">
        <v>2699</v>
      </c>
      <c r="H58" s="1952"/>
      <c r="I58" s="1952"/>
      <c r="J58" s="1952"/>
      <c r="K58" s="1952"/>
      <c r="L58" s="1952"/>
      <c r="M58" s="1952"/>
      <c r="N58" s="1952"/>
      <c r="O58" s="1952"/>
      <c r="P58" s="1952"/>
      <c r="Q58" s="1952"/>
      <c r="R58" s="1952"/>
      <c r="S58" s="1952"/>
      <c r="T58" s="1952"/>
      <c r="U58" s="1952"/>
      <c r="V58" s="1952"/>
      <c r="W58" s="1952"/>
      <c r="X58" s="1952"/>
      <c r="Y58" s="1952"/>
      <c r="Z58" s="1952"/>
      <c r="AA58" s="1952"/>
      <c r="AB58" s="1952"/>
      <c r="AC58" s="1952"/>
      <c r="AD58" s="1952"/>
      <c r="AE58" s="1952"/>
      <c r="AF58" s="1952"/>
      <c r="AG58" s="1952"/>
      <c r="AH58" s="1952"/>
      <c r="AI58" s="1952"/>
      <c r="AJ58" s="1952"/>
      <c r="AK58" s="1952"/>
      <c r="AL58" s="1952"/>
      <c r="AM58" s="1952"/>
      <c r="AN58" s="1952"/>
      <c r="AO58" s="1952"/>
      <c r="AP58" s="1952"/>
      <c r="AQ58" s="1952"/>
      <c r="AR58" s="1952"/>
      <c r="AS58" s="1952"/>
      <c r="AT58" s="1952"/>
      <c r="AU58" s="1952"/>
      <c r="AV58" s="1952"/>
      <c r="AW58" s="1952"/>
      <c r="AX58" s="1952"/>
      <c r="AY58" s="1952"/>
      <c r="AZ58" s="1952"/>
      <c r="BA58" s="1952"/>
      <c r="BB58" s="1952"/>
      <c r="BC58" s="1952"/>
      <c r="BD58" s="1952"/>
      <c r="BE58" s="1952"/>
      <c r="BF58" s="1952"/>
      <c r="BG58" s="1952"/>
      <c r="BH58" s="1952"/>
      <c r="BI58" s="1952"/>
      <c r="BJ58" s="1952"/>
      <c r="BK58" s="1952"/>
      <c r="BL58" s="1952"/>
      <c r="BM58" s="1952"/>
      <c r="BN58" s="1952"/>
      <c r="BO58" s="1952"/>
      <c r="BP58" s="1952"/>
      <c r="BQ58" s="1952"/>
      <c r="BR58" s="1952"/>
      <c r="BS58" s="1952"/>
      <c r="BT58" s="1952"/>
      <c r="BU58" s="1952"/>
      <c r="BV58" s="1952"/>
      <c r="BW58" s="1952"/>
      <c r="BX58" s="1952"/>
      <c r="BY58" s="1952"/>
      <c r="BZ58" s="1952"/>
      <c r="CA58" s="1952"/>
      <c r="CB58" s="1952"/>
      <c r="CC58" s="1952"/>
      <c r="CD58" s="1952"/>
      <c r="CE58" s="1952"/>
      <c r="CF58" s="1952"/>
      <c r="CG58" s="1952"/>
      <c r="CH58" s="1952"/>
      <c r="CI58" s="1952"/>
      <c r="CJ58" s="1952"/>
      <c r="CK58" s="1952"/>
      <c r="CL58" s="1952"/>
      <c r="CM58" s="1952"/>
      <c r="CN58" s="1952"/>
      <c r="CO58" s="1952"/>
      <c r="CP58" s="1952"/>
      <c r="CQ58" s="1952"/>
      <c r="CR58" s="1952"/>
      <c r="CS58" s="1952"/>
      <c r="CT58" s="1952"/>
      <c r="CU58" s="1952"/>
      <c r="CV58" s="1952"/>
      <c r="CW58" s="1952"/>
      <c r="CX58" s="1952"/>
      <c r="CY58" s="1952"/>
      <c r="CZ58" s="1952"/>
      <c r="DA58" s="1952"/>
      <c r="DB58" s="1952"/>
      <c r="DC58" s="1952"/>
      <c r="DD58" s="1952"/>
      <c r="DE58" s="1952"/>
      <c r="DF58" s="1952"/>
      <c r="DG58" s="1952"/>
      <c r="DH58" s="1952"/>
      <c r="DI58" s="1952"/>
      <c r="DJ58" s="1952"/>
      <c r="DK58" s="1952"/>
      <c r="DL58" s="1952"/>
      <c r="DM58" s="1952"/>
      <c r="DN58" s="1952"/>
      <c r="DO58" s="1952"/>
      <c r="DP58" s="1952"/>
      <c r="DQ58" s="1952"/>
      <c r="DR58" s="1952"/>
      <c r="DS58" s="1952"/>
      <c r="DT58" s="1952"/>
      <c r="DU58" s="1952"/>
      <c r="DV58" s="1952"/>
      <c r="DW58" s="1952"/>
      <c r="DX58" s="1952"/>
      <c r="DY58" s="1952"/>
      <c r="DZ58" s="1952"/>
      <c r="EA58" s="1952"/>
      <c r="EB58" s="1952"/>
      <c r="EC58" s="1952"/>
      <c r="ED58" s="1952"/>
      <c r="EE58" s="1952"/>
      <c r="EF58" s="1952"/>
      <c r="EG58" s="1952"/>
      <c r="EH58" s="1952"/>
      <c r="EI58" s="1952"/>
      <c r="EJ58" s="1952"/>
      <c r="EK58" s="1952"/>
      <c r="EL58" s="1952"/>
      <c r="EM58" s="1952"/>
      <c r="EN58" s="1952"/>
      <c r="EO58" s="1952"/>
      <c r="EP58" s="1952"/>
      <c r="EQ58" s="1952"/>
      <c r="ER58" s="1952"/>
      <c r="ES58" s="1952"/>
      <c r="ET58" s="1952"/>
      <c r="EU58" s="1952"/>
      <c r="EV58" s="1952"/>
      <c r="EW58" s="1952"/>
      <c r="EX58" s="1952"/>
      <c r="EY58" s="1952"/>
      <c r="EZ58" s="1952"/>
      <c r="FA58" s="1952"/>
      <c r="FB58" s="1952"/>
      <c r="FC58" s="1952"/>
      <c r="FD58" s="1952"/>
      <c r="FE58" s="1952"/>
      <c r="FF58" s="1952"/>
      <c r="FG58" s="1952"/>
      <c r="FH58" s="1952"/>
      <c r="FI58" s="1952"/>
      <c r="FJ58" s="1952"/>
      <c r="FK58" s="1952"/>
      <c r="FL58" s="1952"/>
      <c r="FM58" s="1952"/>
      <c r="FN58" s="1952"/>
      <c r="FO58" s="1952"/>
      <c r="FP58" s="1952"/>
      <c r="FQ58" s="1952"/>
      <c r="FR58" s="1952"/>
      <c r="FS58" s="1952"/>
      <c r="FT58" s="1952"/>
      <c r="FU58" s="1952"/>
      <c r="FV58" s="1952"/>
      <c r="FW58" s="1952"/>
      <c r="FX58" s="1952"/>
      <c r="FY58" s="1952"/>
      <c r="FZ58" s="1952"/>
      <c r="GA58" s="1952"/>
      <c r="GB58" s="1952"/>
      <c r="GC58" s="1952"/>
      <c r="GD58" s="1952"/>
      <c r="GE58" s="1952"/>
      <c r="GF58" s="1952"/>
      <c r="GG58" s="1952"/>
      <c r="GH58" s="1952"/>
      <c r="GI58" s="1952"/>
      <c r="GJ58" s="1952"/>
      <c r="GK58" s="1952"/>
      <c r="GL58" s="1952"/>
      <c r="GM58" s="1952"/>
      <c r="GN58" s="1952"/>
      <c r="GO58" s="1952"/>
      <c r="GP58" s="1952"/>
      <c r="GQ58" s="1952"/>
      <c r="GR58" s="1952"/>
      <c r="GS58" s="1952"/>
      <c r="GT58" s="1952"/>
      <c r="GU58" s="1952"/>
      <c r="GV58" s="1952"/>
      <c r="GW58" s="1952"/>
      <c r="GX58" s="1952"/>
      <c r="GY58" s="1952"/>
      <c r="GZ58" s="1952"/>
      <c r="HA58" s="1952"/>
      <c r="HB58" s="1952"/>
      <c r="HC58" s="1952"/>
      <c r="HD58" s="1952"/>
      <c r="HE58" s="1952"/>
      <c r="HF58" s="1952"/>
      <c r="HG58" s="1952"/>
      <c r="HH58" s="1952"/>
      <c r="HI58" s="1952"/>
      <c r="HJ58" s="1952"/>
      <c r="HK58" s="1952"/>
      <c r="HL58" s="1952"/>
      <c r="HM58" s="1952"/>
      <c r="HN58" s="1952"/>
      <c r="HO58" s="1952"/>
      <c r="HP58" s="1952"/>
      <c r="HQ58" s="1952"/>
      <c r="HR58" s="1952"/>
      <c r="HS58" s="1952"/>
      <c r="HT58" s="1952"/>
      <c r="HU58" s="1952"/>
      <c r="HV58" s="1952"/>
      <c r="HW58" s="1952"/>
      <c r="HX58" s="1952"/>
      <c r="HY58" s="1952"/>
      <c r="HZ58" s="1952"/>
      <c r="IA58" s="1952"/>
      <c r="IB58" s="1952"/>
      <c r="IC58" s="1952"/>
      <c r="ID58" s="1952"/>
      <c r="IE58" s="1952"/>
      <c r="IF58" s="1952"/>
      <c r="IG58" s="1952"/>
      <c r="IH58" s="1952"/>
      <c r="II58" s="1952"/>
      <c r="IJ58" s="1952"/>
      <c r="IK58" s="1952"/>
      <c r="IL58" s="1952"/>
      <c r="IM58" s="1952"/>
    </row>
    <row r="59" ht="48.75" spans="1:247">
      <c r="A59" s="1946" t="s">
        <v>209</v>
      </c>
      <c r="B59" s="1947">
        <f>审定资负表!G13</f>
        <v>431322.26</v>
      </c>
      <c r="C59" s="1947">
        <f>审定资负表!H13</f>
        <v>5639504.07</v>
      </c>
      <c r="D59" s="1948">
        <f t="shared" si="0"/>
        <v>0.000888813586833482</v>
      </c>
      <c r="E59" s="1949">
        <f t="shared" si="1"/>
        <v>-5208181.81</v>
      </c>
      <c r="F59" s="1950">
        <f t="shared" si="2"/>
        <v>-0.9235</v>
      </c>
      <c r="G59" s="1953" t="s">
        <v>2700</v>
      </c>
      <c r="H59" s="1952"/>
      <c r="I59" s="1952"/>
      <c r="J59" s="1952"/>
      <c r="K59" s="1952"/>
      <c r="L59" s="1952"/>
      <c r="M59" s="1952"/>
      <c r="N59" s="1952"/>
      <c r="O59" s="1952"/>
      <c r="P59" s="1952"/>
      <c r="Q59" s="1952"/>
      <c r="R59" s="1952"/>
      <c r="S59" s="1952"/>
      <c r="T59" s="1952"/>
      <c r="U59" s="1952"/>
      <c r="V59" s="1952"/>
      <c r="W59" s="1952"/>
      <c r="X59" s="1952"/>
      <c r="Y59" s="1952"/>
      <c r="Z59" s="1952"/>
      <c r="AA59" s="1952"/>
      <c r="AB59" s="1952"/>
      <c r="AC59" s="1952"/>
      <c r="AD59" s="1952"/>
      <c r="AE59" s="1952"/>
      <c r="AF59" s="1952"/>
      <c r="AG59" s="1952"/>
      <c r="AH59" s="1952"/>
      <c r="AI59" s="1952"/>
      <c r="AJ59" s="1952"/>
      <c r="AK59" s="1952"/>
      <c r="AL59" s="1952"/>
      <c r="AM59" s="1952"/>
      <c r="AN59" s="1952"/>
      <c r="AO59" s="1952"/>
      <c r="AP59" s="1952"/>
      <c r="AQ59" s="1952"/>
      <c r="AR59" s="1952"/>
      <c r="AS59" s="1952"/>
      <c r="AT59" s="1952"/>
      <c r="AU59" s="1952"/>
      <c r="AV59" s="1952"/>
      <c r="AW59" s="1952"/>
      <c r="AX59" s="1952"/>
      <c r="AY59" s="1952"/>
      <c r="AZ59" s="1952"/>
      <c r="BA59" s="1952"/>
      <c r="BB59" s="1952"/>
      <c r="BC59" s="1952"/>
      <c r="BD59" s="1952"/>
      <c r="BE59" s="1952"/>
      <c r="BF59" s="1952"/>
      <c r="BG59" s="1952"/>
      <c r="BH59" s="1952"/>
      <c r="BI59" s="1952"/>
      <c r="BJ59" s="1952"/>
      <c r="BK59" s="1952"/>
      <c r="BL59" s="1952"/>
      <c r="BM59" s="1952"/>
      <c r="BN59" s="1952"/>
      <c r="BO59" s="1952"/>
      <c r="BP59" s="1952"/>
      <c r="BQ59" s="1952"/>
      <c r="BR59" s="1952"/>
      <c r="BS59" s="1952"/>
      <c r="BT59" s="1952"/>
      <c r="BU59" s="1952"/>
      <c r="BV59" s="1952"/>
      <c r="BW59" s="1952"/>
      <c r="BX59" s="1952"/>
      <c r="BY59" s="1952"/>
      <c r="BZ59" s="1952"/>
      <c r="CA59" s="1952"/>
      <c r="CB59" s="1952"/>
      <c r="CC59" s="1952"/>
      <c r="CD59" s="1952"/>
      <c r="CE59" s="1952"/>
      <c r="CF59" s="1952"/>
      <c r="CG59" s="1952"/>
      <c r="CH59" s="1952"/>
      <c r="CI59" s="1952"/>
      <c r="CJ59" s="1952"/>
      <c r="CK59" s="1952"/>
      <c r="CL59" s="1952"/>
      <c r="CM59" s="1952"/>
      <c r="CN59" s="1952"/>
      <c r="CO59" s="1952"/>
      <c r="CP59" s="1952"/>
      <c r="CQ59" s="1952"/>
      <c r="CR59" s="1952"/>
      <c r="CS59" s="1952"/>
      <c r="CT59" s="1952"/>
      <c r="CU59" s="1952"/>
      <c r="CV59" s="1952"/>
      <c r="CW59" s="1952"/>
      <c r="CX59" s="1952"/>
      <c r="CY59" s="1952"/>
      <c r="CZ59" s="1952"/>
      <c r="DA59" s="1952"/>
      <c r="DB59" s="1952"/>
      <c r="DC59" s="1952"/>
      <c r="DD59" s="1952"/>
      <c r="DE59" s="1952"/>
      <c r="DF59" s="1952"/>
      <c r="DG59" s="1952"/>
      <c r="DH59" s="1952"/>
      <c r="DI59" s="1952"/>
      <c r="DJ59" s="1952"/>
      <c r="DK59" s="1952"/>
      <c r="DL59" s="1952"/>
      <c r="DM59" s="1952"/>
      <c r="DN59" s="1952"/>
      <c r="DO59" s="1952"/>
      <c r="DP59" s="1952"/>
      <c r="DQ59" s="1952"/>
      <c r="DR59" s="1952"/>
      <c r="DS59" s="1952"/>
      <c r="DT59" s="1952"/>
      <c r="DU59" s="1952"/>
      <c r="DV59" s="1952"/>
      <c r="DW59" s="1952"/>
      <c r="DX59" s="1952"/>
      <c r="DY59" s="1952"/>
      <c r="DZ59" s="1952"/>
      <c r="EA59" s="1952"/>
      <c r="EB59" s="1952"/>
      <c r="EC59" s="1952"/>
      <c r="ED59" s="1952"/>
      <c r="EE59" s="1952"/>
      <c r="EF59" s="1952"/>
      <c r="EG59" s="1952"/>
      <c r="EH59" s="1952"/>
      <c r="EI59" s="1952"/>
      <c r="EJ59" s="1952"/>
      <c r="EK59" s="1952"/>
      <c r="EL59" s="1952"/>
      <c r="EM59" s="1952"/>
      <c r="EN59" s="1952"/>
      <c r="EO59" s="1952"/>
      <c r="EP59" s="1952"/>
      <c r="EQ59" s="1952"/>
      <c r="ER59" s="1952"/>
      <c r="ES59" s="1952"/>
      <c r="ET59" s="1952"/>
      <c r="EU59" s="1952"/>
      <c r="EV59" s="1952"/>
      <c r="EW59" s="1952"/>
      <c r="EX59" s="1952"/>
      <c r="EY59" s="1952"/>
      <c r="EZ59" s="1952"/>
      <c r="FA59" s="1952"/>
      <c r="FB59" s="1952"/>
      <c r="FC59" s="1952"/>
      <c r="FD59" s="1952"/>
      <c r="FE59" s="1952"/>
      <c r="FF59" s="1952"/>
      <c r="FG59" s="1952"/>
      <c r="FH59" s="1952"/>
      <c r="FI59" s="1952"/>
      <c r="FJ59" s="1952"/>
      <c r="FK59" s="1952"/>
      <c r="FL59" s="1952"/>
      <c r="FM59" s="1952"/>
      <c r="FN59" s="1952"/>
      <c r="FO59" s="1952"/>
      <c r="FP59" s="1952"/>
      <c r="FQ59" s="1952"/>
      <c r="FR59" s="1952"/>
      <c r="FS59" s="1952"/>
      <c r="FT59" s="1952"/>
      <c r="FU59" s="1952"/>
      <c r="FV59" s="1952"/>
      <c r="FW59" s="1952"/>
      <c r="FX59" s="1952"/>
      <c r="FY59" s="1952"/>
      <c r="FZ59" s="1952"/>
      <c r="GA59" s="1952"/>
      <c r="GB59" s="1952"/>
      <c r="GC59" s="1952"/>
      <c r="GD59" s="1952"/>
      <c r="GE59" s="1952"/>
      <c r="GF59" s="1952"/>
      <c r="GG59" s="1952"/>
      <c r="GH59" s="1952"/>
      <c r="GI59" s="1952"/>
      <c r="GJ59" s="1952"/>
      <c r="GK59" s="1952"/>
      <c r="GL59" s="1952"/>
      <c r="GM59" s="1952"/>
      <c r="GN59" s="1952"/>
      <c r="GO59" s="1952"/>
      <c r="GP59" s="1952"/>
      <c r="GQ59" s="1952"/>
      <c r="GR59" s="1952"/>
      <c r="GS59" s="1952"/>
      <c r="GT59" s="1952"/>
      <c r="GU59" s="1952"/>
      <c r="GV59" s="1952"/>
      <c r="GW59" s="1952"/>
      <c r="GX59" s="1952"/>
      <c r="GY59" s="1952"/>
      <c r="GZ59" s="1952"/>
      <c r="HA59" s="1952"/>
      <c r="HB59" s="1952"/>
      <c r="HC59" s="1952"/>
      <c r="HD59" s="1952"/>
      <c r="HE59" s="1952"/>
      <c r="HF59" s="1952"/>
      <c r="HG59" s="1952"/>
      <c r="HH59" s="1952"/>
      <c r="HI59" s="1952"/>
      <c r="HJ59" s="1952"/>
      <c r="HK59" s="1952"/>
      <c r="HL59" s="1952"/>
      <c r="HM59" s="1952"/>
      <c r="HN59" s="1952"/>
      <c r="HO59" s="1952"/>
      <c r="HP59" s="1952"/>
      <c r="HQ59" s="1952"/>
      <c r="HR59" s="1952"/>
      <c r="HS59" s="1952"/>
      <c r="HT59" s="1952"/>
      <c r="HU59" s="1952"/>
      <c r="HV59" s="1952"/>
      <c r="HW59" s="1952"/>
      <c r="HX59" s="1952"/>
      <c r="HY59" s="1952"/>
      <c r="HZ59" s="1952"/>
      <c r="IA59" s="1952"/>
      <c r="IB59" s="1952"/>
      <c r="IC59" s="1952"/>
      <c r="ID59" s="1952"/>
      <c r="IE59" s="1952"/>
      <c r="IF59" s="1952"/>
      <c r="IG59" s="1952"/>
      <c r="IH59" s="1952"/>
      <c r="II59" s="1952"/>
      <c r="IJ59" s="1952"/>
      <c r="IK59" s="1952"/>
      <c r="IL59" s="1952"/>
      <c r="IM59" s="1952"/>
    </row>
    <row r="60" ht="16.5" spans="1:247">
      <c r="A60" s="1946" t="s">
        <v>211</v>
      </c>
      <c r="B60" s="1947">
        <f>审定资负表!G14</f>
        <v>120815.96</v>
      </c>
      <c r="C60" s="1947">
        <f>审定资负表!H14</f>
        <v>151896.35</v>
      </c>
      <c r="D60" s="1948">
        <f t="shared" si="0"/>
        <v>0.000248962033061615</v>
      </c>
      <c r="E60" s="1949">
        <f t="shared" si="1"/>
        <v>-31080.39</v>
      </c>
      <c r="F60" s="1950">
        <f t="shared" si="2"/>
        <v>-0.2046</v>
      </c>
      <c r="G60" s="1956" t="s">
        <v>2701</v>
      </c>
      <c r="H60" s="1952"/>
      <c r="I60" s="1952"/>
      <c r="J60" s="1952"/>
      <c r="K60" s="1952"/>
      <c r="L60" s="1952"/>
      <c r="M60" s="1952"/>
      <c r="N60" s="1952"/>
      <c r="O60" s="1952"/>
      <c r="P60" s="1952"/>
      <c r="Q60" s="1952"/>
      <c r="R60" s="1952"/>
      <c r="S60" s="1952"/>
      <c r="T60" s="1952"/>
      <c r="U60" s="1952"/>
      <c r="V60" s="1952"/>
      <c r="W60" s="1952"/>
      <c r="X60" s="1952"/>
      <c r="Y60" s="1952"/>
      <c r="Z60" s="1952"/>
      <c r="AA60" s="1952"/>
      <c r="AB60" s="1952"/>
      <c r="AC60" s="1952"/>
      <c r="AD60" s="1952"/>
      <c r="AE60" s="1952"/>
      <c r="AF60" s="1952"/>
      <c r="AG60" s="1952"/>
      <c r="AH60" s="1952"/>
      <c r="AI60" s="1952"/>
      <c r="AJ60" s="1952"/>
      <c r="AK60" s="1952"/>
      <c r="AL60" s="1952"/>
      <c r="AM60" s="1952"/>
      <c r="AN60" s="1952"/>
      <c r="AO60" s="1952"/>
      <c r="AP60" s="1952"/>
      <c r="AQ60" s="1952"/>
      <c r="AR60" s="1952"/>
      <c r="AS60" s="1952"/>
      <c r="AT60" s="1952"/>
      <c r="AU60" s="1952"/>
      <c r="AV60" s="1952"/>
      <c r="AW60" s="1952"/>
      <c r="AX60" s="1952"/>
      <c r="AY60" s="1952"/>
      <c r="AZ60" s="1952"/>
      <c r="BA60" s="1952"/>
      <c r="BB60" s="1952"/>
      <c r="BC60" s="1952"/>
      <c r="BD60" s="1952"/>
      <c r="BE60" s="1952"/>
      <c r="BF60" s="1952"/>
      <c r="BG60" s="1952"/>
      <c r="BH60" s="1952"/>
      <c r="BI60" s="1952"/>
      <c r="BJ60" s="1952"/>
      <c r="BK60" s="1952"/>
      <c r="BL60" s="1952"/>
      <c r="BM60" s="1952"/>
      <c r="BN60" s="1952"/>
      <c r="BO60" s="1952"/>
      <c r="BP60" s="1952"/>
      <c r="BQ60" s="1952"/>
      <c r="BR60" s="1952"/>
      <c r="BS60" s="1952"/>
      <c r="BT60" s="1952"/>
      <c r="BU60" s="1952"/>
      <c r="BV60" s="1952"/>
      <c r="BW60" s="1952"/>
      <c r="BX60" s="1952"/>
      <c r="BY60" s="1952"/>
      <c r="BZ60" s="1952"/>
      <c r="CA60" s="1952"/>
      <c r="CB60" s="1952"/>
      <c r="CC60" s="1952"/>
      <c r="CD60" s="1952"/>
      <c r="CE60" s="1952"/>
      <c r="CF60" s="1952"/>
      <c r="CG60" s="1952"/>
      <c r="CH60" s="1952"/>
      <c r="CI60" s="1952"/>
      <c r="CJ60" s="1952"/>
      <c r="CK60" s="1952"/>
      <c r="CL60" s="1952"/>
      <c r="CM60" s="1952"/>
      <c r="CN60" s="1952"/>
      <c r="CO60" s="1952"/>
      <c r="CP60" s="1952"/>
      <c r="CQ60" s="1952"/>
      <c r="CR60" s="1952"/>
      <c r="CS60" s="1952"/>
      <c r="CT60" s="1952"/>
      <c r="CU60" s="1952"/>
      <c r="CV60" s="1952"/>
      <c r="CW60" s="1952"/>
      <c r="CX60" s="1952"/>
      <c r="CY60" s="1952"/>
      <c r="CZ60" s="1952"/>
      <c r="DA60" s="1952"/>
      <c r="DB60" s="1952"/>
      <c r="DC60" s="1952"/>
      <c r="DD60" s="1952"/>
      <c r="DE60" s="1952"/>
      <c r="DF60" s="1952"/>
      <c r="DG60" s="1952"/>
      <c r="DH60" s="1952"/>
      <c r="DI60" s="1952"/>
      <c r="DJ60" s="1952"/>
      <c r="DK60" s="1952"/>
      <c r="DL60" s="1952"/>
      <c r="DM60" s="1952"/>
      <c r="DN60" s="1952"/>
      <c r="DO60" s="1952"/>
      <c r="DP60" s="1952"/>
      <c r="DQ60" s="1952"/>
      <c r="DR60" s="1952"/>
      <c r="DS60" s="1952"/>
      <c r="DT60" s="1952"/>
      <c r="DU60" s="1952"/>
      <c r="DV60" s="1952"/>
      <c r="DW60" s="1952"/>
      <c r="DX60" s="1952"/>
      <c r="DY60" s="1952"/>
      <c r="DZ60" s="1952"/>
      <c r="EA60" s="1952"/>
      <c r="EB60" s="1952"/>
      <c r="EC60" s="1952"/>
      <c r="ED60" s="1952"/>
      <c r="EE60" s="1952"/>
      <c r="EF60" s="1952"/>
      <c r="EG60" s="1952"/>
      <c r="EH60" s="1952"/>
      <c r="EI60" s="1952"/>
      <c r="EJ60" s="1952"/>
      <c r="EK60" s="1952"/>
      <c r="EL60" s="1952"/>
      <c r="EM60" s="1952"/>
      <c r="EN60" s="1952"/>
      <c r="EO60" s="1952"/>
      <c r="EP60" s="1952"/>
      <c r="EQ60" s="1952"/>
      <c r="ER60" s="1952"/>
      <c r="ES60" s="1952"/>
      <c r="ET60" s="1952"/>
      <c r="EU60" s="1952"/>
      <c r="EV60" s="1952"/>
      <c r="EW60" s="1952"/>
      <c r="EX60" s="1952"/>
      <c r="EY60" s="1952"/>
      <c r="EZ60" s="1952"/>
      <c r="FA60" s="1952"/>
      <c r="FB60" s="1952"/>
      <c r="FC60" s="1952"/>
      <c r="FD60" s="1952"/>
      <c r="FE60" s="1952"/>
      <c r="FF60" s="1952"/>
      <c r="FG60" s="1952"/>
      <c r="FH60" s="1952"/>
      <c r="FI60" s="1952"/>
      <c r="FJ60" s="1952"/>
      <c r="FK60" s="1952"/>
      <c r="FL60" s="1952"/>
      <c r="FM60" s="1952"/>
      <c r="FN60" s="1952"/>
      <c r="FO60" s="1952"/>
      <c r="FP60" s="1952"/>
      <c r="FQ60" s="1952"/>
      <c r="FR60" s="1952"/>
      <c r="FS60" s="1952"/>
      <c r="FT60" s="1952"/>
      <c r="FU60" s="1952"/>
      <c r="FV60" s="1952"/>
      <c r="FW60" s="1952"/>
      <c r="FX60" s="1952"/>
      <c r="FY60" s="1952"/>
      <c r="FZ60" s="1952"/>
      <c r="GA60" s="1952"/>
      <c r="GB60" s="1952"/>
      <c r="GC60" s="1952"/>
      <c r="GD60" s="1952"/>
      <c r="GE60" s="1952"/>
      <c r="GF60" s="1952"/>
      <c r="GG60" s="1952"/>
      <c r="GH60" s="1952"/>
      <c r="GI60" s="1952"/>
      <c r="GJ60" s="1952"/>
      <c r="GK60" s="1952"/>
      <c r="GL60" s="1952"/>
      <c r="GM60" s="1952"/>
      <c r="GN60" s="1952"/>
      <c r="GO60" s="1952"/>
      <c r="GP60" s="1952"/>
      <c r="GQ60" s="1952"/>
      <c r="GR60" s="1952"/>
      <c r="GS60" s="1952"/>
      <c r="GT60" s="1952"/>
      <c r="GU60" s="1952"/>
      <c r="GV60" s="1952"/>
      <c r="GW60" s="1952"/>
      <c r="GX60" s="1952"/>
      <c r="GY60" s="1952"/>
      <c r="GZ60" s="1952"/>
      <c r="HA60" s="1952"/>
      <c r="HB60" s="1952"/>
      <c r="HC60" s="1952"/>
      <c r="HD60" s="1952"/>
      <c r="HE60" s="1952"/>
      <c r="HF60" s="1952"/>
      <c r="HG60" s="1952"/>
      <c r="HH60" s="1952"/>
      <c r="HI60" s="1952"/>
      <c r="HJ60" s="1952"/>
      <c r="HK60" s="1952"/>
      <c r="HL60" s="1952"/>
      <c r="HM60" s="1952"/>
      <c r="HN60" s="1952"/>
      <c r="HO60" s="1952"/>
      <c r="HP60" s="1952"/>
      <c r="HQ60" s="1952"/>
      <c r="HR60" s="1952"/>
      <c r="HS60" s="1952"/>
      <c r="HT60" s="1952"/>
      <c r="HU60" s="1952"/>
      <c r="HV60" s="1952"/>
      <c r="HW60" s="1952"/>
      <c r="HX60" s="1952"/>
      <c r="HY60" s="1952"/>
      <c r="HZ60" s="1952"/>
      <c r="IA60" s="1952"/>
      <c r="IB60" s="1952"/>
      <c r="IC60" s="1952"/>
      <c r="ID60" s="1952"/>
      <c r="IE60" s="1952"/>
      <c r="IF60" s="1952"/>
      <c r="IG60" s="1952"/>
      <c r="IH60" s="1952"/>
      <c r="II60" s="1952"/>
      <c r="IJ60" s="1952"/>
      <c r="IK60" s="1952"/>
      <c r="IL60" s="1952"/>
      <c r="IM60" s="1952"/>
    </row>
    <row r="61" ht="16.5" spans="1:247">
      <c r="A61" s="1946" t="s">
        <v>213</v>
      </c>
      <c r="B61" s="1947">
        <f>审定资负表!G15</f>
        <v>0</v>
      </c>
      <c r="C61" s="1947">
        <f>审定资负表!H15</f>
        <v>0</v>
      </c>
      <c r="D61" s="1948" t="str">
        <f t="shared" si="0"/>
        <v> </v>
      </c>
      <c r="E61" s="1949">
        <f t="shared" si="1"/>
        <v>0</v>
      </c>
      <c r="F61" s="1950">
        <f t="shared" si="2"/>
        <v>0</v>
      </c>
      <c r="G61" s="1953"/>
      <c r="H61" s="1952"/>
      <c r="I61" s="1952"/>
      <c r="J61" s="1952"/>
      <c r="K61" s="1952"/>
      <c r="L61" s="1952"/>
      <c r="M61" s="1952"/>
      <c r="N61" s="1952"/>
      <c r="O61" s="1952"/>
      <c r="P61" s="1952"/>
      <c r="Q61" s="1952"/>
      <c r="R61" s="1952"/>
      <c r="S61" s="1952"/>
      <c r="T61" s="1952"/>
      <c r="U61" s="1952"/>
      <c r="V61" s="1952"/>
      <c r="W61" s="1952"/>
      <c r="X61" s="1952"/>
      <c r="Y61" s="1952"/>
      <c r="Z61" s="1952"/>
      <c r="AA61" s="1952"/>
      <c r="AB61" s="1952"/>
      <c r="AC61" s="1952"/>
      <c r="AD61" s="1952"/>
      <c r="AE61" s="1952"/>
      <c r="AF61" s="1952"/>
      <c r="AG61" s="1952"/>
      <c r="AH61" s="1952"/>
      <c r="AI61" s="1952"/>
      <c r="AJ61" s="1952"/>
      <c r="AK61" s="1952"/>
      <c r="AL61" s="1952"/>
      <c r="AM61" s="1952"/>
      <c r="AN61" s="1952"/>
      <c r="AO61" s="1952"/>
      <c r="AP61" s="1952"/>
      <c r="AQ61" s="1952"/>
      <c r="AR61" s="1952"/>
      <c r="AS61" s="1952"/>
      <c r="AT61" s="1952"/>
      <c r="AU61" s="1952"/>
      <c r="AV61" s="1952"/>
      <c r="AW61" s="1952"/>
      <c r="AX61" s="1952"/>
      <c r="AY61" s="1952"/>
      <c r="AZ61" s="1952"/>
      <c r="BA61" s="1952"/>
      <c r="BB61" s="1952"/>
      <c r="BC61" s="1952"/>
      <c r="BD61" s="1952"/>
      <c r="BE61" s="1952"/>
      <c r="BF61" s="1952"/>
      <c r="BG61" s="1952"/>
      <c r="BH61" s="1952"/>
      <c r="BI61" s="1952"/>
      <c r="BJ61" s="1952"/>
      <c r="BK61" s="1952"/>
      <c r="BL61" s="1952"/>
      <c r="BM61" s="1952"/>
      <c r="BN61" s="1952"/>
      <c r="BO61" s="1952"/>
      <c r="BP61" s="1952"/>
      <c r="BQ61" s="1952"/>
      <c r="BR61" s="1952"/>
      <c r="BS61" s="1952"/>
      <c r="BT61" s="1952"/>
      <c r="BU61" s="1952"/>
      <c r="BV61" s="1952"/>
      <c r="BW61" s="1952"/>
      <c r="BX61" s="1952"/>
      <c r="BY61" s="1952"/>
      <c r="BZ61" s="1952"/>
      <c r="CA61" s="1952"/>
      <c r="CB61" s="1952"/>
      <c r="CC61" s="1952"/>
      <c r="CD61" s="1952"/>
      <c r="CE61" s="1952"/>
      <c r="CF61" s="1952"/>
      <c r="CG61" s="1952"/>
      <c r="CH61" s="1952"/>
      <c r="CI61" s="1952"/>
      <c r="CJ61" s="1952"/>
      <c r="CK61" s="1952"/>
      <c r="CL61" s="1952"/>
      <c r="CM61" s="1952"/>
      <c r="CN61" s="1952"/>
      <c r="CO61" s="1952"/>
      <c r="CP61" s="1952"/>
      <c r="CQ61" s="1952"/>
      <c r="CR61" s="1952"/>
      <c r="CS61" s="1952"/>
      <c r="CT61" s="1952"/>
      <c r="CU61" s="1952"/>
      <c r="CV61" s="1952"/>
      <c r="CW61" s="1952"/>
      <c r="CX61" s="1952"/>
      <c r="CY61" s="1952"/>
      <c r="CZ61" s="1952"/>
      <c r="DA61" s="1952"/>
      <c r="DB61" s="1952"/>
      <c r="DC61" s="1952"/>
      <c r="DD61" s="1952"/>
      <c r="DE61" s="1952"/>
      <c r="DF61" s="1952"/>
      <c r="DG61" s="1952"/>
      <c r="DH61" s="1952"/>
      <c r="DI61" s="1952"/>
      <c r="DJ61" s="1952"/>
      <c r="DK61" s="1952"/>
      <c r="DL61" s="1952"/>
      <c r="DM61" s="1952"/>
      <c r="DN61" s="1952"/>
      <c r="DO61" s="1952"/>
      <c r="DP61" s="1952"/>
      <c r="DQ61" s="1952"/>
      <c r="DR61" s="1952"/>
      <c r="DS61" s="1952"/>
      <c r="DT61" s="1952"/>
      <c r="DU61" s="1952"/>
      <c r="DV61" s="1952"/>
      <c r="DW61" s="1952"/>
      <c r="DX61" s="1952"/>
      <c r="DY61" s="1952"/>
      <c r="DZ61" s="1952"/>
      <c r="EA61" s="1952"/>
      <c r="EB61" s="1952"/>
      <c r="EC61" s="1952"/>
      <c r="ED61" s="1952"/>
      <c r="EE61" s="1952"/>
      <c r="EF61" s="1952"/>
      <c r="EG61" s="1952"/>
      <c r="EH61" s="1952"/>
      <c r="EI61" s="1952"/>
      <c r="EJ61" s="1952"/>
      <c r="EK61" s="1952"/>
      <c r="EL61" s="1952"/>
      <c r="EM61" s="1952"/>
      <c r="EN61" s="1952"/>
      <c r="EO61" s="1952"/>
      <c r="EP61" s="1952"/>
      <c r="EQ61" s="1952"/>
      <c r="ER61" s="1952"/>
      <c r="ES61" s="1952"/>
      <c r="ET61" s="1952"/>
      <c r="EU61" s="1952"/>
      <c r="EV61" s="1952"/>
      <c r="EW61" s="1952"/>
      <c r="EX61" s="1952"/>
      <c r="EY61" s="1952"/>
      <c r="EZ61" s="1952"/>
      <c r="FA61" s="1952"/>
      <c r="FB61" s="1952"/>
      <c r="FC61" s="1952"/>
      <c r="FD61" s="1952"/>
      <c r="FE61" s="1952"/>
      <c r="FF61" s="1952"/>
      <c r="FG61" s="1952"/>
      <c r="FH61" s="1952"/>
      <c r="FI61" s="1952"/>
      <c r="FJ61" s="1952"/>
      <c r="FK61" s="1952"/>
      <c r="FL61" s="1952"/>
      <c r="FM61" s="1952"/>
      <c r="FN61" s="1952"/>
      <c r="FO61" s="1952"/>
      <c r="FP61" s="1952"/>
      <c r="FQ61" s="1952"/>
      <c r="FR61" s="1952"/>
      <c r="FS61" s="1952"/>
      <c r="FT61" s="1952"/>
      <c r="FU61" s="1952"/>
      <c r="FV61" s="1952"/>
      <c r="FW61" s="1952"/>
      <c r="FX61" s="1952"/>
      <c r="FY61" s="1952"/>
      <c r="FZ61" s="1952"/>
      <c r="GA61" s="1952"/>
      <c r="GB61" s="1952"/>
      <c r="GC61" s="1952"/>
      <c r="GD61" s="1952"/>
      <c r="GE61" s="1952"/>
      <c r="GF61" s="1952"/>
      <c r="GG61" s="1952"/>
      <c r="GH61" s="1952"/>
      <c r="GI61" s="1952"/>
      <c r="GJ61" s="1952"/>
      <c r="GK61" s="1952"/>
      <c r="GL61" s="1952"/>
      <c r="GM61" s="1952"/>
      <c r="GN61" s="1952"/>
      <c r="GO61" s="1952"/>
      <c r="GP61" s="1952"/>
      <c r="GQ61" s="1952"/>
      <c r="GR61" s="1952"/>
      <c r="GS61" s="1952"/>
      <c r="GT61" s="1952"/>
      <c r="GU61" s="1952"/>
      <c r="GV61" s="1952"/>
      <c r="GW61" s="1952"/>
      <c r="GX61" s="1952"/>
      <c r="GY61" s="1952"/>
      <c r="GZ61" s="1952"/>
      <c r="HA61" s="1952"/>
      <c r="HB61" s="1952"/>
      <c r="HC61" s="1952"/>
      <c r="HD61" s="1952"/>
      <c r="HE61" s="1952"/>
      <c r="HF61" s="1952"/>
      <c r="HG61" s="1952"/>
      <c r="HH61" s="1952"/>
      <c r="HI61" s="1952"/>
      <c r="HJ61" s="1952"/>
      <c r="HK61" s="1952"/>
      <c r="HL61" s="1952"/>
      <c r="HM61" s="1952"/>
      <c r="HN61" s="1952"/>
      <c r="HO61" s="1952"/>
      <c r="HP61" s="1952"/>
      <c r="HQ61" s="1952"/>
      <c r="HR61" s="1952"/>
      <c r="HS61" s="1952"/>
      <c r="HT61" s="1952"/>
      <c r="HU61" s="1952"/>
      <c r="HV61" s="1952"/>
      <c r="HW61" s="1952"/>
      <c r="HX61" s="1952"/>
      <c r="HY61" s="1952"/>
      <c r="HZ61" s="1952"/>
      <c r="IA61" s="1952"/>
      <c r="IB61" s="1952"/>
      <c r="IC61" s="1952"/>
      <c r="ID61" s="1952"/>
      <c r="IE61" s="1952"/>
      <c r="IF61" s="1952"/>
      <c r="IG61" s="1952"/>
      <c r="IH61" s="1952"/>
      <c r="II61" s="1952"/>
      <c r="IJ61" s="1952"/>
      <c r="IK61" s="1952"/>
      <c r="IL61" s="1952"/>
      <c r="IM61" s="1952"/>
    </row>
    <row r="62" ht="75.75" spans="1:247">
      <c r="A62" s="1946" t="s">
        <v>215</v>
      </c>
      <c r="B62" s="1947">
        <f>审定资负表!G16</f>
        <v>19669739.82</v>
      </c>
      <c r="C62" s="1947">
        <f>审定资负表!H16</f>
        <v>7123460.48</v>
      </c>
      <c r="D62" s="1948">
        <f t="shared" si="0"/>
        <v>0.0405328767439352</v>
      </c>
      <c r="E62" s="1949">
        <f t="shared" si="1"/>
        <v>12546279.34</v>
      </c>
      <c r="F62" s="1950">
        <f t="shared" si="2"/>
        <v>1.7613</v>
      </c>
      <c r="G62" s="1959" t="s">
        <v>2702</v>
      </c>
      <c r="H62" s="1952"/>
      <c r="I62" s="1952"/>
      <c r="J62" s="1952"/>
      <c r="K62" s="1952"/>
      <c r="L62" s="1952"/>
      <c r="M62" s="1952"/>
      <c r="N62" s="1952"/>
      <c r="O62" s="1952"/>
      <c r="P62" s="1952"/>
      <c r="Q62" s="1952"/>
      <c r="R62" s="1952"/>
      <c r="S62" s="1952"/>
      <c r="T62" s="1952"/>
      <c r="U62" s="1952"/>
      <c r="V62" s="1952"/>
      <c r="W62" s="1952"/>
      <c r="X62" s="1952"/>
      <c r="Y62" s="1952"/>
      <c r="Z62" s="1952"/>
      <c r="AA62" s="1952"/>
      <c r="AB62" s="1952"/>
      <c r="AC62" s="1952"/>
      <c r="AD62" s="1952"/>
      <c r="AE62" s="1952"/>
      <c r="AF62" s="1952"/>
      <c r="AG62" s="1952"/>
      <c r="AH62" s="1952"/>
      <c r="AI62" s="1952"/>
      <c r="AJ62" s="1952"/>
      <c r="AK62" s="1952"/>
      <c r="AL62" s="1952"/>
      <c r="AM62" s="1952"/>
      <c r="AN62" s="1952"/>
      <c r="AO62" s="1952"/>
      <c r="AP62" s="1952"/>
      <c r="AQ62" s="1952"/>
      <c r="AR62" s="1952"/>
      <c r="AS62" s="1952"/>
      <c r="AT62" s="1952"/>
      <c r="AU62" s="1952"/>
      <c r="AV62" s="1952"/>
      <c r="AW62" s="1952"/>
      <c r="AX62" s="1952"/>
      <c r="AY62" s="1952"/>
      <c r="AZ62" s="1952"/>
      <c r="BA62" s="1952"/>
      <c r="BB62" s="1952"/>
      <c r="BC62" s="1952"/>
      <c r="BD62" s="1952"/>
      <c r="BE62" s="1952"/>
      <c r="BF62" s="1952"/>
      <c r="BG62" s="1952"/>
      <c r="BH62" s="1952"/>
      <c r="BI62" s="1952"/>
      <c r="BJ62" s="1952"/>
      <c r="BK62" s="1952"/>
      <c r="BL62" s="1952"/>
      <c r="BM62" s="1952"/>
      <c r="BN62" s="1952"/>
      <c r="BO62" s="1952"/>
      <c r="BP62" s="1952"/>
      <c r="BQ62" s="1952"/>
      <c r="BR62" s="1952"/>
      <c r="BS62" s="1952"/>
      <c r="BT62" s="1952"/>
      <c r="BU62" s="1952"/>
      <c r="BV62" s="1952"/>
      <c r="BW62" s="1952"/>
      <c r="BX62" s="1952"/>
      <c r="BY62" s="1952"/>
      <c r="BZ62" s="1952"/>
      <c r="CA62" s="1952"/>
      <c r="CB62" s="1952"/>
      <c r="CC62" s="1952"/>
      <c r="CD62" s="1952"/>
      <c r="CE62" s="1952"/>
      <c r="CF62" s="1952"/>
      <c r="CG62" s="1952"/>
      <c r="CH62" s="1952"/>
      <c r="CI62" s="1952"/>
      <c r="CJ62" s="1952"/>
      <c r="CK62" s="1952"/>
      <c r="CL62" s="1952"/>
      <c r="CM62" s="1952"/>
      <c r="CN62" s="1952"/>
      <c r="CO62" s="1952"/>
      <c r="CP62" s="1952"/>
      <c r="CQ62" s="1952"/>
      <c r="CR62" s="1952"/>
      <c r="CS62" s="1952"/>
      <c r="CT62" s="1952"/>
      <c r="CU62" s="1952"/>
      <c r="CV62" s="1952"/>
      <c r="CW62" s="1952"/>
      <c r="CX62" s="1952"/>
      <c r="CY62" s="1952"/>
      <c r="CZ62" s="1952"/>
      <c r="DA62" s="1952"/>
      <c r="DB62" s="1952"/>
      <c r="DC62" s="1952"/>
      <c r="DD62" s="1952"/>
      <c r="DE62" s="1952"/>
      <c r="DF62" s="1952"/>
      <c r="DG62" s="1952"/>
      <c r="DH62" s="1952"/>
      <c r="DI62" s="1952"/>
      <c r="DJ62" s="1952"/>
      <c r="DK62" s="1952"/>
      <c r="DL62" s="1952"/>
      <c r="DM62" s="1952"/>
      <c r="DN62" s="1952"/>
      <c r="DO62" s="1952"/>
      <c r="DP62" s="1952"/>
      <c r="DQ62" s="1952"/>
      <c r="DR62" s="1952"/>
      <c r="DS62" s="1952"/>
      <c r="DT62" s="1952"/>
      <c r="DU62" s="1952"/>
      <c r="DV62" s="1952"/>
      <c r="DW62" s="1952"/>
      <c r="DX62" s="1952"/>
      <c r="DY62" s="1952"/>
      <c r="DZ62" s="1952"/>
      <c r="EA62" s="1952"/>
      <c r="EB62" s="1952"/>
      <c r="EC62" s="1952"/>
      <c r="ED62" s="1952"/>
      <c r="EE62" s="1952"/>
      <c r="EF62" s="1952"/>
      <c r="EG62" s="1952"/>
      <c r="EH62" s="1952"/>
      <c r="EI62" s="1952"/>
      <c r="EJ62" s="1952"/>
      <c r="EK62" s="1952"/>
      <c r="EL62" s="1952"/>
      <c r="EM62" s="1952"/>
      <c r="EN62" s="1952"/>
      <c r="EO62" s="1952"/>
      <c r="EP62" s="1952"/>
      <c r="EQ62" s="1952"/>
      <c r="ER62" s="1952"/>
      <c r="ES62" s="1952"/>
      <c r="ET62" s="1952"/>
      <c r="EU62" s="1952"/>
      <c r="EV62" s="1952"/>
      <c r="EW62" s="1952"/>
      <c r="EX62" s="1952"/>
      <c r="EY62" s="1952"/>
      <c r="EZ62" s="1952"/>
      <c r="FA62" s="1952"/>
      <c r="FB62" s="1952"/>
      <c r="FC62" s="1952"/>
      <c r="FD62" s="1952"/>
      <c r="FE62" s="1952"/>
      <c r="FF62" s="1952"/>
      <c r="FG62" s="1952"/>
      <c r="FH62" s="1952"/>
      <c r="FI62" s="1952"/>
      <c r="FJ62" s="1952"/>
      <c r="FK62" s="1952"/>
      <c r="FL62" s="1952"/>
      <c r="FM62" s="1952"/>
      <c r="FN62" s="1952"/>
      <c r="FO62" s="1952"/>
      <c r="FP62" s="1952"/>
      <c r="FQ62" s="1952"/>
      <c r="FR62" s="1952"/>
      <c r="FS62" s="1952"/>
      <c r="FT62" s="1952"/>
      <c r="FU62" s="1952"/>
      <c r="FV62" s="1952"/>
      <c r="FW62" s="1952"/>
      <c r="FX62" s="1952"/>
      <c r="FY62" s="1952"/>
      <c r="FZ62" s="1952"/>
      <c r="GA62" s="1952"/>
      <c r="GB62" s="1952"/>
      <c r="GC62" s="1952"/>
      <c r="GD62" s="1952"/>
      <c r="GE62" s="1952"/>
      <c r="GF62" s="1952"/>
      <c r="GG62" s="1952"/>
      <c r="GH62" s="1952"/>
      <c r="GI62" s="1952"/>
      <c r="GJ62" s="1952"/>
      <c r="GK62" s="1952"/>
      <c r="GL62" s="1952"/>
      <c r="GM62" s="1952"/>
      <c r="GN62" s="1952"/>
      <c r="GO62" s="1952"/>
      <c r="GP62" s="1952"/>
      <c r="GQ62" s="1952"/>
      <c r="GR62" s="1952"/>
      <c r="GS62" s="1952"/>
      <c r="GT62" s="1952"/>
      <c r="GU62" s="1952"/>
      <c r="GV62" s="1952"/>
      <c r="GW62" s="1952"/>
      <c r="GX62" s="1952"/>
      <c r="GY62" s="1952"/>
      <c r="GZ62" s="1952"/>
      <c r="HA62" s="1952"/>
      <c r="HB62" s="1952"/>
      <c r="HC62" s="1952"/>
      <c r="HD62" s="1952"/>
      <c r="HE62" s="1952"/>
      <c r="HF62" s="1952"/>
      <c r="HG62" s="1952"/>
      <c r="HH62" s="1952"/>
      <c r="HI62" s="1952"/>
      <c r="HJ62" s="1952"/>
      <c r="HK62" s="1952"/>
      <c r="HL62" s="1952"/>
      <c r="HM62" s="1952"/>
      <c r="HN62" s="1952"/>
      <c r="HO62" s="1952"/>
      <c r="HP62" s="1952"/>
      <c r="HQ62" s="1952"/>
      <c r="HR62" s="1952"/>
      <c r="HS62" s="1952"/>
      <c r="HT62" s="1952"/>
      <c r="HU62" s="1952"/>
      <c r="HV62" s="1952"/>
      <c r="HW62" s="1952"/>
      <c r="HX62" s="1952"/>
      <c r="HY62" s="1952"/>
      <c r="HZ62" s="1952"/>
      <c r="IA62" s="1952"/>
      <c r="IB62" s="1952"/>
      <c r="IC62" s="1952"/>
      <c r="ID62" s="1952"/>
      <c r="IE62" s="1952"/>
      <c r="IF62" s="1952"/>
      <c r="IG62" s="1952"/>
      <c r="IH62" s="1952"/>
      <c r="II62" s="1952"/>
      <c r="IJ62" s="1952"/>
      <c r="IK62" s="1952"/>
      <c r="IL62" s="1952"/>
      <c r="IM62" s="1952"/>
    </row>
    <row r="63" ht="16.5" spans="1:247">
      <c r="A63" s="1946" t="s">
        <v>217</v>
      </c>
      <c r="B63" s="1947">
        <f>审定资负表!G17</f>
        <v>23891640.51</v>
      </c>
      <c r="C63" s="1947">
        <f>审定资负表!H17</f>
        <v>24230483.68</v>
      </c>
      <c r="D63" s="1948">
        <f t="shared" si="0"/>
        <v>0.0492328281341873</v>
      </c>
      <c r="E63" s="1949">
        <f t="shared" si="1"/>
        <v>-338843.169999998</v>
      </c>
      <c r="F63" s="1950">
        <f t="shared" si="2"/>
        <v>-0.014</v>
      </c>
      <c r="G63" s="1956" t="s">
        <v>2703</v>
      </c>
      <c r="H63" s="1952"/>
      <c r="I63" s="1952"/>
      <c r="J63" s="1952"/>
      <c r="K63" s="1952"/>
      <c r="L63" s="1952"/>
      <c r="M63" s="1952"/>
      <c r="N63" s="1952"/>
      <c r="O63" s="1952"/>
      <c r="P63" s="1952"/>
      <c r="Q63" s="1952"/>
      <c r="R63" s="1952"/>
      <c r="S63" s="1952"/>
      <c r="T63" s="1952"/>
      <c r="U63" s="1952"/>
      <c r="V63" s="1952"/>
      <c r="W63" s="1952"/>
      <c r="X63" s="1952"/>
      <c r="Y63" s="1952"/>
      <c r="Z63" s="1952"/>
      <c r="AA63" s="1952"/>
      <c r="AB63" s="1952"/>
      <c r="AC63" s="1952"/>
      <c r="AD63" s="1952"/>
      <c r="AE63" s="1952"/>
      <c r="AF63" s="1952"/>
      <c r="AG63" s="1952"/>
      <c r="AH63" s="1952"/>
      <c r="AI63" s="1952"/>
      <c r="AJ63" s="1952"/>
      <c r="AK63" s="1952"/>
      <c r="AL63" s="1952"/>
      <c r="AM63" s="1952"/>
      <c r="AN63" s="1952"/>
      <c r="AO63" s="1952"/>
      <c r="AP63" s="1952"/>
      <c r="AQ63" s="1952"/>
      <c r="AR63" s="1952"/>
      <c r="AS63" s="1952"/>
      <c r="AT63" s="1952"/>
      <c r="AU63" s="1952"/>
      <c r="AV63" s="1952"/>
      <c r="AW63" s="1952"/>
      <c r="AX63" s="1952"/>
      <c r="AY63" s="1952"/>
      <c r="AZ63" s="1952"/>
      <c r="BA63" s="1952"/>
      <c r="BB63" s="1952"/>
      <c r="BC63" s="1952"/>
      <c r="BD63" s="1952"/>
      <c r="BE63" s="1952"/>
      <c r="BF63" s="1952"/>
      <c r="BG63" s="1952"/>
      <c r="BH63" s="1952"/>
      <c r="BI63" s="1952"/>
      <c r="BJ63" s="1952"/>
      <c r="BK63" s="1952"/>
      <c r="BL63" s="1952"/>
      <c r="BM63" s="1952"/>
      <c r="BN63" s="1952"/>
      <c r="BO63" s="1952"/>
      <c r="BP63" s="1952"/>
      <c r="BQ63" s="1952"/>
      <c r="BR63" s="1952"/>
      <c r="BS63" s="1952"/>
      <c r="BT63" s="1952"/>
      <c r="BU63" s="1952"/>
      <c r="BV63" s="1952"/>
      <c r="BW63" s="1952"/>
      <c r="BX63" s="1952"/>
      <c r="BY63" s="1952"/>
      <c r="BZ63" s="1952"/>
      <c r="CA63" s="1952"/>
      <c r="CB63" s="1952"/>
      <c r="CC63" s="1952"/>
      <c r="CD63" s="1952"/>
      <c r="CE63" s="1952"/>
      <c r="CF63" s="1952"/>
      <c r="CG63" s="1952"/>
      <c r="CH63" s="1952"/>
      <c r="CI63" s="1952"/>
      <c r="CJ63" s="1952"/>
      <c r="CK63" s="1952"/>
      <c r="CL63" s="1952"/>
      <c r="CM63" s="1952"/>
      <c r="CN63" s="1952"/>
      <c r="CO63" s="1952"/>
      <c r="CP63" s="1952"/>
      <c r="CQ63" s="1952"/>
      <c r="CR63" s="1952"/>
      <c r="CS63" s="1952"/>
      <c r="CT63" s="1952"/>
      <c r="CU63" s="1952"/>
      <c r="CV63" s="1952"/>
      <c r="CW63" s="1952"/>
      <c r="CX63" s="1952"/>
      <c r="CY63" s="1952"/>
      <c r="CZ63" s="1952"/>
      <c r="DA63" s="1952"/>
      <c r="DB63" s="1952"/>
      <c r="DC63" s="1952"/>
      <c r="DD63" s="1952"/>
      <c r="DE63" s="1952"/>
      <c r="DF63" s="1952"/>
      <c r="DG63" s="1952"/>
      <c r="DH63" s="1952"/>
      <c r="DI63" s="1952"/>
      <c r="DJ63" s="1952"/>
      <c r="DK63" s="1952"/>
      <c r="DL63" s="1952"/>
      <c r="DM63" s="1952"/>
      <c r="DN63" s="1952"/>
      <c r="DO63" s="1952"/>
      <c r="DP63" s="1952"/>
      <c r="DQ63" s="1952"/>
      <c r="DR63" s="1952"/>
      <c r="DS63" s="1952"/>
      <c r="DT63" s="1952"/>
      <c r="DU63" s="1952"/>
      <c r="DV63" s="1952"/>
      <c r="DW63" s="1952"/>
      <c r="DX63" s="1952"/>
      <c r="DY63" s="1952"/>
      <c r="DZ63" s="1952"/>
      <c r="EA63" s="1952"/>
      <c r="EB63" s="1952"/>
      <c r="EC63" s="1952"/>
      <c r="ED63" s="1952"/>
      <c r="EE63" s="1952"/>
      <c r="EF63" s="1952"/>
      <c r="EG63" s="1952"/>
      <c r="EH63" s="1952"/>
      <c r="EI63" s="1952"/>
      <c r="EJ63" s="1952"/>
      <c r="EK63" s="1952"/>
      <c r="EL63" s="1952"/>
      <c r="EM63" s="1952"/>
      <c r="EN63" s="1952"/>
      <c r="EO63" s="1952"/>
      <c r="EP63" s="1952"/>
      <c r="EQ63" s="1952"/>
      <c r="ER63" s="1952"/>
      <c r="ES63" s="1952"/>
      <c r="ET63" s="1952"/>
      <c r="EU63" s="1952"/>
      <c r="EV63" s="1952"/>
      <c r="EW63" s="1952"/>
      <c r="EX63" s="1952"/>
      <c r="EY63" s="1952"/>
      <c r="EZ63" s="1952"/>
      <c r="FA63" s="1952"/>
      <c r="FB63" s="1952"/>
      <c r="FC63" s="1952"/>
      <c r="FD63" s="1952"/>
      <c r="FE63" s="1952"/>
      <c r="FF63" s="1952"/>
      <c r="FG63" s="1952"/>
      <c r="FH63" s="1952"/>
      <c r="FI63" s="1952"/>
      <c r="FJ63" s="1952"/>
      <c r="FK63" s="1952"/>
      <c r="FL63" s="1952"/>
      <c r="FM63" s="1952"/>
      <c r="FN63" s="1952"/>
      <c r="FO63" s="1952"/>
      <c r="FP63" s="1952"/>
      <c r="FQ63" s="1952"/>
      <c r="FR63" s="1952"/>
      <c r="FS63" s="1952"/>
      <c r="FT63" s="1952"/>
      <c r="FU63" s="1952"/>
      <c r="FV63" s="1952"/>
      <c r="FW63" s="1952"/>
      <c r="FX63" s="1952"/>
      <c r="FY63" s="1952"/>
      <c r="FZ63" s="1952"/>
      <c r="GA63" s="1952"/>
      <c r="GB63" s="1952"/>
      <c r="GC63" s="1952"/>
      <c r="GD63" s="1952"/>
      <c r="GE63" s="1952"/>
      <c r="GF63" s="1952"/>
      <c r="GG63" s="1952"/>
      <c r="GH63" s="1952"/>
      <c r="GI63" s="1952"/>
      <c r="GJ63" s="1952"/>
      <c r="GK63" s="1952"/>
      <c r="GL63" s="1952"/>
      <c r="GM63" s="1952"/>
      <c r="GN63" s="1952"/>
      <c r="GO63" s="1952"/>
      <c r="GP63" s="1952"/>
      <c r="GQ63" s="1952"/>
      <c r="GR63" s="1952"/>
      <c r="GS63" s="1952"/>
      <c r="GT63" s="1952"/>
      <c r="GU63" s="1952"/>
      <c r="GV63" s="1952"/>
      <c r="GW63" s="1952"/>
      <c r="GX63" s="1952"/>
      <c r="GY63" s="1952"/>
      <c r="GZ63" s="1952"/>
      <c r="HA63" s="1952"/>
      <c r="HB63" s="1952"/>
      <c r="HC63" s="1952"/>
      <c r="HD63" s="1952"/>
      <c r="HE63" s="1952"/>
      <c r="HF63" s="1952"/>
      <c r="HG63" s="1952"/>
      <c r="HH63" s="1952"/>
      <c r="HI63" s="1952"/>
      <c r="HJ63" s="1952"/>
      <c r="HK63" s="1952"/>
      <c r="HL63" s="1952"/>
      <c r="HM63" s="1952"/>
      <c r="HN63" s="1952"/>
      <c r="HO63" s="1952"/>
      <c r="HP63" s="1952"/>
      <c r="HQ63" s="1952"/>
      <c r="HR63" s="1952"/>
      <c r="HS63" s="1952"/>
      <c r="HT63" s="1952"/>
      <c r="HU63" s="1952"/>
      <c r="HV63" s="1952"/>
      <c r="HW63" s="1952"/>
      <c r="HX63" s="1952"/>
      <c r="HY63" s="1952"/>
      <c r="HZ63" s="1952"/>
      <c r="IA63" s="1952"/>
      <c r="IB63" s="1952"/>
      <c r="IC63" s="1952"/>
      <c r="ID63" s="1952"/>
      <c r="IE63" s="1952"/>
      <c r="IF63" s="1952"/>
      <c r="IG63" s="1952"/>
      <c r="IH63" s="1952"/>
      <c r="II63" s="1952"/>
      <c r="IJ63" s="1952"/>
      <c r="IK63" s="1952"/>
      <c r="IL63" s="1952"/>
      <c r="IM63" s="1952"/>
    </row>
    <row r="64" spans="1:7">
      <c r="A64" s="1946" t="s">
        <v>219</v>
      </c>
      <c r="B64" s="1947">
        <f>审定资负表!G18</f>
        <v>8287528.07</v>
      </c>
      <c r="C64" s="1947">
        <f>审定资负表!H18</f>
        <v>0</v>
      </c>
      <c r="D64" s="1948">
        <f t="shared" si="0"/>
        <v>0.0170778747887481</v>
      </c>
      <c r="E64" s="1949">
        <f t="shared" si="1"/>
        <v>8287528.07</v>
      </c>
      <c r="F64" s="1950">
        <f t="shared" si="2"/>
        <v>1</v>
      </c>
      <c r="G64" s="1953"/>
    </row>
    <row r="65" spans="1:7">
      <c r="A65" s="1946" t="s">
        <v>1847</v>
      </c>
      <c r="B65" s="1947">
        <f>审定资负表!G19</f>
        <v>0</v>
      </c>
      <c r="C65" s="1947">
        <f>审定资负表!H19</f>
        <v>0</v>
      </c>
      <c r="D65" s="1948" t="str">
        <f t="shared" si="0"/>
        <v> </v>
      </c>
      <c r="E65" s="1949">
        <f t="shared" si="1"/>
        <v>0</v>
      </c>
      <c r="F65" s="1950">
        <f t="shared" si="2"/>
        <v>0</v>
      </c>
      <c r="G65" s="1953"/>
    </row>
    <row r="66" spans="1:7">
      <c r="A66" s="1954" t="s">
        <v>222</v>
      </c>
      <c r="B66" s="1947">
        <f>审定资负表!G20</f>
        <v>104491321.34</v>
      </c>
      <c r="C66" s="1947">
        <f>审定资负表!H20</f>
        <v>66341426.64</v>
      </c>
      <c r="D66" s="1948">
        <f t="shared" si="0"/>
        <v>0.215322311705349</v>
      </c>
      <c r="E66" s="1949">
        <f t="shared" si="1"/>
        <v>38149894.7</v>
      </c>
      <c r="F66" s="1950">
        <f t="shared" si="2"/>
        <v>0.5751</v>
      </c>
      <c r="G66" s="1953"/>
    </row>
    <row r="67" spans="1:7">
      <c r="A67" s="1946"/>
      <c r="B67" s="1947">
        <f>审定资负表!G21</f>
        <v>0</v>
      </c>
      <c r="C67" s="1947">
        <f>审定资负表!H21</f>
        <v>0</v>
      </c>
      <c r="D67" s="1948" t="str">
        <f t="shared" si="0"/>
        <v> </v>
      </c>
      <c r="E67" s="1949">
        <f t="shared" si="1"/>
        <v>0</v>
      </c>
      <c r="F67" s="1950">
        <f t="shared" si="2"/>
        <v>0</v>
      </c>
      <c r="G67" s="1953"/>
    </row>
    <row r="68" spans="1:7">
      <c r="A68" s="1955" t="s">
        <v>225</v>
      </c>
      <c r="B68" s="1947">
        <f>审定资负表!G22</f>
        <v>0</v>
      </c>
      <c r="C68" s="1947">
        <f>审定资负表!H22</f>
        <v>0</v>
      </c>
      <c r="D68" s="1948" t="str">
        <f t="shared" si="0"/>
        <v> </v>
      </c>
      <c r="E68" s="1949">
        <f t="shared" si="1"/>
        <v>0</v>
      </c>
      <c r="F68" s="1950">
        <f t="shared" si="2"/>
        <v>0</v>
      </c>
      <c r="G68" s="1953"/>
    </row>
    <row r="69" ht="24.75" spans="1:7">
      <c r="A69" s="1946" t="s">
        <v>227</v>
      </c>
      <c r="B69" s="1947">
        <f>审定资负表!G23</f>
        <v>30498148.16</v>
      </c>
      <c r="C69" s="1947">
        <f>审定资负表!H23</f>
        <v>48202962.97</v>
      </c>
      <c r="D69" s="1948">
        <f t="shared" si="0"/>
        <v>0.0628466716692725</v>
      </c>
      <c r="E69" s="1949">
        <f t="shared" si="1"/>
        <v>-17704814.81</v>
      </c>
      <c r="F69" s="1950">
        <f t="shared" si="2"/>
        <v>-0.3673</v>
      </c>
      <c r="G69" s="1953" t="s">
        <v>2704</v>
      </c>
    </row>
    <row r="70" spans="1:7">
      <c r="A70" s="1946" t="s">
        <v>229</v>
      </c>
      <c r="B70" s="1947">
        <f>审定资负表!G24</f>
        <v>0</v>
      </c>
      <c r="C70" s="1947">
        <f>审定资负表!H24</f>
        <v>0</v>
      </c>
      <c r="D70" s="1948" t="str">
        <f t="shared" si="0"/>
        <v> </v>
      </c>
      <c r="E70" s="1949">
        <f t="shared" si="1"/>
        <v>0</v>
      </c>
      <c r="F70" s="1950">
        <f t="shared" si="2"/>
        <v>0</v>
      </c>
      <c r="G70" s="1953"/>
    </row>
    <row r="71" ht="24" spans="1:7">
      <c r="A71" s="1946" t="s">
        <v>231</v>
      </c>
      <c r="B71" s="1947">
        <f>审定资负表!G25</f>
        <v>12375398.73</v>
      </c>
      <c r="C71" s="1947">
        <f>审定资负表!H25</f>
        <v>18932594.8</v>
      </c>
      <c r="D71" s="1948">
        <f t="shared" si="0"/>
        <v>0.0255016342854779</v>
      </c>
      <c r="E71" s="1949">
        <f t="shared" si="1"/>
        <v>-6557196.07</v>
      </c>
      <c r="F71" s="1950">
        <f t="shared" si="2"/>
        <v>-0.3463</v>
      </c>
      <c r="G71" s="1953" t="s">
        <v>2705</v>
      </c>
    </row>
    <row r="72" spans="1:7">
      <c r="A72" s="1946" t="s">
        <v>233</v>
      </c>
      <c r="B72" s="1947">
        <f>审定资负表!G26</f>
        <v>0</v>
      </c>
      <c r="C72" s="1947">
        <f>审定资负表!H26</f>
        <v>0</v>
      </c>
      <c r="D72" s="1948" t="str">
        <f t="shared" si="0"/>
        <v> </v>
      </c>
      <c r="E72" s="1949">
        <f t="shared" si="1"/>
        <v>0</v>
      </c>
      <c r="F72" s="1950">
        <f t="shared" si="2"/>
        <v>0</v>
      </c>
      <c r="G72" s="1953"/>
    </row>
    <row r="73" ht="24.75" spans="1:7">
      <c r="A73" s="1946" t="s">
        <v>235</v>
      </c>
      <c r="B73" s="1947">
        <f>审定资负表!G27</f>
        <v>5395983.26</v>
      </c>
      <c r="C73" s="1947">
        <f>审定资负表!H27</f>
        <v>450190.65</v>
      </c>
      <c r="D73" s="1948">
        <f t="shared" si="0"/>
        <v>0.0111193501485734</v>
      </c>
      <c r="E73" s="1949">
        <f t="shared" si="1"/>
        <v>4945792.61</v>
      </c>
      <c r="F73" s="1950">
        <f t="shared" si="2"/>
        <v>10.986</v>
      </c>
      <c r="G73" s="1953" t="s">
        <v>2706</v>
      </c>
    </row>
    <row r="74" spans="1:7">
      <c r="A74" s="1946" t="s">
        <v>237</v>
      </c>
      <c r="B74" s="1947">
        <f>审定资负表!G28</f>
        <v>0</v>
      </c>
      <c r="C74" s="1947">
        <f>审定资负表!H28</f>
        <v>0</v>
      </c>
      <c r="D74" s="1948" t="str">
        <f t="shared" si="0"/>
        <v> </v>
      </c>
      <c r="E74" s="1949">
        <f t="shared" si="1"/>
        <v>0</v>
      </c>
      <c r="F74" s="1950">
        <f t="shared" si="2"/>
        <v>0</v>
      </c>
      <c r="G74" s="1953"/>
    </row>
    <row r="75" spans="1:7">
      <c r="A75" s="1946" t="s">
        <v>239</v>
      </c>
      <c r="B75" s="1947">
        <f>审定资负表!G29</f>
        <v>0</v>
      </c>
      <c r="C75" s="1947">
        <f>审定资负表!H29</f>
        <v>0</v>
      </c>
      <c r="D75" s="1948" t="str">
        <f t="shared" ref="D75:D94" si="3">IF(B75=0," ",B75/$B$51)</f>
        <v> </v>
      </c>
      <c r="E75" s="1949">
        <f t="shared" ref="E75:E119" si="4">B75-C75</f>
        <v>0</v>
      </c>
      <c r="F75" s="1950">
        <f t="shared" ref="F75:F121" si="5">IFERROR(IF(C75=0,B75/ABS(B75),ROUND(E75/ABS(C75),4)),0)</f>
        <v>0</v>
      </c>
      <c r="G75" s="1953"/>
    </row>
    <row r="76" ht="37.5" spans="1:7">
      <c r="A76" s="1946" t="s">
        <v>241</v>
      </c>
      <c r="B76" s="1947">
        <f>审定资负表!G30</f>
        <v>3973515.53</v>
      </c>
      <c r="C76" s="1947">
        <f>审定资负表!H30</f>
        <v>2082524</v>
      </c>
      <c r="D76" s="1948">
        <f t="shared" si="3"/>
        <v>0.0081881111133885</v>
      </c>
      <c r="E76" s="1949">
        <f t="shared" si="4"/>
        <v>1890991.53</v>
      </c>
      <c r="F76" s="1950">
        <f t="shared" si="5"/>
        <v>0.908</v>
      </c>
      <c r="G76" s="1953" t="s">
        <v>2707</v>
      </c>
    </row>
    <row r="77" spans="1:7">
      <c r="A77" s="1954" t="s">
        <v>243</v>
      </c>
      <c r="B77" s="1947">
        <f>审定资负表!G31</f>
        <v>52243045.68</v>
      </c>
      <c r="C77" s="1947">
        <f>审定资负表!H31</f>
        <v>69668272.42</v>
      </c>
      <c r="D77" s="1948">
        <f t="shared" si="3"/>
        <v>0.107655767216712</v>
      </c>
      <c r="E77" s="1949">
        <f t="shared" si="4"/>
        <v>-17425226.74</v>
      </c>
      <c r="F77" s="1950">
        <f t="shared" si="5"/>
        <v>-0.2501</v>
      </c>
      <c r="G77" s="1953"/>
    </row>
    <row r="78" spans="1:7">
      <c r="A78" s="1946"/>
      <c r="B78" s="1947">
        <f>审定资负表!G32</f>
        <v>0</v>
      </c>
      <c r="C78" s="1947">
        <f>审定资负表!H32</f>
        <v>0</v>
      </c>
      <c r="D78" s="1948" t="str">
        <f t="shared" si="3"/>
        <v> </v>
      </c>
      <c r="E78" s="1949">
        <f t="shared" si="4"/>
        <v>0</v>
      </c>
      <c r="F78" s="1950">
        <f t="shared" si="5"/>
        <v>0</v>
      </c>
      <c r="G78" s="1953"/>
    </row>
    <row r="79" spans="1:8">
      <c r="A79" s="1957" t="s">
        <v>246</v>
      </c>
      <c r="B79" s="1947">
        <f>审定资负表!G33</f>
        <v>156734367.02</v>
      </c>
      <c r="C79" s="1947">
        <f>审定资负表!H33</f>
        <v>136009699.06</v>
      </c>
      <c r="D79" s="1948">
        <f t="shared" si="3"/>
        <v>0.322978078922061</v>
      </c>
      <c r="E79" s="1949">
        <f t="shared" si="4"/>
        <v>20724667.96</v>
      </c>
      <c r="F79" s="1950">
        <f t="shared" si="5"/>
        <v>0.1524</v>
      </c>
      <c r="G79" s="1953"/>
      <c r="H79" s="1960"/>
    </row>
    <row r="80" spans="1:7">
      <c r="A80" s="1946"/>
      <c r="B80" s="1947">
        <f>审定资负表!G34</f>
        <v>0</v>
      </c>
      <c r="C80" s="1947">
        <f>审定资负表!H34</f>
        <v>0</v>
      </c>
      <c r="D80" s="1948" t="str">
        <f t="shared" si="3"/>
        <v> </v>
      </c>
      <c r="E80" s="1949">
        <f t="shared" si="4"/>
        <v>0</v>
      </c>
      <c r="F80" s="1950">
        <f t="shared" si="5"/>
        <v>0</v>
      </c>
      <c r="G80" s="1953"/>
    </row>
    <row r="81" spans="1:7">
      <c r="A81" s="1955" t="s">
        <v>249</v>
      </c>
      <c r="B81" s="1947">
        <f>审定资负表!G35</f>
        <v>0</v>
      </c>
      <c r="C81" s="1947">
        <f>审定资负表!H35</f>
        <v>0</v>
      </c>
      <c r="D81" s="1948" t="str">
        <f t="shared" si="3"/>
        <v> </v>
      </c>
      <c r="E81" s="1949">
        <f t="shared" si="4"/>
        <v>0</v>
      </c>
      <c r="F81" s="1950">
        <f t="shared" si="5"/>
        <v>0</v>
      </c>
      <c r="G81" s="1953"/>
    </row>
    <row r="82" spans="1:7">
      <c r="A82" s="1946" t="s">
        <v>251</v>
      </c>
      <c r="B82" s="1947">
        <f>审定资负表!G36</f>
        <v>137800000</v>
      </c>
      <c r="C82" s="1947">
        <f>审定资负表!H36</f>
        <v>120000000</v>
      </c>
      <c r="D82" s="1948">
        <f t="shared" si="3"/>
        <v>0.283960564116616</v>
      </c>
      <c r="E82" s="1949">
        <f t="shared" si="4"/>
        <v>17800000</v>
      </c>
      <c r="F82" s="1950">
        <f t="shared" si="5"/>
        <v>0.1483</v>
      </c>
      <c r="G82" s="1953" t="s">
        <v>2708</v>
      </c>
    </row>
    <row r="83" spans="1:7">
      <c r="A83" s="1946" t="s">
        <v>253</v>
      </c>
      <c r="B83" s="1947">
        <f>审定资负表!G37</f>
        <v>218598931.26</v>
      </c>
      <c r="C83" s="1947">
        <f>审定资负表!H37</f>
        <v>5756259.26</v>
      </c>
      <c r="D83" s="1948">
        <f t="shared" si="3"/>
        <v>0.450460637415668</v>
      </c>
      <c r="E83" s="1949">
        <f t="shared" si="4"/>
        <v>212842672</v>
      </c>
      <c r="F83" s="1950">
        <f t="shared" si="5"/>
        <v>36.9759</v>
      </c>
      <c r="G83" s="1953" t="s">
        <v>2709</v>
      </c>
    </row>
    <row r="84" spans="1:7">
      <c r="A84" s="1946" t="s">
        <v>255</v>
      </c>
      <c r="B84" s="1947">
        <f>审定资负表!G38</f>
        <v>0</v>
      </c>
      <c r="C84" s="1947">
        <f>审定资负表!H38</f>
        <v>0</v>
      </c>
      <c r="D84" s="1948" t="str">
        <f t="shared" si="3"/>
        <v> </v>
      </c>
      <c r="E84" s="1949">
        <f t="shared" si="4"/>
        <v>0</v>
      </c>
      <c r="F84" s="1950">
        <f t="shared" si="5"/>
        <v>0</v>
      </c>
      <c r="G84" s="1953"/>
    </row>
    <row r="85" spans="1:7">
      <c r="A85" s="1946" t="s">
        <v>256</v>
      </c>
      <c r="B85" s="1947">
        <f>审定资负表!G39</f>
        <v>0</v>
      </c>
      <c r="C85" s="1947">
        <f>审定资负表!H39</f>
        <v>0</v>
      </c>
      <c r="D85" s="1948" t="str">
        <f t="shared" si="3"/>
        <v> </v>
      </c>
      <c r="E85" s="1949">
        <f t="shared" si="4"/>
        <v>0</v>
      </c>
      <c r="F85" s="1950">
        <f t="shared" si="5"/>
        <v>0</v>
      </c>
      <c r="G85" s="1953"/>
    </row>
    <row r="86" spans="1:7">
      <c r="A86" s="1946" t="s">
        <v>258</v>
      </c>
      <c r="B86" s="1947">
        <f>审定资负表!G40</f>
        <v>-27854645.49</v>
      </c>
      <c r="C86" s="1947">
        <f>审定资负表!H40</f>
        <v>-36686290.04</v>
      </c>
      <c r="D86" s="1948">
        <f t="shared" si="3"/>
        <v>-0.0573992804543452</v>
      </c>
      <c r="E86" s="1949">
        <f t="shared" si="4"/>
        <v>8831644.55</v>
      </c>
      <c r="F86" s="1950">
        <f t="shared" si="5"/>
        <v>0.2407</v>
      </c>
      <c r="G86" s="1953"/>
    </row>
    <row r="87" spans="1:7">
      <c r="A87" s="1946" t="s">
        <v>259</v>
      </c>
      <c r="B87" s="1947">
        <f>审定资负表!G41</f>
        <v>0</v>
      </c>
      <c r="C87" s="1947">
        <f>审定资负表!H41</f>
        <v>0</v>
      </c>
      <c r="D87" s="1948" t="str">
        <f t="shared" si="3"/>
        <v> </v>
      </c>
      <c r="E87" s="1949">
        <f t="shared" si="4"/>
        <v>0</v>
      </c>
      <c r="F87" s="1950">
        <f t="shared" si="5"/>
        <v>0</v>
      </c>
      <c r="G87" s="1953"/>
    </row>
    <row r="88" spans="1:7">
      <c r="A88" s="1946" t="s">
        <v>1847</v>
      </c>
      <c r="B88" s="1947">
        <f>审定资负表!G42</f>
        <v>0</v>
      </c>
      <c r="C88" s="1947">
        <f>审定资负表!H42</f>
        <v>0</v>
      </c>
      <c r="D88" s="1948" t="str">
        <f t="shared" si="3"/>
        <v> </v>
      </c>
      <c r="E88" s="1949">
        <f t="shared" si="4"/>
        <v>0</v>
      </c>
      <c r="F88" s="1950">
        <f t="shared" si="5"/>
        <v>0</v>
      </c>
      <c r="G88" s="1953"/>
    </row>
    <row r="89" spans="1:7">
      <c r="A89" s="1954" t="s">
        <v>261</v>
      </c>
      <c r="B89" s="1947">
        <f>审定资负表!G43</f>
        <v>328544285.77</v>
      </c>
      <c r="C89" s="1947">
        <f>审定资负表!H43</f>
        <v>89069969.22</v>
      </c>
      <c r="D89" s="1948">
        <f t="shared" si="3"/>
        <v>0.677021921077939</v>
      </c>
      <c r="E89" s="1949">
        <f t="shared" si="4"/>
        <v>239474316.55</v>
      </c>
      <c r="F89" s="1950">
        <f t="shared" si="5"/>
        <v>2.6886</v>
      </c>
      <c r="G89" s="1953"/>
    </row>
    <row r="90" spans="1:7">
      <c r="A90" s="1946"/>
      <c r="B90" s="1947">
        <f>审定资负表!G44</f>
        <v>0</v>
      </c>
      <c r="C90" s="1947">
        <f>审定资负表!H44</f>
        <v>0</v>
      </c>
      <c r="D90" s="1948" t="str">
        <f t="shared" si="3"/>
        <v> </v>
      </c>
      <c r="E90" s="1949">
        <f t="shared" si="4"/>
        <v>0</v>
      </c>
      <c r="F90" s="1950">
        <f t="shared" si="5"/>
        <v>0</v>
      </c>
      <c r="G90" s="1953"/>
    </row>
    <row r="91" spans="1:7">
      <c r="A91" s="1946" t="s">
        <v>262</v>
      </c>
      <c r="B91" s="1947">
        <f>审定资负表!G45</f>
        <v>0</v>
      </c>
      <c r="C91" s="1947">
        <f>审定资负表!H45</f>
        <v>0</v>
      </c>
      <c r="D91" s="1948" t="str">
        <f t="shared" si="3"/>
        <v> </v>
      </c>
      <c r="E91" s="1949">
        <f t="shared" si="4"/>
        <v>0</v>
      </c>
      <c r="F91" s="1950">
        <f t="shared" si="5"/>
        <v>0</v>
      </c>
      <c r="G91" s="1953"/>
    </row>
    <row r="92" spans="1:7">
      <c r="A92" s="1957" t="s">
        <v>263</v>
      </c>
      <c r="B92" s="1947">
        <f>审定资负表!G46</f>
        <v>328544285.77</v>
      </c>
      <c r="C92" s="1947">
        <f>审定资负表!H46</f>
        <v>89069969.22</v>
      </c>
      <c r="D92" s="1948">
        <f t="shared" si="3"/>
        <v>0.677021921077939</v>
      </c>
      <c r="E92" s="1949">
        <f t="shared" si="4"/>
        <v>239474316.55</v>
      </c>
      <c r="F92" s="1950">
        <f t="shared" si="5"/>
        <v>2.6886</v>
      </c>
      <c r="G92" s="1953"/>
    </row>
    <row r="93" spans="1:7">
      <c r="A93" s="1946"/>
      <c r="B93" s="1947">
        <f>审定资负表!G47</f>
        <v>0</v>
      </c>
      <c r="C93" s="1947">
        <f>审定资负表!H47</f>
        <v>0</v>
      </c>
      <c r="D93" s="1948" t="str">
        <f t="shared" si="3"/>
        <v> </v>
      </c>
      <c r="E93" s="1949">
        <f t="shared" si="4"/>
        <v>0</v>
      </c>
      <c r="F93" s="1950">
        <f t="shared" si="5"/>
        <v>0</v>
      </c>
      <c r="G93" s="1953"/>
    </row>
    <row r="94" spans="1:7">
      <c r="A94" s="1957" t="s">
        <v>265</v>
      </c>
      <c r="B94" s="1947">
        <f>审定资负表!G48</f>
        <v>485278652.79</v>
      </c>
      <c r="C94" s="1947">
        <f>审定资负表!H48</f>
        <v>225079668.28</v>
      </c>
      <c r="D94" s="1948">
        <f t="shared" si="3"/>
        <v>1</v>
      </c>
      <c r="E94" s="1949">
        <f t="shared" si="4"/>
        <v>260198984.51</v>
      </c>
      <c r="F94" s="1950">
        <f t="shared" si="5"/>
        <v>1.156</v>
      </c>
      <c r="G94" s="1956"/>
    </row>
    <row r="95" ht="37.5" spans="1:7">
      <c r="A95" s="1954" t="s">
        <v>77</v>
      </c>
      <c r="B95" s="1947">
        <f>审定利润表!C6</f>
        <v>120097563.96</v>
      </c>
      <c r="C95" s="1947">
        <f>审定利润表!D6</f>
        <v>54865717.44</v>
      </c>
      <c r="D95" s="1948">
        <f>IF(B95=0," ",B95/$B$95)</f>
        <v>1</v>
      </c>
      <c r="E95" s="1949">
        <f t="shared" si="4"/>
        <v>65231846.52</v>
      </c>
      <c r="F95" s="1950">
        <f t="shared" si="5"/>
        <v>1.1889</v>
      </c>
      <c r="G95" s="1953" t="s">
        <v>2710</v>
      </c>
    </row>
    <row r="96" spans="1:7">
      <c r="A96" s="1946" t="s">
        <v>79</v>
      </c>
      <c r="B96" s="1947">
        <f>审定利润表!C7</f>
        <v>65501451.94</v>
      </c>
      <c r="C96" s="1947">
        <f>审定利润表!D7</f>
        <v>29364509.85</v>
      </c>
      <c r="D96" s="1948">
        <f>IF(B96=0," ",B96/$B$95)</f>
        <v>0.545402003006623</v>
      </c>
      <c r="E96" s="1949">
        <f t="shared" si="4"/>
        <v>36136942.09</v>
      </c>
      <c r="F96" s="1950">
        <f t="shared" si="5"/>
        <v>1.2306</v>
      </c>
      <c r="G96" s="1961" t="s">
        <v>2711</v>
      </c>
    </row>
    <row r="97" ht="24.75" spans="1:7">
      <c r="A97" s="1946" t="s">
        <v>2712</v>
      </c>
      <c r="B97" s="1947">
        <f>审定利润表!C8</f>
        <v>373643.83</v>
      </c>
      <c r="C97" s="1947">
        <f>审定利润表!D8</f>
        <v>242593.74</v>
      </c>
      <c r="D97" s="1948">
        <f t="shared" ref="D97:D115" si="6">IF(B97=0," ",B97/$B$95)</f>
        <v>0.0031111691001863</v>
      </c>
      <c r="E97" s="1949">
        <f t="shared" si="4"/>
        <v>131050.09</v>
      </c>
      <c r="F97" s="1950">
        <f t="shared" si="5"/>
        <v>0.5402</v>
      </c>
      <c r="G97" s="1953" t="s">
        <v>2713</v>
      </c>
    </row>
    <row r="98" ht="75" spans="1:7">
      <c r="A98" s="1946" t="s">
        <v>82</v>
      </c>
      <c r="B98" s="1947">
        <f>审定利润表!C9</f>
        <v>11918966.31</v>
      </c>
      <c r="C98" s="1947">
        <f>审定利润表!D9</f>
        <v>11911652.27</v>
      </c>
      <c r="D98" s="1948">
        <f t="shared" si="6"/>
        <v>0.099244030578087</v>
      </c>
      <c r="E98" s="1949">
        <f t="shared" si="4"/>
        <v>7314.04000000097</v>
      </c>
      <c r="F98" s="1950">
        <f t="shared" si="5"/>
        <v>0.0006</v>
      </c>
      <c r="G98" s="1953" t="s">
        <v>2714</v>
      </c>
    </row>
    <row r="99" ht="87.75" spans="1:7">
      <c r="A99" s="1946" t="s">
        <v>84</v>
      </c>
      <c r="B99" s="1947">
        <f>审定利润表!C10</f>
        <v>13092697.23</v>
      </c>
      <c r="C99" s="1947">
        <f>审定利润表!D10</f>
        <v>18616301.28</v>
      </c>
      <c r="D99" s="1948">
        <f t="shared" si="6"/>
        <v>0.109017175688598</v>
      </c>
      <c r="E99" s="1949">
        <f t="shared" si="4"/>
        <v>-5523604.05</v>
      </c>
      <c r="F99" s="1950">
        <f t="shared" si="5"/>
        <v>-0.2967</v>
      </c>
      <c r="G99" s="1953" t="s">
        <v>2715</v>
      </c>
    </row>
    <row r="100" ht="24.75" spans="1:7">
      <c r="A100" s="1946" t="s">
        <v>85</v>
      </c>
      <c r="B100" s="1947">
        <f>审定利润表!C11</f>
        <v>17583927.65</v>
      </c>
      <c r="C100" s="1947">
        <f>审定利润表!D11</f>
        <v>-174505.14</v>
      </c>
      <c r="D100" s="1948">
        <f t="shared" si="6"/>
        <v>0.146413691254025</v>
      </c>
      <c r="E100" s="1949">
        <f t="shared" si="4"/>
        <v>17758432.79</v>
      </c>
      <c r="F100" s="1950">
        <f t="shared" si="5"/>
        <v>101.7645</v>
      </c>
      <c r="G100" s="1953" t="s">
        <v>2716</v>
      </c>
    </row>
    <row r="101" ht="25.5" spans="1:7">
      <c r="A101" s="1946" t="s">
        <v>86</v>
      </c>
      <c r="B101" s="1947">
        <f>审定利润表!C12</f>
        <v>1792140.07</v>
      </c>
      <c r="C101" s="1947">
        <f>审定利润表!D12</f>
        <v>4990869.42</v>
      </c>
      <c r="D101" s="1948">
        <f t="shared" si="6"/>
        <v>0.0149223682055441</v>
      </c>
      <c r="E101" s="1949">
        <f t="shared" si="4"/>
        <v>-3198729.35</v>
      </c>
      <c r="F101" s="1950">
        <f t="shared" si="5"/>
        <v>-0.6409</v>
      </c>
      <c r="G101" s="1953" t="s">
        <v>2717</v>
      </c>
    </row>
    <row r="102" spans="1:7">
      <c r="A102" s="1946" t="s">
        <v>88</v>
      </c>
      <c r="B102" s="1947">
        <f>审定利润表!C13</f>
        <v>0</v>
      </c>
      <c r="C102" s="1947">
        <f>审定利润表!D13</f>
        <v>0</v>
      </c>
      <c r="D102" s="1948" t="str">
        <f t="shared" si="6"/>
        <v> </v>
      </c>
      <c r="E102" s="1949">
        <f t="shared" si="4"/>
        <v>0</v>
      </c>
      <c r="F102" s="1950">
        <f t="shared" si="5"/>
        <v>0</v>
      </c>
      <c r="G102" s="1956"/>
    </row>
    <row r="103" spans="1:7">
      <c r="A103" s="1946" t="s">
        <v>90</v>
      </c>
      <c r="B103" s="1947">
        <f>审定利润表!C14</f>
        <v>0</v>
      </c>
      <c r="C103" s="1947">
        <f>审定利润表!D14</f>
        <v>0</v>
      </c>
      <c r="D103" s="1948" t="str">
        <f t="shared" si="6"/>
        <v> </v>
      </c>
      <c r="E103" s="1949">
        <f t="shared" si="4"/>
        <v>0</v>
      </c>
      <c r="F103" s="1950">
        <f t="shared" si="5"/>
        <v>0</v>
      </c>
      <c r="G103" s="1956"/>
    </row>
    <row r="104" spans="1:7">
      <c r="A104" s="1946" t="s">
        <v>92</v>
      </c>
      <c r="B104" s="1947">
        <f>审定利润表!C15</f>
        <v>0</v>
      </c>
      <c r="C104" s="1947">
        <f>审定利润表!D15</f>
        <v>0</v>
      </c>
      <c r="D104" s="1948" t="str">
        <f t="shared" si="6"/>
        <v> </v>
      </c>
      <c r="E104" s="1949">
        <f t="shared" si="4"/>
        <v>0</v>
      </c>
      <c r="F104" s="1950">
        <f t="shared" si="5"/>
        <v>0</v>
      </c>
      <c r="G104" s="1953"/>
    </row>
    <row r="105" spans="1:7">
      <c r="A105" s="1946" t="s">
        <v>93</v>
      </c>
      <c r="B105" s="1947">
        <f>审定利润表!C17</f>
        <v>0</v>
      </c>
      <c r="C105" s="1947">
        <f>审定利润表!D17</f>
        <v>0</v>
      </c>
      <c r="D105" s="1948" t="str">
        <f t="shared" si="6"/>
        <v> </v>
      </c>
      <c r="E105" s="1949">
        <f t="shared" si="4"/>
        <v>0</v>
      </c>
      <c r="F105" s="1950">
        <f t="shared" si="5"/>
        <v>0</v>
      </c>
      <c r="G105" s="1953"/>
    </row>
    <row r="106" spans="1:7">
      <c r="A106" s="1946"/>
      <c r="B106" s="1947">
        <f>审定利润表!C18</f>
        <v>0</v>
      </c>
      <c r="C106" s="1947">
        <f>审定利润表!D18</f>
        <v>0</v>
      </c>
      <c r="D106" s="1948" t="str">
        <f t="shared" si="6"/>
        <v> </v>
      </c>
      <c r="E106" s="1949">
        <f t="shared" si="4"/>
        <v>0</v>
      </c>
      <c r="F106" s="1950">
        <f t="shared" si="5"/>
        <v>0</v>
      </c>
      <c r="G106" s="1953"/>
    </row>
    <row r="107" spans="1:7">
      <c r="A107" s="1954" t="s">
        <v>94</v>
      </c>
      <c r="B107" s="1947">
        <f>审定利润表!C19</f>
        <v>9834736.93</v>
      </c>
      <c r="C107" s="1947">
        <f>审定利润表!D19</f>
        <v>-10085703.98</v>
      </c>
      <c r="D107" s="1948">
        <f t="shared" si="6"/>
        <v>0.0818895621669361</v>
      </c>
      <c r="E107" s="1949">
        <f t="shared" si="4"/>
        <v>19920440.91</v>
      </c>
      <c r="F107" s="1950">
        <f t="shared" si="5"/>
        <v>1.9751</v>
      </c>
      <c r="G107" s="1953"/>
    </row>
    <row r="108" spans="1:7">
      <c r="A108" s="1946" t="s">
        <v>95</v>
      </c>
      <c r="B108" s="1947">
        <f>审定利润表!C20</f>
        <v>853546.58</v>
      </c>
      <c r="C108" s="1947">
        <f>审定利润表!D20</f>
        <v>362052.92</v>
      </c>
      <c r="D108" s="1948">
        <f t="shared" si="6"/>
        <v>0.00710710985182251</v>
      </c>
      <c r="E108" s="1949">
        <f t="shared" si="4"/>
        <v>491493.66</v>
      </c>
      <c r="F108" s="1950">
        <f t="shared" si="5"/>
        <v>1.3575</v>
      </c>
      <c r="G108" s="1956" t="s">
        <v>2718</v>
      </c>
    </row>
    <row r="109" spans="1:7">
      <c r="A109" s="1946" t="s">
        <v>97</v>
      </c>
      <c r="B109" s="1947">
        <f>审定利润表!C21</f>
        <v>2139962.48</v>
      </c>
      <c r="C109" s="1947">
        <f>审定利润表!D21</f>
        <v>24281.65</v>
      </c>
      <c r="D109" s="1948">
        <f t="shared" si="6"/>
        <v>0.0178185336108295</v>
      </c>
      <c r="E109" s="1949">
        <f t="shared" si="4"/>
        <v>2115680.83</v>
      </c>
      <c r="F109" s="1950">
        <f t="shared" si="5"/>
        <v>87.1309</v>
      </c>
      <c r="G109" s="1956" t="s">
        <v>2719</v>
      </c>
    </row>
    <row r="110" spans="1:7">
      <c r="A110" s="1946" t="s">
        <v>99</v>
      </c>
      <c r="B110" s="1947"/>
      <c r="C110" s="1947"/>
      <c r="D110" s="1948" t="str">
        <f t="shared" si="6"/>
        <v> </v>
      </c>
      <c r="E110" s="1949">
        <f t="shared" si="4"/>
        <v>0</v>
      </c>
      <c r="F110" s="1950">
        <f t="shared" si="5"/>
        <v>0</v>
      </c>
      <c r="G110" s="1953"/>
    </row>
    <row r="111" spans="1:7">
      <c r="A111" s="1946"/>
      <c r="B111" s="1947">
        <f>审定利润表!C28</f>
        <v>0</v>
      </c>
      <c r="C111" s="1947">
        <f>审定利润表!D28</f>
        <v>0</v>
      </c>
      <c r="D111" s="1948" t="str">
        <f t="shared" si="6"/>
        <v> </v>
      </c>
      <c r="E111" s="1949">
        <f t="shared" si="4"/>
        <v>0</v>
      </c>
      <c r="F111" s="1950">
        <f t="shared" si="5"/>
        <v>0</v>
      </c>
      <c r="G111" s="1953"/>
    </row>
    <row r="112" spans="1:7">
      <c r="A112" s="1954" t="s">
        <v>100</v>
      </c>
      <c r="B112" s="1947">
        <f>审定利润表!C22</f>
        <v>8548321.03</v>
      </c>
      <c r="C112" s="1947">
        <f>审定利润表!D22</f>
        <v>-9747932.71</v>
      </c>
      <c r="D112" s="1948">
        <f t="shared" si="6"/>
        <v>0.0711781384079291</v>
      </c>
      <c r="E112" s="1949">
        <f t="shared" si="4"/>
        <v>18296253.74</v>
      </c>
      <c r="F112" s="1950">
        <f t="shared" si="5"/>
        <v>1.8769</v>
      </c>
      <c r="G112" s="1953"/>
    </row>
    <row r="113" spans="1:7">
      <c r="A113" s="1946" t="s">
        <v>101</v>
      </c>
      <c r="B113" s="1947">
        <f>审定利润表!C23</f>
        <v>-283323.52</v>
      </c>
      <c r="C113" s="1947">
        <f>审定利润表!D23</f>
        <v>842798.93</v>
      </c>
      <c r="D113" s="1948">
        <f t="shared" si="6"/>
        <v>-0.00235911129799739</v>
      </c>
      <c r="E113" s="1949">
        <f t="shared" si="4"/>
        <v>-1126122.45</v>
      </c>
      <c r="F113" s="1950">
        <f t="shared" si="5"/>
        <v>-1.3362</v>
      </c>
      <c r="G113" s="1953"/>
    </row>
    <row r="114" spans="1:7">
      <c r="A114" s="1946"/>
      <c r="B114" s="1947">
        <f>审定利润表!C29</f>
        <v>0</v>
      </c>
      <c r="C114" s="1947">
        <f>审定利润表!D29</f>
        <v>0</v>
      </c>
      <c r="D114" s="1948" t="str">
        <f t="shared" si="6"/>
        <v> </v>
      </c>
      <c r="E114" s="1949">
        <f t="shared" si="4"/>
        <v>0</v>
      </c>
      <c r="F114" s="1950">
        <f t="shared" si="5"/>
        <v>0</v>
      </c>
      <c r="G114" s="1953"/>
    </row>
    <row r="115" spans="1:7">
      <c r="A115" s="1954" t="s">
        <v>103</v>
      </c>
      <c r="B115" s="1947">
        <f>审定利润表!C24</f>
        <v>8831644.55</v>
      </c>
      <c r="C115" s="1947">
        <f>审定利润表!D24</f>
        <v>-10590731.64</v>
      </c>
      <c r="D115" s="1948">
        <f t="shared" si="6"/>
        <v>0.0735372497059265</v>
      </c>
      <c r="E115" s="1949">
        <f t="shared" si="4"/>
        <v>19422376.19</v>
      </c>
      <c r="F115" s="1950">
        <f t="shared" si="5"/>
        <v>1.8339</v>
      </c>
      <c r="G115" s="1953"/>
    </row>
    <row r="116" spans="1:7">
      <c r="A116" s="1946"/>
      <c r="B116" s="1947"/>
      <c r="C116" s="1947"/>
      <c r="D116" s="1948"/>
      <c r="E116" s="1949"/>
      <c r="F116" s="1950">
        <f t="shared" si="5"/>
        <v>0</v>
      </c>
      <c r="G116" s="1953"/>
    </row>
    <row r="117" spans="1:7">
      <c r="A117" s="1954" t="s">
        <v>106</v>
      </c>
      <c r="B117" s="1947"/>
      <c r="C117" s="1947"/>
      <c r="D117" s="1948"/>
      <c r="E117" s="1949">
        <f t="shared" si="4"/>
        <v>0</v>
      </c>
      <c r="F117" s="1950">
        <f t="shared" si="5"/>
        <v>0</v>
      </c>
      <c r="G117" s="1953"/>
    </row>
    <row r="118" hidden="1" spans="1:7">
      <c r="A118" s="1946" t="s">
        <v>107</v>
      </c>
      <c r="B118" s="1947"/>
      <c r="C118" s="1947"/>
      <c r="D118" s="1948"/>
      <c r="E118" s="1949">
        <f t="shared" si="4"/>
        <v>0</v>
      </c>
      <c r="F118" s="1950">
        <f t="shared" si="5"/>
        <v>0</v>
      </c>
      <c r="G118" s="1953"/>
    </row>
    <row r="119" hidden="1" spans="1:7">
      <c r="A119" s="1946" t="s">
        <v>108</v>
      </c>
      <c r="B119" s="1947"/>
      <c r="C119" s="1947"/>
      <c r="D119" s="1948"/>
      <c r="E119" s="1949">
        <f t="shared" si="4"/>
        <v>0</v>
      </c>
      <c r="F119" s="1950">
        <f t="shared" si="5"/>
        <v>0</v>
      </c>
      <c r="G119" s="1953"/>
    </row>
    <row r="120" spans="1:7">
      <c r="A120" s="1954" t="s">
        <v>2720</v>
      </c>
      <c r="B120" s="1947"/>
      <c r="C120" s="1947"/>
      <c r="D120" s="1948"/>
      <c r="E120" s="1949"/>
      <c r="F120" s="1950">
        <f t="shared" si="5"/>
        <v>0</v>
      </c>
      <c r="G120" s="1953"/>
    </row>
    <row r="121" spans="1:7">
      <c r="A121" s="1954" t="s">
        <v>2721</v>
      </c>
      <c r="B121" s="1947"/>
      <c r="C121" s="1947"/>
      <c r="D121" s="1948"/>
      <c r="E121" s="1949"/>
      <c r="F121" s="1950">
        <f t="shared" si="5"/>
        <v>0</v>
      </c>
      <c r="G121" s="1953"/>
    </row>
    <row r="122" hidden="1" spans="1:7">
      <c r="A122" s="1962" t="s">
        <v>2722</v>
      </c>
      <c r="B122" s="1947"/>
      <c r="C122" s="1947"/>
      <c r="D122" s="1948" t="str">
        <f>IF(B122=0," ",B122/$B$122)</f>
        <v> </v>
      </c>
      <c r="E122" s="1949"/>
      <c r="F122" s="1950" t="str">
        <f t="shared" ref="F122:F123" si="7">IF(C122=0," ",E122/C122)</f>
        <v> </v>
      </c>
      <c r="G122" s="1963"/>
    </row>
    <row r="123" hidden="1" spans="1:7">
      <c r="A123" s="1964" t="s">
        <v>2723</v>
      </c>
      <c r="B123" s="1965"/>
      <c r="C123" s="1965"/>
      <c r="D123" s="1966" t="str">
        <f t="shared" ref="D123" si="8">IF(B123=0," ",B123/$B$122)</f>
        <v> </v>
      </c>
      <c r="E123" s="1965"/>
      <c r="F123" s="1967" t="str">
        <f t="shared" si="7"/>
        <v> </v>
      </c>
      <c r="G123" s="1968"/>
    </row>
    <row r="124" ht="22.5" hidden="1" spans="1:7">
      <c r="A124" s="1921" t="s">
        <v>2724</v>
      </c>
      <c r="B124" s="1921"/>
      <c r="C124" s="1921"/>
      <c r="D124" s="1921"/>
      <c r="E124" s="1921"/>
      <c r="F124" s="1921"/>
      <c r="G124" s="1921"/>
    </row>
    <row r="125" hidden="1" spans="1:7">
      <c r="A125" s="1969" t="s">
        <v>61</v>
      </c>
      <c r="B125" s="1970" t="s">
        <v>2725</v>
      </c>
      <c r="C125" s="1970" t="s">
        <v>2726</v>
      </c>
      <c r="D125" s="1970" t="s">
        <v>24</v>
      </c>
      <c r="E125" s="1970" t="s">
        <v>20</v>
      </c>
      <c r="F125" s="1970" t="s">
        <v>2727</v>
      </c>
      <c r="G125" s="1971" t="s">
        <v>2728</v>
      </c>
    </row>
    <row r="126" hidden="1" spans="1:7">
      <c r="A126" s="1972" t="s">
        <v>2729</v>
      </c>
      <c r="B126" s="1943"/>
      <c r="C126" s="1943"/>
      <c r="D126" s="1943"/>
      <c r="E126" s="1943"/>
      <c r="F126" s="1943"/>
      <c r="G126" s="1944"/>
    </row>
    <row r="127" hidden="1" spans="1:7">
      <c r="A127" s="1973"/>
      <c r="B127" s="1974" t="s">
        <v>2730</v>
      </c>
      <c r="C127" s="1974" t="s">
        <v>2731</v>
      </c>
      <c r="D127" s="1947">
        <f>ROUND(审定资负表!C19/审定资负表!G20,4)</f>
        <v>2.8119</v>
      </c>
      <c r="E127" s="1947">
        <f>ROUND(审定资负表!D19/审定资负表!H20,4)</f>
        <v>2.1144</v>
      </c>
      <c r="F127" s="1947">
        <f>D127-E127</f>
        <v>0.6975</v>
      </c>
      <c r="G127" s="1975"/>
    </row>
    <row r="128" ht="22.5" hidden="1" customHeight="1" spans="1:7">
      <c r="A128" s="1973"/>
      <c r="B128" s="1974" t="s">
        <v>2732</v>
      </c>
      <c r="C128" s="1976" t="s">
        <v>2733</v>
      </c>
      <c r="D128" s="1947">
        <f>ROUND((审定资负表!C19-审定资负表!C17-审定资负表!C16-审定资负表!C15)/审定资负表!G20,4)</f>
        <v>2.3885</v>
      </c>
      <c r="E128" s="1947">
        <f>ROUND((审定资负表!D19-审定资负表!D17-审定资负表!D16-审定资负表!D15)/审定资负表!H20,4)</f>
        <v>1.9198</v>
      </c>
      <c r="F128" s="1947">
        <f t="shared" ref="F128:F147" si="9">D128-E128</f>
        <v>0.4687</v>
      </c>
      <c r="G128" s="1975"/>
    </row>
    <row r="129" ht="24" hidden="1" spans="1:7">
      <c r="A129" s="1973"/>
      <c r="B129" s="1974" t="s">
        <v>2734</v>
      </c>
      <c r="C129" s="1976" t="s">
        <v>2735</v>
      </c>
      <c r="D129" s="1947">
        <f>ROUND((审定资负表!C7+审定资负表!C8)/审定资负表!G20,4)</f>
        <v>1.9496</v>
      </c>
      <c r="E129" s="1947">
        <f>ROUND((审定资负表!D7+审定资负表!D8)/审定资负表!H20,4)</f>
        <v>1.1594</v>
      </c>
      <c r="F129" s="1947">
        <f t="shared" si="9"/>
        <v>0.7902</v>
      </c>
      <c r="G129" s="1975"/>
    </row>
    <row r="130" hidden="1" spans="1:7">
      <c r="A130" s="1973"/>
      <c r="B130" s="1974" t="s">
        <v>2736</v>
      </c>
      <c r="C130" s="1974" t="s">
        <v>2737</v>
      </c>
      <c r="D130" s="1947">
        <f>ROUND(审定现流表!C16/审定资负表!G20,4)</f>
        <v>-0.3643</v>
      </c>
      <c r="E130" s="1947">
        <f>ROUND(审定现流表!D16/审定资负表!H20,4)</f>
        <v>0</v>
      </c>
      <c r="F130" s="1947">
        <f t="shared" si="9"/>
        <v>-0.3643</v>
      </c>
      <c r="G130" s="1975"/>
    </row>
    <row r="131" hidden="1" spans="1:7">
      <c r="A131" s="1973" t="s">
        <v>2738</v>
      </c>
      <c r="B131" s="1974"/>
      <c r="C131" s="1974"/>
      <c r="D131" s="1947"/>
      <c r="E131" s="1947"/>
      <c r="F131" s="1947"/>
      <c r="G131" s="1975"/>
    </row>
    <row r="132" hidden="1" spans="1:7">
      <c r="A132" s="1973"/>
      <c r="B132" s="1974" t="s">
        <v>2739</v>
      </c>
      <c r="C132" s="1974" t="s">
        <v>2740</v>
      </c>
      <c r="D132" s="1948">
        <f>ROUND(审定资负表!G33/审定资负表!C48,4)</f>
        <v>0.323</v>
      </c>
      <c r="E132" s="1948">
        <f>ROUND(审定资负表!H33/审定资负表!D48,4)</f>
        <v>0.6043</v>
      </c>
      <c r="F132" s="1947">
        <f t="shared" si="9"/>
        <v>-0.2813</v>
      </c>
      <c r="G132" s="1975"/>
    </row>
    <row r="133" hidden="1" spans="1:7">
      <c r="A133" s="1973"/>
      <c r="B133" s="1974" t="s">
        <v>2741</v>
      </c>
      <c r="C133" s="1974" t="s">
        <v>2742</v>
      </c>
      <c r="D133" s="1948">
        <f>ROUND(审定资负表!G33/审定资负表!G46,4)</f>
        <v>0.4771</v>
      </c>
      <c r="E133" s="1948">
        <f>ROUND(审定资负表!H33/审定资负表!H46,4)</f>
        <v>1.527</v>
      </c>
      <c r="F133" s="1947">
        <f t="shared" si="9"/>
        <v>-1.0499</v>
      </c>
      <c r="G133" s="1975"/>
    </row>
    <row r="134" ht="24" hidden="1" spans="1:7">
      <c r="A134" s="1973"/>
      <c r="B134" s="1974" t="s">
        <v>2743</v>
      </c>
      <c r="C134" s="1976" t="s">
        <v>2744</v>
      </c>
      <c r="D134" s="1948" t="str">
        <f>IF(C2260=0,"不适用",ROUND(审定资负表!G31/(审定资负表!G31+审定资负表!G46),4))</f>
        <v>不适用</v>
      </c>
      <c r="E134" s="1948" t="str">
        <f>IF(C2274=0,"不适用",ROUND(审定资负表!H31/(审定资负表!H31+审定资负表!H46),4))</f>
        <v>不适用</v>
      </c>
      <c r="F134" s="1947" t="e">
        <f t="shared" si="9"/>
        <v>#VALUE!</v>
      </c>
      <c r="G134" s="1975"/>
    </row>
    <row r="135" hidden="1" spans="1:7">
      <c r="A135" s="1973"/>
      <c r="B135" s="1974" t="s">
        <v>2745</v>
      </c>
      <c r="C135" s="1974" t="s">
        <v>2746</v>
      </c>
      <c r="D135" s="1977" t="str">
        <f>IF(C2260=0,"不适用",ROUND((审定利润表!C22+报表附注合并用!C2312)/报表附注合并用!C2312,4))</f>
        <v>不适用</v>
      </c>
      <c r="E135" s="1977" t="str">
        <f>IF(C2274=0,"不适用",ROUND((审定利润表!D22+报表附注合并用!C2326)/报表附注合并用!C2326,4))</f>
        <v>不适用</v>
      </c>
      <c r="F135" s="1947" t="e">
        <f t="shared" si="9"/>
        <v>#VALUE!</v>
      </c>
      <c r="G135" s="1975"/>
    </row>
    <row r="136" hidden="1" spans="1:7">
      <c r="A136" s="1973"/>
      <c r="B136" s="1974" t="s">
        <v>2747</v>
      </c>
      <c r="C136" s="1974" t="s">
        <v>2748</v>
      </c>
      <c r="D136" s="1977" t="str">
        <f>IF(C2260=0,"不适用",ROUND(审定现流表!C16/报表附注合并用!C2312,4))</f>
        <v>不适用</v>
      </c>
      <c r="E136" s="1977" t="str">
        <f>IF(C2274=0,"不适用",ROUND(审定现流表!D16/报表附注合并用!C2326,4))</f>
        <v>不适用</v>
      </c>
      <c r="F136" s="1947" t="e">
        <f t="shared" si="9"/>
        <v>#VALUE!</v>
      </c>
      <c r="G136" s="1975"/>
    </row>
    <row r="137" hidden="1" spans="1:7">
      <c r="A137" s="1973"/>
      <c r="B137" s="1974" t="s">
        <v>2749</v>
      </c>
      <c r="C137" s="1974" t="s">
        <v>2750</v>
      </c>
      <c r="D137" s="1948">
        <f>ROUND(审定现流表!C16/审定资负表!G33,4)</f>
        <v>-0.2428</v>
      </c>
      <c r="E137" s="1948">
        <f>ROUND(审定现流表!D16/审定资负表!G33,4)</f>
        <v>0</v>
      </c>
      <c r="F137" s="1947">
        <f t="shared" si="9"/>
        <v>-0.2428</v>
      </c>
      <c r="G137" s="1975"/>
    </row>
    <row r="138" hidden="1" spans="1:7">
      <c r="A138" s="1973" t="s">
        <v>2751</v>
      </c>
      <c r="B138" s="1974"/>
      <c r="C138" s="1974"/>
      <c r="D138" s="1947"/>
      <c r="E138" s="1947"/>
      <c r="F138" s="1947"/>
      <c r="G138" s="1975"/>
    </row>
    <row r="139" hidden="1" spans="1:7">
      <c r="A139" s="1973"/>
      <c r="B139" s="1974" t="s">
        <v>2752</v>
      </c>
      <c r="C139" s="1974" t="s">
        <v>2753</v>
      </c>
      <c r="D139" s="1947">
        <f>ROUND(审定利润表!C6/((报表附注!F76+报表附注!F205)/2),4)</f>
        <v>9.523</v>
      </c>
      <c r="E139" s="1947">
        <f>ROUND(审定利润表!D6/((报表附注!G76+报表附注!J205)/2),4)</f>
        <v>3.8024</v>
      </c>
      <c r="F139" s="1947">
        <f t="shared" si="9"/>
        <v>5.7206</v>
      </c>
      <c r="G139" s="1975"/>
    </row>
    <row r="140" hidden="1" spans="1:7">
      <c r="A140" s="1973"/>
      <c r="B140" s="1974" t="s">
        <v>2754</v>
      </c>
      <c r="C140" s="1974" t="s">
        <v>2755</v>
      </c>
      <c r="D140" s="1947">
        <f>ROUND(审定利润表!C6/审定资负表!C15,4)</f>
        <v>3.7575</v>
      </c>
      <c r="E140" s="1947">
        <f>ROUND(审定利润表!D6/审定资负表!D15,4)</f>
        <v>5.5833</v>
      </c>
      <c r="F140" s="1947">
        <f t="shared" si="9"/>
        <v>-1.8258</v>
      </c>
      <c r="G140" s="1975"/>
    </row>
    <row r="141" hidden="1" spans="1:7">
      <c r="A141" s="1973"/>
      <c r="B141" s="1974" t="s">
        <v>2756</v>
      </c>
      <c r="C141" s="1974" t="s">
        <v>2757</v>
      </c>
      <c r="D141" s="1947">
        <f>ROUND(审定利润表!C6/审定资负表!C19,4)</f>
        <v>0.4087</v>
      </c>
      <c r="E141" s="1947">
        <f>ROUND(审定利润表!D6/审定资负表!D19,4)</f>
        <v>0.3911</v>
      </c>
      <c r="F141" s="1947">
        <f t="shared" si="9"/>
        <v>0.0176</v>
      </c>
      <c r="G141" s="1975"/>
    </row>
    <row r="142" hidden="1" spans="1:7">
      <c r="A142" s="1973"/>
      <c r="B142" s="1974" t="s">
        <v>2758</v>
      </c>
      <c r="C142" s="1974" t="s">
        <v>2759</v>
      </c>
      <c r="D142" s="1947">
        <f>ROUND(审定利润表!C6/审定资负表!C40,4)</f>
        <v>0.6273</v>
      </c>
      <c r="E142" s="1947">
        <f>ROUND(审定利润表!D6/审定资负表!D40,4)</f>
        <v>0.647</v>
      </c>
      <c r="F142" s="1947">
        <f t="shared" si="9"/>
        <v>-0.0197000000000001</v>
      </c>
      <c r="G142" s="1975"/>
    </row>
    <row r="143" hidden="1" spans="1:7">
      <c r="A143" s="1973"/>
      <c r="B143" s="1974" t="s">
        <v>2760</v>
      </c>
      <c r="C143" s="1974" t="s">
        <v>2761</v>
      </c>
      <c r="D143" s="1947">
        <f>ROUND(审定利润表!C6/审定资负表!C48,4)</f>
        <v>0.2475</v>
      </c>
      <c r="E143" s="1947">
        <f>ROUND(审定利润表!D6/审定资负表!D48,4)</f>
        <v>0.2438</v>
      </c>
      <c r="F143" s="1947">
        <f t="shared" si="9"/>
        <v>0.00370000000000001</v>
      </c>
      <c r="G143" s="1975"/>
    </row>
    <row r="144" hidden="1" spans="1:7">
      <c r="A144" s="1973" t="s">
        <v>2762</v>
      </c>
      <c r="B144" s="1974"/>
      <c r="C144" s="1974"/>
      <c r="D144" s="1947"/>
      <c r="E144" s="1947"/>
      <c r="F144" s="1947"/>
      <c r="G144" s="1975"/>
    </row>
    <row r="145" hidden="1" spans="1:7">
      <c r="A145" s="1973"/>
      <c r="B145" s="1974" t="s">
        <v>2763</v>
      </c>
      <c r="C145" s="1974" t="s">
        <v>2764</v>
      </c>
      <c r="D145" s="1948">
        <f>ROUND(审定利润表!C24/审定利润表!C6,4)</f>
        <v>0.0735</v>
      </c>
      <c r="E145" s="1948">
        <f>ROUND(审定利润表!D24/审定利润表!D6,4)</f>
        <v>-0.193</v>
      </c>
      <c r="F145" s="1948">
        <f t="shared" si="9"/>
        <v>0.2665</v>
      </c>
      <c r="G145" s="1975"/>
    </row>
    <row r="146" hidden="1" spans="1:7">
      <c r="A146" s="1973"/>
      <c r="B146" s="1974" t="s">
        <v>2765</v>
      </c>
      <c r="C146" s="1974" t="s">
        <v>2766</v>
      </c>
      <c r="D146" s="1948">
        <f>ROUND(审定利润表!C24/审定资负表!C48,4)</f>
        <v>0.0182</v>
      </c>
      <c r="E146" s="1948">
        <f>ROUND(审定利润表!D24/审定资负表!D48,4)</f>
        <v>-0.0471</v>
      </c>
      <c r="F146" s="1948">
        <f t="shared" si="9"/>
        <v>0.0653</v>
      </c>
      <c r="G146" s="1975"/>
    </row>
    <row r="147" hidden="1" spans="1:7">
      <c r="A147" s="1978"/>
      <c r="B147" s="1979" t="s">
        <v>2767</v>
      </c>
      <c r="C147" s="1979" t="s">
        <v>2768</v>
      </c>
      <c r="D147" s="1966">
        <f>ROUND(审定利润表!C24/审定资负表!G46,4)</f>
        <v>0.0269</v>
      </c>
      <c r="E147" s="1966">
        <f>ROUND(审定利润表!D24/审定资负表!H46,4)</f>
        <v>-0.1189</v>
      </c>
      <c r="F147" s="1966">
        <f t="shared" si="9"/>
        <v>0.1458</v>
      </c>
      <c r="G147" s="1980"/>
    </row>
    <row r="148" ht="46.5" customHeight="1" spans="1:7">
      <c r="A148" s="1981" t="s">
        <v>2769</v>
      </c>
      <c r="B148" s="1982"/>
      <c r="C148" s="1982"/>
      <c r="D148" s="1982"/>
      <c r="E148" s="1982"/>
      <c r="F148" s="1982"/>
      <c r="G148" s="1982"/>
    </row>
  </sheetData>
  <sheetProtection formatCells="0" autoFilter="0" pivotTables="0"/>
  <mergeCells count="13">
    <mergeCell ref="A3:G3"/>
    <mergeCell ref="A4:B4"/>
    <mergeCell ref="C4:D4"/>
    <mergeCell ref="E4:F4"/>
    <mergeCell ref="C5:D5"/>
    <mergeCell ref="E5:F5"/>
    <mergeCell ref="E6:G6"/>
    <mergeCell ref="A124:G124"/>
    <mergeCell ref="A148:G148"/>
    <mergeCell ref="A6:A8"/>
    <mergeCell ref="B6:B7"/>
    <mergeCell ref="C6:C7"/>
    <mergeCell ref="D6:D7"/>
  </mergeCells>
  <conditionalFormatting sqref="F10:F120">
    <cfRule type="expression" dxfId="9" priority="3">
      <formula>F10&gt;=0.3</formula>
    </cfRule>
    <cfRule type="expression" dxfId="10" priority="4">
      <formula>F10&lt;=-0.3</formula>
    </cfRule>
  </conditionalFormatting>
  <conditionalFormatting sqref="F121:F122">
    <cfRule type="expression" dxfId="9" priority="1">
      <formula>F121&gt;=0.3</formula>
    </cfRule>
    <cfRule type="expression" dxfId="10" priority="2">
      <formula>F121&lt;=-0.3</formula>
    </cfRule>
  </conditionalFormatting>
  <dataValidations count="1">
    <dataValidation type="list" allowBlank="1" showInputMessage="1" showErrorMessage="1" sqref="IW9:IW123 IW65493:IW65618 IW131029:IW131154 IW196565:IW196690 IW262101:IW262226 IW327637:IW327762 IW393173:IW393298 IW458709:IW458834 IW524245:IW524370 IW589781:IW589906 IW655317:IW655442 IW720853:IW720978 IW786389:IW786514 IW851925:IW852050 IW917461:IW917586 IW982997:IW983122 SS9:SS123 SS65493:SS65618 SS131029:SS131154 SS196565:SS196690 SS262101:SS262226 SS327637:SS327762 SS393173:SS393298 SS458709:SS458834 SS524245:SS524370 SS589781:SS589906 SS655317:SS655442 SS720853:SS720978 SS786389:SS786514 SS851925:SS852050 SS917461:SS917586 SS982997:SS983122 ACO9:ACO123 ACO65493:ACO65618 ACO131029:ACO131154 ACO196565:ACO196690 ACO262101:ACO262226 ACO327637:ACO327762 ACO393173:ACO393298 ACO458709:ACO458834 ACO524245:ACO524370 ACO589781:ACO589906 ACO655317:ACO655442 ACO720853:ACO720978 ACO786389:ACO786514 ACO851925:ACO852050 ACO917461:ACO917586 ACO982997:ACO983122 AMK9:AMK123 AMK65493:AMK65618 AMK131029:AMK131154 AMK196565:AMK196690 AMK262101:AMK262226 AMK327637:AMK327762 AMK393173:AMK393298 AMK458709:AMK458834 AMK524245:AMK524370 AMK589781:AMK589906 AMK655317:AMK655442 AMK720853:AMK720978 AMK786389:AMK786514 AMK851925:AMK852050 AMK917461:AMK917586 AMK982997:AMK983122 AWG9:AWG123 AWG65493:AWG65618 AWG131029:AWG131154 AWG196565:AWG196690 AWG262101:AWG262226 AWG327637:AWG327762 AWG393173:AWG393298 AWG458709:AWG458834 AWG524245:AWG524370 AWG589781:AWG589906 AWG655317:AWG655442 AWG720853:AWG720978 AWG786389:AWG786514 AWG851925:AWG852050 AWG917461:AWG917586 AWG982997:AWG983122 BGC9:BGC123 BGC65493:BGC65618 BGC131029:BGC131154 BGC196565:BGC196690 BGC262101:BGC262226 BGC327637:BGC327762 BGC393173:BGC393298 BGC458709:BGC458834 BGC524245:BGC524370 BGC589781:BGC589906 BGC655317:BGC655442 BGC720853:BGC720978 BGC786389:BGC786514 BGC851925:BGC852050 BGC917461:BGC917586 BGC982997:BGC983122 BPY9:BPY123 BPY65493:BPY65618 BPY131029:BPY131154 BPY196565:BPY196690 BPY262101:BPY262226 BPY327637:BPY327762 BPY393173:BPY393298 BPY458709:BPY458834 BPY524245:BPY524370 BPY589781:BPY589906 BPY655317:BPY655442 BPY720853:BPY720978 BPY786389:BPY786514 BPY851925:BPY852050 BPY917461:BPY917586 BPY982997:BPY983122 BZU9:BZU123 BZU65493:BZU65618 BZU131029:BZU131154 BZU196565:BZU196690 BZU262101:BZU262226 BZU327637:BZU327762 BZU393173:BZU393298 BZU458709:BZU458834 BZU524245:BZU524370 BZU589781:BZU589906 BZU655317:BZU655442 BZU720853:BZU720978 BZU786389:BZU786514 BZU851925:BZU852050 BZU917461:BZU917586 BZU982997:BZU983122 CJQ9:CJQ123 CJQ65493:CJQ65618 CJQ131029:CJQ131154 CJQ196565:CJQ196690 CJQ262101:CJQ262226 CJQ327637:CJQ327762 CJQ393173:CJQ393298 CJQ458709:CJQ458834 CJQ524245:CJQ524370 CJQ589781:CJQ589906 CJQ655317:CJQ655442 CJQ720853:CJQ720978 CJQ786389:CJQ786514 CJQ851925:CJQ852050 CJQ917461:CJQ917586 CJQ982997:CJQ983122 CTM9:CTM123 CTM65493:CTM65618 CTM131029:CTM131154 CTM196565:CTM196690 CTM262101:CTM262226 CTM327637:CTM327762 CTM393173:CTM393298 CTM458709:CTM458834 CTM524245:CTM524370 CTM589781:CTM589906 CTM655317:CTM655442 CTM720853:CTM720978 CTM786389:CTM786514 CTM851925:CTM852050 CTM917461:CTM917586 CTM982997:CTM983122 DDI9:DDI123 DDI65493:DDI65618 DDI131029:DDI131154 DDI196565:DDI196690 DDI262101:DDI262226 DDI327637:DDI327762 DDI393173:DDI393298 DDI458709:DDI458834 DDI524245:DDI524370 DDI589781:DDI589906 DDI655317:DDI655442 DDI720853:DDI720978 DDI786389:DDI786514 DDI851925:DDI852050 DDI917461:DDI917586 DDI982997:DDI983122 DNE9:DNE123 DNE65493:DNE65618 DNE131029:DNE131154 DNE196565:DNE196690 DNE262101:DNE262226 DNE327637:DNE327762 DNE393173:DNE393298 DNE458709:DNE458834 DNE524245:DNE524370 DNE589781:DNE589906 DNE655317:DNE655442 DNE720853:DNE720978 DNE786389:DNE786514 DNE851925:DNE852050 DNE917461:DNE917586 DNE982997:DNE983122 DXA9:DXA123 DXA65493:DXA65618 DXA131029:DXA131154 DXA196565:DXA196690 DXA262101:DXA262226 DXA327637:DXA327762 DXA393173:DXA393298 DXA458709:DXA458834 DXA524245:DXA524370 DXA589781:DXA589906 DXA655317:DXA655442 DXA720853:DXA720978 DXA786389:DXA786514 DXA851925:DXA852050 DXA917461:DXA917586 DXA982997:DXA983122 EGW9:EGW123 EGW65493:EGW65618 EGW131029:EGW131154 EGW196565:EGW196690 EGW262101:EGW262226 EGW327637:EGW327762 EGW393173:EGW393298 EGW458709:EGW458834 EGW524245:EGW524370 EGW589781:EGW589906 EGW655317:EGW655442 EGW720853:EGW720978 EGW786389:EGW786514 EGW851925:EGW852050 EGW917461:EGW917586 EGW982997:EGW983122 EQS9:EQS123 EQS65493:EQS65618 EQS131029:EQS131154 EQS196565:EQS196690 EQS262101:EQS262226 EQS327637:EQS327762 EQS393173:EQS393298 EQS458709:EQS458834 EQS524245:EQS524370 EQS589781:EQS589906 EQS655317:EQS655442 EQS720853:EQS720978 EQS786389:EQS786514 EQS851925:EQS852050 EQS917461:EQS917586 EQS982997:EQS983122 FAO9:FAO123 FAO65493:FAO65618 FAO131029:FAO131154 FAO196565:FAO196690 FAO262101:FAO262226 FAO327637:FAO327762 FAO393173:FAO393298 FAO458709:FAO458834 FAO524245:FAO524370 FAO589781:FAO589906 FAO655317:FAO655442 FAO720853:FAO720978 FAO786389:FAO786514 FAO851925:FAO852050 FAO917461:FAO917586 FAO982997:FAO983122 FKK9:FKK123 FKK65493:FKK65618 FKK131029:FKK131154 FKK196565:FKK196690 FKK262101:FKK262226 FKK327637:FKK327762 FKK393173:FKK393298 FKK458709:FKK458834 FKK524245:FKK524370 FKK589781:FKK589906 FKK655317:FKK655442 FKK720853:FKK720978 FKK786389:FKK786514 FKK851925:FKK852050 FKK917461:FKK917586 FKK982997:FKK983122 FUG9:FUG123 FUG65493:FUG65618 FUG131029:FUG131154 FUG196565:FUG196690 FUG262101:FUG262226 FUG327637:FUG327762 FUG393173:FUG393298 FUG458709:FUG458834 FUG524245:FUG524370 FUG589781:FUG589906 FUG655317:FUG655442 FUG720853:FUG720978 FUG786389:FUG786514 FUG851925:FUG852050 FUG917461:FUG917586 FUG982997:FUG983122 GEC9:GEC123 GEC65493:GEC65618 GEC131029:GEC131154 GEC196565:GEC196690 GEC262101:GEC262226 GEC327637:GEC327762 GEC393173:GEC393298 GEC458709:GEC458834 GEC524245:GEC524370 GEC589781:GEC589906 GEC655317:GEC655442 GEC720853:GEC720978 GEC786389:GEC786514 GEC851925:GEC852050 GEC917461:GEC917586 GEC982997:GEC983122 GNY9:GNY123 GNY65493:GNY65618 GNY131029:GNY131154 GNY196565:GNY196690 GNY262101:GNY262226 GNY327637:GNY327762 GNY393173:GNY393298 GNY458709:GNY458834 GNY524245:GNY524370 GNY589781:GNY589906 GNY655317:GNY655442 GNY720853:GNY720978 GNY786389:GNY786514 GNY851925:GNY852050 GNY917461:GNY917586 GNY982997:GNY983122 GXU9:GXU123 GXU65493:GXU65618 GXU131029:GXU131154 GXU196565:GXU196690 GXU262101:GXU262226 GXU327637:GXU327762 GXU393173:GXU393298 GXU458709:GXU458834 GXU524245:GXU524370 GXU589781:GXU589906 GXU655317:GXU655442 GXU720853:GXU720978 GXU786389:GXU786514 GXU851925:GXU852050 GXU917461:GXU917586 GXU982997:GXU983122 HHQ9:HHQ123 HHQ65493:HHQ65618 HHQ131029:HHQ131154 HHQ196565:HHQ196690 HHQ262101:HHQ262226 HHQ327637:HHQ327762 HHQ393173:HHQ393298 HHQ458709:HHQ458834 HHQ524245:HHQ524370 HHQ589781:HHQ589906 HHQ655317:HHQ655442 HHQ720853:HHQ720978 HHQ786389:HHQ786514 HHQ851925:HHQ852050 HHQ917461:HHQ917586 HHQ982997:HHQ983122 HRM9:HRM123 HRM65493:HRM65618 HRM131029:HRM131154 HRM196565:HRM196690 HRM262101:HRM262226 HRM327637:HRM327762 HRM393173:HRM393298 HRM458709:HRM458834 HRM524245:HRM524370 HRM589781:HRM589906 HRM655317:HRM655442 HRM720853:HRM720978 HRM786389:HRM786514 HRM851925:HRM852050 HRM917461:HRM917586 HRM982997:HRM983122 IBI9:IBI123 IBI65493:IBI65618 IBI131029:IBI131154 IBI196565:IBI196690 IBI262101:IBI262226 IBI327637:IBI327762 IBI393173:IBI393298 IBI458709:IBI458834 IBI524245:IBI524370 IBI589781:IBI589906 IBI655317:IBI655442 IBI720853:IBI720978 IBI786389:IBI786514 IBI851925:IBI852050 IBI917461:IBI917586 IBI982997:IBI983122 ILE9:ILE123 ILE65493:ILE65618 ILE131029:ILE131154 ILE196565:ILE196690 ILE262101:ILE262226 ILE327637:ILE327762 ILE393173:ILE393298 ILE458709:ILE458834 ILE524245:ILE524370 ILE589781:ILE589906 ILE655317:ILE655442 ILE720853:ILE720978 ILE786389:ILE786514 ILE851925:ILE852050 ILE917461:ILE917586 ILE982997:ILE983122 IVA9:IVA123 IVA65493:IVA65618 IVA131029:IVA131154 IVA196565:IVA196690 IVA262101:IVA262226 IVA327637:IVA327762 IVA393173:IVA393298 IVA458709:IVA458834 IVA524245:IVA524370 IVA589781:IVA589906 IVA655317:IVA655442 IVA720853:IVA720978 IVA786389:IVA786514 IVA851925:IVA852050 IVA917461:IVA917586 IVA982997:IVA983122 JEW9:JEW123 JEW65493:JEW65618 JEW131029:JEW131154 JEW196565:JEW196690 JEW262101:JEW262226 JEW327637:JEW327762 JEW393173:JEW393298 JEW458709:JEW458834 JEW524245:JEW524370 JEW589781:JEW589906 JEW655317:JEW655442 JEW720853:JEW720978 JEW786389:JEW786514 JEW851925:JEW852050 JEW917461:JEW917586 JEW982997:JEW983122 JOS9:JOS123 JOS65493:JOS65618 JOS131029:JOS131154 JOS196565:JOS196690 JOS262101:JOS262226 JOS327637:JOS327762 JOS393173:JOS393298 JOS458709:JOS458834 JOS524245:JOS524370 JOS589781:JOS589906 JOS655317:JOS655442 JOS720853:JOS720978 JOS786389:JOS786514 JOS851925:JOS852050 JOS917461:JOS917586 JOS982997:JOS983122 JYO9:JYO123 JYO65493:JYO65618 JYO131029:JYO131154 JYO196565:JYO196690 JYO262101:JYO262226 JYO327637:JYO327762 JYO393173:JYO393298 JYO458709:JYO458834 JYO524245:JYO524370 JYO589781:JYO589906 JYO655317:JYO655442 JYO720853:JYO720978 JYO786389:JYO786514 JYO851925:JYO852050 JYO917461:JYO917586 JYO982997:JYO983122 KIK9:KIK123 KIK65493:KIK65618 KIK131029:KIK131154 KIK196565:KIK196690 KIK262101:KIK262226 KIK327637:KIK327762 KIK393173:KIK393298 KIK458709:KIK458834 KIK524245:KIK524370 KIK589781:KIK589906 KIK655317:KIK655442 KIK720853:KIK720978 KIK786389:KIK786514 KIK851925:KIK852050 KIK917461:KIK917586 KIK982997:KIK983122 KSG9:KSG123 KSG65493:KSG65618 KSG131029:KSG131154 KSG196565:KSG196690 KSG262101:KSG262226 KSG327637:KSG327762 KSG393173:KSG393298 KSG458709:KSG458834 KSG524245:KSG524370 KSG589781:KSG589906 KSG655317:KSG655442 KSG720853:KSG720978 KSG786389:KSG786514 KSG851925:KSG852050 KSG917461:KSG917586 KSG982997:KSG983122 LCC9:LCC123 LCC65493:LCC65618 LCC131029:LCC131154 LCC196565:LCC196690 LCC262101:LCC262226 LCC327637:LCC327762 LCC393173:LCC393298 LCC458709:LCC458834 LCC524245:LCC524370 LCC589781:LCC589906 LCC655317:LCC655442 LCC720853:LCC720978 LCC786389:LCC786514 LCC851925:LCC852050 LCC917461:LCC917586 LCC982997:LCC983122 LLY9:LLY123 LLY65493:LLY65618 LLY131029:LLY131154 LLY196565:LLY196690 LLY262101:LLY262226 LLY327637:LLY327762 LLY393173:LLY393298 LLY458709:LLY458834 LLY524245:LLY524370 LLY589781:LLY589906 LLY655317:LLY655442 LLY720853:LLY720978 LLY786389:LLY786514 LLY851925:LLY852050 LLY917461:LLY917586 LLY982997:LLY983122 LVU9:LVU123 LVU65493:LVU65618 LVU131029:LVU131154 LVU196565:LVU196690 LVU262101:LVU262226 LVU327637:LVU327762 LVU393173:LVU393298 LVU458709:LVU458834 LVU524245:LVU524370 LVU589781:LVU589906 LVU655317:LVU655442 LVU720853:LVU720978 LVU786389:LVU786514 LVU851925:LVU852050 LVU917461:LVU917586 LVU982997:LVU983122 MFQ9:MFQ123 MFQ65493:MFQ65618 MFQ131029:MFQ131154 MFQ196565:MFQ196690 MFQ262101:MFQ262226 MFQ327637:MFQ327762 MFQ393173:MFQ393298 MFQ458709:MFQ458834 MFQ524245:MFQ524370 MFQ589781:MFQ589906 MFQ655317:MFQ655442 MFQ720853:MFQ720978 MFQ786389:MFQ786514 MFQ851925:MFQ852050 MFQ917461:MFQ917586 MFQ982997:MFQ983122 MPM9:MPM123 MPM65493:MPM65618 MPM131029:MPM131154 MPM196565:MPM196690 MPM262101:MPM262226 MPM327637:MPM327762 MPM393173:MPM393298 MPM458709:MPM458834 MPM524245:MPM524370 MPM589781:MPM589906 MPM655317:MPM655442 MPM720853:MPM720978 MPM786389:MPM786514 MPM851925:MPM852050 MPM917461:MPM917586 MPM982997:MPM983122 MZI9:MZI123 MZI65493:MZI65618 MZI131029:MZI131154 MZI196565:MZI196690 MZI262101:MZI262226 MZI327637:MZI327762 MZI393173:MZI393298 MZI458709:MZI458834 MZI524245:MZI524370 MZI589781:MZI589906 MZI655317:MZI655442 MZI720853:MZI720978 MZI786389:MZI786514 MZI851925:MZI852050 MZI917461:MZI917586 MZI982997:MZI983122 NJE9:NJE123 NJE65493:NJE65618 NJE131029:NJE131154 NJE196565:NJE196690 NJE262101:NJE262226 NJE327637:NJE327762 NJE393173:NJE393298 NJE458709:NJE458834 NJE524245:NJE524370 NJE589781:NJE589906 NJE655317:NJE655442 NJE720853:NJE720978 NJE786389:NJE786514 NJE851925:NJE852050 NJE917461:NJE917586 NJE982997:NJE983122 NTA9:NTA123 NTA65493:NTA65618 NTA131029:NTA131154 NTA196565:NTA196690 NTA262101:NTA262226 NTA327637:NTA327762 NTA393173:NTA393298 NTA458709:NTA458834 NTA524245:NTA524370 NTA589781:NTA589906 NTA655317:NTA655442 NTA720853:NTA720978 NTA786389:NTA786514 NTA851925:NTA852050 NTA917461:NTA917586 NTA982997:NTA983122 OCW9:OCW123 OCW65493:OCW65618 OCW131029:OCW131154 OCW196565:OCW196690 OCW262101:OCW262226 OCW327637:OCW327762 OCW393173:OCW393298 OCW458709:OCW458834 OCW524245:OCW524370 OCW589781:OCW589906 OCW655317:OCW655442 OCW720853:OCW720978 OCW786389:OCW786514 OCW851925:OCW852050 OCW917461:OCW917586 OCW982997:OCW983122 OMS9:OMS123 OMS65493:OMS65618 OMS131029:OMS131154 OMS196565:OMS196690 OMS262101:OMS262226 OMS327637:OMS327762 OMS393173:OMS393298 OMS458709:OMS458834 OMS524245:OMS524370 OMS589781:OMS589906 OMS655317:OMS655442 OMS720853:OMS720978 OMS786389:OMS786514 OMS851925:OMS852050 OMS917461:OMS917586 OMS982997:OMS983122 OWO9:OWO123 OWO65493:OWO65618 OWO131029:OWO131154 OWO196565:OWO196690 OWO262101:OWO262226 OWO327637:OWO327762 OWO393173:OWO393298 OWO458709:OWO458834 OWO524245:OWO524370 OWO589781:OWO589906 OWO655317:OWO655442 OWO720853:OWO720978 OWO786389:OWO786514 OWO851925:OWO852050 OWO917461:OWO917586 OWO982997:OWO983122 PGK9:PGK123 PGK65493:PGK65618 PGK131029:PGK131154 PGK196565:PGK196690 PGK262101:PGK262226 PGK327637:PGK327762 PGK393173:PGK393298 PGK458709:PGK458834 PGK524245:PGK524370 PGK589781:PGK589906 PGK655317:PGK655442 PGK720853:PGK720978 PGK786389:PGK786514 PGK851925:PGK852050 PGK917461:PGK917586 PGK982997:PGK983122 PQG9:PQG123 PQG65493:PQG65618 PQG131029:PQG131154 PQG196565:PQG196690 PQG262101:PQG262226 PQG327637:PQG327762 PQG393173:PQG393298 PQG458709:PQG458834 PQG524245:PQG524370 PQG589781:PQG589906 PQG655317:PQG655442 PQG720853:PQG720978 PQG786389:PQG786514 PQG851925:PQG852050 PQG917461:PQG917586 PQG982997:PQG983122 QAC9:QAC123 QAC65493:QAC65618 QAC131029:QAC131154 QAC196565:QAC196690 QAC262101:QAC262226 QAC327637:QAC327762 QAC393173:QAC393298 QAC458709:QAC458834 QAC524245:QAC524370 QAC589781:QAC589906 QAC655317:QAC655442 QAC720853:QAC720978 QAC786389:QAC786514 QAC851925:QAC852050 QAC917461:QAC917586 QAC982997:QAC983122 QJY9:QJY123 QJY65493:QJY65618 QJY131029:QJY131154 QJY196565:QJY196690 QJY262101:QJY262226 QJY327637:QJY327762 QJY393173:QJY393298 QJY458709:QJY458834 QJY524245:QJY524370 QJY589781:QJY589906 QJY655317:QJY655442 QJY720853:QJY720978 QJY786389:QJY786514 QJY851925:QJY852050 QJY917461:QJY917586 QJY982997:QJY983122 QTU9:QTU123 QTU65493:QTU65618 QTU131029:QTU131154 QTU196565:QTU196690 QTU262101:QTU262226 QTU327637:QTU327762 QTU393173:QTU393298 QTU458709:QTU458834 QTU524245:QTU524370 QTU589781:QTU589906 QTU655317:QTU655442 QTU720853:QTU720978 QTU786389:QTU786514 QTU851925:QTU852050 QTU917461:QTU917586 QTU982997:QTU983122 RDQ9:RDQ123 RDQ65493:RDQ65618 RDQ131029:RDQ131154 RDQ196565:RDQ196690 RDQ262101:RDQ262226 RDQ327637:RDQ327762 RDQ393173:RDQ393298 RDQ458709:RDQ458834 RDQ524245:RDQ524370 RDQ589781:RDQ589906 RDQ655317:RDQ655442 RDQ720853:RDQ720978 RDQ786389:RDQ786514 RDQ851925:RDQ852050 RDQ917461:RDQ917586 RDQ982997:RDQ983122 RNM9:RNM123 RNM65493:RNM65618 RNM131029:RNM131154 RNM196565:RNM196690 RNM262101:RNM262226 RNM327637:RNM327762 RNM393173:RNM393298 RNM458709:RNM458834 RNM524245:RNM524370 RNM589781:RNM589906 RNM655317:RNM655442 RNM720853:RNM720978 RNM786389:RNM786514 RNM851925:RNM852050 RNM917461:RNM917586 RNM982997:RNM983122 RXI9:RXI123 RXI65493:RXI65618 RXI131029:RXI131154 RXI196565:RXI196690 RXI262101:RXI262226 RXI327637:RXI327762 RXI393173:RXI393298 RXI458709:RXI458834 RXI524245:RXI524370 RXI589781:RXI589906 RXI655317:RXI655442 RXI720853:RXI720978 RXI786389:RXI786514 RXI851925:RXI852050 RXI917461:RXI917586 RXI982997:RXI983122 SHE9:SHE123 SHE65493:SHE65618 SHE131029:SHE131154 SHE196565:SHE196690 SHE262101:SHE262226 SHE327637:SHE327762 SHE393173:SHE393298 SHE458709:SHE458834 SHE524245:SHE524370 SHE589781:SHE589906 SHE655317:SHE655442 SHE720853:SHE720978 SHE786389:SHE786514 SHE851925:SHE852050 SHE917461:SHE917586 SHE982997:SHE983122 SRA9:SRA123 SRA65493:SRA65618 SRA131029:SRA131154 SRA196565:SRA196690 SRA262101:SRA262226 SRA327637:SRA327762 SRA393173:SRA393298 SRA458709:SRA458834 SRA524245:SRA524370 SRA589781:SRA589906 SRA655317:SRA655442 SRA720853:SRA720978 SRA786389:SRA786514 SRA851925:SRA852050 SRA917461:SRA917586 SRA982997:SRA983122 TAW9:TAW123 TAW65493:TAW65618 TAW131029:TAW131154 TAW196565:TAW196690 TAW262101:TAW262226 TAW327637:TAW327762 TAW393173:TAW393298 TAW458709:TAW458834 TAW524245:TAW524370 TAW589781:TAW589906 TAW655317:TAW655442 TAW720853:TAW720978 TAW786389:TAW786514 TAW851925:TAW852050 TAW917461:TAW917586 TAW982997:TAW983122 TKS9:TKS123 TKS65493:TKS65618 TKS131029:TKS131154 TKS196565:TKS196690 TKS262101:TKS262226 TKS327637:TKS327762 TKS393173:TKS393298 TKS458709:TKS458834 TKS524245:TKS524370 TKS589781:TKS589906 TKS655317:TKS655442 TKS720853:TKS720978 TKS786389:TKS786514 TKS851925:TKS852050 TKS917461:TKS917586 TKS982997:TKS983122 TUO9:TUO123 TUO65493:TUO65618 TUO131029:TUO131154 TUO196565:TUO196690 TUO262101:TUO262226 TUO327637:TUO327762 TUO393173:TUO393298 TUO458709:TUO458834 TUO524245:TUO524370 TUO589781:TUO589906 TUO655317:TUO655442 TUO720853:TUO720978 TUO786389:TUO786514 TUO851925:TUO852050 TUO917461:TUO917586 TUO982997:TUO983122 UEK9:UEK123 UEK65493:UEK65618 UEK131029:UEK131154 UEK196565:UEK196690 UEK262101:UEK262226 UEK327637:UEK327762 UEK393173:UEK393298 UEK458709:UEK458834 UEK524245:UEK524370 UEK589781:UEK589906 UEK655317:UEK655442 UEK720853:UEK720978 UEK786389:UEK786514 UEK851925:UEK852050 UEK917461:UEK917586 UEK982997:UEK983122 UOG9:UOG123 UOG65493:UOG65618 UOG131029:UOG131154 UOG196565:UOG196690 UOG262101:UOG262226 UOG327637:UOG327762 UOG393173:UOG393298 UOG458709:UOG458834 UOG524245:UOG524370 UOG589781:UOG589906 UOG655317:UOG655442 UOG720853:UOG720978 UOG786389:UOG786514 UOG851925:UOG852050 UOG917461:UOG917586 UOG982997:UOG983122 UYC9:UYC123 UYC65493:UYC65618 UYC131029:UYC131154 UYC196565:UYC196690 UYC262101:UYC262226 UYC327637:UYC327762 UYC393173:UYC393298 UYC458709:UYC458834 UYC524245:UYC524370 UYC589781:UYC589906 UYC655317:UYC655442 UYC720853:UYC720978 UYC786389:UYC786514 UYC851925:UYC852050 UYC917461:UYC917586 UYC982997:UYC983122 VHY9:VHY123 VHY65493:VHY65618 VHY131029:VHY131154 VHY196565:VHY196690 VHY262101:VHY262226 VHY327637:VHY327762 VHY393173:VHY393298 VHY458709:VHY458834 VHY524245:VHY524370 VHY589781:VHY589906 VHY655317:VHY655442 VHY720853:VHY720978 VHY786389:VHY786514 VHY851925:VHY852050 VHY917461:VHY917586 VHY982997:VHY983122 VRU9:VRU123 VRU65493:VRU65618 VRU131029:VRU131154 VRU196565:VRU196690 VRU262101:VRU262226 VRU327637:VRU327762 VRU393173:VRU393298 VRU458709:VRU458834 VRU524245:VRU524370 VRU589781:VRU589906 VRU655317:VRU655442 VRU720853:VRU720978 VRU786389:VRU786514 VRU851925:VRU852050 VRU917461:VRU917586 VRU982997:VRU983122 WBQ9:WBQ123 WBQ65493:WBQ65618 WBQ131029:WBQ131154 WBQ196565:WBQ196690 WBQ262101:WBQ262226 WBQ327637:WBQ327762 WBQ393173:WBQ393298 WBQ458709:WBQ458834 WBQ524245:WBQ524370 WBQ589781:WBQ589906 WBQ655317:WBQ655442 WBQ720853:WBQ720978 WBQ786389:WBQ786514 WBQ851925:WBQ852050 WBQ917461:WBQ917586 WBQ982997:WBQ983122 WLM9:WLM123 WLM65493:WLM65618 WLM131029:WLM131154 WLM196565:WLM196690 WLM262101:WLM262226 WLM327637:WLM327762 WLM393173:WLM393298 WLM458709:WLM458834 WLM524245:WLM524370 WLM589781:WLM589906 WLM655317:WLM655442 WLM720853:WLM720978 WLM786389:WLM786514 WLM851925:WLM852050 WLM917461:WLM917586 WLM982997:WLM983122 WVI9:WVI123 WVI65493:WVI65618 WVI131029:WVI131154 WVI196565:WVI196690 WVI262101:WVI262226 WVI327637:WVI327762 WVI393173:WVI393298 WVI458709:WVI458834 WVI524245:WVI524370 WVI589781:WVI589906 WVI655317:WVI655442 WVI720853:WVI720978 WVI786389:WVI786514 WVI851925:WVI852050 WVI917461:WVI917586 WVI982997:WVI983122">
      <formula1>"是,否"</formula1>
    </dataValidation>
  </dataValidations>
  <pageMargins left="0.708661417322835" right="0.393700787401575" top="0.748031496062992" bottom="0.748031496062992" header="0.31496062992126" footer="0.31496062992126"/>
  <pageSetup paperSize="9" scale="29" orientation="portrait"/>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outlinePr summaryBelow="0"/>
  </sheetPr>
  <dimension ref="A1:AB4157"/>
  <sheetViews>
    <sheetView tabSelected="1" topLeftCell="B1" workbookViewId="0">
      <pane xSplit="4" ySplit="1" topLeftCell="F2725" activePane="bottomRight" state="frozen"/>
      <selection/>
      <selection pane="topRight"/>
      <selection pane="bottomLeft"/>
      <selection pane="bottomRight" activeCell="H2737" sqref="H2737"/>
    </sheetView>
  </sheetViews>
  <sheetFormatPr defaultColWidth="9" defaultRowHeight="14.25"/>
  <cols>
    <col min="1" max="1" width="3.875" hidden="1" customWidth="1"/>
    <col min="2" max="2" width="9.5" hidden="1" customWidth="1"/>
    <col min="3" max="3" width="10.875" hidden="1" customWidth="1"/>
    <col min="4" max="4" width="9.75" hidden="1" customWidth="1"/>
    <col min="5" max="5" width="37.5" customWidth="1"/>
    <col min="6" max="6" width="20.75" customWidth="1"/>
    <col min="7" max="7" width="19.125" customWidth="1"/>
    <col min="8" max="8" width="21.75" customWidth="1"/>
    <col min="9" max="9" width="18.375" customWidth="1"/>
    <col min="10" max="10" width="17.75" customWidth="1"/>
    <col min="11" max="11" width="21.25" customWidth="1"/>
    <col min="12" max="12" width="16.875" customWidth="1"/>
    <col min="13" max="13" width="15.375" customWidth="1"/>
    <col min="14" max="14" width="14.875" customWidth="1"/>
    <col min="15" max="15" width="15.5" customWidth="1"/>
    <col min="16" max="16" width="10.625" customWidth="1"/>
    <col min="17" max="17" width="12.875" customWidth="1"/>
    <col min="18" max="18" width="14.625" customWidth="1"/>
    <col min="19" max="19" width="13.5" customWidth="1"/>
    <col min="20" max="20" width="11.375" customWidth="1"/>
    <col min="22" max="22" width="9.625" customWidth="1"/>
    <col min="23" max="23" width="9.125" customWidth="1"/>
  </cols>
  <sheetData>
    <row r="1" ht="16.5" spans="1:24">
      <c r="A1" s="90" t="s">
        <v>2770</v>
      </c>
      <c r="B1" s="685" t="s">
        <v>2771</v>
      </c>
      <c r="C1" s="686" t="s">
        <v>2772</v>
      </c>
      <c r="D1" s="687" t="s">
        <v>2773</v>
      </c>
      <c r="E1" s="70" t="s">
        <v>2774</v>
      </c>
      <c r="F1" s="688" t="s">
        <v>2772</v>
      </c>
      <c r="G1" s="689" t="str">
        <f>参数表!C3</f>
        <v>深圳新阳蓝光能源管理科技股份有限公司</v>
      </c>
      <c r="H1" s="690" t="s">
        <v>2472</v>
      </c>
      <c r="I1" s="690" t="s">
        <v>2470</v>
      </c>
      <c r="J1" s="690" t="s">
        <v>2775</v>
      </c>
      <c r="K1" s="690" t="s">
        <v>2776</v>
      </c>
      <c r="L1" s="690" t="s">
        <v>2777</v>
      </c>
      <c r="M1" s="754" t="s">
        <v>2778</v>
      </c>
      <c r="N1" s="755"/>
      <c r="O1" s="755"/>
      <c r="P1" s="755"/>
      <c r="Q1" s="755"/>
      <c r="X1" s="768" t="b">
        <f>EXACT(A1,E1)</f>
        <v>1</v>
      </c>
    </row>
    <row r="2" outlineLevel="2" spans="1:24">
      <c r="A2" s="691" t="s">
        <v>61</v>
      </c>
      <c r="B2" s="692" t="s">
        <v>2779</v>
      </c>
      <c r="C2" s="693" t="str">
        <f t="shared" ref="C2:C16" si="0">$G$1</f>
        <v>深圳新阳蓝光能源管理科技股份有限公司</v>
      </c>
      <c r="D2" s="694" t="s">
        <v>2780</v>
      </c>
      <c r="E2" s="695" t="s">
        <v>61</v>
      </c>
      <c r="F2" s="696" t="s">
        <v>316</v>
      </c>
      <c r="G2" s="696"/>
      <c r="H2" s="696"/>
      <c r="I2" s="696" t="s">
        <v>2020</v>
      </c>
      <c r="J2" s="696"/>
      <c r="K2" s="696"/>
      <c r="L2" s="756" t="s">
        <v>516</v>
      </c>
      <c r="M2" s="756" t="s">
        <v>671</v>
      </c>
      <c r="N2" s="757" t="s">
        <v>2781</v>
      </c>
      <c r="O2" s="757"/>
      <c r="P2" s="757"/>
      <c r="Q2" s="757"/>
      <c r="X2" s="768" t="b">
        <f t="shared" ref="X2:X71" si="1">EXACT(A2,E2)</f>
        <v>1</v>
      </c>
    </row>
    <row r="3" outlineLevel="2" spans="2:24">
      <c r="B3" s="692" t="s">
        <v>2779</v>
      </c>
      <c r="C3" s="693" t="str">
        <f t="shared" si="0"/>
        <v>深圳新阳蓝光能源管理科技股份有限公司</v>
      </c>
      <c r="D3" s="694" t="s">
        <v>2780</v>
      </c>
      <c r="E3" s="697"/>
      <c r="F3" s="696" t="s">
        <v>318</v>
      </c>
      <c r="G3" s="696" t="s">
        <v>319</v>
      </c>
      <c r="H3" s="696" t="s">
        <v>320</v>
      </c>
      <c r="I3" s="696" t="s">
        <v>318</v>
      </c>
      <c r="J3" s="696" t="s">
        <v>319</v>
      </c>
      <c r="K3" s="696" t="s">
        <v>320</v>
      </c>
      <c r="L3" s="758" t="s">
        <v>2782</v>
      </c>
      <c r="M3" s="759"/>
      <c r="X3" s="768" t="b">
        <f t="shared" si="1"/>
        <v>1</v>
      </c>
    </row>
    <row r="4" outlineLevel="2" spans="1:24">
      <c r="A4" s="691" t="s">
        <v>321</v>
      </c>
      <c r="B4" s="692" t="s">
        <v>2779</v>
      </c>
      <c r="C4" s="693" t="str">
        <f t="shared" si="0"/>
        <v>深圳新阳蓝光能源管理科技股份有限公司</v>
      </c>
      <c r="D4" s="694" t="s">
        <v>2780</v>
      </c>
      <c r="E4" s="698" t="s">
        <v>321</v>
      </c>
      <c r="F4" s="151"/>
      <c r="G4" s="151"/>
      <c r="H4" s="699">
        <f>ROUND(SUM(H5:H9),2)</f>
        <v>1717.09</v>
      </c>
      <c r="I4" s="151"/>
      <c r="J4" s="151"/>
      <c r="K4" s="699">
        <f>SUM(K5:K9)</f>
        <v>25769.32</v>
      </c>
      <c r="L4" s="699">
        <f>SUM(L5:L9)</f>
        <v>0</v>
      </c>
      <c r="M4" s="699">
        <f>SUM(M5:M9)</f>
        <v>0</v>
      </c>
      <c r="X4" s="768" t="b">
        <f t="shared" si="1"/>
        <v>1</v>
      </c>
    </row>
    <row r="5" outlineLevel="2" spans="1:24">
      <c r="A5" s="691" t="s">
        <v>323</v>
      </c>
      <c r="B5" s="692" t="s">
        <v>2779</v>
      </c>
      <c r="C5" s="693" t="str">
        <f t="shared" si="0"/>
        <v>深圳新阳蓝光能源管理科技股份有限公司</v>
      </c>
      <c r="D5" s="694" t="s">
        <v>2780</v>
      </c>
      <c r="E5" s="700" t="s">
        <v>323</v>
      </c>
      <c r="F5" s="137">
        <v>1717.09</v>
      </c>
      <c r="G5" s="701">
        <f>G11</f>
        <v>1</v>
      </c>
      <c r="H5" s="699">
        <f>ROUND(F5*G5+L5,2)</f>
        <v>1717.09</v>
      </c>
      <c r="I5" s="760">
        <f>报表附注合并期初用!E52</f>
        <v>24681.45</v>
      </c>
      <c r="J5" s="761">
        <f>ROUND(K5/I5,5)</f>
        <v>1.04408</v>
      </c>
      <c r="K5" s="699">
        <f>报表附注合并期初用!E75</f>
        <v>25769.32</v>
      </c>
      <c r="L5" s="762"/>
      <c r="M5" s="762"/>
      <c r="X5" s="768" t="b">
        <f t="shared" si="1"/>
        <v>1</v>
      </c>
    </row>
    <row r="6" outlineLevel="2" spans="1:24">
      <c r="A6" s="691" t="s">
        <v>2000</v>
      </c>
      <c r="B6" s="692" t="s">
        <v>2779</v>
      </c>
      <c r="C6" s="693" t="str">
        <f t="shared" si="0"/>
        <v>深圳新阳蓝光能源管理科技股份有限公司</v>
      </c>
      <c r="D6" s="694" t="s">
        <v>2780</v>
      </c>
      <c r="E6" s="700" t="s">
        <v>2000</v>
      </c>
      <c r="F6" s="137"/>
      <c r="G6" s="701">
        <f>G12</f>
        <v>0</v>
      </c>
      <c r="H6" s="699">
        <f>ROUND(F6*G6+L6,2)</f>
        <v>0</v>
      </c>
      <c r="I6" s="760">
        <f>报表附注合并期初用!E53</f>
        <v>0</v>
      </c>
      <c r="J6" s="761" t="e">
        <f t="shared" ref="J6:J9" si="2">ROUND(K6/I6,5)</f>
        <v>#DIV/0!</v>
      </c>
      <c r="K6" s="699">
        <f>报表附注合并期初用!E76</f>
        <v>0</v>
      </c>
      <c r="L6" s="762"/>
      <c r="M6" s="762"/>
      <c r="X6" s="768" t="b">
        <f t="shared" si="1"/>
        <v>1</v>
      </c>
    </row>
    <row r="7" outlineLevel="2" spans="1:24">
      <c r="A7" s="691" t="s">
        <v>2001</v>
      </c>
      <c r="B7" s="692" t="s">
        <v>2779</v>
      </c>
      <c r="C7" s="693" t="str">
        <f t="shared" si="0"/>
        <v>深圳新阳蓝光能源管理科技股份有限公司</v>
      </c>
      <c r="D7" s="694" t="s">
        <v>2780</v>
      </c>
      <c r="E7" s="700" t="s">
        <v>2001</v>
      </c>
      <c r="F7" s="137"/>
      <c r="G7" s="701">
        <f>G13</f>
        <v>0</v>
      </c>
      <c r="H7" s="699">
        <f t="shared" ref="H7:H24" si="3">ROUND(F7*G7+L7,2)</f>
        <v>0</v>
      </c>
      <c r="I7" s="760">
        <f>报表附注合并期初用!E54</f>
        <v>0</v>
      </c>
      <c r="J7" s="761" t="e">
        <f t="shared" si="2"/>
        <v>#DIV/0!</v>
      </c>
      <c r="K7" s="699">
        <f>报表附注合并期初用!E77</f>
        <v>0</v>
      </c>
      <c r="L7" s="762"/>
      <c r="M7" s="762"/>
      <c r="X7" s="768" t="b">
        <f t="shared" si="1"/>
        <v>1</v>
      </c>
    </row>
    <row r="8" outlineLevel="2" spans="1:24">
      <c r="A8" s="691" t="s">
        <v>2002</v>
      </c>
      <c r="B8" s="692" t="s">
        <v>2779</v>
      </c>
      <c r="C8" s="693" t="str">
        <f t="shared" si="0"/>
        <v>深圳新阳蓝光能源管理科技股份有限公司</v>
      </c>
      <c r="D8" s="694" t="s">
        <v>2780</v>
      </c>
      <c r="E8" s="700" t="s">
        <v>2002</v>
      </c>
      <c r="F8" s="137"/>
      <c r="G8" s="701">
        <f>G14</f>
        <v>0</v>
      </c>
      <c r="H8" s="699">
        <f t="shared" si="3"/>
        <v>0</v>
      </c>
      <c r="I8" s="760">
        <f>报表附注合并期初用!E55</f>
        <v>0</v>
      </c>
      <c r="J8" s="761" t="e">
        <f t="shared" si="2"/>
        <v>#DIV/0!</v>
      </c>
      <c r="K8" s="699">
        <f>报表附注合并期初用!E78</f>
        <v>0</v>
      </c>
      <c r="L8" s="762"/>
      <c r="M8" s="762"/>
      <c r="X8" s="768" t="b">
        <f t="shared" si="1"/>
        <v>1</v>
      </c>
    </row>
    <row r="9" outlineLevel="2" spans="1:24">
      <c r="A9" s="691" t="s">
        <v>2003</v>
      </c>
      <c r="B9" s="692" t="s">
        <v>2779</v>
      </c>
      <c r="C9" s="693" t="str">
        <f t="shared" si="0"/>
        <v>深圳新阳蓝光能源管理科技股份有限公司</v>
      </c>
      <c r="D9" s="694" t="s">
        <v>2780</v>
      </c>
      <c r="E9" s="700" t="s">
        <v>2003</v>
      </c>
      <c r="F9" s="137"/>
      <c r="G9" s="701">
        <f>G15</f>
        <v>0</v>
      </c>
      <c r="H9" s="699">
        <f t="shared" si="3"/>
        <v>0</v>
      </c>
      <c r="I9" s="760">
        <f>报表附注合并期初用!E56</f>
        <v>0</v>
      </c>
      <c r="J9" s="761" t="e">
        <f t="shared" si="2"/>
        <v>#DIV/0!</v>
      </c>
      <c r="K9" s="699">
        <f>报表附注合并期初用!E79</f>
        <v>0</v>
      </c>
      <c r="L9" s="762"/>
      <c r="M9" s="762"/>
      <c r="X9" s="768" t="b">
        <f t="shared" si="1"/>
        <v>1</v>
      </c>
    </row>
    <row r="10" outlineLevel="2" spans="1:24">
      <c r="A10" s="691" t="s">
        <v>333</v>
      </c>
      <c r="B10" s="692" t="s">
        <v>2779</v>
      </c>
      <c r="C10" s="693" t="str">
        <f t="shared" si="0"/>
        <v>深圳新阳蓝光能源管理科技股份有限公司</v>
      </c>
      <c r="D10" s="694" t="s">
        <v>2780</v>
      </c>
      <c r="E10" s="698" t="s">
        <v>333</v>
      </c>
      <c r="F10" s="151"/>
      <c r="G10" s="702"/>
      <c r="H10" s="699">
        <f>ROUND(SUM(H11:H18),2)</f>
        <v>199555199.11</v>
      </c>
      <c r="I10" s="151"/>
      <c r="J10" s="763"/>
      <c r="K10" s="699">
        <f>ROUND(SUM(K11:K18),2)</f>
        <v>66138991.03</v>
      </c>
      <c r="L10" s="699">
        <f>SUM(L11:L18)</f>
        <v>0</v>
      </c>
      <c r="M10" s="699">
        <f>SUM(M11:M18)</f>
        <v>0</v>
      </c>
      <c r="X10" s="768" t="b">
        <f t="shared" si="1"/>
        <v>1</v>
      </c>
    </row>
    <row r="11" outlineLevel="2" spans="1:24">
      <c r="A11" s="691" t="s">
        <v>323</v>
      </c>
      <c r="B11" s="692" t="s">
        <v>2779</v>
      </c>
      <c r="C11" s="693" t="str">
        <f t="shared" si="0"/>
        <v>深圳新阳蓝光能源管理科技股份有限公司</v>
      </c>
      <c r="D11" s="694" t="s">
        <v>2780</v>
      </c>
      <c r="E11" s="703" t="s">
        <v>323</v>
      </c>
      <c r="F11" s="137">
        <v>199555199.11</v>
      </c>
      <c r="G11" s="704">
        <v>1</v>
      </c>
      <c r="H11" s="699">
        <f>ROUND(F11*G11+L11,2)</f>
        <v>199555199.11</v>
      </c>
      <c r="I11" s="699">
        <f>报表附注合并期初用!E58</f>
        <v>66138991.03</v>
      </c>
      <c r="J11" s="761">
        <f>ROUND(K11/I11,5)</f>
        <v>1</v>
      </c>
      <c r="K11" s="699">
        <f>报表附注合并期初用!E81</f>
        <v>66138991.03</v>
      </c>
      <c r="L11" s="762"/>
      <c r="M11" s="762"/>
      <c r="X11" s="768" t="b">
        <f t="shared" si="1"/>
        <v>1</v>
      </c>
    </row>
    <row r="12" outlineLevel="2" spans="1:24">
      <c r="A12" s="691" t="s">
        <v>2000</v>
      </c>
      <c r="B12" s="692" t="s">
        <v>2779</v>
      </c>
      <c r="C12" s="693" t="str">
        <f t="shared" si="0"/>
        <v>深圳新阳蓝光能源管理科技股份有限公司</v>
      </c>
      <c r="D12" s="694" t="s">
        <v>2780</v>
      </c>
      <c r="E12" s="703" t="s">
        <v>2000</v>
      </c>
      <c r="F12" s="137"/>
      <c r="G12" s="704"/>
      <c r="H12" s="699">
        <f>ROUND(F12*G12+L12,2)</f>
        <v>0</v>
      </c>
      <c r="I12" s="699">
        <f>报表附注合并期初用!E59</f>
        <v>0</v>
      </c>
      <c r="J12" s="761" t="e">
        <f t="shared" ref="J12:J24" si="4">ROUND(K12/I12,5)</f>
        <v>#DIV/0!</v>
      </c>
      <c r="K12" s="699">
        <f>报表附注合并期初用!E82</f>
        <v>0</v>
      </c>
      <c r="L12" s="762"/>
      <c r="M12" s="762"/>
      <c r="X12" s="768" t="b">
        <f t="shared" si="1"/>
        <v>1</v>
      </c>
    </row>
    <row r="13" outlineLevel="2" spans="1:24">
      <c r="A13" s="691" t="s">
        <v>2004</v>
      </c>
      <c r="B13" s="692" t="s">
        <v>2779</v>
      </c>
      <c r="C13" s="693" t="str">
        <f t="shared" si="0"/>
        <v>深圳新阳蓝光能源管理科技股份有限公司</v>
      </c>
      <c r="D13" s="694" t="s">
        <v>2780</v>
      </c>
      <c r="E13" s="703" t="s">
        <v>2004</v>
      </c>
      <c r="F13" s="137"/>
      <c r="G13" s="704"/>
      <c r="H13" s="699">
        <f t="shared" si="3"/>
        <v>0</v>
      </c>
      <c r="I13" s="699">
        <f>报表附注合并期初用!E60</f>
        <v>0</v>
      </c>
      <c r="J13" s="761" t="e">
        <f t="shared" si="4"/>
        <v>#DIV/0!</v>
      </c>
      <c r="K13" s="699">
        <f>报表附注合并期初用!E83</f>
        <v>0</v>
      </c>
      <c r="L13" s="762"/>
      <c r="M13" s="762"/>
      <c r="X13" s="768" t="b">
        <f t="shared" si="1"/>
        <v>1</v>
      </c>
    </row>
    <row r="14" outlineLevel="2" spans="1:24">
      <c r="A14" s="691" t="s">
        <v>2002</v>
      </c>
      <c r="B14" s="692" t="s">
        <v>2779</v>
      </c>
      <c r="C14" s="693" t="str">
        <f t="shared" si="0"/>
        <v>深圳新阳蓝光能源管理科技股份有限公司</v>
      </c>
      <c r="D14" s="694" t="s">
        <v>2780</v>
      </c>
      <c r="E14" s="703" t="s">
        <v>2002</v>
      </c>
      <c r="F14" s="137"/>
      <c r="G14" s="704"/>
      <c r="H14" s="699">
        <f t="shared" si="3"/>
        <v>0</v>
      </c>
      <c r="I14" s="699">
        <f>报表附注合并期初用!E61</f>
        <v>0</v>
      </c>
      <c r="J14" s="761" t="e">
        <f t="shared" ref="J14:J18" si="5">ROUND(K14/I14,5)</f>
        <v>#DIV/0!</v>
      </c>
      <c r="K14" s="699">
        <f>报表附注合并期初用!E84</f>
        <v>0</v>
      </c>
      <c r="L14" s="762"/>
      <c r="M14" s="762"/>
      <c r="X14" s="768" t="b">
        <f t="shared" si="1"/>
        <v>1</v>
      </c>
    </row>
    <row r="15" outlineLevel="2" spans="1:24">
      <c r="A15" s="691" t="s">
        <v>2003</v>
      </c>
      <c r="B15" s="692" t="s">
        <v>2779</v>
      </c>
      <c r="C15" s="693" t="str">
        <f t="shared" si="0"/>
        <v>深圳新阳蓝光能源管理科技股份有限公司</v>
      </c>
      <c r="D15" s="694" t="s">
        <v>2780</v>
      </c>
      <c r="E15" s="703" t="s">
        <v>2003</v>
      </c>
      <c r="F15" s="137"/>
      <c r="G15" s="704"/>
      <c r="H15" s="699">
        <f t="shared" si="3"/>
        <v>0</v>
      </c>
      <c r="I15" s="699">
        <f>报表附注合并期初用!E62</f>
        <v>0</v>
      </c>
      <c r="J15" s="761" t="e">
        <f t="shared" si="5"/>
        <v>#DIV/0!</v>
      </c>
      <c r="K15" s="699">
        <f>报表附注合并期初用!E85</f>
        <v>0</v>
      </c>
      <c r="L15" s="762"/>
      <c r="M15" s="762"/>
      <c r="X15" s="768" t="b">
        <f t="shared" si="1"/>
        <v>1</v>
      </c>
    </row>
    <row r="16" outlineLevel="2" spans="1:24">
      <c r="A16" s="691" t="s">
        <v>2005</v>
      </c>
      <c r="B16" s="692" t="s">
        <v>2779</v>
      </c>
      <c r="C16" s="693" t="str">
        <f t="shared" si="0"/>
        <v>深圳新阳蓝光能源管理科技股份有限公司</v>
      </c>
      <c r="D16" s="694" t="s">
        <v>2780</v>
      </c>
      <c r="E16" s="700" t="s">
        <v>2783</v>
      </c>
      <c r="F16" s="137"/>
      <c r="G16" s="704"/>
      <c r="H16" s="699">
        <f t="shared" si="3"/>
        <v>0</v>
      </c>
      <c r="I16" s="699">
        <f>报表附注合并期初用!E63</f>
        <v>0</v>
      </c>
      <c r="J16" s="761" t="e">
        <f t="shared" si="5"/>
        <v>#DIV/0!</v>
      </c>
      <c r="K16" s="699">
        <f>报表附注合并期初用!E86</f>
        <v>0</v>
      </c>
      <c r="L16" s="762"/>
      <c r="M16" s="762"/>
      <c r="X16" s="768" t="b">
        <f t="shared" si="1"/>
        <v>0</v>
      </c>
    </row>
    <row r="17" outlineLevel="2" spans="2:24">
      <c r="B17" s="692"/>
      <c r="C17" s="693"/>
      <c r="D17" s="694"/>
      <c r="E17" s="705" t="s">
        <v>2005</v>
      </c>
      <c r="F17" s="137"/>
      <c r="G17" s="704"/>
      <c r="H17" s="699">
        <f t="shared" si="3"/>
        <v>0</v>
      </c>
      <c r="I17" s="699">
        <f>报表附注合并期初用!E64</f>
        <v>0</v>
      </c>
      <c r="J17" s="761" t="e">
        <f t="shared" si="5"/>
        <v>#DIV/0!</v>
      </c>
      <c r="K17" s="699">
        <f>报表附注合并期初用!E87</f>
        <v>0</v>
      </c>
      <c r="L17" s="762"/>
      <c r="M17" s="762"/>
      <c r="X17" s="768"/>
    </row>
    <row r="18" outlineLevel="2" spans="2:24">
      <c r="B18" s="692"/>
      <c r="C18" s="693"/>
      <c r="D18" s="694"/>
      <c r="E18" s="706" t="s">
        <v>2006</v>
      </c>
      <c r="F18" s="137"/>
      <c r="G18" s="704"/>
      <c r="H18" s="699">
        <f t="shared" si="3"/>
        <v>0</v>
      </c>
      <c r="I18" s="699">
        <f>报表附注合并期初用!E65</f>
        <v>0</v>
      </c>
      <c r="J18" s="761" t="e">
        <f t="shared" si="5"/>
        <v>#DIV/0!</v>
      </c>
      <c r="K18" s="699">
        <f>报表附注合并期初用!E88</f>
        <v>0</v>
      </c>
      <c r="L18" s="762"/>
      <c r="M18" s="762"/>
      <c r="X18" s="768"/>
    </row>
    <row r="19" outlineLevel="2" spans="1:24">
      <c r="A19" s="691" t="s">
        <v>340</v>
      </c>
      <c r="B19" s="692" t="s">
        <v>2779</v>
      </c>
      <c r="C19" s="693" t="str">
        <f t="shared" ref="C19:C51" si="6">$G$1</f>
        <v>深圳新阳蓝光能源管理科技股份有限公司</v>
      </c>
      <c r="D19" s="694" t="s">
        <v>2780</v>
      </c>
      <c r="E19" s="697" t="s">
        <v>340</v>
      </c>
      <c r="F19" s="151"/>
      <c r="G19" s="702"/>
      <c r="H19" s="699">
        <f>ROUND(SUM(H20:H24),2)</f>
        <v>4158216.16</v>
      </c>
      <c r="I19" s="151"/>
      <c r="J19" s="763"/>
      <c r="K19" s="699">
        <f>SUM(K20:K24)</f>
        <v>10750015.27</v>
      </c>
      <c r="L19" s="699">
        <f>SUM(L20:L24)</f>
        <v>0</v>
      </c>
      <c r="M19" s="699">
        <f>SUM(M20:M24)</f>
        <v>0</v>
      </c>
      <c r="X19" s="768" t="b">
        <f t="shared" si="1"/>
        <v>1</v>
      </c>
    </row>
    <row r="20" outlineLevel="2" spans="1:24">
      <c r="A20" s="691" t="s">
        <v>323</v>
      </c>
      <c r="B20" s="692" t="s">
        <v>2779</v>
      </c>
      <c r="C20" s="693" t="str">
        <f t="shared" si="6"/>
        <v>深圳新阳蓝光能源管理科技股份有限公司</v>
      </c>
      <c r="D20" s="694" t="s">
        <v>2780</v>
      </c>
      <c r="E20" s="703" t="s">
        <v>323</v>
      </c>
      <c r="F20" s="137">
        <v>4158216.16</v>
      </c>
      <c r="G20" s="701">
        <f>G11</f>
        <v>1</v>
      </c>
      <c r="H20" s="699">
        <f t="shared" si="3"/>
        <v>4158216.16</v>
      </c>
      <c r="I20" s="699">
        <f>报表附注合并期初用!E67</f>
        <v>10750015.27</v>
      </c>
      <c r="J20" s="761">
        <f t="shared" si="4"/>
        <v>1</v>
      </c>
      <c r="K20" s="699">
        <f>报表附注合并期初用!E90</f>
        <v>10750015.27</v>
      </c>
      <c r="L20" s="762"/>
      <c r="M20" s="762"/>
      <c r="X20" s="768" t="b">
        <f t="shared" si="1"/>
        <v>1</v>
      </c>
    </row>
    <row r="21" outlineLevel="2" spans="1:24">
      <c r="A21" s="691" t="s">
        <v>2000</v>
      </c>
      <c r="B21" s="692" t="s">
        <v>2779</v>
      </c>
      <c r="C21" s="693" t="str">
        <f t="shared" si="6"/>
        <v>深圳新阳蓝光能源管理科技股份有限公司</v>
      </c>
      <c r="D21" s="694" t="s">
        <v>2780</v>
      </c>
      <c r="E21" s="700" t="s">
        <v>2000</v>
      </c>
      <c r="F21" s="137"/>
      <c r="G21" s="701">
        <f t="shared" ref="G21:G24" si="7">G12</f>
        <v>0</v>
      </c>
      <c r="H21" s="699">
        <f t="shared" si="3"/>
        <v>0</v>
      </c>
      <c r="I21" s="699">
        <f>报表附注合并期初用!E68</f>
        <v>0</v>
      </c>
      <c r="J21" s="761" t="e">
        <f t="shared" si="4"/>
        <v>#DIV/0!</v>
      </c>
      <c r="K21" s="699">
        <f>报表附注合并期初用!E91</f>
        <v>0</v>
      </c>
      <c r="L21" s="762"/>
      <c r="M21" s="762"/>
      <c r="X21" s="768" t="b">
        <f t="shared" si="1"/>
        <v>1</v>
      </c>
    </row>
    <row r="22" outlineLevel="2" spans="1:24">
      <c r="A22" s="691" t="s">
        <v>2004</v>
      </c>
      <c r="B22" s="692" t="s">
        <v>2779</v>
      </c>
      <c r="C22" s="693" t="str">
        <f t="shared" si="6"/>
        <v>深圳新阳蓝光能源管理科技股份有限公司</v>
      </c>
      <c r="D22" s="694" t="s">
        <v>2780</v>
      </c>
      <c r="E22" s="703" t="s">
        <v>2784</v>
      </c>
      <c r="F22" s="137"/>
      <c r="G22" s="701">
        <f t="shared" si="7"/>
        <v>0</v>
      </c>
      <c r="H22" s="699">
        <f t="shared" si="3"/>
        <v>0</v>
      </c>
      <c r="I22" s="699">
        <f>报表附注合并期初用!E69</f>
        <v>0</v>
      </c>
      <c r="J22" s="761" t="e">
        <f t="shared" si="4"/>
        <v>#DIV/0!</v>
      </c>
      <c r="K22" s="699">
        <f>报表附注合并期初用!E92</f>
        <v>0</v>
      </c>
      <c r="L22" s="762"/>
      <c r="M22" s="762"/>
      <c r="X22" s="768" t="b">
        <f t="shared" si="1"/>
        <v>1</v>
      </c>
    </row>
    <row r="23" outlineLevel="2" spans="1:24">
      <c r="A23" s="691" t="s">
        <v>2002</v>
      </c>
      <c r="B23" s="692" t="s">
        <v>2779</v>
      </c>
      <c r="C23" s="693" t="str">
        <f t="shared" si="6"/>
        <v>深圳新阳蓝光能源管理科技股份有限公司</v>
      </c>
      <c r="D23" s="694" t="s">
        <v>2780</v>
      </c>
      <c r="E23" s="700" t="s">
        <v>2002</v>
      </c>
      <c r="F23" s="137"/>
      <c r="G23" s="701">
        <f t="shared" si="7"/>
        <v>0</v>
      </c>
      <c r="H23" s="699">
        <f t="shared" si="3"/>
        <v>0</v>
      </c>
      <c r="I23" s="699">
        <f>报表附注合并期初用!E70</f>
        <v>0</v>
      </c>
      <c r="J23" s="761" t="e">
        <f t="shared" si="4"/>
        <v>#DIV/0!</v>
      </c>
      <c r="K23" s="699">
        <f>报表附注合并期初用!E93</f>
        <v>0</v>
      </c>
      <c r="L23" s="762"/>
      <c r="M23" s="762"/>
      <c r="X23" s="768" t="b">
        <f t="shared" si="1"/>
        <v>1</v>
      </c>
    </row>
    <row r="24" outlineLevel="2" spans="1:24">
      <c r="A24" s="691" t="s">
        <v>2003</v>
      </c>
      <c r="B24" s="692" t="s">
        <v>2779</v>
      </c>
      <c r="C24" s="693" t="str">
        <f t="shared" si="6"/>
        <v>深圳新阳蓝光能源管理科技股份有限公司</v>
      </c>
      <c r="D24" s="694" t="s">
        <v>2780</v>
      </c>
      <c r="E24" s="703" t="s">
        <v>2003</v>
      </c>
      <c r="F24" s="137"/>
      <c r="G24" s="701">
        <f t="shared" si="7"/>
        <v>0</v>
      </c>
      <c r="H24" s="699">
        <f t="shared" si="3"/>
        <v>0</v>
      </c>
      <c r="I24" s="699">
        <f>报表附注合并期初用!E71</f>
        <v>0</v>
      </c>
      <c r="J24" s="761" t="e">
        <f t="shared" si="4"/>
        <v>#DIV/0!</v>
      </c>
      <c r="K24" s="699">
        <f>报表附注合并期初用!E94</f>
        <v>0</v>
      </c>
      <c r="L24" s="762"/>
      <c r="M24" s="762"/>
      <c r="X24" s="768" t="b">
        <f t="shared" si="1"/>
        <v>1</v>
      </c>
    </row>
    <row r="25" outlineLevel="2" spans="1:24">
      <c r="A25" s="691" t="s">
        <v>1207</v>
      </c>
      <c r="B25" s="692" t="s">
        <v>2779</v>
      </c>
      <c r="C25" s="693" t="str">
        <f t="shared" si="6"/>
        <v>深圳新阳蓝光能源管理科技股份有限公司</v>
      </c>
      <c r="D25" s="694" t="s">
        <v>2780</v>
      </c>
      <c r="E25" s="707" t="s">
        <v>1207</v>
      </c>
      <c r="F25" s="151"/>
      <c r="G25" s="151"/>
      <c r="H25" s="699">
        <f>H4+H10+H19</f>
        <v>203715132.36</v>
      </c>
      <c r="I25" s="151"/>
      <c r="J25" s="151"/>
      <c r="K25" s="699">
        <f>K4+K10+K19</f>
        <v>76914775.62</v>
      </c>
      <c r="L25" s="699">
        <f>L4+L10+L19</f>
        <v>0</v>
      </c>
      <c r="M25" s="699">
        <f>M4+M10+M19</f>
        <v>0</v>
      </c>
      <c r="X25" s="768" t="b">
        <f t="shared" si="1"/>
        <v>1</v>
      </c>
    </row>
    <row r="26" outlineLevel="2" spans="1:24">
      <c r="A26" s="691" t="s">
        <v>1723</v>
      </c>
      <c r="B26" s="692" t="s">
        <v>2779</v>
      </c>
      <c r="C26" s="693" t="str">
        <f t="shared" si="6"/>
        <v>深圳新阳蓝光能源管理科技股份有限公司</v>
      </c>
      <c r="D26" s="694" t="s">
        <v>2780</v>
      </c>
      <c r="E26" s="708" t="s">
        <v>1723</v>
      </c>
      <c r="F26" s="709"/>
      <c r="G26" s="709"/>
      <c r="H26" s="710">
        <f>审定资负表!C7</f>
        <v>203715132.36</v>
      </c>
      <c r="I26" s="709"/>
      <c r="J26" s="709"/>
      <c r="K26" s="710">
        <f>审定资负表!D7</f>
        <v>76914775.62</v>
      </c>
      <c r="X26" s="768" t="b">
        <f t="shared" si="1"/>
        <v>1</v>
      </c>
    </row>
    <row r="27" outlineLevel="1" spans="1:24">
      <c r="A27" s="691" t="s">
        <v>1395</v>
      </c>
      <c r="B27" s="692" t="s">
        <v>2779</v>
      </c>
      <c r="C27" s="693" t="str">
        <f t="shared" si="6"/>
        <v>深圳新阳蓝光能源管理科技股份有限公司</v>
      </c>
      <c r="D27" s="694" t="s">
        <v>2780</v>
      </c>
      <c r="E27" s="711" t="s">
        <v>1395</v>
      </c>
      <c r="F27" s="709"/>
      <c r="G27" s="92">
        <f>ROUND(H19-G41,2)</f>
        <v>0</v>
      </c>
      <c r="H27" s="92">
        <f>ROUND(H25-H26,2)</f>
        <v>0</v>
      </c>
      <c r="I27" s="709"/>
      <c r="J27" s="709"/>
      <c r="K27" s="92">
        <f>ROUND(K25-K26,2)</f>
        <v>0</v>
      </c>
      <c r="X27" s="768" t="b">
        <f t="shared" si="1"/>
        <v>1</v>
      </c>
    </row>
    <row r="28" outlineLevel="2" spans="1:24">
      <c r="A28" s="691" t="s">
        <v>2785</v>
      </c>
      <c r="B28" s="692" t="s">
        <v>2779</v>
      </c>
      <c r="C28" s="693" t="str">
        <f t="shared" si="6"/>
        <v>深圳新阳蓝光能源管理科技股份有限公司</v>
      </c>
      <c r="D28" s="712" t="s">
        <v>2786</v>
      </c>
      <c r="E28" s="713" t="s">
        <v>2785</v>
      </c>
      <c r="F28" s="713"/>
      <c r="G28" s="714"/>
      <c r="H28" s="715"/>
      <c r="I28" s="714"/>
      <c r="J28" s="714"/>
      <c r="K28" s="715"/>
      <c r="X28" s="768" t="b">
        <f t="shared" si="1"/>
        <v>1</v>
      </c>
    </row>
    <row r="29" outlineLevel="2" spans="1:24">
      <c r="A29" s="691" t="s">
        <v>2787</v>
      </c>
      <c r="B29" s="692" t="s">
        <v>2779</v>
      </c>
      <c r="C29" s="693" t="str">
        <f t="shared" si="6"/>
        <v>深圳新阳蓝光能源管理科技股份有限公司</v>
      </c>
      <c r="D29" s="712" t="s">
        <v>2786</v>
      </c>
      <c r="E29" s="716" t="s">
        <v>2787</v>
      </c>
      <c r="F29" s="717" t="s">
        <v>2788</v>
      </c>
      <c r="G29" s="717" t="s">
        <v>366</v>
      </c>
      <c r="H29" s="717" t="s">
        <v>2789</v>
      </c>
      <c r="J29" s="714"/>
      <c r="K29" s="715"/>
      <c r="X29" s="768" t="b">
        <f t="shared" si="1"/>
        <v>1</v>
      </c>
    </row>
    <row r="30" outlineLevel="2" spans="2:24">
      <c r="B30" s="692" t="s">
        <v>2779</v>
      </c>
      <c r="C30" s="693" t="str">
        <f t="shared" si="6"/>
        <v>深圳新阳蓝光能源管理科技股份有限公司</v>
      </c>
      <c r="D30" s="712" t="s">
        <v>2786</v>
      </c>
      <c r="E30" s="718" t="s">
        <v>2790</v>
      </c>
      <c r="F30" s="2952" t="s">
        <v>2791</v>
      </c>
      <c r="G30" s="719">
        <v>1989862.45</v>
      </c>
      <c r="H30" s="718" t="s">
        <v>2792</v>
      </c>
      <c r="J30" s="714"/>
      <c r="K30" s="715"/>
      <c r="X30" s="768" t="b">
        <f t="shared" si="1"/>
        <v>0</v>
      </c>
    </row>
    <row r="31" outlineLevel="2" spans="2:24">
      <c r="B31" s="692" t="s">
        <v>2779</v>
      </c>
      <c r="C31" s="693" t="str">
        <f t="shared" si="6"/>
        <v>深圳新阳蓝光能源管理科技股份有限公司</v>
      </c>
      <c r="D31" s="712" t="s">
        <v>2786</v>
      </c>
      <c r="E31" s="718" t="s">
        <v>2793</v>
      </c>
      <c r="F31" s="2952" t="s">
        <v>2794</v>
      </c>
      <c r="G31" s="719">
        <v>456104.32</v>
      </c>
      <c r="H31" s="718" t="s">
        <v>2795</v>
      </c>
      <c r="J31" s="714"/>
      <c r="K31" s="715"/>
      <c r="X31" s="768" t="b">
        <f t="shared" si="1"/>
        <v>0</v>
      </c>
    </row>
    <row r="32" outlineLevel="2" spans="2:24">
      <c r="B32" s="692" t="s">
        <v>2779</v>
      </c>
      <c r="C32" s="693" t="str">
        <f t="shared" si="6"/>
        <v>深圳新阳蓝光能源管理科技股份有限公司</v>
      </c>
      <c r="D32" s="712" t="s">
        <v>2786</v>
      </c>
      <c r="E32" s="718" t="s">
        <v>2793</v>
      </c>
      <c r="F32" s="2952" t="s">
        <v>2796</v>
      </c>
      <c r="G32" s="719">
        <v>1400000</v>
      </c>
      <c r="H32" s="718" t="s">
        <v>2795</v>
      </c>
      <c r="J32" s="714"/>
      <c r="K32" s="715"/>
      <c r="X32" s="768" t="b">
        <f t="shared" si="1"/>
        <v>0</v>
      </c>
    </row>
    <row r="33" outlineLevel="2" spans="2:24">
      <c r="B33" s="692" t="s">
        <v>2779</v>
      </c>
      <c r="C33" s="693" t="str">
        <f t="shared" si="6"/>
        <v>深圳新阳蓝光能源管理科技股份有限公司</v>
      </c>
      <c r="D33" s="712" t="s">
        <v>2786</v>
      </c>
      <c r="E33" s="718" t="s">
        <v>2797</v>
      </c>
      <c r="F33" s="2952" t="s">
        <v>2798</v>
      </c>
      <c r="G33" s="719">
        <v>312249.39</v>
      </c>
      <c r="H33" s="718" t="s">
        <v>2799</v>
      </c>
      <c r="I33" s="764">
        <f>F20+2000000</f>
        <v>6158216.16</v>
      </c>
      <c r="J33" s="714"/>
      <c r="K33" s="715"/>
      <c r="X33" s="768" t="b">
        <f t="shared" si="1"/>
        <v>0</v>
      </c>
    </row>
    <row r="34" outlineLevel="2" spans="2:24">
      <c r="B34" s="692" t="s">
        <v>2779</v>
      </c>
      <c r="C34" s="693" t="str">
        <f t="shared" si="6"/>
        <v>深圳新阳蓝光能源管理科技股份有限公司</v>
      </c>
      <c r="D34" s="712" t="s">
        <v>2786</v>
      </c>
      <c r="E34" s="720"/>
      <c r="F34" s="719"/>
      <c r="G34" s="721"/>
      <c r="H34" s="718"/>
      <c r="I34" s="764">
        <f>I33-K20</f>
        <v>-4591799.11</v>
      </c>
      <c r="J34" s="714"/>
      <c r="K34" s="715"/>
      <c r="X34" s="768" t="b">
        <f t="shared" si="1"/>
        <v>1</v>
      </c>
    </row>
    <row r="35" outlineLevel="2" spans="2:24">
      <c r="B35" s="692" t="s">
        <v>2779</v>
      </c>
      <c r="C35" s="693" t="str">
        <f t="shared" si="6"/>
        <v>深圳新阳蓝光能源管理科技股份有限公司</v>
      </c>
      <c r="D35" s="712" t="s">
        <v>2786</v>
      </c>
      <c r="E35" s="722" t="s">
        <v>2800</v>
      </c>
      <c r="F35" s="723"/>
      <c r="G35" s="723"/>
      <c r="H35" s="723"/>
      <c r="I35" s="765"/>
      <c r="J35" s="714"/>
      <c r="K35" s="715"/>
      <c r="X35" s="768" t="b">
        <f t="shared" si="1"/>
        <v>0</v>
      </c>
    </row>
    <row r="36" outlineLevel="2" spans="2:24">
      <c r="B36" s="692" t="s">
        <v>2779</v>
      </c>
      <c r="C36" s="693" t="str">
        <f t="shared" si="6"/>
        <v>深圳新阳蓝光能源管理科技股份有限公司</v>
      </c>
      <c r="D36" s="712" t="s">
        <v>2786</v>
      </c>
      <c r="E36" s="724" t="s">
        <v>61</v>
      </c>
      <c r="F36" s="725" t="s">
        <v>2801</v>
      </c>
      <c r="G36" s="725" t="s">
        <v>2802</v>
      </c>
      <c r="H36" s="725" t="s">
        <v>2803</v>
      </c>
      <c r="I36" s="725" t="s">
        <v>2804</v>
      </c>
      <c r="J36" s="714"/>
      <c r="K36" s="715"/>
      <c r="X36" s="768" t="b">
        <f t="shared" si="1"/>
        <v>0</v>
      </c>
    </row>
    <row r="37" outlineLevel="2" spans="2:24">
      <c r="B37" s="692" t="s">
        <v>2779</v>
      </c>
      <c r="C37" s="693" t="str">
        <f t="shared" si="6"/>
        <v>深圳新阳蓝光能源管理科技股份有限公司</v>
      </c>
      <c r="D37" s="712" t="s">
        <v>2786</v>
      </c>
      <c r="E37" s="726" t="s">
        <v>2805</v>
      </c>
      <c r="F37" s="727"/>
      <c r="G37" s="728"/>
      <c r="H37" s="727"/>
      <c r="I37" s="727"/>
      <c r="J37" s="714"/>
      <c r="K37" s="715"/>
      <c r="X37" s="768" t="b">
        <f t="shared" si="1"/>
        <v>0</v>
      </c>
    </row>
    <row r="38" outlineLevel="2" spans="2:24">
      <c r="B38" s="692" t="s">
        <v>2779</v>
      </c>
      <c r="C38" s="693" t="str">
        <f t="shared" si="6"/>
        <v>深圳新阳蓝光能源管理科技股份有限公司</v>
      </c>
      <c r="D38" s="712" t="s">
        <v>2786</v>
      </c>
      <c r="E38" s="726" t="s">
        <v>2806</v>
      </c>
      <c r="F38" s="719"/>
      <c r="G38" s="721">
        <v>1989862.45</v>
      </c>
      <c r="H38" s="719"/>
      <c r="I38" s="719"/>
      <c r="J38" s="714"/>
      <c r="K38" s="715"/>
      <c r="X38" s="768" t="b">
        <f t="shared" si="1"/>
        <v>0</v>
      </c>
    </row>
    <row r="39" outlineLevel="2" spans="2:24">
      <c r="B39" s="692" t="s">
        <v>2779</v>
      </c>
      <c r="C39" s="693" t="str">
        <f t="shared" si="6"/>
        <v>深圳新阳蓝光能源管理科技股份有限公司</v>
      </c>
      <c r="D39" s="712" t="s">
        <v>2786</v>
      </c>
      <c r="E39" s="726" t="s">
        <v>2807</v>
      </c>
      <c r="F39" s="719"/>
      <c r="G39" s="719"/>
      <c r="H39" s="721"/>
      <c r="I39" s="721"/>
      <c r="J39" s="714"/>
      <c r="K39" s="715"/>
      <c r="X39" s="768" t="b">
        <f t="shared" si="1"/>
        <v>0</v>
      </c>
    </row>
    <row r="40" ht="13.5" customHeight="1" outlineLevel="2" spans="2:24">
      <c r="B40" s="692" t="s">
        <v>2779</v>
      </c>
      <c r="C40" s="693" t="str">
        <f t="shared" si="6"/>
        <v>深圳新阳蓝光能源管理科技股份有限公司</v>
      </c>
      <c r="D40" s="712"/>
      <c r="E40" s="729" t="s">
        <v>2808</v>
      </c>
      <c r="F40" s="730"/>
      <c r="G40" s="721">
        <f>456104.32+1400000+312249.39</f>
        <v>2168353.71</v>
      </c>
      <c r="H40" s="730"/>
      <c r="I40" s="730"/>
      <c r="J40" s="714"/>
      <c r="K40" s="715"/>
      <c r="X40" s="768" t="b">
        <f t="shared" si="1"/>
        <v>0</v>
      </c>
    </row>
    <row r="41" outlineLevel="2" spans="1:24">
      <c r="A41" s="691" t="s">
        <v>2809</v>
      </c>
      <c r="B41" s="692" t="s">
        <v>2779</v>
      </c>
      <c r="C41" s="693" t="str">
        <f t="shared" si="6"/>
        <v>深圳新阳蓝光能源管理科技股份有限公司</v>
      </c>
      <c r="D41" s="712"/>
      <c r="E41" s="731"/>
      <c r="F41" s="732"/>
      <c r="G41" s="699">
        <f>SUM(G37:G40)</f>
        <v>4158216.16</v>
      </c>
      <c r="H41" s="721"/>
      <c r="I41" s="699">
        <f>SUM(I37:I40)</f>
        <v>0</v>
      </c>
      <c r="J41" s="714"/>
      <c r="K41" s="715"/>
      <c r="X41" s="768" t="b">
        <f t="shared" si="1"/>
        <v>0</v>
      </c>
    </row>
    <row r="42" outlineLevel="2" spans="1:24">
      <c r="A42" s="691" t="s">
        <v>2810</v>
      </c>
      <c r="B42" s="692" t="s">
        <v>2779</v>
      </c>
      <c r="C42" s="693" t="str">
        <f t="shared" si="6"/>
        <v>深圳新阳蓝光能源管理科技股份有限公司</v>
      </c>
      <c r="D42" s="712" t="s">
        <v>2811</v>
      </c>
      <c r="E42" s="713" t="s">
        <v>2810</v>
      </c>
      <c r="F42" s="733" t="s">
        <v>2812</v>
      </c>
      <c r="G42" s="713"/>
      <c r="H42" s="713"/>
      <c r="I42" s="714"/>
      <c r="J42" s="714"/>
      <c r="K42" s="715"/>
      <c r="X42" s="768" t="b">
        <f t="shared" si="1"/>
        <v>1</v>
      </c>
    </row>
    <row r="43" outlineLevel="2" spans="1:24">
      <c r="A43" s="691" t="s">
        <v>2809</v>
      </c>
      <c r="B43" s="692" t="s">
        <v>2779</v>
      </c>
      <c r="C43" s="693" t="str">
        <f t="shared" si="6"/>
        <v>深圳新阳蓝光能源管理科技股份有限公司</v>
      </c>
      <c r="D43" s="712" t="s">
        <v>2811</v>
      </c>
      <c r="E43" s="153" t="s">
        <v>2809</v>
      </c>
      <c r="F43" s="734" t="s">
        <v>2813</v>
      </c>
      <c r="G43" s="735"/>
      <c r="H43" s="736"/>
      <c r="I43" s="714"/>
      <c r="J43" s="714"/>
      <c r="K43" s="715"/>
      <c r="X43" s="768" t="b">
        <f t="shared" si="1"/>
        <v>1</v>
      </c>
    </row>
    <row r="44" outlineLevel="2" spans="1:24">
      <c r="A44" s="691" t="s">
        <v>2814</v>
      </c>
      <c r="B44" s="692" t="s">
        <v>2779</v>
      </c>
      <c r="C44" s="693" t="str">
        <f t="shared" si="6"/>
        <v>深圳新阳蓝光能源管理科技股份有限公司</v>
      </c>
      <c r="D44" s="712" t="s">
        <v>2815</v>
      </c>
      <c r="E44" s="713" t="s">
        <v>2814</v>
      </c>
      <c r="F44" s="733" t="s">
        <v>2816</v>
      </c>
      <c r="G44" s="713"/>
      <c r="H44" s="713"/>
      <c r="I44" s="714"/>
      <c r="J44" s="714"/>
      <c r="K44" s="715"/>
      <c r="X44" s="768" t="b">
        <f t="shared" si="1"/>
        <v>1</v>
      </c>
    </row>
    <row r="45" outlineLevel="2" spans="1:24">
      <c r="A45" s="691" t="s">
        <v>2809</v>
      </c>
      <c r="B45" s="692" t="s">
        <v>2779</v>
      </c>
      <c r="C45" s="693" t="str">
        <f t="shared" si="6"/>
        <v>深圳新阳蓝光能源管理科技股份有限公司</v>
      </c>
      <c r="D45" s="712" t="s">
        <v>2815</v>
      </c>
      <c r="E45" s="153" t="s">
        <v>2809</v>
      </c>
      <c r="F45" s="734"/>
      <c r="G45" s="734"/>
      <c r="H45" s="734"/>
      <c r="I45" s="714"/>
      <c r="J45" s="714"/>
      <c r="K45" s="715"/>
      <c r="X45" s="768" t="b">
        <f t="shared" si="1"/>
        <v>1</v>
      </c>
    </row>
    <row r="46" spans="1:24">
      <c r="A46" s="691" t="s">
        <v>2010</v>
      </c>
      <c r="B46" s="737" t="s">
        <v>2817</v>
      </c>
      <c r="C46" s="693" t="str">
        <f t="shared" si="6"/>
        <v>深圳新阳蓝光能源管理科技股份有限公司</v>
      </c>
      <c r="D46" s="738" t="s">
        <v>2818</v>
      </c>
      <c r="E46" s="70" t="s">
        <v>2819</v>
      </c>
      <c r="H46" s="715"/>
      <c r="I46" s="714"/>
      <c r="J46" s="714"/>
      <c r="K46" s="715"/>
      <c r="L46" s="766"/>
      <c r="M46" s="766"/>
      <c r="N46" s="766"/>
      <c r="X46" s="768" t="b">
        <f t="shared" si="1"/>
        <v>1</v>
      </c>
    </row>
    <row r="47" ht="15" customHeight="1" outlineLevel="2" spans="1:24">
      <c r="A47" s="739" t="s">
        <v>2820</v>
      </c>
      <c r="B47" s="737" t="s">
        <v>2817</v>
      </c>
      <c r="C47" s="693" t="str">
        <f t="shared" si="6"/>
        <v>深圳新阳蓝光能源管理科技股份有限公司</v>
      </c>
      <c r="D47" s="738" t="s">
        <v>2818</v>
      </c>
      <c r="E47" s="740" t="s">
        <v>2821</v>
      </c>
      <c r="F47" s="740" t="s">
        <v>374</v>
      </c>
      <c r="G47" s="741" t="s">
        <v>2011</v>
      </c>
      <c r="I47" s="714"/>
      <c r="J47" s="714"/>
      <c r="L47" s="767"/>
      <c r="X47" s="768" t="b">
        <f t="shared" si="1"/>
        <v>1</v>
      </c>
    </row>
    <row r="48" ht="15" customHeight="1" outlineLevel="2" spans="1:24">
      <c r="A48" s="739" t="s">
        <v>376</v>
      </c>
      <c r="B48" s="737" t="s">
        <v>2817</v>
      </c>
      <c r="C48" s="693" t="str">
        <f t="shared" si="6"/>
        <v>深圳新阳蓝光能源管理科技股份有限公司</v>
      </c>
      <c r="D48" s="738" t="s">
        <v>2818</v>
      </c>
      <c r="E48" s="742" t="s">
        <v>2012</v>
      </c>
      <c r="F48" s="136"/>
      <c r="G48" s="743">
        <f>报表附注合并期初用!E100</f>
        <v>0</v>
      </c>
      <c r="X48" s="768" t="b">
        <f t="shared" si="1"/>
        <v>0</v>
      </c>
    </row>
    <row r="49" ht="15" customHeight="1" outlineLevel="2" spans="1:24">
      <c r="A49" s="739" t="s">
        <v>378</v>
      </c>
      <c r="B49" s="737" t="s">
        <v>2817</v>
      </c>
      <c r="C49" s="693" t="str">
        <f t="shared" si="6"/>
        <v>深圳新阳蓝光能源管理科技股份有限公司</v>
      </c>
      <c r="D49" s="738" t="s">
        <v>2818</v>
      </c>
      <c r="E49" s="742" t="s">
        <v>2013</v>
      </c>
      <c r="F49" s="136"/>
      <c r="G49" s="743">
        <f>报表附注合并期初用!E101</f>
        <v>0</v>
      </c>
      <c r="X49" s="768" t="b">
        <f t="shared" si="1"/>
        <v>0</v>
      </c>
    </row>
    <row r="50" ht="21.75" customHeight="1" outlineLevel="2" spans="1:24">
      <c r="A50" s="739" t="s">
        <v>380</v>
      </c>
      <c r="B50" s="737" t="s">
        <v>2817</v>
      </c>
      <c r="C50" s="693" t="str">
        <f t="shared" si="6"/>
        <v>深圳新阳蓝光能源管理科技股份有限公司</v>
      </c>
      <c r="D50" s="738" t="s">
        <v>2818</v>
      </c>
      <c r="E50" s="744" t="s">
        <v>2014</v>
      </c>
      <c r="F50" s="136"/>
      <c r="G50" s="743">
        <f>报表附注合并期初用!E102</f>
        <v>0</v>
      </c>
      <c r="X50" s="768" t="b">
        <f t="shared" si="1"/>
        <v>0</v>
      </c>
    </row>
    <row r="51" ht="15" customHeight="1" outlineLevel="2" spans="1:24">
      <c r="A51" s="739" t="s">
        <v>382</v>
      </c>
      <c r="B51" s="737" t="s">
        <v>2817</v>
      </c>
      <c r="C51" s="693" t="str">
        <f t="shared" si="6"/>
        <v>深圳新阳蓝光能源管理科技股份有限公司</v>
      </c>
      <c r="D51" s="738" t="s">
        <v>2818</v>
      </c>
      <c r="E51" s="742" t="s">
        <v>2015</v>
      </c>
      <c r="F51" s="136"/>
      <c r="G51" s="743">
        <f>报表附注合并期初用!E103</f>
        <v>0</v>
      </c>
      <c r="X51" s="768" t="b">
        <f t="shared" si="1"/>
        <v>0</v>
      </c>
    </row>
    <row r="52" ht="15" customHeight="1" outlineLevel="2" spans="2:24">
      <c r="B52" s="737"/>
      <c r="C52" s="745"/>
      <c r="D52" s="738"/>
      <c r="E52" s="742" t="s">
        <v>2016</v>
      </c>
      <c r="F52" s="136"/>
      <c r="G52" s="743">
        <f>报表附注合并期初用!E104</f>
        <v>0</v>
      </c>
      <c r="X52" s="769"/>
    </row>
    <row r="53" ht="15" customHeight="1" outlineLevel="2" spans="1:24">
      <c r="A53" s="739" t="s">
        <v>2822</v>
      </c>
      <c r="B53" s="737" t="s">
        <v>2817</v>
      </c>
      <c r="C53" s="693" t="str">
        <f>$G$1</f>
        <v>深圳新阳蓝光能源管理科技股份有限公司</v>
      </c>
      <c r="D53" s="738" t="s">
        <v>2818</v>
      </c>
      <c r="E53" s="742" t="s">
        <v>2017</v>
      </c>
      <c r="F53" s="136"/>
      <c r="G53" s="743">
        <f>报表附注合并期初用!E105</f>
        <v>0</v>
      </c>
      <c r="X53" s="768" t="b">
        <f t="shared" si="1"/>
        <v>0</v>
      </c>
    </row>
    <row r="54" ht="15" customHeight="1" outlineLevel="2" spans="1:24">
      <c r="A54" s="739" t="s">
        <v>2018</v>
      </c>
      <c r="B54" s="737" t="s">
        <v>2817</v>
      </c>
      <c r="C54" s="693" t="str">
        <f>$G$1</f>
        <v>深圳新阳蓝光能源管理科技股份有限公司</v>
      </c>
      <c r="D54" s="738" t="s">
        <v>2818</v>
      </c>
      <c r="E54" s="740" t="s">
        <v>2823</v>
      </c>
      <c r="F54" s="746">
        <f>SUM(F48:F53)</f>
        <v>0</v>
      </c>
      <c r="G54" s="746">
        <f>SUM(G48:G53)</f>
        <v>0</v>
      </c>
      <c r="X54" s="768" t="b">
        <f t="shared" si="1"/>
        <v>1</v>
      </c>
    </row>
    <row r="55" ht="15" customHeight="1" outlineLevel="2" spans="1:24">
      <c r="A55" s="739" t="s">
        <v>1723</v>
      </c>
      <c r="B55" s="737" t="s">
        <v>2817</v>
      </c>
      <c r="C55" s="693" t="str">
        <f>$G$1</f>
        <v>深圳新阳蓝光能源管理科技股份有限公司</v>
      </c>
      <c r="D55" s="738" t="s">
        <v>2818</v>
      </c>
      <c r="E55" s="708" t="s">
        <v>1723</v>
      </c>
      <c r="F55" s="747">
        <f>审定资负表!C8</f>
        <v>0</v>
      </c>
      <c r="G55" s="747">
        <f>审定资负表!D8</f>
        <v>0</v>
      </c>
      <c r="X55" s="768" t="b">
        <f t="shared" si="1"/>
        <v>1</v>
      </c>
    </row>
    <row r="56" ht="15" customHeight="1" outlineLevel="1" collapsed="1" spans="1:24">
      <c r="A56" s="739" t="s">
        <v>1395</v>
      </c>
      <c r="B56" s="737" t="s">
        <v>2817</v>
      </c>
      <c r="C56" s="693" t="str">
        <f>$G$1</f>
        <v>深圳新阳蓝光能源管理科技股份有限公司</v>
      </c>
      <c r="D56" s="738" t="s">
        <v>2818</v>
      </c>
      <c r="E56" s="711" t="s">
        <v>1395</v>
      </c>
      <c r="F56" s="92">
        <f>ROUND(F54-F55,2)</f>
        <v>0</v>
      </c>
      <c r="G56" s="92">
        <f>ROUND(G54-G55,2)</f>
        <v>0</v>
      </c>
      <c r="X56" s="768" t="b">
        <f t="shared" si="1"/>
        <v>1</v>
      </c>
    </row>
    <row r="57" ht="15" hidden="1" customHeight="1" outlineLevel="2" spans="2:24">
      <c r="B57" s="737"/>
      <c r="C57" s="745"/>
      <c r="D57" s="738"/>
      <c r="E57" s="748" t="s">
        <v>2824</v>
      </c>
      <c r="X57" s="769"/>
    </row>
    <row r="58" ht="15" hidden="1" customHeight="1" outlineLevel="2" spans="2:24">
      <c r="B58" s="737"/>
      <c r="C58" s="745"/>
      <c r="D58" s="738"/>
      <c r="E58" s="749"/>
      <c r="F58" s="749"/>
      <c r="G58" s="749"/>
      <c r="X58" s="769"/>
    </row>
    <row r="59" ht="15" hidden="1" customHeight="1" outlineLevel="2" spans="2:24">
      <c r="B59" s="737"/>
      <c r="C59" s="745"/>
      <c r="D59" s="738"/>
      <c r="E59" s="749"/>
      <c r="F59" s="749"/>
      <c r="G59" s="749"/>
      <c r="X59" s="769"/>
    </row>
    <row r="60" ht="15" hidden="1" customHeight="1" outlineLevel="2" spans="1:24">
      <c r="A60" s="739" t="s">
        <v>2825</v>
      </c>
      <c r="B60" s="737" t="s">
        <v>2817</v>
      </c>
      <c r="C60" s="693" t="str">
        <f t="shared" ref="C60:C91" si="8">$G$1</f>
        <v>深圳新阳蓝光能源管理科技股份有限公司</v>
      </c>
      <c r="D60" s="750" t="s">
        <v>2826</v>
      </c>
      <c r="E60" s="751" t="s">
        <v>2827</v>
      </c>
      <c r="F60" s="153"/>
      <c r="G60" s="153"/>
      <c r="H60" s="153"/>
      <c r="I60" s="153"/>
      <c r="J60" s="153"/>
      <c r="X60" s="768" t="b">
        <f t="shared" si="1"/>
        <v>1</v>
      </c>
    </row>
    <row r="61" ht="25.5" hidden="1" customHeight="1" outlineLevel="2" spans="1:24">
      <c r="A61" s="739" t="s">
        <v>61</v>
      </c>
      <c r="B61" s="737" t="s">
        <v>2817</v>
      </c>
      <c r="C61" s="693" t="str">
        <f t="shared" si="8"/>
        <v>深圳新阳蓝光能源管理科技股份有限公司</v>
      </c>
      <c r="D61" s="750" t="s">
        <v>2826</v>
      </c>
      <c r="E61" s="740" t="s">
        <v>61</v>
      </c>
      <c r="F61" s="740" t="s">
        <v>2828</v>
      </c>
      <c r="G61" s="740" t="s">
        <v>2453</v>
      </c>
      <c r="H61" s="153"/>
      <c r="I61" s="153"/>
      <c r="J61" s="153"/>
      <c r="X61" s="768" t="b">
        <f t="shared" si="1"/>
        <v>1</v>
      </c>
    </row>
    <row r="62" ht="13.5" hidden="1" customHeight="1" outlineLevel="2" spans="2:24">
      <c r="B62" s="737" t="s">
        <v>2817</v>
      </c>
      <c r="C62" s="693" t="str">
        <f t="shared" si="8"/>
        <v>深圳新阳蓝光能源管理科技股份有限公司</v>
      </c>
      <c r="D62" s="750" t="s">
        <v>2826</v>
      </c>
      <c r="E62" s="752"/>
      <c r="F62" s="752"/>
      <c r="G62" s="752"/>
      <c r="H62" s="153"/>
      <c r="I62" s="153"/>
      <c r="J62" s="153"/>
      <c r="X62" s="768" t="b">
        <f t="shared" si="1"/>
        <v>1</v>
      </c>
    </row>
    <row r="63" ht="13.5" hidden="1" customHeight="1" outlineLevel="2" spans="2:24">
      <c r="B63" s="737" t="s">
        <v>2817</v>
      </c>
      <c r="C63" s="693" t="str">
        <f t="shared" si="8"/>
        <v>深圳新阳蓝光能源管理科技股份有限公司</v>
      </c>
      <c r="D63" s="750" t="s">
        <v>2826</v>
      </c>
      <c r="E63" s="752"/>
      <c r="F63" s="752"/>
      <c r="G63" s="752"/>
      <c r="H63" s="153"/>
      <c r="I63" s="153"/>
      <c r="J63" s="153"/>
      <c r="X63" s="768" t="b">
        <f t="shared" si="1"/>
        <v>1</v>
      </c>
    </row>
    <row r="64" ht="13.5" hidden="1" customHeight="1" outlineLevel="2" spans="2:24">
      <c r="B64" s="737" t="s">
        <v>2817</v>
      </c>
      <c r="C64" s="693" t="str">
        <f t="shared" si="8"/>
        <v>深圳新阳蓝光能源管理科技股份有限公司</v>
      </c>
      <c r="D64" s="750" t="s">
        <v>2826</v>
      </c>
      <c r="E64" s="753"/>
      <c r="F64" s="753"/>
      <c r="G64" s="753"/>
      <c r="H64" s="153"/>
      <c r="I64" s="153"/>
      <c r="J64" s="153"/>
      <c r="X64" s="768" t="b">
        <f t="shared" si="1"/>
        <v>1</v>
      </c>
    </row>
    <row r="65" ht="13.5" hidden="1" customHeight="1" outlineLevel="2" spans="2:24">
      <c r="B65" s="737" t="s">
        <v>2817</v>
      </c>
      <c r="C65" s="693" t="str">
        <f t="shared" si="8"/>
        <v>深圳新阳蓝光能源管理科技股份有限公司</v>
      </c>
      <c r="D65" s="750" t="s">
        <v>2826</v>
      </c>
      <c r="E65" s="753"/>
      <c r="F65" s="753"/>
      <c r="G65" s="753"/>
      <c r="H65" s="153"/>
      <c r="I65" s="153"/>
      <c r="J65" s="153"/>
      <c r="X65" s="768" t="b">
        <f t="shared" si="1"/>
        <v>1</v>
      </c>
    </row>
    <row r="66" ht="13.5" hidden="1" customHeight="1" outlineLevel="2" spans="2:24">
      <c r="B66" s="737" t="s">
        <v>2817</v>
      </c>
      <c r="C66" s="693" t="str">
        <f t="shared" si="8"/>
        <v>深圳新阳蓝光能源管理科技股份有限公司</v>
      </c>
      <c r="D66" s="750" t="s">
        <v>2826</v>
      </c>
      <c r="E66" s="753"/>
      <c r="F66" s="753"/>
      <c r="G66" s="753"/>
      <c r="H66" s="153"/>
      <c r="I66" s="153"/>
      <c r="J66" s="153"/>
      <c r="X66" s="768" t="b">
        <f t="shared" si="1"/>
        <v>1</v>
      </c>
    </row>
    <row r="67" ht="15" hidden="1" customHeight="1" outlineLevel="2" spans="2:24">
      <c r="B67" s="737" t="s">
        <v>2817</v>
      </c>
      <c r="C67" s="693" t="str">
        <f t="shared" si="8"/>
        <v>深圳新阳蓝光能源管理科技股份有限公司</v>
      </c>
      <c r="D67" s="750" t="s">
        <v>2826</v>
      </c>
      <c r="E67" s="153"/>
      <c r="F67" s="153"/>
      <c r="G67" s="153"/>
      <c r="H67" s="153"/>
      <c r="I67" s="153"/>
      <c r="J67" s="153"/>
      <c r="X67" s="768" t="b">
        <f t="shared" si="1"/>
        <v>1</v>
      </c>
    </row>
    <row r="68" ht="15" hidden="1" customHeight="1" outlineLevel="2" spans="2:24">
      <c r="B68" s="737" t="s">
        <v>2817</v>
      </c>
      <c r="C68" s="693" t="str">
        <f t="shared" si="8"/>
        <v>深圳新阳蓝光能源管理科技股份有限公司</v>
      </c>
      <c r="D68" s="750"/>
      <c r="E68" s="153"/>
      <c r="F68" s="153"/>
      <c r="G68" s="153"/>
      <c r="H68" s="153"/>
      <c r="I68" s="153"/>
      <c r="J68" s="153"/>
      <c r="X68" s="768" t="b">
        <f t="shared" si="1"/>
        <v>1</v>
      </c>
    </row>
    <row r="69" ht="15" hidden="1" customHeight="1" outlineLevel="2" spans="1:24">
      <c r="A69" s="739" t="s">
        <v>2809</v>
      </c>
      <c r="B69" s="737" t="s">
        <v>2817</v>
      </c>
      <c r="C69" s="693" t="str">
        <f t="shared" si="8"/>
        <v>深圳新阳蓝光能源管理科技股份有限公司</v>
      </c>
      <c r="D69" s="750"/>
      <c r="E69" s="153" t="s">
        <v>2829</v>
      </c>
      <c r="F69" s="770"/>
      <c r="G69" s="770"/>
      <c r="H69" s="153"/>
      <c r="I69" s="153"/>
      <c r="J69" s="153"/>
      <c r="X69" s="768" t="b">
        <f t="shared" si="1"/>
        <v>1</v>
      </c>
    </row>
    <row r="70" ht="15" hidden="1" customHeight="1" outlineLevel="2" spans="2:24">
      <c r="B70" s="737" t="s">
        <v>2817</v>
      </c>
      <c r="C70" s="693" t="str">
        <f t="shared" si="8"/>
        <v>深圳新阳蓝光能源管理科技股份有限公司</v>
      </c>
      <c r="D70" s="712"/>
      <c r="E70" s="153"/>
      <c r="F70" s="153"/>
      <c r="G70" s="153"/>
      <c r="H70" s="153"/>
      <c r="I70" s="153"/>
      <c r="J70" s="153"/>
      <c r="X70" s="768" t="b">
        <f t="shared" si="1"/>
        <v>1</v>
      </c>
    </row>
    <row r="71" ht="15" customHeight="1" spans="1:24">
      <c r="A71" s="739" t="s">
        <v>2019</v>
      </c>
      <c r="B71" s="692" t="s">
        <v>2830</v>
      </c>
      <c r="C71" s="693" t="str">
        <f t="shared" si="8"/>
        <v>深圳新阳蓝光能源管理科技股份有限公司</v>
      </c>
      <c r="D71" s="771" t="s">
        <v>2831</v>
      </c>
      <c r="E71" s="70" t="s">
        <v>2832</v>
      </c>
      <c r="F71" s="153"/>
      <c r="G71" s="153"/>
      <c r="H71" s="153"/>
      <c r="I71" s="153"/>
      <c r="J71" s="153"/>
      <c r="X71" s="768" t="b">
        <f t="shared" si="1"/>
        <v>1</v>
      </c>
    </row>
    <row r="72" ht="15" customHeight="1" outlineLevel="2" spans="1:24">
      <c r="A72" s="739" t="s">
        <v>2831</v>
      </c>
      <c r="B72" s="692" t="s">
        <v>2830</v>
      </c>
      <c r="C72" s="693" t="str">
        <f t="shared" si="8"/>
        <v>深圳新阳蓝光能源管理科技股份有限公司</v>
      </c>
      <c r="D72" s="772" t="s">
        <v>2833</v>
      </c>
      <c r="E72" s="773" t="s">
        <v>2834</v>
      </c>
      <c r="F72" s="774"/>
      <c r="G72" s="774"/>
      <c r="H72" s="775" t="s">
        <v>2835</v>
      </c>
      <c r="I72" s="806"/>
      <c r="J72" s="153"/>
      <c r="X72" s="768" t="b">
        <f t="shared" ref="X72:X135" si="9">EXACT(A72,E72)</f>
        <v>1</v>
      </c>
    </row>
    <row r="73" ht="15" customHeight="1" outlineLevel="2" spans="1:24">
      <c r="A73" s="739" t="s">
        <v>391</v>
      </c>
      <c r="B73" s="692" t="s">
        <v>2830</v>
      </c>
      <c r="C73" s="693" t="str">
        <f t="shared" si="8"/>
        <v>深圳新阳蓝光能源管理科技股份有限公司</v>
      </c>
      <c r="D73" s="772" t="s">
        <v>2833</v>
      </c>
      <c r="E73" s="776" t="s">
        <v>391</v>
      </c>
      <c r="F73" s="776" t="s">
        <v>316</v>
      </c>
      <c r="G73" s="776" t="s">
        <v>2020</v>
      </c>
      <c r="H73" s="777" t="s">
        <v>2836</v>
      </c>
      <c r="I73" s="807"/>
      <c r="J73" s="153"/>
      <c r="X73" s="768" t="b">
        <f t="shared" si="9"/>
        <v>1</v>
      </c>
    </row>
    <row r="74" ht="15" customHeight="1" outlineLevel="2" spans="1:24">
      <c r="A74" s="739" t="s">
        <v>392</v>
      </c>
      <c r="B74" s="692" t="s">
        <v>2830</v>
      </c>
      <c r="C74" s="693" t="str">
        <f t="shared" si="8"/>
        <v>深圳新阳蓝光能源管理科技股份有限公司</v>
      </c>
      <c r="D74" s="772" t="s">
        <v>2833</v>
      </c>
      <c r="E74" s="778" t="s">
        <v>392</v>
      </c>
      <c r="F74" s="136"/>
      <c r="G74" s="743">
        <f>报表附注合并期初用!E119</f>
        <v>0</v>
      </c>
      <c r="H74" s="779"/>
      <c r="I74" s="780"/>
      <c r="J74" s="153"/>
      <c r="X74" s="768" t="b">
        <f t="shared" si="9"/>
        <v>1</v>
      </c>
    </row>
    <row r="75" ht="15" customHeight="1" outlineLevel="2" spans="1:24">
      <c r="A75" s="739" t="s">
        <v>394</v>
      </c>
      <c r="B75" s="692" t="s">
        <v>2830</v>
      </c>
      <c r="C75" s="693" t="str">
        <f t="shared" si="8"/>
        <v>深圳新阳蓝光能源管理科技股份有限公司</v>
      </c>
      <c r="D75" s="772" t="s">
        <v>2833</v>
      </c>
      <c r="E75" s="778" t="s">
        <v>394</v>
      </c>
      <c r="F75" s="136"/>
      <c r="G75" s="743">
        <f>报表附注合并期初用!E120</f>
        <v>0</v>
      </c>
      <c r="H75" s="780"/>
      <c r="I75" s="780"/>
      <c r="J75" s="153"/>
      <c r="X75" s="768" t="b">
        <f t="shared" si="9"/>
        <v>1</v>
      </c>
    </row>
    <row r="76" ht="15" customHeight="1" outlineLevel="2" spans="1:24">
      <c r="A76" s="739" t="s">
        <v>2021</v>
      </c>
      <c r="B76" s="692" t="s">
        <v>2830</v>
      </c>
      <c r="C76" s="693" t="str">
        <f t="shared" si="8"/>
        <v>深圳新阳蓝光能源管理科技股份有限公司</v>
      </c>
      <c r="D76" s="772" t="s">
        <v>2833</v>
      </c>
      <c r="E76" s="776" t="s">
        <v>2021</v>
      </c>
      <c r="F76" s="781">
        <f>F74+F75</f>
        <v>0</v>
      </c>
      <c r="G76" s="781">
        <f>G74+G75</f>
        <v>0</v>
      </c>
      <c r="H76" s="782">
        <f>SUM(H74:H75)</f>
        <v>0</v>
      </c>
      <c r="I76" s="807"/>
      <c r="J76" s="153"/>
      <c r="X76" s="768" t="b">
        <f t="shared" si="9"/>
        <v>1</v>
      </c>
    </row>
    <row r="77" ht="15" customHeight="1" outlineLevel="2" spans="1:24">
      <c r="A77" s="739" t="s">
        <v>1723</v>
      </c>
      <c r="B77" s="692" t="s">
        <v>2830</v>
      </c>
      <c r="C77" s="693" t="str">
        <f t="shared" si="8"/>
        <v>深圳新阳蓝光能源管理科技股份有限公司</v>
      </c>
      <c r="D77" s="772" t="s">
        <v>2837</v>
      </c>
      <c r="E77" s="708" t="s">
        <v>1723</v>
      </c>
      <c r="F77" s="747">
        <f>审定资负表!C9</f>
        <v>0</v>
      </c>
      <c r="G77" s="747">
        <f>审定资负表!D9</f>
        <v>0</v>
      </c>
      <c r="X77" s="768" t="b">
        <f t="shared" si="9"/>
        <v>1</v>
      </c>
    </row>
    <row r="78" ht="15" customHeight="1" outlineLevel="1" collapsed="1" spans="1:24">
      <c r="A78" s="739" t="s">
        <v>1395</v>
      </c>
      <c r="B78" s="692" t="s">
        <v>2830</v>
      </c>
      <c r="C78" s="693" t="str">
        <f t="shared" si="8"/>
        <v>深圳新阳蓝光能源管理科技股份有限公司</v>
      </c>
      <c r="D78" s="772" t="s">
        <v>2837</v>
      </c>
      <c r="E78" s="711" t="s">
        <v>2838</v>
      </c>
      <c r="F78" s="92">
        <f>ROUND(F76-F77,2)</f>
        <v>0</v>
      </c>
      <c r="G78" s="92">
        <f>ROUND(G76-G77,2)</f>
        <v>0</v>
      </c>
      <c r="X78" s="768" t="b">
        <f t="shared" si="9"/>
        <v>1</v>
      </c>
    </row>
    <row r="79" ht="15" hidden="1" customHeight="1" outlineLevel="2" spans="2:24">
      <c r="B79" s="692" t="s">
        <v>2830</v>
      </c>
      <c r="C79" s="693" t="str">
        <f t="shared" si="8"/>
        <v>深圳新阳蓝光能源管理科技股份有限公司</v>
      </c>
      <c r="D79" s="772" t="s">
        <v>2837</v>
      </c>
      <c r="E79" s="783"/>
      <c r="F79" s="783"/>
      <c r="G79" s="783"/>
      <c r="H79" s="153"/>
      <c r="I79" s="153"/>
      <c r="J79" s="153"/>
      <c r="X79" s="768" t="b">
        <f t="shared" si="9"/>
        <v>1</v>
      </c>
    </row>
    <row r="80" ht="15" hidden="1" customHeight="1" outlineLevel="2" spans="1:24">
      <c r="A80" s="739" t="s">
        <v>2839</v>
      </c>
      <c r="B80" s="692" t="s">
        <v>2830</v>
      </c>
      <c r="C80" s="693" t="str">
        <f t="shared" si="8"/>
        <v>深圳新阳蓝光能源管理科技股份有限公司</v>
      </c>
      <c r="D80" s="784" t="s">
        <v>2840</v>
      </c>
      <c r="E80" s="774" t="s">
        <v>2841</v>
      </c>
      <c r="F80" s="774"/>
      <c r="G80" s="774"/>
      <c r="H80" s="774"/>
      <c r="I80" s="774"/>
      <c r="J80" s="153"/>
      <c r="X80" s="768" t="b">
        <f t="shared" si="9"/>
        <v>1</v>
      </c>
    </row>
    <row r="81" ht="15" hidden="1" customHeight="1" outlineLevel="2" spans="1:24">
      <c r="A81" s="739" t="s">
        <v>391</v>
      </c>
      <c r="B81" s="692" t="s">
        <v>2830</v>
      </c>
      <c r="C81" s="693" t="str">
        <f t="shared" si="8"/>
        <v>深圳新阳蓝光能源管理科技股份有限公司</v>
      </c>
      <c r="D81" s="784" t="s">
        <v>2840</v>
      </c>
      <c r="E81" s="776" t="s">
        <v>391</v>
      </c>
      <c r="F81" s="776" t="s">
        <v>366</v>
      </c>
      <c r="G81" s="776" t="s">
        <v>2842</v>
      </c>
      <c r="H81" s="776" t="s">
        <v>399</v>
      </c>
      <c r="I81" s="776" t="s">
        <v>644</v>
      </c>
      <c r="J81" s="776" t="s">
        <v>354</v>
      </c>
      <c r="X81" s="768" t="b">
        <f t="shared" si="9"/>
        <v>1</v>
      </c>
    </row>
    <row r="82" ht="15" hidden="1" customHeight="1" outlineLevel="2" spans="1:24">
      <c r="A82" s="739" t="s">
        <v>392</v>
      </c>
      <c r="B82" s="692" t="s">
        <v>2830</v>
      </c>
      <c r="C82" s="693" t="str">
        <f t="shared" si="8"/>
        <v>深圳新阳蓝光能源管理科技股份有限公司</v>
      </c>
      <c r="D82" s="784" t="s">
        <v>2843</v>
      </c>
      <c r="E82" s="778" t="s">
        <v>392</v>
      </c>
      <c r="F82" s="785">
        <f>SUM(F83:F88)</f>
        <v>0</v>
      </c>
      <c r="G82" s="786"/>
      <c r="H82" s="786"/>
      <c r="I82" s="786"/>
      <c r="J82" s="786"/>
      <c r="X82" s="768" t="b">
        <f t="shared" si="9"/>
        <v>1</v>
      </c>
    </row>
    <row r="83" ht="15" hidden="1" customHeight="1" outlineLevel="2" spans="2:24">
      <c r="B83" s="692" t="s">
        <v>2830</v>
      </c>
      <c r="C83" s="693" t="str">
        <f t="shared" si="8"/>
        <v>深圳新阳蓝光能源管理科技股份有限公司</v>
      </c>
      <c r="D83" s="784" t="s">
        <v>2843</v>
      </c>
      <c r="E83" s="786"/>
      <c r="F83" s="786"/>
      <c r="G83" s="786"/>
      <c r="H83" s="786"/>
      <c r="I83" s="786"/>
      <c r="J83" s="786"/>
      <c r="X83" s="768" t="b">
        <f t="shared" si="9"/>
        <v>1</v>
      </c>
    </row>
    <row r="84" ht="15" hidden="1" customHeight="1" outlineLevel="2" spans="2:24">
      <c r="B84" s="692" t="s">
        <v>2830</v>
      </c>
      <c r="C84" s="693" t="str">
        <f t="shared" si="8"/>
        <v>深圳新阳蓝光能源管理科技股份有限公司</v>
      </c>
      <c r="D84" s="784" t="s">
        <v>2843</v>
      </c>
      <c r="E84" s="786"/>
      <c r="F84" s="786"/>
      <c r="G84" s="786"/>
      <c r="H84" s="786"/>
      <c r="I84" s="786"/>
      <c r="J84" s="786"/>
      <c r="X84" s="768" t="b">
        <f t="shared" si="9"/>
        <v>1</v>
      </c>
    </row>
    <row r="85" ht="15" hidden="1" customHeight="1" outlineLevel="2" spans="2:24">
      <c r="B85" s="692" t="s">
        <v>2830</v>
      </c>
      <c r="C85" s="693" t="str">
        <f t="shared" si="8"/>
        <v>深圳新阳蓝光能源管理科技股份有限公司</v>
      </c>
      <c r="D85" s="784" t="s">
        <v>2843</v>
      </c>
      <c r="E85" s="786"/>
      <c r="F85" s="786"/>
      <c r="G85" s="786"/>
      <c r="H85" s="786"/>
      <c r="I85" s="786"/>
      <c r="J85" s="786"/>
      <c r="X85" s="768" t="b">
        <f t="shared" si="9"/>
        <v>1</v>
      </c>
    </row>
    <row r="86" ht="15" hidden="1" customHeight="1" outlineLevel="2" spans="2:24">
      <c r="B86" s="692" t="s">
        <v>2830</v>
      </c>
      <c r="C86" s="693" t="str">
        <f t="shared" si="8"/>
        <v>深圳新阳蓝光能源管理科技股份有限公司</v>
      </c>
      <c r="D86" s="784" t="s">
        <v>2843</v>
      </c>
      <c r="E86" s="786"/>
      <c r="F86" s="786"/>
      <c r="G86" s="786"/>
      <c r="H86" s="786"/>
      <c r="I86" s="786"/>
      <c r="J86" s="786"/>
      <c r="X86" s="768" t="b">
        <f t="shared" si="9"/>
        <v>1</v>
      </c>
    </row>
    <row r="87" ht="15" hidden="1" customHeight="1" outlineLevel="2" spans="2:24">
      <c r="B87" s="692" t="s">
        <v>2830</v>
      </c>
      <c r="C87" s="693" t="str">
        <f t="shared" si="8"/>
        <v>深圳新阳蓝光能源管理科技股份有限公司</v>
      </c>
      <c r="D87" s="784" t="s">
        <v>2843</v>
      </c>
      <c r="E87" s="786"/>
      <c r="F87" s="786"/>
      <c r="G87" s="786"/>
      <c r="H87" s="786"/>
      <c r="I87" s="786"/>
      <c r="J87" s="786"/>
      <c r="X87" s="768" t="b">
        <f t="shared" si="9"/>
        <v>1</v>
      </c>
    </row>
    <row r="88" ht="15" hidden="1" customHeight="1" outlineLevel="2" spans="2:24">
      <c r="B88" s="692" t="s">
        <v>2830</v>
      </c>
      <c r="C88" s="693" t="str">
        <f t="shared" si="8"/>
        <v>深圳新阳蓝光能源管理科技股份有限公司</v>
      </c>
      <c r="D88" s="784" t="s">
        <v>2843</v>
      </c>
      <c r="E88" s="786"/>
      <c r="F88" s="786"/>
      <c r="G88" s="786"/>
      <c r="H88" s="786"/>
      <c r="I88" s="786"/>
      <c r="J88" s="786"/>
      <c r="X88" s="768" t="b">
        <f t="shared" si="9"/>
        <v>1</v>
      </c>
    </row>
    <row r="89" ht="15" hidden="1" customHeight="1" outlineLevel="2" spans="1:24">
      <c r="A89" s="739" t="s">
        <v>394</v>
      </c>
      <c r="B89" s="692" t="s">
        <v>2830</v>
      </c>
      <c r="C89" s="693" t="str">
        <f t="shared" si="8"/>
        <v>深圳新阳蓝光能源管理科技股份有限公司</v>
      </c>
      <c r="D89" s="784" t="s">
        <v>2843</v>
      </c>
      <c r="E89" s="778" t="s">
        <v>394</v>
      </c>
      <c r="F89" s="785">
        <f>SUM(F90:F94)</f>
        <v>0</v>
      </c>
      <c r="G89" s="786"/>
      <c r="H89" s="786"/>
      <c r="I89" s="786"/>
      <c r="J89" s="786"/>
      <c r="X89" s="768" t="b">
        <f t="shared" si="9"/>
        <v>1</v>
      </c>
    </row>
    <row r="90" ht="15" hidden="1" customHeight="1" outlineLevel="2" spans="2:24">
      <c r="B90" s="692" t="s">
        <v>2830</v>
      </c>
      <c r="C90" s="693" t="str">
        <f t="shared" si="8"/>
        <v>深圳新阳蓝光能源管理科技股份有限公司</v>
      </c>
      <c r="D90" s="784" t="s">
        <v>2843</v>
      </c>
      <c r="E90" s="786"/>
      <c r="F90" s="786"/>
      <c r="G90" s="786"/>
      <c r="H90" s="786"/>
      <c r="I90" s="786"/>
      <c r="J90" s="786"/>
      <c r="X90" s="768" t="b">
        <f t="shared" si="9"/>
        <v>1</v>
      </c>
    </row>
    <row r="91" ht="15" hidden="1" customHeight="1" outlineLevel="2" spans="2:24">
      <c r="B91" s="692" t="s">
        <v>2830</v>
      </c>
      <c r="C91" s="693" t="str">
        <f t="shared" si="8"/>
        <v>深圳新阳蓝光能源管理科技股份有限公司</v>
      </c>
      <c r="D91" s="784" t="s">
        <v>2843</v>
      </c>
      <c r="E91" s="786"/>
      <c r="F91" s="786"/>
      <c r="G91" s="786"/>
      <c r="H91" s="786"/>
      <c r="I91" s="786"/>
      <c r="J91" s="786"/>
      <c r="X91" s="768" t="b">
        <f t="shared" si="9"/>
        <v>1</v>
      </c>
    </row>
    <row r="92" ht="15" hidden="1" customHeight="1" outlineLevel="2" spans="2:24">
      <c r="B92" s="692" t="s">
        <v>2830</v>
      </c>
      <c r="C92" s="693" t="str">
        <f t="shared" ref="C92:C123" si="10">$G$1</f>
        <v>深圳新阳蓝光能源管理科技股份有限公司</v>
      </c>
      <c r="D92" s="784" t="s">
        <v>2843</v>
      </c>
      <c r="E92" s="786"/>
      <c r="F92" s="786"/>
      <c r="G92" s="786"/>
      <c r="H92" s="786"/>
      <c r="I92" s="786"/>
      <c r="J92" s="786"/>
      <c r="X92" s="768" t="b">
        <f t="shared" si="9"/>
        <v>1</v>
      </c>
    </row>
    <row r="93" ht="15" hidden="1" customHeight="1" outlineLevel="2" spans="2:24">
      <c r="B93" s="692" t="s">
        <v>2830</v>
      </c>
      <c r="C93" s="693" t="str">
        <f t="shared" si="10"/>
        <v>深圳新阳蓝光能源管理科技股份有限公司</v>
      </c>
      <c r="D93" s="784" t="s">
        <v>2843</v>
      </c>
      <c r="E93" s="786"/>
      <c r="F93" s="786"/>
      <c r="G93" s="786"/>
      <c r="H93" s="786"/>
      <c r="I93" s="786"/>
      <c r="J93" s="786"/>
      <c r="X93" s="768" t="b">
        <f t="shared" si="9"/>
        <v>1</v>
      </c>
    </row>
    <row r="94" ht="15" hidden="1" customHeight="1" outlineLevel="2" spans="2:24">
      <c r="B94" s="692" t="s">
        <v>2830</v>
      </c>
      <c r="C94" s="693" t="str">
        <f t="shared" si="10"/>
        <v>深圳新阳蓝光能源管理科技股份有限公司</v>
      </c>
      <c r="D94" s="784" t="s">
        <v>2843</v>
      </c>
      <c r="E94" s="786"/>
      <c r="F94" s="786"/>
      <c r="G94" s="786"/>
      <c r="H94" s="786"/>
      <c r="I94" s="786"/>
      <c r="J94" s="786"/>
      <c r="X94" s="768" t="b">
        <f t="shared" si="9"/>
        <v>1</v>
      </c>
    </row>
    <row r="95" ht="15" hidden="1" customHeight="1" outlineLevel="2" spans="1:24">
      <c r="A95" s="739" t="s">
        <v>2021</v>
      </c>
      <c r="B95" s="692" t="s">
        <v>2830</v>
      </c>
      <c r="C95" s="693" t="str">
        <f t="shared" si="10"/>
        <v>深圳新阳蓝光能源管理科技股份有限公司</v>
      </c>
      <c r="D95" s="784" t="s">
        <v>2843</v>
      </c>
      <c r="E95" s="776" t="s">
        <v>2021</v>
      </c>
      <c r="F95" s="787">
        <v>0</v>
      </c>
      <c r="G95" s="786"/>
      <c r="H95" s="786"/>
      <c r="I95" s="786"/>
      <c r="J95" s="786"/>
      <c r="X95" s="768" t="b">
        <f t="shared" si="9"/>
        <v>1</v>
      </c>
    </row>
    <row r="96" ht="15" hidden="1" customHeight="1" outlineLevel="2" spans="1:24">
      <c r="A96" s="739" t="s">
        <v>2844</v>
      </c>
      <c r="B96" s="692" t="s">
        <v>2830</v>
      </c>
      <c r="C96" s="693" t="str">
        <f t="shared" si="10"/>
        <v>深圳新阳蓝光能源管理科技股份有限公司</v>
      </c>
      <c r="D96" s="784" t="s">
        <v>2843</v>
      </c>
      <c r="E96" s="788" t="s">
        <v>2845</v>
      </c>
      <c r="F96" s="788"/>
      <c r="G96" s="788"/>
      <c r="H96" s="788"/>
      <c r="I96" s="788"/>
      <c r="J96" s="153"/>
      <c r="X96" s="768" t="b">
        <f t="shared" si="9"/>
        <v>1</v>
      </c>
    </row>
    <row r="97" ht="15" hidden="1" customHeight="1" outlineLevel="2" spans="2:24">
      <c r="B97" s="692" t="s">
        <v>2830</v>
      </c>
      <c r="C97" s="693" t="str">
        <f t="shared" si="10"/>
        <v>深圳新阳蓝光能源管理科技股份有限公司</v>
      </c>
      <c r="D97" s="784" t="s">
        <v>2843</v>
      </c>
      <c r="E97" s="773"/>
      <c r="F97" s="773"/>
      <c r="G97" s="773"/>
      <c r="H97" s="773"/>
      <c r="I97" s="773"/>
      <c r="J97" s="153"/>
      <c r="X97" s="768" t="b">
        <f t="shared" si="9"/>
        <v>1</v>
      </c>
    </row>
    <row r="98" ht="15" hidden="1" customHeight="1" outlineLevel="2" spans="1:24">
      <c r="A98" s="739" t="s">
        <v>2846</v>
      </c>
      <c r="B98" s="692" t="s">
        <v>2830</v>
      </c>
      <c r="C98" s="693" t="str">
        <f t="shared" si="10"/>
        <v>深圳新阳蓝光能源管理科技股份有限公司</v>
      </c>
      <c r="D98" s="771" t="s">
        <v>2847</v>
      </c>
      <c r="E98" s="773" t="s">
        <v>2848</v>
      </c>
      <c r="F98" s="773"/>
      <c r="G98" s="773"/>
      <c r="H98" s="773"/>
      <c r="I98" s="773"/>
      <c r="J98" s="153"/>
      <c r="X98" s="768" t="b">
        <f t="shared" si="9"/>
        <v>1</v>
      </c>
    </row>
    <row r="99" ht="15" hidden="1" customHeight="1" outlineLevel="2" spans="1:24">
      <c r="A99" s="739" t="s">
        <v>2842</v>
      </c>
      <c r="B99" s="692" t="s">
        <v>2830</v>
      </c>
      <c r="C99" s="693" t="str">
        <f t="shared" si="10"/>
        <v>深圳新阳蓝光能源管理科技股份有限公司</v>
      </c>
      <c r="D99" s="771" t="s">
        <v>2847</v>
      </c>
      <c r="E99" s="132" t="s">
        <v>2842</v>
      </c>
      <c r="F99" s="132" t="s">
        <v>399</v>
      </c>
      <c r="G99" s="132" t="s">
        <v>644</v>
      </c>
      <c r="H99" s="132" t="s">
        <v>366</v>
      </c>
      <c r="I99" s="132" t="s">
        <v>354</v>
      </c>
      <c r="J99" s="153"/>
      <c r="X99" s="768" t="b">
        <f t="shared" si="9"/>
        <v>1</v>
      </c>
    </row>
    <row r="100" ht="15" hidden="1" customHeight="1" outlineLevel="2" spans="1:24">
      <c r="A100" s="739" t="s">
        <v>2849</v>
      </c>
      <c r="B100" s="692" t="s">
        <v>2830</v>
      </c>
      <c r="C100" s="693" t="str">
        <f t="shared" si="10"/>
        <v>深圳新阳蓝光能源管理科技股份有限公司</v>
      </c>
      <c r="D100" s="771" t="s">
        <v>2850</v>
      </c>
      <c r="E100" s="789" t="s">
        <v>2849</v>
      </c>
      <c r="F100" s="789"/>
      <c r="G100" s="789"/>
      <c r="H100" s="790">
        <f>SUM(H101:H108)</f>
        <v>0</v>
      </c>
      <c r="I100" s="789"/>
      <c r="J100" s="153"/>
      <c r="X100" s="768" t="b">
        <f t="shared" si="9"/>
        <v>1</v>
      </c>
    </row>
    <row r="101" ht="15" hidden="1" customHeight="1" outlineLevel="2" spans="2:24">
      <c r="B101" s="692" t="s">
        <v>2830</v>
      </c>
      <c r="C101" s="693" t="str">
        <f t="shared" si="10"/>
        <v>深圳新阳蓝光能源管理科技股份有限公司</v>
      </c>
      <c r="D101" s="771" t="s">
        <v>2850</v>
      </c>
      <c r="E101" s="786"/>
      <c r="F101" s="786"/>
      <c r="G101" s="786"/>
      <c r="H101" s="786"/>
      <c r="I101" s="786"/>
      <c r="J101" s="153"/>
      <c r="X101" s="768" t="b">
        <f t="shared" si="9"/>
        <v>1</v>
      </c>
    </row>
    <row r="102" ht="15" hidden="1" customHeight="1" outlineLevel="2" spans="2:24">
      <c r="B102" s="692" t="s">
        <v>2830</v>
      </c>
      <c r="C102" s="693" t="str">
        <f t="shared" si="10"/>
        <v>深圳新阳蓝光能源管理科技股份有限公司</v>
      </c>
      <c r="D102" s="771" t="s">
        <v>2850</v>
      </c>
      <c r="E102" s="786"/>
      <c r="F102" s="786"/>
      <c r="G102" s="786"/>
      <c r="H102" s="786"/>
      <c r="I102" s="786"/>
      <c r="J102" s="153"/>
      <c r="X102" s="768" t="b">
        <f t="shared" si="9"/>
        <v>1</v>
      </c>
    </row>
    <row r="103" ht="15" hidden="1" customHeight="1" outlineLevel="2" spans="2:24">
      <c r="B103" s="692" t="s">
        <v>2830</v>
      </c>
      <c r="C103" s="693" t="str">
        <f t="shared" si="10"/>
        <v>深圳新阳蓝光能源管理科技股份有限公司</v>
      </c>
      <c r="D103" s="771" t="s">
        <v>2850</v>
      </c>
      <c r="E103" s="786"/>
      <c r="F103" s="786"/>
      <c r="G103" s="786"/>
      <c r="H103" s="786"/>
      <c r="I103" s="786"/>
      <c r="J103" s="153"/>
      <c r="X103" s="768" t="b">
        <f t="shared" si="9"/>
        <v>1</v>
      </c>
    </row>
    <row r="104" ht="15" hidden="1" customHeight="1" outlineLevel="2" spans="2:24">
      <c r="B104" s="692" t="s">
        <v>2830</v>
      </c>
      <c r="C104" s="693" t="str">
        <f t="shared" si="10"/>
        <v>深圳新阳蓝光能源管理科技股份有限公司</v>
      </c>
      <c r="D104" s="771" t="s">
        <v>2850</v>
      </c>
      <c r="E104" s="786"/>
      <c r="F104" s="786"/>
      <c r="G104" s="786"/>
      <c r="H104" s="786"/>
      <c r="I104" s="786"/>
      <c r="J104" s="153"/>
      <c r="X104" s="768" t="b">
        <f t="shared" si="9"/>
        <v>1</v>
      </c>
    </row>
    <row r="105" ht="15" hidden="1" customHeight="1" outlineLevel="2" spans="2:24">
      <c r="B105" s="692" t="s">
        <v>2830</v>
      </c>
      <c r="C105" s="693" t="str">
        <f t="shared" si="10"/>
        <v>深圳新阳蓝光能源管理科技股份有限公司</v>
      </c>
      <c r="D105" s="771" t="s">
        <v>2850</v>
      </c>
      <c r="E105" s="786"/>
      <c r="F105" s="786"/>
      <c r="G105" s="786"/>
      <c r="H105" s="786"/>
      <c r="I105" s="786"/>
      <c r="J105" s="153"/>
      <c r="X105" s="768" t="b">
        <f t="shared" si="9"/>
        <v>1</v>
      </c>
    </row>
    <row r="106" ht="15" hidden="1" customHeight="1" outlineLevel="2" spans="2:24">
      <c r="B106" s="692" t="s">
        <v>2830</v>
      </c>
      <c r="C106" s="693" t="str">
        <f t="shared" si="10"/>
        <v>深圳新阳蓝光能源管理科技股份有限公司</v>
      </c>
      <c r="D106" s="771" t="s">
        <v>2850</v>
      </c>
      <c r="E106" s="786"/>
      <c r="F106" s="786"/>
      <c r="G106" s="786"/>
      <c r="H106" s="786"/>
      <c r="I106" s="786"/>
      <c r="J106" s="153"/>
      <c r="X106" s="768" t="b">
        <f t="shared" si="9"/>
        <v>1</v>
      </c>
    </row>
    <row r="107" ht="15" hidden="1" customHeight="1" outlineLevel="2" spans="2:24">
      <c r="B107" s="692" t="s">
        <v>2830</v>
      </c>
      <c r="C107" s="693" t="str">
        <f t="shared" si="10"/>
        <v>深圳新阳蓝光能源管理科技股份有限公司</v>
      </c>
      <c r="D107" s="771" t="s">
        <v>2850</v>
      </c>
      <c r="E107" s="786"/>
      <c r="F107" s="786"/>
      <c r="G107" s="786"/>
      <c r="H107" s="786"/>
      <c r="I107" s="786"/>
      <c r="J107" s="153"/>
      <c r="X107" s="768" t="b">
        <f t="shared" si="9"/>
        <v>1</v>
      </c>
    </row>
    <row r="108" ht="15" hidden="1" customHeight="1" outlineLevel="2" spans="2:24">
      <c r="B108" s="692" t="s">
        <v>2830</v>
      </c>
      <c r="C108" s="693" t="str">
        <f t="shared" si="10"/>
        <v>深圳新阳蓝光能源管理科技股份有限公司</v>
      </c>
      <c r="D108" s="771" t="s">
        <v>2850</v>
      </c>
      <c r="E108" s="786"/>
      <c r="F108" s="786"/>
      <c r="G108" s="786"/>
      <c r="H108" s="786"/>
      <c r="I108" s="786"/>
      <c r="J108" s="153"/>
      <c r="X108" s="768" t="b">
        <f t="shared" si="9"/>
        <v>1</v>
      </c>
    </row>
    <row r="109" ht="15" hidden="1" customHeight="1" outlineLevel="2" spans="1:24">
      <c r="A109" s="739" t="s">
        <v>2851</v>
      </c>
      <c r="B109" s="692" t="s">
        <v>2830</v>
      </c>
      <c r="C109" s="693" t="str">
        <f t="shared" si="10"/>
        <v>深圳新阳蓝光能源管理科技股份有限公司</v>
      </c>
      <c r="D109" s="771" t="s">
        <v>2850</v>
      </c>
      <c r="E109" s="791" t="s">
        <v>2851</v>
      </c>
      <c r="F109" s="789"/>
      <c r="G109" s="789"/>
      <c r="H109" s="790">
        <f>SUM(H110:H117)</f>
        <v>0</v>
      </c>
      <c r="I109" s="789"/>
      <c r="J109" s="153"/>
      <c r="X109" s="768" t="b">
        <f t="shared" si="9"/>
        <v>1</v>
      </c>
    </row>
    <row r="110" ht="15" hidden="1" customHeight="1" outlineLevel="2" spans="2:24">
      <c r="B110" s="692" t="s">
        <v>2830</v>
      </c>
      <c r="C110" s="693" t="str">
        <f t="shared" si="10"/>
        <v>深圳新阳蓝光能源管理科技股份有限公司</v>
      </c>
      <c r="D110" s="771" t="s">
        <v>2850</v>
      </c>
      <c r="E110" s="786"/>
      <c r="F110" s="786"/>
      <c r="G110" s="786"/>
      <c r="H110" s="786"/>
      <c r="I110" s="786"/>
      <c r="J110" s="153"/>
      <c r="X110" s="768" t="b">
        <f t="shared" si="9"/>
        <v>1</v>
      </c>
    </row>
    <row r="111" ht="15" hidden="1" customHeight="1" outlineLevel="2" spans="2:24">
      <c r="B111" s="692" t="s">
        <v>2830</v>
      </c>
      <c r="C111" s="693" t="str">
        <f t="shared" si="10"/>
        <v>深圳新阳蓝光能源管理科技股份有限公司</v>
      </c>
      <c r="D111" s="771" t="s">
        <v>2850</v>
      </c>
      <c r="E111" s="786"/>
      <c r="F111" s="786"/>
      <c r="G111" s="786"/>
      <c r="H111" s="786"/>
      <c r="I111" s="786"/>
      <c r="J111" s="153"/>
      <c r="X111" s="768" t="b">
        <f t="shared" si="9"/>
        <v>1</v>
      </c>
    </row>
    <row r="112" ht="15" hidden="1" customHeight="1" outlineLevel="2" spans="2:24">
      <c r="B112" s="692" t="s">
        <v>2830</v>
      </c>
      <c r="C112" s="693" t="str">
        <f t="shared" si="10"/>
        <v>深圳新阳蓝光能源管理科技股份有限公司</v>
      </c>
      <c r="D112" s="771" t="s">
        <v>2850</v>
      </c>
      <c r="E112" s="786"/>
      <c r="F112" s="786"/>
      <c r="G112" s="786"/>
      <c r="H112" s="786"/>
      <c r="I112" s="786"/>
      <c r="J112" s="153"/>
      <c r="X112" s="768" t="b">
        <f t="shared" si="9"/>
        <v>1</v>
      </c>
    </row>
    <row r="113" ht="15" hidden="1" customHeight="1" outlineLevel="2" spans="2:24">
      <c r="B113" s="692" t="s">
        <v>2830</v>
      </c>
      <c r="C113" s="693" t="str">
        <f t="shared" si="10"/>
        <v>深圳新阳蓝光能源管理科技股份有限公司</v>
      </c>
      <c r="D113" s="771" t="s">
        <v>2850</v>
      </c>
      <c r="E113" s="786"/>
      <c r="F113" s="786"/>
      <c r="G113" s="786"/>
      <c r="H113" s="786"/>
      <c r="I113" s="786"/>
      <c r="J113" s="153"/>
      <c r="X113" s="768" t="b">
        <f t="shared" si="9"/>
        <v>1</v>
      </c>
    </row>
    <row r="114" ht="15" hidden="1" customHeight="1" outlineLevel="2" spans="2:24">
      <c r="B114" s="692" t="s">
        <v>2830</v>
      </c>
      <c r="C114" s="693" t="str">
        <f t="shared" si="10"/>
        <v>深圳新阳蓝光能源管理科技股份有限公司</v>
      </c>
      <c r="D114" s="771" t="s">
        <v>2850</v>
      </c>
      <c r="E114" s="786"/>
      <c r="F114" s="786"/>
      <c r="G114" s="786"/>
      <c r="H114" s="786"/>
      <c r="I114" s="786"/>
      <c r="J114" s="153"/>
      <c r="X114" s="768" t="b">
        <f t="shared" si="9"/>
        <v>1</v>
      </c>
    </row>
    <row r="115" ht="15" hidden="1" customHeight="1" outlineLevel="2" spans="2:24">
      <c r="B115" s="692" t="s">
        <v>2830</v>
      </c>
      <c r="C115" s="693" t="str">
        <f t="shared" si="10"/>
        <v>深圳新阳蓝光能源管理科技股份有限公司</v>
      </c>
      <c r="D115" s="771" t="s">
        <v>2850</v>
      </c>
      <c r="E115" s="786"/>
      <c r="F115" s="786"/>
      <c r="G115" s="786"/>
      <c r="H115" s="786"/>
      <c r="I115" s="786"/>
      <c r="J115" s="153"/>
      <c r="X115" s="768" t="b">
        <f t="shared" si="9"/>
        <v>1</v>
      </c>
    </row>
    <row r="116" ht="15" hidden="1" customHeight="1" outlineLevel="2" spans="2:24">
      <c r="B116" s="692" t="s">
        <v>2830</v>
      </c>
      <c r="C116" s="693" t="str">
        <f t="shared" si="10"/>
        <v>深圳新阳蓝光能源管理科技股份有限公司</v>
      </c>
      <c r="D116" s="771" t="s">
        <v>2850</v>
      </c>
      <c r="E116" s="786"/>
      <c r="F116" s="786"/>
      <c r="G116" s="786"/>
      <c r="H116" s="786"/>
      <c r="I116" s="786"/>
      <c r="J116" s="153"/>
      <c r="X116" s="768" t="b">
        <f t="shared" si="9"/>
        <v>1</v>
      </c>
    </row>
    <row r="117" ht="15" hidden="1" customHeight="1" outlineLevel="2" spans="2:24">
      <c r="B117" s="692" t="s">
        <v>2830</v>
      </c>
      <c r="C117" s="693" t="str">
        <f t="shared" si="10"/>
        <v>深圳新阳蓝光能源管理科技股份有限公司</v>
      </c>
      <c r="D117" s="771" t="s">
        <v>2850</v>
      </c>
      <c r="E117" s="786"/>
      <c r="F117" s="786"/>
      <c r="G117" s="786"/>
      <c r="H117" s="786"/>
      <c r="I117" s="786"/>
      <c r="J117" s="153"/>
      <c r="X117" s="768" t="b">
        <f t="shared" si="9"/>
        <v>1</v>
      </c>
    </row>
    <row r="118" ht="15" hidden="1" customHeight="1" outlineLevel="2" spans="1:24">
      <c r="A118" s="739" t="s">
        <v>2021</v>
      </c>
      <c r="B118" s="692" t="s">
        <v>2830</v>
      </c>
      <c r="C118" s="693" t="str">
        <f t="shared" si="10"/>
        <v>深圳新阳蓝光能源管理科技股份有限公司</v>
      </c>
      <c r="D118" s="771" t="s">
        <v>2850</v>
      </c>
      <c r="E118" s="792" t="s">
        <v>2021</v>
      </c>
      <c r="F118" s="793"/>
      <c r="G118" s="793"/>
      <c r="H118" s="794">
        <f>H100+H109</f>
        <v>0</v>
      </c>
      <c r="I118" s="793"/>
      <c r="J118" s="153"/>
      <c r="X118" s="768" t="b">
        <f t="shared" si="9"/>
        <v>1</v>
      </c>
    </row>
    <row r="119" ht="15" hidden="1" customHeight="1" outlineLevel="2" spans="1:24">
      <c r="A119" s="739" t="s">
        <v>2852</v>
      </c>
      <c r="B119" s="692" t="s">
        <v>2830</v>
      </c>
      <c r="C119" s="693" t="str">
        <f t="shared" si="10"/>
        <v>深圳新阳蓝光能源管理科技股份有限公司</v>
      </c>
      <c r="D119" s="771" t="s">
        <v>2850</v>
      </c>
      <c r="E119" s="795" t="s">
        <v>2853</v>
      </c>
      <c r="F119" s="795"/>
      <c r="G119" s="795"/>
      <c r="H119" s="795"/>
      <c r="I119" s="795"/>
      <c r="J119" s="153"/>
      <c r="X119" s="768" t="b">
        <f t="shared" si="9"/>
        <v>1</v>
      </c>
    </row>
    <row r="120" ht="15" hidden="1" customHeight="1" outlineLevel="2" spans="2:24">
      <c r="B120" s="692" t="s">
        <v>2830</v>
      </c>
      <c r="C120" s="693" t="str">
        <f t="shared" si="10"/>
        <v>深圳新阳蓝光能源管理科技股份有限公司</v>
      </c>
      <c r="D120" s="771" t="s">
        <v>2850</v>
      </c>
      <c r="E120" s="796"/>
      <c r="F120" s="774"/>
      <c r="G120" s="774"/>
      <c r="H120" s="774"/>
      <c r="I120" s="774"/>
      <c r="J120" s="153"/>
      <c r="X120" s="768" t="b">
        <f t="shared" si="9"/>
        <v>1</v>
      </c>
    </row>
    <row r="121" ht="15" hidden="1" customHeight="1" outlineLevel="2" spans="2:24">
      <c r="B121" s="692" t="s">
        <v>2830</v>
      </c>
      <c r="C121" s="693" t="str">
        <f t="shared" si="10"/>
        <v>深圳新阳蓝光能源管理科技股份有限公司</v>
      </c>
      <c r="D121" s="771"/>
      <c r="E121" s="773"/>
      <c r="F121" s="773"/>
      <c r="G121" s="773"/>
      <c r="H121" s="773"/>
      <c r="I121" s="773"/>
      <c r="J121" s="153"/>
      <c r="X121" s="768" t="b">
        <f t="shared" si="9"/>
        <v>1</v>
      </c>
    </row>
    <row r="122" ht="15" hidden="1" customHeight="1" outlineLevel="2" spans="1:24">
      <c r="A122" s="739" t="s">
        <v>2809</v>
      </c>
      <c r="B122" s="692" t="s">
        <v>2830</v>
      </c>
      <c r="C122" s="693" t="str">
        <f t="shared" si="10"/>
        <v>深圳新阳蓝光能源管理科技股份有限公司</v>
      </c>
      <c r="D122" s="771" t="s">
        <v>2854</v>
      </c>
      <c r="E122" s="773" t="s">
        <v>2829</v>
      </c>
      <c r="F122" s="797"/>
      <c r="G122" s="797"/>
      <c r="H122" s="797"/>
      <c r="I122" s="797"/>
      <c r="J122" s="153"/>
      <c r="X122" s="768" t="b">
        <f t="shared" si="9"/>
        <v>1</v>
      </c>
    </row>
    <row r="123" ht="15" hidden="1" customHeight="1" outlineLevel="2" spans="2:24">
      <c r="B123" s="692" t="s">
        <v>2830</v>
      </c>
      <c r="C123" s="693" t="str">
        <f t="shared" si="10"/>
        <v>深圳新阳蓝光能源管理科技股份有限公司</v>
      </c>
      <c r="D123" s="771" t="s">
        <v>2855</v>
      </c>
      <c r="E123" s="773"/>
      <c r="F123" s="773"/>
      <c r="G123" s="773"/>
      <c r="H123" s="773"/>
      <c r="I123" s="773"/>
      <c r="J123" s="153"/>
      <c r="X123" s="768" t="b">
        <f t="shared" si="9"/>
        <v>1</v>
      </c>
    </row>
    <row r="124" ht="15" customHeight="1" spans="1:24">
      <c r="A124" s="739" t="s">
        <v>2856</v>
      </c>
      <c r="B124" s="798" t="s">
        <v>2857</v>
      </c>
      <c r="C124" s="693" t="str">
        <f t="shared" ref="C124:C155" si="11">$G$1</f>
        <v>深圳新阳蓝光能源管理科技股份有限公司</v>
      </c>
      <c r="D124" s="771" t="s">
        <v>2858</v>
      </c>
      <c r="E124" s="70" t="s">
        <v>2859</v>
      </c>
      <c r="F124" s="795" t="s">
        <v>2860</v>
      </c>
      <c r="G124" s="773"/>
      <c r="H124" s="773"/>
      <c r="I124" s="773"/>
      <c r="J124" s="153"/>
      <c r="X124" s="768" t="b">
        <f t="shared" si="9"/>
        <v>1</v>
      </c>
    </row>
    <row r="125" ht="15" customHeight="1" outlineLevel="2" spans="1:24">
      <c r="A125" s="739" t="s">
        <v>2861</v>
      </c>
      <c r="B125" s="798" t="s">
        <v>2857</v>
      </c>
      <c r="C125" s="693" t="str">
        <f t="shared" si="11"/>
        <v>深圳新阳蓝光能源管理科技股份有限公司</v>
      </c>
      <c r="D125" s="771" t="s">
        <v>2858</v>
      </c>
      <c r="E125" s="799" t="s">
        <v>2862</v>
      </c>
      <c r="F125" s="800"/>
      <c r="G125" s="773"/>
      <c r="H125" s="773"/>
      <c r="I125" s="773"/>
      <c r="J125" s="153"/>
      <c r="X125" s="768" t="b">
        <f t="shared" si="9"/>
        <v>1</v>
      </c>
    </row>
    <row r="126" ht="15" customHeight="1" outlineLevel="2" spans="1:24">
      <c r="A126" s="739" t="s">
        <v>61</v>
      </c>
      <c r="B126" s="798" t="s">
        <v>2857</v>
      </c>
      <c r="C126" s="693" t="str">
        <f t="shared" si="11"/>
        <v>深圳新阳蓝光能源管理科技股份有限公司</v>
      </c>
      <c r="D126" s="771" t="s">
        <v>2863</v>
      </c>
      <c r="E126" s="801" t="s">
        <v>61</v>
      </c>
      <c r="F126" s="801" t="s">
        <v>671</v>
      </c>
      <c r="G126" s="801" t="s">
        <v>672</v>
      </c>
      <c r="H126" s="801" t="s">
        <v>673</v>
      </c>
      <c r="I126" s="801" t="s">
        <v>316</v>
      </c>
      <c r="J126" s="801" t="s">
        <v>421</v>
      </c>
      <c r="K126" s="801" t="s">
        <v>2864</v>
      </c>
      <c r="X126" s="768" t="b">
        <f t="shared" si="9"/>
        <v>1</v>
      </c>
    </row>
    <row r="127" ht="15" customHeight="1" outlineLevel="2" spans="1:24">
      <c r="A127" s="739" t="s">
        <v>2865</v>
      </c>
      <c r="B127" s="798" t="s">
        <v>2857</v>
      </c>
      <c r="C127" s="693" t="str">
        <f t="shared" si="11"/>
        <v>深圳新阳蓝光能源管理科技股份有限公司</v>
      </c>
      <c r="D127" s="771" t="s">
        <v>2863</v>
      </c>
      <c r="E127" s="801" t="s">
        <v>2866</v>
      </c>
      <c r="F127" s="802">
        <f>SUM(F128:F137)</f>
        <v>0</v>
      </c>
      <c r="G127" s="802">
        <f>SUM(G128:G137)</f>
        <v>0</v>
      </c>
      <c r="H127" s="802">
        <f t="shared" ref="H127" si="12">SUM(H128:H137)</f>
        <v>0</v>
      </c>
      <c r="I127" s="808">
        <f>F127+G127-H127</f>
        <v>0</v>
      </c>
      <c r="J127" s="731"/>
      <c r="K127" s="731"/>
      <c r="X127" s="768" t="b">
        <f t="shared" si="9"/>
        <v>1</v>
      </c>
    </row>
    <row r="128" ht="15" customHeight="1" outlineLevel="2" spans="2:24">
      <c r="B128" s="798" t="s">
        <v>2857</v>
      </c>
      <c r="C128" s="693" t="str">
        <f t="shared" si="11"/>
        <v>深圳新阳蓝光能源管理科技股份有限公司</v>
      </c>
      <c r="D128" s="771" t="s">
        <v>2863</v>
      </c>
      <c r="E128" s="803"/>
      <c r="F128" s="804"/>
      <c r="G128" s="805"/>
      <c r="H128" s="805"/>
      <c r="I128" s="808">
        <f t="shared" ref="I128:I149" si="13">F128+G128-H128</f>
        <v>0</v>
      </c>
      <c r="J128" s="753"/>
      <c r="K128" s="804"/>
      <c r="X128" s="768" t="b">
        <f t="shared" si="9"/>
        <v>1</v>
      </c>
    </row>
    <row r="129" ht="15" customHeight="1" outlineLevel="2" spans="2:24">
      <c r="B129" s="798" t="s">
        <v>2857</v>
      </c>
      <c r="C129" s="693" t="str">
        <f t="shared" si="11"/>
        <v>深圳新阳蓝光能源管理科技股份有限公司</v>
      </c>
      <c r="D129" s="771" t="s">
        <v>2863</v>
      </c>
      <c r="E129" s="803"/>
      <c r="F129" s="804"/>
      <c r="G129" s="809"/>
      <c r="H129" s="805"/>
      <c r="I129" s="808">
        <f t="shared" si="13"/>
        <v>0</v>
      </c>
      <c r="J129" s="753"/>
      <c r="K129" s="804"/>
      <c r="X129" s="768" t="b">
        <f t="shared" si="9"/>
        <v>1</v>
      </c>
    </row>
    <row r="130" ht="15" customHeight="1" outlineLevel="2" spans="2:24">
      <c r="B130" s="798" t="s">
        <v>2857</v>
      </c>
      <c r="C130" s="693" t="str">
        <f t="shared" si="11"/>
        <v>深圳新阳蓝光能源管理科技股份有限公司</v>
      </c>
      <c r="D130" s="771" t="s">
        <v>2863</v>
      </c>
      <c r="E130" s="803"/>
      <c r="F130" s="804"/>
      <c r="G130" s="805"/>
      <c r="H130" s="805"/>
      <c r="I130" s="808">
        <f t="shared" si="13"/>
        <v>0</v>
      </c>
      <c r="J130" s="753"/>
      <c r="K130" s="804"/>
      <c r="X130" s="768" t="b">
        <f t="shared" si="9"/>
        <v>1</v>
      </c>
    </row>
    <row r="131" ht="15" customHeight="1" outlineLevel="2" spans="2:24">
      <c r="B131" s="798" t="s">
        <v>2857</v>
      </c>
      <c r="C131" s="693" t="str">
        <f t="shared" si="11"/>
        <v>深圳新阳蓝光能源管理科技股份有限公司</v>
      </c>
      <c r="D131" s="771" t="s">
        <v>2863</v>
      </c>
      <c r="E131" s="803"/>
      <c r="F131" s="804"/>
      <c r="G131" s="805"/>
      <c r="H131" s="805"/>
      <c r="I131" s="808">
        <f t="shared" si="13"/>
        <v>0</v>
      </c>
      <c r="J131" s="753"/>
      <c r="K131" s="804"/>
      <c r="X131" s="768" t="b">
        <f t="shared" si="9"/>
        <v>1</v>
      </c>
    </row>
    <row r="132" ht="15" customHeight="1" outlineLevel="2" spans="2:24">
      <c r="B132" s="798" t="s">
        <v>2857</v>
      </c>
      <c r="C132" s="693" t="str">
        <f t="shared" si="11"/>
        <v>深圳新阳蓝光能源管理科技股份有限公司</v>
      </c>
      <c r="D132" s="771" t="s">
        <v>2863</v>
      </c>
      <c r="E132" s="803"/>
      <c r="F132" s="804"/>
      <c r="G132" s="809"/>
      <c r="H132" s="805"/>
      <c r="I132" s="808">
        <f t="shared" si="13"/>
        <v>0</v>
      </c>
      <c r="J132" s="753"/>
      <c r="K132" s="804"/>
      <c r="X132" s="768" t="b">
        <f t="shared" si="9"/>
        <v>1</v>
      </c>
    </row>
    <row r="133" ht="15" customHeight="1" outlineLevel="2" spans="2:24">
      <c r="B133" s="798" t="s">
        <v>2857</v>
      </c>
      <c r="C133" s="693" t="str">
        <f t="shared" si="11"/>
        <v>深圳新阳蓝光能源管理科技股份有限公司</v>
      </c>
      <c r="D133" s="771" t="s">
        <v>2863</v>
      </c>
      <c r="E133" s="803"/>
      <c r="F133" s="804"/>
      <c r="G133" s="805"/>
      <c r="H133" s="805"/>
      <c r="I133" s="808">
        <f t="shared" si="13"/>
        <v>0</v>
      </c>
      <c r="J133" s="753"/>
      <c r="K133" s="804"/>
      <c r="X133" s="768" t="b">
        <f t="shared" si="9"/>
        <v>1</v>
      </c>
    </row>
    <row r="134" ht="15.75" customHeight="1" outlineLevel="2" spans="2:24">
      <c r="B134" s="798" t="s">
        <v>2857</v>
      </c>
      <c r="C134" s="693" t="str">
        <f t="shared" si="11"/>
        <v>深圳新阳蓝光能源管理科技股份有限公司</v>
      </c>
      <c r="D134" s="771" t="s">
        <v>2863</v>
      </c>
      <c r="E134" s="803"/>
      <c r="F134" s="804"/>
      <c r="G134" s="805"/>
      <c r="H134" s="805"/>
      <c r="I134" s="808">
        <f t="shared" si="13"/>
        <v>0</v>
      </c>
      <c r="J134" s="753"/>
      <c r="K134" s="804"/>
      <c r="X134" s="768" t="b">
        <f t="shared" si="9"/>
        <v>1</v>
      </c>
    </row>
    <row r="135" ht="15" customHeight="1" outlineLevel="2" spans="2:24">
      <c r="B135" s="798" t="s">
        <v>2857</v>
      </c>
      <c r="C135" s="693" t="str">
        <f t="shared" si="11"/>
        <v>深圳新阳蓝光能源管理科技股份有限公司</v>
      </c>
      <c r="D135" s="771" t="s">
        <v>2863</v>
      </c>
      <c r="E135" s="803"/>
      <c r="F135" s="804"/>
      <c r="G135" s="805"/>
      <c r="H135" s="805"/>
      <c r="I135" s="808">
        <f t="shared" si="13"/>
        <v>0</v>
      </c>
      <c r="J135" s="753"/>
      <c r="K135" s="804"/>
      <c r="X135" s="768" t="b">
        <f t="shared" si="9"/>
        <v>1</v>
      </c>
    </row>
    <row r="136" ht="15" customHeight="1" outlineLevel="2" spans="2:24">
      <c r="B136" s="798" t="s">
        <v>2857</v>
      </c>
      <c r="C136" s="693" t="str">
        <f t="shared" si="11"/>
        <v>深圳新阳蓝光能源管理科技股份有限公司</v>
      </c>
      <c r="D136" s="771" t="s">
        <v>2863</v>
      </c>
      <c r="E136" s="803"/>
      <c r="F136" s="804"/>
      <c r="G136" s="805"/>
      <c r="H136" s="805"/>
      <c r="I136" s="808">
        <f t="shared" si="13"/>
        <v>0</v>
      </c>
      <c r="J136" s="753"/>
      <c r="K136" s="804"/>
      <c r="X136" s="768" t="b">
        <f t="shared" ref="X136:X199" si="14">EXACT(A136,E136)</f>
        <v>1</v>
      </c>
    </row>
    <row r="137" ht="15" customHeight="1" outlineLevel="2" spans="2:24">
      <c r="B137" s="798" t="s">
        <v>2857</v>
      </c>
      <c r="C137" s="693" t="str">
        <f t="shared" si="11"/>
        <v>深圳新阳蓝光能源管理科技股份有限公司</v>
      </c>
      <c r="D137" s="771" t="s">
        <v>2863</v>
      </c>
      <c r="E137" s="803"/>
      <c r="F137" s="804"/>
      <c r="G137" s="805"/>
      <c r="H137" s="805"/>
      <c r="I137" s="808">
        <f t="shared" si="13"/>
        <v>0</v>
      </c>
      <c r="J137" s="753"/>
      <c r="K137" s="804"/>
      <c r="X137" s="768" t="b">
        <f t="shared" si="14"/>
        <v>1</v>
      </c>
    </row>
    <row r="138" ht="15" customHeight="1" outlineLevel="2" spans="1:24">
      <c r="A138" s="739" t="s">
        <v>2867</v>
      </c>
      <c r="B138" s="798" t="s">
        <v>2857</v>
      </c>
      <c r="C138" s="693" t="str">
        <f t="shared" si="11"/>
        <v>深圳新阳蓝光能源管理科技股份有限公司</v>
      </c>
      <c r="D138" s="771" t="s">
        <v>2863</v>
      </c>
      <c r="E138" s="801" t="s">
        <v>2868</v>
      </c>
      <c r="F138" s="802">
        <f>SUM(F139:F148)</f>
        <v>0</v>
      </c>
      <c r="G138" s="802">
        <f t="shared" ref="G138:H138" si="15">SUM(G139:G148)</f>
        <v>0</v>
      </c>
      <c r="H138" s="802">
        <f t="shared" si="15"/>
        <v>0</v>
      </c>
      <c r="I138" s="808">
        <f t="shared" si="13"/>
        <v>0</v>
      </c>
      <c r="J138" s="731"/>
      <c r="K138" s="822"/>
      <c r="X138" s="768" t="b">
        <f t="shared" si="14"/>
        <v>1</v>
      </c>
    </row>
    <row r="139" ht="15" customHeight="1" outlineLevel="2" spans="2:24">
      <c r="B139" s="798" t="s">
        <v>2857</v>
      </c>
      <c r="C139" s="693" t="str">
        <f t="shared" si="11"/>
        <v>深圳新阳蓝光能源管理科技股份有限公司</v>
      </c>
      <c r="D139" s="771" t="s">
        <v>2863</v>
      </c>
      <c r="E139" s="803"/>
      <c r="F139" s="804"/>
      <c r="G139" s="805"/>
      <c r="H139" s="805"/>
      <c r="I139" s="808">
        <f t="shared" si="13"/>
        <v>0</v>
      </c>
      <c r="J139" s="753"/>
      <c r="K139" s="804"/>
      <c r="X139" s="768" t="b">
        <f t="shared" si="14"/>
        <v>1</v>
      </c>
    </row>
    <row r="140" ht="15" customHeight="1" outlineLevel="2" spans="2:24">
      <c r="B140" s="798" t="s">
        <v>2857</v>
      </c>
      <c r="C140" s="693" t="str">
        <f t="shared" si="11"/>
        <v>深圳新阳蓝光能源管理科技股份有限公司</v>
      </c>
      <c r="D140" s="771" t="s">
        <v>2863</v>
      </c>
      <c r="E140" s="803"/>
      <c r="F140" s="804"/>
      <c r="G140" s="805"/>
      <c r="H140" s="805"/>
      <c r="I140" s="808">
        <f t="shared" si="13"/>
        <v>0</v>
      </c>
      <c r="J140" s="753"/>
      <c r="K140" s="804"/>
      <c r="X140" s="768" t="b">
        <f t="shared" si="14"/>
        <v>1</v>
      </c>
    </row>
    <row r="141" ht="15" customHeight="1" outlineLevel="2" spans="2:24">
      <c r="B141" s="798" t="s">
        <v>2857</v>
      </c>
      <c r="C141" s="693" t="str">
        <f t="shared" si="11"/>
        <v>深圳新阳蓝光能源管理科技股份有限公司</v>
      </c>
      <c r="D141" s="771" t="s">
        <v>2863</v>
      </c>
      <c r="E141" s="803"/>
      <c r="F141" s="804"/>
      <c r="G141" s="805"/>
      <c r="H141" s="805"/>
      <c r="I141" s="808">
        <f t="shared" si="13"/>
        <v>0</v>
      </c>
      <c r="J141" s="753"/>
      <c r="K141" s="804"/>
      <c r="X141" s="768" t="b">
        <f t="shared" si="14"/>
        <v>1</v>
      </c>
    </row>
    <row r="142" ht="15" customHeight="1" outlineLevel="2" spans="2:24">
      <c r="B142" s="798" t="s">
        <v>2857</v>
      </c>
      <c r="C142" s="693" t="str">
        <f t="shared" si="11"/>
        <v>深圳新阳蓝光能源管理科技股份有限公司</v>
      </c>
      <c r="D142" s="771" t="s">
        <v>2863</v>
      </c>
      <c r="E142" s="803"/>
      <c r="F142" s="804"/>
      <c r="G142" s="805"/>
      <c r="H142" s="805"/>
      <c r="I142" s="808">
        <f t="shared" si="13"/>
        <v>0</v>
      </c>
      <c r="J142" s="753"/>
      <c r="K142" s="804"/>
      <c r="X142" s="768" t="b">
        <f t="shared" si="14"/>
        <v>1</v>
      </c>
    </row>
    <row r="143" ht="15" customHeight="1" outlineLevel="2" spans="2:24">
      <c r="B143" s="798" t="s">
        <v>2857</v>
      </c>
      <c r="C143" s="693" t="str">
        <f t="shared" si="11"/>
        <v>深圳新阳蓝光能源管理科技股份有限公司</v>
      </c>
      <c r="D143" s="771" t="s">
        <v>2863</v>
      </c>
      <c r="E143" s="803"/>
      <c r="F143" s="804"/>
      <c r="G143" s="805"/>
      <c r="H143" s="805"/>
      <c r="I143" s="808">
        <f t="shared" si="13"/>
        <v>0</v>
      </c>
      <c r="J143" s="753"/>
      <c r="K143" s="804"/>
      <c r="X143" s="768" t="b">
        <f t="shared" si="14"/>
        <v>1</v>
      </c>
    </row>
    <row r="144" ht="15" customHeight="1" outlineLevel="2" spans="2:24">
      <c r="B144" s="798" t="s">
        <v>2857</v>
      </c>
      <c r="C144" s="693" t="str">
        <f t="shared" si="11"/>
        <v>深圳新阳蓝光能源管理科技股份有限公司</v>
      </c>
      <c r="D144" s="771" t="s">
        <v>2863</v>
      </c>
      <c r="E144" s="803"/>
      <c r="F144" s="804"/>
      <c r="G144" s="805"/>
      <c r="H144" s="805"/>
      <c r="I144" s="808">
        <f t="shared" si="13"/>
        <v>0</v>
      </c>
      <c r="J144" s="753"/>
      <c r="K144" s="804"/>
      <c r="X144" s="768" t="b">
        <f t="shared" si="14"/>
        <v>1</v>
      </c>
    </row>
    <row r="145" ht="15" customHeight="1" outlineLevel="2" spans="2:24">
      <c r="B145" s="798" t="s">
        <v>2857</v>
      </c>
      <c r="C145" s="693" t="str">
        <f t="shared" si="11"/>
        <v>深圳新阳蓝光能源管理科技股份有限公司</v>
      </c>
      <c r="D145" s="771" t="s">
        <v>2863</v>
      </c>
      <c r="E145" s="803"/>
      <c r="F145" s="804"/>
      <c r="G145" s="805"/>
      <c r="H145" s="805"/>
      <c r="I145" s="808">
        <f t="shared" si="13"/>
        <v>0</v>
      </c>
      <c r="J145" s="753"/>
      <c r="K145" s="804"/>
      <c r="X145" s="768" t="b">
        <f t="shared" si="14"/>
        <v>1</v>
      </c>
    </row>
    <row r="146" ht="15" customHeight="1" outlineLevel="2" spans="2:24">
      <c r="B146" s="798" t="s">
        <v>2857</v>
      </c>
      <c r="C146" s="693" t="str">
        <f t="shared" si="11"/>
        <v>深圳新阳蓝光能源管理科技股份有限公司</v>
      </c>
      <c r="D146" s="771" t="s">
        <v>2863</v>
      </c>
      <c r="E146" s="803"/>
      <c r="F146" s="804"/>
      <c r="G146" s="805"/>
      <c r="H146" s="805"/>
      <c r="I146" s="808">
        <f t="shared" si="13"/>
        <v>0</v>
      </c>
      <c r="J146" s="753"/>
      <c r="K146" s="804"/>
      <c r="X146" s="768" t="b">
        <f t="shared" si="14"/>
        <v>1</v>
      </c>
    </row>
    <row r="147" ht="15" customHeight="1" outlineLevel="2" spans="2:24">
      <c r="B147" s="798" t="s">
        <v>2857</v>
      </c>
      <c r="C147" s="693" t="str">
        <f t="shared" si="11"/>
        <v>深圳新阳蓝光能源管理科技股份有限公司</v>
      </c>
      <c r="D147" s="771" t="s">
        <v>2863</v>
      </c>
      <c r="E147" s="803"/>
      <c r="F147" s="804"/>
      <c r="G147" s="805"/>
      <c r="H147" s="805"/>
      <c r="I147" s="808">
        <f t="shared" si="13"/>
        <v>0</v>
      </c>
      <c r="J147" s="753"/>
      <c r="K147" s="804"/>
      <c r="X147" s="768" t="b">
        <f t="shared" si="14"/>
        <v>1</v>
      </c>
    </row>
    <row r="148" ht="15" customHeight="1" outlineLevel="2" spans="2:24">
      <c r="B148" s="798" t="s">
        <v>2857</v>
      </c>
      <c r="C148" s="693" t="str">
        <f t="shared" si="11"/>
        <v>深圳新阳蓝光能源管理科技股份有限公司</v>
      </c>
      <c r="D148" s="771" t="s">
        <v>2863</v>
      </c>
      <c r="E148" s="803"/>
      <c r="F148" s="804"/>
      <c r="G148" s="805"/>
      <c r="H148" s="805"/>
      <c r="I148" s="808">
        <f t="shared" si="13"/>
        <v>0</v>
      </c>
      <c r="J148" s="753"/>
      <c r="K148" s="804"/>
      <c r="X148" s="768" t="b">
        <f t="shared" si="14"/>
        <v>1</v>
      </c>
    </row>
    <row r="149" ht="15" customHeight="1" outlineLevel="2" spans="1:24">
      <c r="A149" s="739" t="s">
        <v>2021</v>
      </c>
      <c r="B149" s="798" t="s">
        <v>2857</v>
      </c>
      <c r="C149" s="693" t="str">
        <f t="shared" si="11"/>
        <v>深圳新阳蓝光能源管理科技股份有限公司</v>
      </c>
      <c r="D149" s="771" t="s">
        <v>2863</v>
      </c>
      <c r="E149" s="801" t="s">
        <v>2021</v>
      </c>
      <c r="F149" s="810">
        <f>F138+F127</f>
        <v>0</v>
      </c>
      <c r="G149" s="810">
        <f t="shared" ref="G149:H149" si="16">G138+G127</f>
        <v>0</v>
      </c>
      <c r="H149" s="810">
        <f t="shared" si="16"/>
        <v>0</v>
      </c>
      <c r="I149" s="808">
        <f t="shared" si="13"/>
        <v>0</v>
      </c>
      <c r="J149" s="731"/>
      <c r="K149" s="822"/>
      <c r="X149" s="768" t="b">
        <f t="shared" si="14"/>
        <v>1</v>
      </c>
    </row>
    <row r="150" ht="15" customHeight="1" outlineLevel="2" spans="1:24">
      <c r="A150" s="739" t="s">
        <v>1723</v>
      </c>
      <c r="B150" s="798" t="s">
        <v>2857</v>
      </c>
      <c r="C150" s="693" t="str">
        <f t="shared" si="11"/>
        <v>深圳新阳蓝光能源管理科技股份有限公司</v>
      </c>
      <c r="D150" s="771" t="s">
        <v>2863</v>
      </c>
      <c r="E150" s="708" t="s">
        <v>1723</v>
      </c>
      <c r="F150" s="811">
        <f>审定资负表!D13</f>
        <v>0</v>
      </c>
      <c r="G150" s="773"/>
      <c r="H150" s="773"/>
      <c r="I150" s="811">
        <f>审定资负表!C13</f>
        <v>0</v>
      </c>
      <c r="J150" s="153"/>
      <c r="X150" s="768" t="b">
        <f t="shared" si="14"/>
        <v>1</v>
      </c>
    </row>
    <row r="151" ht="15" customHeight="1" outlineLevel="1" spans="1:24">
      <c r="A151" s="739" t="s">
        <v>1395</v>
      </c>
      <c r="B151" s="798" t="s">
        <v>2857</v>
      </c>
      <c r="C151" s="693" t="str">
        <f t="shared" si="11"/>
        <v>深圳新阳蓝光能源管理科技股份有限公司</v>
      </c>
      <c r="D151" s="771" t="s">
        <v>2863</v>
      </c>
      <c r="E151" s="711" t="s">
        <v>1395</v>
      </c>
      <c r="F151" s="92">
        <f>ROUND(F149-F150,2)</f>
        <v>0</v>
      </c>
      <c r="G151" s="773"/>
      <c r="H151" s="773"/>
      <c r="I151" s="92">
        <f>ROUND(I149-I150,2)</f>
        <v>0</v>
      </c>
      <c r="J151" s="153"/>
      <c r="X151" s="768" t="b">
        <f t="shared" si="14"/>
        <v>1</v>
      </c>
    </row>
    <row r="152" ht="15" customHeight="1" outlineLevel="2" spans="2:24">
      <c r="B152" s="798" t="s">
        <v>2857</v>
      </c>
      <c r="C152" s="693" t="str">
        <f t="shared" si="11"/>
        <v>深圳新阳蓝光能源管理科技股份有限公司</v>
      </c>
      <c r="D152" s="812"/>
      <c r="E152" s="774"/>
      <c r="F152" s="774"/>
      <c r="G152" s="773"/>
      <c r="H152" s="773"/>
      <c r="I152" s="773"/>
      <c r="J152" s="153"/>
      <c r="X152" s="768" t="b">
        <f t="shared" si="14"/>
        <v>1</v>
      </c>
    </row>
    <row r="153" ht="15" customHeight="1" outlineLevel="2" spans="1:24">
      <c r="A153" s="739" t="s">
        <v>2809</v>
      </c>
      <c r="B153" s="798" t="s">
        <v>2857</v>
      </c>
      <c r="C153" s="693" t="str">
        <f t="shared" si="11"/>
        <v>深圳新阳蓝光能源管理科技股份有限公司</v>
      </c>
      <c r="D153" s="812" t="s">
        <v>2869</v>
      </c>
      <c r="E153" s="774" t="s">
        <v>2829</v>
      </c>
      <c r="F153" s="797"/>
      <c r="G153" s="813"/>
      <c r="H153" s="813"/>
      <c r="I153" s="773"/>
      <c r="J153" s="773"/>
      <c r="K153" s="773"/>
      <c r="L153" s="773"/>
      <c r="X153" s="768" t="b">
        <f t="shared" si="14"/>
        <v>1</v>
      </c>
    </row>
    <row r="154" ht="15" customHeight="1" outlineLevel="2" spans="2:24">
      <c r="B154" s="798" t="s">
        <v>2857</v>
      </c>
      <c r="C154" s="693" t="str">
        <f t="shared" si="11"/>
        <v>深圳新阳蓝光能源管理科技股份有限公司</v>
      </c>
      <c r="D154" s="812" t="s">
        <v>2870</v>
      </c>
      <c r="E154" s="774"/>
      <c r="F154" s="774"/>
      <c r="G154" s="773"/>
      <c r="H154" s="773"/>
      <c r="I154" s="773"/>
      <c r="J154" s="153"/>
      <c r="X154" s="768" t="b">
        <f t="shared" si="14"/>
        <v>1</v>
      </c>
    </row>
    <row r="155" ht="15" customHeight="1" spans="1:24">
      <c r="A155" s="739" t="s">
        <v>2871</v>
      </c>
      <c r="B155" s="692" t="s">
        <v>2872</v>
      </c>
      <c r="C155" s="693" t="str">
        <f t="shared" si="11"/>
        <v>深圳新阳蓝光能源管理科技股份有限公司</v>
      </c>
      <c r="D155" s="812" t="s">
        <v>2861</v>
      </c>
      <c r="E155" s="70" t="s">
        <v>2873</v>
      </c>
      <c r="F155" s="795" t="s">
        <v>2860</v>
      </c>
      <c r="G155" s="773"/>
      <c r="H155" s="773"/>
      <c r="I155" s="773"/>
      <c r="J155" s="153"/>
      <c r="X155" s="768" t="b">
        <f t="shared" si="14"/>
        <v>1</v>
      </c>
    </row>
    <row r="156" ht="15" customHeight="1" outlineLevel="2" spans="1:24">
      <c r="A156" s="739" t="s">
        <v>2861</v>
      </c>
      <c r="B156" s="692" t="s">
        <v>2872</v>
      </c>
      <c r="C156" s="814" t="str">
        <f t="shared" ref="C156:C187" si="17">$G$1</f>
        <v>深圳新阳蓝光能源管理科技股份有限公司</v>
      </c>
      <c r="D156" s="812" t="s">
        <v>2861</v>
      </c>
      <c r="E156" s="799" t="s">
        <v>2862</v>
      </c>
      <c r="F156" s="800"/>
      <c r="G156" s="773"/>
      <c r="H156" s="773"/>
      <c r="I156" s="773"/>
      <c r="J156" s="153"/>
      <c r="X156" s="768" t="b">
        <f t="shared" si="14"/>
        <v>1</v>
      </c>
    </row>
    <row r="157" ht="15" customHeight="1" outlineLevel="2" spans="1:24">
      <c r="A157" s="739" t="s">
        <v>61</v>
      </c>
      <c r="B157" s="692" t="s">
        <v>2872</v>
      </c>
      <c r="C157" s="693" t="str">
        <f t="shared" si="17"/>
        <v>深圳新阳蓝光能源管理科技股份有限公司</v>
      </c>
      <c r="D157" s="812" t="s">
        <v>2861</v>
      </c>
      <c r="E157" s="801" t="s">
        <v>61</v>
      </c>
      <c r="F157" s="801" t="s">
        <v>671</v>
      </c>
      <c r="G157" s="801" t="s">
        <v>672</v>
      </c>
      <c r="H157" s="801" t="s">
        <v>673</v>
      </c>
      <c r="I157" s="801" t="s">
        <v>316</v>
      </c>
      <c r="J157" s="801" t="s">
        <v>421</v>
      </c>
      <c r="K157" s="801" t="s">
        <v>2864</v>
      </c>
      <c r="X157" s="768" t="b">
        <f t="shared" si="14"/>
        <v>1</v>
      </c>
    </row>
    <row r="158" ht="15" customHeight="1" outlineLevel="2" spans="1:24">
      <c r="A158" s="739" t="s">
        <v>2874</v>
      </c>
      <c r="B158" s="692" t="s">
        <v>2872</v>
      </c>
      <c r="C158" s="693" t="str">
        <f t="shared" si="17"/>
        <v>深圳新阳蓝光能源管理科技股份有限公司</v>
      </c>
      <c r="D158" s="812" t="s">
        <v>2861</v>
      </c>
      <c r="E158" s="801" t="s">
        <v>2875</v>
      </c>
      <c r="F158" s="802">
        <f>SUM(F159:F168)</f>
        <v>0</v>
      </c>
      <c r="G158" s="802">
        <f t="shared" ref="G158:H158" si="18">SUM(G159:G168)</f>
        <v>0</v>
      </c>
      <c r="H158" s="802">
        <f t="shared" si="18"/>
        <v>0</v>
      </c>
      <c r="I158" s="808">
        <f>F158+G158-H158</f>
        <v>0</v>
      </c>
      <c r="J158" s="731"/>
      <c r="K158" s="731"/>
      <c r="X158" s="768" t="b">
        <f t="shared" si="14"/>
        <v>1</v>
      </c>
    </row>
    <row r="159" ht="15" customHeight="1" outlineLevel="2" spans="1:24">
      <c r="A159" s="739" t="s">
        <v>2876</v>
      </c>
      <c r="B159" s="692" t="s">
        <v>2872</v>
      </c>
      <c r="C159" s="693" t="str">
        <f t="shared" si="17"/>
        <v>深圳新阳蓝光能源管理科技股份有限公司</v>
      </c>
      <c r="D159" s="812" t="s">
        <v>2861</v>
      </c>
      <c r="E159" s="801" t="s">
        <v>2877</v>
      </c>
      <c r="F159" s="815"/>
      <c r="G159" s="809"/>
      <c r="H159" s="809">
        <v>0</v>
      </c>
      <c r="I159" s="821">
        <f t="shared" ref="I159:I180" si="19">F159+G159-H159</f>
        <v>0</v>
      </c>
      <c r="J159" s="753"/>
      <c r="K159" s="804"/>
      <c r="X159" s="768" t="b">
        <f t="shared" si="14"/>
        <v>0</v>
      </c>
    </row>
    <row r="160" ht="15" customHeight="1" outlineLevel="2" spans="1:24">
      <c r="A160" s="739" t="s">
        <v>2878</v>
      </c>
      <c r="B160" s="692" t="s">
        <v>2872</v>
      </c>
      <c r="C160" s="693" t="str">
        <f t="shared" si="17"/>
        <v>深圳新阳蓝光能源管理科技股份有限公司</v>
      </c>
      <c r="D160" s="812" t="s">
        <v>2861</v>
      </c>
      <c r="E160" s="801" t="s">
        <v>2879</v>
      </c>
      <c r="F160" s="815"/>
      <c r="G160" s="809"/>
      <c r="H160" s="809">
        <v>0</v>
      </c>
      <c r="I160" s="821">
        <f t="shared" si="19"/>
        <v>0</v>
      </c>
      <c r="J160" s="753"/>
      <c r="K160" s="804"/>
      <c r="X160" s="768" t="b">
        <f t="shared" si="14"/>
        <v>0</v>
      </c>
    </row>
    <row r="161" ht="15" customHeight="1" outlineLevel="2" spans="1:24">
      <c r="A161" s="739" t="s">
        <v>2880</v>
      </c>
      <c r="B161" s="692" t="s">
        <v>2872</v>
      </c>
      <c r="C161" s="693" t="str">
        <f t="shared" si="17"/>
        <v>深圳新阳蓝光能源管理科技股份有限公司</v>
      </c>
      <c r="D161" s="812" t="s">
        <v>2861</v>
      </c>
      <c r="E161" s="801" t="s">
        <v>2881</v>
      </c>
      <c r="F161" s="815"/>
      <c r="G161" s="809"/>
      <c r="H161" s="809">
        <v>0</v>
      </c>
      <c r="I161" s="821">
        <f t="shared" si="19"/>
        <v>0</v>
      </c>
      <c r="J161" s="753"/>
      <c r="K161" s="804"/>
      <c r="X161" s="768" t="b">
        <f t="shared" si="14"/>
        <v>0</v>
      </c>
    </row>
    <row r="162" ht="15" customHeight="1" outlineLevel="2" spans="1:24">
      <c r="A162" s="739" t="s">
        <v>2882</v>
      </c>
      <c r="B162" s="692" t="s">
        <v>2872</v>
      </c>
      <c r="C162" s="693" t="str">
        <f t="shared" si="17"/>
        <v>深圳新阳蓝光能源管理科技股份有限公司</v>
      </c>
      <c r="D162" s="812" t="s">
        <v>2861</v>
      </c>
      <c r="E162" s="801" t="s">
        <v>2883</v>
      </c>
      <c r="F162" s="815"/>
      <c r="G162" s="809"/>
      <c r="H162" s="809">
        <v>0</v>
      </c>
      <c r="I162" s="821">
        <f t="shared" si="19"/>
        <v>0</v>
      </c>
      <c r="J162" s="753"/>
      <c r="K162" s="804"/>
      <c r="X162" s="768" t="b">
        <f t="shared" si="14"/>
        <v>0</v>
      </c>
    </row>
    <row r="163" ht="15" customHeight="1" outlineLevel="2" spans="1:24">
      <c r="A163" s="739" t="s">
        <v>2884</v>
      </c>
      <c r="B163" s="692" t="s">
        <v>2872</v>
      </c>
      <c r="C163" s="693" t="str">
        <f t="shared" si="17"/>
        <v>深圳新阳蓝光能源管理科技股份有限公司</v>
      </c>
      <c r="D163" s="812" t="s">
        <v>2861</v>
      </c>
      <c r="E163" s="801" t="s">
        <v>2885</v>
      </c>
      <c r="F163" s="815"/>
      <c r="G163" s="809"/>
      <c r="H163" s="809">
        <v>0</v>
      </c>
      <c r="I163" s="821">
        <f t="shared" si="19"/>
        <v>0</v>
      </c>
      <c r="J163" s="753"/>
      <c r="K163" s="804"/>
      <c r="X163" s="768" t="b">
        <f t="shared" si="14"/>
        <v>0</v>
      </c>
    </row>
    <row r="164" ht="15" customHeight="1" outlineLevel="3" spans="1:24">
      <c r="A164" s="739" t="s">
        <v>2886</v>
      </c>
      <c r="B164" s="692" t="s">
        <v>2872</v>
      </c>
      <c r="C164" s="693" t="str">
        <f t="shared" si="17"/>
        <v>深圳新阳蓝光能源管理科技股份有限公司</v>
      </c>
      <c r="D164" s="812" t="s">
        <v>2861</v>
      </c>
      <c r="E164" s="816" t="s">
        <v>2887</v>
      </c>
      <c r="F164" s="815"/>
      <c r="G164" s="809"/>
      <c r="H164" s="809">
        <v>0</v>
      </c>
      <c r="I164" s="821">
        <f t="shared" si="19"/>
        <v>0</v>
      </c>
      <c r="J164" s="753"/>
      <c r="K164" s="804"/>
      <c r="X164" s="768" t="b">
        <f t="shared" si="14"/>
        <v>0</v>
      </c>
    </row>
    <row r="165" ht="15" customHeight="1" outlineLevel="3" spans="1:24">
      <c r="A165" s="739" t="s">
        <v>2888</v>
      </c>
      <c r="B165" s="692" t="s">
        <v>2872</v>
      </c>
      <c r="C165" s="693" t="str">
        <f t="shared" si="17"/>
        <v>深圳新阳蓝光能源管理科技股份有限公司</v>
      </c>
      <c r="D165" s="812" t="s">
        <v>2861</v>
      </c>
      <c r="E165" s="816" t="s">
        <v>2889</v>
      </c>
      <c r="F165" s="815"/>
      <c r="G165" s="809"/>
      <c r="H165" s="809">
        <v>0</v>
      </c>
      <c r="I165" s="821">
        <f t="shared" si="19"/>
        <v>0</v>
      </c>
      <c r="J165" s="753"/>
      <c r="K165" s="804"/>
      <c r="X165" s="768" t="b">
        <f t="shared" si="14"/>
        <v>1</v>
      </c>
    </row>
    <row r="166" ht="15" customHeight="1" outlineLevel="3" spans="1:24">
      <c r="A166" s="739" t="s">
        <v>2890</v>
      </c>
      <c r="B166" s="692" t="s">
        <v>2872</v>
      </c>
      <c r="C166" s="693" t="str">
        <f t="shared" si="17"/>
        <v>深圳新阳蓝光能源管理科技股份有限公司</v>
      </c>
      <c r="D166" s="812" t="s">
        <v>2861</v>
      </c>
      <c r="E166" s="816" t="s">
        <v>2891</v>
      </c>
      <c r="F166" s="815"/>
      <c r="G166" s="809"/>
      <c r="H166" s="809">
        <v>0</v>
      </c>
      <c r="I166" s="821">
        <f t="shared" si="19"/>
        <v>0</v>
      </c>
      <c r="J166" s="753"/>
      <c r="K166" s="804"/>
      <c r="X166" s="768" t="b">
        <f t="shared" si="14"/>
        <v>1</v>
      </c>
    </row>
    <row r="167" ht="15" customHeight="1" outlineLevel="3" spans="1:24">
      <c r="A167" s="739" t="s">
        <v>2892</v>
      </c>
      <c r="B167" s="692" t="s">
        <v>2872</v>
      </c>
      <c r="C167" s="693" t="str">
        <f t="shared" si="17"/>
        <v>深圳新阳蓝光能源管理科技股份有限公司</v>
      </c>
      <c r="D167" s="812" t="s">
        <v>2861</v>
      </c>
      <c r="E167" s="816" t="s">
        <v>2893</v>
      </c>
      <c r="F167" s="815"/>
      <c r="G167" s="809"/>
      <c r="H167" s="809">
        <v>0</v>
      </c>
      <c r="I167" s="821">
        <f t="shared" si="19"/>
        <v>0</v>
      </c>
      <c r="J167" s="753"/>
      <c r="K167" s="804"/>
      <c r="X167" s="768" t="b">
        <f t="shared" si="14"/>
        <v>1</v>
      </c>
    </row>
    <row r="168" ht="15" customHeight="1" outlineLevel="3" spans="1:24">
      <c r="A168" s="739" t="s">
        <v>2894</v>
      </c>
      <c r="B168" s="692" t="s">
        <v>2872</v>
      </c>
      <c r="C168" s="693" t="str">
        <f t="shared" si="17"/>
        <v>深圳新阳蓝光能源管理科技股份有限公司</v>
      </c>
      <c r="D168" s="812" t="s">
        <v>2861</v>
      </c>
      <c r="E168" s="816" t="s">
        <v>2895</v>
      </c>
      <c r="F168" s="815"/>
      <c r="G168" s="809"/>
      <c r="H168" s="809">
        <v>0</v>
      </c>
      <c r="I168" s="821">
        <f t="shared" si="19"/>
        <v>0</v>
      </c>
      <c r="J168" s="753"/>
      <c r="K168" s="804"/>
      <c r="X168" s="768" t="b">
        <f t="shared" si="14"/>
        <v>1</v>
      </c>
    </row>
    <row r="169" ht="15" customHeight="1" outlineLevel="2" spans="1:24">
      <c r="A169" s="739" t="s">
        <v>2896</v>
      </c>
      <c r="B169" s="692" t="s">
        <v>2872</v>
      </c>
      <c r="C169" s="693" t="str">
        <f t="shared" si="17"/>
        <v>深圳新阳蓝光能源管理科技股份有限公司</v>
      </c>
      <c r="D169" s="812" t="s">
        <v>2861</v>
      </c>
      <c r="E169" s="801" t="s">
        <v>2897</v>
      </c>
      <c r="F169" s="802">
        <f>SUM(F170:F179)</f>
        <v>5230925.94089743</v>
      </c>
      <c r="G169" s="802">
        <f t="shared" ref="G169:H169" si="20">SUM(G170:G179)</f>
        <v>0</v>
      </c>
      <c r="H169" s="802">
        <f t="shared" si="20"/>
        <v>0</v>
      </c>
      <c r="I169" s="821">
        <f t="shared" si="19"/>
        <v>5230925.94089743</v>
      </c>
      <c r="J169" s="731"/>
      <c r="K169" s="822"/>
      <c r="X169" s="768" t="b">
        <f t="shared" si="14"/>
        <v>1</v>
      </c>
    </row>
    <row r="170" ht="15" customHeight="1" outlineLevel="2" spans="1:24">
      <c r="A170" s="739" t="s">
        <v>2876</v>
      </c>
      <c r="B170" s="692" t="s">
        <v>2872</v>
      </c>
      <c r="C170" s="693" t="str">
        <f t="shared" si="17"/>
        <v>深圳新阳蓝光能源管理科技股份有限公司</v>
      </c>
      <c r="D170" s="812" t="s">
        <v>2861</v>
      </c>
      <c r="E170" s="801" t="s">
        <v>2898</v>
      </c>
      <c r="F170" s="815"/>
      <c r="G170" s="809"/>
      <c r="H170" s="809"/>
      <c r="I170" s="821">
        <f t="shared" si="19"/>
        <v>0</v>
      </c>
      <c r="J170" s="753"/>
      <c r="K170" s="804"/>
      <c r="X170" s="768" t="b">
        <f t="shared" si="14"/>
        <v>0</v>
      </c>
    </row>
    <row r="171" ht="15" customHeight="1" outlineLevel="2" spans="1:24">
      <c r="A171" s="739" t="s">
        <v>2878</v>
      </c>
      <c r="B171" s="692" t="s">
        <v>2872</v>
      </c>
      <c r="C171" s="693" t="str">
        <f t="shared" si="17"/>
        <v>深圳新阳蓝光能源管理科技股份有限公司</v>
      </c>
      <c r="D171" s="812" t="s">
        <v>2861</v>
      </c>
      <c r="E171" s="801" t="s">
        <v>2879</v>
      </c>
      <c r="F171" s="815">
        <v>5230925.94089743</v>
      </c>
      <c r="G171" s="809"/>
      <c r="H171" s="809"/>
      <c r="I171" s="821">
        <f t="shared" si="19"/>
        <v>5230925.94089743</v>
      </c>
      <c r="J171" s="753"/>
      <c r="K171" s="804"/>
      <c r="X171" s="768" t="b">
        <f t="shared" si="14"/>
        <v>0</v>
      </c>
    </row>
    <row r="172" ht="15" customHeight="1" outlineLevel="2" spans="1:24">
      <c r="A172" s="739" t="s">
        <v>2880</v>
      </c>
      <c r="B172" s="692" t="s">
        <v>2872</v>
      </c>
      <c r="C172" s="693" t="str">
        <f t="shared" si="17"/>
        <v>深圳新阳蓝光能源管理科技股份有限公司</v>
      </c>
      <c r="D172" s="812" t="s">
        <v>2861</v>
      </c>
      <c r="E172" s="801" t="s">
        <v>2881</v>
      </c>
      <c r="F172" s="815"/>
      <c r="G172" s="809"/>
      <c r="H172" s="809"/>
      <c r="I172" s="821">
        <f t="shared" si="19"/>
        <v>0</v>
      </c>
      <c r="J172" s="753"/>
      <c r="K172" s="804"/>
      <c r="X172" s="768" t="b">
        <f t="shared" si="14"/>
        <v>0</v>
      </c>
    </row>
    <row r="173" ht="15" customHeight="1" outlineLevel="2" spans="1:24">
      <c r="A173" s="739" t="s">
        <v>2882</v>
      </c>
      <c r="B173" s="692" t="s">
        <v>2872</v>
      </c>
      <c r="C173" s="693" t="str">
        <f t="shared" si="17"/>
        <v>深圳新阳蓝光能源管理科技股份有限公司</v>
      </c>
      <c r="D173" s="812" t="s">
        <v>2861</v>
      </c>
      <c r="E173" s="801" t="s">
        <v>2883</v>
      </c>
      <c r="F173" s="815"/>
      <c r="G173" s="809"/>
      <c r="H173" s="809"/>
      <c r="I173" s="821">
        <f t="shared" si="19"/>
        <v>0</v>
      </c>
      <c r="J173" s="753"/>
      <c r="K173" s="804"/>
      <c r="X173" s="768" t="b">
        <f t="shared" si="14"/>
        <v>0</v>
      </c>
    </row>
    <row r="174" ht="15" customHeight="1" outlineLevel="2" spans="1:24">
      <c r="A174" s="739" t="s">
        <v>2884</v>
      </c>
      <c r="B174" s="692" t="s">
        <v>2872</v>
      </c>
      <c r="C174" s="693" t="str">
        <f t="shared" si="17"/>
        <v>深圳新阳蓝光能源管理科技股份有限公司</v>
      </c>
      <c r="D174" s="812" t="s">
        <v>2861</v>
      </c>
      <c r="E174" s="801" t="s">
        <v>2885</v>
      </c>
      <c r="F174" s="815"/>
      <c r="G174" s="809"/>
      <c r="H174" s="809"/>
      <c r="I174" s="821">
        <f t="shared" si="19"/>
        <v>0</v>
      </c>
      <c r="J174" s="753"/>
      <c r="K174" s="804"/>
      <c r="X174" s="768" t="b">
        <f t="shared" si="14"/>
        <v>0</v>
      </c>
    </row>
    <row r="175" ht="15" customHeight="1" outlineLevel="3" spans="1:24">
      <c r="A175" s="739" t="s">
        <v>2886</v>
      </c>
      <c r="B175" s="692" t="s">
        <v>2872</v>
      </c>
      <c r="C175" s="693" t="str">
        <f t="shared" si="17"/>
        <v>深圳新阳蓝光能源管理科技股份有限公司</v>
      </c>
      <c r="D175" s="812" t="s">
        <v>2861</v>
      </c>
      <c r="E175" s="816" t="str">
        <f>E164</f>
        <v>5理财产品计提应收利息</v>
      </c>
      <c r="F175" s="815"/>
      <c r="G175" s="809"/>
      <c r="H175" s="809"/>
      <c r="I175" s="821">
        <f t="shared" si="19"/>
        <v>0</v>
      </c>
      <c r="J175" s="753"/>
      <c r="K175" s="804"/>
      <c r="X175" s="768" t="b">
        <f t="shared" si="14"/>
        <v>0</v>
      </c>
    </row>
    <row r="176" ht="15" customHeight="1" outlineLevel="3" spans="1:24">
      <c r="A176" s="739" t="s">
        <v>2888</v>
      </c>
      <c r="B176" s="692" t="s">
        <v>2872</v>
      </c>
      <c r="C176" s="693" t="str">
        <f t="shared" si="17"/>
        <v>深圳新阳蓝光能源管理科技股份有限公司</v>
      </c>
      <c r="D176" s="812" t="s">
        <v>2861</v>
      </c>
      <c r="E176" s="816" t="s">
        <v>2889</v>
      </c>
      <c r="F176" s="815"/>
      <c r="G176" s="809"/>
      <c r="H176" s="809"/>
      <c r="I176" s="821">
        <f t="shared" si="19"/>
        <v>0</v>
      </c>
      <c r="J176" s="753"/>
      <c r="K176" s="804"/>
      <c r="X176" s="768" t="b">
        <f t="shared" si="14"/>
        <v>1</v>
      </c>
    </row>
    <row r="177" ht="15" customHeight="1" outlineLevel="3" spans="1:24">
      <c r="A177" s="739" t="s">
        <v>2890</v>
      </c>
      <c r="B177" s="692" t="s">
        <v>2872</v>
      </c>
      <c r="C177" s="693" t="str">
        <f t="shared" si="17"/>
        <v>深圳新阳蓝光能源管理科技股份有限公司</v>
      </c>
      <c r="D177" s="812" t="s">
        <v>2861</v>
      </c>
      <c r="E177" s="816" t="s">
        <v>2891</v>
      </c>
      <c r="F177" s="815"/>
      <c r="G177" s="809"/>
      <c r="H177" s="809"/>
      <c r="I177" s="821">
        <f t="shared" si="19"/>
        <v>0</v>
      </c>
      <c r="J177" s="753"/>
      <c r="K177" s="804"/>
      <c r="X177" s="768" t="b">
        <f t="shared" si="14"/>
        <v>1</v>
      </c>
    </row>
    <row r="178" ht="15" customHeight="1" outlineLevel="3" spans="1:24">
      <c r="A178" s="739" t="s">
        <v>2892</v>
      </c>
      <c r="B178" s="692" t="s">
        <v>2872</v>
      </c>
      <c r="C178" s="693" t="str">
        <f t="shared" si="17"/>
        <v>深圳新阳蓝光能源管理科技股份有限公司</v>
      </c>
      <c r="D178" s="812" t="s">
        <v>2861</v>
      </c>
      <c r="E178" s="816" t="s">
        <v>2893</v>
      </c>
      <c r="F178" s="815"/>
      <c r="G178" s="809"/>
      <c r="H178" s="809"/>
      <c r="I178" s="821">
        <f t="shared" si="19"/>
        <v>0</v>
      </c>
      <c r="J178" s="753"/>
      <c r="K178" s="804"/>
      <c r="X178" s="768" t="b">
        <f t="shared" si="14"/>
        <v>1</v>
      </c>
    </row>
    <row r="179" ht="15" customHeight="1" outlineLevel="3" spans="1:24">
      <c r="A179" s="739" t="s">
        <v>2894</v>
      </c>
      <c r="B179" s="692" t="s">
        <v>2872</v>
      </c>
      <c r="C179" s="693" t="str">
        <f t="shared" si="17"/>
        <v>深圳新阳蓝光能源管理科技股份有限公司</v>
      </c>
      <c r="D179" s="812" t="s">
        <v>2861</v>
      </c>
      <c r="E179" s="816" t="s">
        <v>2895</v>
      </c>
      <c r="F179" s="815"/>
      <c r="G179" s="809"/>
      <c r="H179" s="809"/>
      <c r="I179" s="821">
        <f t="shared" si="19"/>
        <v>0</v>
      </c>
      <c r="J179" s="753"/>
      <c r="K179" s="804"/>
      <c r="X179" s="768" t="b">
        <f t="shared" si="14"/>
        <v>1</v>
      </c>
    </row>
    <row r="180" ht="15" customHeight="1" outlineLevel="2" spans="1:24">
      <c r="A180" s="739" t="s">
        <v>2021</v>
      </c>
      <c r="B180" s="692" t="s">
        <v>2872</v>
      </c>
      <c r="C180" s="693" t="str">
        <f t="shared" si="17"/>
        <v>深圳新阳蓝光能源管理科技股份有限公司</v>
      </c>
      <c r="D180" s="812" t="s">
        <v>2861</v>
      </c>
      <c r="E180" s="801" t="s">
        <v>2021</v>
      </c>
      <c r="F180" s="802">
        <f>F169+F158</f>
        <v>5230925.94089743</v>
      </c>
      <c r="G180" s="802">
        <f t="shared" ref="G180:H180" si="21">G169+G158</f>
        <v>0</v>
      </c>
      <c r="H180" s="802">
        <f t="shared" si="21"/>
        <v>0</v>
      </c>
      <c r="I180" s="821">
        <f t="shared" si="19"/>
        <v>5230925.94089743</v>
      </c>
      <c r="J180" s="731"/>
      <c r="K180" s="822"/>
      <c r="X180" s="768" t="b">
        <f t="shared" si="14"/>
        <v>1</v>
      </c>
    </row>
    <row r="181" ht="15" customHeight="1" outlineLevel="2" spans="1:24">
      <c r="A181" s="739" t="s">
        <v>1723</v>
      </c>
      <c r="B181" s="692" t="s">
        <v>2872</v>
      </c>
      <c r="C181" s="693" t="str">
        <f t="shared" si="17"/>
        <v>深圳新阳蓝光能源管理科技股份有限公司</v>
      </c>
      <c r="D181" s="812" t="s">
        <v>2861</v>
      </c>
      <c r="E181" s="708" t="s">
        <v>1723</v>
      </c>
      <c r="F181" s="817">
        <f>审定资负表!D12</f>
        <v>5230925.94</v>
      </c>
      <c r="G181" s="818"/>
      <c r="H181" s="818"/>
      <c r="I181" s="817">
        <f>审定资负表!C12</f>
        <v>5230925.94</v>
      </c>
      <c r="J181" s="153"/>
      <c r="X181" s="768" t="b">
        <f t="shared" si="14"/>
        <v>1</v>
      </c>
    </row>
    <row r="182" ht="15" customHeight="1" outlineLevel="1" collapsed="1" spans="1:24">
      <c r="A182" s="739" t="s">
        <v>1395</v>
      </c>
      <c r="B182" s="692" t="s">
        <v>2872</v>
      </c>
      <c r="C182" s="693" t="str">
        <f t="shared" si="17"/>
        <v>深圳新阳蓝光能源管理科技股份有限公司</v>
      </c>
      <c r="D182" s="812" t="s">
        <v>2861</v>
      </c>
      <c r="E182" s="711" t="s">
        <v>1395</v>
      </c>
      <c r="F182" s="92">
        <f>ROUND(F180-F181,2)</f>
        <v>0</v>
      </c>
      <c r="G182" s="818"/>
      <c r="H182" s="818"/>
      <c r="I182" s="92">
        <f>ROUND(I180-I181,2)</f>
        <v>0</v>
      </c>
      <c r="J182" s="153"/>
      <c r="X182" s="768" t="b">
        <f t="shared" si="14"/>
        <v>1</v>
      </c>
    </row>
    <row r="183" ht="15" hidden="1" customHeight="1" outlineLevel="2" spans="2:24">
      <c r="B183" s="692" t="s">
        <v>2872</v>
      </c>
      <c r="C183" s="693" t="str">
        <f t="shared" si="17"/>
        <v>深圳新阳蓝光能源管理科技股份有限公司</v>
      </c>
      <c r="D183" s="812" t="s">
        <v>2861</v>
      </c>
      <c r="E183" s="711"/>
      <c r="F183" s="711"/>
      <c r="G183" s="711"/>
      <c r="H183" s="711"/>
      <c r="I183" s="711"/>
      <c r="J183" s="153"/>
      <c r="X183" s="768" t="b">
        <f t="shared" si="14"/>
        <v>1</v>
      </c>
    </row>
    <row r="184" ht="15" hidden="1" customHeight="1" outlineLevel="2" spans="1:24">
      <c r="A184" s="739" t="s">
        <v>2899</v>
      </c>
      <c r="B184" s="692" t="s">
        <v>2872</v>
      </c>
      <c r="C184" s="693" t="str">
        <f t="shared" si="17"/>
        <v>深圳新阳蓝光能源管理科技股份有限公司</v>
      </c>
      <c r="D184" s="819" t="s">
        <v>2900</v>
      </c>
      <c r="E184" s="751" t="s">
        <v>2901</v>
      </c>
      <c r="F184" s="711"/>
      <c r="G184" s="711"/>
      <c r="H184" s="711"/>
      <c r="I184" s="711"/>
      <c r="J184" s="153"/>
      <c r="X184" s="768" t="b">
        <f t="shared" si="14"/>
        <v>1</v>
      </c>
    </row>
    <row r="185" ht="15" hidden="1" customHeight="1" outlineLevel="2" spans="1:24">
      <c r="A185" s="739" t="s">
        <v>993</v>
      </c>
      <c r="B185" s="692" t="s">
        <v>2872</v>
      </c>
      <c r="C185" s="693" t="str">
        <f t="shared" si="17"/>
        <v>深圳新阳蓝光能源管理科技股份有限公司</v>
      </c>
      <c r="D185" s="819" t="s">
        <v>2900</v>
      </c>
      <c r="E185" s="801" t="s">
        <v>993</v>
      </c>
      <c r="F185" s="801" t="s">
        <v>1143</v>
      </c>
      <c r="G185" s="801" t="s">
        <v>2902</v>
      </c>
      <c r="H185" s="711"/>
      <c r="I185" s="711"/>
      <c r="J185" s="711"/>
      <c r="X185" s="768" t="b">
        <f t="shared" si="14"/>
        <v>1</v>
      </c>
    </row>
    <row r="186" ht="15" hidden="1" customHeight="1" outlineLevel="2" spans="2:24">
      <c r="B186" s="692" t="s">
        <v>2872</v>
      </c>
      <c r="C186" s="693" t="str">
        <f t="shared" si="17"/>
        <v>深圳新阳蓝光能源管理科技股份有限公司</v>
      </c>
      <c r="D186" s="819" t="s">
        <v>2903</v>
      </c>
      <c r="E186" s="820"/>
      <c r="F186" s="820"/>
      <c r="G186" s="820"/>
      <c r="H186" s="711"/>
      <c r="I186" s="711"/>
      <c r="J186" s="711"/>
      <c r="X186" s="768" t="b">
        <f t="shared" si="14"/>
        <v>1</v>
      </c>
    </row>
    <row r="187" ht="15" hidden="1" customHeight="1" outlineLevel="2" spans="2:24">
      <c r="B187" s="692" t="s">
        <v>2872</v>
      </c>
      <c r="C187" s="693" t="str">
        <f t="shared" si="17"/>
        <v>深圳新阳蓝光能源管理科技股份有限公司</v>
      </c>
      <c r="D187" s="819" t="s">
        <v>2903</v>
      </c>
      <c r="E187" s="820"/>
      <c r="F187" s="820"/>
      <c r="G187" s="820"/>
      <c r="H187" s="711"/>
      <c r="I187" s="711"/>
      <c r="J187" s="711"/>
      <c r="X187" s="768" t="b">
        <f t="shared" si="14"/>
        <v>1</v>
      </c>
    </row>
    <row r="188" ht="15" hidden="1" customHeight="1" outlineLevel="2" spans="2:24">
      <c r="B188" s="692" t="s">
        <v>2872</v>
      </c>
      <c r="C188" s="693" t="str">
        <f t="shared" ref="C188:C217" si="22">$G$1</f>
        <v>深圳新阳蓝光能源管理科技股份有限公司</v>
      </c>
      <c r="D188" s="819" t="s">
        <v>2903</v>
      </c>
      <c r="E188" s="820"/>
      <c r="F188" s="820"/>
      <c r="G188" s="820"/>
      <c r="H188" s="711"/>
      <c r="I188" s="711"/>
      <c r="J188" s="711"/>
      <c r="X188" s="768" t="b">
        <f t="shared" si="14"/>
        <v>1</v>
      </c>
    </row>
    <row r="189" ht="15" hidden="1" customHeight="1" outlineLevel="2" spans="2:24">
      <c r="B189" s="692" t="s">
        <v>2872</v>
      </c>
      <c r="C189" s="693" t="str">
        <f t="shared" si="22"/>
        <v>深圳新阳蓝光能源管理科技股份有限公司</v>
      </c>
      <c r="D189" s="819" t="s">
        <v>2903</v>
      </c>
      <c r="E189" s="820"/>
      <c r="F189" s="820"/>
      <c r="G189" s="820"/>
      <c r="H189" s="711"/>
      <c r="I189" s="711"/>
      <c r="J189" s="711"/>
      <c r="X189" s="768" t="b">
        <f t="shared" si="14"/>
        <v>1</v>
      </c>
    </row>
    <row r="190" ht="15" hidden="1" customHeight="1" outlineLevel="2" spans="2:24">
      <c r="B190" s="692" t="s">
        <v>2872</v>
      </c>
      <c r="C190" s="693" t="str">
        <f t="shared" si="22"/>
        <v>深圳新阳蓝光能源管理科技股份有限公司</v>
      </c>
      <c r="D190" s="819" t="s">
        <v>2903</v>
      </c>
      <c r="E190" s="820"/>
      <c r="F190" s="820"/>
      <c r="G190" s="820"/>
      <c r="H190" s="711"/>
      <c r="I190" s="711"/>
      <c r="J190" s="711"/>
      <c r="X190" s="768" t="b">
        <f t="shared" si="14"/>
        <v>1</v>
      </c>
    </row>
    <row r="191" ht="15" hidden="1" customHeight="1" outlineLevel="2" spans="1:24">
      <c r="A191" s="739" t="s">
        <v>2021</v>
      </c>
      <c r="B191" s="692" t="s">
        <v>2872</v>
      </c>
      <c r="C191" s="693" t="str">
        <f t="shared" si="22"/>
        <v>深圳新阳蓝光能源管理科技股份有限公司</v>
      </c>
      <c r="D191" s="819" t="s">
        <v>2903</v>
      </c>
      <c r="E191" s="801" t="s">
        <v>2021</v>
      </c>
      <c r="F191" s="801"/>
      <c r="G191" s="821">
        <f>SUM(G186:G190)</f>
        <v>0</v>
      </c>
      <c r="H191" s="711"/>
      <c r="I191" s="711"/>
      <c r="J191" s="711"/>
      <c r="X191" s="768" t="b">
        <f t="shared" si="14"/>
        <v>1</v>
      </c>
    </row>
    <row r="192" ht="15" hidden="1" customHeight="1" outlineLevel="2" spans="2:24">
      <c r="B192" s="692" t="s">
        <v>2872</v>
      </c>
      <c r="C192" s="693" t="str">
        <f t="shared" si="22"/>
        <v>深圳新阳蓝光能源管理科技股份有限公司</v>
      </c>
      <c r="D192" s="819" t="s">
        <v>2903</v>
      </c>
      <c r="E192" s="711"/>
      <c r="F192" s="711"/>
      <c r="G192" s="711"/>
      <c r="H192" s="711"/>
      <c r="I192" s="711"/>
      <c r="J192" s="711"/>
      <c r="X192" s="768" t="b">
        <f t="shared" si="14"/>
        <v>1</v>
      </c>
    </row>
    <row r="193" ht="15" hidden="1" customHeight="1" outlineLevel="2" spans="2:24">
      <c r="B193" s="692" t="s">
        <v>2872</v>
      </c>
      <c r="C193" s="693" t="str">
        <f t="shared" si="22"/>
        <v>深圳新阳蓝光能源管理科技股份有限公司</v>
      </c>
      <c r="D193" s="823"/>
      <c r="E193" s="774"/>
      <c r="F193" s="824"/>
      <c r="G193" s="773"/>
      <c r="H193" s="773"/>
      <c r="I193" s="773"/>
      <c r="J193" s="153"/>
      <c r="X193" s="768" t="b">
        <f t="shared" si="14"/>
        <v>1</v>
      </c>
    </row>
    <row r="194" ht="15" hidden="1" customHeight="1" outlineLevel="2" spans="1:24">
      <c r="A194" s="739" t="s">
        <v>2809</v>
      </c>
      <c r="B194" s="692" t="s">
        <v>2872</v>
      </c>
      <c r="C194" s="693" t="str">
        <f t="shared" si="22"/>
        <v>深圳新阳蓝光能源管理科技股份有限公司</v>
      </c>
      <c r="D194" s="823"/>
      <c r="E194" s="774" t="s">
        <v>2829</v>
      </c>
      <c r="F194" s="825"/>
      <c r="G194" s="813"/>
      <c r="H194" s="773"/>
      <c r="I194" s="773"/>
      <c r="J194" s="153"/>
      <c r="X194" s="768" t="b">
        <f t="shared" si="14"/>
        <v>1</v>
      </c>
    </row>
    <row r="195" ht="15" hidden="1" customHeight="1" outlineLevel="2" spans="2:24">
      <c r="B195" s="692" t="s">
        <v>2872</v>
      </c>
      <c r="C195" s="693" t="str">
        <f t="shared" si="22"/>
        <v>深圳新阳蓝光能源管理科技股份有限公司</v>
      </c>
      <c r="D195" s="823"/>
      <c r="E195" s="153"/>
      <c r="F195" s="153"/>
      <c r="G195" s="153"/>
      <c r="H195" s="153"/>
      <c r="I195" s="153"/>
      <c r="J195" s="153"/>
      <c r="X195" s="768" t="b">
        <f t="shared" si="14"/>
        <v>1</v>
      </c>
    </row>
    <row r="196" spans="1:24">
      <c r="A196" s="826" t="s">
        <v>2025</v>
      </c>
      <c r="B196" s="692" t="s">
        <v>2904</v>
      </c>
      <c r="C196" s="693" t="str">
        <f t="shared" si="22"/>
        <v>深圳新阳蓝光能源管理科技股份有限公司</v>
      </c>
      <c r="D196" s="827" t="s">
        <v>2905</v>
      </c>
      <c r="E196" s="70" t="s">
        <v>2906</v>
      </c>
      <c r="F196" s="828"/>
      <c r="G196" s="829"/>
      <c r="H196" s="829"/>
      <c r="I196" s="828"/>
      <c r="J196" s="828"/>
      <c r="K196" s="828"/>
      <c r="L196" s="828"/>
      <c r="M196" s="828"/>
      <c r="N196" s="829"/>
      <c r="X196" s="768" t="b">
        <f t="shared" si="14"/>
        <v>1</v>
      </c>
    </row>
    <row r="197" ht="22.5" outlineLevel="2" spans="1:24">
      <c r="A197" s="826" t="s">
        <v>2907</v>
      </c>
      <c r="B197" s="692" t="s">
        <v>2904</v>
      </c>
      <c r="C197" s="693" t="str">
        <f t="shared" si="22"/>
        <v>深圳新阳蓝光能源管理科技股份有限公司</v>
      </c>
      <c r="D197" s="827" t="s">
        <v>2905</v>
      </c>
      <c r="E197" s="830" t="s">
        <v>2907</v>
      </c>
      <c r="F197" s="831" t="s">
        <v>316</v>
      </c>
      <c r="G197" s="830"/>
      <c r="H197" s="830"/>
      <c r="I197" s="830"/>
      <c r="J197" s="830" t="s">
        <v>2020</v>
      </c>
      <c r="K197" s="830"/>
      <c r="L197" s="830"/>
      <c r="M197" s="830"/>
      <c r="N197" s="858" t="s">
        <v>2908</v>
      </c>
      <c r="O197" s="859" t="s">
        <v>2909</v>
      </c>
      <c r="P197" s="860" t="s">
        <v>2910</v>
      </c>
      <c r="Q197" s="878" t="s">
        <v>2911</v>
      </c>
      <c r="R197" s="860" t="s">
        <v>2912</v>
      </c>
      <c r="S197" s="866" t="s">
        <v>2913</v>
      </c>
      <c r="T197" s="867"/>
      <c r="V197" s="847" t="s">
        <v>2463</v>
      </c>
      <c r="X197" s="768" t="b">
        <f t="shared" si="14"/>
        <v>1</v>
      </c>
    </row>
    <row r="198" outlineLevel="2" spans="2:26">
      <c r="B198" s="692" t="s">
        <v>2904</v>
      </c>
      <c r="C198" s="693" t="str">
        <f t="shared" si="22"/>
        <v>深圳新阳蓝光能源管理科技股份有限公司</v>
      </c>
      <c r="D198" s="827" t="s">
        <v>2905</v>
      </c>
      <c r="E198" s="830"/>
      <c r="F198" s="830" t="s">
        <v>2914</v>
      </c>
      <c r="G198" s="830" t="s">
        <v>445</v>
      </c>
      <c r="H198" s="830" t="s">
        <v>471</v>
      </c>
      <c r="I198" s="830" t="s">
        <v>2915</v>
      </c>
      <c r="J198" s="830" t="s">
        <v>2914</v>
      </c>
      <c r="K198" s="830" t="s">
        <v>445</v>
      </c>
      <c r="L198" s="830" t="s">
        <v>471</v>
      </c>
      <c r="M198" s="830" t="s">
        <v>2915</v>
      </c>
      <c r="O198" s="861"/>
      <c r="Q198" s="858"/>
      <c r="R198" s="858"/>
      <c r="S198" s="868" t="s">
        <v>2916</v>
      </c>
      <c r="T198" s="868" t="s">
        <v>2917</v>
      </c>
      <c r="V198" s="847" t="s">
        <v>366</v>
      </c>
      <c r="W198" s="847" t="s">
        <v>2918</v>
      </c>
      <c r="X198" s="768" t="b">
        <f t="shared" si="14"/>
        <v>1</v>
      </c>
      <c r="Y198" s="847" t="s">
        <v>2919</v>
      </c>
      <c r="Z198" s="847" t="s">
        <v>2920</v>
      </c>
    </row>
    <row r="199" outlineLevel="2" spans="1:26">
      <c r="A199" s="826" t="s">
        <v>2026</v>
      </c>
      <c r="B199" s="692" t="s">
        <v>2904</v>
      </c>
      <c r="C199" s="693" t="str">
        <f t="shared" si="22"/>
        <v>深圳新阳蓝光能源管理科技股份有限公司</v>
      </c>
      <c r="D199" s="827" t="s">
        <v>2905</v>
      </c>
      <c r="E199" s="830" t="s">
        <v>2921</v>
      </c>
      <c r="F199" s="136">
        <v>16084404.85</v>
      </c>
      <c r="G199" s="832">
        <f>IF($F$205=0,0,ROUND(F199/$F$205,4))+S199</f>
        <v>0.6377</v>
      </c>
      <c r="H199" s="136">
        <v>804220.24</v>
      </c>
      <c r="I199" s="832">
        <f>IFERROR(ROUND(H199/F199,4),0)</f>
        <v>0.05</v>
      </c>
      <c r="J199" s="743">
        <f>报表附注合并期初用!E135</f>
        <v>22849121.64</v>
      </c>
      <c r="K199" s="832">
        <f>IF($J$205=0,0,ROUND(J199/$J$205,4))+T199</f>
        <v>0.7918</v>
      </c>
      <c r="L199" s="743">
        <f>报表附注合并期初用!E143</f>
        <v>1142456.08</v>
      </c>
      <c r="M199" s="832">
        <f>IFERROR(ROUND(L199/J199,4),0)</f>
        <v>0.05</v>
      </c>
      <c r="N199" s="862">
        <v>0.05</v>
      </c>
      <c r="O199" s="861"/>
      <c r="P199" s="863"/>
      <c r="Q199" s="879">
        <f>F199-K269</f>
        <v>16084404.85</v>
      </c>
      <c r="R199" s="880">
        <f>ROUND(N199*Q199,2)</f>
        <v>804220.24</v>
      </c>
      <c r="S199" s="869"/>
      <c r="T199" s="869"/>
      <c r="U199" s="881" t="s">
        <v>2922</v>
      </c>
      <c r="V199" s="838">
        <v>14741370.74</v>
      </c>
      <c r="W199" s="838">
        <v>147413.71</v>
      </c>
      <c r="X199" s="768" t="b">
        <f t="shared" si="14"/>
        <v>1</v>
      </c>
      <c r="Y199" s="884">
        <f>V199/F205</f>
        <v>0.584450162505094</v>
      </c>
      <c r="Z199" s="884">
        <f>W199/V199</f>
        <v>0.0100000001763744</v>
      </c>
    </row>
    <row r="200" outlineLevel="2" spans="1:26">
      <c r="A200" s="826" t="s">
        <v>2027</v>
      </c>
      <c r="B200" s="692" t="s">
        <v>2904</v>
      </c>
      <c r="C200" s="693" t="str">
        <f t="shared" si="22"/>
        <v>深圳新阳蓝光能源管理科技股份有限公司</v>
      </c>
      <c r="D200" s="827" t="s">
        <v>2905</v>
      </c>
      <c r="E200" s="830" t="s">
        <v>2923</v>
      </c>
      <c r="F200" s="136">
        <v>5273993.5</v>
      </c>
      <c r="G200" s="832">
        <f t="shared" ref="G200:G204" si="23">IF($F$205=0,0,ROUND(F200/$F$205,4))+S200</f>
        <v>0.2091</v>
      </c>
      <c r="H200" s="136">
        <v>527399.35</v>
      </c>
      <c r="I200" s="832">
        <f t="shared" ref="I200:I205" si="24">IFERROR(ROUND(H200/F200,4),0)</f>
        <v>0.1</v>
      </c>
      <c r="J200" s="743">
        <f>报表附注合并期初用!E136</f>
        <v>2919521.8</v>
      </c>
      <c r="K200" s="832">
        <f t="shared" ref="K200:K204" si="25">IF($J$205=0,0,ROUND(J200/$J$205,4))+T200</f>
        <v>0.1012</v>
      </c>
      <c r="L200" s="743">
        <f>报表附注合并期初用!E144</f>
        <v>291952.18</v>
      </c>
      <c r="M200" s="832">
        <f t="shared" ref="M200:M205" si="26">IFERROR(ROUND(L200/J200,4),0)</f>
        <v>0.1</v>
      </c>
      <c r="N200" s="862">
        <v>0.1</v>
      </c>
      <c r="O200" s="864" t="str">
        <f>IF(F200&lt;=J199,"合理","1-2年账不合理")</f>
        <v>合理</v>
      </c>
      <c r="P200" s="863"/>
      <c r="Q200" s="879">
        <f>F200-L269</f>
        <v>5273993.5</v>
      </c>
      <c r="R200" s="880">
        <f t="shared" ref="R200:R204" si="27">ROUND(N200*Q200,2)</f>
        <v>527399.35</v>
      </c>
      <c r="S200" s="869"/>
      <c r="T200" s="869"/>
      <c r="U200" s="881" t="s">
        <v>2924</v>
      </c>
      <c r="V200" s="838">
        <v>12345686.39</v>
      </c>
      <c r="W200" s="838">
        <v>617284.32</v>
      </c>
      <c r="X200" s="768" t="b">
        <f t="shared" ref="X200:X498" si="28">EXACT(A200,E200)</f>
        <v>1</v>
      </c>
      <c r="Y200" s="884">
        <f>V200/F205</f>
        <v>0.489468621618319</v>
      </c>
      <c r="Z200" s="884">
        <f t="shared" ref="Z200:Z205" si="29">W200/V200</f>
        <v>0.0500000000405</v>
      </c>
    </row>
    <row r="201" outlineLevel="2" spans="1:26">
      <c r="A201" s="826" t="s">
        <v>2028</v>
      </c>
      <c r="B201" s="692" t="s">
        <v>2904</v>
      </c>
      <c r="C201" s="693" t="str">
        <f t="shared" si="22"/>
        <v>深圳新阳蓝光能源管理科技股份有限公司</v>
      </c>
      <c r="D201" s="827" t="s">
        <v>2905</v>
      </c>
      <c r="E201" s="830" t="s">
        <v>2925</v>
      </c>
      <c r="F201" s="136">
        <v>974081.8</v>
      </c>
      <c r="G201" s="832">
        <f t="shared" si="23"/>
        <v>0.0386</v>
      </c>
      <c r="H201" s="136">
        <v>194816.36</v>
      </c>
      <c r="I201" s="832">
        <f t="shared" si="24"/>
        <v>0.2</v>
      </c>
      <c r="J201" s="743">
        <f>报表附注合并期初用!E137</f>
        <v>858676.77</v>
      </c>
      <c r="K201" s="832">
        <f t="shared" si="25"/>
        <v>0.0298</v>
      </c>
      <c r="L201" s="743">
        <f>报表附注合并期初用!E145</f>
        <v>171735.35</v>
      </c>
      <c r="M201" s="832">
        <f t="shared" si="26"/>
        <v>0.2</v>
      </c>
      <c r="N201" s="862">
        <v>0.2</v>
      </c>
      <c r="O201" s="864" t="str">
        <f>IF(F201&lt;=J200,"合理","2-3年账不合理")</f>
        <v>合理</v>
      </c>
      <c r="P201" s="863"/>
      <c r="Q201" s="879">
        <f>F201-M269</f>
        <v>974081.8</v>
      </c>
      <c r="R201" s="880">
        <f t="shared" si="27"/>
        <v>194816.36</v>
      </c>
      <c r="S201" s="869"/>
      <c r="T201" s="869"/>
      <c r="U201" s="881"/>
      <c r="V201" s="881">
        <f>V199+V200-F199</f>
        <v>11002652.28</v>
      </c>
      <c r="W201" s="881">
        <f>W199+W200-H199</f>
        <v>-39522.2100000001</v>
      </c>
      <c r="X201" s="768" t="b">
        <f t="shared" si="28"/>
        <v>1</v>
      </c>
      <c r="Z201" s="884"/>
    </row>
    <row r="202" outlineLevel="2" spans="1:26">
      <c r="A202" s="826" t="s">
        <v>2029</v>
      </c>
      <c r="B202" s="692" t="s">
        <v>2904</v>
      </c>
      <c r="C202" s="693" t="str">
        <f t="shared" si="22"/>
        <v>深圳新阳蓝光能源管理科技股份有限公司</v>
      </c>
      <c r="D202" s="827" t="s">
        <v>2905</v>
      </c>
      <c r="E202" s="830" t="s">
        <v>2926</v>
      </c>
      <c r="F202" s="136">
        <v>658676.77</v>
      </c>
      <c r="G202" s="832">
        <f t="shared" si="23"/>
        <v>0.0261</v>
      </c>
      <c r="H202" s="136">
        <v>329338.39</v>
      </c>
      <c r="I202" s="832">
        <f t="shared" si="24"/>
        <v>0.5</v>
      </c>
      <c r="J202" s="743">
        <f>报表附注合并期初用!E138</f>
        <v>2231474</v>
      </c>
      <c r="K202" s="832">
        <f t="shared" si="25"/>
        <v>0.0773</v>
      </c>
      <c r="L202" s="743">
        <f>报表附注合并期初用!E146</f>
        <v>1115737</v>
      </c>
      <c r="M202" s="832">
        <f t="shared" si="26"/>
        <v>0.5</v>
      </c>
      <c r="N202" s="862">
        <v>0.5</v>
      </c>
      <c r="O202" s="864" t="str">
        <f>IF(F202&lt;=J201+J202,"合理","3-4年账不合理")</f>
        <v>合理</v>
      </c>
      <c r="P202" s="863"/>
      <c r="Q202" s="879">
        <f>F202-N269</f>
        <v>658676.77</v>
      </c>
      <c r="R202" s="880">
        <f t="shared" si="27"/>
        <v>329338.39</v>
      </c>
      <c r="S202" s="869"/>
      <c r="T202" s="869"/>
      <c r="U202" s="881"/>
      <c r="V202" s="847" t="s">
        <v>2927</v>
      </c>
      <c r="X202" s="768" t="b">
        <f t="shared" si="28"/>
        <v>1</v>
      </c>
      <c r="Z202" s="884"/>
    </row>
    <row r="203" outlineLevel="2" spans="1:26">
      <c r="A203" s="826" t="s">
        <v>2030</v>
      </c>
      <c r="B203" s="692" t="s">
        <v>2904</v>
      </c>
      <c r="C203" s="693" t="str">
        <f t="shared" si="22"/>
        <v>深圳新阳蓝光能源管理科技股份有限公司</v>
      </c>
      <c r="D203" s="827" t="s">
        <v>2905</v>
      </c>
      <c r="E203" s="830" t="s">
        <v>2928</v>
      </c>
      <c r="F203" s="833">
        <v>2231474</v>
      </c>
      <c r="G203" s="832">
        <f t="shared" si="23"/>
        <v>0.0885</v>
      </c>
      <c r="H203" s="833">
        <v>1785179.2</v>
      </c>
      <c r="I203" s="832">
        <f t="shared" si="24"/>
        <v>0.8</v>
      </c>
      <c r="J203" s="743">
        <f>报表附注合并期初用!E139</f>
        <v>0</v>
      </c>
      <c r="K203" s="832">
        <f t="shared" si="25"/>
        <v>0</v>
      </c>
      <c r="L203" s="743">
        <f>报表附注合并期初用!E147</f>
        <v>0</v>
      </c>
      <c r="M203" s="832">
        <f t="shared" si="26"/>
        <v>0</v>
      </c>
      <c r="N203" s="862">
        <v>0.8</v>
      </c>
      <c r="O203" s="864" t="str">
        <f>IF(F203&lt;=J202,"合理","3-4年账龄不合理")</f>
        <v>合理</v>
      </c>
      <c r="P203" s="863"/>
      <c r="Q203" s="879">
        <f>F203-O269</f>
        <v>2231474</v>
      </c>
      <c r="R203" s="880">
        <f t="shared" si="27"/>
        <v>1785179.2</v>
      </c>
      <c r="S203" s="869"/>
      <c r="T203" s="869"/>
      <c r="U203" s="881"/>
      <c r="V203" s="826" t="s">
        <v>366</v>
      </c>
      <c r="W203" s="826" t="s">
        <v>2918</v>
      </c>
      <c r="X203" s="768" t="b">
        <f t="shared" si="28"/>
        <v>1</v>
      </c>
      <c r="Z203" s="884"/>
    </row>
    <row r="204" outlineLevel="2" spans="1:26">
      <c r="A204" s="826" t="s">
        <v>2031</v>
      </c>
      <c r="B204" s="692" t="s">
        <v>2904</v>
      </c>
      <c r="C204" s="693" t="str">
        <f t="shared" si="22"/>
        <v>深圳新阳蓝光能源管理科技股份有限公司</v>
      </c>
      <c r="D204" s="827" t="s">
        <v>2905</v>
      </c>
      <c r="E204" s="830" t="s">
        <v>2929</v>
      </c>
      <c r="F204" s="833"/>
      <c r="G204" s="832">
        <f t="shared" si="23"/>
        <v>0</v>
      </c>
      <c r="H204" s="833"/>
      <c r="I204" s="832">
        <f t="shared" si="24"/>
        <v>0</v>
      </c>
      <c r="J204" s="743">
        <f>报表附注合并期初用!E140</f>
        <v>0</v>
      </c>
      <c r="K204" s="832">
        <f t="shared" si="25"/>
        <v>-0.0001</v>
      </c>
      <c r="L204" s="743">
        <f>报表附注合并期初用!E148</f>
        <v>0</v>
      </c>
      <c r="M204" s="832">
        <f t="shared" si="26"/>
        <v>0</v>
      </c>
      <c r="N204" s="862">
        <v>1</v>
      </c>
      <c r="O204" s="864" t="str">
        <f>IF(F204&lt;=(J204+J203),"合理","5年以上账龄不合理")</f>
        <v>合理</v>
      </c>
      <c r="P204" s="863"/>
      <c r="Q204" s="879">
        <f>F204-P269</f>
        <v>0</v>
      </c>
      <c r="R204" s="880">
        <f t="shared" si="27"/>
        <v>0</v>
      </c>
      <c r="S204" s="869"/>
      <c r="T204" s="869">
        <v>-0.0001</v>
      </c>
      <c r="U204" s="826" t="s">
        <v>2930</v>
      </c>
      <c r="V204" s="838">
        <v>13986228.09</v>
      </c>
      <c r="W204" s="838">
        <v>139862.28</v>
      </c>
      <c r="X204" s="768" t="b">
        <f t="shared" si="28"/>
        <v>1</v>
      </c>
      <c r="Y204" s="884">
        <f>V204/$J$205</f>
        <v>0.484643536671174</v>
      </c>
      <c r="Z204" s="884">
        <f t="shared" si="29"/>
        <v>0.00999999993565098</v>
      </c>
    </row>
    <row r="205" outlineLevel="2" spans="1:26">
      <c r="A205" s="826" t="s">
        <v>2021</v>
      </c>
      <c r="B205" s="692" t="s">
        <v>2904</v>
      </c>
      <c r="C205" s="693" t="str">
        <f t="shared" si="22"/>
        <v>深圳新阳蓝光能源管理科技股份有限公司</v>
      </c>
      <c r="D205" s="827" t="s">
        <v>2905</v>
      </c>
      <c r="E205" s="830" t="s">
        <v>2021</v>
      </c>
      <c r="F205" s="834">
        <f>SUM(F199:F204)</f>
        <v>25222630.92</v>
      </c>
      <c r="G205" s="832">
        <f>SUM(G199:G204)</f>
        <v>1</v>
      </c>
      <c r="H205" s="834">
        <f>SUM(H199:H204)</f>
        <v>3640953.54</v>
      </c>
      <c r="I205" s="832">
        <f t="shared" si="24"/>
        <v>0.1444</v>
      </c>
      <c r="J205" s="834">
        <f>SUM(J199:J204)</f>
        <v>28858794.21</v>
      </c>
      <c r="K205" s="832">
        <f>SUM(K199:K204)</f>
        <v>1</v>
      </c>
      <c r="L205" s="834">
        <f>SUM(L199:L204)</f>
        <v>2721880.61</v>
      </c>
      <c r="M205" s="832">
        <f t="shared" si="26"/>
        <v>0.0943</v>
      </c>
      <c r="O205" s="829"/>
      <c r="Q205" s="860" t="s">
        <v>2021</v>
      </c>
      <c r="R205" s="880">
        <f>SUM(R199:R204)</f>
        <v>3640953.54</v>
      </c>
      <c r="U205" s="826" t="s">
        <v>2931</v>
      </c>
      <c r="V205" s="838">
        <v>4637853.94</v>
      </c>
      <c r="W205" s="838">
        <v>231892.7</v>
      </c>
      <c r="X205" s="768" t="b">
        <f t="shared" si="28"/>
        <v>1</v>
      </c>
      <c r="Y205" s="884">
        <f>V205/$J$205</f>
        <v>0.160708514231441</v>
      </c>
      <c r="Z205" s="884">
        <f t="shared" si="29"/>
        <v>0.0500000006468509</v>
      </c>
    </row>
    <row r="206" outlineLevel="2" spans="1:24">
      <c r="A206" s="826" t="s">
        <v>1723</v>
      </c>
      <c r="B206" s="692" t="s">
        <v>2904</v>
      </c>
      <c r="C206" s="693" t="str">
        <f t="shared" si="22"/>
        <v>深圳新阳蓝光能源管理科技股份有限公司</v>
      </c>
      <c r="D206" s="827" t="s">
        <v>2905</v>
      </c>
      <c r="E206" s="708" t="s">
        <v>1723</v>
      </c>
      <c r="F206" s="835">
        <f>审定资负表!C10</f>
        <v>21581677.38</v>
      </c>
      <c r="G206" s="836" t="str">
        <f>IF(OR(报表附注!G205=100%,G205=0),"相符","比例合计不等于100%，请检查")</f>
        <v>相符</v>
      </c>
      <c r="H206" s="715">
        <f>H205-L205</f>
        <v>919072.93</v>
      </c>
      <c r="I206" s="837"/>
      <c r="J206" s="835">
        <f>审定资负表!D10</f>
        <v>26136913.6</v>
      </c>
      <c r="K206" s="836" t="str">
        <f>IF(OR(报表附注!K205=100%,K205=0),"相符","比例合计不等于100%，请检查")</f>
        <v>相符</v>
      </c>
      <c r="L206" s="715"/>
      <c r="M206" s="715"/>
      <c r="N206" s="829"/>
      <c r="P206" s="860" t="s">
        <v>2932</v>
      </c>
      <c r="Q206" s="858"/>
      <c r="R206" s="882" t="str">
        <f>IF(ROUND((报表附注!H205-报表附注!H269-报表附注!R205),2)&lt;&gt;0,"差异："&amp;ROUND((报表附注!H205-报表附注!H269-报表附注!R205),2)&amp;"，不合理","合理")</f>
        <v>合理</v>
      </c>
      <c r="V206" s="838">
        <f>V204+V205-J199</f>
        <v>-4225039.61</v>
      </c>
      <c r="W206" s="838">
        <f>W204+W205-L199</f>
        <v>-770701.1</v>
      </c>
      <c r="X206" s="768" t="b">
        <f t="shared" si="28"/>
        <v>1</v>
      </c>
    </row>
    <row r="207" outlineLevel="1" spans="1:24">
      <c r="A207" s="826" t="s">
        <v>1395</v>
      </c>
      <c r="B207" s="692" t="s">
        <v>2904</v>
      </c>
      <c r="C207" s="693" t="str">
        <f t="shared" si="22"/>
        <v>深圳新阳蓝光能源管理科技股份有限公司</v>
      </c>
      <c r="D207" s="827" t="s">
        <v>2905</v>
      </c>
      <c r="E207" s="711" t="s">
        <v>1395</v>
      </c>
      <c r="F207" s="92">
        <f>ROUND(F205-H205-F206,2)</f>
        <v>0</v>
      </c>
      <c r="G207" s="837"/>
      <c r="H207" s="715">
        <v>3617318.76</v>
      </c>
      <c r="I207" s="837"/>
      <c r="J207" s="92">
        <f>ROUND(J205-L205-J206,2)</f>
        <v>0</v>
      </c>
      <c r="K207" s="837"/>
      <c r="L207" s="715"/>
      <c r="M207" s="715"/>
      <c r="N207" s="829"/>
      <c r="X207" s="768" t="b">
        <f t="shared" si="28"/>
        <v>1</v>
      </c>
    </row>
    <row r="208" outlineLevel="2" spans="1:24">
      <c r="A208" s="826" t="s">
        <v>2933</v>
      </c>
      <c r="B208" s="692" t="s">
        <v>2904</v>
      </c>
      <c r="C208" s="693" t="str">
        <f t="shared" si="22"/>
        <v>深圳新阳蓝光能源管理科技股份有限公司</v>
      </c>
      <c r="D208" s="827" t="s">
        <v>2905</v>
      </c>
      <c r="E208" s="828" t="s">
        <v>2933</v>
      </c>
      <c r="F208" s="829"/>
      <c r="G208" s="829"/>
      <c r="H208" s="838">
        <f>H207-H205</f>
        <v>-23634.7800000003</v>
      </c>
      <c r="I208" s="865">
        <f>H206+H208</f>
        <v>895438.149999999</v>
      </c>
      <c r="J208" s="829"/>
      <c r="K208" s="829"/>
      <c r="L208" s="829"/>
      <c r="M208" s="829"/>
      <c r="N208" s="829"/>
      <c r="Q208" t="s">
        <v>2934</v>
      </c>
      <c r="R208" s="381">
        <f>1454619.11-13244.13</f>
        <v>1441374.98</v>
      </c>
      <c r="X208" s="768" t="b">
        <f t="shared" si="28"/>
        <v>1</v>
      </c>
    </row>
    <row r="209" outlineLevel="2" spans="1:24">
      <c r="A209" s="826" t="s">
        <v>852</v>
      </c>
      <c r="B209" s="692" t="s">
        <v>2904</v>
      </c>
      <c r="C209" s="693" t="str">
        <f t="shared" si="22"/>
        <v>深圳新阳蓝光能源管理科技股份有限公司</v>
      </c>
      <c r="D209" s="827" t="s">
        <v>2905</v>
      </c>
      <c r="E209" s="830" t="s">
        <v>852</v>
      </c>
      <c r="F209" s="830" t="s">
        <v>316</v>
      </c>
      <c r="G209" s="830"/>
      <c r="H209" s="830"/>
      <c r="I209" s="830"/>
      <c r="J209" s="830" t="s">
        <v>2020</v>
      </c>
      <c r="K209" s="830"/>
      <c r="L209" s="830"/>
      <c r="M209" s="830"/>
      <c r="N209" s="866" t="s">
        <v>2913</v>
      </c>
      <c r="O209" s="867"/>
      <c r="R209" s="381">
        <f>538057.89-99824.31</f>
        <v>438233.58</v>
      </c>
      <c r="X209" s="768" t="b">
        <f t="shared" si="28"/>
        <v>1</v>
      </c>
    </row>
    <row r="210" outlineLevel="2" spans="2:24">
      <c r="B210" s="692" t="s">
        <v>2904</v>
      </c>
      <c r="C210" s="693" t="str">
        <f t="shared" si="22"/>
        <v>深圳新阳蓝光能源管理科技股份有限公司</v>
      </c>
      <c r="D210" s="827" t="s">
        <v>2905</v>
      </c>
      <c r="E210" s="830"/>
      <c r="F210" s="830" t="s">
        <v>2914</v>
      </c>
      <c r="G210" s="830" t="s">
        <v>445</v>
      </c>
      <c r="H210" s="830" t="s">
        <v>471</v>
      </c>
      <c r="I210" s="830" t="s">
        <v>2915</v>
      </c>
      <c r="J210" s="830" t="s">
        <v>2914</v>
      </c>
      <c r="K210" s="830" t="s">
        <v>445</v>
      </c>
      <c r="L210" s="830" t="s">
        <v>471</v>
      </c>
      <c r="M210" s="830" t="s">
        <v>2915</v>
      </c>
      <c r="N210" s="868" t="s">
        <v>2916</v>
      </c>
      <c r="O210" s="868" t="s">
        <v>2917</v>
      </c>
      <c r="X210" s="768" t="b">
        <f t="shared" si="28"/>
        <v>1</v>
      </c>
    </row>
    <row r="211" outlineLevel="2" spans="1:24">
      <c r="A211" s="826" t="s">
        <v>462</v>
      </c>
      <c r="B211" s="692" t="s">
        <v>2904</v>
      </c>
      <c r="C211" s="693" t="str">
        <f t="shared" si="22"/>
        <v>深圳新阳蓝光能源管理科技股份有限公司</v>
      </c>
      <c r="D211" s="827" t="s">
        <v>2905</v>
      </c>
      <c r="E211" s="839" t="s">
        <v>2036</v>
      </c>
      <c r="F211" s="743">
        <f>G223</f>
        <v>0</v>
      </c>
      <c r="G211" s="840">
        <f>IF($F$214=0,0,ROUND(F211/$F$214,4))+N211</f>
        <v>0</v>
      </c>
      <c r="H211" s="743">
        <f>H223</f>
        <v>0</v>
      </c>
      <c r="I211" s="832">
        <f>IFERROR(ROUND(H211/F211,4),0)</f>
        <v>0</v>
      </c>
      <c r="J211" s="743">
        <f>报表附注合并期初用!E170</f>
        <v>0</v>
      </c>
      <c r="K211" s="840">
        <f>IF($J$214=0,0,ROUND(J211/$J$214,4))+O211</f>
        <v>0</v>
      </c>
      <c r="L211" s="743">
        <f>报表附注合并期初用!E175</f>
        <v>0</v>
      </c>
      <c r="M211" s="832">
        <f>IFERROR(ROUND(L211/J211,4),0)</f>
        <v>0</v>
      </c>
      <c r="N211" s="869"/>
      <c r="O211" s="869"/>
      <c r="X211" s="768" t="b">
        <f t="shared" si="28"/>
        <v>0</v>
      </c>
    </row>
    <row r="212" outlineLevel="2" spans="1:24">
      <c r="A212" s="826" t="s">
        <v>464</v>
      </c>
      <c r="B212" s="692" t="s">
        <v>2904</v>
      </c>
      <c r="C212" s="693" t="str">
        <f t="shared" si="22"/>
        <v>深圳新阳蓝光能源管理科技股份有限公司</v>
      </c>
      <c r="D212" s="827" t="s">
        <v>2905</v>
      </c>
      <c r="E212" s="839" t="s">
        <v>2037</v>
      </c>
      <c r="F212" s="743">
        <f>F328</f>
        <v>25222630.92</v>
      </c>
      <c r="G212" s="840">
        <f t="shared" ref="G212:G213" si="30">IF($F$214=0,0,ROUND(F212/$F$214,4))+N212</f>
        <v>1</v>
      </c>
      <c r="H212" s="743">
        <f>H328</f>
        <v>3640953.54</v>
      </c>
      <c r="I212" s="832">
        <f t="shared" ref="I212:I214" si="31">IFERROR(ROUND(H212/F212,4),0)</f>
        <v>0.1444</v>
      </c>
      <c r="J212" s="743">
        <f>报表附注合并期初用!E171</f>
        <v>28858794.21</v>
      </c>
      <c r="K212" s="840">
        <f t="shared" ref="K212:K213" si="32">IF($J$214=0,0,ROUND(J212/$J$214,4))+O212</f>
        <v>1</v>
      </c>
      <c r="L212" s="743">
        <f>报表附注合并期初用!E176</f>
        <v>2721880.61</v>
      </c>
      <c r="M212" s="832">
        <f t="shared" ref="M212:M214" si="33">IFERROR(ROUND(L212/J212,4),0)</f>
        <v>0.0943</v>
      </c>
      <c r="N212" s="869"/>
      <c r="O212" s="869"/>
      <c r="X212" s="768" t="b">
        <f t="shared" si="28"/>
        <v>0</v>
      </c>
    </row>
    <row r="213" outlineLevel="2" spans="1:24">
      <c r="A213" s="826" t="s">
        <v>466</v>
      </c>
      <c r="B213" s="692" t="s">
        <v>2904</v>
      </c>
      <c r="C213" s="693" t="str">
        <f t="shared" si="22"/>
        <v>深圳新阳蓝光能源管理科技股份有限公司</v>
      </c>
      <c r="D213" s="827" t="s">
        <v>2905</v>
      </c>
      <c r="E213" s="839" t="s">
        <v>2038</v>
      </c>
      <c r="F213" s="743">
        <f>G247</f>
        <v>0</v>
      </c>
      <c r="G213" s="840">
        <f t="shared" si="30"/>
        <v>0</v>
      </c>
      <c r="H213" s="743">
        <f>H247</f>
        <v>0</v>
      </c>
      <c r="I213" s="832">
        <f t="shared" si="31"/>
        <v>0</v>
      </c>
      <c r="J213" s="743">
        <f>报表附注合并期初用!E172</f>
        <v>0</v>
      </c>
      <c r="K213" s="840">
        <f t="shared" si="32"/>
        <v>0</v>
      </c>
      <c r="L213" s="743">
        <f>报表附注合并期初用!E177</f>
        <v>0</v>
      </c>
      <c r="M213" s="832">
        <f t="shared" si="33"/>
        <v>0</v>
      </c>
      <c r="N213" s="869"/>
      <c r="O213" s="869"/>
      <c r="X213" s="768" t="b">
        <f t="shared" si="28"/>
        <v>0</v>
      </c>
    </row>
    <row r="214" outlineLevel="2" spans="1:24">
      <c r="A214" s="826" t="s">
        <v>2021</v>
      </c>
      <c r="B214" s="692" t="s">
        <v>2904</v>
      </c>
      <c r="C214" s="693" t="str">
        <f t="shared" si="22"/>
        <v>深圳新阳蓝光能源管理科技股份有限公司</v>
      </c>
      <c r="D214" s="827" t="s">
        <v>2905</v>
      </c>
      <c r="E214" s="830" t="s">
        <v>2021</v>
      </c>
      <c r="F214" s="834">
        <f>SUM(F211:F213)</f>
        <v>25222630.92</v>
      </c>
      <c r="G214" s="832">
        <f>SUM(G211:G213)</f>
        <v>1</v>
      </c>
      <c r="H214" s="834">
        <f>SUM(H211:H213)</f>
        <v>3640953.54</v>
      </c>
      <c r="I214" s="832">
        <f t="shared" si="31"/>
        <v>0.1444</v>
      </c>
      <c r="J214" s="834">
        <f>SUM(J211:J213)</f>
        <v>28858794.21</v>
      </c>
      <c r="K214" s="832">
        <f>SUM(K211:K213)</f>
        <v>1</v>
      </c>
      <c r="L214" s="834">
        <f>SUM(L211:L213)</f>
        <v>2721880.61</v>
      </c>
      <c r="M214" s="832">
        <f t="shared" si="33"/>
        <v>0.0943</v>
      </c>
      <c r="N214" s="829"/>
      <c r="X214" s="768" t="b">
        <f t="shared" si="28"/>
        <v>1</v>
      </c>
    </row>
    <row r="215" outlineLevel="2" spans="1:24">
      <c r="A215" s="826" t="s">
        <v>2935</v>
      </c>
      <c r="B215" s="692" t="s">
        <v>2904</v>
      </c>
      <c r="C215" s="693" t="str">
        <f t="shared" si="22"/>
        <v>深圳新阳蓝光能源管理科技股份有限公司</v>
      </c>
      <c r="D215" s="827" t="s">
        <v>2905</v>
      </c>
      <c r="E215" s="841" t="s">
        <v>2936</v>
      </c>
      <c r="F215" s="715"/>
      <c r="G215" s="842"/>
      <c r="H215" s="715"/>
      <c r="I215" s="870"/>
      <c r="J215" s="715"/>
      <c r="K215" s="842"/>
      <c r="L215" s="715"/>
      <c r="M215" s="870"/>
      <c r="N215" s="829"/>
      <c r="X215" s="768" t="b">
        <f t="shared" si="28"/>
        <v>0</v>
      </c>
    </row>
    <row r="216" outlineLevel="2" spans="1:24">
      <c r="A216" s="826" t="s">
        <v>2809</v>
      </c>
      <c r="B216" s="692" t="s">
        <v>2904</v>
      </c>
      <c r="C216" s="693" t="str">
        <f t="shared" si="22"/>
        <v>深圳新阳蓝光能源管理科技股份有限公司</v>
      </c>
      <c r="D216" s="827" t="s">
        <v>2905</v>
      </c>
      <c r="E216" s="843" t="s">
        <v>2809</v>
      </c>
      <c r="F216" s="736"/>
      <c r="G216" s="844"/>
      <c r="H216" s="736"/>
      <c r="I216" s="871"/>
      <c r="J216" s="736"/>
      <c r="K216" s="844"/>
      <c r="L216" s="736"/>
      <c r="M216" s="871"/>
      <c r="N216" s="872"/>
      <c r="O216" s="863"/>
      <c r="X216" s="768" t="b">
        <f t="shared" si="28"/>
        <v>1</v>
      </c>
    </row>
    <row r="217" outlineLevel="2" spans="1:24">
      <c r="A217" s="826" t="s">
        <v>2937</v>
      </c>
      <c r="B217" s="845" t="s">
        <v>2904</v>
      </c>
      <c r="C217" s="693" t="str">
        <f t="shared" si="22"/>
        <v>深圳新阳蓝光能源管理科技股份有限公司</v>
      </c>
      <c r="D217" s="846" t="s">
        <v>2905</v>
      </c>
      <c r="E217" s="847" t="s">
        <v>2937</v>
      </c>
      <c r="F217" s="92">
        <f>F205-F214</f>
        <v>0</v>
      </c>
      <c r="G217" s="836" t="str">
        <f>IF(OR(报表附注!G214=100%,G214=0),"相符","比例合计不等于100%，请检查")</f>
        <v>相符</v>
      </c>
      <c r="H217" s="92">
        <f>H205-H214</f>
        <v>0</v>
      </c>
      <c r="I217" s="837"/>
      <c r="J217" s="92">
        <f>J205-J214</f>
        <v>0</v>
      </c>
      <c r="K217" s="836" t="str">
        <f>IF(OR(报表附注!K214=100%,K214=0),"相符","比例合计不等于100%，请检查")</f>
        <v>相符</v>
      </c>
      <c r="L217" s="92">
        <f>L205-L214</f>
        <v>0</v>
      </c>
      <c r="M217" s="837"/>
      <c r="N217" s="829"/>
      <c r="X217" s="768" t="b">
        <f t="shared" si="28"/>
        <v>1</v>
      </c>
    </row>
    <row r="218" outlineLevel="2" spans="2:24">
      <c r="B218" s="845"/>
      <c r="C218" s="848"/>
      <c r="D218" s="846"/>
      <c r="E218" s="847" t="s">
        <v>2938</v>
      </c>
      <c r="F218" s="92">
        <f>F211-G223</f>
        <v>0</v>
      </c>
      <c r="G218" s="837"/>
      <c r="H218" s="92">
        <f>H211-H223</f>
        <v>0</v>
      </c>
      <c r="I218" s="837"/>
      <c r="J218" s="92">
        <f>J211-G272</f>
        <v>0</v>
      </c>
      <c r="K218" s="837"/>
      <c r="L218" s="92">
        <f>L211-H272</f>
        <v>0</v>
      </c>
      <c r="M218" s="837"/>
      <c r="N218" s="829"/>
      <c r="X218" s="769"/>
    </row>
    <row r="219" outlineLevel="2" spans="2:24">
      <c r="B219" s="845"/>
      <c r="C219" s="848"/>
      <c r="D219" s="846"/>
      <c r="E219" s="847" t="s">
        <v>2939</v>
      </c>
      <c r="F219" s="92">
        <f>F212-F328</f>
        <v>0</v>
      </c>
      <c r="G219" s="837"/>
      <c r="H219" s="92">
        <f>H212-H328</f>
        <v>0</v>
      </c>
      <c r="I219" s="837"/>
      <c r="J219" s="92">
        <f>J212-J328</f>
        <v>0</v>
      </c>
      <c r="K219" s="837"/>
      <c r="L219" s="92">
        <f>L212-L328</f>
        <v>0</v>
      </c>
      <c r="M219" s="837"/>
      <c r="N219" s="829"/>
      <c r="X219" s="769"/>
    </row>
    <row r="220" outlineLevel="2" spans="2:24">
      <c r="B220" s="845"/>
      <c r="C220" s="848"/>
      <c r="D220" s="846"/>
      <c r="E220" s="847" t="s">
        <v>2940</v>
      </c>
      <c r="F220" s="92">
        <f>F213-G247</f>
        <v>0</v>
      </c>
      <c r="G220" s="837"/>
      <c r="H220" s="92">
        <f>H213-H247</f>
        <v>0</v>
      </c>
      <c r="I220" s="837"/>
      <c r="J220" s="92">
        <f>J213-G296</f>
        <v>0</v>
      </c>
      <c r="K220" s="837"/>
      <c r="L220" s="92">
        <f>L213-H296</f>
        <v>0</v>
      </c>
      <c r="M220" s="837"/>
      <c r="N220" s="829"/>
      <c r="X220" s="769"/>
    </row>
    <row r="221" outlineLevel="2" spans="1:24">
      <c r="A221" s="826" t="s">
        <v>2941</v>
      </c>
      <c r="B221" s="845" t="s">
        <v>2904</v>
      </c>
      <c r="C221" s="693" t="str">
        <f>$G$1</f>
        <v>深圳新阳蓝光能源管理科技股份有限公司</v>
      </c>
      <c r="D221" s="849" t="s">
        <v>2942</v>
      </c>
      <c r="E221" s="153" t="s">
        <v>2943</v>
      </c>
      <c r="F221" s="850"/>
      <c r="G221" s="837"/>
      <c r="H221" s="715"/>
      <c r="I221" s="837"/>
      <c r="J221" s="715"/>
      <c r="K221" s="837"/>
      <c r="L221" s="715"/>
      <c r="M221" s="837"/>
      <c r="N221" s="829"/>
      <c r="X221" s="768" t="b">
        <f t="shared" si="28"/>
        <v>0</v>
      </c>
    </row>
    <row r="222" outlineLevel="2" spans="1:24">
      <c r="A222" s="826" t="s">
        <v>2473</v>
      </c>
      <c r="B222" s="845" t="s">
        <v>2904</v>
      </c>
      <c r="C222" s="693" t="str">
        <f>$G$1</f>
        <v>深圳新阳蓝光能源管理科技股份有限公司</v>
      </c>
      <c r="D222" s="849" t="s">
        <v>2942</v>
      </c>
      <c r="E222" s="851" t="s">
        <v>2473</v>
      </c>
      <c r="F222" s="851" t="s">
        <v>2944</v>
      </c>
      <c r="G222" s="851" t="s">
        <v>2059</v>
      </c>
      <c r="H222" s="851" t="s">
        <v>2945</v>
      </c>
      <c r="I222" s="851" t="s">
        <v>2946</v>
      </c>
      <c r="J222" s="851" t="s">
        <v>2947</v>
      </c>
      <c r="K222" s="873" t="s">
        <v>2026</v>
      </c>
      <c r="L222" s="833" t="s">
        <v>2923</v>
      </c>
      <c r="M222" s="873" t="s">
        <v>2028</v>
      </c>
      <c r="N222" s="874" t="s">
        <v>2926</v>
      </c>
      <c r="O222" s="875" t="s">
        <v>2928</v>
      </c>
      <c r="P222" s="875" t="s">
        <v>2929</v>
      </c>
      <c r="Q222" s="875" t="s">
        <v>1997</v>
      </c>
      <c r="X222" s="768" t="b">
        <f t="shared" si="28"/>
        <v>1</v>
      </c>
    </row>
    <row r="223" outlineLevel="2" spans="2:24">
      <c r="B223" s="845" t="s">
        <v>2904</v>
      </c>
      <c r="C223" s="693" t="str">
        <f>$G$1</f>
        <v>深圳新阳蓝光能源管理科技股份有限公司</v>
      </c>
      <c r="D223" s="849" t="s">
        <v>2942</v>
      </c>
      <c r="E223" s="852" t="s">
        <v>2948</v>
      </c>
      <c r="F223" s="853"/>
      <c r="G223" s="854">
        <f>ROUND(SUM(G224:G246),2)</f>
        <v>0</v>
      </c>
      <c r="H223" s="854">
        <f>ROUND(SUM(H224:H246),2)</f>
        <v>0</v>
      </c>
      <c r="I223" s="876">
        <f>IFERROR(ROUND(H223/G223,4),0)</f>
        <v>0</v>
      </c>
      <c r="J223" s="877"/>
      <c r="K223" s="854">
        <f t="shared" ref="K223:P223" si="34">ROUND(SUM(K224:K246),2)</f>
        <v>0</v>
      </c>
      <c r="L223" s="854">
        <f t="shared" si="34"/>
        <v>0</v>
      </c>
      <c r="M223" s="854">
        <f t="shared" si="34"/>
        <v>0</v>
      </c>
      <c r="N223" s="854">
        <f t="shared" si="34"/>
        <v>0</v>
      </c>
      <c r="O223" s="854">
        <f t="shared" si="34"/>
        <v>0</v>
      </c>
      <c r="P223" s="854">
        <f t="shared" si="34"/>
        <v>0</v>
      </c>
      <c r="Q223" s="883" t="str">
        <f t="shared" ref="Q223:Q269" si="35">IF(ROUND(G223-K223-L223-M223-O223-P223-N223,2)=0,"正确","错误请核对")</f>
        <v>正确</v>
      </c>
      <c r="X223" s="768" t="b">
        <f t="shared" si="28"/>
        <v>0</v>
      </c>
    </row>
    <row r="224" outlineLevel="2" spans="2:24">
      <c r="B224" s="845" t="s">
        <v>2904</v>
      </c>
      <c r="C224" s="693" t="str">
        <f>$G$1</f>
        <v>深圳新阳蓝光能源管理科技股份有限公司</v>
      </c>
      <c r="D224" s="849" t="s">
        <v>2942</v>
      </c>
      <c r="E224" s="855"/>
      <c r="F224" s="856"/>
      <c r="G224" s="136"/>
      <c r="H224" s="719"/>
      <c r="I224" s="876">
        <f t="shared" ref="I224:I269" si="36">IFERROR(ROUND(H224/G224,4),0)</f>
        <v>0</v>
      </c>
      <c r="J224" s="857"/>
      <c r="K224" s="719"/>
      <c r="L224" s="719"/>
      <c r="M224" s="719"/>
      <c r="N224" s="719"/>
      <c r="O224" s="833"/>
      <c r="P224" s="833"/>
      <c r="Q224" s="883" t="str">
        <f t="shared" si="35"/>
        <v>正确</v>
      </c>
      <c r="X224" s="768" t="b">
        <f t="shared" si="28"/>
        <v>1</v>
      </c>
    </row>
    <row r="225" outlineLevel="2" spans="2:24">
      <c r="B225" s="845"/>
      <c r="C225" s="848"/>
      <c r="D225" s="849"/>
      <c r="E225" s="855"/>
      <c r="F225" s="856"/>
      <c r="G225" s="136"/>
      <c r="H225" s="857"/>
      <c r="I225" s="876">
        <f t="shared" si="36"/>
        <v>0</v>
      </c>
      <c r="J225" s="857"/>
      <c r="K225" s="719"/>
      <c r="L225" s="719"/>
      <c r="M225" s="719"/>
      <c r="N225" s="719"/>
      <c r="O225" s="833"/>
      <c r="P225" s="833"/>
      <c r="Q225" s="883" t="str">
        <f t="shared" si="35"/>
        <v>正确</v>
      </c>
      <c r="X225" s="769"/>
    </row>
    <row r="226" outlineLevel="2" spans="2:24">
      <c r="B226" s="845"/>
      <c r="C226" s="848"/>
      <c r="D226" s="849"/>
      <c r="E226" s="855"/>
      <c r="F226" s="856"/>
      <c r="G226" s="136"/>
      <c r="H226" s="857"/>
      <c r="I226" s="876">
        <f t="shared" si="36"/>
        <v>0</v>
      </c>
      <c r="J226" s="857"/>
      <c r="K226" s="719"/>
      <c r="L226" s="719"/>
      <c r="M226" s="719"/>
      <c r="N226" s="719"/>
      <c r="O226" s="833"/>
      <c r="P226" s="833"/>
      <c r="Q226" s="883" t="str">
        <f t="shared" si="35"/>
        <v>正确</v>
      </c>
      <c r="X226" s="769"/>
    </row>
    <row r="227" outlineLevel="2" spans="2:24">
      <c r="B227" s="845"/>
      <c r="C227" s="848"/>
      <c r="D227" s="849"/>
      <c r="E227" s="855"/>
      <c r="F227" s="856"/>
      <c r="G227" s="136"/>
      <c r="H227" s="857"/>
      <c r="I227" s="876">
        <f t="shared" si="36"/>
        <v>0</v>
      </c>
      <c r="J227" s="857"/>
      <c r="K227" s="719"/>
      <c r="L227" s="719"/>
      <c r="M227" s="719"/>
      <c r="N227" s="719"/>
      <c r="O227" s="833"/>
      <c r="P227" s="833"/>
      <c r="Q227" s="883" t="str">
        <f t="shared" si="35"/>
        <v>正确</v>
      </c>
      <c r="X227" s="769"/>
    </row>
    <row r="228" outlineLevel="2" spans="2:24">
      <c r="B228" s="845"/>
      <c r="C228" s="848"/>
      <c r="D228" s="849"/>
      <c r="E228" s="855"/>
      <c r="F228" s="856"/>
      <c r="G228" s="136"/>
      <c r="H228" s="857"/>
      <c r="I228" s="876">
        <f t="shared" si="36"/>
        <v>0</v>
      </c>
      <c r="J228" s="857"/>
      <c r="K228" s="719"/>
      <c r="L228" s="719"/>
      <c r="M228" s="719"/>
      <c r="N228" s="719"/>
      <c r="O228" s="833"/>
      <c r="P228" s="833"/>
      <c r="Q228" s="883" t="str">
        <f t="shared" si="35"/>
        <v>正确</v>
      </c>
      <c r="X228" s="769"/>
    </row>
    <row r="229" outlineLevel="2" spans="2:24">
      <c r="B229" s="845" t="s">
        <v>2904</v>
      </c>
      <c r="C229" s="693" t="str">
        <f>$G$1</f>
        <v>深圳新阳蓝光能源管理科技股份有限公司</v>
      </c>
      <c r="D229" s="849" t="s">
        <v>2942</v>
      </c>
      <c r="E229" s="855"/>
      <c r="F229" s="856"/>
      <c r="G229" s="136"/>
      <c r="H229" s="857"/>
      <c r="I229" s="876">
        <f t="shared" si="36"/>
        <v>0</v>
      </c>
      <c r="J229" s="857"/>
      <c r="K229" s="719"/>
      <c r="L229" s="719"/>
      <c r="M229" s="719"/>
      <c r="N229" s="719"/>
      <c r="O229" s="833"/>
      <c r="P229" s="833"/>
      <c r="Q229" s="883" t="str">
        <f t="shared" si="35"/>
        <v>正确</v>
      </c>
      <c r="X229" s="768" t="b">
        <f t="shared" si="28"/>
        <v>1</v>
      </c>
    </row>
    <row r="230" outlineLevel="2" spans="2:24">
      <c r="B230" s="845"/>
      <c r="C230" s="848"/>
      <c r="D230" s="849"/>
      <c r="E230" s="855"/>
      <c r="F230" s="856"/>
      <c r="G230" s="136"/>
      <c r="H230" s="857"/>
      <c r="I230" s="876">
        <f t="shared" si="36"/>
        <v>0</v>
      </c>
      <c r="J230" s="857"/>
      <c r="K230" s="719"/>
      <c r="L230" s="719"/>
      <c r="M230" s="719"/>
      <c r="N230" s="719"/>
      <c r="O230" s="833"/>
      <c r="P230" s="833"/>
      <c r="Q230" s="883" t="str">
        <f t="shared" si="35"/>
        <v>正确</v>
      </c>
      <c r="X230" s="769"/>
    </row>
    <row r="231" outlineLevel="2" spans="2:24">
      <c r="B231" s="845"/>
      <c r="C231" s="848"/>
      <c r="D231" s="849"/>
      <c r="E231" s="855"/>
      <c r="F231" s="856"/>
      <c r="G231" s="136"/>
      <c r="H231" s="857"/>
      <c r="I231" s="876">
        <f t="shared" si="36"/>
        <v>0</v>
      </c>
      <c r="J231" s="857"/>
      <c r="K231" s="719"/>
      <c r="L231" s="719"/>
      <c r="M231" s="719"/>
      <c r="N231" s="719"/>
      <c r="O231" s="833"/>
      <c r="P231" s="833"/>
      <c r="Q231" s="883" t="str">
        <f t="shared" si="35"/>
        <v>正确</v>
      </c>
      <c r="X231" s="769"/>
    </row>
    <row r="232" outlineLevel="2" spans="2:24">
      <c r="B232" s="845"/>
      <c r="C232" s="848"/>
      <c r="D232" s="849"/>
      <c r="E232" s="855"/>
      <c r="F232" s="856"/>
      <c r="G232" s="136"/>
      <c r="H232" s="857"/>
      <c r="I232" s="876">
        <f t="shared" si="36"/>
        <v>0</v>
      </c>
      <c r="J232" s="857"/>
      <c r="K232" s="719"/>
      <c r="L232" s="719"/>
      <c r="M232" s="719"/>
      <c r="N232" s="719"/>
      <c r="O232" s="833"/>
      <c r="P232" s="833"/>
      <c r="Q232" s="883" t="str">
        <f t="shared" si="35"/>
        <v>正确</v>
      </c>
      <c r="X232" s="769"/>
    </row>
    <row r="233" outlineLevel="2" spans="2:24">
      <c r="B233" s="845"/>
      <c r="C233" s="848"/>
      <c r="D233" s="849"/>
      <c r="E233" s="855"/>
      <c r="F233" s="856"/>
      <c r="G233" s="136"/>
      <c r="H233" s="857"/>
      <c r="I233" s="876">
        <f t="shared" si="36"/>
        <v>0</v>
      </c>
      <c r="J233" s="857"/>
      <c r="K233" s="719"/>
      <c r="L233" s="719"/>
      <c r="M233" s="719"/>
      <c r="N233" s="719"/>
      <c r="O233" s="833"/>
      <c r="P233" s="833"/>
      <c r="Q233" s="883" t="str">
        <f t="shared" si="35"/>
        <v>正确</v>
      </c>
      <c r="X233" s="769"/>
    </row>
    <row r="234" outlineLevel="2" spans="2:24">
      <c r="B234" s="845"/>
      <c r="C234" s="848"/>
      <c r="D234" s="849"/>
      <c r="E234" s="855"/>
      <c r="F234" s="856"/>
      <c r="G234" s="136"/>
      <c r="H234" s="857"/>
      <c r="I234" s="876">
        <f t="shared" si="36"/>
        <v>0</v>
      </c>
      <c r="J234" s="857"/>
      <c r="K234" s="719"/>
      <c r="L234" s="719"/>
      <c r="M234" s="719"/>
      <c r="N234" s="719"/>
      <c r="O234" s="833"/>
      <c r="P234" s="833"/>
      <c r="Q234" s="883" t="str">
        <f t="shared" si="35"/>
        <v>正确</v>
      </c>
      <c r="X234" s="769"/>
    </row>
    <row r="235" outlineLevel="2" spans="2:24">
      <c r="B235" s="845"/>
      <c r="C235" s="848"/>
      <c r="D235" s="849"/>
      <c r="E235" s="855"/>
      <c r="F235" s="856"/>
      <c r="G235" s="136"/>
      <c r="H235" s="857"/>
      <c r="I235" s="876">
        <f t="shared" si="36"/>
        <v>0</v>
      </c>
      <c r="J235" s="857"/>
      <c r="K235" s="719"/>
      <c r="L235" s="719"/>
      <c r="M235" s="719"/>
      <c r="N235" s="719"/>
      <c r="O235" s="833"/>
      <c r="P235" s="833"/>
      <c r="Q235" s="883" t="str">
        <f t="shared" si="35"/>
        <v>正确</v>
      </c>
      <c r="X235" s="769"/>
    </row>
    <row r="236" outlineLevel="2" spans="2:24">
      <c r="B236" s="845"/>
      <c r="C236" s="848"/>
      <c r="D236" s="849"/>
      <c r="E236" s="855"/>
      <c r="F236" s="856"/>
      <c r="G236" s="136"/>
      <c r="H236" s="857"/>
      <c r="I236" s="876">
        <f t="shared" si="36"/>
        <v>0</v>
      </c>
      <c r="J236" s="857"/>
      <c r="K236" s="719"/>
      <c r="L236" s="719"/>
      <c r="M236" s="719"/>
      <c r="N236" s="719"/>
      <c r="O236" s="833"/>
      <c r="P236" s="833"/>
      <c r="Q236" s="883" t="str">
        <f t="shared" si="35"/>
        <v>正确</v>
      </c>
      <c r="X236" s="769"/>
    </row>
    <row r="237" outlineLevel="2" spans="2:24">
      <c r="B237" s="845"/>
      <c r="C237" s="848"/>
      <c r="D237" s="849"/>
      <c r="E237" s="855"/>
      <c r="F237" s="856"/>
      <c r="G237" s="136"/>
      <c r="H237" s="857"/>
      <c r="I237" s="876">
        <f t="shared" si="36"/>
        <v>0</v>
      </c>
      <c r="J237" s="857"/>
      <c r="K237" s="719"/>
      <c r="L237" s="719"/>
      <c r="M237" s="719"/>
      <c r="N237" s="719"/>
      <c r="O237" s="833"/>
      <c r="P237" s="833"/>
      <c r="Q237" s="883" t="str">
        <f t="shared" si="35"/>
        <v>正确</v>
      </c>
      <c r="X237" s="769"/>
    </row>
    <row r="238" outlineLevel="2" spans="2:24">
      <c r="B238" s="845"/>
      <c r="C238" s="848"/>
      <c r="D238" s="849"/>
      <c r="E238" s="855"/>
      <c r="F238" s="856"/>
      <c r="G238" s="136"/>
      <c r="H238" s="857"/>
      <c r="I238" s="876">
        <f t="shared" si="36"/>
        <v>0</v>
      </c>
      <c r="J238" s="857"/>
      <c r="K238" s="719"/>
      <c r="L238" s="719"/>
      <c r="M238" s="719"/>
      <c r="N238" s="719"/>
      <c r="O238" s="833"/>
      <c r="P238" s="833"/>
      <c r="Q238" s="883" t="str">
        <f t="shared" si="35"/>
        <v>正确</v>
      </c>
      <c r="X238" s="769"/>
    </row>
    <row r="239" outlineLevel="2" spans="2:24">
      <c r="B239" s="845"/>
      <c r="C239" s="848"/>
      <c r="D239" s="849"/>
      <c r="E239" s="855"/>
      <c r="F239" s="856"/>
      <c r="G239" s="136"/>
      <c r="H239" s="857"/>
      <c r="I239" s="876">
        <f t="shared" si="36"/>
        <v>0</v>
      </c>
      <c r="J239" s="857"/>
      <c r="K239" s="719"/>
      <c r="L239" s="719"/>
      <c r="M239" s="719"/>
      <c r="N239" s="719"/>
      <c r="O239" s="833"/>
      <c r="P239" s="833"/>
      <c r="Q239" s="883" t="str">
        <f t="shared" si="35"/>
        <v>正确</v>
      </c>
      <c r="X239" s="769"/>
    </row>
    <row r="240" outlineLevel="2" spans="2:24">
      <c r="B240" s="845"/>
      <c r="C240" s="848"/>
      <c r="D240" s="849"/>
      <c r="E240" s="855"/>
      <c r="F240" s="856"/>
      <c r="G240" s="136"/>
      <c r="H240" s="857"/>
      <c r="I240" s="876">
        <f t="shared" si="36"/>
        <v>0</v>
      </c>
      <c r="J240" s="857"/>
      <c r="K240" s="719"/>
      <c r="L240" s="719"/>
      <c r="M240" s="719"/>
      <c r="N240" s="719"/>
      <c r="O240" s="833"/>
      <c r="P240" s="833"/>
      <c r="Q240" s="883" t="str">
        <f t="shared" si="35"/>
        <v>正确</v>
      </c>
      <c r="X240" s="769"/>
    </row>
    <row r="241" outlineLevel="2" spans="2:24">
      <c r="B241" s="845"/>
      <c r="C241" s="848"/>
      <c r="D241" s="849"/>
      <c r="E241" s="855"/>
      <c r="F241" s="856"/>
      <c r="G241" s="136"/>
      <c r="H241" s="857"/>
      <c r="I241" s="876">
        <f t="shared" si="36"/>
        <v>0</v>
      </c>
      <c r="J241" s="857"/>
      <c r="K241" s="719"/>
      <c r="L241" s="719"/>
      <c r="M241" s="719"/>
      <c r="N241" s="719"/>
      <c r="O241" s="833"/>
      <c r="P241" s="833"/>
      <c r="Q241" s="883" t="str">
        <f t="shared" si="35"/>
        <v>正确</v>
      </c>
      <c r="X241" s="769"/>
    </row>
    <row r="242" outlineLevel="2" spans="2:24">
      <c r="B242" s="845"/>
      <c r="C242" s="848"/>
      <c r="D242" s="849"/>
      <c r="E242" s="855"/>
      <c r="F242" s="856"/>
      <c r="G242" s="136"/>
      <c r="H242" s="857"/>
      <c r="I242" s="876">
        <f t="shared" si="36"/>
        <v>0</v>
      </c>
      <c r="J242" s="857"/>
      <c r="K242" s="719"/>
      <c r="L242" s="719"/>
      <c r="M242" s="719"/>
      <c r="N242" s="719"/>
      <c r="O242" s="833"/>
      <c r="P242" s="833"/>
      <c r="Q242" s="883" t="str">
        <f t="shared" si="35"/>
        <v>正确</v>
      </c>
      <c r="X242" s="769"/>
    </row>
    <row r="243" outlineLevel="2" spans="2:24">
      <c r="B243" s="845"/>
      <c r="C243" s="848"/>
      <c r="D243" s="849"/>
      <c r="E243" s="855"/>
      <c r="F243" s="856"/>
      <c r="G243" s="136"/>
      <c r="H243" s="857"/>
      <c r="I243" s="876">
        <f t="shared" si="36"/>
        <v>0</v>
      </c>
      <c r="J243" s="857"/>
      <c r="K243" s="719"/>
      <c r="L243" s="719"/>
      <c r="M243" s="719"/>
      <c r="N243" s="719"/>
      <c r="O243" s="833"/>
      <c r="P243" s="833"/>
      <c r="Q243" s="883" t="str">
        <f t="shared" si="35"/>
        <v>正确</v>
      </c>
      <c r="X243" s="769"/>
    </row>
    <row r="244" outlineLevel="2" spans="2:24">
      <c r="B244" s="845"/>
      <c r="C244" s="848"/>
      <c r="D244" s="849"/>
      <c r="E244" s="855"/>
      <c r="F244" s="856"/>
      <c r="G244" s="136"/>
      <c r="H244" s="857"/>
      <c r="I244" s="876">
        <f t="shared" si="36"/>
        <v>0</v>
      </c>
      <c r="J244" s="857"/>
      <c r="K244" s="719"/>
      <c r="L244" s="719"/>
      <c r="M244" s="719"/>
      <c r="N244" s="719"/>
      <c r="O244" s="833"/>
      <c r="P244" s="833"/>
      <c r="Q244" s="883" t="str">
        <f t="shared" si="35"/>
        <v>正确</v>
      </c>
      <c r="X244" s="769"/>
    </row>
    <row r="245" outlineLevel="2" spans="2:24">
      <c r="B245" s="845"/>
      <c r="C245" s="848"/>
      <c r="D245" s="849"/>
      <c r="E245" s="855"/>
      <c r="F245" s="856"/>
      <c r="G245" s="136"/>
      <c r="H245" s="857"/>
      <c r="I245" s="876">
        <f t="shared" si="36"/>
        <v>0</v>
      </c>
      <c r="J245" s="857"/>
      <c r="K245" s="719"/>
      <c r="L245" s="719"/>
      <c r="M245" s="719"/>
      <c r="N245" s="719"/>
      <c r="O245" s="833"/>
      <c r="P245" s="833"/>
      <c r="Q245" s="883" t="str">
        <f t="shared" si="35"/>
        <v>正确</v>
      </c>
      <c r="X245" s="769"/>
    </row>
    <row r="246" outlineLevel="2" spans="2:24">
      <c r="B246" s="845"/>
      <c r="C246" s="848"/>
      <c r="D246" s="849"/>
      <c r="E246" s="855"/>
      <c r="F246" s="856"/>
      <c r="G246" s="136"/>
      <c r="H246" s="857"/>
      <c r="I246" s="876">
        <f t="shared" si="36"/>
        <v>0</v>
      </c>
      <c r="J246" s="857"/>
      <c r="K246" s="719"/>
      <c r="L246" s="719"/>
      <c r="M246" s="719"/>
      <c r="N246" s="719"/>
      <c r="O246" s="833"/>
      <c r="P246" s="833"/>
      <c r="Q246" s="883" t="str">
        <f t="shared" si="35"/>
        <v>正确</v>
      </c>
      <c r="X246" s="769"/>
    </row>
    <row r="247" outlineLevel="2" spans="2:24">
      <c r="B247" s="845" t="s">
        <v>2904</v>
      </c>
      <c r="C247" s="693" t="str">
        <f>$G$1</f>
        <v>深圳新阳蓝光能源管理科技股份有限公司</v>
      </c>
      <c r="D247" s="849" t="s">
        <v>2942</v>
      </c>
      <c r="E247" s="852" t="s">
        <v>2949</v>
      </c>
      <c r="F247" s="853"/>
      <c r="G247" s="854">
        <f>ROUND(SUM(G248:G268),2)</f>
        <v>0</v>
      </c>
      <c r="H247" s="854">
        <f>ROUND(SUM(H248:H268),2)</f>
        <v>0</v>
      </c>
      <c r="I247" s="876">
        <f t="shared" si="36"/>
        <v>0</v>
      </c>
      <c r="J247" s="854">
        <f t="shared" ref="J247:P247" si="37">ROUND(SUM(J248:J268),2)</f>
        <v>0</v>
      </c>
      <c r="K247" s="854">
        <f t="shared" si="37"/>
        <v>0</v>
      </c>
      <c r="L247" s="854">
        <f t="shared" si="37"/>
        <v>0</v>
      </c>
      <c r="M247" s="854">
        <f t="shared" si="37"/>
        <v>0</v>
      </c>
      <c r="N247" s="854">
        <f t="shared" si="37"/>
        <v>0</v>
      </c>
      <c r="O247" s="854">
        <f t="shared" si="37"/>
        <v>0</v>
      </c>
      <c r="P247" s="854">
        <f t="shared" si="37"/>
        <v>0</v>
      </c>
      <c r="Q247" s="883" t="str">
        <f t="shared" si="35"/>
        <v>正确</v>
      </c>
      <c r="X247" s="768" t="b">
        <f t="shared" si="28"/>
        <v>0</v>
      </c>
    </row>
    <row r="248" outlineLevel="2" spans="2:24">
      <c r="B248" s="845" t="s">
        <v>2904</v>
      </c>
      <c r="C248" s="693" t="str">
        <f>$G$1</f>
        <v>深圳新阳蓝光能源管理科技股份有限公司</v>
      </c>
      <c r="D248" s="849" t="s">
        <v>2942</v>
      </c>
      <c r="E248" s="855"/>
      <c r="F248" s="856"/>
      <c r="G248" s="136"/>
      <c r="H248" s="136"/>
      <c r="I248" s="876">
        <f t="shared" si="36"/>
        <v>0</v>
      </c>
      <c r="J248" s="857"/>
      <c r="K248" s="719"/>
      <c r="L248" s="719"/>
      <c r="M248" s="719"/>
      <c r="N248" s="719"/>
      <c r="O248" s="833"/>
      <c r="P248" s="833"/>
      <c r="Q248" s="883" t="str">
        <f t="shared" si="35"/>
        <v>正确</v>
      </c>
      <c r="X248" s="768" t="b">
        <f t="shared" si="28"/>
        <v>1</v>
      </c>
    </row>
    <row r="249" outlineLevel="2" spans="2:24">
      <c r="B249" s="845" t="s">
        <v>2904</v>
      </c>
      <c r="C249" s="693" t="str">
        <f>$G$1</f>
        <v>深圳新阳蓝光能源管理科技股份有限公司</v>
      </c>
      <c r="D249" s="849" t="s">
        <v>2942</v>
      </c>
      <c r="E249" s="855"/>
      <c r="F249" s="856"/>
      <c r="G249" s="136"/>
      <c r="H249" s="857"/>
      <c r="I249" s="876">
        <f t="shared" si="36"/>
        <v>0</v>
      </c>
      <c r="J249" s="857"/>
      <c r="K249" s="719"/>
      <c r="L249" s="719"/>
      <c r="M249" s="719"/>
      <c r="N249" s="719"/>
      <c r="O249" s="833"/>
      <c r="P249" s="833"/>
      <c r="Q249" s="883" t="str">
        <f t="shared" si="35"/>
        <v>正确</v>
      </c>
      <c r="X249" s="768" t="b">
        <f t="shared" si="28"/>
        <v>1</v>
      </c>
    </row>
    <row r="250" outlineLevel="2" spans="2:24">
      <c r="B250" s="845" t="s">
        <v>2904</v>
      </c>
      <c r="C250" s="693" t="str">
        <f>$G$1</f>
        <v>深圳新阳蓝光能源管理科技股份有限公司</v>
      </c>
      <c r="D250" s="849" t="s">
        <v>2950</v>
      </c>
      <c r="E250" s="855"/>
      <c r="F250" s="856"/>
      <c r="G250" s="136"/>
      <c r="H250" s="857"/>
      <c r="I250" s="876">
        <f t="shared" si="36"/>
        <v>0</v>
      </c>
      <c r="J250" s="857"/>
      <c r="K250" s="719"/>
      <c r="L250" s="719"/>
      <c r="M250" s="719"/>
      <c r="N250" s="719"/>
      <c r="O250" s="833"/>
      <c r="P250" s="833"/>
      <c r="Q250" s="883" t="str">
        <f t="shared" si="35"/>
        <v>正确</v>
      </c>
      <c r="X250" s="768" t="b">
        <f t="shared" si="28"/>
        <v>1</v>
      </c>
    </row>
    <row r="251" outlineLevel="2" spans="2:24">
      <c r="B251" s="845"/>
      <c r="C251" s="848"/>
      <c r="D251" s="849"/>
      <c r="E251" s="855"/>
      <c r="F251" s="856"/>
      <c r="G251" s="136"/>
      <c r="H251" s="857"/>
      <c r="I251" s="876">
        <f t="shared" si="36"/>
        <v>0</v>
      </c>
      <c r="J251" s="857"/>
      <c r="K251" s="719"/>
      <c r="L251" s="719"/>
      <c r="M251" s="719"/>
      <c r="N251" s="719"/>
      <c r="O251" s="833"/>
      <c r="P251" s="833"/>
      <c r="Q251" s="883" t="str">
        <f t="shared" si="35"/>
        <v>正确</v>
      </c>
      <c r="X251" s="769"/>
    </row>
    <row r="252" outlineLevel="2" spans="2:24">
      <c r="B252" s="845"/>
      <c r="C252" s="848"/>
      <c r="D252" s="849"/>
      <c r="E252" s="855"/>
      <c r="F252" s="856"/>
      <c r="G252" s="136"/>
      <c r="H252" s="857"/>
      <c r="I252" s="876">
        <f t="shared" si="36"/>
        <v>0</v>
      </c>
      <c r="J252" s="857"/>
      <c r="K252" s="719"/>
      <c r="L252" s="719"/>
      <c r="M252" s="719"/>
      <c r="N252" s="719"/>
      <c r="O252" s="833"/>
      <c r="P252" s="833"/>
      <c r="Q252" s="883" t="str">
        <f t="shared" si="35"/>
        <v>正确</v>
      </c>
      <c r="X252" s="769"/>
    </row>
    <row r="253" outlineLevel="2" spans="2:24">
      <c r="B253" s="845"/>
      <c r="C253" s="848"/>
      <c r="D253" s="849"/>
      <c r="E253" s="855"/>
      <c r="F253" s="856"/>
      <c r="G253" s="136"/>
      <c r="H253" s="857"/>
      <c r="I253" s="876">
        <f t="shared" si="36"/>
        <v>0</v>
      </c>
      <c r="J253" s="857"/>
      <c r="K253" s="719"/>
      <c r="L253" s="719"/>
      <c r="M253" s="719"/>
      <c r="N253" s="719"/>
      <c r="O253" s="833"/>
      <c r="P253" s="833"/>
      <c r="Q253" s="883" t="str">
        <f t="shared" si="35"/>
        <v>正确</v>
      </c>
      <c r="X253" s="769"/>
    </row>
    <row r="254" outlineLevel="2" spans="2:24">
      <c r="B254" s="845"/>
      <c r="C254" s="848"/>
      <c r="D254" s="849"/>
      <c r="E254" s="855"/>
      <c r="F254" s="856"/>
      <c r="G254" s="136"/>
      <c r="H254" s="857"/>
      <c r="I254" s="876">
        <f t="shared" si="36"/>
        <v>0</v>
      </c>
      <c r="J254" s="857"/>
      <c r="K254" s="719"/>
      <c r="L254" s="719"/>
      <c r="M254" s="719"/>
      <c r="N254" s="719"/>
      <c r="O254" s="833"/>
      <c r="P254" s="833"/>
      <c r="Q254" s="883" t="str">
        <f t="shared" si="35"/>
        <v>正确</v>
      </c>
      <c r="X254" s="769"/>
    </row>
    <row r="255" outlineLevel="2" spans="2:24">
      <c r="B255" s="845" t="s">
        <v>2904</v>
      </c>
      <c r="C255" s="693" t="str">
        <f t="shared" ref="C255:C273" si="38">$G$1</f>
        <v>深圳新阳蓝光能源管理科技股份有限公司</v>
      </c>
      <c r="D255" s="849" t="s">
        <v>2950</v>
      </c>
      <c r="E255" s="855"/>
      <c r="F255" s="856"/>
      <c r="G255" s="136"/>
      <c r="H255" s="857"/>
      <c r="I255" s="876">
        <f t="shared" si="36"/>
        <v>0</v>
      </c>
      <c r="J255" s="857"/>
      <c r="K255" s="719"/>
      <c r="L255" s="719"/>
      <c r="M255" s="719"/>
      <c r="N255" s="719"/>
      <c r="O255" s="833"/>
      <c r="P255" s="833"/>
      <c r="Q255" s="883" t="str">
        <f t="shared" si="35"/>
        <v>正确</v>
      </c>
      <c r="X255" s="768" t="b">
        <f t="shared" si="28"/>
        <v>1</v>
      </c>
    </row>
    <row r="256" outlineLevel="2" spans="2:24">
      <c r="B256" s="845" t="s">
        <v>2904</v>
      </c>
      <c r="C256" s="693" t="str">
        <f t="shared" si="38"/>
        <v>深圳新阳蓝光能源管理科技股份有限公司</v>
      </c>
      <c r="D256" s="849" t="s">
        <v>2950</v>
      </c>
      <c r="E256" s="855"/>
      <c r="F256" s="856"/>
      <c r="G256" s="136"/>
      <c r="H256" s="857"/>
      <c r="I256" s="876">
        <f t="shared" si="36"/>
        <v>0</v>
      </c>
      <c r="J256" s="857"/>
      <c r="K256" s="719"/>
      <c r="L256" s="719"/>
      <c r="M256" s="719"/>
      <c r="N256" s="719"/>
      <c r="O256" s="833"/>
      <c r="P256" s="833"/>
      <c r="Q256" s="883" t="str">
        <f t="shared" si="35"/>
        <v>正确</v>
      </c>
      <c r="X256" s="768" t="b">
        <f t="shared" si="28"/>
        <v>1</v>
      </c>
    </row>
    <row r="257" outlineLevel="2" spans="2:24">
      <c r="B257" s="845" t="s">
        <v>2904</v>
      </c>
      <c r="C257" s="693" t="str">
        <f t="shared" si="38"/>
        <v>深圳新阳蓝光能源管理科技股份有限公司</v>
      </c>
      <c r="D257" s="849" t="s">
        <v>2950</v>
      </c>
      <c r="E257" s="855"/>
      <c r="F257" s="856"/>
      <c r="G257" s="136"/>
      <c r="H257" s="857"/>
      <c r="I257" s="876">
        <f t="shared" si="36"/>
        <v>0</v>
      </c>
      <c r="J257" s="857"/>
      <c r="K257" s="719"/>
      <c r="L257" s="719"/>
      <c r="M257" s="719"/>
      <c r="N257" s="719"/>
      <c r="O257" s="833"/>
      <c r="P257" s="833"/>
      <c r="Q257" s="883" t="str">
        <f t="shared" si="35"/>
        <v>正确</v>
      </c>
      <c r="X257" s="768" t="b">
        <f t="shared" si="28"/>
        <v>1</v>
      </c>
    </row>
    <row r="258" outlineLevel="2" spans="2:24">
      <c r="B258" s="845" t="s">
        <v>2904</v>
      </c>
      <c r="C258" s="693" t="str">
        <f t="shared" si="38"/>
        <v>深圳新阳蓝光能源管理科技股份有限公司</v>
      </c>
      <c r="D258" s="849" t="s">
        <v>2950</v>
      </c>
      <c r="E258" s="855"/>
      <c r="F258" s="856"/>
      <c r="G258" s="136"/>
      <c r="H258" s="857"/>
      <c r="I258" s="876">
        <f t="shared" si="36"/>
        <v>0</v>
      </c>
      <c r="J258" s="857"/>
      <c r="K258" s="719"/>
      <c r="L258" s="719"/>
      <c r="M258" s="719"/>
      <c r="N258" s="719"/>
      <c r="O258" s="833"/>
      <c r="P258" s="833"/>
      <c r="Q258" s="883" t="str">
        <f t="shared" si="35"/>
        <v>正确</v>
      </c>
      <c r="X258" s="768" t="b">
        <f t="shared" si="28"/>
        <v>1</v>
      </c>
    </row>
    <row r="259" outlineLevel="2" spans="2:24">
      <c r="B259" s="845" t="s">
        <v>2904</v>
      </c>
      <c r="C259" s="693" t="str">
        <f t="shared" si="38"/>
        <v>深圳新阳蓝光能源管理科技股份有限公司</v>
      </c>
      <c r="D259" s="849" t="s">
        <v>2950</v>
      </c>
      <c r="E259" s="855"/>
      <c r="F259" s="856"/>
      <c r="G259" s="136"/>
      <c r="H259" s="857"/>
      <c r="I259" s="876">
        <f t="shared" si="36"/>
        <v>0</v>
      </c>
      <c r="J259" s="857"/>
      <c r="K259" s="719"/>
      <c r="L259" s="719"/>
      <c r="M259" s="719"/>
      <c r="N259" s="719"/>
      <c r="O259" s="833"/>
      <c r="P259" s="833"/>
      <c r="Q259" s="883" t="str">
        <f t="shared" si="35"/>
        <v>正确</v>
      </c>
      <c r="X259" s="768" t="b">
        <f t="shared" si="28"/>
        <v>1</v>
      </c>
    </row>
    <row r="260" outlineLevel="2" spans="2:24">
      <c r="B260" s="845" t="s">
        <v>2904</v>
      </c>
      <c r="C260" s="693" t="str">
        <f t="shared" si="38"/>
        <v>深圳新阳蓝光能源管理科技股份有限公司</v>
      </c>
      <c r="D260" s="849" t="s">
        <v>2950</v>
      </c>
      <c r="E260" s="855"/>
      <c r="F260" s="856"/>
      <c r="G260" s="136"/>
      <c r="H260" s="857"/>
      <c r="I260" s="876">
        <f t="shared" si="36"/>
        <v>0</v>
      </c>
      <c r="J260" s="857"/>
      <c r="K260" s="719"/>
      <c r="L260" s="719"/>
      <c r="M260" s="719"/>
      <c r="N260" s="719"/>
      <c r="O260" s="833"/>
      <c r="P260" s="833"/>
      <c r="Q260" s="883" t="str">
        <f t="shared" si="35"/>
        <v>正确</v>
      </c>
      <c r="X260" s="768" t="b">
        <f t="shared" si="28"/>
        <v>1</v>
      </c>
    </row>
    <row r="261" outlineLevel="2" spans="2:24">
      <c r="B261" s="845" t="s">
        <v>2904</v>
      </c>
      <c r="C261" s="693" t="str">
        <f t="shared" si="38"/>
        <v>深圳新阳蓝光能源管理科技股份有限公司</v>
      </c>
      <c r="D261" s="849" t="s">
        <v>2950</v>
      </c>
      <c r="E261" s="855"/>
      <c r="F261" s="856"/>
      <c r="G261" s="136"/>
      <c r="H261" s="857"/>
      <c r="I261" s="876">
        <f t="shared" si="36"/>
        <v>0</v>
      </c>
      <c r="J261" s="857"/>
      <c r="K261" s="719"/>
      <c r="L261" s="719"/>
      <c r="M261" s="719"/>
      <c r="N261" s="719"/>
      <c r="O261" s="833"/>
      <c r="P261" s="833"/>
      <c r="Q261" s="883" t="str">
        <f t="shared" si="35"/>
        <v>正确</v>
      </c>
      <c r="X261" s="768" t="b">
        <f t="shared" si="28"/>
        <v>1</v>
      </c>
    </row>
    <row r="262" outlineLevel="2" spans="2:24">
      <c r="B262" s="845" t="s">
        <v>2904</v>
      </c>
      <c r="C262" s="693" t="str">
        <f t="shared" si="38"/>
        <v>深圳新阳蓝光能源管理科技股份有限公司</v>
      </c>
      <c r="D262" s="849" t="s">
        <v>2950</v>
      </c>
      <c r="E262" s="855"/>
      <c r="F262" s="856"/>
      <c r="G262" s="136"/>
      <c r="H262" s="857"/>
      <c r="I262" s="876">
        <f t="shared" si="36"/>
        <v>0</v>
      </c>
      <c r="J262" s="857"/>
      <c r="K262" s="719"/>
      <c r="L262" s="719"/>
      <c r="M262" s="719"/>
      <c r="N262" s="719"/>
      <c r="O262" s="833"/>
      <c r="P262" s="833"/>
      <c r="Q262" s="883" t="str">
        <f t="shared" si="35"/>
        <v>正确</v>
      </c>
      <c r="X262" s="768" t="b">
        <f t="shared" si="28"/>
        <v>1</v>
      </c>
    </row>
    <row r="263" outlineLevel="2" spans="2:24">
      <c r="B263" s="845" t="s">
        <v>2904</v>
      </c>
      <c r="C263" s="693" t="str">
        <f t="shared" si="38"/>
        <v>深圳新阳蓝光能源管理科技股份有限公司</v>
      </c>
      <c r="D263" s="849" t="s">
        <v>2950</v>
      </c>
      <c r="E263" s="855"/>
      <c r="F263" s="856"/>
      <c r="G263" s="136"/>
      <c r="H263" s="857"/>
      <c r="I263" s="876">
        <f t="shared" si="36"/>
        <v>0</v>
      </c>
      <c r="J263" s="857"/>
      <c r="K263" s="719"/>
      <c r="L263" s="719"/>
      <c r="M263" s="719"/>
      <c r="N263" s="719"/>
      <c r="O263" s="833"/>
      <c r="P263" s="833"/>
      <c r="Q263" s="883" t="str">
        <f t="shared" si="35"/>
        <v>正确</v>
      </c>
      <c r="X263" s="768" t="b">
        <f t="shared" si="28"/>
        <v>1</v>
      </c>
    </row>
    <row r="264" outlineLevel="2" spans="2:24">
      <c r="B264" s="845" t="s">
        <v>2904</v>
      </c>
      <c r="C264" s="693" t="str">
        <f t="shared" si="38"/>
        <v>深圳新阳蓝光能源管理科技股份有限公司</v>
      </c>
      <c r="D264" s="849" t="s">
        <v>2950</v>
      </c>
      <c r="E264" s="855"/>
      <c r="F264" s="856"/>
      <c r="G264" s="136"/>
      <c r="H264" s="857"/>
      <c r="I264" s="876">
        <f t="shared" si="36"/>
        <v>0</v>
      </c>
      <c r="J264" s="857"/>
      <c r="K264" s="719"/>
      <c r="L264" s="719"/>
      <c r="M264" s="719"/>
      <c r="N264" s="719"/>
      <c r="O264" s="833"/>
      <c r="P264" s="833"/>
      <c r="Q264" s="883" t="str">
        <f t="shared" si="35"/>
        <v>正确</v>
      </c>
      <c r="X264" s="768" t="b">
        <f t="shared" si="28"/>
        <v>1</v>
      </c>
    </row>
    <row r="265" outlineLevel="2" spans="2:24">
      <c r="B265" s="845" t="s">
        <v>2904</v>
      </c>
      <c r="C265" s="693" t="str">
        <f t="shared" si="38"/>
        <v>深圳新阳蓝光能源管理科技股份有限公司</v>
      </c>
      <c r="D265" s="849" t="s">
        <v>2950</v>
      </c>
      <c r="E265" s="855"/>
      <c r="F265" s="856"/>
      <c r="G265" s="136"/>
      <c r="H265" s="857"/>
      <c r="I265" s="876">
        <f t="shared" si="36"/>
        <v>0</v>
      </c>
      <c r="J265" s="857"/>
      <c r="K265" s="719"/>
      <c r="L265" s="719"/>
      <c r="M265" s="719"/>
      <c r="N265" s="719"/>
      <c r="O265" s="833"/>
      <c r="P265" s="833"/>
      <c r="Q265" s="883" t="str">
        <f t="shared" si="35"/>
        <v>正确</v>
      </c>
      <c r="X265" s="768" t="b">
        <f t="shared" si="28"/>
        <v>1</v>
      </c>
    </row>
    <row r="266" outlineLevel="2" spans="2:24">
      <c r="B266" s="845" t="s">
        <v>2904</v>
      </c>
      <c r="C266" s="693" t="str">
        <f t="shared" si="38"/>
        <v>深圳新阳蓝光能源管理科技股份有限公司</v>
      </c>
      <c r="D266" s="849" t="s">
        <v>2950</v>
      </c>
      <c r="E266" s="855"/>
      <c r="F266" s="856"/>
      <c r="G266" s="136"/>
      <c r="H266" s="857"/>
      <c r="I266" s="876">
        <f t="shared" si="36"/>
        <v>0</v>
      </c>
      <c r="J266" s="857"/>
      <c r="K266" s="719"/>
      <c r="L266" s="719"/>
      <c r="M266" s="719"/>
      <c r="N266" s="719"/>
      <c r="O266" s="833"/>
      <c r="P266" s="833"/>
      <c r="Q266" s="883" t="str">
        <f t="shared" si="35"/>
        <v>正确</v>
      </c>
      <c r="X266" s="768" t="b">
        <f t="shared" si="28"/>
        <v>1</v>
      </c>
    </row>
    <row r="267" outlineLevel="2" spans="2:24">
      <c r="B267" s="845" t="s">
        <v>2904</v>
      </c>
      <c r="C267" s="693" t="str">
        <f t="shared" si="38"/>
        <v>深圳新阳蓝光能源管理科技股份有限公司</v>
      </c>
      <c r="D267" s="849" t="s">
        <v>2950</v>
      </c>
      <c r="E267" s="855"/>
      <c r="F267" s="856"/>
      <c r="G267" s="136"/>
      <c r="H267" s="857"/>
      <c r="I267" s="876">
        <f t="shared" si="36"/>
        <v>0</v>
      </c>
      <c r="J267" s="857"/>
      <c r="K267" s="719"/>
      <c r="L267" s="719"/>
      <c r="M267" s="719"/>
      <c r="N267" s="719"/>
      <c r="O267" s="833"/>
      <c r="P267" s="833"/>
      <c r="Q267" s="883" t="str">
        <f t="shared" si="35"/>
        <v>正确</v>
      </c>
      <c r="X267" s="768" t="b">
        <f t="shared" si="28"/>
        <v>1</v>
      </c>
    </row>
    <row r="268" outlineLevel="2" spans="2:24">
      <c r="B268" s="845" t="s">
        <v>2904</v>
      </c>
      <c r="C268" s="693" t="str">
        <f t="shared" si="38"/>
        <v>深圳新阳蓝光能源管理科技股份有限公司</v>
      </c>
      <c r="D268" s="849" t="s">
        <v>2950</v>
      </c>
      <c r="E268" s="855"/>
      <c r="F268" s="856"/>
      <c r="G268" s="136"/>
      <c r="H268" s="857"/>
      <c r="I268" s="876">
        <f t="shared" si="36"/>
        <v>0</v>
      </c>
      <c r="J268" s="857"/>
      <c r="K268" s="719"/>
      <c r="L268" s="719"/>
      <c r="M268" s="719"/>
      <c r="N268" s="719"/>
      <c r="O268" s="833"/>
      <c r="P268" s="833"/>
      <c r="Q268" s="883" t="str">
        <f t="shared" si="35"/>
        <v>正确</v>
      </c>
      <c r="X268" s="768" t="b">
        <f t="shared" si="28"/>
        <v>1</v>
      </c>
    </row>
    <row r="269" outlineLevel="2" spans="1:24">
      <c r="A269" s="826" t="s">
        <v>2021</v>
      </c>
      <c r="B269" s="845" t="s">
        <v>2904</v>
      </c>
      <c r="C269" s="693" t="str">
        <f t="shared" si="38"/>
        <v>深圳新阳蓝光能源管理科技股份有限公司</v>
      </c>
      <c r="D269" s="849" t="s">
        <v>2950</v>
      </c>
      <c r="E269" s="830" t="s">
        <v>2021</v>
      </c>
      <c r="F269" s="875"/>
      <c r="G269" s="139">
        <f>G247+G223</f>
        <v>0</v>
      </c>
      <c r="H269" s="139">
        <f>H247+H223</f>
        <v>0</v>
      </c>
      <c r="I269" s="876">
        <f t="shared" si="36"/>
        <v>0</v>
      </c>
      <c r="J269" s="873"/>
      <c r="K269" s="139">
        <f t="shared" ref="K269:P269" si="39">K247+K223</f>
        <v>0</v>
      </c>
      <c r="L269" s="139">
        <f t="shared" si="39"/>
        <v>0</v>
      </c>
      <c r="M269" s="139">
        <f t="shared" si="39"/>
        <v>0</v>
      </c>
      <c r="N269" s="139">
        <f t="shared" si="39"/>
        <v>0</v>
      </c>
      <c r="O269" s="139">
        <f t="shared" si="39"/>
        <v>0</v>
      </c>
      <c r="P269" s="139">
        <f t="shared" si="39"/>
        <v>0</v>
      </c>
      <c r="Q269" s="883" t="str">
        <f t="shared" si="35"/>
        <v>正确</v>
      </c>
      <c r="X269" s="768" t="b">
        <f t="shared" si="28"/>
        <v>1</v>
      </c>
    </row>
    <row r="270" outlineLevel="2" spans="2:24">
      <c r="B270" s="845" t="s">
        <v>2904</v>
      </c>
      <c r="C270" s="693" t="str">
        <f t="shared" si="38"/>
        <v>深圳新阳蓝光能源管理科技股份有限公司</v>
      </c>
      <c r="D270" s="849" t="s">
        <v>2950</v>
      </c>
      <c r="E270" s="885" t="s">
        <v>2951</v>
      </c>
      <c r="F270" s="715"/>
      <c r="G270" s="837"/>
      <c r="H270" s="715"/>
      <c r="I270" s="837"/>
      <c r="J270" s="715"/>
      <c r="K270" s="837"/>
      <c r="L270" s="715"/>
      <c r="M270" s="837"/>
      <c r="N270" s="829"/>
      <c r="X270" s="768" t="b">
        <f t="shared" si="28"/>
        <v>0</v>
      </c>
    </row>
    <row r="271" outlineLevel="2" spans="1:24">
      <c r="A271" s="826" t="s">
        <v>2473</v>
      </c>
      <c r="B271" s="845" t="s">
        <v>2904</v>
      </c>
      <c r="C271" s="693" t="str">
        <f t="shared" si="38"/>
        <v>深圳新阳蓝光能源管理科技股份有限公司</v>
      </c>
      <c r="D271" s="849" t="s">
        <v>2942</v>
      </c>
      <c r="E271" s="851" t="s">
        <v>2473</v>
      </c>
      <c r="F271" s="851" t="s">
        <v>2944</v>
      </c>
      <c r="G271" s="886" t="s">
        <v>2020</v>
      </c>
      <c r="H271" s="851" t="s">
        <v>2945</v>
      </c>
      <c r="I271" s="851" t="s">
        <v>2946</v>
      </c>
      <c r="J271" s="851" t="s">
        <v>2947</v>
      </c>
      <c r="K271" s="873" t="s">
        <v>2026</v>
      </c>
      <c r="L271" s="833" t="s">
        <v>2923</v>
      </c>
      <c r="M271" s="873" t="s">
        <v>2028</v>
      </c>
      <c r="N271" s="874" t="s">
        <v>2926</v>
      </c>
      <c r="O271" s="875" t="s">
        <v>2928</v>
      </c>
      <c r="P271" s="875" t="s">
        <v>2929</v>
      </c>
      <c r="Q271" s="875" t="s">
        <v>1997</v>
      </c>
      <c r="X271" s="768" t="b">
        <f t="shared" si="28"/>
        <v>1</v>
      </c>
    </row>
    <row r="272" outlineLevel="2" spans="2:24">
      <c r="B272" s="845" t="s">
        <v>2904</v>
      </c>
      <c r="C272" s="693" t="str">
        <f t="shared" si="38"/>
        <v>深圳新阳蓝光能源管理科技股份有限公司</v>
      </c>
      <c r="D272" s="849" t="s">
        <v>2942</v>
      </c>
      <c r="E272" s="852" t="s">
        <v>2948</v>
      </c>
      <c r="F272" s="853"/>
      <c r="G272" s="854">
        <f>ROUND(SUM(G273:G295),2)</f>
        <v>0</v>
      </c>
      <c r="H272" s="854">
        <f>ROUND(SUM(H273:H295),2)</f>
        <v>0</v>
      </c>
      <c r="I272" s="876">
        <f>IFERROR(ROUND(H272/G272,4),0)</f>
        <v>0</v>
      </c>
      <c r="J272" s="877"/>
      <c r="K272" s="854">
        <f t="shared" ref="K272" si="40">ROUND(SUM(K273:K295),2)</f>
        <v>0</v>
      </c>
      <c r="L272" s="854">
        <f t="shared" ref="L272:P272" si="41">ROUND(SUM(L273:L295),2)</f>
        <v>0</v>
      </c>
      <c r="M272" s="854">
        <f t="shared" si="41"/>
        <v>0</v>
      </c>
      <c r="N272" s="854">
        <f t="shared" si="41"/>
        <v>0</v>
      </c>
      <c r="O272" s="854">
        <f t="shared" si="41"/>
        <v>0</v>
      </c>
      <c r="P272" s="854">
        <f t="shared" si="41"/>
        <v>0</v>
      </c>
      <c r="Q272" s="883" t="str">
        <f t="shared" ref="Q272:Q318" si="42">IF(ROUND(G272-K272-L272-M272-O272-P272-N272,2)=0,"正确","错误请核对")</f>
        <v>正确</v>
      </c>
      <c r="X272" s="768" t="b">
        <f t="shared" si="28"/>
        <v>0</v>
      </c>
    </row>
    <row r="273" outlineLevel="2" spans="2:24">
      <c r="B273" s="845" t="s">
        <v>2904</v>
      </c>
      <c r="C273" s="693" t="str">
        <f t="shared" si="38"/>
        <v>深圳新阳蓝光能源管理科技股份有限公司</v>
      </c>
      <c r="D273" s="849" t="s">
        <v>2942</v>
      </c>
      <c r="E273" s="855"/>
      <c r="F273" s="856"/>
      <c r="G273" s="136"/>
      <c r="H273" s="857"/>
      <c r="I273" s="876">
        <f t="shared" ref="I273:I318" si="43">IFERROR(ROUND(H273/G273,4),0)</f>
        <v>0</v>
      </c>
      <c r="J273" s="857"/>
      <c r="K273" s="719"/>
      <c r="L273" s="719"/>
      <c r="M273" s="719"/>
      <c r="N273" s="719"/>
      <c r="O273" s="833"/>
      <c r="P273" s="833"/>
      <c r="Q273" s="883" t="str">
        <f t="shared" si="42"/>
        <v>正确</v>
      </c>
      <c r="X273" s="768" t="b">
        <f t="shared" si="28"/>
        <v>1</v>
      </c>
    </row>
    <row r="274" outlineLevel="2" spans="2:24">
      <c r="B274" s="845"/>
      <c r="C274" s="848"/>
      <c r="D274" s="849"/>
      <c r="E274" s="855"/>
      <c r="F274" s="856"/>
      <c r="G274" s="136"/>
      <c r="H274" s="857"/>
      <c r="I274" s="876">
        <f t="shared" si="43"/>
        <v>0</v>
      </c>
      <c r="J274" s="857"/>
      <c r="K274" s="719"/>
      <c r="L274" s="719"/>
      <c r="M274" s="719"/>
      <c r="N274" s="719"/>
      <c r="O274" s="833"/>
      <c r="P274" s="833"/>
      <c r="Q274" s="883" t="str">
        <f t="shared" si="42"/>
        <v>正确</v>
      </c>
      <c r="X274" s="769"/>
    </row>
    <row r="275" outlineLevel="2" spans="2:24">
      <c r="B275" s="845"/>
      <c r="C275" s="848"/>
      <c r="D275" s="849"/>
      <c r="E275" s="855"/>
      <c r="F275" s="856"/>
      <c r="G275" s="136"/>
      <c r="H275" s="857"/>
      <c r="I275" s="876">
        <f t="shared" si="43"/>
        <v>0</v>
      </c>
      <c r="J275" s="857"/>
      <c r="K275" s="719"/>
      <c r="L275" s="719"/>
      <c r="M275" s="719"/>
      <c r="N275" s="719"/>
      <c r="O275" s="833"/>
      <c r="P275" s="833"/>
      <c r="Q275" s="883" t="str">
        <f t="shared" si="42"/>
        <v>正确</v>
      </c>
      <c r="X275" s="769"/>
    </row>
    <row r="276" outlineLevel="2" spans="2:24">
      <c r="B276" s="845"/>
      <c r="C276" s="848"/>
      <c r="D276" s="849"/>
      <c r="E276" s="855"/>
      <c r="F276" s="856"/>
      <c r="G276" s="136"/>
      <c r="H276" s="857"/>
      <c r="I276" s="876">
        <f t="shared" si="43"/>
        <v>0</v>
      </c>
      <c r="J276" s="857"/>
      <c r="K276" s="719"/>
      <c r="L276" s="719"/>
      <c r="M276" s="719"/>
      <c r="N276" s="719"/>
      <c r="O276" s="833"/>
      <c r="P276" s="833"/>
      <c r="Q276" s="883" t="str">
        <f t="shared" si="42"/>
        <v>正确</v>
      </c>
      <c r="X276" s="769"/>
    </row>
    <row r="277" outlineLevel="2" spans="2:24">
      <c r="B277" s="845"/>
      <c r="C277" s="848"/>
      <c r="D277" s="849"/>
      <c r="E277" s="855"/>
      <c r="F277" s="856"/>
      <c r="G277" s="136"/>
      <c r="H277" s="857"/>
      <c r="I277" s="876">
        <f t="shared" si="43"/>
        <v>0</v>
      </c>
      <c r="J277" s="857"/>
      <c r="K277" s="719"/>
      <c r="L277" s="719"/>
      <c r="M277" s="719"/>
      <c r="N277" s="719"/>
      <c r="O277" s="833"/>
      <c r="P277" s="833"/>
      <c r="Q277" s="883" t="str">
        <f t="shared" si="42"/>
        <v>正确</v>
      </c>
      <c r="X277" s="769"/>
    </row>
    <row r="278" outlineLevel="2" spans="2:24">
      <c r="B278" s="845" t="s">
        <v>2904</v>
      </c>
      <c r="C278" s="693" t="str">
        <f>$G$1</f>
        <v>深圳新阳蓝光能源管理科技股份有限公司</v>
      </c>
      <c r="D278" s="849" t="s">
        <v>2942</v>
      </c>
      <c r="E278" s="855"/>
      <c r="F278" s="856"/>
      <c r="G278" s="136"/>
      <c r="H278" s="857"/>
      <c r="I278" s="876">
        <f t="shared" si="43"/>
        <v>0</v>
      </c>
      <c r="J278" s="857"/>
      <c r="K278" s="719"/>
      <c r="L278" s="719"/>
      <c r="M278" s="719"/>
      <c r="N278" s="719"/>
      <c r="O278" s="833"/>
      <c r="P278" s="833"/>
      <c r="Q278" s="883" t="str">
        <f t="shared" si="42"/>
        <v>正确</v>
      </c>
      <c r="X278" s="768" t="b">
        <f t="shared" ref="X278" si="44">EXACT(A278,E278)</f>
        <v>1</v>
      </c>
    </row>
    <row r="279" outlineLevel="2" spans="2:24">
      <c r="B279" s="845"/>
      <c r="C279" s="848"/>
      <c r="D279" s="849"/>
      <c r="E279" s="855"/>
      <c r="F279" s="856"/>
      <c r="G279" s="136"/>
      <c r="H279" s="857"/>
      <c r="I279" s="876">
        <f t="shared" si="43"/>
        <v>0</v>
      </c>
      <c r="J279" s="857"/>
      <c r="K279" s="719"/>
      <c r="L279" s="719"/>
      <c r="M279" s="719"/>
      <c r="N279" s="719"/>
      <c r="O279" s="833"/>
      <c r="P279" s="833"/>
      <c r="Q279" s="883" t="str">
        <f t="shared" si="42"/>
        <v>正确</v>
      </c>
      <c r="X279" s="769"/>
    </row>
    <row r="280" outlineLevel="2" spans="2:24">
      <c r="B280" s="845"/>
      <c r="C280" s="848"/>
      <c r="D280" s="849"/>
      <c r="E280" s="855"/>
      <c r="F280" s="856"/>
      <c r="G280" s="136"/>
      <c r="H280" s="857"/>
      <c r="I280" s="876">
        <f t="shared" si="43"/>
        <v>0</v>
      </c>
      <c r="J280" s="857"/>
      <c r="K280" s="719"/>
      <c r="L280" s="719"/>
      <c r="M280" s="719"/>
      <c r="N280" s="719"/>
      <c r="O280" s="833"/>
      <c r="P280" s="833"/>
      <c r="Q280" s="883" t="str">
        <f t="shared" si="42"/>
        <v>正确</v>
      </c>
      <c r="X280" s="769"/>
    </row>
    <row r="281" outlineLevel="2" spans="2:24">
      <c r="B281" s="845"/>
      <c r="C281" s="848"/>
      <c r="D281" s="849"/>
      <c r="E281" s="855"/>
      <c r="F281" s="856"/>
      <c r="G281" s="136"/>
      <c r="H281" s="857"/>
      <c r="I281" s="876">
        <f t="shared" si="43"/>
        <v>0</v>
      </c>
      <c r="J281" s="857"/>
      <c r="K281" s="719"/>
      <c r="L281" s="719"/>
      <c r="M281" s="719"/>
      <c r="N281" s="719"/>
      <c r="O281" s="833"/>
      <c r="P281" s="833"/>
      <c r="Q281" s="883" t="str">
        <f t="shared" si="42"/>
        <v>正确</v>
      </c>
      <c r="X281" s="769"/>
    </row>
    <row r="282" outlineLevel="2" spans="2:24">
      <c r="B282" s="845"/>
      <c r="C282" s="848"/>
      <c r="D282" s="849"/>
      <c r="E282" s="855"/>
      <c r="F282" s="856"/>
      <c r="G282" s="136"/>
      <c r="H282" s="857"/>
      <c r="I282" s="876">
        <f t="shared" si="43"/>
        <v>0</v>
      </c>
      <c r="J282" s="857"/>
      <c r="K282" s="719"/>
      <c r="L282" s="719"/>
      <c r="M282" s="719"/>
      <c r="N282" s="719"/>
      <c r="O282" s="833"/>
      <c r="P282" s="833"/>
      <c r="Q282" s="883" t="str">
        <f t="shared" si="42"/>
        <v>正确</v>
      </c>
      <c r="X282" s="769"/>
    </row>
    <row r="283" outlineLevel="2" spans="2:24">
      <c r="B283" s="845"/>
      <c r="C283" s="848"/>
      <c r="D283" s="849"/>
      <c r="E283" s="855"/>
      <c r="F283" s="856"/>
      <c r="G283" s="136"/>
      <c r="H283" s="857"/>
      <c r="I283" s="876">
        <f t="shared" si="43"/>
        <v>0</v>
      </c>
      <c r="J283" s="857"/>
      <c r="K283" s="719"/>
      <c r="L283" s="719"/>
      <c r="M283" s="719"/>
      <c r="N283" s="719"/>
      <c r="O283" s="833"/>
      <c r="P283" s="833"/>
      <c r="Q283" s="883" t="str">
        <f t="shared" si="42"/>
        <v>正确</v>
      </c>
      <c r="X283" s="769"/>
    </row>
    <row r="284" outlineLevel="2" spans="2:24">
      <c r="B284" s="845"/>
      <c r="C284" s="848"/>
      <c r="D284" s="849"/>
      <c r="E284" s="855"/>
      <c r="F284" s="856"/>
      <c r="G284" s="136"/>
      <c r="H284" s="857"/>
      <c r="I284" s="876">
        <f t="shared" si="43"/>
        <v>0</v>
      </c>
      <c r="J284" s="857"/>
      <c r="K284" s="719"/>
      <c r="L284" s="719"/>
      <c r="M284" s="719"/>
      <c r="N284" s="719"/>
      <c r="O284" s="833"/>
      <c r="P284" s="833"/>
      <c r="Q284" s="883" t="str">
        <f t="shared" si="42"/>
        <v>正确</v>
      </c>
      <c r="X284" s="769"/>
    </row>
    <row r="285" outlineLevel="2" spans="2:24">
      <c r="B285" s="845"/>
      <c r="C285" s="848"/>
      <c r="D285" s="849"/>
      <c r="E285" s="855"/>
      <c r="F285" s="856"/>
      <c r="G285" s="136"/>
      <c r="H285" s="857"/>
      <c r="I285" s="876">
        <f t="shared" si="43"/>
        <v>0</v>
      </c>
      <c r="J285" s="857"/>
      <c r="K285" s="719"/>
      <c r="L285" s="719"/>
      <c r="M285" s="719"/>
      <c r="N285" s="719"/>
      <c r="O285" s="833"/>
      <c r="P285" s="833"/>
      <c r="Q285" s="883" t="str">
        <f t="shared" si="42"/>
        <v>正确</v>
      </c>
      <c r="X285" s="769"/>
    </row>
    <row r="286" outlineLevel="2" spans="2:24">
      <c r="B286" s="845"/>
      <c r="C286" s="848"/>
      <c r="D286" s="849"/>
      <c r="E286" s="855"/>
      <c r="F286" s="856"/>
      <c r="G286" s="136"/>
      <c r="H286" s="857"/>
      <c r="I286" s="876">
        <f t="shared" si="43"/>
        <v>0</v>
      </c>
      <c r="J286" s="857"/>
      <c r="K286" s="719"/>
      <c r="L286" s="719"/>
      <c r="M286" s="719"/>
      <c r="N286" s="719"/>
      <c r="O286" s="833"/>
      <c r="P286" s="833"/>
      <c r="Q286" s="883" t="str">
        <f t="shared" si="42"/>
        <v>正确</v>
      </c>
      <c r="X286" s="769"/>
    </row>
    <row r="287" outlineLevel="2" spans="2:24">
      <c r="B287" s="845"/>
      <c r="C287" s="848"/>
      <c r="D287" s="849"/>
      <c r="E287" s="855"/>
      <c r="F287" s="856"/>
      <c r="G287" s="136"/>
      <c r="H287" s="857"/>
      <c r="I287" s="876">
        <f t="shared" si="43"/>
        <v>0</v>
      </c>
      <c r="J287" s="857"/>
      <c r="K287" s="719"/>
      <c r="L287" s="719"/>
      <c r="M287" s="719"/>
      <c r="N287" s="719"/>
      <c r="O287" s="833"/>
      <c r="P287" s="833"/>
      <c r="Q287" s="883" t="str">
        <f t="shared" si="42"/>
        <v>正确</v>
      </c>
      <c r="X287" s="769"/>
    </row>
    <row r="288" outlineLevel="2" spans="2:24">
      <c r="B288" s="845"/>
      <c r="C288" s="848"/>
      <c r="D288" s="849"/>
      <c r="E288" s="855"/>
      <c r="F288" s="856"/>
      <c r="G288" s="136"/>
      <c r="H288" s="857"/>
      <c r="I288" s="876">
        <f t="shared" si="43"/>
        <v>0</v>
      </c>
      <c r="J288" s="857"/>
      <c r="K288" s="719"/>
      <c r="L288" s="719"/>
      <c r="M288" s="719"/>
      <c r="N288" s="719"/>
      <c r="O288" s="833"/>
      <c r="P288" s="833"/>
      <c r="Q288" s="883" t="str">
        <f t="shared" si="42"/>
        <v>正确</v>
      </c>
      <c r="X288" s="769"/>
    </row>
    <row r="289" outlineLevel="2" spans="2:24">
      <c r="B289" s="845"/>
      <c r="C289" s="848"/>
      <c r="D289" s="849"/>
      <c r="E289" s="855"/>
      <c r="F289" s="856"/>
      <c r="G289" s="136"/>
      <c r="H289" s="857"/>
      <c r="I289" s="876">
        <f t="shared" si="43"/>
        <v>0</v>
      </c>
      <c r="J289" s="857"/>
      <c r="K289" s="719"/>
      <c r="L289" s="719"/>
      <c r="M289" s="719"/>
      <c r="N289" s="719"/>
      <c r="O289" s="833"/>
      <c r="P289" s="833"/>
      <c r="Q289" s="883" t="str">
        <f t="shared" si="42"/>
        <v>正确</v>
      </c>
      <c r="X289" s="769"/>
    </row>
    <row r="290" outlineLevel="2" spans="2:24">
      <c r="B290" s="845"/>
      <c r="C290" s="848"/>
      <c r="D290" s="849"/>
      <c r="E290" s="855"/>
      <c r="F290" s="856"/>
      <c r="G290" s="136"/>
      <c r="H290" s="857"/>
      <c r="I290" s="876">
        <f t="shared" si="43"/>
        <v>0</v>
      </c>
      <c r="J290" s="857"/>
      <c r="K290" s="719"/>
      <c r="L290" s="719"/>
      <c r="M290" s="719"/>
      <c r="N290" s="719"/>
      <c r="O290" s="833"/>
      <c r="P290" s="833"/>
      <c r="Q290" s="883" t="str">
        <f t="shared" si="42"/>
        <v>正确</v>
      </c>
      <c r="X290" s="769"/>
    </row>
    <row r="291" outlineLevel="2" spans="2:24">
      <c r="B291" s="845"/>
      <c r="C291" s="848"/>
      <c r="D291" s="849"/>
      <c r="E291" s="855"/>
      <c r="F291" s="856"/>
      <c r="G291" s="136"/>
      <c r="H291" s="857"/>
      <c r="I291" s="876">
        <f t="shared" si="43"/>
        <v>0</v>
      </c>
      <c r="J291" s="857"/>
      <c r="K291" s="719"/>
      <c r="L291" s="719"/>
      <c r="M291" s="719"/>
      <c r="N291" s="719"/>
      <c r="O291" s="833"/>
      <c r="P291" s="833"/>
      <c r="Q291" s="883" t="str">
        <f t="shared" si="42"/>
        <v>正确</v>
      </c>
      <c r="X291" s="769"/>
    </row>
    <row r="292" outlineLevel="2" spans="2:24">
      <c r="B292" s="845"/>
      <c r="C292" s="848"/>
      <c r="D292" s="849"/>
      <c r="E292" s="855"/>
      <c r="F292" s="856"/>
      <c r="G292" s="136"/>
      <c r="H292" s="857"/>
      <c r="I292" s="876">
        <f t="shared" si="43"/>
        <v>0</v>
      </c>
      <c r="J292" s="857"/>
      <c r="K292" s="719"/>
      <c r="L292" s="719"/>
      <c r="M292" s="719"/>
      <c r="N292" s="719"/>
      <c r="O292" s="833"/>
      <c r="P292" s="833"/>
      <c r="Q292" s="883" t="str">
        <f t="shared" si="42"/>
        <v>正确</v>
      </c>
      <c r="X292" s="769"/>
    </row>
    <row r="293" outlineLevel="2" spans="2:24">
      <c r="B293" s="845"/>
      <c r="C293" s="848"/>
      <c r="D293" s="849"/>
      <c r="E293" s="855"/>
      <c r="F293" s="856"/>
      <c r="G293" s="136"/>
      <c r="H293" s="857"/>
      <c r="I293" s="876">
        <f t="shared" si="43"/>
        <v>0</v>
      </c>
      <c r="J293" s="857"/>
      <c r="K293" s="719"/>
      <c r="L293" s="719"/>
      <c r="M293" s="719"/>
      <c r="N293" s="719"/>
      <c r="O293" s="833"/>
      <c r="P293" s="833"/>
      <c r="Q293" s="883" t="str">
        <f t="shared" si="42"/>
        <v>正确</v>
      </c>
      <c r="X293" s="769"/>
    </row>
    <row r="294" outlineLevel="2" spans="2:24">
      <c r="B294" s="845"/>
      <c r="C294" s="848"/>
      <c r="D294" s="849"/>
      <c r="E294" s="855"/>
      <c r="F294" s="856"/>
      <c r="G294" s="136"/>
      <c r="H294" s="857"/>
      <c r="I294" s="876">
        <f t="shared" si="43"/>
        <v>0</v>
      </c>
      <c r="J294" s="857"/>
      <c r="K294" s="719"/>
      <c r="L294" s="719"/>
      <c r="M294" s="719"/>
      <c r="N294" s="719"/>
      <c r="O294" s="833"/>
      <c r="P294" s="833"/>
      <c r="Q294" s="883" t="str">
        <f t="shared" si="42"/>
        <v>正确</v>
      </c>
      <c r="X294" s="769"/>
    </row>
    <row r="295" outlineLevel="2" spans="2:24">
      <c r="B295" s="845"/>
      <c r="C295" s="848"/>
      <c r="D295" s="849"/>
      <c r="E295" s="855"/>
      <c r="F295" s="856"/>
      <c r="G295" s="136"/>
      <c r="H295" s="857"/>
      <c r="I295" s="876">
        <f t="shared" si="43"/>
        <v>0</v>
      </c>
      <c r="J295" s="857"/>
      <c r="K295" s="719"/>
      <c r="L295" s="719"/>
      <c r="M295" s="719"/>
      <c r="N295" s="719"/>
      <c r="O295" s="833"/>
      <c r="P295" s="833"/>
      <c r="Q295" s="883" t="str">
        <f t="shared" si="42"/>
        <v>正确</v>
      </c>
      <c r="X295" s="769"/>
    </row>
    <row r="296" outlineLevel="2" spans="2:24">
      <c r="B296" s="845" t="s">
        <v>2904</v>
      </c>
      <c r="C296" s="693" t="str">
        <f>$G$1</f>
        <v>深圳新阳蓝光能源管理科技股份有限公司</v>
      </c>
      <c r="D296" s="849" t="s">
        <v>2942</v>
      </c>
      <c r="E296" s="852" t="s">
        <v>2949</v>
      </c>
      <c r="F296" s="853"/>
      <c r="G296" s="854">
        <f>ROUND(SUM(G297:G317),2)</f>
        <v>0</v>
      </c>
      <c r="H296" s="854">
        <f>ROUND(SUM(H297:H317),2)</f>
        <v>0</v>
      </c>
      <c r="I296" s="876">
        <f t="shared" si="43"/>
        <v>0</v>
      </c>
      <c r="J296" s="854">
        <f t="shared" ref="J296:P296" si="45">ROUND(SUM(J297:J317),2)</f>
        <v>0</v>
      </c>
      <c r="K296" s="854">
        <f t="shared" si="45"/>
        <v>0</v>
      </c>
      <c r="L296" s="854">
        <f t="shared" si="45"/>
        <v>0</v>
      </c>
      <c r="M296" s="854">
        <f t="shared" si="45"/>
        <v>0</v>
      </c>
      <c r="N296" s="854">
        <f t="shared" si="45"/>
        <v>0</v>
      </c>
      <c r="O296" s="854">
        <f t="shared" si="45"/>
        <v>0</v>
      </c>
      <c r="P296" s="854">
        <f t="shared" si="45"/>
        <v>0</v>
      </c>
      <c r="Q296" s="883" t="str">
        <f t="shared" si="42"/>
        <v>正确</v>
      </c>
      <c r="X296" s="768" t="b">
        <f t="shared" ref="X296:X299" si="46">EXACT(A296,E296)</f>
        <v>0</v>
      </c>
    </row>
    <row r="297" outlineLevel="2" spans="2:24">
      <c r="B297" s="845" t="s">
        <v>2904</v>
      </c>
      <c r="C297" s="693" t="str">
        <f>$G$1</f>
        <v>深圳新阳蓝光能源管理科技股份有限公司</v>
      </c>
      <c r="D297" s="849" t="s">
        <v>2942</v>
      </c>
      <c r="E297" s="855"/>
      <c r="F297" s="856"/>
      <c r="G297" s="136"/>
      <c r="H297" s="719"/>
      <c r="I297" s="876">
        <f t="shared" si="43"/>
        <v>0</v>
      </c>
      <c r="J297" s="857"/>
      <c r="K297" s="719"/>
      <c r="L297" s="719"/>
      <c r="M297" s="719"/>
      <c r="N297" s="719"/>
      <c r="O297" s="833"/>
      <c r="P297" s="833"/>
      <c r="Q297" s="883" t="str">
        <f t="shared" si="42"/>
        <v>正确</v>
      </c>
      <c r="X297" s="768" t="b">
        <f t="shared" si="46"/>
        <v>1</v>
      </c>
    </row>
    <row r="298" outlineLevel="2" spans="2:24">
      <c r="B298" s="845" t="s">
        <v>2904</v>
      </c>
      <c r="C298" s="693" t="str">
        <f>$G$1</f>
        <v>深圳新阳蓝光能源管理科技股份有限公司</v>
      </c>
      <c r="D298" s="849" t="s">
        <v>2942</v>
      </c>
      <c r="E298" s="855"/>
      <c r="F298" s="856"/>
      <c r="G298" s="136"/>
      <c r="H298" s="857"/>
      <c r="I298" s="876">
        <f t="shared" si="43"/>
        <v>0</v>
      </c>
      <c r="J298" s="857"/>
      <c r="K298" s="719"/>
      <c r="L298" s="719"/>
      <c r="M298" s="719"/>
      <c r="N298" s="719"/>
      <c r="O298" s="833"/>
      <c r="P298" s="833"/>
      <c r="Q298" s="883" t="str">
        <f t="shared" si="42"/>
        <v>正确</v>
      </c>
      <c r="X298" s="768" t="b">
        <f t="shared" si="46"/>
        <v>1</v>
      </c>
    </row>
    <row r="299" outlineLevel="2" spans="2:24">
      <c r="B299" s="845" t="s">
        <v>2904</v>
      </c>
      <c r="C299" s="693" t="str">
        <f>$G$1</f>
        <v>深圳新阳蓝光能源管理科技股份有限公司</v>
      </c>
      <c r="D299" s="849" t="s">
        <v>2950</v>
      </c>
      <c r="E299" s="855"/>
      <c r="F299" s="856"/>
      <c r="G299" s="136"/>
      <c r="H299" s="857"/>
      <c r="I299" s="876">
        <f t="shared" si="43"/>
        <v>0</v>
      </c>
      <c r="J299" s="857"/>
      <c r="K299" s="719"/>
      <c r="L299" s="719"/>
      <c r="M299" s="719"/>
      <c r="N299" s="719"/>
      <c r="O299" s="833"/>
      <c r="P299" s="833"/>
      <c r="Q299" s="883" t="str">
        <f t="shared" si="42"/>
        <v>正确</v>
      </c>
      <c r="X299" s="768" t="b">
        <f t="shared" si="46"/>
        <v>1</v>
      </c>
    </row>
    <row r="300" outlineLevel="2" spans="2:24">
      <c r="B300" s="845"/>
      <c r="C300" s="848"/>
      <c r="D300" s="849"/>
      <c r="E300" s="855"/>
      <c r="F300" s="856"/>
      <c r="G300" s="136"/>
      <c r="H300" s="857"/>
      <c r="I300" s="876">
        <f t="shared" si="43"/>
        <v>0</v>
      </c>
      <c r="J300" s="857"/>
      <c r="K300" s="719"/>
      <c r="L300" s="719"/>
      <c r="M300" s="719"/>
      <c r="N300" s="719"/>
      <c r="O300" s="833"/>
      <c r="P300" s="833"/>
      <c r="Q300" s="883" t="str">
        <f t="shared" si="42"/>
        <v>正确</v>
      </c>
      <c r="X300" s="769"/>
    </row>
    <row r="301" outlineLevel="2" spans="2:24">
      <c r="B301" s="845"/>
      <c r="C301" s="848"/>
      <c r="D301" s="849"/>
      <c r="E301" s="855"/>
      <c r="F301" s="856"/>
      <c r="G301" s="136"/>
      <c r="H301" s="857"/>
      <c r="I301" s="876">
        <f t="shared" si="43"/>
        <v>0</v>
      </c>
      <c r="J301" s="857"/>
      <c r="K301" s="719"/>
      <c r="L301" s="719"/>
      <c r="M301" s="719"/>
      <c r="N301" s="719"/>
      <c r="O301" s="833"/>
      <c r="P301" s="833"/>
      <c r="Q301" s="883" t="str">
        <f t="shared" si="42"/>
        <v>正确</v>
      </c>
      <c r="X301" s="769"/>
    </row>
    <row r="302" outlineLevel="2" spans="2:24">
      <c r="B302" s="845"/>
      <c r="C302" s="848"/>
      <c r="D302" s="849"/>
      <c r="E302" s="855"/>
      <c r="F302" s="856"/>
      <c r="G302" s="136"/>
      <c r="H302" s="857"/>
      <c r="I302" s="876">
        <f t="shared" si="43"/>
        <v>0</v>
      </c>
      <c r="J302" s="857"/>
      <c r="K302" s="719"/>
      <c r="L302" s="719"/>
      <c r="M302" s="719"/>
      <c r="N302" s="719"/>
      <c r="O302" s="833"/>
      <c r="P302" s="833"/>
      <c r="Q302" s="883" t="str">
        <f t="shared" si="42"/>
        <v>正确</v>
      </c>
      <c r="X302" s="769"/>
    </row>
    <row r="303" outlineLevel="2" spans="2:24">
      <c r="B303" s="845"/>
      <c r="C303" s="848"/>
      <c r="D303" s="849"/>
      <c r="E303" s="855"/>
      <c r="F303" s="856"/>
      <c r="G303" s="136"/>
      <c r="H303" s="857"/>
      <c r="I303" s="876">
        <f t="shared" si="43"/>
        <v>0</v>
      </c>
      <c r="J303" s="857"/>
      <c r="K303" s="719"/>
      <c r="L303" s="719"/>
      <c r="M303" s="719"/>
      <c r="N303" s="719"/>
      <c r="O303" s="833"/>
      <c r="P303" s="833"/>
      <c r="Q303" s="883" t="str">
        <f t="shared" si="42"/>
        <v>正确</v>
      </c>
      <c r="X303" s="769"/>
    </row>
    <row r="304" outlineLevel="2" spans="2:24">
      <c r="B304" s="845" t="s">
        <v>2904</v>
      </c>
      <c r="C304" s="693" t="str">
        <f t="shared" ref="C304:C332" si="47">$G$1</f>
        <v>深圳新阳蓝光能源管理科技股份有限公司</v>
      </c>
      <c r="D304" s="849" t="s">
        <v>2950</v>
      </c>
      <c r="E304" s="855"/>
      <c r="F304" s="856"/>
      <c r="G304" s="136"/>
      <c r="H304" s="857"/>
      <c r="I304" s="876">
        <f t="shared" si="43"/>
        <v>0</v>
      </c>
      <c r="J304" s="857"/>
      <c r="K304" s="719"/>
      <c r="L304" s="719"/>
      <c r="M304" s="719"/>
      <c r="N304" s="719"/>
      <c r="O304" s="833"/>
      <c r="P304" s="833"/>
      <c r="Q304" s="883" t="str">
        <f t="shared" si="42"/>
        <v>正确</v>
      </c>
      <c r="X304" s="768" t="b">
        <f t="shared" ref="X304:X318" si="48">EXACT(A304,E304)</f>
        <v>1</v>
      </c>
    </row>
    <row r="305" outlineLevel="2" spans="2:24">
      <c r="B305" s="845" t="s">
        <v>2904</v>
      </c>
      <c r="C305" s="693" t="str">
        <f t="shared" si="47"/>
        <v>深圳新阳蓝光能源管理科技股份有限公司</v>
      </c>
      <c r="D305" s="849" t="s">
        <v>2950</v>
      </c>
      <c r="E305" s="855"/>
      <c r="F305" s="856"/>
      <c r="G305" s="136"/>
      <c r="H305" s="857"/>
      <c r="I305" s="876">
        <f t="shared" si="43"/>
        <v>0</v>
      </c>
      <c r="J305" s="857"/>
      <c r="K305" s="719"/>
      <c r="L305" s="719"/>
      <c r="M305" s="719"/>
      <c r="N305" s="719"/>
      <c r="O305" s="833"/>
      <c r="P305" s="833"/>
      <c r="Q305" s="883" t="str">
        <f t="shared" si="42"/>
        <v>正确</v>
      </c>
      <c r="X305" s="768" t="b">
        <f t="shared" si="48"/>
        <v>1</v>
      </c>
    </row>
    <row r="306" outlineLevel="2" spans="2:24">
      <c r="B306" s="845" t="s">
        <v>2904</v>
      </c>
      <c r="C306" s="693" t="str">
        <f t="shared" si="47"/>
        <v>深圳新阳蓝光能源管理科技股份有限公司</v>
      </c>
      <c r="D306" s="849" t="s">
        <v>2950</v>
      </c>
      <c r="E306" s="855"/>
      <c r="F306" s="856"/>
      <c r="G306" s="136"/>
      <c r="H306" s="857"/>
      <c r="I306" s="876">
        <f t="shared" si="43"/>
        <v>0</v>
      </c>
      <c r="J306" s="857"/>
      <c r="K306" s="719"/>
      <c r="L306" s="719"/>
      <c r="M306" s="719"/>
      <c r="N306" s="719"/>
      <c r="O306" s="833"/>
      <c r="P306" s="833"/>
      <c r="Q306" s="883" t="str">
        <f t="shared" si="42"/>
        <v>正确</v>
      </c>
      <c r="X306" s="768" t="b">
        <f t="shared" si="48"/>
        <v>1</v>
      </c>
    </row>
    <row r="307" outlineLevel="2" spans="2:24">
      <c r="B307" s="845" t="s">
        <v>2904</v>
      </c>
      <c r="C307" s="693" t="str">
        <f t="shared" si="47"/>
        <v>深圳新阳蓝光能源管理科技股份有限公司</v>
      </c>
      <c r="D307" s="849" t="s">
        <v>2950</v>
      </c>
      <c r="E307" s="855"/>
      <c r="F307" s="856"/>
      <c r="G307" s="136"/>
      <c r="H307" s="857"/>
      <c r="I307" s="876">
        <f t="shared" si="43"/>
        <v>0</v>
      </c>
      <c r="J307" s="857"/>
      <c r="K307" s="719"/>
      <c r="L307" s="719"/>
      <c r="M307" s="719"/>
      <c r="N307" s="719"/>
      <c r="O307" s="833"/>
      <c r="P307" s="833"/>
      <c r="Q307" s="883" t="str">
        <f t="shared" si="42"/>
        <v>正确</v>
      </c>
      <c r="X307" s="768" t="b">
        <f t="shared" si="48"/>
        <v>1</v>
      </c>
    </row>
    <row r="308" outlineLevel="2" spans="2:24">
      <c r="B308" s="845" t="s">
        <v>2904</v>
      </c>
      <c r="C308" s="693" t="str">
        <f t="shared" si="47"/>
        <v>深圳新阳蓝光能源管理科技股份有限公司</v>
      </c>
      <c r="D308" s="849" t="s">
        <v>2950</v>
      </c>
      <c r="E308" s="855"/>
      <c r="F308" s="856"/>
      <c r="G308" s="136"/>
      <c r="H308" s="857"/>
      <c r="I308" s="876">
        <f t="shared" si="43"/>
        <v>0</v>
      </c>
      <c r="J308" s="857"/>
      <c r="K308" s="719"/>
      <c r="L308" s="719"/>
      <c r="M308" s="719"/>
      <c r="N308" s="719"/>
      <c r="O308" s="833"/>
      <c r="P308" s="833"/>
      <c r="Q308" s="883" t="str">
        <f t="shared" si="42"/>
        <v>正确</v>
      </c>
      <c r="X308" s="768" t="b">
        <f t="shared" si="48"/>
        <v>1</v>
      </c>
    </row>
    <row r="309" outlineLevel="2" spans="2:24">
      <c r="B309" s="845" t="s">
        <v>2904</v>
      </c>
      <c r="C309" s="693" t="str">
        <f t="shared" si="47"/>
        <v>深圳新阳蓝光能源管理科技股份有限公司</v>
      </c>
      <c r="D309" s="849" t="s">
        <v>2950</v>
      </c>
      <c r="E309" s="855"/>
      <c r="F309" s="856"/>
      <c r="G309" s="136"/>
      <c r="H309" s="857"/>
      <c r="I309" s="876">
        <f t="shared" si="43"/>
        <v>0</v>
      </c>
      <c r="J309" s="857"/>
      <c r="K309" s="719"/>
      <c r="L309" s="719"/>
      <c r="M309" s="719"/>
      <c r="N309" s="719"/>
      <c r="O309" s="833"/>
      <c r="P309" s="833"/>
      <c r="Q309" s="883" t="str">
        <f t="shared" si="42"/>
        <v>正确</v>
      </c>
      <c r="X309" s="768" t="b">
        <f t="shared" si="48"/>
        <v>1</v>
      </c>
    </row>
    <row r="310" outlineLevel="2" spans="2:24">
      <c r="B310" s="845" t="s">
        <v>2904</v>
      </c>
      <c r="C310" s="693" t="str">
        <f t="shared" si="47"/>
        <v>深圳新阳蓝光能源管理科技股份有限公司</v>
      </c>
      <c r="D310" s="849" t="s">
        <v>2950</v>
      </c>
      <c r="E310" s="855"/>
      <c r="F310" s="856"/>
      <c r="G310" s="136"/>
      <c r="H310" s="857"/>
      <c r="I310" s="876">
        <f t="shared" si="43"/>
        <v>0</v>
      </c>
      <c r="J310" s="857"/>
      <c r="K310" s="719"/>
      <c r="L310" s="719"/>
      <c r="M310" s="719"/>
      <c r="N310" s="719"/>
      <c r="O310" s="833"/>
      <c r="P310" s="833"/>
      <c r="Q310" s="883" t="str">
        <f t="shared" si="42"/>
        <v>正确</v>
      </c>
      <c r="X310" s="768" t="b">
        <f t="shared" si="48"/>
        <v>1</v>
      </c>
    </row>
    <row r="311" outlineLevel="2" spans="2:24">
      <c r="B311" s="845" t="s">
        <v>2904</v>
      </c>
      <c r="C311" s="693" t="str">
        <f t="shared" si="47"/>
        <v>深圳新阳蓝光能源管理科技股份有限公司</v>
      </c>
      <c r="D311" s="849" t="s">
        <v>2950</v>
      </c>
      <c r="E311" s="855"/>
      <c r="F311" s="856"/>
      <c r="G311" s="136"/>
      <c r="H311" s="857"/>
      <c r="I311" s="876">
        <f t="shared" si="43"/>
        <v>0</v>
      </c>
      <c r="J311" s="857"/>
      <c r="K311" s="719"/>
      <c r="L311" s="719"/>
      <c r="M311" s="719"/>
      <c r="N311" s="719"/>
      <c r="O311" s="833"/>
      <c r="P311" s="833"/>
      <c r="Q311" s="883" t="str">
        <f t="shared" si="42"/>
        <v>正确</v>
      </c>
      <c r="X311" s="768" t="b">
        <f t="shared" si="48"/>
        <v>1</v>
      </c>
    </row>
    <row r="312" outlineLevel="2" spans="2:24">
      <c r="B312" s="845" t="s">
        <v>2904</v>
      </c>
      <c r="C312" s="693" t="str">
        <f t="shared" si="47"/>
        <v>深圳新阳蓝光能源管理科技股份有限公司</v>
      </c>
      <c r="D312" s="849" t="s">
        <v>2950</v>
      </c>
      <c r="E312" s="855"/>
      <c r="F312" s="856"/>
      <c r="G312" s="136"/>
      <c r="H312" s="857"/>
      <c r="I312" s="876">
        <f t="shared" si="43"/>
        <v>0</v>
      </c>
      <c r="J312" s="857"/>
      <c r="K312" s="719"/>
      <c r="L312" s="719"/>
      <c r="M312" s="719"/>
      <c r="N312" s="719"/>
      <c r="O312" s="833"/>
      <c r="P312" s="833"/>
      <c r="Q312" s="883" t="str">
        <f t="shared" si="42"/>
        <v>正确</v>
      </c>
      <c r="X312" s="768" t="b">
        <f t="shared" si="48"/>
        <v>1</v>
      </c>
    </row>
    <row r="313" outlineLevel="2" spans="2:24">
      <c r="B313" s="845" t="s">
        <v>2904</v>
      </c>
      <c r="C313" s="693" t="str">
        <f t="shared" si="47"/>
        <v>深圳新阳蓝光能源管理科技股份有限公司</v>
      </c>
      <c r="D313" s="849" t="s">
        <v>2950</v>
      </c>
      <c r="E313" s="855"/>
      <c r="F313" s="856"/>
      <c r="G313" s="136"/>
      <c r="H313" s="857"/>
      <c r="I313" s="876">
        <f t="shared" si="43"/>
        <v>0</v>
      </c>
      <c r="J313" s="857"/>
      <c r="K313" s="719"/>
      <c r="L313" s="719"/>
      <c r="M313" s="719"/>
      <c r="N313" s="719"/>
      <c r="O313" s="833"/>
      <c r="P313" s="833"/>
      <c r="Q313" s="883" t="str">
        <f t="shared" si="42"/>
        <v>正确</v>
      </c>
      <c r="X313" s="768" t="b">
        <f t="shared" si="48"/>
        <v>1</v>
      </c>
    </row>
    <row r="314" outlineLevel="2" spans="2:24">
      <c r="B314" s="845" t="s">
        <v>2904</v>
      </c>
      <c r="C314" s="693" t="str">
        <f t="shared" si="47"/>
        <v>深圳新阳蓝光能源管理科技股份有限公司</v>
      </c>
      <c r="D314" s="849" t="s">
        <v>2950</v>
      </c>
      <c r="E314" s="855"/>
      <c r="F314" s="856"/>
      <c r="G314" s="136"/>
      <c r="H314" s="857"/>
      <c r="I314" s="876">
        <f t="shared" si="43"/>
        <v>0</v>
      </c>
      <c r="J314" s="857"/>
      <c r="K314" s="719"/>
      <c r="L314" s="719"/>
      <c r="M314" s="719"/>
      <c r="N314" s="719"/>
      <c r="O314" s="833"/>
      <c r="P314" s="833"/>
      <c r="Q314" s="883" t="str">
        <f t="shared" si="42"/>
        <v>正确</v>
      </c>
      <c r="X314" s="768" t="b">
        <f t="shared" si="48"/>
        <v>1</v>
      </c>
    </row>
    <row r="315" outlineLevel="2" spans="2:24">
      <c r="B315" s="845" t="s">
        <v>2904</v>
      </c>
      <c r="C315" s="693" t="str">
        <f t="shared" si="47"/>
        <v>深圳新阳蓝光能源管理科技股份有限公司</v>
      </c>
      <c r="D315" s="849" t="s">
        <v>2950</v>
      </c>
      <c r="E315" s="855"/>
      <c r="F315" s="856"/>
      <c r="G315" s="136"/>
      <c r="H315" s="857"/>
      <c r="I315" s="876">
        <f t="shared" si="43"/>
        <v>0</v>
      </c>
      <c r="J315" s="857"/>
      <c r="K315" s="719"/>
      <c r="L315" s="719"/>
      <c r="M315" s="719"/>
      <c r="N315" s="719"/>
      <c r="O315" s="833"/>
      <c r="P315" s="833"/>
      <c r="Q315" s="883" t="str">
        <f t="shared" si="42"/>
        <v>正确</v>
      </c>
      <c r="X315" s="768" t="b">
        <f t="shared" si="48"/>
        <v>1</v>
      </c>
    </row>
    <row r="316" outlineLevel="2" spans="2:24">
      <c r="B316" s="845" t="s">
        <v>2904</v>
      </c>
      <c r="C316" s="693" t="str">
        <f t="shared" si="47"/>
        <v>深圳新阳蓝光能源管理科技股份有限公司</v>
      </c>
      <c r="D316" s="849" t="s">
        <v>2950</v>
      </c>
      <c r="E316" s="855"/>
      <c r="F316" s="856"/>
      <c r="G316" s="136"/>
      <c r="H316" s="857"/>
      <c r="I316" s="876">
        <f t="shared" si="43"/>
        <v>0</v>
      </c>
      <c r="J316" s="857"/>
      <c r="K316" s="719"/>
      <c r="L316" s="719"/>
      <c r="M316" s="719"/>
      <c r="N316" s="719"/>
      <c r="O316" s="833"/>
      <c r="P316" s="833"/>
      <c r="Q316" s="883" t="str">
        <f t="shared" si="42"/>
        <v>正确</v>
      </c>
      <c r="X316" s="768" t="b">
        <f t="shared" si="48"/>
        <v>1</v>
      </c>
    </row>
    <row r="317" outlineLevel="2" spans="2:24">
      <c r="B317" s="845" t="s">
        <v>2904</v>
      </c>
      <c r="C317" s="693" t="str">
        <f t="shared" si="47"/>
        <v>深圳新阳蓝光能源管理科技股份有限公司</v>
      </c>
      <c r="D317" s="849" t="s">
        <v>2950</v>
      </c>
      <c r="E317" s="855"/>
      <c r="F317" s="856"/>
      <c r="G317" s="136"/>
      <c r="H317" s="857"/>
      <c r="I317" s="876">
        <f t="shared" si="43"/>
        <v>0</v>
      </c>
      <c r="J317" s="857"/>
      <c r="K317" s="719"/>
      <c r="L317" s="719"/>
      <c r="M317" s="719"/>
      <c r="N317" s="719"/>
      <c r="O317" s="833"/>
      <c r="P317" s="833"/>
      <c r="Q317" s="883" t="str">
        <f t="shared" si="42"/>
        <v>正确</v>
      </c>
      <c r="X317" s="768" t="b">
        <f t="shared" si="48"/>
        <v>1</v>
      </c>
    </row>
    <row r="318" outlineLevel="2" spans="1:24">
      <c r="A318" s="826" t="s">
        <v>2021</v>
      </c>
      <c r="B318" s="845" t="s">
        <v>2904</v>
      </c>
      <c r="C318" s="693" t="str">
        <f t="shared" si="47"/>
        <v>深圳新阳蓝光能源管理科技股份有限公司</v>
      </c>
      <c r="D318" s="849" t="s">
        <v>2950</v>
      </c>
      <c r="E318" s="830" t="s">
        <v>2021</v>
      </c>
      <c r="F318" s="875"/>
      <c r="G318" s="139">
        <f>G296+G272</f>
        <v>0</v>
      </c>
      <c r="H318" s="139">
        <f>H296+H272</f>
        <v>0</v>
      </c>
      <c r="I318" s="876">
        <f t="shared" si="43"/>
        <v>0</v>
      </c>
      <c r="J318" s="873"/>
      <c r="K318" s="139">
        <f t="shared" ref="K318:P318" si="49">K296+K272</f>
        <v>0</v>
      </c>
      <c r="L318" s="139">
        <f t="shared" si="49"/>
        <v>0</v>
      </c>
      <c r="M318" s="139">
        <f t="shared" si="49"/>
        <v>0</v>
      </c>
      <c r="N318" s="139">
        <f t="shared" si="49"/>
        <v>0</v>
      </c>
      <c r="O318" s="139">
        <f t="shared" si="49"/>
        <v>0</v>
      </c>
      <c r="P318" s="139">
        <f t="shared" si="49"/>
        <v>0</v>
      </c>
      <c r="Q318" s="883" t="str">
        <f t="shared" si="42"/>
        <v>正确</v>
      </c>
      <c r="X318" s="768" t="b">
        <f t="shared" si="48"/>
        <v>1</v>
      </c>
    </row>
    <row r="319" outlineLevel="2" spans="2:24">
      <c r="B319" s="845" t="s">
        <v>2904</v>
      </c>
      <c r="C319" s="693" t="str">
        <f t="shared" si="47"/>
        <v>深圳新阳蓝光能源管理科技股份有限公司</v>
      </c>
      <c r="D319" s="849" t="s">
        <v>2950</v>
      </c>
      <c r="E319" s="885" t="s">
        <v>2039</v>
      </c>
      <c r="F319" s="829"/>
      <c r="G319" s="829"/>
      <c r="H319" s="829"/>
      <c r="I319" s="829"/>
      <c r="J319" s="829"/>
      <c r="K319" s="829"/>
      <c r="L319" s="715"/>
      <c r="M319" s="837"/>
      <c r="N319" s="829"/>
      <c r="X319" s="768" t="b">
        <f t="shared" si="28"/>
        <v>0</v>
      </c>
    </row>
    <row r="320" outlineLevel="2" spans="1:24">
      <c r="A320" s="826" t="s">
        <v>2907</v>
      </c>
      <c r="B320" s="845" t="s">
        <v>2904</v>
      </c>
      <c r="C320" s="693" t="str">
        <f t="shared" si="47"/>
        <v>深圳新阳蓝光能源管理科技股份有限公司</v>
      </c>
      <c r="D320" s="846" t="s">
        <v>2905</v>
      </c>
      <c r="E320" s="887" t="s">
        <v>2907</v>
      </c>
      <c r="F320" s="831" t="s">
        <v>316</v>
      </c>
      <c r="G320" s="830"/>
      <c r="H320" s="830"/>
      <c r="I320" s="830"/>
      <c r="J320" s="830" t="s">
        <v>2020</v>
      </c>
      <c r="K320" s="830"/>
      <c r="L320" s="830"/>
      <c r="M320" s="830"/>
      <c r="N320" s="858" t="s">
        <v>2908</v>
      </c>
      <c r="O320" s="859" t="s">
        <v>2909</v>
      </c>
      <c r="P320" s="860" t="s">
        <v>2910</v>
      </c>
      <c r="Q320" s="866" t="s">
        <v>2913</v>
      </c>
      <c r="R320" s="867"/>
      <c r="X320" s="768" t="b">
        <f t="shared" si="28"/>
        <v>1</v>
      </c>
    </row>
    <row r="321" outlineLevel="2" spans="2:24">
      <c r="B321" s="845" t="s">
        <v>2904</v>
      </c>
      <c r="C321" s="693" t="str">
        <f t="shared" si="47"/>
        <v>深圳新阳蓝光能源管理科技股份有限公司</v>
      </c>
      <c r="D321" s="846" t="s">
        <v>2905</v>
      </c>
      <c r="E321" s="888"/>
      <c r="F321" s="830" t="s">
        <v>2914</v>
      </c>
      <c r="G321" s="830" t="s">
        <v>445</v>
      </c>
      <c r="H321" s="830" t="s">
        <v>471</v>
      </c>
      <c r="I321" s="830" t="s">
        <v>2915</v>
      </c>
      <c r="J321" s="830" t="s">
        <v>2914</v>
      </c>
      <c r="K321" s="830" t="s">
        <v>445</v>
      </c>
      <c r="L321" s="830" t="s">
        <v>471</v>
      </c>
      <c r="M321" s="830" t="s">
        <v>2915</v>
      </c>
      <c r="O321" s="861"/>
      <c r="Q321" s="868" t="s">
        <v>2916</v>
      </c>
      <c r="R321" s="868" t="s">
        <v>2917</v>
      </c>
      <c r="X321" s="768" t="b">
        <f t="shared" si="28"/>
        <v>1</v>
      </c>
    </row>
    <row r="322" outlineLevel="2" spans="1:24">
      <c r="A322" s="826" t="s">
        <v>2026</v>
      </c>
      <c r="B322" s="845" t="s">
        <v>2904</v>
      </c>
      <c r="C322" s="693" t="str">
        <f t="shared" si="47"/>
        <v>深圳新阳蓝光能源管理科技股份有限公司</v>
      </c>
      <c r="D322" s="846" t="s">
        <v>2905</v>
      </c>
      <c r="E322" s="830" t="s">
        <v>2921</v>
      </c>
      <c r="F322" s="136">
        <v>16084404.85</v>
      </c>
      <c r="G322" s="832">
        <f>IF($F$328=0,0,ROUND(F322/$F$328,4))+Q322</f>
        <v>0.6377</v>
      </c>
      <c r="H322" s="136">
        <v>804220.24</v>
      </c>
      <c r="I322" s="832">
        <f>IFERROR(ROUND(H322/F322,4),0)</f>
        <v>0.05</v>
      </c>
      <c r="J322" s="743">
        <f>报表附注合并期初用!E192</f>
        <v>22849121.64</v>
      </c>
      <c r="K322" s="832">
        <f>IF($J$328=0,0,ROUND(J322/$J$328,4))+R322</f>
        <v>0.7918</v>
      </c>
      <c r="L322" s="743">
        <f>报表附注合并期初用!E200</f>
        <v>1142456.08</v>
      </c>
      <c r="M322" s="832">
        <f>IFERROR(ROUND(L322/J322,4),0)</f>
        <v>0.05</v>
      </c>
      <c r="N322" s="898">
        <v>0.05</v>
      </c>
      <c r="O322" s="861"/>
      <c r="P322" s="863"/>
      <c r="Q322" s="869"/>
      <c r="R322" s="869"/>
      <c r="X322" s="768" t="b">
        <f t="shared" si="28"/>
        <v>1</v>
      </c>
    </row>
    <row r="323" outlineLevel="2" spans="1:24">
      <c r="A323" s="826" t="s">
        <v>2027</v>
      </c>
      <c r="B323" s="845" t="s">
        <v>2904</v>
      </c>
      <c r="C323" s="693" t="str">
        <f t="shared" si="47"/>
        <v>深圳新阳蓝光能源管理科技股份有限公司</v>
      </c>
      <c r="D323" s="846" t="s">
        <v>2905</v>
      </c>
      <c r="E323" s="830" t="s">
        <v>2923</v>
      </c>
      <c r="F323" s="136">
        <v>5273993.5</v>
      </c>
      <c r="G323" s="832">
        <f t="shared" ref="G323:G327" si="50">IF($F$328=0,0,ROUND(F323/$F$328,4))+Q323</f>
        <v>0.2091</v>
      </c>
      <c r="H323" s="136">
        <v>527399.35</v>
      </c>
      <c r="I323" s="832">
        <f t="shared" ref="I323:I328" si="51">IFERROR(ROUND(H323/F323,4),0)</f>
        <v>0.1</v>
      </c>
      <c r="J323" s="743">
        <f>报表附注合并期初用!E193</f>
        <v>2919521.8</v>
      </c>
      <c r="K323" s="832">
        <f t="shared" ref="K323:K327" si="52">IF($J$328=0,0,ROUND(J323/$J$328,4))+R323</f>
        <v>0.1012</v>
      </c>
      <c r="L323" s="743">
        <f>报表附注合并期初用!E201</f>
        <v>291952.18</v>
      </c>
      <c r="M323" s="832">
        <f t="shared" ref="M323:M328" si="53">IFERROR(ROUND(L323/J323,4),0)</f>
        <v>0.1</v>
      </c>
      <c r="N323" s="898">
        <v>0.1</v>
      </c>
      <c r="O323" s="864" t="str">
        <f>IF(F323&lt;=J322,"合理","1-2年账不合理")</f>
        <v>合理</v>
      </c>
      <c r="P323" s="863"/>
      <c r="Q323" s="869"/>
      <c r="R323" s="869"/>
      <c r="X323" s="768" t="b">
        <f t="shared" si="28"/>
        <v>1</v>
      </c>
    </row>
    <row r="324" outlineLevel="2" spans="1:24">
      <c r="A324" s="826" t="s">
        <v>2028</v>
      </c>
      <c r="B324" s="845" t="s">
        <v>2904</v>
      </c>
      <c r="C324" s="693" t="str">
        <f t="shared" si="47"/>
        <v>深圳新阳蓝光能源管理科技股份有限公司</v>
      </c>
      <c r="D324" s="846" t="s">
        <v>2905</v>
      </c>
      <c r="E324" s="830" t="s">
        <v>2925</v>
      </c>
      <c r="F324" s="136">
        <v>974081.8</v>
      </c>
      <c r="G324" s="832">
        <f t="shared" si="50"/>
        <v>0.0386</v>
      </c>
      <c r="H324" s="136">
        <v>194816.36</v>
      </c>
      <c r="I324" s="832">
        <f t="shared" si="51"/>
        <v>0.2</v>
      </c>
      <c r="J324" s="743">
        <f>报表附注合并期初用!E194</f>
        <v>858676.77</v>
      </c>
      <c r="K324" s="832">
        <f t="shared" si="52"/>
        <v>0.0298</v>
      </c>
      <c r="L324" s="743">
        <f>报表附注合并期初用!E202</f>
        <v>171735.35</v>
      </c>
      <c r="M324" s="832">
        <f t="shared" si="53"/>
        <v>0.2</v>
      </c>
      <c r="N324" s="898">
        <v>0.3</v>
      </c>
      <c r="O324" s="864" t="str">
        <f>IF(F324&lt;=J323,"合理","2-3年账不合理")</f>
        <v>合理</v>
      </c>
      <c r="P324" s="863"/>
      <c r="Q324" s="869"/>
      <c r="R324" s="869"/>
      <c r="X324" s="768" t="b">
        <f t="shared" si="28"/>
        <v>1</v>
      </c>
    </row>
    <row r="325" outlineLevel="2" spans="1:24">
      <c r="A325" s="826" t="s">
        <v>2029</v>
      </c>
      <c r="B325" s="845" t="s">
        <v>2904</v>
      </c>
      <c r="C325" s="693" t="str">
        <f t="shared" si="47"/>
        <v>深圳新阳蓝光能源管理科技股份有限公司</v>
      </c>
      <c r="D325" s="846" t="s">
        <v>2905</v>
      </c>
      <c r="E325" s="830" t="s">
        <v>2926</v>
      </c>
      <c r="F325" s="136">
        <v>658676.77</v>
      </c>
      <c r="G325" s="832">
        <f t="shared" si="50"/>
        <v>0.0261</v>
      </c>
      <c r="H325" s="136">
        <v>329338.39</v>
      </c>
      <c r="I325" s="832">
        <f t="shared" si="51"/>
        <v>0.5</v>
      </c>
      <c r="J325" s="743">
        <f>报表附注合并期初用!E195</f>
        <v>2231474</v>
      </c>
      <c r="K325" s="832">
        <f t="shared" si="52"/>
        <v>0.0773</v>
      </c>
      <c r="L325" s="743">
        <f>报表附注合并期初用!E203</f>
        <v>1115737</v>
      </c>
      <c r="M325" s="832">
        <f t="shared" si="53"/>
        <v>0.5</v>
      </c>
      <c r="N325" s="898">
        <v>1</v>
      </c>
      <c r="O325" s="864" t="str">
        <f>IF(F325&lt;=J324+J325,"合理","3-4年账不合理")</f>
        <v>合理</v>
      </c>
      <c r="P325" s="863"/>
      <c r="Q325" s="869"/>
      <c r="R325" s="869"/>
      <c r="X325" s="768" t="b">
        <f t="shared" si="28"/>
        <v>1</v>
      </c>
    </row>
    <row r="326" outlineLevel="2" spans="1:24">
      <c r="A326" s="826" t="s">
        <v>2030</v>
      </c>
      <c r="B326" s="845" t="s">
        <v>2904</v>
      </c>
      <c r="C326" s="693" t="str">
        <f t="shared" si="47"/>
        <v>深圳新阳蓝光能源管理科技股份有限公司</v>
      </c>
      <c r="D326" s="846" t="s">
        <v>2905</v>
      </c>
      <c r="E326" s="830" t="s">
        <v>2928</v>
      </c>
      <c r="F326" s="833">
        <v>2231474</v>
      </c>
      <c r="G326" s="832">
        <f t="shared" si="50"/>
        <v>0.0885</v>
      </c>
      <c r="H326" s="833">
        <v>1785179.2</v>
      </c>
      <c r="I326" s="832">
        <f t="shared" si="51"/>
        <v>0.8</v>
      </c>
      <c r="J326" s="743">
        <f>报表附注合并期初用!E196</f>
        <v>0</v>
      </c>
      <c r="K326" s="832">
        <f t="shared" si="52"/>
        <v>0</v>
      </c>
      <c r="L326" s="743">
        <f>报表附注合并期初用!E204</f>
        <v>0</v>
      </c>
      <c r="M326" s="832">
        <f t="shared" si="53"/>
        <v>0</v>
      </c>
      <c r="N326" s="863"/>
      <c r="O326" s="864" t="str">
        <f>IF(F326&lt;=J325,"合理","3-4年账龄不合理")</f>
        <v>合理</v>
      </c>
      <c r="P326" s="863"/>
      <c r="Q326" s="869"/>
      <c r="R326" s="869"/>
      <c r="X326" s="768" t="b">
        <f t="shared" si="28"/>
        <v>1</v>
      </c>
    </row>
    <row r="327" outlineLevel="2" spans="1:24">
      <c r="A327" s="826" t="s">
        <v>2031</v>
      </c>
      <c r="B327" s="845" t="s">
        <v>2904</v>
      </c>
      <c r="C327" s="693" t="str">
        <f t="shared" si="47"/>
        <v>深圳新阳蓝光能源管理科技股份有限公司</v>
      </c>
      <c r="D327" s="846" t="s">
        <v>2905</v>
      </c>
      <c r="E327" s="830" t="s">
        <v>2929</v>
      </c>
      <c r="F327" s="833"/>
      <c r="G327" s="832">
        <f t="shared" si="50"/>
        <v>0</v>
      </c>
      <c r="H327" s="833"/>
      <c r="I327" s="832">
        <f t="shared" si="51"/>
        <v>0</v>
      </c>
      <c r="J327" s="743">
        <f>报表附注合并期初用!E197</f>
        <v>0</v>
      </c>
      <c r="K327" s="832">
        <f t="shared" si="52"/>
        <v>0</v>
      </c>
      <c r="L327" s="743">
        <f>报表附注合并期初用!E205</f>
        <v>0</v>
      </c>
      <c r="M327" s="832">
        <f t="shared" si="53"/>
        <v>0</v>
      </c>
      <c r="N327" s="863"/>
      <c r="O327" s="864" t="str">
        <f>IF(F327&lt;=(J327+J326),"合理","5年以上账龄不合理")</f>
        <v>合理</v>
      </c>
      <c r="P327" s="863"/>
      <c r="Q327" s="869"/>
      <c r="R327" s="869"/>
      <c r="X327" s="768" t="b">
        <f t="shared" si="28"/>
        <v>1</v>
      </c>
    </row>
    <row r="328" outlineLevel="2" spans="1:24">
      <c r="A328" s="826" t="s">
        <v>2021</v>
      </c>
      <c r="B328" s="845" t="s">
        <v>2904</v>
      </c>
      <c r="C328" s="693" t="str">
        <f t="shared" si="47"/>
        <v>深圳新阳蓝光能源管理科技股份有限公司</v>
      </c>
      <c r="D328" s="846" t="s">
        <v>2905</v>
      </c>
      <c r="E328" s="830" t="s">
        <v>2021</v>
      </c>
      <c r="F328" s="834">
        <f>SUM(F322:F327)</f>
        <v>25222630.92</v>
      </c>
      <c r="G328" s="832">
        <f>SUM(G322:G327)</f>
        <v>1</v>
      </c>
      <c r="H328" s="834">
        <f>SUM(H322:H327)</f>
        <v>3640953.54</v>
      </c>
      <c r="I328" s="832">
        <f t="shared" si="51"/>
        <v>0.1444</v>
      </c>
      <c r="J328" s="834">
        <f>SUM(J322:J327)</f>
        <v>28858794.21</v>
      </c>
      <c r="K328" s="832">
        <f>SUM(K322:K327)</f>
        <v>1.0001</v>
      </c>
      <c r="L328" s="834">
        <f>SUM(L322:L327)</f>
        <v>2721880.61</v>
      </c>
      <c r="M328" s="832">
        <f t="shared" si="53"/>
        <v>0.0943</v>
      </c>
      <c r="O328" s="829"/>
      <c r="X328" s="768" t="b">
        <f t="shared" si="28"/>
        <v>1</v>
      </c>
    </row>
    <row r="329" outlineLevel="2" spans="1:24">
      <c r="A329" s="826" t="s">
        <v>2952</v>
      </c>
      <c r="B329" s="845" t="s">
        <v>2904</v>
      </c>
      <c r="C329" s="693" t="str">
        <f t="shared" si="47"/>
        <v>深圳新阳蓝光能源管理科技股份有限公司</v>
      </c>
      <c r="D329" s="889" t="s">
        <v>2953</v>
      </c>
      <c r="E329" s="890" t="s">
        <v>2954</v>
      </c>
      <c r="F329" s="829"/>
      <c r="G329" s="891" t="s">
        <v>2955</v>
      </c>
      <c r="H329" s="892">
        <v>1500000</v>
      </c>
      <c r="I329" s="829"/>
      <c r="J329" s="829"/>
      <c r="K329" s="829"/>
      <c r="L329" s="715"/>
      <c r="M329" s="837"/>
      <c r="N329" s="829"/>
      <c r="X329" s="768" t="b">
        <f t="shared" si="28"/>
        <v>1</v>
      </c>
    </row>
    <row r="330" outlineLevel="2" spans="1:24">
      <c r="A330" s="826" t="s">
        <v>2956</v>
      </c>
      <c r="B330" s="845" t="s">
        <v>2904</v>
      </c>
      <c r="C330" s="693" t="str">
        <f t="shared" si="47"/>
        <v>深圳新阳蓝光能源管理科技股份有限公司</v>
      </c>
      <c r="D330" s="889" t="s">
        <v>2953</v>
      </c>
      <c r="E330" s="893" t="s">
        <v>2957</v>
      </c>
      <c r="F330" s="715"/>
      <c r="G330" s="837"/>
      <c r="H330" s="715"/>
      <c r="I330" s="837"/>
      <c r="J330" s="715"/>
      <c r="K330" s="837"/>
      <c r="L330" s="715"/>
      <c r="M330" s="837"/>
      <c r="N330" s="829"/>
      <c r="X330" s="768" t="b">
        <f t="shared" si="28"/>
        <v>1</v>
      </c>
    </row>
    <row r="331" outlineLevel="2" spans="1:24">
      <c r="A331" s="826" t="s">
        <v>2473</v>
      </c>
      <c r="B331" s="845" t="s">
        <v>2904</v>
      </c>
      <c r="C331" s="693" t="str">
        <f t="shared" si="47"/>
        <v>深圳新阳蓝光能源管理科技股份有限公司</v>
      </c>
      <c r="D331" s="889" t="s">
        <v>2958</v>
      </c>
      <c r="E331" s="830" t="s">
        <v>2473</v>
      </c>
      <c r="F331" s="830" t="s">
        <v>2944</v>
      </c>
      <c r="G331" s="830" t="s">
        <v>2105</v>
      </c>
      <c r="H331" s="830" t="s">
        <v>471</v>
      </c>
      <c r="I331" s="830" t="s">
        <v>2959</v>
      </c>
      <c r="J331" s="899" t="s">
        <v>2947</v>
      </c>
      <c r="K331" s="900"/>
      <c r="L331" s="837"/>
      <c r="M331" s="837"/>
      <c r="N331" s="829"/>
      <c r="X331" s="768" t="b">
        <f t="shared" si="28"/>
        <v>1</v>
      </c>
    </row>
    <row r="332" outlineLevel="2" spans="2:24">
      <c r="B332" s="845" t="s">
        <v>2904</v>
      </c>
      <c r="C332" s="693" t="str">
        <f t="shared" si="47"/>
        <v>深圳新阳蓝光能源管理科技股份有限公司</v>
      </c>
      <c r="D332" s="889" t="s">
        <v>2958</v>
      </c>
      <c r="E332" s="855"/>
      <c r="F332" s="855"/>
      <c r="G332" s="721"/>
      <c r="H332" s="721"/>
      <c r="I332" s="832">
        <f>IFERROR(ROUND(H332/G332,4),0)</f>
        <v>0</v>
      </c>
      <c r="J332" s="721"/>
      <c r="K332" s="837"/>
      <c r="L332" s="837"/>
      <c r="M332" s="837"/>
      <c r="N332" s="829"/>
      <c r="X332" s="768" t="b">
        <f t="shared" si="28"/>
        <v>1</v>
      </c>
    </row>
    <row r="333" outlineLevel="2" spans="2:24">
      <c r="B333" s="845"/>
      <c r="C333" s="848"/>
      <c r="D333" s="889"/>
      <c r="E333" s="855"/>
      <c r="F333" s="855"/>
      <c r="G333" s="721"/>
      <c r="H333" s="721"/>
      <c r="I333" s="832">
        <f t="shared" ref="I333:I382" si="54">IFERROR(ROUND(H333/G333,4),0)</f>
        <v>0</v>
      </c>
      <c r="J333" s="721"/>
      <c r="K333" s="837"/>
      <c r="L333" s="837"/>
      <c r="M333" s="837"/>
      <c r="N333" s="829"/>
      <c r="X333" s="769"/>
    </row>
    <row r="334" outlineLevel="2" spans="2:24">
      <c r="B334" s="845"/>
      <c r="C334" s="848"/>
      <c r="D334" s="889"/>
      <c r="E334" s="855"/>
      <c r="F334" s="855"/>
      <c r="G334" s="721"/>
      <c r="H334" s="721"/>
      <c r="I334" s="832">
        <f t="shared" si="54"/>
        <v>0</v>
      </c>
      <c r="J334" s="721"/>
      <c r="K334" s="837"/>
      <c r="L334" s="837"/>
      <c r="M334" s="837"/>
      <c r="N334" s="829"/>
      <c r="X334" s="769"/>
    </row>
    <row r="335" outlineLevel="2" spans="2:24">
      <c r="B335" s="845"/>
      <c r="C335" s="848"/>
      <c r="D335" s="889"/>
      <c r="E335" s="855"/>
      <c r="F335" s="855"/>
      <c r="G335" s="721"/>
      <c r="H335" s="721"/>
      <c r="I335" s="832">
        <f t="shared" si="54"/>
        <v>0</v>
      </c>
      <c r="J335" s="721"/>
      <c r="K335" s="837"/>
      <c r="L335" s="837"/>
      <c r="M335" s="837"/>
      <c r="N335" s="829"/>
      <c r="X335" s="769"/>
    </row>
    <row r="336" outlineLevel="2" spans="2:24">
      <c r="B336" s="845"/>
      <c r="C336" s="848"/>
      <c r="D336" s="889"/>
      <c r="E336" s="855"/>
      <c r="F336" s="855"/>
      <c r="G336" s="721"/>
      <c r="H336" s="721"/>
      <c r="I336" s="832">
        <f t="shared" si="54"/>
        <v>0</v>
      </c>
      <c r="J336" s="721"/>
      <c r="K336" s="837"/>
      <c r="L336" s="837"/>
      <c r="M336" s="837"/>
      <c r="N336" s="829"/>
      <c r="X336" s="769"/>
    </row>
    <row r="337" outlineLevel="2" spans="2:24">
      <c r="B337" s="845"/>
      <c r="C337" s="848"/>
      <c r="D337" s="889"/>
      <c r="E337" s="855"/>
      <c r="F337" s="855"/>
      <c r="G337" s="721"/>
      <c r="H337" s="721"/>
      <c r="I337" s="832">
        <f t="shared" si="54"/>
        <v>0</v>
      </c>
      <c r="J337" s="721"/>
      <c r="K337" s="837"/>
      <c r="L337" s="837"/>
      <c r="M337" s="837"/>
      <c r="N337" s="829"/>
      <c r="X337" s="769"/>
    </row>
    <row r="338" outlineLevel="2" spans="2:24">
      <c r="B338" s="845"/>
      <c r="C338" s="848"/>
      <c r="D338" s="889"/>
      <c r="E338" s="855"/>
      <c r="F338" s="855"/>
      <c r="G338" s="721"/>
      <c r="H338" s="721"/>
      <c r="I338" s="832">
        <f t="shared" si="54"/>
        <v>0</v>
      </c>
      <c r="J338" s="721"/>
      <c r="K338" s="837"/>
      <c r="L338" s="837"/>
      <c r="M338" s="837"/>
      <c r="N338" s="829"/>
      <c r="X338" s="769"/>
    </row>
    <row r="339" outlineLevel="2" spans="2:24">
      <c r="B339" s="845"/>
      <c r="C339" s="848"/>
      <c r="D339" s="889"/>
      <c r="E339" s="855"/>
      <c r="F339" s="855"/>
      <c r="G339" s="721"/>
      <c r="H339" s="721"/>
      <c r="I339" s="832">
        <f t="shared" si="54"/>
        <v>0</v>
      </c>
      <c r="J339" s="721"/>
      <c r="K339" s="837"/>
      <c r="L339" s="837"/>
      <c r="M339" s="837"/>
      <c r="N339" s="829"/>
      <c r="X339" s="769"/>
    </row>
    <row r="340" outlineLevel="2" spans="2:24">
      <c r="B340" s="845"/>
      <c r="C340" s="848"/>
      <c r="D340" s="889"/>
      <c r="E340" s="855"/>
      <c r="F340" s="855"/>
      <c r="G340" s="721"/>
      <c r="H340" s="721"/>
      <c r="I340" s="832">
        <f t="shared" si="54"/>
        <v>0</v>
      </c>
      <c r="J340" s="721"/>
      <c r="K340" s="837"/>
      <c r="L340" s="837"/>
      <c r="M340" s="837"/>
      <c r="N340" s="829"/>
      <c r="X340" s="769"/>
    </row>
    <row r="341" outlineLevel="2" spans="2:24">
      <c r="B341" s="845"/>
      <c r="C341" s="848"/>
      <c r="D341" s="889"/>
      <c r="E341" s="855"/>
      <c r="F341" s="855"/>
      <c r="G341" s="721"/>
      <c r="H341" s="721"/>
      <c r="I341" s="832">
        <f t="shared" si="54"/>
        <v>0</v>
      </c>
      <c r="J341" s="721"/>
      <c r="K341" s="837"/>
      <c r="L341" s="837"/>
      <c r="M341" s="837"/>
      <c r="N341" s="829"/>
      <c r="X341" s="769"/>
    </row>
    <row r="342" outlineLevel="2" spans="2:24">
      <c r="B342" s="845"/>
      <c r="C342" s="848"/>
      <c r="D342" s="889"/>
      <c r="E342" s="855"/>
      <c r="F342" s="855"/>
      <c r="G342" s="721"/>
      <c r="H342" s="721"/>
      <c r="I342" s="832">
        <f t="shared" si="54"/>
        <v>0</v>
      </c>
      <c r="J342" s="721"/>
      <c r="K342" s="837"/>
      <c r="L342" s="837"/>
      <c r="M342" s="837"/>
      <c r="N342" s="829"/>
      <c r="X342" s="769"/>
    </row>
    <row r="343" outlineLevel="2" spans="2:24">
      <c r="B343" s="845"/>
      <c r="C343" s="848"/>
      <c r="D343" s="889"/>
      <c r="E343" s="855"/>
      <c r="F343" s="855"/>
      <c r="G343" s="721"/>
      <c r="H343" s="721"/>
      <c r="I343" s="832">
        <f t="shared" si="54"/>
        <v>0</v>
      </c>
      <c r="J343" s="721"/>
      <c r="K343" s="837"/>
      <c r="L343" s="837"/>
      <c r="M343" s="837"/>
      <c r="N343" s="829"/>
      <c r="X343" s="769"/>
    </row>
    <row r="344" outlineLevel="2" spans="2:24">
      <c r="B344" s="845"/>
      <c r="C344" s="848"/>
      <c r="D344" s="889"/>
      <c r="E344" s="855"/>
      <c r="F344" s="855"/>
      <c r="G344" s="721"/>
      <c r="H344" s="721"/>
      <c r="I344" s="832">
        <f t="shared" si="54"/>
        <v>0</v>
      </c>
      <c r="J344" s="721"/>
      <c r="K344" s="837"/>
      <c r="L344" s="837"/>
      <c r="M344" s="837"/>
      <c r="N344" s="829"/>
      <c r="X344" s="769"/>
    </row>
    <row r="345" outlineLevel="2" spans="2:24">
      <c r="B345" s="845"/>
      <c r="C345" s="848"/>
      <c r="D345" s="889"/>
      <c r="E345" s="855"/>
      <c r="F345" s="855"/>
      <c r="G345" s="721"/>
      <c r="H345" s="721"/>
      <c r="I345" s="832">
        <f t="shared" si="54"/>
        <v>0</v>
      </c>
      <c r="J345" s="721"/>
      <c r="K345" s="837"/>
      <c r="L345" s="837"/>
      <c r="M345" s="837"/>
      <c r="N345" s="829"/>
      <c r="X345" s="769"/>
    </row>
    <row r="346" outlineLevel="2" spans="2:24">
      <c r="B346" s="845"/>
      <c r="C346" s="848"/>
      <c r="D346" s="889"/>
      <c r="E346" s="855"/>
      <c r="F346" s="855"/>
      <c r="G346" s="721"/>
      <c r="H346" s="721"/>
      <c r="I346" s="832">
        <f t="shared" si="54"/>
        <v>0</v>
      </c>
      <c r="J346" s="721"/>
      <c r="K346" s="837"/>
      <c r="L346" s="837"/>
      <c r="M346" s="837"/>
      <c r="N346" s="829"/>
      <c r="X346" s="769"/>
    </row>
    <row r="347" outlineLevel="2" spans="2:24">
      <c r="B347" s="845"/>
      <c r="C347" s="848"/>
      <c r="D347" s="889"/>
      <c r="E347" s="855"/>
      <c r="F347" s="855"/>
      <c r="G347" s="721"/>
      <c r="H347" s="721"/>
      <c r="I347" s="832">
        <f t="shared" si="54"/>
        <v>0</v>
      </c>
      <c r="J347" s="721"/>
      <c r="K347" s="837"/>
      <c r="L347" s="837"/>
      <c r="M347" s="837"/>
      <c r="N347" s="829"/>
      <c r="X347" s="769"/>
    </row>
    <row r="348" outlineLevel="2" spans="2:24">
      <c r="B348" s="845"/>
      <c r="C348" s="848"/>
      <c r="D348" s="889"/>
      <c r="E348" s="855"/>
      <c r="F348" s="855"/>
      <c r="G348" s="721"/>
      <c r="H348" s="721"/>
      <c r="I348" s="832">
        <f t="shared" si="54"/>
        <v>0</v>
      </c>
      <c r="J348" s="721"/>
      <c r="K348" s="837"/>
      <c r="L348" s="837"/>
      <c r="M348" s="837"/>
      <c r="N348" s="829"/>
      <c r="X348" s="769"/>
    </row>
    <row r="349" outlineLevel="2" spans="2:24">
      <c r="B349" s="845"/>
      <c r="C349" s="848"/>
      <c r="D349" s="889"/>
      <c r="E349" s="855"/>
      <c r="F349" s="855"/>
      <c r="G349" s="721"/>
      <c r="H349" s="721"/>
      <c r="I349" s="832">
        <f t="shared" si="54"/>
        <v>0</v>
      </c>
      <c r="J349" s="721"/>
      <c r="K349" s="837"/>
      <c r="L349" s="837"/>
      <c r="M349" s="837"/>
      <c r="N349" s="829"/>
      <c r="X349" s="769"/>
    </row>
    <row r="350" outlineLevel="2" spans="2:24">
      <c r="B350" s="845"/>
      <c r="C350" s="848"/>
      <c r="D350" s="889"/>
      <c r="E350" s="855"/>
      <c r="F350" s="855"/>
      <c r="G350" s="721"/>
      <c r="H350" s="721"/>
      <c r="I350" s="832">
        <f t="shared" si="54"/>
        <v>0</v>
      </c>
      <c r="J350" s="721"/>
      <c r="K350" s="837"/>
      <c r="L350" s="837"/>
      <c r="M350" s="837"/>
      <c r="N350" s="829"/>
      <c r="X350" s="769"/>
    </row>
    <row r="351" outlineLevel="2" spans="2:24">
      <c r="B351" s="845"/>
      <c r="C351" s="848"/>
      <c r="D351" s="889"/>
      <c r="E351" s="855"/>
      <c r="F351" s="855"/>
      <c r="G351" s="721"/>
      <c r="H351" s="721"/>
      <c r="I351" s="832">
        <f t="shared" si="54"/>
        <v>0</v>
      </c>
      <c r="J351" s="721"/>
      <c r="K351" s="837"/>
      <c r="L351" s="837"/>
      <c r="M351" s="837"/>
      <c r="N351" s="829"/>
      <c r="X351" s="769"/>
    </row>
    <row r="352" outlineLevel="2" spans="2:24">
      <c r="B352" s="845"/>
      <c r="C352" s="848"/>
      <c r="D352" s="889"/>
      <c r="E352" s="855"/>
      <c r="F352" s="855"/>
      <c r="G352" s="721"/>
      <c r="H352" s="721"/>
      <c r="I352" s="832">
        <f t="shared" si="54"/>
        <v>0</v>
      </c>
      <c r="J352" s="721"/>
      <c r="K352" s="837"/>
      <c r="L352" s="837"/>
      <c r="M352" s="837"/>
      <c r="N352" s="829"/>
      <c r="X352" s="769"/>
    </row>
    <row r="353" outlineLevel="2" spans="2:24">
      <c r="B353" s="845"/>
      <c r="C353" s="848"/>
      <c r="D353" s="889"/>
      <c r="E353" s="855"/>
      <c r="F353" s="855"/>
      <c r="G353" s="721"/>
      <c r="H353" s="721"/>
      <c r="I353" s="832">
        <f t="shared" si="54"/>
        <v>0</v>
      </c>
      <c r="J353" s="721"/>
      <c r="K353" s="837"/>
      <c r="L353" s="837"/>
      <c r="M353" s="837"/>
      <c r="N353" s="829"/>
      <c r="X353" s="769"/>
    </row>
    <row r="354" outlineLevel="2" spans="2:24">
      <c r="B354" s="845"/>
      <c r="C354" s="848"/>
      <c r="D354" s="889"/>
      <c r="E354" s="855"/>
      <c r="F354" s="855"/>
      <c r="G354" s="721"/>
      <c r="H354" s="721"/>
      <c r="I354" s="832">
        <f t="shared" si="54"/>
        <v>0</v>
      </c>
      <c r="J354" s="721"/>
      <c r="K354" s="837"/>
      <c r="L354" s="837"/>
      <c r="M354" s="837"/>
      <c r="N354" s="829"/>
      <c r="X354" s="769"/>
    </row>
    <row r="355" outlineLevel="2" spans="2:24">
      <c r="B355" s="845"/>
      <c r="C355" s="848"/>
      <c r="D355" s="889"/>
      <c r="E355" s="855"/>
      <c r="F355" s="855"/>
      <c r="G355" s="721"/>
      <c r="H355" s="721"/>
      <c r="I355" s="832">
        <f t="shared" si="54"/>
        <v>0</v>
      </c>
      <c r="J355" s="721"/>
      <c r="K355" s="837"/>
      <c r="L355" s="837"/>
      <c r="M355" s="837"/>
      <c r="N355" s="829"/>
      <c r="X355" s="769"/>
    </row>
    <row r="356" outlineLevel="2" spans="2:24">
      <c r="B356" s="845"/>
      <c r="C356" s="848"/>
      <c r="D356" s="889"/>
      <c r="E356" s="855"/>
      <c r="F356" s="855"/>
      <c r="G356" s="721"/>
      <c r="H356" s="721"/>
      <c r="I356" s="832">
        <f t="shared" si="54"/>
        <v>0</v>
      </c>
      <c r="J356" s="721"/>
      <c r="K356" s="837"/>
      <c r="L356" s="837"/>
      <c r="M356" s="837"/>
      <c r="N356" s="829"/>
      <c r="X356" s="769"/>
    </row>
    <row r="357" outlineLevel="2" spans="2:24">
      <c r="B357" s="845" t="s">
        <v>2904</v>
      </c>
      <c r="C357" s="693" t="str">
        <f t="shared" ref="C357:C420" si="55">$G$1</f>
        <v>深圳新阳蓝光能源管理科技股份有限公司</v>
      </c>
      <c r="D357" s="889" t="s">
        <v>2958</v>
      </c>
      <c r="E357" s="855"/>
      <c r="F357" s="855"/>
      <c r="G357" s="721"/>
      <c r="H357" s="721"/>
      <c r="I357" s="832">
        <f t="shared" si="54"/>
        <v>0</v>
      </c>
      <c r="J357" s="721"/>
      <c r="K357" s="837"/>
      <c r="L357" s="837"/>
      <c r="M357" s="837"/>
      <c r="N357" s="829"/>
      <c r="X357" s="768" t="b">
        <f t="shared" si="28"/>
        <v>1</v>
      </c>
    </row>
    <row r="358" outlineLevel="2" spans="2:24">
      <c r="B358" s="845" t="s">
        <v>2904</v>
      </c>
      <c r="C358" s="693" t="str">
        <f t="shared" si="55"/>
        <v>深圳新阳蓝光能源管理科技股份有限公司</v>
      </c>
      <c r="D358" s="889" t="s">
        <v>2958</v>
      </c>
      <c r="E358" s="855"/>
      <c r="F358" s="855"/>
      <c r="G358" s="721"/>
      <c r="H358" s="721"/>
      <c r="I358" s="832">
        <f t="shared" si="54"/>
        <v>0</v>
      </c>
      <c r="J358" s="721"/>
      <c r="K358" s="837"/>
      <c r="L358" s="837"/>
      <c r="M358" s="837"/>
      <c r="N358" s="829"/>
      <c r="X358" s="768" t="b">
        <f t="shared" si="28"/>
        <v>1</v>
      </c>
    </row>
    <row r="359" outlineLevel="2" spans="2:24">
      <c r="B359" s="845" t="s">
        <v>2904</v>
      </c>
      <c r="C359" s="693" t="str">
        <f t="shared" si="55"/>
        <v>深圳新阳蓝光能源管理科技股份有限公司</v>
      </c>
      <c r="D359" s="889" t="s">
        <v>2958</v>
      </c>
      <c r="E359" s="855"/>
      <c r="F359" s="855"/>
      <c r="G359" s="721"/>
      <c r="H359" s="721"/>
      <c r="I359" s="832">
        <f t="shared" si="54"/>
        <v>0</v>
      </c>
      <c r="J359" s="721"/>
      <c r="K359" s="837"/>
      <c r="L359" s="837"/>
      <c r="M359" s="837"/>
      <c r="N359" s="829"/>
      <c r="X359" s="768" t="b">
        <f t="shared" si="28"/>
        <v>1</v>
      </c>
    </row>
    <row r="360" outlineLevel="2" spans="2:24">
      <c r="B360" s="845" t="s">
        <v>2904</v>
      </c>
      <c r="C360" s="693" t="str">
        <f t="shared" si="55"/>
        <v>深圳新阳蓝光能源管理科技股份有限公司</v>
      </c>
      <c r="D360" s="889" t="s">
        <v>2958</v>
      </c>
      <c r="E360" s="855"/>
      <c r="F360" s="855"/>
      <c r="G360" s="721"/>
      <c r="H360" s="721"/>
      <c r="I360" s="832">
        <f t="shared" si="54"/>
        <v>0</v>
      </c>
      <c r="J360" s="721"/>
      <c r="K360" s="837"/>
      <c r="L360" s="837"/>
      <c r="M360" s="837"/>
      <c r="N360" s="829"/>
      <c r="X360" s="768" t="b">
        <f t="shared" si="28"/>
        <v>1</v>
      </c>
    </row>
    <row r="361" outlineLevel="2" spans="2:24">
      <c r="B361" s="845" t="s">
        <v>2904</v>
      </c>
      <c r="C361" s="693" t="str">
        <f t="shared" si="55"/>
        <v>深圳新阳蓝光能源管理科技股份有限公司</v>
      </c>
      <c r="D361" s="889" t="s">
        <v>2958</v>
      </c>
      <c r="E361" s="855"/>
      <c r="F361" s="855"/>
      <c r="G361" s="721"/>
      <c r="H361" s="721"/>
      <c r="I361" s="832">
        <f t="shared" si="54"/>
        <v>0</v>
      </c>
      <c r="J361" s="721"/>
      <c r="K361" s="837"/>
      <c r="L361" s="837"/>
      <c r="M361" s="837"/>
      <c r="N361" s="829"/>
      <c r="X361" s="768" t="b">
        <f t="shared" si="28"/>
        <v>1</v>
      </c>
    </row>
    <row r="362" outlineLevel="2" spans="2:24">
      <c r="B362" s="845" t="s">
        <v>2904</v>
      </c>
      <c r="C362" s="693" t="str">
        <f t="shared" si="55"/>
        <v>深圳新阳蓝光能源管理科技股份有限公司</v>
      </c>
      <c r="D362" s="889" t="s">
        <v>2958</v>
      </c>
      <c r="E362" s="855"/>
      <c r="F362" s="855"/>
      <c r="G362" s="721"/>
      <c r="H362" s="721"/>
      <c r="I362" s="832">
        <f t="shared" si="54"/>
        <v>0</v>
      </c>
      <c r="J362" s="721"/>
      <c r="K362" s="837"/>
      <c r="L362" s="837"/>
      <c r="M362" s="837"/>
      <c r="N362" s="829"/>
      <c r="X362" s="768" t="b">
        <f t="shared" si="28"/>
        <v>1</v>
      </c>
    </row>
    <row r="363" outlineLevel="2" spans="2:24">
      <c r="B363" s="845" t="s">
        <v>2904</v>
      </c>
      <c r="C363" s="693" t="str">
        <f t="shared" si="55"/>
        <v>深圳新阳蓝光能源管理科技股份有限公司</v>
      </c>
      <c r="D363" s="889" t="s">
        <v>2958</v>
      </c>
      <c r="E363" s="855"/>
      <c r="F363" s="855"/>
      <c r="G363" s="721"/>
      <c r="H363" s="721"/>
      <c r="I363" s="832">
        <f t="shared" si="54"/>
        <v>0</v>
      </c>
      <c r="J363" s="721"/>
      <c r="K363" s="837"/>
      <c r="L363" s="837"/>
      <c r="M363" s="837"/>
      <c r="N363" s="829"/>
      <c r="X363" s="768" t="b">
        <f t="shared" si="28"/>
        <v>1</v>
      </c>
    </row>
    <row r="364" outlineLevel="2" spans="2:24">
      <c r="B364" s="845" t="s">
        <v>2904</v>
      </c>
      <c r="C364" s="693" t="str">
        <f t="shared" si="55"/>
        <v>深圳新阳蓝光能源管理科技股份有限公司</v>
      </c>
      <c r="D364" s="889" t="s">
        <v>2958</v>
      </c>
      <c r="E364" s="855"/>
      <c r="F364" s="855"/>
      <c r="G364" s="721"/>
      <c r="H364" s="721"/>
      <c r="I364" s="832">
        <f t="shared" si="54"/>
        <v>0</v>
      </c>
      <c r="J364" s="721"/>
      <c r="K364" s="837"/>
      <c r="L364" s="837"/>
      <c r="M364" s="837"/>
      <c r="N364" s="829"/>
      <c r="X364" s="768" t="b">
        <f t="shared" si="28"/>
        <v>1</v>
      </c>
    </row>
    <row r="365" outlineLevel="2" spans="2:24">
      <c r="B365" s="845" t="s">
        <v>2904</v>
      </c>
      <c r="C365" s="693" t="str">
        <f t="shared" si="55"/>
        <v>深圳新阳蓝光能源管理科技股份有限公司</v>
      </c>
      <c r="D365" s="889" t="s">
        <v>2958</v>
      </c>
      <c r="E365" s="855"/>
      <c r="F365" s="855"/>
      <c r="G365" s="721"/>
      <c r="H365" s="721"/>
      <c r="I365" s="832">
        <f t="shared" si="54"/>
        <v>0</v>
      </c>
      <c r="J365" s="721"/>
      <c r="K365" s="837"/>
      <c r="L365" s="837"/>
      <c r="M365" s="837"/>
      <c r="N365" s="829"/>
      <c r="X365" s="768" t="b">
        <f t="shared" si="28"/>
        <v>1</v>
      </c>
    </row>
    <row r="366" outlineLevel="2" spans="2:24">
      <c r="B366" s="845" t="s">
        <v>2904</v>
      </c>
      <c r="C366" s="693" t="str">
        <f t="shared" si="55"/>
        <v>深圳新阳蓝光能源管理科技股份有限公司</v>
      </c>
      <c r="D366" s="889" t="s">
        <v>2958</v>
      </c>
      <c r="E366" s="855"/>
      <c r="F366" s="855"/>
      <c r="G366" s="721"/>
      <c r="H366" s="721"/>
      <c r="I366" s="832">
        <f t="shared" si="54"/>
        <v>0</v>
      </c>
      <c r="J366" s="721"/>
      <c r="K366" s="837"/>
      <c r="L366" s="837"/>
      <c r="M366" s="837"/>
      <c r="N366" s="829"/>
      <c r="X366" s="768" t="b">
        <f t="shared" si="28"/>
        <v>1</v>
      </c>
    </row>
    <row r="367" outlineLevel="2" spans="2:24">
      <c r="B367" s="845" t="s">
        <v>2904</v>
      </c>
      <c r="C367" s="693" t="str">
        <f t="shared" si="55"/>
        <v>深圳新阳蓝光能源管理科技股份有限公司</v>
      </c>
      <c r="D367" s="889" t="s">
        <v>2958</v>
      </c>
      <c r="E367" s="855"/>
      <c r="F367" s="855"/>
      <c r="G367" s="721"/>
      <c r="H367" s="721"/>
      <c r="I367" s="832">
        <f t="shared" si="54"/>
        <v>0</v>
      </c>
      <c r="J367" s="721"/>
      <c r="K367" s="837"/>
      <c r="L367" s="837"/>
      <c r="M367" s="837"/>
      <c r="N367" s="829"/>
      <c r="X367" s="768" t="b">
        <f t="shared" si="28"/>
        <v>1</v>
      </c>
    </row>
    <row r="368" outlineLevel="2" spans="2:24">
      <c r="B368" s="845" t="s">
        <v>2904</v>
      </c>
      <c r="C368" s="693" t="str">
        <f t="shared" si="55"/>
        <v>深圳新阳蓝光能源管理科技股份有限公司</v>
      </c>
      <c r="D368" s="889" t="s">
        <v>2958</v>
      </c>
      <c r="E368" s="855"/>
      <c r="F368" s="855"/>
      <c r="G368" s="721"/>
      <c r="H368" s="721"/>
      <c r="I368" s="832">
        <f t="shared" si="54"/>
        <v>0</v>
      </c>
      <c r="J368" s="721"/>
      <c r="K368" s="837"/>
      <c r="L368" s="837"/>
      <c r="M368" s="837"/>
      <c r="N368" s="829"/>
      <c r="X368" s="768" t="b">
        <f t="shared" si="28"/>
        <v>1</v>
      </c>
    </row>
    <row r="369" outlineLevel="2" spans="2:24">
      <c r="B369" s="845" t="s">
        <v>2904</v>
      </c>
      <c r="C369" s="693" t="str">
        <f t="shared" si="55"/>
        <v>深圳新阳蓝光能源管理科技股份有限公司</v>
      </c>
      <c r="D369" s="889" t="s">
        <v>2958</v>
      </c>
      <c r="E369" s="855"/>
      <c r="F369" s="855"/>
      <c r="G369" s="721"/>
      <c r="H369" s="721"/>
      <c r="I369" s="832">
        <f t="shared" si="54"/>
        <v>0</v>
      </c>
      <c r="J369" s="721"/>
      <c r="K369" s="837"/>
      <c r="L369" s="837"/>
      <c r="M369" s="837"/>
      <c r="N369" s="829"/>
      <c r="X369" s="768" t="b">
        <f t="shared" si="28"/>
        <v>1</v>
      </c>
    </row>
    <row r="370" outlineLevel="2" spans="2:24">
      <c r="B370" s="845" t="s">
        <v>2904</v>
      </c>
      <c r="C370" s="693" t="str">
        <f t="shared" si="55"/>
        <v>深圳新阳蓝光能源管理科技股份有限公司</v>
      </c>
      <c r="D370" s="889" t="s">
        <v>2958</v>
      </c>
      <c r="E370" s="855"/>
      <c r="F370" s="855"/>
      <c r="G370" s="721"/>
      <c r="H370" s="721"/>
      <c r="I370" s="832">
        <f t="shared" si="54"/>
        <v>0</v>
      </c>
      <c r="J370" s="721"/>
      <c r="K370" s="837"/>
      <c r="L370" s="837"/>
      <c r="M370" s="837"/>
      <c r="N370" s="829"/>
      <c r="X370" s="768" t="b">
        <f t="shared" si="28"/>
        <v>1</v>
      </c>
    </row>
    <row r="371" outlineLevel="2" spans="2:24">
      <c r="B371" s="845" t="s">
        <v>2904</v>
      </c>
      <c r="C371" s="693" t="str">
        <f t="shared" si="55"/>
        <v>深圳新阳蓝光能源管理科技股份有限公司</v>
      </c>
      <c r="D371" s="889" t="s">
        <v>2958</v>
      </c>
      <c r="E371" s="855"/>
      <c r="F371" s="855"/>
      <c r="G371" s="721"/>
      <c r="H371" s="721"/>
      <c r="I371" s="832">
        <f t="shared" si="54"/>
        <v>0</v>
      </c>
      <c r="J371" s="721"/>
      <c r="K371" s="837"/>
      <c r="L371" s="837"/>
      <c r="M371" s="837"/>
      <c r="N371" s="829"/>
      <c r="X371" s="768" t="b">
        <f t="shared" si="28"/>
        <v>1</v>
      </c>
    </row>
    <row r="372" outlineLevel="2" spans="2:24">
      <c r="B372" s="845" t="s">
        <v>2904</v>
      </c>
      <c r="C372" s="693" t="str">
        <f t="shared" si="55"/>
        <v>深圳新阳蓝光能源管理科技股份有限公司</v>
      </c>
      <c r="D372" s="889" t="s">
        <v>2958</v>
      </c>
      <c r="E372" s="855"/>
      <c r="F372" s="855"/>
      <c r="G372" s="721"/>
      <c r="H372" s="721"/>
      <c r="I372" s="832">
        <f t="shared" si="54"/>
        <v>0</v>
      </c>
      <c r="J372" s="721"/>
      <c r="K372" s="837"/>
      <c r="L372" s="837"/>
      <c r="M372" s="837"/>
      <c r="N372" s="829"/>
      <c r="X372" s="768" t="b">
        <f t="shared" si="28"/>
        <v>1</v>
      </c>
    </row>
    <row r="373" outlineLevel="2" spans="2:24">
      <c r="B373" s="845" t="s">
        <v>2904</v>
      </c>
      <c r="C373" s="693" t="str">
        <f t="shared" si="55"/>
        <v>深圳新阳蓝光能源管理科技股份有限公司</v>
      </c>
      <c r="D373" s="889" t="s">
        <v>2958</v>
      </c>
      <c r="E373" s="855"/>
      <c r="F373" s="855"/>
      <c r="G373" s="721"/>
      <c r="H373" s="721"/>
      <c r="I373" s="832">
        <f t="shared" si="54"/>
        <v>0</v>
      </c>
      <c r="J373" s="721"/>
      <c r="K373" s="837"/>
      <c r="L373" s="837"/>
      <c r="M373" s="837"/>
      <c r="N373" s="829"/>
      <c r="X373" s="768" t="b">
        <f t="shared" si="28"/>
        <v>1</v>
      </c>
    </row>
    <row r="374" outlineLevel="2" spans="2:24">
      <c r="B374" s="845" t="s">
        <v>2904</v>
      </c>
      <c r="C374" s="693" t="str">
        <f t="shared" si="55"/>
        <v>深圳新阳蓝光能源管理科技股份有限公司</v>
      </c>
      <c r="D374" s="889" t="s">
        <v>2958</v>
      </c>
      <c r="E374" s="855"/>
      <c r="F374" s="855"/>
      <c r="G374" s="721"/>
      <c r="H374" s="721"/>
      <c r="I374" s="832">
        <f t="shared" si="54"/>
        <v>0</v>
      </c>
      <c r="J374" s="721"/>
      <c r="K374" s="837"/>
      <c r="L374" s="837"/>
      <c r="M374" s="837"/>
      <c r="N374" s="829"/>
      <c r="X374" s="768" t="b">
        <f t="shared" si="28"/>
        <v>1</v>
      </c>
    </row>
    <row r="375" outlineLevel="2" spans="2:24">
      <c r="B375" s="845" t="s">
        <v>2904</v>
      </c>
      <c r="C375" s="693" t="str">
        <f t="shared" si="55"/>
        <v>深圳新阳蓝光能源管理科技股份有限公司</v>
      </c>
      <c r="D375" s="889" t="s">
        <v>2958</v>
      </c>
      <c r="E375" s="855"/>
      <c r="F375" s="855"/>
      <c r="G375" s="721"/>
      <c r="H375" s="721"/>
      <c r="I375" s="832">
        <f t="shared" si="54"/>
        <v>0</v>
      </c>
      <c r="J375" s="721"/>
      <c r="K375" s="837"/>
      <c r="L375" s="837"/>
      <c r="M375" s="837"/>
      <c r="N375" s="829"/>
      <c r="X375" s="768" t="b">
        <f t="shared" si="28"/>
        <v>1</v>
      </c>
    </row>
    <row r="376" outlineLevel="2" spans="2:24">
      <c r="B376" s="845" t="s">
        <v>2904</v>
      </c>
      <c r="C376" s="693" t="str">
        <f t="shared" si="55"/>
        <v>深圳新阳蓝光能源管理科技股份有限公司</v>
      </c>
      <c r="D376" s="889" t="s">
        <v>2958</v>
      </c>
      <c r="E376" s="855"/>
      <c r="F376" s="855"/>
      <c r="G376" s="721"/>
      <c r="H376" s="721"/>
      <c r="I376" s="832">
        <f t="shared" si="54"/>
        <v>0</v>
      </c>
      <c r="J376" s="721"/>
      <c r="K376" s="837"/>
      <c r="L376" s="837"/>
      <c r="M376" s="837"/>
      <c r="N376" s="829"/>
      <c r="X376" s="768" t="b">
        <f t="shared" si="28"/>
        <v>1</v>
      </c>
    </row>
    <row r="377" outlineLevel="2" spans="2:24">
      <c r="B377" s="845" t="s">
        <v>2904</v>
      </c>
      <c r="C377" s="693" t="str">
        <f t="shared" si="55"/>
        <v>深圳新阳蓝光能源管理科技股份有限公司</v>
      </c>
      <c r="D377" s="889" t="s">
        <v>2958</v>
      </c>
      <c r="E377" s="855"/>
      <c r="F377" s="855"/>
      <c r="G377" s="721"/>
      <c r="H377" s="721"/>
      <c r="I377" s="832">
        <f t="shared" si="54"/>
        <v>0</v>
      </c>
      <c r="J377" s="721"/>
      <c r="K377" s="837"/>
      <c r="L377" s="837"/>
      <c r="M377" s="837"/>
      <c r="N377" s="829"/>
      <c r="X377" s="768" t="b">
        <f t="shared" si="28"/>
        <v>1</v>
      </c>
    </row>
    <row r="378" outlineLevel="2" spans="2:24">
      <c r="B378" s="845" t="s">
        <v>2904</v>
      </c>
      <c r="C378" s="693" t="str">
        <f t="shared" si="55"/>
        <v>深圳新阳蓝光能源管理科技股份有限公司</v>
      </c>
      <c r="D378" s="889" t="s">
        <v>2958</v>
      </c>
      <c r="E378" s="855"/>
      <c r="F378" s="855"/>
      <c r="G378" s="721"/>
      <c r="H378" s="721"/>
      <c r="I378" s="832">
        <f t="shared" si="54"/>
        <v>0</v>
      </c>
      <c r="J378" s="721"/>
      <c r="K378" s="837"/>
      <c r="L378" s="837"/>
      <c r="M378" s="837"/>
      <c r="N378" s="829"/>
      <c r="X378" s="768" t="b">
        <f t="shared" si="28"/>
        <v>1</v>
      </c>
    </row>
    <row r="379" outlineLevel="2" spans="2:24">
      <c r="B379" s="845" t="s">
        <v>2904</v>
      </c>
      <c r="C379" s="693" t="str">
        <f t="shared" si="55"/>
        <v>深圳新阳蓝光能源管理科技股份有限公司</v>
      </c>
      <c r="D379" s="889" t="s">
        <v>2958</v>
      </c>
      <c r="E379" s="855"/>
      <c r="F379" s="855"/>
      <c r="G379" s="721"/>
      <c r="H379" s="721"/>
      <c r="I379" s="832">
        <f t="shared" si="54"/>
        <v>0</v>
      </c>
      <c r="J379" s="721"/>
      <c r="K379" s="837"/>
      <c r="L379" s="837"/>
      <c r="M379" s="837"/>
      <c r="N379" s="829"/>
      <c r="X379" s="768" t="b">
        <f t="shared" si="28"/>
        <v>1</v>
      </c>
    </row>
    <row r="380" outlineLevel="2" spans="2:24">
      <c r="B380" s="845" t="s">
        <v>2904</v>
      </c>
      <c r="C380" s="693" t="str">
        <f t="shared" si="55"/>
        <v>深圳新阳蓝光能源管理科技股份有限公司</v>
      </c>
      <c r="D380" s="889" t="s">
        <v>2958</v>
      </c>
      <c r="E380" s="855"/>
      <c r="F380" s="855"/>
      <c r="G380" s="721"/>
      <c r="H380" s="721"/>
      <c r="I380" s="832">
        <f t="shared" si="54"/>
        <v>0</v>
      </c>
      <c r="J380" s="721"/>
      <c r="K380" s="837"/>
      <c r="L380" s="837"/>
      <c r="M380" s="837"/>
      <c r="N380" s="829"/>
      <c r="X380" s="768" t="b">
        <f t="shared" si="28"/>
        <v>1</v>
      </c>
    </row>
    <row r="381" outlineLevel="2" spans="2:24">
      <c r="B381" s="845" t="s">
        <v>2904</v>
      </c>
      <c r="C381" s="693" t="str">
        <f t="shared" si="55"/>
        <v>深圳新阳蓝光能源管理科技股份有限公司</v>
      </c>
      <c r="D381" s="889" t="s">
        <v>2958</v>
      </c>
      <c r="E381" s="855"/>
      <c r="F381" s="855"/>
      <c r="G381" s="721"/>
      <c r="H381" s="721"/>
      <c r="I381" s="832">
        <f t="shared" si="54"/>
        <v>0</v>
      </c>
      <c r="J381" s="721"/>
      <c r="K381" s="837"/>
      <c r="L381" s="837"/>
      <c r="M381" s="837"/>
      <c r="N381" s="829"/>
      <c r="X381" s="768" t="b">
        <f t="shared" si="28"/>
        <v>1</v>
      </c>
    </row>
    <row r="382" outlineLevel="2" spans="1:24">
      <c r="A382" s="826" t="s">
        <v>2021</v>
      </c>
      <c r="B382" s="845" t="s">
        <v>2904</v>
      </c>
      <c r="C382" s="693" t="str">
        <f t="shared" si="55"/>
        <v>深圳新阳蓝光能源管理科技股份有限公司</v>
      </c>
      <c r="D382" s="889" t="s">
        <v>2958</v>
      </c>
      <c r="E382" s="830" t="s">
        <v>2021</v>
      </c>
      <c r="F382" s="830"/>
      <c r="G382" s="834">
        <f>SUM(G332:G381)</f>
        <v>0</v>
      </c>
      <c r="H382" s="834">
        <f>SUM(H332:H381)</f>
        <v>0</v>
      </c>
      <c r="I382" s="832">
        <f t="shared" si="54"/>
        <v>0</v>
      </c>
      <c r="J382" s="833"/>
      <c r="K382" s="837"/>
      <c r="L382" s="837"/>
      <c r="M382" s="837"/>
      <c r="N382" s="829"/>
      <c r="X382" s="768" t="b">
        <f t="shared" si="28"/>
        <v>1</v>
      </c>
    </row>
    <row r="383" outlineLevel="2" spans="1:24">
      <c r="A383" s="826" t="s">
        <v>2960</v>
      </c>
      <c r="B383" s="845" t="s">
        <v>2904</v>
      </c>
      <c r="C383" s="693" t="str">
        <f t="shared" si="55"/>
        <v>深圳新阳蓝光能源管理科技股份有限公司</v>
      </c>
      <c r="D383" s="889" t="s">
        <v>2958</v>
      </c>
      <c r="E383" s="894" t="s">
        <v>2960</v>
      </c>
      <c r="F383" s="894"/>
      <c r="G383" s="895"/>
      <c r="H383" s="896"/>
      <c r="I383" s="715"/>
      <c r="J383" s="837"/>
      <c r="K383" s="715"/>
      <c r="L383" s="837"/>
      <c r="M383" s="835">
        <f>L211-L382</f>
        <v>0</v>
      </c>
      <c r="N383" s="837"/>
      <c r="O383" s="829"/>
      <c r="X383" s="768" t="b">
        <f t="shared" si="28"/>
        <v>1</v>
      </c>
    </row>
    <row r="384" outlineLevel="2" spans="1:24">
      <c r="A384" s="826" t="s">
        <v>2961</v>
      </c>
      <c r="B384" s="845" t="s">
        <v>2904</v>
      </c>
      <c r="C384" s="693" t="str">
        <f t="shared" si="55"/>
        <v>深圳新阳蓝光能源管理科技股份有限公司</v>
      </c>
      <c r="D384" s="889" t="s">
        <v>2958</v>
      </c>
      <c r="E384" s="897" t="s">
        <v>2962</v>
      </c>
      <c r="F384" s="715"/>
      <c r="G384" s="837"/>
      <c r="H384" s="715"/>
      <c r="I384" s="837"/>
      <c r="J384" s="715"/>
      <c r="K384" s="837"/>
      <c r="L384" s="715"/>
      <c r="M384" s="837"/>
      <c r="N384" s="829"/>
      <c r="X384" s="768" t="b">
        <f t="shared" si="28"/>
        <v>0</v>
      </c>
    </row>
    <row r="385" outlineLevel="2" spans="1:24">
      <c r="A385" s="826" t="s">
        <v>2809</v>
      </c>
      <c r="B385" s="845" t="s">
        <v>2904</v>
      </c>
      <c r="C385" s="693" t="str">
        <f t="shared" si="55"/>
        <v>深圳新阳蓝光能源管理科技股份有限公司</v>
      </c>
      <c r="D385" s="889" t="s">
        <v>2958</v>
      </c>
      <c r="E385" s="901" t="s">
        <v>2809</v>
      </c>
      <c r="F385" s="736"/>
      <c r="G385" s="902"/>
      <c r="H385" s="736"/>
      <c r="I385" s="902"/>
      <c r="J385" s="736"/>
      <c r="K385" s="837"/>
      <c r="L385" s="715"/>
      <c r="M385" s="837"/>
      <c r="N385" s="829"/>
      <c r="X385" s="768" t="b">
        <f t="shared" si="28"/>
        <v>1</v>
      </c>
    </row>
    <row r="386" outlineLevel="2" spans="2:24">
      <c r="B386" s="845" t="s">
        <v>2904</v>
      </c>
      <c r="C386" s="693" t="str">
        <f t="shared" si="55"/>
        <v>深圳新阳蓝光能源管理科技股份有限公司</v>
      </c>
      <c r="D386" s="889" t="s">
        <v>2958</v>
      </c>
      <c r="E386" s="829"/>
      <c r="F386" s="829"/>
      <c r="G386" s="829"/>
      <c r="H386" s="829"/>
      <c r="I386" s="829"/>
      <c r="J386" s="829"/>
      <c r="K386" s="829"/>
      <c r="L386" s="715"/>
      <c r="M386" s="837"/>
      <c r="N386" s="829"/>
      <c r="X386" s="768" t="b">
        <f t="shared" si="28"/>
        <v>1</v>
      </c>
    </row>
    <row r="387" outlineLevel="2" spans="1:24">
      <c r="A387" s="826" t="s">
        <v>2963</v>
      </c>
      <c r="B387" s="845" t="s">
        <v>2904</v>
      </c>
      <c r="C387" s="693" t="str">
        <f t="shared" si="55"/>
        <v>深圳新阳蓝光能源管理科技股份有限公司</v>
      </c>
      <c r="D387" s="889" t="s">
        <v>2964</v>
      </c>
      <c r="E387" s="903" t="s">
        <v>2965</v>
      </c>
      <c r="F387" s="829"/>
      <c r="G387" s="829"/>
      <c r="H387" s="829"/>
      <c r="I387" s="919" t="s">
        <v>2966</v>
      </c>
      <c r="J387" s="919"/>
      <c r="K387" s="829"/>
      <c r="L387" s="715"/>
      <c r="M387" s="837"/>
      <c r="N387" s="829"/>
      <c r="X387" s="768" t="b">
        <f t="shared" si="28"/>
        <v>1</v>
      </c>
    </row>
    <row r="388" outlineLevel="2" spans="1:24">
      <c r="A388" s="826" t="s">
        <v>2967</v>
      </c>
      <c r="B388" s="845" t="s">
        <v>2904</v>
      </c>
      <c r="C388" s="693" t="str">
        <f t="shared" si="55"/>
        <v>深圳新阳蓝光能源管理科技股份有限公司</v>
      </c>
      <c r="D388" s="889" t="s">
        <v>2964</v>
      </c>
      <c r="E388" s="904" t="s">
        <v>2967</v>
      </c>
      <c r="F388" s="905" t="s">
        <v>2944</v>
      </c>
      <c r="G388" s="905" t="s">
        <v>2968</v>
      </c>
      <c r="H388" s="905" t="s">
        <v>2969</v>
      </c>
      <c r="I388" s="905" t="s">
        <v>2970</v>
      </c>
      <c r="J388" s="905" t="s">
        <v>2971</v>
      </c>
      <c r="K388" s="829"/>
      <c r="L388" s="715"/>
      <c r="M388" s="837"/>
      <c r="N388" s="829"/>
      <c r="X388" s="768" t="b">
        <f t="shared" si="28"/>
        <v>1</v>
      </c>
    </row>
    <row r="389" outlineLevel="2" spans="2:24">
      <c r="B389" s="845" t="s">
        <v>2904</v>
      </c>
      <c r="C389" s="693" t="str">
        <f t="shared" si="55"/>
        <v>深圳新阳蓝光能源管理科技股份有限公司</v>
      </c>
      <c r="D389" s="889" t="s">
        <v>2964</v>
      </c>
      <c r="E389" s="904"/>
      <c r="F389" s="904"/>
      <c r="G389" s="904"/>
      <c r="H389" s="904"/>
      <c r="I389" s="904"/>
      <c r="J389" s="904"/>
      <c r="K389" s="829"/>
      <c r="L389" s="715"/>
      <c r="M389" s="837"/>
      <c r="N389" s="829"/>
      <c r="X389" s="768" t="b">
        <f t="shared" si="28"/>
        <v>1</v>
      </c>
    </row>
    <row r="390" outlineLevel="2" spans="1:24">
      <c r="A390" s="826" t="s">
        <v>2972</v>
      </c>
      <c r="B390" s="845" t="s">
        <v>2904</v>
      </c>
      <c r="C390" s="693" t="str">
        <f t="shared" si="55"/>
        <v>深圳新阳蓝光能源管理科技股份有限公司</v>
      </c>
      <c r="D390" s="889" t="s">
        <v>2973</v>
      </c>
      <c r="E390" s="906" t="s">
        <v>2972</v>
      </c>
      <c r="F390" s="907"/>
      <c r="G390" s="906"/>
      <c r="H390" s="906"/>
      <c r="I390" s="93">
        <f>SUM(I391:I396)</f>
        <v>0</v>
      </c>
      <c r="J390" s="93">
        <f>SUM(J391:J396)</f>
        <v>0</v>
      </c>
      <c r="K390" s="829"/>
      <c r="L390" s="715"/>
      <c r="M390" s="837"/>
      <c r="N390" s="829"/>
      <c r="X390" s="768" t="b">
        <f t="shared" si="28"/>
        <v>1</v>
      </c>
    </row>
    <row r="391" outlineLevel="2" spans="2:24">
      <c r="B391" s="845" t="s">
        <v>2904</v>
      </c>
      <c r="C391" s="693" t="str">
        <f t="shared" si="55"/>
        <v>深圳新阳蓝光能源管理科技股份有限公司</v>
      </c>
      <c r="D391" s="889" t="s">
        <v>2973</v>
      </c>
      <c r="E391" s="908"/>
      <c r="F391" s="908"/>
      <c r="G391" s="908"/>
      <c r="H391" s="908"/>
      <c r="I391" s="908"/>
      <c r="J391" s="908"/>
      <c r="K391" s="829"/>
      <c r="L391" s="715"/>
      <c r="M391" s="837"/>
      <c r="N391" s="829"/>
      <c r="X391" s="768" t="b">
        <f t="shared" si="28"/>
        <v>1</v>
      </c>
    </row>
    <row r="392" outlineLevel="2" spans="2:24">
      <c r="B392" s="845" t="s">
        <v>2904</v>
      </c>
      <c r="C392" s="693" t="str">
        <f t="shared" si="55"/>
        <v>深圳新阳蓝光能源管理科技股份有限公司</v>
      </c>
      <c r="D392" s="889" t="s">
        <v>2973</v>
      </c>
      <c r="E392" s="908"/>
      <c r="F392" s="908"/>
      <c r="G392" s="908"/>
      <c r="H392" s="908"/>
      <c r="I392" s="908"/>
      <c r="J392" s="908"/>
      <c r="K392" s="829"/>
      <c r="L392" s="715"/>
      <c r="M392" s="837"/>
      <c r="N392" s="829"/>
      <c r="X392" s="768" t="b">
        <f t="shared" si="28"/>
        <v>1</v>
      </c>
    </row>
    <row r="393" outlineLevel="2" spans="2:24">
      <c r="B393" s="845" t="s">
        <v>2904</v>
      </c>
      <c r="C393" s="693" t="str">
        <f t="shared" si="55"/>
        <v>深圳新阳蓝光能源管理科技股份有限公司</v>
      </c>
      <c r="D393" s="889" t="s">
        <v>2973</v>
      </c>
      <c r="E393" s="908"/>
      <c r="F393" s="908"/>
      <c r="G393" s="908"/>
      <c r="H393" s="908"/>
      <c r="I393" s="908"/>
      <c r="J393" s="908"/>
      <c r="K393" s="829"/>
      <c r="L393" s="715"/>
      <c r="M393" s="837"/>
      <c r="N393" s="829"/>
      <c r="X393" s="768" t="b">
        <f t="shared" si="28"/>
        <v>1</v>
      </c>
    </row>
    <row r="394" outlineLevel="2" spans="2:24">
      <c r="B394" s="845" t="s">
        <v>2904</v>
      </c>
      <c r="C394" s="693" t="str">
        <f t="shared" si="55"/>
        <v>深圳新阳蓝光能源管理科技股份有限公司</v>
      </c>
      <c r="D394" s="889" t="s">
        <v>2973</v>
      </c>
      <c r="E394" s="908"/>
      <c r="F394" s="908"/>
      <c r="G394" s="908"/>
      <c r="H394" s="908"/>
      <c r="I394" s="908"/>
      <c r="J394" s="908"/>
      <c r="K394" s="829"/>
      <c r="L394" s="715"/>
      <c r="M394" s="837"/>
      <c r="N394" s="829"/>
      <c r="X394" s="768" t="b">
        <f t="shared" si="28"/>
        <v>1</v>
      </c>
    </row>
    <row r="395" outlineLevel="2" spans="2:24">
      <c r="B395" s="845" t="s">
        <v>2904</v>
      </c>
      <c r="C395" s="693" t="str">
        <f t="shared" si="55"/>
        <v>深圳新阳蓝光能源管理科技股份有限公司</v>
      </c>
      <c r="D395" s="889" t="s">
        <v>2973</v>
      </c>
      <c r="E395" s="908"/>
      <c r="F395" s="908"/>
      <c r="G395" s="908"/>
      <c r="H395" s="908"/>
      <c r="I395" s="908"/>
      <c r="J395" s="908"/>
      <c r="K395" s="829"/>
      <c r="L395" s="715"/>
      <c r="M395" s="837"/>
      <c r="N395" s="829"/>
      <c r="X395" s="768" t="b">
        <f t="shared" si="28"/>
        <v>1</v>
      </c>
    </row>
    <row r="396" outlineLevel="2" spans="2:24">
      <c r="B396" s="845" t="s">
        <v>2904</v>
      </c>
      <c r="C396" s="693" t="str">
        <f t="shared" si="55"/>
        <v>深圳新阳蓝光能源管理科技股份有限公司</v>
      </c>
      <c r="D396" s="889" t="s">
        <v>2973</v>
      </c>
      <c r="E396" s="908"/>
      <c r="F396" s="908"/>
      <c r="G396" s="908"/>
      <c r="H396" s="908"/>
      <c r="I396" s="908"/>
      <c r="J396" s="908"/>
      <c r="K396" s="829"/>
      <c r="L396" s="715"/>
      <c r="M396" s="837"/>
      <c r="N396" s="829"/>
      <c r="X396" s="768" t="b">
        <f t="shared" si="28"/>
        <v>1</v>
      </c>
    </row>
    <row r="397" outlineLevel="2" spans="1:24">
      <c r="A397" s="826" t="s">
        <v>2974</v>
      </c>
      <c r="B397" s="845" t="s">
        <v>2904</v>
      </c>
      <c r="C397" s="693" t="str">
        <f t="shared" si="55"/>
        <v>深圳新阳蓝光能源管理科技股份有限公司</v>
      </c>
      <c r="D397" s="889" t="s">
        <v>2973</v>
      </c>
      <c r="E397" s="906" t="s">
        <v>2974</v>
      </c>
      <c r="F397" s="907"/>
      <c r="G397" s="906"/>
      <c r="H397" s="906"/>
      <c r="I397" s="93">
        <f>SUM(I398:I403)</f>
        <v>0</v>
      </c>
      <c r="J397" s="93">
        <f>SUM(J398:J403)</f>
        <v>0</v>
      </c>
      <c r="K397" s="829"/>
      <c r="L397" s="715"/>
      <c r="M397" s="837"/>
      <c r="N397" s="829"/>
      <c r="X397" s="768" t="b">
        <f t="shared" si="28"/>
        <v>1</v>
      </c>
    </row>
    <row r="398" outlineLevel="2" spans="2:24">
      <c r="B398" s="845" t="s">
        <v>2904</v>
      </c>
      <c r="C398" s="693" t="str">
        <f t="shared" si="55"/>
        <v>深圳新阳蓝光能源管理科技股份有限公司</v>
      </c>
      <c r="D398" s="889" t="s">
        <v>2973</v>
      </c>
      <c r="E398" s="908"/>
      <c r="F398" s="908"/>
      <c r="G398" s="908"/>
      <c r="H398" s="908"/>
      <c r="I398" s="908"/>
      <c r="J398" s="908"/>
      <c r="K398" s="829"/>
      <c r="L398" s="715"/>
      <c r="M398" s="837"/>
      <c r="N398" s="829"/>
      <c r="X398" s="768" t="b">
        <f t="shared" si="28"/>
        <v>1</v>
      </c>
    </row>
    <row r="399" outlineLevel="2" spans="2:24">
      <c r="B399" s="845" t="s">
        <v>2904</v>
      </c>
      <c r="C399" s="693" t="str">
        <f t="shared" si="55"/>
        <v>深圳新阳蓝光能源管理科技股份有限公司</v>
      </c>
      <c r="D399" s="889" t="s">
        <v>2973</v>
      </c>
      <c r="E399" s="908"/>
      <c r="F399" s="908"/>
      <c r="G399" s="908"/>
      <c r="H399" s="908"/>
      <c r="I399" s="908"/>
      <c r="J399" s="908"/>
      <c r="K399" s="829"/>
      <c r="L399" s="715"/>
      <c r="M399" s="837"/>
      <c r="N399" s="829"/>
      <c r="X399" s="768" t="b">
        <f t="shared" si="28"/>
        <v>1</v>
      </c>
    </row>
    <row r="400" outlineLevel="2" spans="2:24">
      <c r="B400" s="845" t="s">
        <v>2904</v>
      </c>
      <c r="C400" s="693" t="str">
        <f t="shared" si="55"/>
        <v>深圳新阳蓝光能源管理科技股份有限公司</v>
      </c>
      <c r="D400" s="889" t="s">
        <v>2973</v>
      </c>
      <c r="E400" s="908"/>
      <c r="F400" s="908"/>
      <c r="G400" s="908"/>
      <c r="H400" s="908"/>
      <c r="I400" s="908"/>
      <c r="J400" s="908"/>
      <c r="K400" s="829"/>
      <c r="L400" s="715"/>
      <c r="M400" s="837"/>
      <c r="N400" s="829"/>
      <c r="X400" s="768" t="b">
        <f t="shared" si="28"/>
        <v>1</v>
      </c>
    </row>
    <row r="401" outlineLevel="2" spans="2:24">
      <c r="B401" s="845" t="s">
        <v>2904</v>
      </c>
      <c r="C401" s="693" t="str">
        <f t="shared" si="55"/>
        <v>深圳新阳蓝光能源管理科技股份有限公司</v>
      </c>
      <c r="D401" s="889" t="s">
        <v>2973</v>
      </c>
      <c r="E401" s="908"/>
      <c r="F401" s="908"/>
      <c r="G401" s="908"/>
      <c r="H401" s="908"/>
      <c r="I401" s="908"/>
      <c r="J401" s="908"/>
      <c r="K401" s="829"/>
      <c r="L401" s="715"/>
      <c r="M401" s="837"/>
      <c r="N401" s="829"/>
      <c r="X401" s="768" t="b">
        <f t="shared" si="28"/>
        <v>1</v>
      </c>
    </row>
    <row r="402" outlineLevel="2" spans="2:24">
      <c r="B402" s="845" t="s">
        <v>2904</v>
      </c>
      <c r="C402" s="693" t="str">
        <f t="shared" si="55"/>
        <v>深圳新阳蓝光能源管理科技股份有限公司</v>
      </c>
      <c r="D402" s="889" t="s">
        <v>2973</v>
      </c>
      <c r="E402" s="908"/>
      <c r="F402" s="908"/>
      <c r="G402" s="908"/>
      <c r="H402" s="908"/>
      <c r="I402" s="908"/>
      <c r="J402" s="908"/>
      <c r="K402" s="829"/>
      <c r="L402" s="715"/>
      <c r="M402" s="837"/>
      <c r="N402" s="829"/>
      <c r="X402" s="768" t="b">
        <f t="shared" si="28"/>
        <v>1</v>
      </c>
    </row>
    <row r="403" outlineLevel="2" spans="2:24">
      <c r="B403" s="845" t="s">
        <v>2904</v>
      </c>
      <c r="C403" s="693" t="str">
        <f t="shared" si="55"/>
        <v>深圳新阳蓝光能源管理科技股份有限公司</v>
      </c>
      <c r="D403" s="889" t="s">
        <v>2973</v>
      </c>
      <c r="E403" s="908"/>
      <c r="F403" s="908"/>
      <c r="G403" s="908"/>
      <c r="H403" s="908"/>
      <c r="I403" s="908"/>
      <c r="J403" s="908"/>
      <c r="K403" s="829"/>
      <c r="L403" s="715"/>
      <c r="M403" s="837"/>
      <c r="N403" s="829"/>
      <c r="X403" s="768" t="b">
        <f t="shared" si="28"/>
        <v>1</v>
      </c>
    </row>
    <row r="404" outlineLevel="2" spans="1:24">
      <c r="A404" s="826" t="s">
        <v>2975</v>
      </c>
      <c r="B404" s="845" t="s">
        <v>2904</v>
      </c>
      <c r="C404" s="693" t="str">
        <f t="shared" si="55"/>
        <v>深圳新阳蓝光能源管理科技股份有限公司</v>
      </c>
      <c r="D404" s="889" t="s">
        <v>2973</v>
      </c>
      <c r="E404" s="906" t="s">
        <v>2975</v>
      </c>
      <c r="F404" s="909">
        <f>SUM(F405:F409)</f>
        <v>0</v>
      </c>
      <c r="G404" s="906"/>
      <c r="H404" s="906"/>
      <c r="I404" s="93">
        <f>SUM(I405:I409)</f>
        <v>0</v>
      </c>
      <c r="J404" s="93">
        <f>SUM(J405:J409)</f>
        <v>0</v>
      </c>
      <c r="K404" s="829"/>
      <c r="L404" s="715"/>
      <c r="M404" s="837"/>
      <c r="N404" s="829"/>
      <c r="X404" s="768" t="b">
        <f t="shared" si="28"/>
        <v>1</v>
      </c>
    </row>
    <row r="405" outlineLevel="2" spans="2:24">
      <c r="B405" s="845" t="s">
        <v>2904</v>
      </c>
      <c r="C405" s="693" t="str">
        <f t="shared" si="55"/>
        <v>深圳新阳蓝光能源管理科技股份有限公司</v>
      </c>
      <c r="D405" s="889" t="s">
        <v>2973</v>
      </c>
      <c r="E405" s="908"/>
      <c r="F405" s="908"/>
      <c r="G405" s="908"/>
      <c r="H405" s="908"/>
      <c r="I405" s="908"/>
      <c r="J405" s="908"/>
      <c r="K405" s="829"/>
      <c r="L405" s="715"/>
      <c r="M405" s="837"/>
      <c r="N405" s="829"/>
      <c r="X405" s="768" t="b">
        <f t="shared" si="28"/>
        <v>1</v>
      </c>
    </row>
    <row r="406" outlineLevel="2" spans="2:24">
      <c r="B406" s="845" t="s">
        <v>2904</v>
      </c>
      <c r="C406" s="693" t="str">
        <f t="shared" si="55"/>
        <v>深圳新阳蓝光能源管理科技股份有限公司</v>
      </c>
      <c r="D406" s="889" t="s">
        <v>2973</v>
      </c>
      <c r="E406" s="908"/>
      <c r="F406" s="908"/>
      <c r="G406" s="908"/>
      <c r="H406" s="908"/>
      <c r="I406" s="908"/>
      <c r="J406" s="908"/>
      <c r="K406" s="829"/>
      <c r="L406" s="715"/>
      <c r="M406" s="837"/>
      <c r="N406" s="829"/>
      <c r="X406" s="768" t="b">
        <f t="shared" si="28"/>
        <v>1</v>
      </c>
    </row>
    <row r="407" outlineLevel="2" spans="2:24">
      <c r="B407" s="845" t="s">
        <v>2904</v>
      </c>
      <c r="C407" s="693" t="str">
        <f t="shared" si="55"/>
        <v>深圳新阳蓝光能源管理科技股份有限公司</v>
      </c>
      <c r="D407" s="889" t="s">
        <v>2973</v>
      </c>
      <c r="E407" s="908"/>
      <c r="F407" s="908"/>
      <c r="G407" s="908"/>
      <c r="H407" s="908"/>
      <c r="I407" s="908"/>
      <c r="J407" s="908"/>
      <c r="K407" s="829"/>
      <c r="L407" s="715"/>
      <c r="M407" s="837"/>
      <c r="N407" s="829"/>
      <c r="X407" s="768" t="b">
        <f t="shared" si="28"/>
        <v>1</v>
      </c>
    </row>
    <row r="408" outlineLevel="2" spans="2:24">
      <c r="B408" s="845" t="s">
        <v>2904</v>
      </c>
      <c r="C408" s="693" t="str">
        <f t="shared" si="55"/>
        <v>深圳新阳蓝光能源管理科技股份有限公司</v>
      </c>
      <c r="D408" s="889" t="s">
        <v>2973</v>
      </c>
      <c r="E408" s="908"/>
      <c r="F408" s="908"/>
      <c r="G408" s="908"/>
      <c r="H408" s="908"/>
      <c r="I408" s="908"/>
      <c r="J408" s="908"/>
      <c r="K408" s="829"/>
      <c r="L408" s="715"/>
      <c r="M408" s="837"/>
      <c r="N408" s="829"/>
      <c r="X408" s="768" t="b">
        <f t="shared" si="28"/>
        <v>1</v>
      </c>
    </row>
    <row r="409" outlineLevel="2" spans="2:24">
      <c r="B409" s="845" t="s">
        <v>2904</v>
      </c>
      <c r="C409" s="693" t="str">
        <f t="shared" si="55"/>
        <v>深圳新阳蓝光能源管理科技股份有限公司</v>
      </c>
      <c r="D409" s="889" t="s">
        <v>2973</v>
      </c>
      <c r="E409" s="908"/>
      <c r="F409" s="908"/>
      <c r="G409" s="908" t="s">
        <v>2976</v>
      </c>
      <c r="H409" s="908"/>
      <c r="I409" s="908"/>
      <c r="J409" s="908"/>
      <c r="K409" s="829"/>
      <c r="L409" s="715"/>
      <c r="M409" s="837"/>
      <c r="N409" s="829"/>
      <c r="X409" s="768" t="b">
        <f t="shared" si="28"/>
        <v>1</v>
      </c>
    </row>
    <row r="410" ht="56.25" outlineLevel="2" spans="2:24">
      <c r="B410" s="845" t="s">
        <v>2904</v>
      </c>
      <c r="C410" s="693" t="str">
        <f t="shared" si="55"/>
        <v>深圳新阳蓝光能源管理科技股份有限公司</v>
      </c>
      <c r="D410" s="889" t="s">
        <v>2973</v>
      </c>
      <c r="E410" s="910" t="s">
        <v>2977</v>
      </c>
      <c r="F410" s="911"/>
      <c r="G410" s="911"/>
      <c r="H410" s="911"/>
      <c r="I410" s="829"/>
      <c r="J410" s="829"/>
      <c r="K410" s="829"/>
      <c r="L410" s="715"/>
      <c r="M410" s="837"/>
      <c r="N410" s="829"/>
      <c r="X410" s="768" t="b">
        <f t="shared" si="28"/>
        <v>0</v>
      </c>
    </row>
    <row r="411" outlineLevel="2" spans="2:24">
      <c r="B411" s="845" t="s">
        <v>2904</v>
      </c>
      <c r="C411" s="693" t="str">
        <f t="shared" si="55"/>
        <v>深圳新阳蓝光能源管理科技股份有限公司</v>
      </c>
      <c r="D411" s="889" t="s">
        <v>2973</v>
      </c>
      <c r="E411" s="829"/>
      <c r="F411" s="829"/>
      <c r="G411" s="829"/>
      <c r="H411" s="829"/>
      <c r="I411" s="829"/>
      <c r="J411" s="829"/>
      <c r="K411" s="829"/>
      <c r="L411" s="715"/>
      <c r="M411" s="837"/>
      <c r="N411" s="829"/>
      <c r="X411" s="768" t="b">
        <f t="shared" si="28"/>
        <v>1</v>
      </c>
    </row>
    <row r="412" outlineLevel="2" spans="1:24">
      <c r="A412" s="826" t="s">
        <v>2978</v>
      </c>
      <c r="B412" s="845" t="s">
        <v>2904</v>
      </c>
      <c r="C412" s="693" t="str">
        <f t="shared" si="55"/>
        <v>深圳新阳蓝光能源管理科技股份有限公司</v>
      </c>
      <c r="D412" s="889" t="s">
        <v>2979</v>
      </c>
      <c r="E412" s="903" t="s">
        <v>2980</v>
      </c>
      <c r="F412" s="829"/>
      <c r="G412" s="829"/>
      <c r="H412" s="829"/>
      <c r="J412" s="919" t="s">
        <v>2966</v>
      </c>
      <c r="K412" s="829"/>
      <c r="L412" s="715"/>
      <c r="M412" s="837"/>
      <c r="N412" s="829"/>
      <c r="X412" s="768" t="b">
        <f t="shared" si="28"/>
        <v>1</v>
      </c>
    </row>
    <row r="413" outlineLevel="2" spans="1:24">
      <c r="A413" s="826" t="s">
        <v>2981</v>
      </c>
      <c r="B413" s="845" t="s">
        <v>2904</v>
      </c>
      <c r="C413" s="693" t="str">
        <f t="shared" si="55"/>
        <v>深圳新阳蓝光能源管理科技股份有限公司</v>
      </c>
      <c r="D413" s="889" t="s">
        <v>2979</v>
      </c>
      <c r="E413" s="906" t="s">
        <v>2981</v>
      </c>
      <c r="F413" s="906" t="s">
        <v>366</v>
      </c>
      <c r="G413" s="906" t="s">
        <v>2982</v>
      </c>
      <c r="H413" s="906" t="s">
        <v>2983</v>
      </c>
      <c r="I413" s="906" t="s">
        <v>2984</v>
      </c>
      <c r="J413" s="900"/>
      <c r="K413" s="829"/>
      <c r="L413" s="715"/>
      <c r="M413" s="837"/>
      <c r="N413" s="829"/>
      <c r="X413" s="768" t="b">
        <f t="shared" si="28"/>
        <v>1</v>
      </c>
    </row>
    <row r="414" outlineLevel="2" spans="2:24">
      <c r="B414" s="845" t="s">
        <v>2904</v>
      </c>
      <c r="C414" s="693" t="str">
        <f t="shared" si="55"/>
        <v>深圳新阳蓝光能源管理科技股份有限公司</v>
      </c>
      <c r="D414" s="889" t="s">
        <v>2985</v>
      </c>
      <c r="E414" s="908"/>
      <c r="F414" s="908"/>
      <c r="G414" s="908"/>
      <c r="H414" s="908"/>
      <c r="I414" s="908"/>
      <c r="J414" s="829"/>
      <c r="K414" s="829"/>
      <c r="L414" s="715"/>
      <c r="M414" s="837"/>
      <c r="N414" s="829"/>
      <c r="X414" s="768" t="b">
        <f t="shared" si="28"/>
        <v>1</v>
      </c>
    </row>
    <row r="415" outlineLevel="2" spans="2:24">
      <c r="B415" s="845" t="s">
        <v>2904</v>
      </c>
      <c r="C415" s="693" t="str">
        <f t="shared" si="55"/>
        <v>深圳新阳蓝光能源管理科技股份有限公司</v>
      </c>
      <c r="D415" s="889" t="s">
        <v>2985</v>
      </c>
      <c r="E415" s="908"/>
      <c r="F415" s="908"/>
      <c r="G415" s="908"/>
      <c r="H415" s="908"/>
      <c r="I415" s="908"/>
      <c r="J415" s="829"/>
      <c r="K415" s="829"/>
      <c r="L415" s="715"/>
      <c r="M415" s="837"/>
      <c r="N415" s="829"/>
      <c r="X415" s="768" t="b">
        <f t="shared" si="28"/>
        <v>1</v>
      </c>
    </row>
    <row r="416" outlineLevel="2" spans="2:24">
      <c r="B416" s="845" t="s">
        <v>2904</v>
      </c>
      <c r="C416" s="693" t="str">
        <f t="shared" si="55"/>
        <v>深圳新阳蓝光能源管理科技股份有限公司</v>
      </c>
      <c r="D416" s="889" t="s">
        <v>2985</v>
      </c>
      <c r="E416" s="908"/>
      <c r="F416" s="908"/>
      <c r="G416" s="908"/>
      <c r="H416" s="908"/>
      <c r="I416" s="908"/>
      <c r="J416" s="829"/>
      <c r="K416" s="829"/>
      <c r="L416" s="715"/>
      <c r="M416" s="837"/>
      <c r="N416" s="829"/>
      <c r="X416" s="768" t="b">
        <f t="shared" si="28"/>
        <v>1</v>
      </c>
    </row>
    <row r="417" outlineLevel="2" spans="2:24">
      <c r="B417" s="845" t="s">
        <v>2904</v>
      </c>
      <c r="C417" s="693" t="str">
        <f t="shared" si="55"/>
        <v>深圳新阳蓝光能源管理科技股份有限公司</v>
      </c>
      <c r="D417" s="889" t="s">
        <v>2985</v>
      </c>
      <c r="E417" s="908"/>
      <c r="F417" s="908"/>
      <c r="G417" s="908"/>
      <c r="H417" s="908"/>
      <c r="I417" s="908"/>
      <c r="J417" s="829"/>
      <c r="K417" s="829"/>
      <c r="L417" s="715"/>
      <c r="M417" s="837"/>
      <c r="N417" s="829"/>
      <c r="X417" s="768" t="b">
        <f t="shared" si="28"/>
        <v>1</v>
      </c>
    </row>
    <row r="418" outlineLevel="2" spans="2:24">
      <c r="B418" s="845" t="s">
        <v>2904</v>
      </c>
      <c r="C418" s="693" t="str">
        <f t="shared" si="55"/>
        <v>深圳新阳蓝光能源管理科技股份有限公司</v>
      </c>
      <c r="D418" s="889" t="s">
        <v>2985</v>
      </c>
      <c r="E418" s="908"/>
      <c r="F418" s="908"/>
      <c r="G418" s="908"/>
      <c r="H418" s="908"/>
      <c r="I418" s="908"/>
      <c r="J418" s="829"/>
      <c r="K418" s="829"/>
      <c r="L418" s="715"/>
      <c r="M418" s="837"/>
      <c r="N418" s="829"/>
      <c r="X418" s="768" t="b">
        <f t="shared" si="28"/>
        <v>1</v>
      </c>
    </row>
    <row r="419" outlineLevel="2" spans="2:24">
      <c r="B419" s="845" t="s">
        <v>2904</v>
      </c>
      <c r="C419" s="693" t="str">
        <f t="shared" si="55"/>
        <v>深圳新阳蓝光能源管理科技股份有限公司</v>
      </c>
      <c r="D419" s="889" t="s">
        <v>2985</v>
      </c>
      <c r="E419" s="908"/>
      <c r="F419" s="908"/>
      <c r="G419" s="908"/>
      <c r="H419" s="908"/>
      <c r="I419" s="908"/>
      <c r="J419" s="829"/>
      <c r="K419" s="829"/>
      <c r="L419" s="715"/>
      <c r="M419" s="837"/>
      <c r="N419" s="829"/>
      <c r="X419" s="768" t="b">
        <f t="shared" si="28"/>
        <v>1</v>
      </c>
    </row>
    <row r="420" outlineLevel="2" spans="2:24">
      <c r="B420" s="845" t="s">
        <v>2904</v>
      </c>
      <c r="C420" s="693" t="str">
        <f t="shared" si="55"/>
        <v>深圳新阳蓝光能源管理科技股份有限公司</v>
      </c>
      <c r="D420" s="889" t="s">
        <v>2985</v>
      </c>
      <c r="E420" s="908"/>
      <c r="F420" s="908"/>
      <c r="G420" s="908"/>
      <c r="H420" s="908"/>
      <c r="I420" s="908"/>
      <c r="J420" s="829"/>
      <c r="K420" s="829"/>
      <c r="L420" s="715"/>
      <c r="M420" s="837"/>
      <c r="N420" s="829"/>
      <c r="X420" s="768" t="b">
        <f t="shared" si="28"/>
        <v>1</v>
      </c>
    </row>
    <row r="421" outlineLevel="2" spans="2:24">
      <c r="B421" s="845" t="s">
        <v>2904</v>
      </c>
      <c r="C421" s="693" t="str">
        <f t="shared" ref="C421:C484" si="56">$G$1</f>
        <v>深圳新阳蓝光能源管理科技股份有限公司</v>
      </c>
      <c r="D421" s="889" t="s">
        <v>2985</v>
      </c>
      <c r="E421" s="908"/>
      <c r="F421" s="908"/>
      <c r="G421" s="908"/>
      <c r="H421" s="908"/>
      <c r="I421" s="908"/>
      <c r="J421" s="829"/>
      <c r="K421" s="829"/>
      <c r="L421" s="715"/>
      <c r="M421" s="837"/>
      <c r="N421" s="829"/>
      <c r="X421" s="768" t="b">
        <f t="shared" si="28"/>
        <v>1</v>
      </c>
    </row>
    <row r="422" outlineLevel="2" spans="2:24">
      <c r="B422" s="845" t="s">
        <v>2904</v>
      </c>
      <c r="C422" s="693" t="str">
        <f t="shared" si="56"/>
        <v>深圳新阳蓝光能源管理科技股份有限公司</v>
      </c>
      <c r="D422" s="889" t="s">
        <v>2985</v>
      </c>
      <c r="E422" s="908"/>
      <c r="F422" s="908"/>
      <c r="G422" s="908"/>
      <c r="H422" s="908"/>
      <c r="I422" s="908"/>
      <c r="J422" s="829"/>
      <c r="K422" s="829"/>
      <c r="L422" s="715"/>
      <c r="M422" s="837"/>
      <c r="N422" s="829"/>
      <c r="X422" s="768" t="b">
        <f t="shared" si="28"/>
        <v>1</v>
      </c>
    </row>
    <row r="423" outlineLevel="2" spans="2:24">
      <c r="B423" s="845" t="s">
        <v>2904</v>
      </c>
      <c r="C423" s="693" t="str">
        <f t="shared" si="56"/>
        <v>深圳新阳蓝光能源管理科技股份有限公司</v>
      </c>
      <c r="D423" s="889" t="s">
        <v>2985</v>
      </c>
      <c r="E423" s="908"/>
      <c r="F423" s="908"/>
      <c r="G423" s="908"/>
      <c r="H423" s="908"/>
      <c r="I423" s="908"/>
      <c r="J423" s="829"/>
      <c r="K423" s="829"/>
      <c r="L423" s="715"/>
      <c r="M423" s="837"/>
      <c r="N423" s="829"/>
      <c r="X423" s="768" t="b">
        <f t="shared" si="28"/>
        <v>1</v>
      </c>
    </row>
    <row r="424" outlineLevel="2" spans="2:24">
      <c r="B424" s="845" t="s">
        <v>2904</v>
      </c>
      <c r="C424" s="693" t="str">
        <f t="shared" si="56"/>
        <v>深圳新阳蓝光能源管理科技股份有限公司</v>
      </c>
      <c r="D424" s="889" t="s">
        <v>2985</v>
      </c>
      <c r="E424" s="908"/>
      <c r="F424" s="908"/>
      <c r="G424" s="908"/>
      <c r="H424" s="908"/>
      <c r="I424" s="908"/>
      <c r="J424" s="829"/>
      <c r="K424" s="829"/>
      <c r="L424" s="715"/>
      <c r="M424" s="837"/>
      <c r="N424" s="829"/>
      <c r="X424" s="768" t="b">
        <f t="shared" si="28"/>
        <v>1</v>
      </c>
    </row>
    <row r="425" outlineLevel="2" spans="2:24">
      <c r="B425" s="845" t="s">
        <v>2904</v>
      </c>
      <c r="C425" s="693" t="str">
        <f t="shared" si="56"/>
        <v>深圳新阳蓝光能源管理科技股份有限公司</v>
      </c>
      <c r="D425" s="889" t="s">
        <v>2985</v>
      </c>
      <c r="E425" s="908"/>
      <c r="F425" s="908"/>
      <c r="G425" s="908"/>
      <c r="H425" s="908"/>
      <c r="I425" s="908"/>
      <c r="J425" s="917"/>
      <c r="K425" s="829"/>
      <c r="L425" s="715"/>
      <c r="M425" s="837"/>
      <c r="N425" s="829"/>
      <c r="X425" s="768" t="b">
        <f t="shared" si="28"/>
        <v>1</v>
      </c>
    </row>
    <row r="426" outlineLevel="2" spans="2:24">
      <c r="B426" s="845" t="s">
        <v>2904</v>
      </c>
      <c r="C426" s="693" t="str">
        <f t="shared" si="56"/>
        <v>深圳新阳蓝光能源管理科技股份有限公司</v>
      </c>
      <c r="D426" s="889" t="s">
        <v>2985</v>
      </c>
      <c r="E426" s="908"/>
      <c r="F426" s="908"/>
      <c r="G426" s="908"/>
      <c r="H426" s="908"/>
      <c r="I426" s="908"/>
      <c r="J426" s="829"/>
      <c r="K426" s="829"/>
      <c r="L426" s="715"/>
      <c r="M426" s="837"/>
      <c r="N426" s="829"/>
      <c r="X426" s="768" t="b">
        <f t="shared" si="28"/>
        <v>1</v>
      </c>
    </row>
    <row r="427" outlineLevel="2" spans="2:24">
      <c r="B427" s="845" t="s">
        <v>2904</v>
      </c>
      <c r="C427" s="693" t="str">
        <f t="shared" si="56"/>
        <v>深圳新阳蓝光能源管理科技股份有限公司</v>
      </c>
      <c r="D427" s="889" t="s">
        <v>2985</v>
      </c>
      <c r="E427" s="908"/>
      <c r="F427" s="908"/>
      <c r="G427" s="908"/>
      <c r="H427" s="908"/>
      <c r="I427" s="908"/>
      <c r="J427" s="829"/>
      <c r="K427" s="829"/>
      <c r="L427" s="715"/>
      <c r="M427" s="837"/>
      <c r="N427" s="829"/>
      <c r="X427" s="768" t="b">
        <f t="shared" si="28"/>
        <v>1</v>
      </c>
    </row>
    <row r="428" outlineLevel="2" spans="2:24">
      <c r="B428" s="845" t="s">
        <v>2904</v>
      </c>
      <c r="C428" s="693" t="str">
        <f t="shared" si="56"/>
        <v>深圳新阳蓝光能源管理科技股份有限公司</v>
      </c>
      <c r="D428" s="889" t="s">
        <v>2985</v>
      </c>
      <c r="E428" s="908"/>
      <c r="F428" s="908"/>
      <c r="G428" s="908"/>
      <c r="H428" s="908"/>
      <c r="I428" s="908"/>
      <c r="J428" s="829"/>
      <c r="K428" s="829"/>
      <c r="L428" s="715"/>
      <c r="M428" s="837"/>
      <c r="N428" s="829"/>
      <c r="X428" s="768" t="b">
        <f t="shared" si="28"/>
        <v>1</v>
      </c>
    </row>
    <row r="429" outlineLevel="2" spans="2:24">
      <c r="B429" s="845" t="s">
        <v>2904</v>
      </c>
      <c r="C429" s="693" t="str">
        <f t="shared" si="56"/>
        <v>深圳新阳蓝光能源管理科技股份有限公司</v>
      </c>
      <c r="D429" s="889" t="s">
        <v>2985</v>
      </c>
      <c r="E429" s="908"/>
      <c r="F429" s="908"/>
      <c r="G429" s="908"/>
      <c r="H429" s="908"/>
      <c r="I429" s="908"/>
      <c r="J429" s="829"/>
      <c r="K429" s="917"/>
      <c r="L429" s="715"/>
      <c r="M429" s="837"/>
      <c r="N429" s="829"/>
      <c r="X429" s="768" t="b">
        <f t="shared" si="28"/>
        <v>1</v>
      </c>
    </row>
    <row r="430" outlineLevel="2" spans="1:24">
      <c r="A430" s="826" t="s">
        <v>2986</v>
      </c>
      <c r="B430" s="845" t="s">
        <v>2904</v>
      </c>
      <c r="C430" s="693" t="str">
        <f t="shared" si="56"/>
        <v>深圳新阳蓝光能源管理科技股份有限公司</v>
      </c>
      <c r="D430" s="889" t="s">
        <v>2985</v>
      </c>
      <c r="E430" s="906" t="s">
        <v>2987</v>
      </c>
      <c r="F430" s="139">
        <f>SUM(F414:F429)</f>
        <v>0</v>
      </c>
      <c r="G430" s="912"/>
      <c r="H430" s="906"/>
      <c r="I430" s="906"/>
      <c r="J430" s="829"/>
      <c r="K430" s="829"/>
      <c r="L430" s="715"/>
      <c r="M430" s="837"/>
      <c r="N430" s="829"/>
      <c r="X430" s="768" t="b">
        <f t="shared" si="28"/>
        <v>1</v>
      </c>
    </row>
    <row r="431" outlineLevel="2" spans="2:24">
      <c r="B431" s="845" t="s">
        <v>2904</v>
      </c>
      <c r="C431" s="693" t="str">
        <f t="shared" si="56"/>
        <v>深圳新阳蓝光能源管理科技股份有限公司</v>
      </c>
      <c r="D431" s="889" t="s">
        <v>2985</v>
      </c>
      <c r="E431" s="913"/>
      <c r="F431" s="829"/>
      <c r="G431" s="829"/>
      <c r="H431" s="829"/>
      <c r="I431" s="829"/>
      <c r="J431" s="829"/>
      <c r="K431" s="829"/>
      <c r="L431" s="715"/>
      <c r="M431" s="837"/>
      <c r="N431" s="829"/>
      <c r="X431" s="768" t="b">
        <f t="shared" si="28"/>
        <v>1</v>
      </c>
    </row>
    <row r="432" outlineLevel="2" spans="1:24">
      <c r="A432" s="826" t="s">
        <v>2988</v>
      </c>
      <c r="B432" s="845" t="s">
        <v>2904</v>
      </c>
      <c r="C432" s="693" t="str">
        <f t="shared" si="56"/>
        <v>深圳新阳蓝光能源管理科技股份有限公司</v>
      </c>
      <c r="D432" s="889" t="s">
        <v>2989</v>
      </c>
      <c r="E432" s="897" t="s">
        <v>2990</v>
      </c>
      <c r="F432" s="829"/>
      <c r="G432" s="829"/>
      <c r="H432" s="829"/>
      <c r="I432" s="829"/>
      <c r="J432" s="829"/>
      <c r="K432" s="829"/>
      <c r="L432" s="715"/>
      <c r="M432" s="837"/>
      <c r="N432" s="829"/>
      <c r="X432" s="768" t="b">
        <f t="shared" si="28"/>
        <v>0</v>
      </c>
    </row>
    <row r="433" outlineLevel="2" spans="2:24">
      <c r="B433" s="692" t="s">
        <v>2904</v>
      </c>
      <c r="C433" s="693" t="str">
        <f t="shared" si="56"/>
        <v>深圳新阳蓝光能源管理科技股份有限公司</v>
      </c>
      <c r="D433" s="914" t="s">
        <v>2989</v>
      </c>
      <c r="E433" s="153"/>
      <c r="F433" s="829"/>
      <c r="G433" s="829"/>
      <c r="H433" s="829"/>
      <c r="I433" s="829"/>
      <c r="J433" s="919" t="s">
        <v>2966</v>
      </c>
      <c r="K433" s="917" t="s">
        <v>2913</v>
      </c>
      <c r="L433" s="715"/>
      <c r="M433" s="837"/>
      <c r="N433" s="829"/>
      <c r="X433" s="768" t="b">
        <f t="shared" si="28"/>
        <v>1</v>
      </c>
    </row>
    <row r="434" outlineLevel="2" spans="1:24">
      <c r="A434" s="826" t="s">
        <v>2473</v>
      </c>
      <c r="B434" s="692" t="s">
        <v>2904</v>
      </c>
      <c r="C434" s="693" t="str">
        <f t="shared" si="56"/>
        <v>深圳新阳蓝光能源管理科技股份有限公司</v>
      </c>
      <c r="D434" s="914" t="s">
        <v>2991</v>
      </c>
      <c r="E434" s="830" t="s">
        <v>2473</v>
      </c>
      <c r="F434" s="830" t="s">
        <v>2992</v>
      </c>
      <c r="G434" s="830" t="s">
        <v>366</v>
      </c>
      <c r="H434" s="830" t="s">
        <v>2993</v>
      </c>
      <c r="I434" s="831" t="s">
        <v>2994</v>
      </c>
      <c r="J434" s="920" t="s">
        <v>496</v>
      </c>
      <c r="K434" s="868" t="s">
        <v>2995</v>
      </c>
      <c r="L434" s="829"/>
      <c r="M434" s="715"/>
      <c r="N434" s="837"/>
      <c r="O434" s="829"/>
      <c r="X434" s="768" t="b">
        <f t="shared" si="28"/>
        <v>1</v>
      </c>
    </row>
    <row r="435" outlineLevel="2" spans="2:24">
      <c r="B435" s="692" t="s">
        <v>2904</v>
      </c>
      <c r="C435" s="693" t="str">
        <f t="shared" si="56"/>
        <v>深圳新阳蓝光能源管理科技股份有限公司</v>
      </c>
      <c r="D435" s="914" t="s">
        <v>2991</v>
      </c>
      <c r="E435" s="915" t="s">
        <v>2996</v>
      </c>
      <c r="F435" s="916" t="s">
        <v>2997</v>
      </c>
      <c r="G435" s="815">
        <v>4712153.05</v>
      </c>
      <c r="H435" s="915" t="s">
        <v>2998</v>
      </c>
      <c r="I435" s="921">
        <f>IF($F$205=0,0,ROUND(G435/$F$205,4))+K435</f>
        <v>0.1868</v>
      </c>
      <c r="J435" s="915" t="s">
        <v>2999</v>
      </c>
      <c r="K435" s="869"/>
      <c r="L435" s="829"/>
      <c r="M435" s="715"/>
      <c r="N435" s="837"/>
      <c r="O435" s="829"/>
      <c r="X435" s="768" t="b">
        <f t="shared" si="28"/>
        <v>0</v>
      </c>
    </row>
    <row r="436" outlineLevel="2" spans="2:24">
      <c r="B436" s="692" t="s">
        <v>2904</v>
      </c>
      <c r="C436" s="693" t="str">
        <f t="shared" si="56"/>
        <v>深圳新阳蓝光能源管理科技股份有限公司</v>
      </c>
      <c r="D436" s="914" t="s">
        <v>2991</v>
      </c>
      <c r="E436" s="915" t="s">
        <v>3000</v>
      </c>
      <c r="F436" s="915" t="s">
        <v>2997</v>
      </c>
      <c r="G436" s="815">
        <v>2231474</v>
      </c>
      <c r="H436" s="915" t="s">
        <v>3001</v>
      </c>
      <c r="I436" s="921">
        <f t="shared" ref="I436:I439" si="57">IF($F$205=0,0,ROUND(G436/$F$205,4))+K436</f>
        <v>0.0885</v>
      </c>
      <c r="J436" s="915" t="s">
        <v>2999</v>
      </c>
      <c r="K436" s="869"/>
      <c r="L436" s="829"/>
      <c r="M436" s="715"/>
      <c r="N436" s="837"/>
      <c r="O436" s="829"/>
      <c r="X436" s="768" t="b">
        <f t="shared" si="28"/>
        <v>0</v>
      </c>
    </row>
    <row r="437" outlineLevel="2" spans="2:24">
      <c r="B437" s="692" t="s">
        <v>2904</v>
      </c>
      <c r="C437" s="693" t="str">
        <f t="shared" si="56"/>
        <v>深圳新阳蓝光能源管理科技股份有限公司</v>
      </c>
      <c r="D437" s="914" t="s">
        <v>2991</v>
      </c>
      <c r="E437" s="915" t="s">
        <v>1553</v>
      </c>
      <c r="F437" s="915" t="s">
        <v>2997</v>
      </c>
      <c r="G437" s="815">
        <v>2156879.68</v>
      </c>
      <c r="H437" s="915" t="s">
        <v>3002</v>
      </c>
      <c r="I437" s="921">
        <f t="shared" si="57"/>
        <v>0.0855</v>
      </c>
      <c r="J437" s="915" t="s">
        <v>2999</v>
      </c>
      <c r="K437" s="869"/>
      <c r="L437" s="829"/>
      <c r="M437" s="715"/>
      <c r="N437" s="837"/>
      <c r="O437" s="829"/>
      <c r="X437" s="768" t="b">
        <f t="shared" si="28"/>
        <v>0</v>
      </c>
    </row>
    <row r="438" outlineLevel="2" spans="2:24">
      <c r="B438" s="692" t="s">
        <v>2904</v>
      </c>
      <c r="C438" s="693" t="str">
        <f t="shared" si="56"/>
        <v>深圳新阳蓝光能源管理科技股份有限公司</v>
      </c>
      <c r="D438" s="914" t="s">
        <v>2991</v>
      </c>
      <c r="E438" s="915" t="s">
        <v>3003</v>
      </c>
      <c r="F438" s="915" t="s">
        <v>2997</v>
      </c>
      <c r="G438" s="815">
        <v>2154646.6</v>
      </c>
      <c r="H438" s="915" t="s">
        <v>3004</v>
      </c>
      <c r="I438" s="921">
        <f t="shared" si="57"/>
        <v>0.0854</v>
      </c>
      <c r="J438" s="915" t="s">
        <v>2999</v>
      </c>
      <c r="K438" s="869"/>
      <c r="L438" s="829"/>
      <c r="M438" s="715"/>
      <c r="N438" s="837"/>
      <c r="O438" s="829"/>
      <c r="X438" s="768" t="b">
        <f t="shared" si="28"/>
        <v>0</v>
      </c>
    </row>
    <row r="439" outlineLevel="2" spans="2:24">
      <c r="B439" s="692" t="s">
        <v>2904</v>
      </c>
      <c r="C439" s="693" t="str">
        <f t="shared" si="56"/>
        <v>深圳新阳蓝光能源管理科技股份有限公司</v>
      </c>
      <c r="D439" s="914" t="s">
        <v>2991</v>
      </c>
      <c r="E439" s="915" t="s">
        <v>3005</v>
      </c>
      <c r="F439" s="915" t="s">
        <v>2997</v>
      </c>
      <c r="G439" s="815">
        <v>1698000</v>
      </c>
      <c r="H439" s="915" t="s">
        <v>3002</v>
      </c>
      <c r="I439" s="921">
        <f t="shared" si="57"/>
        <v>0.0673</v>
      </c>
      <c r="J439" s="915" t="s">
        <v>2999</v>
      </c>
      <c r="K439" s="869"/>
      <c r="L439" s="829"/>
      <c r="M439" s="715"/>
      <c r="N439" s="837"/>
      <c r="O439" s="829"/>
      <c r="X439" s="768" t="b">
        <f t="shared" si="28"/>
        <v>0</v>
      </c>
    </row>
    <row r="440" outlineLevel="2" spans="1:24">
      <c r="A440" s="826" t="s">
        <v>2021</v>
      </c>
      <c r="B440" s="692" t="s">
        <v>2904</v>
      </c>
      <c r="C440" s="693" t="str">
        <f t="shared" si="56"/>
        <v>深圳新阳蓝光能源管理科技股份有限公司</v>
      </c>
      <c r="D440" s="914" t="s">
        <v>2991</v>
      </c>
      <c r="E440" s="830" t="s">
        <v>2021</v>
      </c>
      <c r="F440" s="830"/>
      <c r="G440" s="802">
        <f>SUM(G435:G439)</f>
        <v>12953153.33</v>
      </c>
      <c r="H440" s="874"/>
      <c r="I440" s="921">
        <f t="shared" ref="I440" si="58">IF($F$205=0,0,ROUND(G440/$F$205,4))</f>
        <v>0.5136</v>
      </c>
      <c r="J440" s="874"/>
      <c r="K440" s="874"/>
      <c r="L440" s="829"/>
      <c r="M440" s="715"/>
      <c r="N440" s="837"/>
      <c r="O440" s="829"/>
      <c r="X440" s="768" t="b">
        <f t="shared" si="28"/>
        <v>1</v>
      </c>
    </row>
    <row r="441" outlineLevel="2" spans="2:24">
      <c r="B441" s="692" t="s">
        <v>2904</v>
      </c>
      <c r="C441" s="693" t="str">
        <f t="shared" si="56"/>
        <v>深圳新阳蓝光能源管理科技股份有限公司</v>
      </c>
      <c r="D441" s="914" t="s">
        <v>2991</v>
      </c>
      <c r="E441" s="828"/>
      <c r="F441" s="829"/>
      <c r="G441" s="829"/>
      <c r="H441" s="917" t="s">
        <v>3006</v>
      </c>
      <c r="I441" s="922">
        <f>SUM(I435:I439)-I440</f>
        <v>-9.9999999999878e-5</v>
      </c>
      <c r="J441" s="829"/>
      <c r="K441" s="829"/>
      <c r="L441" s="715"/>
      <c r="M441" s="837"/>
      <c r="N441" s="829"/>
      <c r="X441" s="768" t="b">
        <f t="shared" si="28"/>
        <v>1</v>
      </c>
    </row>
    <row r="442" ht="11.25" customHeight="1" outlineLevel="2" spans="2:24">
      <c r="B442" s="845" t="s">
        <v>2904</v>
      </c>
      <c r="C442" s="693" t="str">
        <f t="shared" si="56"/>
        <v>深圳新阳蓝光能源管理科技股份有限公司</v>
      </c>
      <c r="D442" s="889" t="s">
        <v>2991</v>
      </c>
      <c r="F442" s="829"/>
      <c r="G442" s="829"/>
      <c r="H442" s="829"/>
      <c r="I442" s="829"/>
      <c r="J442" s="829"/>
      <c r="K442" s="829"/>
      <c r="L442" s="715"/>
      <c r="M442" s="837"/>
      <c r="N442" s="829"/>
      <c r="X442" s="768" t="b">
        <f t="shared" si="28"/>
        <v>1</v>
      </c>
    </row>
    <row r="443" outlineLevel="2" spans="1:24">
      <c r="A443" s="826" t="s">
        <v>3007</v>
      </c>
      <c r="B443" s="845" t="s">
        <v>2904</v>
      </c>
      <c r="C443" s="693" t="str">
        <f t="shared" si="56"/>
        <v>深圳新阳蓝光能源管理科技股份有限公司</v>
      </c>
      <c r="D443" s="889" t="s">
        <v>3008</v>
      </c>
      <c r="E443" s="153" t="s">
        <v>3009</v>
      </c>
      <c r="F443" s="829"/>
      <c r="G443" s="829"/>
      <c r="H443" s="829"/>
      <c r="I443" s="829"/>
      <c r="J443" s="829"/>
      <c r="K443" s="829"/>
      <c r="L443" s="715"/>
      <c r="M443" s="837"/>
      <c r="N443" s="829"/>
      <c r="X443" s="768" t="b">
        <f t="shared" si="28"/>
        <v>1</v>
      </c>
    </row>
    <row r="444" outlineLevel="2" spans="1:24">
      <c r="A444" s="826" t="s">
        <v>2473</v>
      </c>
      <c r="B444" s="845" t="s">
        <v>2904</v>
      </c>
      <c r="C444" s="693" t="str">
        <f t="shared" si="56"/>
        <v>深圳新阳蓝光能源管理科技股份有限公司</v>
      </c>
      <c r="D444" s="889" t="s">
        <v>3008</v>
      </c>
      <c r="E444" s="830" t="s">
        <v>2473</v>
      </c>
      <c r="F444" s="830" t="s">
        <v>3010</v>
      </c>
      <c r="G444" s="830" t="s">
        <v>3011</v>
      </c>
      <c r="H444" s="830" t="s">
        <v>3012</v>
      </c>
      <c r="I444" s="830" t="s">
        <v>3011</v>
      </c>
      <c r="J444" s="829"/>
      <c r="K444" s="829"/>
      <c r="L444" s="715"/>
      <c r="M444" s="837"/>
      <c r="N444" s="829"/>
      <c r="X444" s="768" t="b">
        <f t="shared" si="28"/>
        <v>1</v>
      </c>
    </row>
    <row r="445" outlineLevel="2" spans="2:24">
      <c r="B445" s="845" t="s">
        <v>2904</v>
      </c>
      <c r="C445" s="693" t="str">
        <f t="shared" si="56"/>
        <v>深圳新阳蓝光能源管理科技股份有限公司</v>
      </c>
      <c r="D445" s="889" t="s">
        <v>3013</v>
      </c>
      <c r="E445" s="753"/>
      <c r="F445" s="918"/>
      <c r="G445" s="918"/>
      <c r="H445" s="918"/>
      <c r="I445" s="918"/>
      <c r="J445" s="829"/>
      <c r="K445" s="829"/>
      <c r="L445" s="715"/>
      <c r="M445" s="837"/>
      <c r="N445" s="829"/>
      <c r="X445" s="768" t="b">
        <f t="shared" si="28"/>
        <v>1</v>
      </c>
    </row>
    <row r="446" outlineLevel="2" spans="2:24">
      <c r="B446" s="845" t="s">
        <v>2904</v>
      </c>
      <c r="C446" s="693" t="str">
        <f t="shared" si="56"/>
        <v>深圳新阳蓝光能源管理科技股份有限公司</v>
      </c>
      <c r="D446" s="889" t="s">
        <v>3013</v>
      </c>
      <c r="E446" s="753"/>
      <c r="F446" s="815"/>
      <c r="G446" s="815"/>
      <c r="H446" s="815"/>
      <c r="I446" s="815"/>
      <c r="J446" s="829"/>
      <c r="K446" s="829"/>
      <c r="L446" s="715"/>
      <c r="M446" s="837"/>
      <c r="N446" s="829"/>
      <c r="X446" s="768" t="b">
        <f t="shared" si="28"/>
        <v>1</v>
      </c>
    </row>
    <row r="447" outlineLevel="2" spans="2:24">
      <c r="B447" s="845" t="s">
        <v>2904</v>
      </c>
      <c r="C447" s="693" t="str">
        <f t="shared" si="56"/>
        <v>深圳新阳蓝光能源管理科技股份有限公司</v>
      </c>
      <c r="D447" s="889" t="s">
        <v>3013</v>
      </c>
      <c r="E447" s="753"/>
      <c r="F447" s="815"/>
      <c r="G447" s="815"/>
      <c r="H447" s="815"/>
      <c r="I447" s="815"/>
      <c r="J447" s="829"/>
      <c r="K447" s="829"/>
      <c r="L447" s="715"/>
      <c r="M447" s="837"/>
      <c r="N447" s="829"/>
      <c r="X447" s="768" t="b">
        <f t="shared" si="28"/>
        <v>1</v>
      </c>
    </row>
    <row r="448" outlineLevel="2" spans="2:24">
      <c r="B448" s="845" t="s">
        <v>2904</v>
      </c>
      <c r="C448" s="693" t="str">
        <f t="shared" si="56"/>
        <v>深圳新阳蓝光能源管理科技股份有限公司</v>
      </c>
      <c r="D448" s="889" t="s">
        <v>3013</v>
      </c>
      <c r="E448" s="753"/>
      <c r="F448" s="815"/>
      <c r="G448" s="815"/>
      <c r="H448" s="815"/>
      <c r="I448" s="815"/>
      <c r="J448" s="829"/>
      <c r="K448" s="829"/>
      <c r="L448" s="715"/>
      <c r="M448" s="837"/>
      <c r="N448" s="829"/>
      <c r="X448" s="768" t="b">
        <f t="shared" si="28"/>
        <v>1</v>
      </c>
    </row>
    <row r="449" outlineLevel="2" spans="2:24">
      <c r="B449" s="845" t="s">
        <v>2904</v>
      </c>
      <c r="C449" s="693" t="str">
        <f t="shared" si="56"/>
        <v>深圳新阳蓝光能源管理科技股份有限公司</v>
      </c>
      <c r="D449" s="889" t="s">
        <v>3013</v>
      </c>
      <c r="E449" s="753"/>
      <c r="F449" s="815"/>
      <c r="G449" s="815"/>
      <c r="H449" s="815"/>
      <c r="I449" s="815"/>
      <c r="J449" s="829"/>
      <c r="K449" s="829"/>
      <c r="L449" s="715"/>
      <c r="M449" s="837"/>
      <c r="N449" s="829"/>
      <c r="X449" s="768" t="b">
        <f t="shared" si="28"/>
        <v>1</v>
      </c>
    </row>
    <row r="450" outlineLevel="2" spans="2:24">
      <c r="B450" s="845" t="s">
        <v>2904</v>
      </c>
      <c r="C450" s="693" t="str">
        <f t="shared" si="56"/>
        <v>深圳新阳蓝光能源管理科技股份有限公司</v>
      </c>
      <c r="D450" s="889" t="s">
        <v>3013</v>
      </c>
      <c r="E450" s="753"/>
      <c r="F450" s="815"/>
      <c r="G450" s="815"/>
      <c r="H450" s="815"/>
      <c r="I450" s="815"/>
      <c r="J450" s="829"/>
      <c r="K450" s="829"/>
      <c r="L450" s="715"/>
      <c r="M450" s="837"/>
      <c r="N450" s="829"/>
      <c r="X450" s="768" t="b">
        <f t="shared" si="28"/>
        <v>1</v>
      </c>
    </row>
    <row r="451" outlineLevel="2" spans="2:24">
      <c r="B451" s="845" t="s">
        <v>2904</v>
      </c>
      <c r="C451" s="693" t="str">
        <f t="shared" si="56"/>
        <v>深圳新阳蓝光能源管理科技股份有限公司</v>
      </c>
      <c r="D451" s="889" t="s">
        <v>3013</v>
      </c>
      <c r="E451" s="753"/>
      <c r="F451" s="815"/>
      <c r="G451" s="815"/>
      <c r="H451" s="815"/>
      <c r="I451" s="815"/>
      <c r="J451" s="829"/>
      <c r="K451" s="829"/>
      <c r="L451" s="715"/>
      <c r="M451" s="837"/>
      <c r="N451" s="829"/>
      <c r="X451" s="768" t="b">
        <f t="shared" si="28"/>
        <v>1</v>
      </c>
    </row>
    <row r="452" outlineLevel="2" spans="2:24">
      <c r="B452" s="845" t="s">
        <v>2904</v>
      </c>
      <c r="C452" s="693" t="str">
        <f t="shared" si="56"/>
        <v>深圳新阳蓝光能源管理科技股份有限公司</v>
      </c>
      <c r="D452" s="889" t="s">
        <v>3013</v>
      </c>
      <c r="E452" s="753"/>
      <c r="F452" s="815"/>
      <c r="G452" s="815"/>
      <c r="H452" s="815"/>
      <c r="I452" s="815"/>
      <c r="J452" s="829"/>
      <c r="K452" s="829"/>
      <c r="L452" s="715"/>
      <c r="M452" s="837"/>
      <c r="N452" s="829"/>
      <c r="X452" s="768" t="b">
        <f t="shared" si="28"/>
        <v>1</v>
      </c>
    </row>
    <row r="453" outlineLevel="2" spans="2:24">
      <c r="B453" s="845" t="s">
        <v>2904</v>
      </c>
      <c r="C453" s="693" t="str">
        <f t="shared" si="56"/>
        <v>深圳新阳蓝光能源管理科技股份有限公司</v>
      </c>
      <c r="D453" s="889" t="s">
        <v>3013</v>
      </c>
      <c r="E453" s="753"/>
      <c r="F453" s="815"/>
      <c r="G453" s="815"/>
      <c r="H453" s="815"/>
      <c r="I453" s="815"/>
      <c r="J453" s="829"/>
      <c r="K453" s="829"/>
      <c r="L453" s="715"/>
      <c r="M453" s="837"/>
      <c r="N453" s="829"/>
      <c r="X453" s="768" t="b">
        <f t="shared" si="28"/>
        <v>1</v>
      </c>
    </row>
    <row r="454" outlineLevel="2" spans="1:24">
      <c r="A454" s="826" t="s">
        <v>2021</v>
      </c>
      <c r="B454" s="845" t="s">
        <v>2904</v>
      </c>
      <c r="C454" s="693" t="str">
        <f t="shared" si="56"/>
        <v>深圳新阳蓝光能源管理科技股份有限公司</v>
      </c>
      <c r="D454" s="889" t="s">
        <v>3013</v>
      </c>
      <c r="E454" s="923" t="s">
        <v>2021</v>
      </c>
      <c r="F454" s="802">
        <f>SUM(F445:F453)</f>
        <v>0</v>
      </c>
      <c r="G454" s="802">
        <f t="shared" ref="G454:I454" si="59">SUM(G445:G453)</f>
        <v>0</v>
      </c>
      <c r="H454" s="802">
        <f t="shared" si="59"/>
        <v>0</v>
      </c>
      <c r="I454" s="802">
        <f t="shared" si="59"/>
        <v>0</v>
      </c>
      <c r="J454" s="829"/>
      <c r="K454" s="829"/>
      <c r="L454" s="715"/>
      <c r="M454" s="837"/>
      <c r="N454" s="829"/>
      <c r="X454" s="768" t="b">
        <f t="shared" si="28"/>
        <v>1</v>
      </c>
    </row>
    <row r="455" outlineLevel="2" spans="1:24">
      <c r="A455" s="826" t="s">
        <v>3014</v>
      </c>
      <c r="B455" s="845" t="s">
        <v>2904</v>
      </c>
      <c r="C455" s="693" t="str">
        <f t="shared" si="56"/>
        <v>深圳新阳蓝光能源管理科技股份有限公司</v>
      </c>
      <c r="D455" s="889" t="s">
        <v>3013</v>
      </c>
      <c r="E455" s="924" t="s">
        <v>3014</v>
      </c>
      <c r="F455" s="924" t="s">
        <v>2809</v>
      </c>
      <c r="G455" s="872"/>
      <c r="H455" s="872"/>
      <c r="I455" s="872"/>
      <c r="J455" s="829"/>
      <c r="K455" s="829"/>
      <c r="L455" s="715"/>
      <c r="M455" s="837"/>
      <c r="N455" s="829"/>
      <c r="X455" s="768" t="b">
        <f t="shared" si="28"/>
        <v>1</v>
      </c>
    </row>
    <row r="456" outlineLevel="2" spans="1:24">
      <c r="A456" s="826" t="s">
        <v>3015</v>
      </c>
      <c r="B456" s="845" t="s">
        <v>2904</v>
      </c>
      <c r="C456" s="693" t="str">
        <f t="shared" si="56"/>
        <v>深圳新阳蓝光能源管理科技股份有限公司</v>
      </c>
      <c r="D456" s="889" t="s">
        <v>3016</v>
      </c>
      <c r="E456" s="153" t="s">
        <v>3017</v>
      </c>
      <c r="F456" s="829"/>
      <c r="G456" s="829"/>
      <c r="H456" s="829"/>
      <c r="I456" s="829"/>
      <c r="J456" s="829"/>
      <c r="K456" s="829"/>
      <c r="L456" s="715"/>
      <c r="M456" s="837"/>
      <c r="N456" s="829"/>
      <c r="X456" s="768" t="b">
        <f t="shared" si="28"/>
        <v>1</v>
      </c>
    </row>
    <row r="457" outlineLevel="2" spans="2:24">
      <c r="B457" s="845" t="s">
        <v>2904</v>
      </c>
      <c r="C457" s="693" t="str">
        <f t="shared" si="56"/>
        <v>深圳新阳蓝光能源管理科技股份有限公司</v>
      </c>
      <c r="D457" s="889" t="s">
        <v>3016</v>
      </c>
      <c r="E457" s="153"/>
      <c r="F457" s="829"/>
      <c r="G457" s="829"/>
      <c r="H457" s="829"/>
      <c r="I457" s="830" t="s">
        <v>2913</v>
      </c>
      <c r="J457" s="829"/>
      <c r="K457" s="829"/>
      <c r="L457" s="715"/>
      <c r="M457" s="837"/>
      <c r="N457" s="829"/>
      <c r="X457" s="768" t="b">
        <f t="shared" si="28"/>
        <v>1</v>
      </c>
    </row>
    <row r="458" outlineLevel="2" spans="1:24">
      <c r="A458" s="826" t="s">
        <v>2473</v>
      </c>
      <c r="B458" s="845" t="s">
        <v>2904</v>
      </c>
      <c r="C458" s="693" t="str">
        <f t="shared" si="56"/>
        <v>深圳新阳蓝光能源管理科技股份有限公司</v>
      </c>
      <c r="D458" s="889" t="s">
        <v>3016</v>
      </c>
      <c r="E458" s="830" t="s">
        <v>2473</v>
      </c>
      <c r="F458" s="830" t="s">
        <v>2992</v>
      </c>
      <c r="G458" s="830" t="s">
        <v>366</v>
      </c>
      <c r="H458" s="830" t="s">
        <v>3018</v>
      </c>
      <c r="I458" s="830" t="s">
        <v>2995</v>
      </c>
      <c r="J458" s="829"/>
      <c r="K458" s="829"/>
      <c r="L458" s="715"/>
      <c r="M458" s="837"/>
      <c r="N458" s="829"/>
      <c r="X458" s="768" t="b">
        <f t="shared" si="28"/>
        <v>1</v>
      </c>
    </row>
    <row r="459" outlineLevel="2" spans="2:24">
      <c r="B459" s="845" t="s">
        <v>2904</v>
      </c>
      <c r="C459" s="693" t="str">
        <f t="shared" si="56"/>
        <v>深圳新阳蓝光能源管理科技股份有限公司</v>
      </c>
      <c r="D459" s="889" t="s">
        <v>3019</v>
      </c>
      <c r="E459" s="925"/>
      <c r="F459" s="925"/>
      <c r="G459" s="926"/>
      <c r="H459" s="927">
        <f>IF($F$205=0,0,ROUND(G459/$F$205,4))+I459</f>
        <v>0</v>
      </c>
      <c r="I459" s="869"/>
      <c r="J459" s="829"/>
      <c r="K459" s="829"/>
      <c r="L459" s="715"/>
      <c r="M459" s="837"/>
      <c r="N459" s="829"/>
      <c r="X459" s="768" t="b">
        <f t="shared" si="28"/>
        <v>1</v>
      </c>
    </row>
    <row r="460" outlineLevel="2" spans="2:24">
      <c r="B460" s="845" t="s">
        <v>2904</v>
      </c>
      <c r="C460" s="693" t="str">
        <f t="shared" si="56"/>
        <v>深圳新阳蓝光能源管理科技股份有限公司</v>
      </c>
      <c r="D460" s="889" t="s">
        <v>3019</v>
      </c>
      <c r="E460" s="753"/>
      <c r="F460" s="915"/>
      <c r="G460" s="815"/>
      <c r="H460" s="927">
        <f t="shared" ref="H460:H467" si="60">IF($F$205=0,0,ROUND(G460/$F$205,4))+I460</f>
        <v>0</v>
      </c>
      <c r="I460" s="869"/>
      <c r="J460" s="829"/>
      <c r="K460" s="829"/>
      <c r="L460" s="715"/>
      <c r="M460" s="837"/>
      <c r="N460" s="829"/>
      <c r="X460" s="768" t="b">
        <f t="shared" si="28"/>
        <v>1</v>
      </c>
    </row>
    <row r="461" outlineLevel="2" spans="2:24">
      <c r="B461" s="845" t="s">
        <v>2904</v>
      </c>
      <c r="C461" s="693" t="str">
        <f t="shared" si="56"/>
        <v>深圳新阳蓝光能源管理科技股份有限公司</v>
      </c>
      <c r="D461" s="889" t="s">
        <v>3019</v>
      </c>
      <c r="E461" s="753"/>
      <c r="F461" s="915"/>
      <c r="G461" s="815"/>
      <c r="H461" s="927">
        <f t="shared" si="60"/>
        <v>0</v>
      </c>
      <c r="I461" s="869"/>
      <c r="J461" s="829"/>
      <c r="K461" s="829"/>
      <c r="L461" s="715"/>
      <c r="M461" s="837"/>
      <c r="N461" s="829"/>
      <c r="X461" s="768" t="b">
        <f t="shared" si="28"/>
        <v>1</v>
      </c>
    </row>
    <row r="462" outlineLevel="2" spans="2:24">
      <c r="B462" s="845" t="s">
        <v>2904</v>
      </c>
      <c r="C462" s="693" t="str">
        <f t="shared" si="56"/>
        <v>深圳新阳蓝光能源管理科技股份有限公司</v>
      </c>
      <c r="D462" s="889" t="s">
        <v>3019</v>
      </c>
      <c r="E462" s="753"/>
      <c r="F462" s="915"/>
      <c r="G462" s="815"/>
      <c r="H462" s="927">
        <f t="shared" si="60"/>
        <v>0</v>
      </c>
      <c r="I462" s="869"/>
      <c r="J462" s="829"/>
      <c r="K462" s="829"/>
      <c r="L462" s="715"/>
      <c r="M462" s="837"/>
      <c r="N462" s="829"/>
      <c r="X462" s="768" t="b">
        <f t="shared" si="28"/>
        <v>1</v>
      </c>
    </row>
    <row r="463" outlineLevel="2" spans="2:24">
      <c r="B463" s="845" t="s">
        <v>2904</v>
      </c>
      <c r="C463" s="693" t="str">
        <f t="shared" si="56"/>
        <v>深圳新阳蓝光能源管理科技股份有限公司</v>
      </c>
      <c r="D463" s="889" t="s">
        <v>3019</v>
      </c>
      <c r="E463" s="753"/>
      <c r="F463" s="915"/>
      <c r="G463" s="815"/>
      <c r="H463" s="927">
        <f t="shared" si="60"/>
        <v>0</v>
      </c>
      <c r="I463" s="869"/>
      <c r="J463" s="829"/>
      <c r="K463" s="829"/>
      <c r="L463" s="715"/>
      <c r="M463" s="837"/>
      <c r="N463" s="829"/>
      <c r="X463" s="768" t="b">
        <f t="shared" si="28"/>
        <v>1</v>
      </c>
    </row>
    <row r="464" outlineLevel="2" spans="2:24">
      <c r="B464" s="845" t="s">
        <v>2904</v>
      </c>
      <c r="C464" s="693" t="str">
        <f t="shared" si="56"/>
        <v>深圳新阳蓝光能源管理科技股份有限公司</v>
      </c>
      <c r="D464" s="889" t="s">
        <v>3019</v>
      </c>
      <c r="E464" s="753"/>
      <c r="F464" s="915"/>
      <c r="G464" s="815"/>
      <c r="H464" s="927">
        <f t="shared" si="60"/>
        <v>0</v>
      </c>
      <c r="I464" s="869"/>
      <c r="J464" s="829"/>
      <c r="K464" s="829"/>
      <c r="L464" s="715"/>
      <c r="M464" s="837"/>
      <c r="N464" s="829"/>
      <c r="X464" s="768" t="b">
        <f t="shared" si="28"/>
        <v>1</v>
      </c>
    </row>
    <row r="465" outlineLevel="2" spans="2:24">
      <c r="B465" s="845" t="s">
        <v>2904</v>
      </c>
      <c r="C465" s="693" t="str">
        <f t="shared" si="56"/>
        <v>深圳新阳蓝光能源管理科技股份有限公司</v>
      </c>
      <c r="D465" s="889" t="s">
        <v>3019</v>
      </c>
      <c r="E465" s="753"/>
      <c r="F465" s="915"/>
      <c r="G465" s="815"/>
      <c r="H465" s="927">
        <f t="shared" si="60"/>
        <v>0</v>
      </c>
      <c r="I465" s="869"/>
      <c r="J465" s="829"/>
      <c r="K465" s="829"/>
      <c r="L465" s="715"/>
      <c r="M465" s="837"/>
      <c r="N465" s="829"/>
      <c r="X465" s="768" t="b">
        <f t="shared" si="28"/>
        <v>1</v>
      </c>
    </row>
    <row r="466" outlineLevel="2" spans="2:24">
      <c r="B466" s="845" t="s">
        <v>2904</v>
      </c>
      <c r="C466" s="693" t="str">
        <f t="shared" si="56"/>
        <v>深圳新阳蓝光能源管理科技股份有限公司</v>
      </c>
      <c r="D466" s="889" t="s">
        <v>3019</v>
      </c>
      <c r="E466" s="753"/>
      <c r="F466" s="915"/>
      <c r="G466" s="815"/>
      <c r="H466" s="927">
        <f t="shared" si="60"/>
        <v>0</v>
      </c>
      <c r="I466" s="869"/>
      <c r="J466" s="829"/>
      <c r="K466" s="829"/>
      <c r="L466" s="715"/>
      <c r="M466" s="837"/>
      <c r="N466" s="829"/>
      <c r="X466" s="768" t="b">
        <f t="shared" si="28"/>
        <v>1</v>
      </c>
    </row>
    <row r="467" outlineLevel="2" spans="2:24">
      <c r="B467" s="845" t="s">
        <v>2904</v>
      </c>
      <c r="C467" s="693" t="str">
        <f t="shared" si="56"/>
        <v>深圳新阳蓝光能源管理科技股份有限公司</v>
      </c>
      <c r="D467" s="889" t="s">
        <v>3019</v>
      </c>
      <c r="E467" s="753"/>
      <c r="F467" s="915"/>
      <c r="G467" s="815"/>
      <c r="H467" s="927">
        <f t="shared" si="60"/>
        <v>0</v>
      </c>
      <c r="I467" s="869"/>
      <c r="J467" s="829"/>
      <c r="K467" s="829"/>
      <c r="L467" s="715"/>
      <c r="M467" s="837"/>
      <c r="N467" s="829"/>
      <c r="X467" s="768" t="b">
        <f t="shared" si="28"/>
        <v>1</v>
      </c>
    </row>
    <row r="468" outlineLevel="2" spans="1:24">
      <c r="A468" s="826" t="s">
        <v>2021</v>
      </c>
      <c r="B468" s="845" t="s">
        <v>2904</v>
      </c>
      <c r="C468" s="693" t="str">
        <f t="shared" si="56"/>
        <v>深圳新阳蓝光能源管理科技股份有限公司</v>
      </c>
      <c r="D468" s="889" t="s">
        <v>3019</v>
      </c>
      <c r="E468" s="923" t="s">
        <v>2021</v>
      </c>
      <c r="F468" s="874"/>
      <c r="G468" s="802">
        <f>SUM(G459:G467)</f>
        <v>0</v>
      </c>
      <c r="H468" s="927">
        <f>IF($F$205=0,0,ROUND(G468/$F$205,4))</f>
        <v>0</v>
      </c>
      <c r="I468" s="829"/>
      <c r="J468" s="829"/>
      <c r="K468" s="829"/>
      <c r="L468" s="715"/>
      <c r="M468" s="837"/>
      <c r="N468" s="829"/>
      <c r="X468" s="768" t="b">
        <f t="shared" si="28"/>
        <v>1</v>
      </c>
    </row>
    <row r="469" outlineLevel="2" spans="2:24">
      <c r="B469" s="845" t="s">
        <v>2904</v>
      </c>
      <c r="C469" s="693" t="str">
        <f t="shared" si="56"/>
        <v>深圳新阳蓝光能源管理科技股份有限公司</v>
      </c>
      <c r="D469" s="889" t="s">
        <v>3019</v>
      </c>
      <c r="E469" s="928"/>
      <c r="F469" s="828"/>
      <c r="G469" s="929" t="s">
        <v>3020</v>
      </c>
      <c r="H469" s="930">
        <f>SUM(H459:H467)-H468</f>
        <v>0</v>
      </c>
      <c r="I469" s="829"/>
      <c r="J469" s="829"/>
      <c r="K469" s="829"/>
      <c r="L469" s="715"/>
      <c r="M469" s="837"/>
      <c r="N469" s="829"/>
      <c r="X469" s="768" t="b">
        <f t="shared" si="28"/>
        <v>1</v>
      </c>
    </row>
    <row r="470" outlineLevel="2" spans="1:24">
      <c r="A470" s="826" t="s">
        <v>3021</v>
      </c>
      <c r="B470" s="845" t="s">
        <v>2904</v>
      </c>
      <c r="C470" s="693" t="str">
        <f t="shared" si="56"/>
        <v>深圳新阳蓝光能源管理科技股份有限公司</v>
      </c>
      <c r="D470" s="846" t="s">
        <v>3021</v>
      </c>
      <c r="E470" s="153" t="s">
        <v>3022</v>
      </c>
      <c r="F470" s="829"/>
      <c r="G470" s="829"/>
      <c r="H470" s="829"/>
      <c r="I470" s="829"/>
      <c r="J470" s="829"/>
      <c r="K470" s="829"/>
      <c r="L470" s="715"/>
      <c r="M470" s="837"/>
      <c r="N470" s="829"/>
      <c r="X470" s="768" t="b">
        <f t="shared" si="28"/>
        <v>1</v>
      </c>
    </row>
    <row r="471" outlineLevel="2" spans="1:24">
      <c r="A471" s="826" t="s">
        <v>61</v>
      </c>
      <c r="B471" s="845" t="s">
        <v>2904</v>
      </c>
      <c r="C471" s="693" t="str">
        <f t="shared" si="56"/>
        <v>深圳新阳蓝光能源管理科技股份有限公司</v>
      </c>
      <c r="D471" s="846" t="s">
        <v>3021</v>
      </c>
      <c r="E471" s="931" t="s">
        <v>61</v>
      </c>
      <c r="F471" s="931" t="s">
        <v>3023</v>
      </c>
      <c r="G471" s="830" t="s">
        <v>3024</v>
      </c>
      <c r="H471" s="829"/>
      <c r="I471" s="829"/>
      <c r="J471" s="829"/>
      <c r="K471" s="829"/>
      <c r="L471" s="715"/>
      <c r="M471" s="837"/>
      <c r="N471" s="829"/>
      <c r="X471" s="768" t="b">
        <f t="shared" si="28"/>
        <v>1</v>
      </c>
    </row>
    <row r="472" outlineLevel="2" spans="2:24">
      <c r="B472" s="845" t="s">
        <v>2904</v>
      </c>
      <c r="C472" s="693" t="str">
        <f t="shared" si="56"/>
        <v>深圳新阳蓝光能源管理科技股份有限公司</v>
      </c>
      <c r="D472" s="846" t="s">
        <v>3021</v>
      </c>
      <c r="E472" s="753"/>
      <c r="F472" s="915"/>
      <c r="G472" s="915"/>
      <c r="H472" s="829"/>
      <c r="I472" s="829"/>
      <c r="J472" s="829"/>
      <c r="K472" s="829"/>
      <c r="L472" s="715"/>
      <c r="M472" s="837"/>
      <c r="N472" s="829"/>
      <c r="X472" s="768" t="b">
        <f t="shared" si="28"/>
        <v>1</v>
      </c>
    </row>
    <row r="473" outlineLevel="2" spans="2:24">
      <c r="B473" s="845" t="s">
        <v>2904</v>
      </c>
      <c r="C473" s="693" t="str">
        <f t="shared" si="56"/>
        <v>深圳新阳蓝光能源管理科技股份有限公司</v>
      </c>
      <c r="D473" s="846" t="s">
        <v>3021</v>
      </c>
      <c r="E473" s="753"/>
      <c r="F473" s="915"/>
      <c r="G473" s="915"/>
      <c r="H473" s="829"/>
      <c r="I473" s="829"/>
      <c r="J473" s="829"/>
      <c r="K473" s="829"/>
      <c r="L473" s="715"/>
      <c r="M473" s="837"/>
      <c r="N473" s="829"/>
      <c r="X473" s="768" t="b">
        <f t="shared" si="28"/>
        <v>1</v>
      </c>
    </row>
    <row r="474" outlineLevel="2" spans="2:24">
      <c r="B474" s="845" t="s">
        <v>2904</v>
      </c>
      <c r="C474" s="693" t="str">
        <f t="shared" si="56"/>
        <v>深圳新阳蓝光能源管理科技股份有限公司</v>
      </c>
      <c r="D474" s="846" t="s">
        <v>3021</v>
      </c>
      <c r="E474" s="753"/>
      <c r="F474" s="915"/>
      <c r="G474" s="915"/>
      <c r="H474" s="829"/>
      <c r="I474" s="829"/>
      <c r="J474" s="829"/>
      <c r="K474" s="829"/>
      <c r="L474" s="715"/>
      <c r="M474" s="837"/>
      <c r="N474" s="829"/>
      <c r="X474" s="768" t="b">
        <f t="shared" si="28"/>
        <v>1</v>
      </c>
    </row>
    <row r="475" outlineLevel="2" spans="2:24">
      <c r="B475" s="845" t="s">
        <v>2904</v>
      </c>
      <c r="C475" s="693" t="str">
        <f t="shared" si="56"/>
        <v>深圳新阳蓝光能源管理科技股份有限公司</v>
      </c>
      <c r="D475" s="846" t="s">
        <v>3021</v>
      </c>
      <c r="E475" s="753"/>
      <c r="F475" s="915"/>
      <c r="G475" s="915"/>
      <c r="H475" s="829"/>
      <c r="I475" s="829"/>
      <c r="J475" s="829"/>
      <c r="K475" s="829"/>
      <c r="L475" s="715"/>
      <c r="M475" s="837"/>
      <c r="N475" s="829"/>
      <c r="X475" s="768" t="b">
        <f t="shared" si="28"/>
        <v>1</v>
      </c>
    </row>
    <row r="476" outlineLevel="2" spans="2:24">
      <c r="B476" s="845" t="s">
        <v>2904</v>
      </c>
      <c r="C476" s="693" t="str">
        <f t="shared" si="56"/>
        <v>深圳新阳蓝光能源管理科技股份有限公司</v>
      </c>
      <c r="D476" s="846" t="s">
        <v>3021</v>
      </c>
      <c r="E476" s="753"/>
      <c r="F476" s="915"/>
      <c r="G476" s="915"/>
      <c r="H476" s="829"/>
      <c r="I476" s="829"/>
      <c r="J476" s="829"/>
      <c r="K476" s="829"/>
      <c r="L476" s="715"/>
      <c r="M476" s="837"/>
      <c r="N476" s="829"/>
      <c r="X476" s="768" t="b">
        <f t="shared" si="28"/>
        <v>1</v>
      </c>
    </row>
    <row r="477" outlineLevel="2" spans="2:24">
      <c r="B477" s="845" t="s">
        <v>2904</v>
      </c>
      <c r="C477" s="693" t="str">
        <f t="shared" si="56"/>
        <v>深圳新阳蓝光能源管理科技股份有限公司</v>
      </c>
      <c r="D477" s="846" t="s">
        <v>3021</v>
      </c>
      <c r="E477" s="753"/>
      <c r="F477" s="915"/>
      <c r="G477" s="915"/>
      <c r="H477" s="829"/>
      <c r="I477" s="829"/>
      <c r="J477" s="829"/>
      <c r="K477" s="829"/>
      <c r="L477" s="715"/>
      <c r="M477" s="837"/>
      <c r="N477" s="829"/>
      <c r="X477" s="768" t="b">
        <f t="shared" si="28"/>
        <v>1</v>
      </c>
    </row>
    <row r="478" outlineLevel="2" spans="1:24">
      <c r="A478" s="826" t="s">
        <v>2021</v>
      </c>
      <c r="B478" s="845" t="s">
        <v>2904</v>
      </c>
      <c r="C478" s="693" t="str">
        <f t="shared" si="56"/>
        <v>深圳新阳蓝光能源管理科技股份有限公司</v>
      </c>
      <c r="D478" s="846" t="s">
        <v>3021</v>
      </c>
      <c r="E478" s="923" t="s">
        <v>2021</v>
      </c>
      <c r="F478" s="802">
        <f>SUM(F472:F477)</f>
        <v>0</v>
      </c>
      <c r="G478" s="802">
        <f>SUM(G472:G477)</f>
        <v>0</v>
      </c>
      <c r="H478" s="829"/>
      <c r="I478" s="829"/>
      <c r="J478" s="829"/>
      <c r="K478" s="829"/>
      <c r="L478" s="715"/>
      <c r="M478" s="837"/>
      <c r="N478" s="829"/>
      <c r="X478" s="768" t="b">
        <f t="shared" si="28"/>
        <v>1</v>
      </c>
    </row>
    <row r="479" outlineLevel="2" spans="2:24">
      <c r="B479" s="845" t="s">
        <v>2904</v>
      </c>
      <c r="C479" s="693" t="str">
        <f t="shared" si="56"/>
        <v>深圳新阳蓝光能源管理科技股份有限公司</v>
      </c>
      <c r="D479" s="846" t="s">
        <v>3021</v>
      </c>
      <c r="E479" s="932"/>
      <c r="F479" s="828"/>
      <c r="G479" s="828"/>
      <c r="H479" s="829"/>
      <c r="I479" s="829"/>
      <c r="J479" s="829"/>
      <c r="K479" s="829"/>
      <c r="L479" s="715"/>
      <c r="M479" s="837"/>
      <c r="N479" s="829"/>
      <c r="X479" s="768" t="b">
        <f t="shared" si="28"/>
        <v>1</v>
      </c>
    </row>
    <row r="480" outlineLevel="2" spans="1:24">
      <c r="A480" s="826" t="s">
        <v>3025</v>
      </c>
      <c r="B480" s="845" t="s">
        <v>2904</v>
      </c>
      <c r="C480" s="693" t="str">
        <f t="shared" si="56"/>
        <v>深圳新阳蓝光能源管理科技股份有限公司</v>
      </c>
      <c r="D480" s="846" t="s">
        <v>3025</v>
      </c>
      <c r="E480" s="153" t="s">
        <v>3026</v>
      </c>
      <c r="F480" s="829"/>
      <c r="G480" s="829"/>
      <c r="H480" s="829"/>
      <c r="I480" s="829"/>
      <c r="J480" s="829"/>
      <c r="K480" s="829"/>
      <c r="L480" s="715"/>
      <c r="M480" s="837"/>
      <c r="N480" s="829"/>
      <c r="X480" s="768" t="b">
        <f t="shared" si="28"/>
        <v>1</v>
      </c>
    </row>
    <row r="481" outlineLevel="2" spans="1:24">
      <c r="A481" s="826" t="s">
        <v>61</v>
      </c>
      <c r="B481" s="845" t="s">
        <v>2904</v>
      </c>
      <c r="C481" s="693" t="str">
        <f t="shared" si="56"/>
        <v>深圳新阳蓝光能源管理科技股份有限公司</v>
      </c>
      <c r="D481" s="889" t="s">
        <v>3027</v>
      </c>
      <c r="E481" s="830" t="s">
        <v>61</v>
      </c>
      <c r="F481" s="830" t="s">
        <v>2902</v>
      </c>
      <c r="G481" s="829"/>
      <c r="H481" s="829"/>
      <c r="I481" s="829"/>
      <c r="J481" s="829"/>
      <c r="K481" s="829"/>
      <c r="L481" s="715"/>
      <c r="M481" s="837"/>
      <c r="N481" s="829"/>
      <c r="X481" s="768" t="b">
        <f t="shared" si="28"/>
        <v>1</v>
      </c>
    </row>
    <row r="482" outlineLevel="2" spans="1:24">
      <c r="A482" s="826" t="s">
        <v>3028</v>
      </c>
      <c r="B482" s="845" t="s">
        <v>2904</v>
      </c>
      <c r="C482" s="693" t="str">
        <f t="shared" si="56"/>
        <v>深圳新阳蓝光能源管理科技股份有限公司</v>
      </c>
      <c r="D482" s="846" t="s">
        <v>3025</v>
      </c>
      <c r="E482" s="933" t="s">
        <v>3028</v>
      </c>
      <c r="F482" s="934"/>
      <c r="G482" s="829"/>
      <c r="H482" s="829"/>
      <c r="I482" s="829"/>
      <c r="J482" s="829"/>
      <c r="K482" s="829"/>
      <c r="L482" s="715"/>
      <c r="M482" s="837"/>
      <c r="N482" s="829"/>
      <c r="X482" s="768" t="b">
        <f t="shared" si="28"/>
        <v>1</v>
      </c>
    </row>
    <row r="483" outlineLevel="2" spans="2:24">
      <c r="B483" s="845" t="s">
        <v>2904</v>
      </c>
      <c r="C483" s="693" t="str">
        <f t="shared" si="56"/>
        <v>深圳新阳蓝光能源管理科技股份有限公司</v>
      </c>
      <c r="D483" s="889" t="s">
        <v>3029</v>
      </c>
      <c r="E483" s="753"/>
      <c r="F483" s="815"/>
      <c r="G483" s="829"/>
      <c r="H483" s="829"/>
      <c r="I483" s="829"/>
      <c r="J483" s="829"/>
      <c r="K483" s="829"/>
      <c r="L483" s="715"/>
      <c r="M483" s="837"/>
      <c r="N483" s="829"/>
      <c r="X483" s="768" t="b">
        <f t="shared" si="28"/>
        <v>1</v>
      </c>
    </row>
    <row r="484" outlineLevel="2" spans="2:24">
      <c r="B484" s="845" t="s">
        <v>2904</v>
      </c>
      <c r="C484" s="693" t="str">
        <f t="shared" si="56"/>
        <v>深圳新阳蓝光能源管理科技股份有限公司</v>
      </c>
      <c r="D484" s="846" t="s">
        <v>3025</v>
      </c>
      <c r="E484" s="753"/>
      <c r="F484" s="815"/>
      <c r="G484" s="829"/>
      <c r="H484" s="829"/>
      <c r="I484" s="829"/>
      <c r="J484" s="829"/>
      <c r="K484" s="829"/>
      <c r="L484" s="715"/>
      <c r="M484" s="837"/>
      <c r="N484" s="829"/>
      <c r="X484" s="768" t="b">
        <f t="shared" si="28"/>
        <v>1</v>
      </c>
    </row>
    <row r="485" outlineLevel="2" spans="2:24">
      <c r="B485" s="845" t="s">
        <v>2904</v>
      </c>
      <c r="C485" s="693" t="str">
        <f t="shared" ref="C485:C548" si="61">$G$1</f>
        <v>深圳新阳蓝光能源管理科技股份有限公司</v>
      </c>
      <c r="D485" s="889" t="s">
        <v>3029</v>
      </c>
      <c r="E485" s="753"/>
      <c r="F485" s="815"/>
      <c r="G485" s="829"/>
      <c r="H485" s="829"/>
      <c r="I485" s="829"/>
      <c r="J485" s="829"/>
      <c r="K485" s="829"/>
      <c r="L485" s="715"/>
      <c r="M485" s="837"/>
      <c r="N485" s="829"/>
      <c r="X485" s="768" t="b">
        <f t="shared" si="28"/>
        <v>1</v>
      </c>
    </row>
    <row r="486" outlineLevel="2" spans="2:24">
      <c r="B486" s="845" t="s">
        <v>2904</v>
      </c>
      <c r="C486" s="693" t="str">
        <f t="shared" si="61"/>
        <v>深圳新阳蓝光能源管理科技股份有限公司</v>
      </c>
      <c r="D486" s="846" t="s">
        <v>3025</v>
      </c>
      <c r="E486" s="753"/>
      <c r="F486" s="815"/>
      <c r="G486" s="829"/>
      <c r="H486" s="829"/>
      <c r="I486" s="829"/>
      <c r="J486" s="829"/>
      <c r="K486" s="829"/>
      <c r="L486" s="715"/>
      <c r="M486" s="837"/>
      <c r="N486" s="829"/>
      <c r="X486" s="768" t="b">
        <f t="shared" si="28"/>
        <v>1</v>
      </c>
    </row>
    <row r="487" outlineLevel="2" spans="2:24">
      <c r="B487" s="845" t="s">
        <v>2904</v>
      </c>
      <c r="C487" s="693" t="str">
        <f t="shared" si="61"/>
        <v>深圳新阳蓝光能源管理科技股份有限公司</v>
      </c>
      <c r="D487" s="889" t="s">
        <v>3029</v>
      </c>
      <c r="E487" s="753"/>
      <c r="F487" s="815"/>
      <c r="G487" s="829"/>
      <c r="H487" s="829"/>
      <c r="I487" s="829"/>
      <c r="J487" s="829"/>
      <c r="K487" s="829"/>
      <c r="L487" s="715"/>
      <c r="M487" s="837"/>
      <c r="N487" s="829"/>
      <c r="X487" s="768" t="b">
        <f t="shared" si="28"/>
        <v>1</v>
      </c>
    </row>
    <row r="488" outlineLevel="2" spans="1:24">
      <c r="A488" s="826" t="s">
        <v>3030</v>
      </c>
      <c r="B488" s="845" t="s">
        <v>2904</v>
      </c>
      <c r="C488" s="693" t="str">
        <f t="shared" si="61"/>
        <v>深圳新阳蓝光能源管理科技股份有限公司</v>
      </c>
      <c r="D488" s="846" t="s">
        <v>3025</v>
      </c>
      <c r="E488" s="731" t="s">
        <v>3030</v>
      </c>
      <c r="F488" s="802">
        <f>SUM(F482:F487)</f>
        <v>0</v>
      </c>
      <c r="G488" s="829"/>
      <c r="H488" s="829"/>
      <c r="I488" s="829"/>
      <c r="J488" s="829"/>
      <c r="K488" s="829"/>
      <c r="L488" s="715"/>
      <c r="M488" s="837"/>
      <c r="N488" s="829"/>
      <c r="X488" s="768" t="b">
        <f t="shared" si="28"/>
        <v>1</v>
      </c>
    </row>
    <row r="489" outlineLevel="2" spans="1:24">
      <c r="A489" s="826" t="s">
        <v>3031</v>
      </c>
      <c r="B489" s="845" t="s">
        <v>2904</v>
      </c>
      <c r="C489" s="693" t="str">
        <f t="shared" si="61"/>
        <v>深圳新阳蓝光能源管理科技股份有限公司</v>
      </c>
      <c r="D489" s="889" t="s">
        <v>3029</v>
      </c>
      <c r="E489" s="731" t="s">
        <v>3031</v>
      </c>
      <c r="F489" s="935"/>
      <c r="G489" s="829"/>
      <c r="H489" s="829"/>
      <c r="I489" s="829"/>
      <c r="J489" s="829"/>
      <c r="K489" s="829"/>
      <c r="L489" s="715"/>
      <c r="M489" s="837"/>
      <c r="N489" s="829"/>
      <c r="X489" s="768" t="b">
        <f t="shared" si="28"/>
        <v>1</v>
      </c>
    </row>
    <row r="490" outlineLevel="2" spans="2:24">
      <c r="B490" s="845" t="s">
        <v>2904</v>
      </c>
      <c r="C490" s="693" t="str">
        <f t="shared" si="61"/>
        <v>深圳新阳蓝光能源管理科技股份有限公司</v>
      </c>
      <c r="D490" s="846" t="s">
        <v>3025</v>
      </c>
      <c r="E490" s="753"/>
      <c r="F490" s="815"/>
      <c r="G490" s="829"/>
      <c r="H490" s="829"/>
      <c r="I490" s="829"/>
      <c r="J490" s="829"/>
      <c r="K490" s="829"/>
      <c r="L490" s="715"/>
      <c r="M490" s="837"/>
      <c r="N490" s="829"/>
      <c r="X490" s="768" t="b">
        <f t="shared" si="28"/>
        <v>1</v>
      </c>
    </row>
    <row r="491" outlineLevel="2" spans="2:24">
      <c r="B491" s="845" t="s">
        <v>2904</v>
      </c>
      <c r="C491" s="693" t="str">
        <f t="shared" si="61"/>
        <v>深圳新阳蓝光能源管理科技股份有限公司</v>
      </c>
      <c r="D491" s="889" t="s">
        <v>3029</v>
      </c>
      <c r="E491" s="753"/>
      <c r="F491" s="815"/>
      <c r="G491" s="829"/>
      <c r="H491" s="829"/>
      <c r="I491" s="829"/>
      <c r="J491" s="829"/>
      <c r="K491" s="829"/>
      <c r="L491" s="715"/>
      <c r="M491" s="837"/>
      <c r="N491" s="829"/>
      <c r="X491" s="768" t="b">
        <f t="shared" si="28"/>
        <v>1</v>
      </c>
    </row>
    <row r="492" outlineLevel="2" spans="2:24">
      <c r="B492" s="845" t="s">
        <v>2904</v>
      </c>
      <c r="C492" s="693" t="str">
        <f t="shared" si="61"/>
        <v>深圳新阳蓝光能源管理科技股份有限公司</v>
      </c>
      <c r="D492" s="846" t="s">
        <v>3025</v>
      </c>
      <c r="E492" s="753"/>
      <c r="F492" s="815"/>
      <c r="G492" s="829"/>
      <c r="H492" s="829"/>
      <c r="I492" s="829"/>
      <c r="J492" s="829"/>
      <c r="K492" s="829"/>
      <c r="L492" s="715"/>
      <c r="M492" s="837"/>
      <c r="N492" s="829"/>
      <c r="X492" s="768" t="b">
        <f t="shared" si="28"/>
        <v>1</v>
      </c>
    </row>
    <row r="493" outlineLevel="2" spans="2:24">
      <c r="B493" s="845" t="s">
        <v>2904</v>
      </c>
      <c r="C493" s="693" t="str">
        <f t="shared" si="61"/>
        <v>深圳新阳蓝光能源管理科技股份有限公司</v>
      </c>
      <c r="D493" s="889" t="s">
        <v>3029</v>
      </c>
      <c r="E493" s="753"/>
      <c r="F493" s="815"/>
      <c r="G493" s="829"/>
      <c r="H493" s="829"/>
      <c r="I493" s="829"/>
      <c r="J493" s="829"/>
      <c r="K493" s="829"/>
      <c r="L493" s="715"/>
      <c r="M493" s="837"/>
      <c r="N493" s="829"/>
      <c r="X493" s="768" t="b">
        <f t="shared" si="28"/>
        <v>1</v>
      </c>
    </row>
    <row r="494" outlineLevel="2" spans="2:24">
      <c r="B494" s="845" t="s">
        <v>2904</v>
      </c>
      <c r="C494" s="693" t="str">
        <f t="shared" si="61"/>
        <v>深圳新阳蓝光能源管理科技股份有限公司</v>
      </c>
      <c r="D494" s="846" t="s">
        <v>3025</v>
      </c>
      <c r="E494" s="753"/>
      <c r="F494" s="815"/>
      <c r="G494" s="829"/>
      <c r="H494" s="829"/>
      <c r="I494" s="829"/>
      <c r="J494" s="829"/>
      <c r="K494" s="829"/>
      <c r="L494" s="715"/>
      <c r="M494" s="837"/>
      <c r="N494" s="829"/>
      <c r="X494" s="768" t="b">
        <f t="shared" si="28"/>
        <v>1</v>
      </c>
    </row>
    <row r="495" outlineLevel="2" spans="1:24">
      <c r="A495" s="826" t="s">
        <v>3032</v>
      </c>
      <c r="B495" s="845" t="s">
        <v>2904</v>
      </c>
      <c r="C495" s="693" t="str">
        <f t="shared" si="61"/>
        <v>深圳新阳蓝光能源管理科技股份有限公司</v>
      </c>
      <c r="D495" s="889" t="s">
        <v>3029</v>
      </c>
      <c r="E495" s="731" t="s">
        <v>3032</v>
      </c>
      <c r="F495" s="802">
        <f>SUM(F490:F494)</f>
        <v>0</v>
      </c>
      <c r="G495" s="829"/>
      <c r="H495" s="829"/>
      <c r="I495" s="829"/>
      <c r="J495" s="829"/>
      <c r="K495" s="829"/>
      <c r="L495" s="715"/>
      <c r="M495" s="837"/>
      <c r="N495" s="829"/>
      <c r="X495" s="768" t="b">
        <f t="shared" si="28"/>
        <v>1</v>
      </c>
    </row>
    <row r="496" outlineLevel="2" spans="2:24">
      <c r="B496" s="845" t="s">
        <v>2904</v>
      </c>
      <c r="C496" s="693" t="str">
        <f t="shared" si="61"/>
        <v>深圳新阳蓝光能源管理科技股份有限公司</v>
      </c>
      <c r="D496" s="846" t="s">
        <v>3025</v>
      </c>
      <c r="E496" s="153"/>
      <c r="F496" s="829"/>
      <c r="G496" s="829"/>
      <c r="H496" s="829"/>
      <c r="I496" s="829"/>
      <c r="J496" s="829"/>
      <c r="K496" s="829"/>
      <c r="L496" s="715"/>
      <c r="M496" s="837"/>
      <c r="N496" s="829"/>
      <c r="X496" s="768" t="b">
        <f t="shared" si="28"/>
        <v>1</v>
      </c>
    </row>
    <row r="497" outlineLevel="2" spans="2:24">
      <c r="B497" s="845" t="s">
        <v>2904</v>
      </c>
      <c r="C497" s="693" t="str">
        <f t="shared" si="61"/>
        <v>深圳新阳蓝光能源管理科技股份有限公司</v>
      </c>
      <c r="D497" s="889"/>
      <c r="E497" s="153"/>
      <c r="F497" s="829"/>
      <c r="G497" s="829"/>
      <c r="H497" s="829"/>
      <c r="I497" s="829"/>
      <c r="J497" s="829"/>
      <c r="K497" s="829"/>
      <c r="L497" s="715"/>
      <c r="M497" s="837"/>
      <c r="N497" s="829"/>
      <c r="X497" s="768" t="b">
        <f t="shared" si="28"/>
        <v>1</v>
      </c>
    </row>
    <row r="498" outlineLevel="2" spans="1:24">
      <c r="A498" s="826" t="s">
        <v>2809</v>
      </c>
      <c r="B498" s="692" t="s">
        <v>2904</v>
      </c>
      <c r="C498" s="693" t="str">
        <f t="shared" si="61"/>
        <v>深圳新阳蓝光能源管理科技股份有限公司</v>
      </c>
      <c r="D498" s="914"/>
      <c r="E498" s="153" t="s">
        <v>2809</v>
      </c>
      <c r="F498" s="872"/>
      <c r="G498" s="829"/>
      <c r="H498" s="829"/>
      <c r="I498" s="829"/>
      <c r="J498" s="829"/>
      <c r="K498" s="829"/>
      <c r="L498" s="715"/>
      <c r="M498" s="837"/>
      <c r="N498" s="829"/>
      <c r="X498" s="768" t="b">
        <f t="shared" si="28"/>
        <v>1</v>
      </c>
    </row>
    <row r="499" outlineLevel="2" spans="2:24">
      <c r="B499" s="692" t="s">
        <v>2904</v>
      </c>
      <c r="C499" s="693" t="str">
        <f t="shared" si="61"/>
        <v>深圳新阳蓝光能源管理科技股份有限公司</v>
      </c>
      <c r="D499" s="914"/>
      <c r="E499" s="153"/>
      <c r="F499" s="829"/>
      <c r="G499" s="829"/>
      <c r="H499" s="829"/>
      <c r="I499" s="829"/>
      <c r="J499" s="829"/>
      <c r="K499" s="829"/>
      <c r="L499" s="715"/>
      <c r="M499" s="837"/>
      <c r="N499" s="829"/>
      <c r="X499" s="768" t="b">
        <f t="shared" ref="X499:X562" si="62">EXACT(A499,E499)</f>
        <v>1</v>
      </c>
    </row>
    <row r="500" spans="1:24">
      <c r="A500" s="936" t="s">
        <v>2040</v>
      </c>
      <c r="B500" s="692" t="s">
        <v>3033</v>
      </c>
      <c r="C500" s="814" t="str">
        <f t="shared" si="61"/>
        <v>深圳新阳蓝光能源管理科技股份有限公司</v>
      </c>
      <c r="D500" s="937" t="s">
        <v>3034</v>
      </c>
      <c r="E500" s="70" t="s">
        <v>3035</v>
      </c>
      <c r="F500" s="938"/>
      <c r="G500" s="938"/>
      <c r="H500" s="938"/>
      <c r="I500" s="938"/>
      <c r="J500" s="951"/>
      <c r="K500" s="951"/>
      <c r="L500" s="866" t="s">
        <v>2913</v>
      </c>
      <c r="M500" s="867"/>
      <c r="N500" s="951"/>
      <c r="O500" s="951"/>
      <c r="X500" s="768" t="b">
        <f t="shared" si="62"/>
        <v>1</v>
      </c>
    </row>
    <row r="501" outlineLevel="2" spans="1:24">
      <c r="A501" s="936" t="s">
        <v>2907</v>
      </c>
      <c r="B501" s="692" t="s">
        <v>3033</v>
      </c>
      <c r="C501" s="693" t="str">
        <f t="shared" si="61"/>
        <v>深圳新阳蓝光能源管理科技股份有限公司</v>
      </c>
      <c r="D501" s="937" t="s">
        <v>3034</v>
      </c>
      <c r="E501" s="939" t="s">
        <v>2907</v>
      </c>
      <c r="F501" s="939" t="s">
        <v>316</v>
      </c>
      <c r="G501" s="939" t="s">
        <v>3036</v>
      </c>
      <c r="H501" s="939" t="s">
        <v>2020</v>
      </c>
      <c r="I501" s="939" t="s">
        <v>3036</v>
      </c>
      <c r="J501" s="952" t="s">
        <v>3037</v>
      </c>
      <c r="K501" s="953" t="s">
        <v>3038</v>
      </c>
      <c r="L501" s="868" t="s">
        <v>2916</v>
      </c>
      <c r="M501" s="868" t="s">
        <v>2917</v>
      </c>
      <c r="N501" s="954"/>
      <c r="O501" s="954"/>
      <c r="X501" s="768" t="b">
        <f t="shared" si="62"/>
        <v>1</v>
      </c>
    </row>
    <row r="502" outlineLevel="2" spans="1:24">
      <c r="A502" s="936" t="s">
        <v>2041</v>
      </c>
      <c r="B502" s="692" t="s">
        <v>3033</v>
      </c>
      <c r="C502" s="693" t="str">
        <f t="shared" si="61"/>
        <v>深圳新阳蓝光能源管理科技股份有限公司</v>
      </c>
      <c r="D502" s="937" t="s">
        <v>3034</v>
      </c>
      <c r="E502" s="940" t="s">
        <v>3039</v>
      </c>
      <c r="F502" s="136">
        <v>1558414.99</v>
      </c>
      <c r="G502" s="941">
        <f>IF($F$506=0,0,ROUND(F502/$F$506,4))+L502</f>
        <v>0.9865</v>
      </c>
      <c r="H502" s="743">
        <f>报表附注合并期初用!E226</f>
        <v>2076981.42</v>
      </c>
      <c r="I502" s="941">
        <f>IF($H$506=0,0,ROUND(H502/$H$506,4))+M502</f>
        <v>0.9906</v>
      </c>
      <c r="J502" s="955"/>
      <c r="K502" s="956"/>
      <c r="L502" s="869"/>
      <c r="M502" s="869"/>
      <c r="N502" s="951"/>
      <c r="O502" s="951"/>
      <c r="X502" s="768" t="b">
        <f t="shared" si="62"/>
        <v>1</v>
      </c>
    </row>
    <row r="503" outlineLevel="2" spans="1:24">
      <c r="A503" s="936" t="s">
        <v>2042</v>
      </c>
      <c r="B503" s="692" t="s">
        <v>3033</v>
      </c>
      <c r="C503" s="693" t="str">
        <f t="shared" si="61"/>
        <v>深圳新阳蓝光能源管理科技股份有限公司</v>
      </c>
      <c r="D503" s="937" t="s">
        <v>3034</v>
      </c>
      <c r="E503" s="940" t="s">
        <v>3040</v>
      </c>
      <c r="F503" s="136">
        <v>21325</v>
      </c>
      <c r="G503" s="941">
        <f t="shared" ref="G503:G505" si="63">IF($F$506=0,0,ROUND(F503/$F$506,4))+L503</f>
        <v>0.0135</v>
      </c>
      <c r="H503" s="743">
        <f>报表附注合并期初用!E227</f>
        <v>0</v>
      </c>
      <c r="I503" s="941">
        <f t="shared" ref="I503:I505" si="64">IF($H$506=0,0,ROUND(H503/$H$506,4))+M503</f>
        <v>0</v>
      </c>
      <c r="J503" s="957" t="str">
        <f>IF(F503&lt;=H502,"合理","1-2年账不合理")</f>
        <v>合理</v>
      </c>
      <c r="K503" s="958"/>
      <c r="L503" s="869"/>
      <c r="M503" s="869"/>
      <c r="N503" s="951"/>
      <c r="O503" s="951"/>
      <c r="X503" s="768" t="b">
        <f t="shared" si="62"/>
        <v>1</v>
      </c>
    </row>
    <row r="504" outlineLevel="2" spans="1:24">
      <c r="A504" s="936" t="s">
        <v>2043</v>
      </c>
      <c r="B504" s="692" t="s">
        <v>3033</v>
      </c>
      <c r="C504" s="693" t="str">
        <f t="shared" si="61"/>
        <v>深圳新阳蓝光能源管理科技股份有限公司</v>
      </c>
      <c r="D504" s="937" t="s">
        <v>3034</v>
      </c>
      <c r="E504" s="940" t="s">
        <v>3041</v>
      </c>
      <c r="F504" s="136"/>
      <c r="G504" s="941">
        <f t="shared" si="63"/>
        <v>0</v>
      </c>
      <c r="H504" s="743">
        <f>报表附注合并期初用!E228</f>
        <v>19800</v>
      </c>
      <c r="I504" s="941">
        <f t="shared" si="64"/>
        <v>0.0094</v>
      </c>
      <c r="J504" s="957" t="str">
        <f>IF(F504&lt;=H503,"合理","2-3年账不合理")</f>
        <v>合理</v>
      </c>
      <c r="K504" s="958"/>
      <c r="L504" s="869"/>
      <c r="M504" s="869"/>
      <c r="N504" s="951"/>
      <c r="O504" s="951"/>
      <c r="X504" s="768" t="b">
        <f t="shared" si="62"/>
        <v>1</v>
      </c>
    </row>
    <row r="505" outlineLevel="2" spans="1:24">
      <c r="A505" s="936" t="s">
        <v>2044</v>
      </c>
      <c r="B505" s="692" t="s">
        <v>3033</v>
      </c>
      <c r="C505" s="693" t="str">
        <f t="shared" si="61"/>
        <v>深圳新阳蓝光能源管理科技股份有限公司</v>
      </c>
      <c r="D505" s="937" t="s">
        <v>3034</v>
      </c>
      <c r="E505" s="940" t="s">
        <v>3042</v>
      </c>
      <c r="F505" s="136"/>
      <c r="G505" s="941">
        <f t="shared" si="63"/>
        <v>0</v>
      </c>
      <c r="H505" s="743">
        <f>报表附注合并期初用!E229</f>
        <v>0</v>
      </c>
      <c r="I505" s="941">
        <f t="shared" si="64"/>
        <v>0</v>
      </c>
      <c r="J505" s="957" t="str">
        <f>IF(F505&lt;=(H504+H505),"合理","3年以上账龄不合理")</f>
        <v>合理</v>
      </c>
      <c r="K505" s="958"/>
      <c r="L505" s="869"/>
      <c r="M505" s="869"/>
      <c r="N505" s="951"/>
      <c r="O505" s="951"/>
      <c r="X505" s="768" t="b">
        <f t="shared" si="62"/>
        <v>1</v>
      </c>
    </row>
    <row r="506" outlineLevel="2" spans="1:24">
      <c r="A506" s="936" t="s">
        <v>2021</v>
      </c>
      <c r="B506" s="692" t="s">
        <v>3033</v>
      </c>
      <c r="C506" s="693" t="str">
        <f t="shared" si="61"/>
        <v>深圳新阳蓝光能源管理科技股份有限公司</v>
      </c>
      <c r="D506" s="937" t="s">
        <v>3034</v>
      </c>
      <c r="E506" s="939" t="s">
        <v>2021</v>
      </c>
      <c r="F506" s="942">
        <f>SUM(F502:F505)</f>
        <v>1579739.99</v>
      </c>
      <c r="G506" s="832">
        <f>ROUND(SUM(G502:G505),4)</f>
        <v>1</v>
      </c>
      <c r="H506" s="943">
        <f>SUM(H502:H505)</f>
        <v>2096781.42</v>
      </c>
      <c r="I506" s="832">
        <f>ROUND(SUM(I502:I505),4)</f>
        <v>1</v>
      </c>
      <c r="J506" s="951"/>
      <c r="K506" s="951"/>
      <c r="L506" s="951"/>
      <c r="M506" s="951"/>
      <c r="N506" s="951"/>
      <c r="O506" s="951"/>
      <c r="X506" s="768" t="b">
        <f t="shared" si="62"/>
        <v>1</v>
      </c>
    </row>
    <row r="507" outlineLevel="2" spans="1:24">
      <c r="A507" s="936" t="s">
        <v>1723</v>
      </c>
      <c r="B507" s="692" t="s">
        <v>3033</v>
      </c>
      <c r="C507" s="693" t="str">
        <f t="shared" si="61"/>
        <v>深圳新阳蓝光能源管理科技股份有限公司</v>
      </c>
      <c r="D507" s="937" t="s">
        <v>3034</v>
      </c>
      <c r="E507" s="944" t="s">
        <v>1723</v>
      </c>
      <c r="F507" s="945">
        <f>审定资负表!C11</f>
        <v>1579739.99</v>
      </c>
      <c r="G507" s="836" t="str">
        <f>IF(OR(报表附注!G506=100%,G506=0),"相符","比例合计不等于100%，请检查")</f>
        <v>相符</v>
      </c>
      <c r="H507" s="946">
        <f>审定资负表!D11</f>
        <v>2096781.42</v>
      </c>
      <c r="I507" s="836" t="str">
        <f>IF(OR(报表附注!I506=100%,I506=0),"相符","比例合计不等于100%，请检查")</f>
        <v>相符</v>
      </c>
      <c r="J507" s="951"/>
      <c r="K507" s="951"/>
      <c r="L507" s="951"/>
      <c r="M507" s="951"/>
      <c r="N507" s="951"/>
      <c r="O507" s="951"/>
      <c r="X507" s="768" t="b">
        <f t="shared" si="62"/>
        <v>1</v>
      </c>
    </row>
    <row r="508" outlineLevel="1" spans="1:24">
      <c r="A508" s="936" t="s">
        <v>1395</v>
      </c>
      <c r="B508" s="692" t="s">
        <v>3033</v>
      </c>
      <c r="C508" s="693" t="str">
        <f t="shared" si="61"/>
        <v>深圳新阳蓝光能源管理科技股份有限公司</v>
      </c>
      <c r="D508" s="937" t="s">
        <v>3034</v>
      </c>
      <c r="E508" s="944" t="s">
        <v>1395</v>
      </c>
      <c r="F508" s="92">
        <f>ROUND(F506-F507,2)</f>
        <v>0</v>
      </c>
      <c r="G508" s="947"/>
      <c r="H508" s="92">
        <f>ROUND(H506-H507,2)</f>
        <v>0</v>
      </c>
      <c r="I508" s="947"/>
      <c r="J508" s="951"/>
      <c r="K508" s="951"/>
      <c r="L508" s="951"/>
      <c r="M508" s="951"/>
      <c r="N508" s="951"/>
      <c r="O508" s="951"/>
      <c r="X508" s="768" t="b">
        <f t="shared" si="62"/>
        <v>1</v>
      </c>
    </row>
    <row r="509" outlineLevel="2" spans="2:24">
      <c r="B509" s="692" t="s">
        <v>3033</v>
      </c>
      <c r="C509" s="693" t="str">
        <f t="shared" si="61"/>
        <v>深圳新阳蓝光能源管理科技股份有限公司</v>
      </c>
      <c r="D509" s="937" t="s">
        <v>3034</v>
      </c>
      <c r="E509" s="938"/>
      <c r="F509" s="938"/>
      <c r="G509" s="938"/>
      <c r="H509" s="938"/>
      <c r="I509" s="938"/>
      <c r="J509" s="951"/>
      <c r="K509" s="951"/>
      <c r="L509" s="951"/>
      <c r="M509" s="951"/>
      <c r="N509" s="951"/>
      <c r="O509" s="951"/>
      <c r="X509" s="768" t="b">
        <f t="shared" si="62"/>
        <v>1</v>
      </c>
    </row>
    <row r="510" outlineLevel="2" spans="1:24">
      <c r="A510" s="936" t="s">
        <v>3043</v>
      </c>
      <c r="B510" s="692" t="s">
        <v>3033</v>
      </c>
      <c r="C510" s="693" t="str">
        <f t="shared" si="61"/>
        <v>深圳新阳蓝光能源管理科技股份有限公司</v>
      </c>
      <c r="D510" s="937" t="s">
        <v>3044</v>
      </c>
      <c r="E510" s="938" t="s">
        <v>3045</v>
      </c>
      <c r="F510" s="938"/>
      <c r="G510" s="938"/>
      <c r="H510" s="938"/>
      <c r="I510" s="938"/>
      <c r="J510" s="919" t="s">
        <v>2966</v>
      </c>
      <c r="K510" s="951"/>
      <c r="L510" s="951"/>
      <c r="M510" s="951"/>
      <c r="N510" s="951"/>
      <c r="O510" s="951"/>
      <c r="X510" s="768" t="b">
        <f t="shared" si="62"/>
        <v>0</v>
      </c>
    </row>
    <row r="511" outlineLevel="2" spans="1:24">
      <c r="A511" s="936" t="s">
        <v>3046</v>
      </c>
      <c r="B511" s="692" t="s">
        <v>3033</v>
      </c>
      <c r="C511" s="693" t="str">
        <f t="shared" si="61"/>
        <v>深圳新阳蓝光能源管理科技股份有限公司</v>
      </c>
      <c r="D511" s="948" t="s">
        <v>3044</v>
      </c>
      <c r="E511" s="939" t="s">
        <v>3046</v>
      </c>
      <c r="F511" s="939" t="s">
        <v>2944</v>
      </c>
      <c r="G511" s="939" t="s">
        <v>366</v>
      </c>
      <c r="H511" s="939" t="s">
        <v>2907</v>
      </c>
      <c r="I511" s="939" t="s">
        <v>3047</v>
      </c>
      <c r="J511" s="900"/>
      <c r="K511" s="951"/>
      <c r="L511" s="951"/>
      <c r="M511" s="951"/>
      <c r="N511" s="951"/>
      <c r="O511" s="951"/>
      <c r="X511" s="768" t="b">
        <f t="shared" si="62"/>
        <v>1</v>
      </c>
    </row>
    <row r="512" outlineLevel="2" spans="2:24">
      <c r="B512" s="692" t="s">
        <v>3033</v>
      </c>
      <c r="C512" s="693" t="str">
        <f t="shared" si="61"/>
        <v>深圳新阳蓝光能源管理科技股份有限公司</v>
      </c>
      <c r="D512" s="937" t="s">
        <v>3048</v>
      </c>
      <c r="E512" s="949"/>
      <c r="F512" s="949"/>
      <c r="G512" s="950"/>
      <c r="H512" s="949"/>
      <c r="I512" s="949"/>
      <c r="J512" s="951"/>
      <c r="K512" s="951"/>
      <c r="L512" s="951"/>
      <c r="M512" s="951"/>
      <c r="N512" s="951"/>
      <c r="O512" s="951"/>
      <c r="X512" s="768" t="b">
        <f t="shared" si="62"/>
        <v>1</v>
      </c>
    </row>
    <row r="513" outlineLevel="2" spans="2:24">
      <c r="B513" s="692" t="s">
        <v>3033</v>
      </c>
      <c r="C513" s="693" t="str">
        <f t="shared" si="61"/>
        <v>深圳新阳蓝光能源管理科技股份有限公司</v>
      </c>
      <c r="D513" s="937" t="s">
        <v>3048</v>
      </c>
      <c r="E513" s="949"/>
      <c r="F513" s="949"/>
      <c r="G513" s="950"/>
      <c r="H513" s="949"/>
      <c r="I513" s="949"/>
      <c r="J513" s="951"/>
      <c r="K513" s="951"/>
      <c r="L513" s="951"/>
      <c r="M513" s="951"/>
      <c r="N513" s="951"/>
      <c r="O513" s="951"/>
      <c r="X513" s="768" t="b">
        <f t="shared" si="62"/>
        <v>1</v>
      </c>
    </row>
    <row r="514" outlineLevel="2" spans="2:24">
      <c r="B514" s="692" t="s">
        <v>3033</v>
      </c>
      <c r="C514" s="693" t="str">
        <f t="shared" si="61"/>
        <v>深圳新阳蓝光能源管理科技股份有限公司</v>
      </c>
      <c r="D514" s="937" t="s">
        <v>3048</v>
      </c>
      <c r="E514" s="949"/>
      <c r="F514" s="949"/>
      <c r="G514" s="950"/>
      <c r="H514" s="949"/>
      <c r="I514" s="949"/>
      <c r="J514" s="951"/>
      <c r="K514" s="951"/>
      <c r="L514" s="951"/>
      <c r="M514" s="951"/>
      <c r="N514" s="951"/>
      <c r="O514" s="951"/>
      <c r="X514" s="768" t="b">
        <f t="shared" si="62"/>
        <v>1</v>
      </c>
    </row>
    <row r="515" outlineLevel="2" spans="2:24">
      <c r="B515" s="692" t="s">
        <v>3033</v>
      </c>
      <c r="C515" s="693" t="str">
        <f t="shared" si="61"/>
        <v>深圳新阳蓝光能源管理科技股份有限公司</v>
      </c>
      <c r="D515" s="937" t="s">
        <v>3048</v>
      </c>
      <c r="E515" s="949"/>
      <c r="F515" s="949"/>
      <c r="G515" s="950"/>
      <c r="H515" s="949"/>
      <c r="I515" s="949"/>
      <c r="J515" s="951"/>
      <c r="K515" s="951"/>
      <c r="L515" s="951"/>
      <c r="M515" s="951"/>
      <c r="N515" s="951"/>
      <c r="O515" s="951"/>
      <c r="X515" s="768" t="b">
        <f t="shared" si="62"/>
        <v>1</v>
      </c>
    </row>
    <row r="516" outlineLevel="2" spans="2:24">
      <c r="B516" s="692" t="s">
        <v>3033</v>
      </c>
      <c r="C516" s="693" t="str">
        <f t="shared" si="61"/>
        <v>深圳新阳蓝光能源管理科技股份有限公司</v>
      </c>
      <c r="D516" s="937" t="s">
        <v>3048</v>
      </c>
      <c r="E516" s="949"/>
      <c r="F516" s="949"/>
      <c r="G516" s="950"/>
      <c r="H516" s="949"/>
      <c r="I516" s="949"/>
      <c r="J516" s="951"/>
      <c r="K516" s="951"/>
      <c r="L516" s="951"/>
      <c r="M516" s="951"/>
      <c r="N516" s="951"/>
      <c r="O516" s="951"/>
      <c r="X516" s="768" t="b">
        <f t="shared" si="62"/>
        <v>1</v>
      </c>
    </row>
    <row r="517" outlineLevel="2" spans="2:24">
      <c r="B517" s="692" t="s">
        <v>3033</v>
      </c>
      <c r="C517" s="693" t="str">
        <f t="shared" si="61"/>
        <v>深圳新阳蓝光能源管理科技股份有限公司</v>
      </c>
      <c r="D517" s="937" t="s">
        <v>3048</v>
      </c>
      <c r="E517" s="949"/>
      <c r="F517" s="949"/>
      <c r="G517" s="950"/>
      <c r="H517" s="949"/>
      <c r="I517" s="949"/>
      <c r="J517" s="951"/>
      <c r="K517" s="951"/>
      <c r="L517" s="951"/>
      <c r="M517" s="951"/>
      <c r="N517" s="951"/>
      <c r="O517" s="951"/>
      <c r="X517" s="768" t="b">
        <f t="shared" si="62"/>
        <v>1</v>
      </c>
    </row>
    <row r="518" outlineLevel="2" spans="2:24">
      <c r="B518" s="692" t="s">
        <v>3033</v>
      </c>
      <c r="C518" s="693" t="str">
        <f t="shared" si="61"/>
        <v>深圳新阳蓝光能源管理科技股份有限公司</v>
      </c>
      <c r="D518" s="937" t="s">
        <v>3048</v>
      </c>
      <c r="E518" s="949"/>
      <c r="F518" s="949"/>
      <c r="G518" s="950"/>
      <c r="H518" s="949"/>
      <c r="I518" s="949"/>
      <c r="J518" s="951"/>
      <c r="K518" s="951"/>
      <c r="L518" s="951"/>
      <c r="M518" s="951"/>
      <c r="N518" s="951"/>
      <c r="O518" s="951"/>
      <c r="X518" s="768" t="b">
        <f t="shared" si="62"/>
        <v>1</v>
      </c>
    </row>
    <row r="519" outlineLevel="2" spans="2:24">
      <c r="B519" s="692" t="s">
        <v>3033</v>
      </c>
      <c r="C519" s="693" t="str">
        <f t="shared" si="61"/>
        <v>深圳新阳蓝光能源管理科技股份有限公司</v>
      </c>
      <c r="D519" s="937" t="s">
        <v>3048</v>
      </c>
      <c r="E519" s="949"/>
      <c r="F519" s="949"/>
      <c r="G519" s="950"/>
      <c r="H519" s="949"/>
      <c r="I519" s="949"/>
      <c r="J519" s="951"/>
      <c r="K519" s="951"/>
      <c r="L519" s="951"/>
      <c r="M519" s="951"/>
      <c r="N519" s="951"/>
      <c r="O519" s="951"/>
      <c r="X519" s="768" t="b">
        <f t="shared" si="62"/>
        <v>1</v>
      </c>
    </row>
    <row r="520" outlineLevel="2" spans="2:24">
      <c r="B520" s="692" t="s">
        <v>3033</v>
      </c>
      <c r="C520" s="693" t="str">
        <f t="shared" si="61"/>
        <v>深圳新阳蓝光能源管理科技股份有限公司</v>
      </c>
      <c r="D520" s="937" t="s">
        <v>3048</v>
      </c>
      <c r="E520" s="949"/>
      <c r="F520" s="949"/>
      <c r="G520" s="950"/>
      <c r="H520" s="949"/>
      <c r="I520" s="949"/>
      <c r="J520" s="951"/>
      <c r="K520" s="951"/>
      <c r="L520" s="951"/>
      <c r="M520" s="951"/>
      <c r="N520" s="951"/>
      <c r="O520" s="951"/>
      <c r="X520" s="768" t="b">
        <f t="shared" si="62"/>
        <v>1</v>
      </c>
    </row>
    <row r="521" outlineLevel="2" spans="2:24">
      <c r="B521" s="692" t="s">
        <v>3033</v>
      </c>
      <c r="C521" s="693" t="str">
        <f t="shared" si="61"/>
        <v>深圳新阳蓝光能源管理科技股份有限公司</v>
      </c>
      <c r="D521" s="937" t="s">
        <v>3048</v>
      </c>
      <c r="E521" s="949"/>
      <c r="F521" s="949"/>
      <c r="G521" s="950"/>
      <c r="H521" s="949"/>
      <c r="I521" s="949"/>
      <c r="J521" s="951"/>
      <c r="K521" s="951"/>
      <c r="L521" s="951"/>
      <c r="M521" s="951"/>
      <c r="N521" s="951"/>
      <c r="O521" s="951"/>
      <c r="X521" s="768" t="b">
        <f t="shared" si="62"/>
        <v>1</v>
      </c>
    </row>
    <row r="522" outlineLevel="2" spans="2:24">
      <c r="B522" s="692" t="s">
        <v>3033</v>
      </c>
      <c r="C522" s="693" t="str">
        <f t="shared" si="61"/>
        <v>深圳新阳蓝光能源管理科技股份有限公司</v>
      </c>
      <c r="D522" s="948" t="s">
        <v>3048</v>
      </c>
      <c r="E522" s="949"/>
      <c r="F522" s="949"/>
      <c r="G522" s="950"/>
      <c r="H522" s="949"/>
      <c r="I522" s="949"/>
      <c r="J522" s="951"/>
      <c r="K522" s="951"/>
      <c r="L522" s="951"/>
      <c r="M522" s="951"/>
      <c r="N522" s="951"/>
      <c r="O522" s="951"/>
      <c r="X522" s="768" t="b">
        <f t="shared" si="62"/>
        <v>1</v>
      </c>
    </row>
    <row r="523" outlineLevel="2" spans="2:24">
      <c r="B523" s="692" t="s">
        <v>3033</v>
      </c>
      <c r="C523" s="693" t="str">
        <f t="shared" si="61"/>
        <v>深圳新阳蓝光能源管理科技股份有限公司</v>
      </c>
      <c r="D523" s="937" t="s">
        <v>3048</v>
      </c>
      <c r="E523" s="949"/>
      <c r="F523" s="949"/>
      <c r="G523" s="950"/>
      <c r="H523" s="949"/>
      <c r="I523" s="949"/>
      <c r="J523" s="951"/>
      <c r="K523" s="951"/>
      <c r="L523" s="951"/>
      <c r="M523" s="951"/>
      <c r="N523" s="951"/>
      <c r="O523" s="951"/>
      <c r="X523" s="768" t="b">
        <f t="shared" si="62"/>
        <v>1</v>
      </c>
    </row>
    <row r="524" outlineLevel="2" spans="2:24">
      <c r="B524" s="692" t="s">
        <v>3033</v>
      </c>
      <c r="C524" s="693" t="str">
        <f t="shared" si="61"/>
        <v>深圳新阳蓝光能源管理科技股份有限公司</v>
      </c>
      <c r="D524" s="948" t="s">
        <v>3048</v>
      </c>
      <c r="E524" s="949"/>
      <c r="F524" s="949"/>
      <c r="G524" s="950"/>
      <c r="H524" s="949"/>
      <c r="I524" s="949"/>
      <c r="J524" s="951"/>
      <c r="K524" s="951"/>
      <c r="L524" s="951"/>
      <c r="M524" s="951"/>
      <c r="N524" s="951"/>
      <c r="O524" s="951"/>
      <c r="X524" s="768" t="b">
        <f t="shared" si="62"/>
        <v>1</v>
      </c>
    </row>
    <row r="525" outlineLevel="2" spans="2:24">
      <c r="B525" s="692" t="s">
        <v>3033</v>
      </c>
      <c r="C525" s="693" t="str">
        <f t="shared" si="61"/>
        <v>深圳新阳蓝光能源管理科技股份有限公司</v>
      </c>
      <c r="D525" s="937" t="s">
        <v>3048</v>
      </c>
      <c r="E525" s="949"/>
      <c r="F525" s="949"/>
      <c r="G525" s="950"/>
      <c r="H525" s="949"/>
      <c r="I525" s="949"/>
      <c r="J525" s="951"/>
      <c r="K525" s="951"/>
      <c r="L525" s="951"/>
      <c r="M525" s="951"/>
      <c r="N525" s="951"/>
      <c r="O525" s="951"/>
      <c r="X525" s="768" t="b">
        <f t="shared" si="62"/>
        <v>1</v>
      </c>
    </row>
    <row r="526" outlineLevel="2" spans="2:24">
      <c r="B526" s="692" t="s">
        <v>3033</v>
      </c>
      <c r="C526" s="693" t="str">
        <f t="shared" si="61"/>
        <v>深圳新阳蓝光能源管理科技股份有限公司</v>
      </c>
      <c r="D526" s="948" t="s">
        <v>3048</v>
      </c>
      <c r="E526" s="949"/>
      <c r="F526" s="949"/>
      <c r="G526" s="950"/>
      <c r="H526" s="949"/>
      <c r="I526" s="949"/>
      <c r="J526" s="951"/>
      <c r="K526" s="951"/>
      <c r="L526" s="951"/>
      <c r="M526" s="951"/>
      <c r="N526" s="951"/>
      <c r="O526" s="951"/>
      <c r="X526" s="768" t="b">
        <f t="shared" si="62"/>
        <v>1</v>
      </c>
    </row>
    <row r="527" outlineLevel="2" spans="2:24">
      <c r="B527" s="692" t="s">
        <v>3033</v>
      </c>
      <c r="C527" s="693" t="str">
        <f t="shared" si="61"/>
        <v>深圳新阳蓝光能源管理科技股份有限公司</v>
      </c>
      <c r="D527" s="937" t="s">
        <v>3048</v>
      </c>
      <c r="E527" s="949"/>
      <c r="F527" s="949"/>
      <c r="G527" s="950"/>
      <c r="H527" s="949"/>
      <c r="I527" s="949"/>
      <c r="J527" s="951"/>
      <c r="K527" s="951"/>
      <c r="L527" s="951"/>
      <c r="M527" s="951"/>
      <c r="N527" s="951"/>
      <c r="O527" s="951"/>
      <c r="X527" s="768" t="b">
        <f t="shared" si="62"/>
        <v>1</v>
      </c>
    </row>
    <row r="528" outlineLevel="2" spans="2:24">
      <c r="B528" s="692" t="s">
        <v>3033</v>
      </c>
      <c r="C528" s="693" t="str">
        <f t="shared" si="61"/>
        <v>深圳新阳蓝光能源管理科技股份有限公司</v>
      </c>
      <c r="D528" s="948" t="s">
        <v>3048</v>
      </c>
      <c r="E528" s="949"/>
      <c r="F528" s="949"/>
      <c r="G528" s="950"/>
      <c r="H528" s="949"/>
      <c r="I528" s="949"/>
      <c r="J528" s="951"/>
      <c r="K528" s="951"/>
      <c r="L528" s="951"/>
      <c r="M528" s="951"/>
      <c r="N528" s="951"/>
      <c r="O528" s="951"/>
      <c r="X528" s="768" t="b">
        <f t="shared" si="62"/>
        <v>1</v>
      </c>
    </row>
    <row r="529" outlineLevel="2" spans="2:24">
      <c r="B529" s="692" t="s">
        <v>3033</v>
      </c>
      <c r="C529" s="693" t="str">
        <f t="shared" si="61"/>
        <v>深圳新阳蓝光能源管理科技股份有限公司</v>
      </c>
      <c r="D529" s="937" t="s">
        <v>3048</v>
      </c>
      <c r="E529" s="949"/>
      <c r="F529" s="949"/>
      <c r="G529" s="950"/>
      <c r="H529" s="949"/>
      <c r="I529" s="949"/>
      <c r="J529" s="951"/>
      <c r="K529" s="951"/>
      <c r="L529" s="951"/>
      <c r="M529" s="951"/>
      <c r="N529" s="951"/>
      <c r="O529" s="951"/>
      <c r="X529" s="768" t="b">
        <f t="shared" si="62"/>
        <v>1</v>
      </c>
    </row>
    <row r="530" outlineLevel="2" spans="1:24">
      <c r="A530" s="936" t="s">
        <v>2021</v>
      </c>
      <c r="B530" s="692" t="s">
        <v>3033</v>
      </c>
      <c r="C530" s="693" t="str">
        <f t="shared" si="61"/>
        <v>深圳新阳蓝光能源管理科技股份有限公司</v>
      </c>
      <c r="D530" s="948" t="s">
        <v>3048</v>
      </c>
      <c r="E530" s="959" t="s">
        <v>2021</v>
      </c>
      <c r="F530" s="960"/>
      <c r="G530" s="961">
        <f>SUM(G512:G529)</f>
        <v>0</v>
      </c>
      <c r="H530" s="960"/>
      <c r="I530" s="960"/>
      <c r="J530" s="951"/>
      <c r="K530" s="951"/>
      <c r="L530" s="951"/>
      <c r="M530" s="951"/>
      <c r="N530" s="951"/>
      <c r="O530" s="951"/>
      <c r="X530" s="768" t="b">
        <f t="shared" si="62"/>
        <v>1</v>
      </c>
    </row>
    <row r="531" outlineLevel="2" spans="2:24">
      <c r="B531" s="692" t="s">
        <v>3033</v>
      </c>
      <c r="C531" s="693" t="str">
        <f t="shared" si="61"/>
        <v>深圳新阳蓝光能源管理科技股份有限公司</v>
      </c>
      <c r="D531" s="937" t="s">
        <v>3048</v>
      </c>
      <c r="E531" s="962"/>
      <c r="F531" s="962"/>
      <c r="G531" s="963"/>
      <c r="H531" s="962"/>
      <c r="I531" s="962"/>
      <c r="J531" s="951"/>
      <c r="K531" s="951"/>
      <c r="L531" s="951"/>
      <c r="M531" s="951"/>
      <c r="N531" s="951"/>
      <c r="O531" s="951"/>
      <c r="X531" s="768" t="b">
        <f t="shared" si="62"/>
        <v>1</v>
      </c>
    </row>
    <row r="532" ht="13.5" customHeight="1" outlineLevel="2" spans="1:24">
      <c r="A532" s="936" t="s">
        <v>3049</v>
      </c>
      <c r="B532" s="692" t="s">
        <v>3033</v>
      </c>
      <c r="C532" s="693" t="str">
        <f t="shared" si="61"/>
        <v>深圳新阳蓝光能源管理科技股份有限公司</v>
      </c>
      <c r="D532" s="948" t="s">
        <v>3049</v>
      </c>
      <c r="E532" s="938" t="s">
        <v>3050</v>
      </c>
      <c r="F532" s="938"/>
      <c r="G532" s="938"/>
      <c r="H532" s="938"/>
      <c r="I532" s="938"/>
      <c r="J532" s="938"/>
      <c r="K532" s="938"/>
      <c r="L532" s="938"/>
      <c r="M532" s="951"/>
      <c r="N532" s="951"/>
      <c r="O532" s="951"/>
      <c r="X532" s="768" t="b">
        <f t="shared" si="62"/>
        <v>1</v>
      </c>
    </row>
    <row r="533" ht="13.5" customHeight="1" outlineLevel="2" spans="1:24">
      <c r="A533" s="936" t="s">
        <v>2473</v>
      </c>
      <c r="B533" s="692" t="s">
        <v>3033</v>
      </c>
      <c r="C533" s="693" t="str">
        <f t="shared" si="61"/>
        <v>深圳新阳蓝光能源管理科技股份有限公司</v>
      </c>
      <c r="D533" s="948" t="s">
        <v>3049</v>
      </c>
      <c r="E533" s="830" t="s">
        <v>2473</v>
      </c>
      <c r="F533" s="830" t="s">
        <v>3010</v>
      </c>
      <c r="G533" s="830" t="s">
        <v>3011</v>
      </c>
      <c r="H533" s="830" t="s">
        <v>3012</v>
      </c>
      <c r="I533" s="830" t="s">
        <v>3011</v>
      </c>
      <c r="J533" s="938"/>
      <c r="K533" s="938"/>
      <c r="L533" s="938"/>
      <c r="M533" s="951"/>
      <c r="N533" s="951"/>
      <c r="O533" s="951"/>
      <c r="X533" s="768" t="b">
        <f t="shared" si="62"/>
        <v>1</v>
      </c>
    </row>
    <row r="534" ht="13.5" customHeight="1" outlineLevel="2" spans="2:24">
      <c r="B534" s="692" t="s">
        <v>3033</v>
      </c>
      <c r="C534" s="693" t="str">
        <f t="shared" si="61"/>
        <v>深圳新阳蓝光能源管理科技股份有限公司</v>
      </c>
      <c r="D534" s="948" t="s">
        <v>3049</v>
      </c>
      <c r="E534" s="753"/>
      <c r="F534" s="753"/>
      <c r="G534" s="753"/>
      <c r="H534" s="753"/>
      <c r="I534" s="753"/>
      <c r="J534" s="938"/>
      <c r="K534" s="938"/>
      <c r="L534" s="938"/>
      <c r="M534" s="951"/>
      <c r="N534" s="951"/>
      <c r="O534" s="951"/>
      <c r="X534" s="768" t="b">
        <f t="shared" si="62"/>
        <v>1</v>
      </c>
    </row>
    <row r="535" ht="13.5" customHeight="1" outlineLevel="2" spans="2:24">
      <c r="B535" s="692" t="s">
        <v>3033</v>
      </c>
      <c r="C535" s="693" t="str">
        <f t="shared" si="61"/>
        <v>深圳新阳蓝光能源管理科技股份有限公司</v>
      </c>
      <c r="D535" s="948" t="s">
        <v>3049</v>
      </c>
      <c r="E535" s="753"/>
      <c r="F535" s="915"/>
      <c r="G535" s="915"/>
      <c r="H535" s="915"/>
      <c r="I535" s="915"/>
      <c r="J535" s="938"/>
      <c r="K535" s="938"/>
      <c r="L535" s="938"/>
      <c r="M535" s="951"/>
      <c r="N535" s="951"/>
      <c r="O535" s="951"/>
      <c r="X535" s="768" t="b">
        <f t="shared" si="62"/>
        <v>1</v>
      </c>
    </row>
    <row r="536" ht="13.5" customHeight="1" outlineLevel="2" spans="2:24">
      <c r="B536" s="692" t="s">
        <v>3033</v>
      </c>
      <c r="C536" s="693" t="str">
        <f t="shared" si="61"/>
        <v>深圳新阳蓝光能源管理科技股份有限公司</v>
      </c>
      <c r="D536" s="948" t="s">
        <v>3049</v>
      </c>
      <c r="E536" s="753"/>
      <c r="F536" s="915"/>
      <c r="G536" s="915"/>
      <c r="H536" s="915"/>
      <c r="I536" s="915"/>
      <c r="J536" s="938"/>
      <c r="K536" s="938"/>
      <c r="L536" s="938"/>
      <c r="M536" s="951"/>
      <c r="N536" s="951"/>
      <c r="O536" s="951"/>
      <c r="X536" s="768" t="b">
        <f t="shared" si="62"/>
        <v>1</v>
      </c>
    </row>
    <row r="537" ht="13.5" customHeight="1" outlineLevel="2" spans="2:24">
      <c r="B537" s="692" t="s">
        <v>3033</v>
      </c>
      <c r="C537" s="693" t="str">
        <f t="shared" si="61"/>
        <v>深圳新阳蓝光能源管理科技股份有限公司</v>
      </c>
      <c r="D537" s="948" t="s">
        <v>3049</v>
      </c>
      <c r="E537" s="753"/>
      <c r="F537" s="915"/>
      <c r="G537" s="915"/>
      <c r="H537" s="915"/>
      <c r="I537" s="915"/>
      <c r="J537" s="938"/>
      <c r="K537" s="938"/>
      <c r="L537" s="938"/>
      <c r="M537" s="951"/>
      <c r="N537" s="951"/>
      <c r="O537" s="951"/>
      <c r="X537" s="768" t="b">
        <f t="shared" si="62"/>
        <v>1</v>
      </c>
    </row>
    <row r="538" ht="13.5" customHeight="1" outlineLevel="2" spans="2:24">
      <c r="B538" s="692" t="s">
        <v>3033</v>
      </c>
      <c r="C538" s="693" t="str">
        <f t="shared" si="61"/>
        <v>深圳新阳蓝光能源管理科技股份有限公司</v>
      </c>
      <c r="D538" s="948" t="s">
        <v>3049</v>
      </c>
      <c r="E538" s="753"/>
      <c r="F538" s="915"/>
      <c r="G538" s="915"/>
      <c r="H538" s="915"/>
      <c r="I538" s="915"/>
      <c r="J538" s="938"/>
      <c r="K538" s="938"/>
      <c r="L538" s="938"/>
      <c r="M538" s="951"/>
      <c r="N538" s="951"/>
      <c r="O538" s="951"/>
      <c r="X538" s="768" t="b">
        <f t="shared" si="62"/>
        <v>1</v>
      </c>
    </row>
    <row r="539" outlineLevel="2" spans="2:24">
      <c r="B539" s="692" t="s">
        <v>3033</v>
      </c>
      <c r="C539" s="693" t="str">
        <f t="shared" si="61"/>
        <v>深圳新阳蓝光能源管理科技股份有限公司</v>
      </c>
      <c r="D539" s="948" t="s">
        <v>3049</v>
      </c>
      <c r="E539" s="753"/>
      <c r="F539" s="915"/>
      <c r="G539" s="915"/>
      <c r="H539" s="915"/>
      <c r="I539" s="915"/>
      <c r="J539" s="951"/>
      <c r="K539" s="951"/>
      <c r="L539" s="951"/>
      <c r="M539" s="951"/>
      <c r="N539" s="951"/>
      <c r="O539" s="951"/>
      <c r="X539" s="768" t="b">
        <f t="shared" si="62"/>
        <v>1</v>
      </c>
    </row>
    <row r="540" outlineLevel="2" spans="2:24">
      <c r="B540" s="692" t="s">
        <v>3033</v>
      </c>
      <c r="C540" s="693" t="str">
        <f t="shared" si="61"/>
        <v>深圳新阳蓝光能源管理科技股份有限公司</v>
      </c>
      <c r="D540" s="948" t="s">
        <v>3049</v>
      </c>
      <c r="E540" s="753"/>
      <c r="F540" s="915"/>
      <c r="G540" s="915"/>
      <c r="H540" s="915"/>
      <c r="I540" s="915"/>
      <c r="J540" s="951"/>
      <c r="K540" s="951"/>
      <c r="L540" s="951"/>
      <c r="M540" s="951"/>
      <c r="N540" s="951"/>
      <c r="O540" s="951"/>
      <c r="X540" s="768" t="b">
        <f t="shared" si="62"/>
        <v>1</v>
      </c>
    </row>
    <row r="541" outlineLevel="2" spans="2:24">
      <c r="B541" s="692" t="s">
        <v>3033</v>
      </c>
      <c r="C541" s="693" t="str">
        <f t="shared" si="61"/>
        <v>深圳新阳蓝光能源管理科技股份有限公司</v>
      </c>
      <c r="D541" s="948" t="s">
        <v>3049</v>
      </c>
      <c r="E541" s="753"/>
      <c r="F541" s="915"/>
      <c r="G541" s="915"/>
      <c r="H541" s="915"/>
      <c r="I541" s="915"/>
      <c r="J541" s="983"/>
      <c r="K541" s="954"/>
      <c r="L541" s="954"/>
      <c r="M541" s="951"/>
      <c r="N541" s="951"/>
      <c r="O541" s="951"/>
      <c r="X541" s="768" t="b">
        <f t="shared" si="62"/>
        <v>1</v>
      </c>
    </row>
    <row r="542" outlineLevel="2" spans="2:24">
      <c r="B542" s="692" t="s">
        <v>3033</v>
      </c>
      <c r="C542" s="693" t="str">
        <f t="shared" si="61"/>
        <v>深圳新阳蓝光能源管理科技股份有限公司</v>
      </c>
      <c r="D542" s="948" t="s">
        <v>3049</v>
      </c>
      <c r="E542" s="753"/>
      <c r="F542" s="915"/>
      <c r="G542" s="915"/>
      <c r="H542" s="915"/>
      <c r="I542" s="915"/>
      <c r="J542" s="838"/>
      <c r="K542" s="951"/>
      <c r="L542" s="951"/>
      <c r="M542" s="951"/>
      <c r="N542" s="951"/>
      <c r="O542" s="951"/>
      <c r="X542" s="768" t="b">
        <f t="shared" si="62"/>
        <v>1</v>
      </c>
    </row>
    <row r="543" outlineLevel="2" spans="2:24">
      <c r="B543" s="692" t="s">
        <v>3033</v>
      </c>
      <c r="C543" s="693" t="str">
        <f t="shared" si="61"/>
        <v>深圳新阳蓝光能源管理科技股份有限公司</v>
      </c>
      <c r="D543" s="948" t="s">
        <v>3049</v>
      </c>
      <c r="E543" s="753"/>
      <c r="F543" s="915"/>
      <c r="G543" s="915"/>
      <c r="H543" s="915"/>
      <c r="I543" s="915"/>
      <c r="J543" s="838"/>
      <c r="K543" s="951"/>
      <c r="L543" s="951"/>
      <c r="M543" s="951"/>
      <c r="N543" s="951"/>
      <c r="O543" s="951"/>
      <c r="X543" s="768" t="b">
        <f t="shared" si="62"/>
        <v>1</v>
      </c>
    </row>
    <row r="544" outlineLevel="2" spans="1:24">
      <c r="A544" s="936" t="s">
        <v>3051</v>
      </c>
      <c r="B544" s="692" t="s">
        <v>3033</v>
      </c>
      <c r="C544" s="693" t="str">
        <f t="shared" si="61"/>
        <v>深圳新阳蓝光能源管理科技股份有限公司</v>
      </c>
      <c r="D544" s="948" t="s">
        <v>3049</v>
      </c>
      <c r="E544" s="964" t="s">
        <v>3051</v>
      </c>
      <c r="F544" s="938"/>
      <c r="G544" s="938"/>
      <c r="H544" s="938"/>
      <c r="I544" s="938"/>
      <c r="J544" s="838"/>
      <c r="K544" s="951"/>
      <c r="L544" s="951"/>
      <c r="M544" s="951"/>
      <c r="N544" s="951"/>
      <c r="O544" s="951"/>
      <c r="X544" s="768" t="b">
        <f t="shared" si="62"/>
        <v>1</v>
      </c>
    </row>
    <row r="545" outlineLevel="2" spans="1:24">
      <c r="A545" s="936" t="s">
        <v>2809</v>
      </c>
      <c r="B545" s="692" t="s">
        <v>3033</v>
      </c>
      <c r="C545" s="693" t="str">
        <f t="shared" si="61"/>
        <v>深圳新阳蓝光能源管理科技股份有限公司</v>
      </c>
      <c r="D545" s="948" t="s">
        <v>3049</v>
      </c>
      <c r="E545" s="938" t="s">
        <v>2809</v>
      </c>
      <c r="F545" s="965"/>
      <c r="G545" s="965"/>
      <c r="H545" s="965"/>
      <c r="I545" s="965"/>
      <c r="J545" s="838"/>
      <c r="K545" s="951"/>
      <c r="L545" s="951"/>
      <c r="M545" s="951"/>
      <c r="N545" s="951"/>
      <c r="O545" s="951"/>
      <c r="X545" s="768" t="b">
        <f t="shared" si="62"/>
        <v>1</v>
      </c>
    </row>
    <row r="546" outlineLevel="2" spans="2:24">
      <c r="B546" s="692" t="s">
        <v>3033</v>
      </c>
      <c r="C546" s="693" t="str">
        <f t="shared" si="61"/>
        <v>深圳新阳蓝光能源管理科技股份有限公司</v>
      </c>
      <c r="D546" s="948" t="s">
        <v>3049</v>
      </c>
      <c r="E546" s="938"/>
      <c r="F546" s="938"/>
      <c r="G546" s="938"/>
      <c r="H546" s="938"/>
      <c r="I546" s="938"/>
      <c r="J546" s="951"/>
      <c r="K546" s="951"/>
      <c r="L546" s="951"/>
      <c r="M546" s="951"/>
      <c r="N546" s="951"/>
      <c r="O546" s="951"/>
      <c r="X546" s="768" t="b">
        <f t="shared" si="62"/>
        <v>1</v>
      </c>
    </row>
    <row r="547" outlineLevel="2" spans="1:24">
      <c r="A547" s="936" t="s">
        <v>3052</v>
      </c>
      <c r="B547" s="692" t="s">
        <v>3033</v>
      </c>
      <c r="C547" s="693" t="str">
        <f t="shared" si="61"/>
        <v>深圳新阳蓝光能源管理科技股份有限公司</v>
      </c>
      <c r="D547" s="937" t="s">
        <v>3053</v>
      </c>
      <c r="E547" s="938" t="s">
        <v>3054</v>
      </c>
      <c r="F547" s="938"/>
      <c r="G547" s="938"/>
      <c r="H547" s="938"/>
      <c r="I547" s="938"/>
      <c r="J547" s="951"/>
      <c r="K547" s="951"/>
      <c r="L547" s="951"/>
      <c r="M547" s="951"/>
      <c r="N547" s="951"/>
      <c r="O547" s="951"/>
      <c r="X547" s="768" t="b">
        <f t="shared" si="62"/>
        <v>1</v>
      </c>
    </row>
    <row r="548" outlineLevel="2" spans="2:24">
      <c r="B548" s="692" t="s">
        <v>3033</v>
      </c>
      <c r="C548" s="693" t="str">
        <f t="shared" si="61"/>
        <v>深圳新阳蓝光能源管理科技股份有限公司</v>
      </c>
      <c r="D548" s="914" t="s">
        <v>3053</v>
      </c>
      <c r="E548" s="153"/>
      <c r="F548" s="829"/>
      <c r="G548" s="829"/>
      <c r="H548" s="829"/>
      <c r="I548" s="829"/>
      <c r="K548" s="919" t="s">
        <v>2966</v>
      </c>
      <c r="L548" s="866" t="s">
        <v>2913</v>
      </c>
      <c r="M548" s="837"/>
      <c r="N548" s="829"/>
      <c r="X548" s="768" t="b">
        <f t="shared" si="62"/>
        <v>1</v>
      </c>
    </row>
    <row r="549" outlineLevel="2" spans="1:24">
      <c r="A549" s="826" t="s">
        <v>2473</v>
      </c>
      <c r="B549" s="692" t="s">
        <v>3033</v>
      </c>
      <c r="C549" s="693" t="str">
        <f t="shared" ref="C549:C584" si="65">$G$1</f>
        <v>深圳新阳蓝光能源管理科技股份有限公司</v>
      </c>
      <c r="D549" s="937" t="s">
        <v>3055</v>
      </c>
      <c r="E549" s="830" t="s">
        <v>2473</v>
      </c>
      <c r="F549" s="830" t="s">
        <v>2992</v>
      </c>
      <c r="G549" s="830" t="s">
        <v>366</v>
      </c>
      <c r="H549" s="830" t="s">
        <v>3056</v>
      </c>
      <c r="I549" s="830" t="s">
        <v>3057</v>
      </c>
      <c r="J549" s="830" t="s">
        <v>3047</v>
      </c>
      <c r="K549" s="830" t="s">
        <v>496</v>
      </c>
      <c r="L549" s="868" t="s">
        <v>2916</v>
      </c>
      <c r="M549" s="829"/>
      <c r="N549" s="715"/>
      <c r="O549" s="837"/>
      <c r="P549" s="829"/>
      <c r="X549" s="768" t="b">
        <f t="shared" si="62"/>
        <v>1</v>
      </c>
    </row>
    <row r="550" outlineLevel="2" spans="2:24">
      <c r="B550" s="692" t="s">
        <v>3033</v>
      </c>
      <c r="C550" s="693" t="str">
        <f t="shared" si="65"/>
        <v>深圳新阳蓝光能源管理科技股份有限公司</v>
      </c>
      <c r="D550" s="914" t="s">
        <v>3055</v>
      </c>
      <c r="E550" s="915" t="s">
        <v>3058</v>
      </c>
      <c r="F550" s="966" t="s">
        <v>2997</v>
      </c>
      <c r="G550" s="815">
        <v>493713.69</v>
      </c>
      <c r="H550" s="855" t="s">
        <v>3059</v>
      </c>
      <c r="I550" s="927">
        <f>IF($F$506=0,0,ROUND(G550/$F$506,4))+L550</f>
        <v>0.3125</v>
      </c>
      <c r="J550" s="984" t="s">
        <v>3060</v>
      </c>
      <c r="K550" s="966" t="s">
        <v>3061</v>
      </c>
      <c r="L550" s="869"/>
      <c r="M550" s="829"/>
      <c r="N550" s="715"/>
      <c r="O550" s="837"/>
      <c r="P550" s="829"/>
      <c r="X550" s="768" t="b">
        <f t="shared" si="62"/>
        <v>0</v>
      </c>
    </row>
    <row r="551" outlineLevel="2" spans="2:24">
      <c r="B551" s="692" t="s">
        <v>3033</v>
      </c>
      <c r="C551" s="693" t="str">
        <f t="shared" si="65"/>
        <v>深圳新阳蓝光能源管理科技股份有限公司</v>
      </c>
      <c r="D551" s="937" t="s">
        <v>3055</v>
      </c>
      <c r="E551" s="915" t="s">
        <v>3062</v>
      </c>
      <c r="F551" s="966" t="s">
        <v>2997</v>
      </c>
      <c r="G551" s="815">
        <v>226700.8</v>
      </c>
      <c r="H551" s="855" t="s">
        <v>3059</v>
      </c>
      <c r="I551" s="927">
        <f t="shared" ref="I551:I554" si="66">IF($F$506=0,0,ROUND(G551/$F$506,4))+L551</f>
        <v>0.1435</v>
      </c>
      <c r="J551" s="984" t="s">
        <v>3060</v>
      </c>
      <c r="K551" s="966" t="s">
        <v>3061</v>
      </c>
      <c r="L551" s="869"/>
      <c r="M551" s="829"/>
      <c r="N551" s="715"/>
      <c r="O551" s="837"/>
      <c r="P551" s="829"/>
      <c r="X551" s="768" t="b">
        <f t="shared" si="62"/>
        <v>0</v>
      </c>
    </row>
    <row r="552" outlineLevel="2" spans="2:24">
      <c r="B552" s="692" t="s">
        <v>3033</v>
      </c>
      <c r="C552" s="693" t="str">
        <f t="shared" si="65"/>
        <v>深圳新阳蓝光能源管理科技股份有限公司</v>
      </c>
      <c r="D552" s="914" t="s">
        <v>3055</v>
      </c>
      <c r="E552" s="915" t="s">
        <v>3063</v>
      </c>
      <c r="F552" s="966" t="s">
        <v>2997</v>
      </c>
      <c r="G552" s="815">
        <v>219229.88</v>
      </c>
      <c r="H552" s="855" t="s">
        <v>3064</v>
      </c>
      <c r="I552" s="927">
        <f t="shared" si="66"/>
        <v>0.1388</v>
      </c>
      <c r="J552" s="984" t="s">
        <v>3060</v>
      </c>
      <c r="K552" s="966" t="s">
        <v>3061</v>
      </c>
      <c r="L552" s="869"/>
      <c r="M552" s="829"/>
      <c r="N552" s="715"/>
      <c r="O552" s="837"/>
      <c r="P552" s="829"/>
      <c r="X552" s="768" t="b">
        <f t="shared" si="62"/>
        <v>0</v>
      </c>
    </row>
    <row r="553" outlineLevel="2" spans="2:24">
      <c r="B553" s="692" t="s">
        <v>3033</v>
      </c>
      <c r="C553" s="693" t="str">
        <f t="shared" si="65"/>
        <v>深圳新阳蓝光能源管理科技股份有限公司</v>
      </c>
      <c r="D553" s="937" t="s">
        <v>3055</v>
      </c>
      <c r="E553" s="915" t="s">
        <v>3065</v>
      </c>
      <c r="F553" s="966" t="s">
        <v>2997</v>
      </c>
      <c r="G553" s="815">
        <v>137527.99</v>
      </c>
      <c r="H553" s="855" t="s">
        <v>3064</v>
      </c>
      <c r="I553" s="927">
        <f t="shared" si="66"/>
        <v>0.0871</v>
      </c>
      <c r="J553" s="984" t="s">
        <v>3060</v>
      </c>
      <c r="K553" s="966" t="s">
        <v>3061</v>
      </c>
      <c r="L553" s="869"/>
      <c r="M553" s="829"/>
      <c r="N553" s="715"/>
      <c r="O553" s="837"/>
      <c r="P553" s="829"/>
      <c r="X553" s="768" t="b">
        <f t="shared" si="62"/>
        <v>0</v>
      </c>
    </row>
    <row r="554" outlineLevel="2" spans="2:24">
      <c r="B554" s="692" t="s">
        <v>3033</v>
      </c>
      <c r="C554" s="693" t="str">
        <f t="shared" si="65"/>
        <v>深圳新阳蓝光能源管理科技股份有限公司</v>
      </c>
      <c r="D554" s="914" t="s">
        <v>3055</v>
      </c>
      <c r="E554" s="915" t="s">
        <v>3066</v>
      </c>
      <c r="F554" s="966" t="s">
        <v>2997</v>
      </c>
      <c r="G554" s="815">
        <v>105557.67</v>
      </c>
      <c r="H554" s="855" t="s">
        <v>3064</v>
      </c>
      <c r="I554" s="927">
        <f t="shared" si="66"/>
        <v>0.0668</v>
      </c>
      <c r="J554" s="984" t="s">
        <v>3060</v>
      </c>
      <c r="K554" s="966" t="s">
        <v>3061</v>
      </c>
      <c r="L554" s="869"/>
      <c r="M554" s="829"/>
      <c r="N554" s="715"/>
      <c r="O554" s="837"/>
      <c r="P554" s="829"/>
      <c r="X554" s="768" t="b">
        <f t="shared" si="62"/>
        <v>0</v>
      </c>
    </row>
    <row r="555" outlineLevel="2" spans="1:24">
      <c r="A555" s="826" t="s">
        <v>2021</v>
      </c>
      <c r="B555" s="692" t="s">
        <v>3033</v>
      </c>
      <c r="C555" s="693" t="str">
        <f t="shared" si="65"/>
        <v>深圳新阳蓝光能源管理科技股份有限公司</v>
      </c>
      <c r="D555" s="937" t="s">
        <v>3055</v>
      </c>
      <c r="E555" s="830" t="s">
        <v>2021</v>
      </c>
      <c r="F555" s="830"/>
      <c r="G555" s="802">
        <f>SUM(G550:G554)</f>
        <v>1182730.03</v>
      </c>
      <c r="H555" s="874"/>
      <c r="I555" s="927">
        <f>IF($F$506=0,0,ROUND(G555/$F$506,4))</f>
        <v>0.7487</v>
      </c>
      <c r="J555" s="985"/>
      <c r="K555" s="874"/>
      <c r="L555" s="829"/>
      <c r="M555" s="829"/>
      <c r="N555" s="715"/>
      <c r="O555" s="837"/>
      <c r="P555" s="829"/>
      <c r="X555" s="768" t="b">
        <f t="shared" si="62"/>
        <v>1</v>
      </c>
    </row>
    <row r="556" outlineLevel="2" spans="2:24">
      <c r="B556" s="692" t="s">
        <v>3033</v>
      </c>
      <c r="C556" s="693" t="str">
        <f t="shared" si="65"/>
        <v>深圳新阳蓝光能源管理科技股份有限公司</v>
      </c>
      <c r="D556" s="914" t="s">
        <v>3055</v>
      </c>
      <c r="E556" s="938"/>
      <c r="F556" s="938"/>
      <c r="G556" s="938"/>
      <c r="H556" s="967" t="s">
        <v>3020</v>
      </c>
      <c r="I556" s="930">
        <f>SUM(I550:I554)-I555</f>
        <v>0</v>
      </c>
      <c r="J556" s="951"/>
      <c r="K556" s="951"/>
      <c r="L556" s="951"/>
      <c r="M556" s="951"/>
      <c r="N556" s="951"/>
      <c r="O556" s="951"/>
      <c r="X556" s="768" t="b">
        <f t="shared" si="62"/>
        <v>1</v>
      </c>
    </row>
    <row r="557" outlineLevel="2" spans="1:24">
      <c r="A557" s="936" t="s">
        <v>3067</v>
      </c>
      <c r="B557" s="692" t="s">
        <v>3033</v>
      </c>
      <c r="C557" s="693" t="str">
        <f t="shared" si="65"/>
        <v>深圳新阳蓝光能源管理科技股份有限公司</v>
      </c>
      <c r="D557" s="948" t="s">
        <v>3067</v>
      </c>
      <c r="E557" s="938" t="s">
        <v>3068</v>
      </c>
      <c r="F557" s="938"/>
      <c r="G557" s="938"/>
      <c r="H557" s="938"/>
      <c r="I557" s="938"/>
      <c r="J557" s="951"/>
      <c r="K557" s="951"/>
      <c r="L557" s="951"/>
      <c r="M557" s="951"/>
      <c r="N557" s="951"/>
      <c r="O557" s="951"/>
      <c r="X557" s="768" t="b">
        <f t="shared" si="62"/>
        <v>1</v>
      </c>
    </row>
    <row r="558" outlineLevel="2" spans="1:24">
      <c r="A558" s="936" t="s">
        <v>2809</v>
      </c>
      <c r="B558" s="692" t="s">
        <v>3033</v>
      </c>
      <c r="C558" s="693" t="str">
        <f t="shared" si="65"/>
        <v>深圳新阳蓝光能源管理科技股份有限公司</v>
      </c>
      <c r="D558" s="948" t="s">
        <v>3069</v>
      </c>
      <c r="E558" s="938" t="s">
        <v>2809</v>
      </c>
      <c r="F558" s="965"/>
      <c r="G558" s="965"/>
      <c r="H558" s="965"/>
      <c r="I558" s="965"/>
      <c r="J558" s="986"/>
      <c r="K558" s="986"/>
      <c r="L558" s="951"/>
      <c r="M558" s="951"/>
      <c r="N558" s="951"/>
      <c r="O558" s="951"/>
      <c r="X558" s="768" t="b">
        <f t="shared" si="62"/>
        <v>1</v>
      </c>
    </row>
    <row r="559" outlineLevel="2" spans="1:24">
      <c r="A559" s="936" t="s">
        <v>3070</v>
      </c>
      <c r="B559" s="692" t="s">
        <v>3033</v>
      </c>
      <c r="C559" s="693" t="str">
        <f t="shared" si="65"/>
        <v>深圳新阳蓝光能源管理科技股份有限公司</v>
      </c>
      <c r="D559" s="937" t="s">
        <v>3070</v>
      </c>
      <c r="E559" s="938" t="s">
        <v>3071</v>
      </c>
      <c r="F559" s="938"/>
      <c r="G559" s="938"/>
      <c r="H559" s="938"/>
      <c r="I559" s="938"/>
      <c r="J559" s="951"/>
      <c r="K559" s="951"/>
      <c r="L559" s="951"/>
      <c r="M559" s="951"/>
      <c r="N559" s="951"/>
      <c r="O559" s="951"/>
      <c r="X559" s="768" t="b">
        <f t="shared" si="62"/>
        <v>1</v>
      </c>
    </row>
    <row r="560" outlineLevel="2" spans="1:24">
      <c r="A560" s="936" t="s">
        <v>2809</v>
      </c>
      <c r="B560" s="692" t="s">
        <v>3033</v>
      </c>
      <c r="C560" s="693" t="str">
        <f t="shared" si="65"/>
        <v>深圳新阳蓝光能源管理科技股份有限公司</v>
      </c>
      <c r="D560" s="937" t="s">
        <v>3070</v>
      </c>
      <c r="E560" s="938" t="s">
        <v>2809</v>
      </c>
      <c r="F560" s="965"/>
      <c r="G560" s="965"/>
      <c r="H560" s="965"/>
      <c r="I560" s="965"/>
      <c r="J560" s="986"/>
      <c r="K560" s="986"/>
      <c r="L560" s="951"/>
      <c r="M560" s="951"/>
      <c r="N560" s="951"/>
      <c r="O560" s="951"/>
      <c r="X560" s="768" t="b">
        <f t="shared" si="62"/>
        <v>1</v>
      </c>
    </row>
    <row r="561" outlineLevel="2" spans="2:24">
      <c r="B561" s="692" t="s">
        <v>3033</v>
      </c>
      <c r="C561" s="693" t="str">
        <f t="shared" si="65"/>
        <v>深圳新阳蓝光能源管理科技股份有限公司</v>
      </c>
      <c r="D561" s="937" t="s">
        <v>3070</v>
      </c>
      <c r="E561" s="944"/>
      <c r="F561" s="968"/>
      <c r="G561" s="947"/>
      <c r="H561" s="969"/>
      <c r="I561" s="947"/>
      <c r="J561" s="951"/>
      <c r="K561" s="951"/>
      <c r="L561" s="951"/>
      <c r="M561" s="951"/>
      <c r="N561" s="951"/>
      <c r="O561" s="951"/>
      <c r="X561" s="768" t="b">
        <f t="shared" si="62"/>
        <v>1</v>
      </c>
    </row>
    <row r="562" spans="1:24">
      <c r="A562" s="970" t="s">
        <v>2045</v>
      </c>
      <c r="B562" s="692" t="s">
        <v>3072</v>
      </c>
      <c r="C562" s="693" t="str">
        <f t="shared" si="65"/>
        <v>深圳新阳蓝光能源管理科技股份有限公司</v>
      </c>
      <c r="D562" s="971" t="s">
        <v>3073</v>
      </c>
      <c r="E562" s="70" t="s">
        <v>3074</v>
      </c>
      <c r="F562" s="972"/>
      <c r="G562" s="972"/>
      <c r="H562" s="972"/>
      <c r="I562" s="972"/>
      <c r="J562" s="972"/>
      <c r="K562" s="972"/>
      <c r="L562" s="972"/>
      <c r="M562" s="972"/>
      <c r="X562" s="768" t="b">
        <f t="shared" si="62"/>
        <v>1</v>
      </c>
    </row>
    <row r="563" ht="22.5" outlineLevel="2" spans="1:24">
      <c r="A563" s="970" t="s">
        <v>443</v>
      </c>
      <c r="B563" s="692" t="s">
        <v>3072</v>
      </c>
      <c r="C563" s="693" t="str">
        <f t="shared" si="65"/>
        <v>深圳新阳蓝光能源管理科技股份有限公司</v>
      </c>
      <c r="D563" s="971" t="s">
        <v>3073</v>
      </c>
      <c r="E563" s="973" t="s">
        <v>443</v>
      </c>
      <c r="F563" s="973" t="s">
        <v>316</v>
      </c>
      <c r="G563" s="973"/>
      <c r="H563" s="973"/>
      <c r="I563" s="973"/>
      <c r="J563" s="973" t="s">
        <v>2020</v>
      </c>
      <c r="K563" s="973"/>
      <c r="L563" s="973"/>
      <c r="M563" s="973"/>
      <c r="N563" s="987" t="s">
        <v>2908</v>
      </c>
      <c r="O563" s="988" t="s">
        <v>2909</v>
      </c>
      <c r="P563" s="989" t="s">
        <v>2910</v>
      </c>
      <c r="Q563" s="995" t="s">
        <v>2911</v>
      </c>
      <c r="R563" s="989" t="s">
        <v>2912</v>
      </c>
      <c r="S563" s="866" t="s">
        <v>2913</v>
      </c>
      <c r="T563" s="867"/>
      <c r="X563" s="768" t="b">
        <f t="shared" ref="X563:X591" si="67">EXACT(A563,E563)</f>
        <v>1</v>
      </c>
    </row>
    <row r="564" outlineLevel="2" spans="2:27">
      <c r="B564" s="692" t="s">
        <v>3072</v>
      </c>
      <c r="C564" s="693" t="str">
        <f t="shared" si="65"/>
        <v>深圳新阳蓝光能源管理科技股份有限公司</v>
      </c>
      <c r="D564" s="971" t="s">
        <v>3073</v>
      </c>
      <c r="E564" s="973"/>
      <c r="F564" s="973" t="s">
        <v>2914</v>
      </c>
      <c r="G564" s="973" t="s">
        <v>445</v>
      </c>
      <c r="H564" s="973" t="s">
        <v>471</v>
      </c>
      <c r="I564" s="973" t="s">
        <v>2915</v>
      </c>
      <c r="J564" s="973" t="s">
        <v>2914</v>
      </c>
      <c r="K564" s="973" t="s">
        <v>445</v>
      </c>
      <c r="L564" s="973" t="s">
        <v>471</v>
      </c>
      <c r="M564" s="973" t="s">
        <v>2915</v>
      </c>
      <c r="N564" s="990"/>
      <c r="O564" s="991"/>
      <c r="P564" s="990"/>
      <c r="Q564" s="996"/>
      <c r="R564" s="990"/>
      <c r="S564" s="868" t="s">
        <v>2916</v>
      </c>
      <c r="T564" s="868" t="s">
        <v>2917</v>
      </c>
      <c r="X564" s="768" t="b">
        <f t="shared" si="67"/>
        <v>1</v>
      </c>
      <c r="Z564" s="999" t="s">
        <v>366</v>
      </c>
      <c r="AA564" s="999" t="s">
        <v>2918</v>
      </c>
    </row>
    <row r="565" outlineLevel="2" spans="1:28">
      <c r="A565" s="970" t="s">
        <v>2026</v>
      </c>
      <c r="B565" s="692" t="s">
        <v>3072</v>
      </c>
      <c r="C565" s="693" t="str">
        <f t="shared" si="65"/>
        <v>深圳新阳蓝光能源管理科技股份有限公司</v>
      </c>
      <c r="D565" s="971" t="s">
        <v>3073</v>
      </c>
      <c r="E565" s="974" t="s">
        <v>2921</v>
      </c>
      <c r="F565" s="136">
        <v>10028665.73</v>
      </c>
      <c r="G565" s="832">
        <f>IF($F$571=0,0,ROUND(F565/$F$571,4))+S565</f>
        <v>0.5335</v>
      </c>
      <c r="H565" s="136">
        <v>501411.44</v>
      </c>
      <c r="I565" s="832">
        <f>IFERROR(ROUND(H565/F565,4),0)</f>
        <v>0.05</v>
      </c>
      <c r="J565" s="743">
        <f>报表附注合并期初用!E240</f>
        <v>16356058.6</v>
      </c>
      <c r="K565" s="832">
        <f>IF($J$571=0,0,ROUND(J565/$J$571,4))+T565</f>
        <v>0.9147</v>
      </c>
      <c r="L565" s="743">
        <f>报表附注合并期初用!E248</f>
        <v>624116.3</v>
      </c>
      <c r="M565" s="832">
        <f>IFERROR(ROUND(L565/J565,4),0)</f>
        <v>0.0382</v>
      </c>
      <c r="N565" s="898">
        <v>0.05</v>
      </c>
      <c r="O565" s="861"/>
      <c r="P565" s="863"/>
      <c r="Q565" s="997">
        <f>F565-K636</f>
        <v>10028228.73</v>
      </c>
      <c r="R565" s="997">
        <f>ROUND(N565*Q565,2)</f>
        <v>501411.44</v>
      </c>
      <c r="S565" s="869"/>
      <c r="T565" s="869"/>
      <c r="X565" s="768" t="b">
        <f t="shared" si="67"/>
        <v>1</v>
      </c>
      <c r="Y565" s="1000" t="s">
        <v>2922</v>
      </c>
      <c r="Z565" s="838">
        <v>2978920.65</v>
      </c>
      <c r="AA565" s="838">
        <v>29784.84</v>
      </c>
      <c r="AB565" s="884">
        <f>ROUND(AA565/Z565,2)</f>
        <v>0.01</v>
      </c>
    </row>
    <row r="566" outlineLevel="2" spans="1:28">
      <c r="A566" s="970" t="s">
        <v>2027</v>
      </c>
      <c r="B566" s="692" t="s">
        <v>3072</v>
      </c>
      <c r="C566" s="693" t="str">
        <f t="shared" si="65"/>
        <v>深圳新阳蓝光能源管理科技股份有限公司</v>
      </c>
      <c r="D566" s="971" t="s">
        <v>3073</v>
      </c>
      <c r="E566" s="974" t="s">
        <v>2923</v>
      </c>
      <c r="F566" s="136">
        <v>8086258.82</v>
      </c>
      <c r="G566" s="832">
        <f t="shared" ref="G566:G570" si="68">IF($F$571=0,0,ROUND(F566/$F$571,4))+S566</f>
        <v>0.4301</v>
      </c>
      <c r="H566" s="136">
        <v>458371.08</v>
      </c>
      <c r="I566" s="832">
        <f t="shared" ref="I566:I571" si="69">IFERROR(ROUND(H566/F566,4),0)</f>
        <v>0.0567</v>
      </c>
      <c r="J566" s="743">
        <f>报表附注合并期初用!E241</f>
        <v>594556.18</v>
      </c>
      <c r="K566" s="832">
        <f t="shared" ref="K566:K570" si="70">IF($J$571=0,0,ROUND(J566/$J$571,4))+T566</f>
        <v>0.0332</v>
      </c>
      <c r="L566" s="743">
        <f>报表附注合并期初用!E249</f>
        <v>59455.62</v>
      </c>
      <c r="M566" s="832">
        <f t="shared" ref="M566:M571" si="71">IFERROR(ROUND(L566/J566,4),0)</f>
        <v>0.1</v>
      </c>
      <c r="N566" s="898">
        <v>0.1</v>
      </c>
      <c r="O566" s="864" t="str">
        <f>IF(F566&lt;=J565,"合理","1-2年账不合理")</f>
        <v>合理</v>
      </c>
      <c r="P566" s="863"/>
      <c r="Q566" s="997">
        <f>F566-L636</f>
        <v>4583710.82</v>
      </c>
      <c r="R566" s="997">
        <f t="shared" ref="R566:R570" si="72">ROUND(N566*Q566,2)</f>
        <v>458371.08</v>
      </c>
      <c r="S566" s="869"/>
      <c r="T566" s="869"/>
      <c r="X566" s="768" t="b">
        <f t="shared" si="67"/>
        <v>1</v>
      </c>
      <c r="Y566" s="970" t="s">
        <v>2924</v>
      </c>
      <c r="Z566" s="838">
        <v>4820598</v>
      </c>
      <c r="AA566" s="838">
        <v>65902.5</v>
      </c>
      <c r="AB566" s="884">
        <f>ROUND(AA566/Z566,2)</f>
        <v>0.01</v>
      </c>
    </row>
    <row r="567" outlineLevel="2" spans="1:24">
      <c r="A567" s="970" t="s">
        <v>2028</v>
      </c>
      <c r="B567" s="692" t="s">
        <v>3072</v>
      </c>
      <c r="C567" s="693" t="str">
        <f t="shared" si="65"/>
        <v>深圳新阳蓝光能源管理科技股份有限公司</v>
      </c>
      <c r="D567" s="971" t="s">
        <v>3073</v>
      </c>
      <c r="E567" s="974" t="s">
        <v>2925</v>
      </c>
      <c r="F567" s="136">
        <v>15000</v>
      </c>
      <c r="G567" s="832">
        <f t="shared" si="68"/>
        <v>0.0008</v>
      </c>
      <c r="H567" s="136">
        <v>3000</v>
      </c>
      <c r="I567" s="832">
        <f t="shared" si="69"/>
        <v>0.2</v>
      </c>
      <c r="J567" s="743">
        <f>报表附注合并期初用!E242</f>
        <v>832112.26</v>
      </c>
      <c r="K567" s="832">
        <f t="shared" si="70"/>
        <v>0.0465</v>
      </c>
      <c r="L567" s="743">
        <f>报表附注合并期初用!E250</f>
        <v>166422.45</v>
      </c>
      <c r="M567" s="832">
        <f t="shared" si="71"/>
        <v>0.2</v>
      </c>
      <c r="N567" s="898">
        <v>0.2</v>
      </c>
      <c r="O567" s="864" t="str">
        <f>IF(F567&lt;=J566,"合理","2-3年账不合理")</f>
        <v>合理</v>
      </c>
      <c r="P567" s="863"/>
      <c r="Q567" s="997">
        <f>F567-M636</f>
        <v>15000</v>
      </c>
      <c r="R567" s="997">
        <f t="shared" si="72"/>
        <v>3000</v>
      </c>
      <c r="S567" s="869"/>
      <c r="T567" s="869"/>
      <c r="X567" s="768" t="b">
        <f t="shared" si="67"/>
        <v>1</v>
      </c>
    </row>
    <row r="568" outlineLevel="2" spans="1:24">
      <c r="A568" s="970" t="s">
        <v>2029</v>
      </c>
      <c r="B568" s="692" t="s">
        <v>3072</v>
      </c>
      <c r="C568" s="693" t="str">
        <f t="shared" si="65"/>
        <v>深圳新阳蓝光能源管理科技股份有限公司</v>
      </c>
      <c r="D568" s="971" t="s">
        <v>3073</v>
      </c>
      <c r="E568" s="974" t="s">
        <v>2926</v>
      </c>
      <c r="F568" s="136">
        <v>570200</v>
      </c>
      <c r="G568" s="832">
        <f t="shared" si="68"/>
        <v>0.0303</v>
      </c>
      <c r="H568" s="136">
        <v>285100</v>
      </c>
      <c r="I568" s="832">
        <f t="shared" si="69"/>
        <v>0.5</v>
      </c>
      <c r="J568" s="743">
        <f>报表附注合并期初用!E243</f>
        <v>99064</v>
      </c>
      <c r="K568" s="832">
        <f t="shared" si="70"/>
        <v>0.0055</v>
      </c>
      <c r="L568" s="743">
        <f>报表附注合并期初用!E251</f>
        <v>49532</v>
      </c>
      <c r="M568" s="832">
        <f t="shared" si="71"/>
        <v>0.5</v>
      </c>
      <c r="N568" s="898">
        <v>0.5</v>
      </c>
      <c r="O568" s="864" t="str">
        <f>IF(F568&lt;=J567+J568,"合理","3-4年账不合理")</f>
        <v>合理</v>
      </c>
      <c r="P568" s="863"/>
      <c r="Q568" s="997">
        <f>F568-N636</f>
        <v>570200</v>
      </c>
      <c r="R568" s="997">
        <f t="shared" si="72"/>
        <v>285100</v>
      </c>
      <c r="S568" s="869"/>
      <c r="T568" s="869"/>
      <c r="X568" s="768" t="b">
        <f t="shared" si="67"/>
        <v>1</v>
      </c>
    </row>
    <row r="569" outlineLevel="2" spans="1:24">
      <c r="A569" s="970" t="s">
        <v>2030</v>
      </c>
      <c r="B569" s="692" t="s">
        <v>3072</v>
      </c>
      <c r="C569" s="693" t="str">
        <f t="shared" si="65"/>
        <v>深圳新阳蓝光能源管理科技股份有限公司</v>
      </c>
      <c r="D569" s="971" t="s">
        <v>3073</v>
      </c>
      <c r="E569" s="974" t="s">
        <v>2928</v>
      </c>
      <c r="F569" s="975">
        <v>99064</v>
      </c>
      <c r="G569" s="832">
        <f t="shared" si="68"/>
        <v>0.0053</v>
      </c>
      <c r="H569" s="975">
        <v>79251.2</v>
      </c>
      <c r="I569" s="832">
        <f t="shared" si="69"/>
        <v>0.8</v>
      </c>
      <c r="J569" s="743">
        <f>报表附注合并期初用!E244</f>
        <v>0</v>
      </c>
      <c r="K569" s="832">
        <f t="shared" si="70"/>
        <v>0</v>
      </c>
      <c r="L569" s="743">
        <f>报表附注合并期初用!E252</f>
        <v>0</v>
      </c>
      <c r="M569" s="832">
        <f t="shared" si="71"/>
        <v>0</v>
      </c>
      <c r="N569" s="898">
        <v>0.8</v>
      </c>
      <c r="O569" s="864" t="str">
        <f>IF(F569&lt;=J568,"合理","3-4年账龄不合理")</f>
        <v>合理</v>
      </c>
      <c r="P569" s="863"/>
      <c r="Q569" s="997">
        <f>F569-O636</f>
        <v>99064</v>
      </c>
      <c r="R569" s="997">
        <f t="shared" si="72"/>
        <v>79251.2</v>
      </c>
      <c r="S569" s="869"/>
      <c r="T569" s="869"/>
      <c r="X569" s="768" t="b">
        <f t="shared" si="67"/>
        <v>1</v>
      </c>
    </row>
    <row r="570" outlineLevel="2" spans="1:24">
      <c r="A570" s="970" t="s">
        <v>2031</v>
      </c>
      <c r="B570" s="692" t="s">
        <v>3072</v>
      </c>
      <c r="C570" s="693" t="str">
        <f t="shared" si="65"/>
        <v>深圳新阳蓝光能源管理科技股份有限公司</v>
      </c>
      <c r="D570" s="971" t="s">
        <v>3073</v>
      </c>
      <c r="E570" s="974" t="s">
        <v>2929</v>
      </c>
      <c r="F570" s="975"/>
      <c r="G570" s="832">
        <f t="shared" si="68"/>
        <v>0</v>
      </c>
      <c r="H570" s="975"/>
      <c r="I570" s="832">
        <f t="shared" si="69"/>
        <v>0</v>
      </c>
      <c r="J570" s="743">
        <f>报表附注合并期初用!E245</f>
        <v>0</v>
      </c>
      <c r="K570" s="832">
        <f t="shared" si="70"/>
        <v>0.0001</v>
      </c>
      <c r="L570" s="743">
        <f>报表附注合并期初用!E253</f>
        <v>0</v>
      </c>
      <c r="M570" s="832">
        <f t="shared" si="71"/>
        <v>0</v>
      </c>
      <c r="N570" s="898">
        <v>1</v>
      </c>
      <c r="O570" s="864" t="str">
        <f>IF(F570&lt;=(J570+J569),"合理","5年以上账龄不合理")</f>
        <v>合理</v>
      </c>
      <c r="P570" s="863"/>
      <c r="Q570" s="997">
        <f>F570-P636</f>
        <v>0</v>
      </c>
      <c r="R570" s="997">
        <f t="shared" si="72"/>
        <v>0</v>
      </c>
      <c r="S570" s="869"/>
      <c r="T570" s="869">
        <v>0.0001</v>
      </c>
      <c r="X570" s="768" t="b">
        <f t="shared" si="67"/>
        <v>1</v>
      </c>
    </row>
    <row r="571" outlineLevel="2" spans="1:24">
      <c r="A571" s="970" t="s">
        <v>2021</v>
      </c>
      <c r="B571" s="692" t="s">
        <v>3072</v>
      </c>
      <c r="C571" s="693" t="str">
        <f t="shared" si="65"/>
        <v>深圳新阳蓝光能源管理科技股份有限公司</v>
      </c>
      <c r="D571" s="971" t="s">
        <v>3073</v>
      </c>
      <c r="E571" s="973" t="s">
        <v>2021</v>
      </c>
      <c r="F571" s="976">
        <f t="shared" ref="F571:L571" si="73">SUM(F565:F570)</f>
        <v>18799188.55</v>
      </c>
      <c r="G571" s="832">
        <f t="shared" si="73"/>
        <v>1</v>
      </c>
      <c r="H571" s="834">
        <f t="shared" si="73"/>
        <v>1327133.72</v>
      </c>
      <c r="I571" s="832">
        <f t="shared" si="69"/>
        <v>0.0706</v>
      </c>
      <c r="J571" s="834">
        <f t="shared" si="73"/>
        <v>17881791.04</v>
      </c>
      <c r="K571" s="832">
        <f t="shared" si="73"/>
        <v>1</v>
      </c>
      <c r="L571" s="834">
        <f t="shared" si="73"/>
        <v>899526.37</v>
      </c>
      <c r="M571" s="832">
        <f t="shared" si="71"/>
        <v>0.0503</v>
      </c>
      <c r="N571" s="826"/>
      <c r="O571" s="829"/>
      <c r="P571" s="826"/>
      <c r="Q571" s="998" t="s">
        <v>2021</v>
      </c>
      <c r="R571" s="997">
        <f>SUM(R565:R570)</f>
        <v>1327133.72</v>
      </c>
      <c r="X571" s="768" t="b">
        <f t="shared" si="67"/>
        <v>1</v>
      </c>
    </row>
    <row r="572" outlineLevel="2" spans="1:24">
      <c r="A572" s="970" t="s">
        <v>1723</v>
      </c>
      <c r="B572" s="692" t="s">
        <v>3072</v>
      </c>
      <c r="C572" s="693" t="str">
        <f t="shared" si="65"/>
        <v>深圳新阳蓝光能源管理科技股份有限公司</v>
      </c>
      <c r="D572" s="971" t="s">
        <v>3073</v>
      </c>
      <c r="E572" s="944" t="s">
        <v>1723</v>
      </c>
      <c r="F572" s="977">
        <f>审定资负表!C14</f>
        <v>17472054.83</v>
      </c>
      <c r="G572" s="836" t="str">
        <f>IF(OR(报表附注!G571=100%,G571=0),"相符","比例合计不等于100%，请检查")</f>
        <v>相符</v>
      </c>
      <c r="H572" s="715">
        <f>H571-L571</f>
        <v>427607.35</v>
      </c>
      <c r="I572" s="714"/>
      <c r="J572" s="835">
        <f>审定资负表!D14</f>
        <v>16982264.67</v>
      </c>
      <c r="K572" s="836" t="str">
        <f>IF(OR(报表附注!K571=100%,K571=0),"相符","比例合计不等于100%，请检查")</f>
        <v>相符</v>
      </c>
      <c r="L572" s="715"/>
      <c r="M572" s="837"/>
      <c r="P572" s="860" t="s">
        <v>2932</v>
      </c>
      <c r="Q572" s="858"/>
      <c r="R572" s="882" t="str">
        <f>IF(ROUND((报表附注!H571-H636-报表附注!R571),2)&lt;&gt;0,"差异："&amp;(报表附注!H571-H636-报表附注!R571)&amp;"，不合理","合理")</f>
        <v>合理</v>
      </c>
      <c r="X572" s="768" t="b">
        <f t="shared" si="67"/>
        <v>1</v>
      </c>
    </row>
    <row r="573" outlineLevel="1" spans="1:24">
      <c r="A573" s="970" t="s">
        <v>1395</v>
      </c>
      <c r="B573" s="692" t="s">
        <v>3072</v>
      </c>
      <c r="C573" s="693" t="str">
        <f t="shared" si="65"/>
        <v>深圳新阳蓝光能源管理科技股份有限公司</v>
      </c>
      <c r="D573" s="971" t="s">
        <v>3073</v>
      </c>
      <c r="E573" s="944" t="s">
        <v>1395</v>
      </c>
      <c r="F573" s="92">
        <f>ROUND(F571-H571-F572,2)</f>
        <v>0</v>
      </c>
      <c r="G573" s="978"/>
      <c r="H573" s="715"/>
      <c r="I573" s="992"/>
      <c r="J573" s="993">
        <f>ROUND(J571-L571-J572,2)</f>
        <v>0</v>
      </c>
      <c r="K573" s="714"/>
      <c r="L573" s="715"/>
      <c r="M573" s="837"/>
      <c r="X573" s="768" t="b">
        <f t="shared" si="67"/>
        <v>1</v>
      </c>
    </row>
    <row r="574" outlineLevel="2" spans="1:24">
      <c r="A574" s="970" t="s">
        <v>2933</v>
      </c>
      <c r="B574" s="692" t="s">
        <v>3072</v>
      </c>
      <c r="C574" s="693" t="str">
        <f t="shared" si="65"/>
        <v>深圳新阳蓝光能源管理科技股份有限公司</v>
      </c>
      <c r="D574" s="979" t="s">
        <v>2933</v>
      </c>
      <c r="E574" s="980" t="s">
        <v>2933</v>
      </c>
      <c r="F574" s="981"/>
      <c r="G574" s="838"/>
      <c r="H574" s="982"/>
      <c r="I574" s="982"/>
      <c r="J574" s="981"/>
      <c r="K574" s="981"/>
      <c r="L574" s="981"/>
      <c r="M574" s="981"/>
      <c r="R574" s="838"/>
      <c r="X574" s="768" t="b">
        <f t="shared" si="67"/>
        <v>1</v>
      </c>
    </row>
    <row r="575" outlineLevel="2" spans="1:24">
      <c r="A575" s="970" t="s">
        <v>852</v>
      </c>
      <c r="B575" s="692" t="s">
        <v>3072</v>
      </c>
      <c r="C575" s="693" t="str">
        <f t="shared" si="65"/>
        <v>深圳新阳蓝光能源管理科技股份有限公司</v>
      </c>
      <c r="D575" s="979" t="s">
        <v>2933</v>
      </c>
      <c r="E575" s="973" t="s">
        <v>852</v>
      </c>
      <c r="F575" s="973" t="s">
        <v>316</v>
      </c>
      <c r="G575" s="973"/>
      <c r="H575" s="973"/>
      <c r="I575" s="973"/>
      <c r="J575" s="973" t="s">
        <v>2020</v>
      </c>
      <c r="K575" s="973"/>
      <c r="L575" s="973"/>
      <c r="M575" s="973"/>
      <c r="X575" s="768" t="b">
        <f t="shared" si="67"/>
        <v>1</v>
      </c>
    </row>
    <row r="576" ht="13.5" customHeight="1" outlineLevel="2" spans="2:24">
      <c r="B576" s="692" t="s">
        <v>3072</v>
      </c>
      <c r="C576" s="693" t="str">
        <f t="shared" si="65"/>
        <v>深圳新阳蓝光能源管理科技股份有限公司</v>
      </c>
      <c r="D576" s="979" t="s">
        <v>2933</v>
      </c>
      <c r="E576" s="973"/>
      <c r="F576" s="973" t="s">
        <v>366</v>
      </c>
      <c r="G576" s="973" t="s">
        <v>3075</v>
      </c>
      <c r="H576" s="973" t="s">
        <v>471</v>
      </c>
      <c r="I576" s="994" t="s">
        <v>3076</v>
      </c>
      <c r="J576" s="973" t="s">
        <v>366</v>
      </c>
      <c r="K576" s="973" t="s">
        <v>3075</v>
      </c>
      <c r="L576" s="973" t="s">
        <v>471</v>
      </c>
      <c r="M576" s="973" t="s">
        <v>3077</v>
      </c>
      <c r="N576" s="866" t="s">
        <v>2913</v>
      </c>
      <c r="O576" s="867"/>
      <c r="X576" s="768" t="b">
        <f t="shared" si="67"/>
        <v>1</v>
      </c>
    </row>
    <row r="577" outlineLevel="2" spans="2:24">
      <c r="B577" s="692" t="s">
        <v>3072</v>
      </c>
      <c r="C577" s="693" t="str">
        <f t="shared" si="65"/>
        <v>深圳新阳蓝光能源管理科技股份有限公司</v>
      </c>
      <c r="D577" s="979" t="s">
        <v>2933</v>
      </c>
      <c r="E577" s="973"/>
      <c r="F577" s="973"/>
      <c r="G577" s="973"/>
      <c r="H577" s="973"/>
      <c r="I577" s="973"/>
      <c r="J577" s="973"/>
      <c r="K577" s="973"/>
      <c r="L577" s="973"/>
      <c r="M577" s="973"/>
      <c r="N577" s="868" t="s">
        <v>2916</v>
      </c>
      <c r="O577" s="868" t="s">
        <v>2917</v>
      </c>
      <c r="X577" s="768" t="b">
        <f t="shared" si="67"/>
        <v>1</v>
      </c>
    </row>
    <row r="578" outlineLevel="2" spans="1:24">
      <c r="A578" s="970" t="s">
        <v>462</v>
      </c>
      <c r="B578" s="692" t="s">
        <v>3072</v>
      </c>
      <c r="C578" s="693" t="str">
        <f t="shared" si="65"/>
        <v>深圳新阳蓝光能源管理科技股份有限公司</v>
      </c>
      <c r="D578" s="979" t="s">
        <v>2933</v>
      </c>
      <c r="E578" s="1001" t="s">
        <v>3078</v>
      </c>
      <c r="F578" s="743">
        <f>G590</f>
        <v>3502985</v>
      </c>
      <c r="G578" s="840">
        <f>IFERROR(ROUND(F578/$F$581,4),0)+N578</f>
        <v>0.1863</v>
      </c>
      <c r="H578" s="743">
        <f>H590</f>
        <v>0</v>
      </c>
      <c r="I578" s="1012">
        <f>IFERROR(ROUND(H578/F578,4),0)</f>
        <v>0</v>
      </c>
      <c r="J578" s="743">
        <f>报表附注合并期初用!E273</f>
        <v>3502548</v>
      </c>
      <c r="K578" s="840">
        <f>IFERROR(ROUND(J578/$J$581,4),0)+O578</f>
        <v>0.1959</v>
      </c>
      <c r="L578" s="743">
        <f>报表附注合并期初用!E278</f>
        <v>0</v>
      </c>
      <c r="M578" s="1012">
        <f>IFERROR(ROUND(L578/J578,4),0)</f>
        <v>0</v>
      </c>
      <c r="N578" s="869"/>
      <c r="O578" s="869"/>
      <c r="X578" s="768" t="b">
        <f t="shared" si="67"/>
        <v>0</v>
      </c>
    </row>
    <row r="579" outlineLevel="2" spans="1:24">
      <c r="A579" s="970" t="s">
        <v>464</v>
      </c>
      <c r="B579" s="692" t="s">
        <v>3072</v>
      </c>
      <c r="C579" s="693" t="str">
        <f t="shared" si="65"/>
        <v>深圳新阳蓝光能源管理科技股份有限公司</v>
      </c>
      <c r="D579" s="979" t="s">
        <v>2933</v>
      </c>
      <c r="E579" s="1002" t="s">
        <v>3079</v>
      </c>
      <c r="F579" s="743">
        <f>F695</f>
        <v>15296203.55</v>
      </c>
      <c r="G579" s="840">
        <f t="shared" ref="G579:G580" si="74">IFERROR(ROUND(F579/$F$581,4),0)+N579</f>
        <v>0.8137</v>
      </c>
      <c r="H579" s="743">
        <f>H695</f>
        <v>1327133.72</v>
      </c>
      <c r="I579" s="1012">
        <f t="shared" ref="I579:I581" si="75">IFERROR(ROUND(H579/F579,4),0)</f>
        <v>0.0868</v>
      </c>
      <c r="J579" s="743">
        <f>报表附注合并期初用!E274</f>
        <v>14379243.04</v>
      </c>
      <c r="K579" s="840">
        <f t="shared" ref="K579:K580" si="76">IFERROR(ROUND(J579/$J$581,4),0)+O579</f>
        <v>0.8041</v>
      </c>
      <c r="L579" s="743">
        <f>报表附注合并期初用!E279</f>
        <v>899526.37</v>
      </c>
      <c r="M579" s="1012">
        <f t="shared" ref="M579:M581" si="77">IFERROR(ROUND(L579/J579,4),0)</f>
        <v>0.0626</v>
      </c>
      <c r="N579" s="869"/>
      <c r="O579" s="869"/>
      <c r="X579" s="768" t="b">
        <f t="shared" si="67"/>
        <v>0</v>
      </c>
    </row>
    <row r="580" outlineLevel="2" spans="1:24">
      <c r="A580" s="970" t="s">
        <v>466</v>
      </c>
      <c r="B580" s="692" t="s">
        <v>3072</v>
      </c>
      <c r="C580" s="693" t="str">
        <f t="shared" si="65"/>
        <v>深圳新阳蓝光能源管理科技股份有限公司</v>
      </c>
      <c r="D580" s="979" t="s">
        <v>2933</v>
      </c>
      <c r="E580" s="1002" t="s">
        <v>3080</v>
      </c>
      <c r="F580" s="743">
        <f>G614</f>
        <v>0</v>
      </c>
      <c r="G580" s="840">
        <f t="shared" si="74"/>
        <v>0</v>
      </c>
      <c r="H580" s="743">
        <f>H614</f>
        <v>0</v>
      </c>
      <c r="I580" s="1012">
        <f t="shared" si="75"/>
        <v>0</v>
      </c>
      <c r="J580" s="743">
        <f>报表附注合并期初用!E275</f>
        <v>0</v>
      </c>
      <c r="K580" s="840">
        <f t="shared" si="76"/>
        <v>0</v>
      </c>
      <c r="L580" s="743">
        <f>报表附注合并期初用!E280</f>
        <v>0</v>
      </c>
      <c r="M580" s="1012">
        <f t="shared" si="77"/>
        <v>0</v>
      </c>
      <c r="N580" s="869"/>
      <c r="O580" s="869"/>
      <c r="X580" s="768" t="b">
        <f t="shared" si="67"/>
        <v>0</v>
      </c>
    </row>
    <row r="581" outlineLevel="2" spans="1:24">
      <c r="A581" s="970" t="s">
        <v>2021</v>
      </c>
      <c r="B581" s="692" t="s">
        <v>3072</v>
      </c>
      <c r="C581" s="693" t="str">
        <f t="shared" si="65"/>
        <v>深圳新阳蓝光能源管理科技股份有限公司</v>
      </c>
      <c r="D581" s="979" t="s">
        <v>2933</v>
      </c>
      <c r="E581" s="973" t="s">
        <v>2021</v>
      </c>
      <c r="F581" s="834">
        <f>SUM(F578:F580)</f>
        <v>18799188.55</v>
      </c>
      <c r="G581" s="832">
        <f>SUM(G578:G580)</f>
        <v>1</v>
      </c>
      <c r="H581" s="834">
        <f>SUM(H578:H580)</f>
        <v>1327133.72</v>
      </c>
      <c r="I581" s="1012">
        <f t="shared" si="75"/>
        <v>0.0706</v>
      </c>
      <c r="J581" s="834">
        <f t="shared" ref="J581:L581" si="78">SUM(J578:J580)</f>
        <v>17881791.04</v>
      </c>
      <c r="K581" s="832">
        <f t="shared" si="78"/>
        <v>1</v>
      </c>
      <c r="L581" s="834">
        <f t="shared" si="78"/>
        <v>899526.37</v>
      </c>
      <c r="M581" s="1012">
        <f t="shared" si="77"/>
        <v>0.0503</v>
      </c>
      <c r="X581" s="768" t="b">
        <f t="shared" si="67"/>
        <v>1</v>
      </c>
    </row>
    <row r="582" outlineLevel="2" spans="1:24">
      <c r="A582" s="970" t="s">
        <v>2935</v>
      </c>
      <c r="B582" s="692" t="s">
        <v>3072</v>
      </c>
      <c r="C582" s="693" t="str">
        <f t="shared" si="65"/>
        <v>深圳新阳蓝光能源管理科技股份有限公司</v>
      </c>
      <c r="D582" s="979" t="s">
        <v>2933</v>
      </c>
      <c r="E582" s="1003" t="s">
        <v>2935</v>
      </c>
      <c r="F582" s="1004"/>
      <c r="G582" s="1004"/>
      <c r="H582" s="1004"/>
      <c r="I582" s="1004"/>
      <c r="J582" s="1004"/>
      <c r="K582" s="1004"/>
      <c r="L582" s="1004"/>
      <c r="M582" s="1004"/>
      <c r="X582" s="768" t="b">
        <f t="shared" si="67"/>
        <v>1</v>
      </c>
    </row>
    <row r="583" outlineLevel="2" spans="1:24">
      <c r="A583" s="970" t="s">
        <v>2809</v>
      </c>
      <c r="B583" s="692" t="s">
        <v>3072</v>
      </c>
      <c r="C583" s="693" t="str">
        <f t="shared" si="65"/>
        <v>深圳新阳蓝光能源管理科技股份有限公司</v>
      </c>
      <c r="D583" s="979" t="s">
        <v>2933</v>
      </c>
      <c r="E583" s="1004" t="s">
        <v>2809</v>
      </c>
      <c r="F583" s="736"/>
      <c r="G583" s="902"/>
      <c r="H583" s="1005"/>
      <c r="I583" s="1005"/>
      <c r="J583" s="1005"/>
      <c r="K583" s="1005"/>
      <c r="L583" s="1005"/>
      <c r="M583" s="1005"/>
      <c r="X583" s="768" t="b">
        <f t="shared" si="67"/>
        <v>1</v>
      </c>
    </row>
    <row r="584" outlineLevel="2" spans="1:24">
      <c r="A584" s="826" t="s">
        <v>3081</v>
      </c>
      <c r="B584" s="692" t="s">
        <v>3072</v>
      </c>
      <c r="C584" s="693" t="str">
        <f t="shared" si="65"/>
        <v>深圳新阳蓝光能源管理科技股份有限公司</v>
      </c>
      <c r="D584" s="979" t="s">
        <v>2933</v>
      </c>
      <c r="E584" s="1006" t="s">
        <v>3081</v>
      </c>
      <c r="F584" s="1007">
        <f>F571-F581</f>
        <v>0</v>
      </c>
      <c r="G584" s="836" t="str">
        <f>IF(OR(G581=100%,G581=0),"相符","比例合计不等于100%，请检查")</f>
        <v>相符</v>
      </c>
      <c r="H584" s="1008">
        <f>H571-H581</f>
        <v>0</v>
      </c>
      <c r="I584" s="837"/>
      <c r="J584" s="1007">
        <f>J571-J581</f>
        <v>0</v>
      </c>
      <c r="K584" s="836" t="str">
        <f>IF(OR(K581=100%,K581=0),"相符","比例合计不等于100%，请检查")</f>
        <v>相符</v>
      </c>
      <c r="L584" s="1007">
        <f>L571-L581</f>
        <v>0</v>
      </c>
      <c r="M584" s="837"/>
      <c r="N584" s="829"/>
      <c r="X584" s="768" t="b">
        <f t="shared" si="67"/>
        <v>1</v>
      </c>
    </row>
    <row r="585" ht="12.75" customHeight="1" outlineLevel="2" spans="2:24">
      <c r="B585" s="692"/>
      <c r="C585" s="745"/>
      <c r="D585" s="979"/>
      <c r="E585" s="1006" t="s">
        <v>3082</v>
      </c>
      <c r="F585" s="1007">
        <f>F578-G590</f>
        <v>0</v>
      </c>
      <c r="G585" s="837"/>
      <c r="H585" s="1007">
        <f>H578-H590</f>
        <v>0</v>
      </c>
      <c r="I585" s="837"/>
      <c r="J585" s="1007">
        <f>J578-G639</f>
        <v>0</v>
      </c>
      <c r="K585" s="837"/>
      <c r="L585" s="1007">
        <f>L578-H639</f>
        <v>0</v>
      </c>
      <c r="M585" s="837"/>
      <c r="N585" s="829"/>
      <c r="X585" s="769"/>
    </row>
    <row r="586" outlineLevel="2" spans="2:24">
      <c r="B586" s="692"/>
      <c r="C586" s="745"/>
      <c r="D586" s="979"/>
      <c r="E586" s="1006" t="s">
        <v>3083</v>
      </c>
      <c r="F586" s="1007">
        <f>F579-F695</f>
        <v>0</v>
      </c>
      <c r="G586" s="714"/>
      <c r="H586" s="1007">
        <f>H579-H695</f>
        <v>0</v>
      </c>
      <c r="I586" s="837"/>
      <c r="J586" s="1007">
        <f>J579-J695</f>
        <v>0</v>
      </c>
      <c r="K586" s="837"/>
      <c r="L586" s="1007">
        <f>L579-L695</f>
        <v>0</v>
      </c>
      <c r="M586" s="837"/>
      <c r="N586" s="829"/>
      <c r="X586" s="769"/>
    </row>
    <row r="587" outlineLevel="2" spans="2:24">
      <c r="B587" s="692"/>
      <c r="C587" s="745"/>
      <c r="D587" s="979"/>
      <c r="E587" s="1006" t="s">
        <v>3084</v>
      </c>
      <c r="F587" s="1007">
        <f>F580-G614</f>
        <v>0</v>
      </c>
      <c r="G587" s="714"/>
      <c r="H587" s="1007">
        <f>H580-H614</f>
        <v>0</v>
      </c>
      <c r="I587" s="837"/>
      <c r="J587" s="1007">
        <f>J580-G663</f>
        <v>0</v>
      </c>
      <c r="K587" s="837"/>
      <c r="L587" s="1007">
        <f>L580-H663</f>
        <v>0</v>
      </c>
      <c r="M587" s="837"/>
      <c r="N587" s="829"/>
      <c r="X587" s="769"/>
    </row>
    <row r="588" outlineLevel="2" spans="1:24">
      <c r="A588" s="826" t="s">
        <v>2941</v>
      </c>
      <c r="B588" s="692" t="s">
        <v>2904</v>
      </c>
      <c r="C588" s="693" t="str">
        <f>$G$1</f>
        <v>深圳新阳蓝光能源管理科技股份有限公司</v>
      </c>
      <c r="D588" s="1009" t="s">
        <v>2942</v>
      </c>
      <c r="E588" s="153" t="s">
        <v>3085</v>
      </c>
      <c r="F588" s="850"/>
      <c r="G588" s="837"/>
      <c r="H588" s="715"/>
      <c r="I588" s="837"/>
      <c r="J588" s="715"/>
      <c r="K588" s="837"/>
      <c r="L588" s="715"/>
      <c r="M588" s="837"/>
      <c r="N588" s="829"/>
      <c r="X588" s="768" t="b">
        <f t="shared" si="67"/>
        <v>0</v>
      </c>
    </row>
    <row r="589" outlineLevel="2" spans="1:24">
      <c r="A589" s="826" t="s">
        <v>2473</v>
      </c>
      <c r="B589" s="692" t="s">
        <v>2904</v>
      </c>
      <c r="C589" s="693" t="str">
        <f>$G$1</f>
        <v>深圳新阳蓝光能源管理科技股份有限公司</v>
      </c>
      <c r="D589" s="1009" t="s">
        <v>2942</v>
      </c>
      <c r="E589" s="851" t="s">
        <v>2473</v>
      </c>
      <c r="F589" s="851" t="s">
        <v>2944</v>
      </c>
      <c r="G589" s="851" t="s">
        <v>2059</v>
      </c>
      <c r="H589" s="851" t="s">
        <v>2945</v>
      </c>
      <c r="I589" s="851" t="s">
        <v>2946</v>
      </c>
      <c r="J589" s="851" t="s">
        <v>2947</v>
      </c>
      <c r="K589" s="873" t="s">
        <v>2026</v>
      </c>
      <c r="L589" s="833" t="s">
        <v>2923</v>
      </c>
      <c r="M589" s="873" t="s">
        <v>2028</v>
      </c>
      <c r="N589" s="874" t="s">
        <v>2926</v>
      </c>
      <c r="O589" s="875" t="s">
        <v>2928</v>
      </c>
      <c r="P589" s="875" t="s">
        <v>2929</v>
      </c>
      <c r="Q589" s="875" t="s">
        <v>1997</v>
      </c>
      <c r="X589" s="768" t="b">
        <f t="shared" si="67"/>
        <v>1</v>
      </c>
    </row>
    <row r="590" outlineLevel="2" spans="2:24">
      <c r="B590" s="692" t="s">
        <v>2904</v>
      </c>
      <c r="C590" s="693" t="str">
        <f>$G$1</f>
        <v>深圳新阳蓝光能源管理科技股份有限公司</v>
      </c>
      <c r="D590" s="1009" t="s">
        <v>2942</v>
      </c>
      <c r="E590" s="852" t="s">
        <v>3086</v>
      </c>
      <c r="F590" s="853"/>
      <c r="G590" s="854">
        <f>ROUND(SUM(G591:G613),2)</f>
        <v>3502985</v>
      </c>
      <c r="H590" s="854">
        <f>ROUND(SUM(H591:H613),2)</f>
        <v>0</v>
      </c>
      <c r="I590" s="876">
        <f>IFERROR(ROUND(H590/G590,4),0)</f>
        <v>0</v>
      </c>
      <c r="J590" s="877"/>
      <c r="K590" s="854">
        <f t="shared" ref="K590" si="79">ROUND(SUM(K591:K613),2)</f>
        <v>437</v>
      </c>
      <c r="L590" s="854">
        <f t="shared" ref="L590:P590" si="80">ROUND(SUM(L591:L613),2)</f>
        <v>3502548</v>
      </c>
      <c r="M590" s="854">
        <f t="shared" si="80"/>
        <v>0</v>
      </c>
      <c r="N590" s="854">
        <f t="shared" si="80"/>
        <v>0</v>
      </c>
      <c r="O590" s="854">
        <f t="shared" si="80"/>
        <v>0</v>
      </c>
      <c r="P590" s="854">
        <f t="shared" si="80"/>
        <v>0</v>
      </c>
      <c r="Q590" s="883" t="str">
        <f t="shared" ref="Q590:Q636" si="81">IF(ROUND(G590-K590-L590-M590-O590-P590-N590,2)=0,"正确","错误请核对")</f>
        <v>正确</v>
      </c>
      <c r="X590" s="768" t="b">
        <f t="shared" si="67"/>
        <v>0</v>
      </c>
    </row>
    <row r="591" outlineLevel="2" spans="2:24">
      <c r="B591" s="692" t="s">
        <v>2904</v>
      </c>
      <c r="C591" s="693" t="str">
        <f>$G$1</f>
        <v>深圳新阳蓝光能源管理科技股份有限公司</v>
      </c>
      <c r="D591" s="1009" t="s">
        <v>2942</v>
      </c>
      <c r="E591" s="855"/>
      <c r="F591" s="856"/>
      <c r="G591" s="136"/>
      <c r="H591" s="719"/>
      <c r="I591" s="876">
        <f t="shared" ref="I591:I636" si="82">IFERROR(ROUND(H591/G591,4),0)</f>
        <v>0</v>
      </c>
      <c r="J591" s="1013"/>
      <c r="K591" s="719"/>
      <c r="L591" s="719"/>
      <c r="M591" s="719"/>
      <c r="N591" s="719"/>
      <c r="O591" s="833"/>
      <c r="P591" s="833"/>
      <c r="Q591" s="883" t="str">
        <f t="shared" si="81"/>
        <v>正确</v>
      </c>
      <c r="X591" s="768" t="b">
        <f t="shared" si="67"/>
        <v>1</v>
      </c>
    </row>
    <row r="592" outlineLevel="2" spans="2:24">
      <c r="B592" s="692"/>
      <c r="C592" s="745"/>
      <c r="D592" s="1009"/>
      <c r="E592" s="855"/>
      <c r="F592" s="856"/>
      <c r="G592" s="136"/>
      <c r="H592" s="719"/>
      <c r="I592" s="876">
        <f t="shared" si="82"/>
        <v>0</v>
      </c>
      <c r="J592" s="1014"/>
      <c r="K592" s="719"/>
      <c r="L592" s="719"/>
      <c r="M592" s="719"/>
      <c r="N592" s="719"/>
      <c r="O592" s="833"/>
      <c r="P592" s="833"/>
      <c r="Q592" s="883" t="str">
        <f t="shared" si="81"/>
        <v>正确</v>
      </c>
      <c r="X592" s="769"/>
    </row>
    <row r="593" outlineLevel="2" spans="2:24">
      <c r="B593" s="692"/>
      <c r="C593" s="745"/>
      <c r="D593" s="1009"/>
      <c r="E593" s="855" t="s">
        <v>3087</v>
      </c>
      <c r="F593" s="856"/>
      <c r="G593" s="136">
        <v>3502985</v>
      </c>
      <c r="H593" s="857"/>
      <c r="I593" s="876">
        <f t="shared" si="82"/>
        <v>0</v>
      </c>
      <c r="J593" s="1014" t="s">
        <v>3088</v>
      </c>
      <c r="K593" s="719">
        <v>437</v>
      </c>
      <c r="L593" s="719">
        <v>3502548</v>
      </c>
      <c r="M593" s="719"/>
      <c r="N593" s="719"/>
      <c r="O593" s="833"/>
      <c r="P593" s="833"/>
      <c r="Q593" s="883" t="str">
        <f t="shared" si="81"/>
        <v>正确</v>
      </c>
      <c r="X593" s="769"/>
    </row>
    <row r="594" outlineLevel="2" spans="2:24">
      <c r="B594" s="692"/>
      <c r="C594" s="745"/>
      <c r="D594" s="1009"/>
      <c r="E594" s="855"/>
      <c r="F594" s="856"/>
      <c r="G594" s="136"/>
      <c r="H594" s="857"/>
      <c r="I594" s="876">
        <f t="shared" si="82"/>
        <v>0</v>
      </c>
      <c r="J594" s="1014"/>
      <c r="K594" s="719"/>
      <c r="L594" s="719"/>
      <c r="M594" s="719"/>
      <c r="N594" s="719"/>
      <c r="O594" s="833"/>
      <c r="P594" s="833"/>
      <c r="Q594" s="883" t="str">
        <f t="shared" si="81"/>
        <v>正确</v>
      </c>
      <c r="X594" s="769"/>
    </row>
    <row r="595" outlineLevel="2" spans="2:24">
      <c r="B595" s="692"/>
      <c r="C595" s="745"/>
      <c r="D595" s="1009"/>
      <c r="E595" s="855"/>
      <c r="F595" s="856"/>
      <c r="G595" s="136"/>
      <c r="H595" s="857"/>
      <c r="I595" s="876">
        <f t="shared" si="82"/>
        <v>0</v>
      </c>
      <c r="J595" s="857"/>
      <c r="K595" s="719"/>
      <c r="L595" s="719"/>
      <c r="M595" s="719"/>
      <c r="N595" s="719"/>
      <c r="O595" s="833"/>
      <c r="P595" s="833"/>
      <c r="Q595" s="883" t="str">
        <f t="shared" si="81"/>
        <v>正确</v>
      </c>
      <c r="X595" s="769"/>
    </row>
    <row r="596" outlineLevel="2" spans="2:24">
      <c r="B596" s="692" t="s">
        <v>2904</v>
      </c>
      <c r="C596" s="693" t="str">
        <f>$G$1</f>
        <v>深圳新阳蓝光能源管理科技股份有限公司</v>
      </c>
      <c r="D596" s="1009" t="s">
        <v>2942</v>
      </c>
      <c r="E596" s="855"/>
      <c r="F596" s="856"/>
      <c r="G596" s="136"/>
      <c r="H596" s="857"/>
      <c r="I596" s="876">
        <f t="shared" si="82"/>
        <v>0</v>
      </c>
      <c r="J596" s="857"/>
      <c r="K596" s="719"/>
      <c r="L596" s="719"/>
      <c r="M596" s="719"/>
      <c r="N596" s="719"/>
      <c r="O596" s="833"/>
      <c r="P596" s="833"/>
      <c r="Q596" s="883" t="str">
        <f t="shared" si="81"/>
        <v>正确</v>
      </c>
      <c r="X596" s="768" t="b">
        <f t="shared" ref="X596" si="83">EXACT(A596,E596)</f>
        <v>1</v>
      </c>
    </row>
    <row r="597" outlineLevel="2" spans="2:24">
      <c r="B597" s="692"/>
      <c r="C597" s="745"/>
      <c r="D597" s="1009"/>
      <c r="E597" s="855"/>
      <c r="F597" s="856"/>
      <c r="G597" s="136"/>
      <c r="H597" s="857"/>
      <c r="I597" s="876">
        <f t="shared" si="82"/>
        <v>0</v>
      </c>
      <c r="J597" s="857"/>
      <c r="K597" s="719"/>
      <c r="L597" s="719"/>
      <c r="M597" s="719"/>
      <c r="N597" s="719"/>
      <c r="O597" s="833"/>
      <c r="P597" s="833"/>
      <c r="Q597" s="883" t="str">
        <f t="shared" si="81"/>
        <v>正确</v>
      </c>
      <c r="X597" s="769"/>
    </row>
    <row r="598" outlineLevel="2" spans="2:24">
      <c r="B598" s="692"/>
      <c r="C598" s="745"/>
      <c r="D598" s="1009"/>
      <c r="E598" s="855"/>
      <c r="F598" s="856"/>
      <c r="G598" s="136"/>
      <c r="H598" s="857"/>
      <c r="I598" s="876">
        <f t="shared" si="82"/>
        <v>0</v>
      </c>
      <c r="J598" s="857"/>
      <c r="K598" s="719"/>
      <c r="L598" s="719"/>
      <c r="M598" s="719"/>
      <c r="N598" s="719"/>
      <c r="O598" s="833"/>
      <c r="P598" s="833"/>
      <c r="Q598" s="883" t="str">
        <f t="shared" si="81"/>
        <v>正确</v>
      </c>
      <c r="X598" s="769"/>
    </row>
    <row r="599" outlineLevel="2" spans="2:24">
      <c r="B599" s="692"/>
      <c r="C599" s="745"/>
      <c r="D599" s="1009"/>
      <c r="E599" s="855"/>
      <c r="F599" s="856"/>
      <c r="G599" s="136"/>
      <c r="H599" s="857"/>
      <c r="I599" s="876">
        <f t="shared" si="82"/>
        <v>0</v>
      </c>
      <c r="J599" s="857"/>
      <c r="K599" s="719"/>
      <c r="L599" s="719"/>
      <c r="M599" s="719"/>
      <c r="N599" s="719"/>
      <c r="O599" s="833"/>
      <c r="P599" s="833"/>
      <c r="Q599" s="883" t="str">
        <f t="shared" si="81"/>
        <v>正确</v>
      </c>
      <c r="X599" s="769"/>
    </row>
    <row r="600" outlineLevel="2" spans="2:24">
      <c r="B600" s="692"/>
      <c r="C600" s="745"/>
      <c r="D600" s="1009"/>
      <c r="E600" s="855"/>
      <c r="F600" s="856"/>
      <c r="G600" s="136"/>
      <c r="H600" s="857"/>
      <c r="I600" s="876">
        <f t="shared" si="82"/>
        <v>0</v>
      </c>
      <c r="J600" s="857"/>
      <c r="K600" s="719"/>
      <c r="L600" s="719"/>
      <c r="M600" s="719"/>
      <c r="N600" s="719"/>
      <c r="O600" s="833"/>
      <c r="P600" s="833"/>
      <c r="Q600" s="883" t="str">
        <f t="shared" si="81"/>
        <v>正确</v>
      </c>
      <c r="X600" s="769"/>
    </row>
    <row r="601" outlineLevel="2" spans="2:24">
      <c r="B601" s="692"/>
      <c r="C601" s="745"/>
      <c r="D601" s="1009"/>
      <c r="E601" s="855"/>
      <c r="F601" s="856"/>
      <c r="G601" s="136"/>
      <c r="H601" s="857"/>
      <c r="I601" s="876">
        <f t="shared" si="82"/>
        <v>0</v>
      </c>
      <c r="J601" s="857"/>
      <c r="K601" s="719"/>
      <c r="L601" s="719"/>
      <c r="M601" s="719"/>
      <c r="N601" s="719"/>
      <c r="O601" s="833"/>
      <c r="P601" s="833"/>
      <c r="Q601" s="883" t="str">
        <f t="shared" si="81"/>
        <v>正确</v>
      </c>
      <c r="X601" s="769"/>
    </row>
    <row r="602" outlineLevel="2" spans="2:24">
      <c r="B602" s="692"/>
      <c r="C602" s="745"/>
      <c r="D602" s="1009"/>
      <c r="E602" s="855"/>
      <c r="F602" s="856"/>
      <c r="G602" s="136"/>
      <c r="H602" s="857"/>
      <c r="I602" s="876">
        <f t="shared" si="82"/>
        <v>0</v>
      </c>
      <c r="J602" s="857"/>
      <c r="K602" s="719"/>
      <c r="L602" s="719"/>
      <c r="M602" s="719"/>
      <c r="N602" s="719"/>
      <c r="O602" s="833"/>
      <c r="P602" s="833"/>
      <c r="Q602" s="883" t="str">
        <f t="shared" si="81"/>
        <v>正确</v>
      </c>
      <c r="X602" s="769"/>
    </row>
    <row r="603" outlineLevel="2" spans="2:24">
      <c r="B603" s="692"/>
      <c r="C603" s="745"/>
      <c r="D603" s="1009"/>
      <c r="E603" s="855"/>
      <c r="F603" s="856"/>
      <c r="G603" s="136"/>
      <c r="H603" s="857"/>
      <c r="I603" s="876">
        <f t="shared" si="82"/>
        <v>0</v>
      </c>
      <c r="J603" s="857"/>
      <c r="K603" s="719"/>
      <c r="L603" s="719"/>
      <c r="M603" s="719"/>
      <c r="N603" s="719"/>
      <c r="O603" s="833"/>
      <c r="P603" s="833"/>
      <c r="Q603" s="883" t="str">
        <f t="shared" si="81"/>
        <v>正确</v>
      </c>
      <c r="X603" s="769"/>
    </row>
    <row r="604" outlineLevel="2" spans="2:24">
      <c r="B604" s="692"/>
      <c r="C604" s="745"/>
      <c r="D604" s="1009"/>
      <c r="E604" s="855"/>
      <c r="F604" s="856"/>
      <c r="G604" s="136"/>
      <c r="H604" s="857"/>
      <c r="I604" s="876">
        <f t="shared" si="82"/>
        <v>0</v>
      </c>
      <c r="J604" s="857"/>
      <c r="K604" s="719"/>
      <c r="L604" s="719"/>
      <c r="M604" s="719"/>
      <c r="N604" s="719"/>
      <c r="O604" s="833"/>
      <c r="P604" s="833"/>
      <c r="Q604" s="883" t="str">
        <f t="shared" si="81"/>
        <v>正确</v>
      </c>
      <c r="X604" s="769"/>
    </row>
    <row r="605" outlineLevel="2" spans="2:24">
      <c r="B605" s="692"/>
      <c r="C605" s="745"/>
      <c r="D605" s="1009"/>
      <c r="E605" s="855"/>
      <c r="F605" s="856"/>
      <c r="G605" s="136"/>
      <c r="H605" s="857"/>
      <c r="I605" s="876">
        <f t="shared" si="82"/>
        <v>0</v>
      </c>
      <c r="J605" s="857"/>
      <c r="K605" s="719"/>
      <c r="L605" s="719"/>
      <c r="M605" s="719"/>
      <c r="N605" s="719"/>
      <c r="O605" s="833"/>
      <c r="P605" s="833"/>
      <c r="Q605" s="883" t="str">
        <f t="shared" si="81"/>
        <v>正确</v>
      </c>
      <c r="X605" s="769"/>
    </row>
    <row r="606" outlineLevel="2" spans="2:24">
      <c r="B606" s="692"/>
      <c r="C606" s="745"/>
      <c r="D606" s="1009"/>
      <c r="E606" s="855"/>
      <c r="F606" s="856"/>
      <c r="G606" s="136"/>
      <c r="H606" s="857"/>
      <c r="I606" s="876">
        <f t="shared" si="82"/>
        <v>0</v>
      </c>
      <c r="J606" s="857"/>
      <c r="K606" s="719"/>
      <c r="L606" s="719"/>
      <c r="M606" s="719"/>
      <c r="N606" s="719"/>
      <c r="O606" s="833"/>
      <c r="P606" s="833"/>
      <c r="Q606" s="883" t="str">
        <f t="shared" si="81"/>
        <v>正确</v>
      </c>
      <c r="X606" s="769"/>
    </row>
    <row r="607" outlineLevel="2" spans="2:24">
      <c r="B607" s="692"/>
      <c r="C607" s="745"/>
      <c r="D607" s="1009"/>
      <c r="E607" s="855"/>
      <c r="F607" s="856"/>
      <c r="G607" s="136"/>
      <c r="H607" s="857"/>
      <c r="I607" s="876">
        <f t="shared" si="82"/>
        <v>0</v>
      </c>
      <c r="J607" s="857"/>
      <c r="K607" s="719"/>
      <c r="L607" s="719"/>
      <c r="M607" s="719"/>
      <c r="N607" s="719"/>
      <c r="O607" s="833"/>
      <c r="P607" s="833"/>
      <c r="Q607" s="883" t="str">
        <f t="shared" si="81"/>
        <v>正确</v>
      </c>
      <c r="X607" s="769"/>
    </row>
    <row r="608" outlineLevel="2" spans="2:24">
      <c r="B608" s="692"/>
      <c r="C608" s="745"/>
      <c r="D608" s="1009"/>
      <c r="E608" s="855"/>
      <c r="F608" s="856"/>
      <c r="G608" s="136"/>
      <c r="H608" s="857"/>
      <c r="I608" s="876">
        <f t="shared" si="82"/>
        <v>0</v>
      </c>
      <c r="J608" s="857"/>
      <c r="K608" s="719"/>
      <c r="L608" s="719"/>
      <c r="M608" s="719"/>
      <c r="N608" s="719"/>
      <c r="O608" s="833"/>
      <c r="P608" s="833"/>
      <c r="Q608" s="883" t="str">
        <f t="shared" si="81"/>
        <v>正确</v>
      </c>
      <c r="X608" s="769"/>
    </row>
    <row r="609" outlineLevel="2" spans="2:24">
      <c r="B609" s="692"/>
      <c r="C609" s="745"/>
      <c r="D609" s="1009"/>
      <c r="E609" s="855"/>
      <c r="F609" s="856"/>
      <c r="G609" s="136"/>
      <c r="H609" s="857"/>
      <c r="I609" s="876">
        <f t="shared" si="82"/>
        <v>0</v>
      </c>
      <c r="J609" s="857"/>
      <c r="K609" s="719"/>
      <c r="L609" s="719"/>
      <c r="M609" s="719"/>
      <c r="N609" s="719"/>
      <c r="O609" s="833"/>
      <c r="P609" s="833"/>
      <c r="Q609" s="883" t="str">
        <f t="shared" si="81"/>
        <v>正确</v>
      </c>
      <c r="X609" s="769"/>
    </row>
    <row r="610" outlineLevel="2" spans="2:24">
      <c r="B610" s="692"/>
      <c r="C610" s="745"/>
      <c r="D610" s="1009"/>
      <c r="E610" s="855"/>
      <c r="F610" s="856"/>
      <c r="G610" s="136"/>
      <c r="H610" s="857"/>
      <c r="I610" s="876">
        <f t="shared" si="82"/>
        <v>0</v>
      </c>
      <c r="J610" s="857"/>
      <c r="K610" s="719"/>
      <c r="L610" s="719"/>
      <c r="M610" s="719"/>
      <c r="N610" s="719"/>
      <c r="O610" s="833"/>
      <c r="P610" s="833"/>
      <c r="Q610" s="883" t="str">
        <f t="shared" si="81"/>
        <v>正确</v>
      </c>
      <c r="X610" s="769"/>
    </row>
    <row r="611" outlineLevel="2" spans="2:24">
      <c r="B611" s="692"/>
      <c r="C611" s="745"/>
      <c r="D611" s="1009"/>
      <c r="E611" s="855"/>
      <c r="F611" s="856"/>
      <c r="G611" s="136"/>
      <c r="H611" s="857"/>
      <c r="I611" s="876">
        <f t="shared" si="82"/>
        <v>0</v>
      </c>
      <c r="J611" s="857"/>
      <c r="K611" s="719"/>
      <c r="L611" s="719"/>
      <c r="M611" s="719"/>
      <c r="N611" s="719"/>
      <c r="O611" s="833"/>
      <c r="P611" s="833"/>
      <c r="Q611" s="883" t="str">
        <f t="shared" si="81"/>
        <v>正确</v>
      </c>
      <c r="X611" s="769"/>
    </row>
    <row r="612" outlineLevel="2" spans="2:24">
      <c r="B612" s="692"/>
      <c r="C612" s="745"/>
      <c r="D612" s="1009"/>
      <c r="E612" s="855"/>
      <c r="F612" s="856"/>
      <c r="G612" s="136"/>
      <c r="H612" s="857"/>
      <c r="I612" s="876">
        <f t="shared" si="82"/>
        <v>0</v>
      </c>
      <c r="J612" s="857"/>
      <c r="K612" s="719"/>
      <c r="L612" s="719"/>
      <c r="M612" s="719"/>
      <c r="N612" s="719"/>
      <c r="O612" s="833"/>
      <c r="P612" s="833"/>
      <c r="Q612" s="883" t="str">
        <f t="shared" si="81"/>
        <v>正确</v>
      </c>
      <c r="X612" s="769"/>
    </row>
    <row r="613" outlineLevel="2" spans="2:24">
      <c r="B613" s="692"/>
      <c r="C613" s="745"/>
      <c r="D613" s="1009"/>
      <c r="E613" s="855"/>
      <c r="F613" s="856"/>
      <c r="G613" s="136"/>
      <c r="H613" s="857"/>
      <c r="I613" s="876">
        <f t="shared" si="82"/>
        <v>0</v>
      </c>
      <c r="J613" s="857"/>
      <c r="K613" s="719"/>
      <c r="L613" s="719"/>
      <c r="M613" s="719"/>
      <c r="N613" s="719"/>
      <c r="O613" s="833"/>
      <c r="P613" s="833"/>
      <c r="Q613" s="883" t="str">
        <f t="shared" si="81"/>
        <v>正确</v>
      </c>
      <c r="X613" s="769"/>
    </row>
    <row r="614" outlineLevel="2" spans="2:24">
      <c r="B614" s="692" t="s">
        <v>2904</v>
      </c>
      <c r="C614" s="693" t="str">
        <f>$G$1</f>
        <v>深圳新阳蓝光能源管理科技股份有限公司</v>
      </c>
      <c r="D614" s="1009" t="s">
        <v>2942</v>
      </c>
      <c r="E614" s="1010" t="s">
        <v>3089</v>
      </c>
      <c r="F614" s="853"/>
      <c r="G614" s="854">
        <f>ROUND(SUM(G615:G635),2)</f>
        <v>0</v>
      </c>
      <c r="H614" s="854">
        <f>ROUND(SUM(H615:H635),2)</f>
        <v>0</v>
      </c>
      <c r="I614" s="876">
        <f t="shared" si="82"/>
        <v>0</v>
      </c>
      <c r="J614" s="854">
        <f t="shared" ref="J614:P614" si="84">ROUND(SUM(J615:J635),2)</f>
        <v>0</v>
      </c>
      <c r="K614" s="854">
        <f t="shared" si="84"/>
        <v>0</v>
      </c>
      <c r="L614" s="854">
        <f t="shared" si="84"/>
        <v>0</v>
      </c>
      <c r="M614" s="854">
        <f t="shared" si="84"/>
        <v>0</v>
      </c>
      <c r="N614" s="854">
        <f t="shared" si="84"/>
        <v>0</v>
      </c>
      <c r="O614" s="854">
        <f t="shared" si="84"/>
        <v>0</v>
      </c>
      <c r="P614" s="854">
        <f t="shared" si="84"/>
        <v>0</v>
      </c>
      <c r="Q614" s="883" t="str">
        <f t="shared" si="81"/>
        <v>正确</v>
      </c>
      <c r="X614" s="768" t="b">
        <f t="shared" ref="X614:X617" si="85">EXACT(A614,E614)</f>
        <v>0</v>
      </c>
    </row>
    <row r="615" outlineLevel="2" spans="2:24">
      <c r="B615" s="692" t="s">
        <v>2904</v>
      </c>
      <c r="C615" s="693" t="str">
        <f>$G$1</f>
        <v>深圳新阳蓝光能源管理科技股份有限公司</v>
      </c>
      <c r="D615" s="1009" t="s">
        <v>2942</v>
      </c>
      <c r="E615" s="966"/>
      <c r="F615" s="1011"/>
      <c r="G615" s="136"/>
      <c r="H615" s="136"/>
      <c r="I615" s="876">
        <f t="shared" si="82"/>
        <v>0</v>
      </c>
      <c r="J615" s="1014"/>
      <c r="K615" s="719"/>
      <c r="L615" s="719"/>
      <c r="M615" s="719"/>
      <c r="N615" s="719"/>
      <c r="O615" s="833"/>
      <c r="P615" s="833"/>
      <c r="Q615" s="883" t="str">
        <f t="shared" si="81"/>
        <v>正确</v>
      </c>
      <c r="X615" s="768" t="b">
        <f t="shared" si="85"/>
        <v>1</v>
      </c>
    </row>
    <row r="616" outlineLevel="2" spans="2:24">
      <c r="B616" s="692" t="s">
        <v>2904</v>
      </c>
      <c r="C616" s="693" t="str">
        <f>$G$1</f>
        <v>深圳新阳蓝光能源管理科技股份有限公司</v>
      </c>
      <c r="D616" s="1009" t="s">
        <v>2942</v>
      </c>
      <c r="E616" s="966"/>
      <c r="F616" s="1011"/>
      <c r="G616" s="136"/>
      <c r="H616" s="136"/>
      <c r="I616" s="876">
        <f t="shared" si="82"/>
        <v>0</v>
      </c>
      <c r="J616" s="1014"/>
      <c r="K616" s="719"/>
      <c r="L616" s="719"/>
      <c r="M616" s="719"/>
      <c r="N616" s="719"/>
      <c r="O616" s="833"/>
      <c r="P616" s="833"/>
      <c r="Q616" s="883" t="str">
        <f t="shared" si="81"/>
        <v>正确</v>
      </c>
      <c r="X616" s="768" t="b">
        <f t="shared" si="85"/>
        <v>1</v>
      </c>
    </row>
    <row r="617" outlineLevel="2" spans="2:24">
      <c r="B617" s="692" t="s">
        <v>2904</v>
      </c>
      <c r="C617" s="693" t="str">
        <f>$G$1</f>
        <v>深圳新阳蓝光能源管理科技股份有限公司</v>
      </c>
      <c r="D617" s="1009" t="s">
        <v>2950</v>
      </c>
      <c r="E617" s="855"/>
      <c r="F617" s="856"/>
      <c r="G617" s="136"/>
      <c r="H617" s="857"/>
      <c r="I617" s="876">
        <f t="shared" si="82"/>
        <v>0</v>
      </c>
      <c r="J617" s="857"/>
      <c r="K617" s="719"/>
      <c r="L617" s="719"/>
      <c r="M617" s="719"/>
      <c r="N617" s="719"/>
      <c r="O617" s="833"/>
      <c r="P617" s="833"/>
      <c r="Q617" s="883" t="str">
        <f t="shared" si="81"/>
        <v>正确</v>
      </c>
      <c r="X617" s="768" t="b">
        <f t="shared" si="85"/>
        <v>1</v>
      </c>
    </row>
    <row r="618" outlineLevel="2" spans="2:24">
      <c r="B618" s="692"/>
      <c r="C618" s="745"/>
      <c r="D618" s="1009"/>
      <c r="E618" s="855"/>
      <c r="F618" s="856"/>
      <c r="G618" s="136"/>
      <c r="H618" s="857"/>
      <c r="I618" s="876">
        <f t="shared" si="82"/>
        <v>0</v>
      </c>
      <c r="J618" s="857"/>
      <c r="K618" s="719"/>
      <c r="L618" s="719"/>
      <c r="M618" s="719"/>
      <c r="N618" s="719"/>
      <c r="O618" s="833"/>
      <c r="P618" s="833"/>
      <c r="Q618" s="883" t="str">
        <f t="shared" si="81"/>
        <v>正确</v>
      </c>
      <c r="X618" s="769"/>
    </row>
    <row r="619" outlineLevel="2" spans="2:24">
      <c r="B619" s="692"/>
      <c r="C619" s="745"/>
      <c r="D619" s="1009"/>
      <c r="E619" s="855"/>
      <c r="F619" s="856"/>
      <c r="G619" s="136"/>
      <c r="H619" s="857"/>
      <c r="I619" s="876">
        <f t="shared" si="82"/>
        <v>0</v>
      </c>
      <c r="J619" s="857"/>
      <c r="K619" s="719"/>
      <c r="L619" s="719"/>
      <c r="M619" s="719"/>
      <c r="N619" s="719"/>
      <c r="O619" s="833"/>
      <c r="P619" s="833"/>
      <c r="Q619" s="883" t="str">
        <f t="shared" si="81"/>
        <v>正确</v>
      </c>
      <c r="X619" s="769"/>
    </row>
    <row r="620" outlineLevel="2" spans="2:24">
      <c r="B620" s="692"/>
      <c r="C620" s="745"/>
      <c r="D620" s="1009"/>
      <c r="E620" s="855"/>
      <c r="F620" s="856"/>
      <c r="G620" s="136"/>
      <c r="H620" s="857"/>
      <c r="I620" s="876">
        <f t="shared" si="82"/>
        <v>0</v>
      </c>
      <c r="J620" s="857"/>
      <c r="K620" s="719"/>
      <c r="L620" s="719"/>
      <c r="M620" s="719"/>
      <c r="N620" s="719"/>
      <c r="O620" s="833"/>
      <c r="P620" s="833"/>
      <c r="Q620" s="883" t="str">
        <f t="shared" si="81"/>
        <v>正确</v>
      </c>
      <c r="X620" s="769"/>
    </row>
    <row r="621" outlineLevel="2" spans="2:24">
      <c r="B621" s="692"/>
      <c r="C621" s="745"/>
      <c r="D621" s="1009"/>
      <c r="E621" s="855"/>
      <c r="F621" s="856"/>
      <c r="G621" s="136"/>
      <c r="H621" s="857"/>
      <c r="I621" s="876">
        <f t="shared" si="82"/>
        <v>0</v>
      </c>
      <c r="J621" s="857"/>
      <c r="K621" s="719"/>
      <c r="L621" s="719"/>
      <c r="M621" s="719"/>
      <c r="N621" s="719"/>
      <c r="O621" s="833"/>
      <c r="P621" s="833"/>
      <c r="Q621" s="883" t="str">
        <f t="shared" si="81"/>
        <v>正确</v>
      </c>
      <c r="X621" s="769"/>
    </row>
    <row r="622" outlineLevel="2" spans="2:24">
      <c r="B622" s="692" t="s">
        <v>2904</v>
      </c>
      <c r="C622" s="693" t="str">
        <f t="shared" ref="C622:C640" si="86">$G$1</f>
        <v>深圳新阳蓝光能源管理科技股份有限公司</v>
      </c>
      <c r="D622" s="1009" t="s">
        <v>2950</v>
      </c>
      <c r="E622" s="855"/>
      <c r="F622" s="856"/>
      <c r="G622" s="136"/>
      <c r="H622" s="857"/>
      <c r="I622" s="876">
        <f t="shared" si="82"/>
        <v>0</v>
      </c>
      <c r="J622" s="857"/>
      <c r="K622" s="719"/>
      <c r="L622" s="719"/>
      <c r="M622" s="719"/>
      <c r="N622" s="719"/>
      <c r="O622" s="833"/>
      <c r="P622" s="833"/>
      <c r="Q622" s="883" t="str">
        <f t="shared" si="81"/>
        <v>正确</v>
      </c>
      <c r="X622" s="768" t="b">
        <f t="shared" ref="X622:X640" si="87">EXACT(A622,E622)</f>
        <v>1</v>
      </c>
    </row>
    <row r="623" outlineLevel="2" spans="2:24">
      <c r="B623" s="692" t="s">
        <v>2904</v>
      </c>
      <c r="C623" s="693" t="str">
        <f t="shared" si="86"/>
        <v>深圳新阳蓝光能源管理科技股份有限公司</v>
      </c>
      <c r="D623" s="1009" t="s">
        <v>2950</v>
      </c>
      <c r="E623" s="855"/>
      <c r="F623" s="856"/>
      <c r="G623" s="136"/>
      <c r="H623" s="857"/>
      <c r="I623" s="876">
        <f t="shared" si="82"/>
        <v>0</v>
      </c>
      <c r="J623" s="857"/>
      <c r="K623" s="719"/>
      <c r="L623" s="719"/>
      <c r="M623" s="719"/>
      <c r="N623" s="719"/>
      <c r="O623" s="833"/>
      <c r="P623" s="833"/>
      <c r="Q623" s="883" t="str">
        <f t="shared" si="81"/>
        <v>正确</v>
      </c>
      <c r="X623" s="768" t="b">
        <f t="shared" si="87"/>
        <v>1</v>
      </c>
    </row>
    <row r="624" outlineLevel="2" spans="2:24">
      <c r="B624" s="692" t="s">
        <v>2904</v>
      </c>
      <c r="C624" s="693" t="str">
        <f t="shared" si="86"/>
        <v>深圳新阳蓝光能源管理科技股份有限公司</v>
      </c>
      <c r="D624" s="1009" t="s">
        <v>2950</v>
      </c>
      <c r="E624" s="855"/>
      <c r="F624" s="856"/>
      <c r="G624" s="136"/>
      <c r="H624" s="857"/>
      <c r="I624" s="876">
        <f t="shared" si="82"/>
        <v>0</v>
      </c>
      <c r="J624" s="857"/>
      <c r="K624" s="719"/>
      <c r="L624" s="719"/>
      <c r="M624" s="719"/>
      <c r="N624" s="719"/>
      <c r="O624" s="833"/>
      <c r="P624" s="833"/>
      <c r="Q624" s="883" t="str">
        <f t="shared" si="81"/>
        <v>正确</v>
      </c>
      <c r="X624" s="768" t="b">
        <f t="shared" si="87"/>
        <v>1</v>
      </c>
    </row>
    <row r="625" outlineLevel="2" spans="2:24">
      <c r="B625" s="692" t="s">
        <v>2904</v>
      </c>
      <c r="C625" s="693" t="str">
        <f t="shared" si="86"/>
        <v>深圳新阳蓝光能源管理科技股份有限公司</v>
      </c>
      <c r="D625" s="1009" t="s">
        <v>2950</v>
      </c>
      <c r="E625" s="855"/>
      <c r="F625" s="856"/>
      <c r="G625" s="136"/>
      <c r="H625" s="857"/>
      <c r="I625" s="876">
        <f t="shared" si="82"/>
        <v>0</v>
      </c>
      <c r="J625" s="857"/>
      <c r="K625" s="719"/>
      <c r="L625" s="719"/>
      <c r="M625" s="719"/>
      <c r="N625" s="719"/>
      <c r="O625" s="833"/>
      <c r="P625" s="833"/>
      <c r="Q625" s="883" t="str">
        <f t="shared" si="81"/>
        <v>正确</v>
      </c>
      <c r="X625" s="768" t="b">
        <f t="shared" si="87"/>
        <v>1</v>
      </c>
    </row>
    <row r="626" outlineLevel="2" spans="2:24">
      <c r="B626" s="692" t="s">
        <v>2904</v>
      </c>
      <c r="C626" s="693" t="str">
        <f t="shared" si="86"/>
        <v>深圳新阳蓝光能源管理科技股份有限公司</v>
      </c>
      <c r="D626" s="1009" t="s">
        <v>2950</v>
      </c>
      <c r="E626" s="855"/>
      <c r="F626" s="856"/>
      <c r="G626" s="136"/>
      <c r="H626" s="857"/>
      <c r="I626" s="876">
        <f t="shared" si="82"/>
        <v>0</v>
      </c>
      <c r="J626" s="857"/>
      <c r="K626" s="719"/>
      <c r="L626" s="719"/>
      <c r="M626" s="719"/>
      <c r="N626" s="719"/>
      <c r="O626" s="833"/>
      <c r="P626" s="833"/>
      <c r="Q626" s="883" t="str">
        <f t="shared" si="81"/>
        <v>正确</v>
      </c>
      <c r="X626" s="768" t="b">
        <f t="shared" si="87"/>
        <v>1</v>
      </c>
    </row>
    <row r="627" outlineLevel="2" spans="2:24">
      <c r="B627" s="692" t="s">
        <v>2904</v>
      </c>
      <c r="C627" s="693" t="str">
        <f t="shared" si="86"/>
        <v>深圳新阳蓝光能源管理科技股份有限公司</v>
      </c>
      <c r="D627" s="1009" t="s">
        <v>2950</v>
      </c>
      <c r="E627" s="855"/>
      <c r="F627" s="856"/>
      <c r="G627" s="136"/>
      <c r="H627" s="857"/>
      <c r="I627" s="876">
        <f t="shared" si="82"/>
        <v>0</v>
      </c>
      <c r="J627" s="857"/>
      <c r="K627" s="719"/>
      <c r="L627" s="719"/>
      <c r="M627" s="719"/>
      <c r="N627" s="719"/>
      <c r="O627" s="833"/>
      <c r="P627" s="833"/>
      <c r="Q627" s="883" t="str">
        <f t="shared" si="81"/>
        <v>正确</v>
      </c>
      <c r="X627" s="768" t="b">
        <f t="shared" si="87"/>
        <v>1</v>
      </c>
    </row>
    <row r="628" outlineLevel="2" spans="2:24">
      <c r="B628" s="692" t="s">
        <v>2904</v>
      </c>
      <c r="C628" s="693" t="str">
        <f t="shared" si="86"/>
        <v>深圳新阳蓝光能源管理科技股份有限公司</v>
      </c>
      <c r="D628" s="1009" t="s">
        <v>2950</v>
      </c>
      <c r="E628" s="855"/>
      <c r="F628" s="856"/>
      <c r="G628" s="136"/>
      <c r="H628" s="857"/>
      <c r="I628" s="876">
        <f t="shared" si="82"/>
        <v>0</v>
      </c>
      <c r="J628" s="857"/>
      <c r="K628" s="719"/>
      <c r="L628" s="719"/>
      <c r="M628" s="719"/>
      <c r="N628" s="719"/>
      <c r="O628" s="833"/>
      <c r="P628" s="833"/>
      <c r="Q628" s="883" t="str">
        <f t="shared" si="81"/>
        <v>正确</v>
      </c>
      <c r="X628" s="768" t="b">
        <f t="shared" si="87"/>
        <v>1</v>
      </c>
    </row>
    <row r="629" outlineLevel="2" spans="2:24">
      <c r="B629" s="692" t="s">
        <v>2904</v>
      </c>
      <c r="C629" s="693" t="str">
        <f t="shared" si="86"/>
        <v>深圳新阳蓝光能源管理科技股份有限公司</v>
      </c>
      <c r="D629" s="1009" t="s">
        <v>2950</v>
      </c>
      <c r="E629" s="855"/>
      <c r="F629" s="856"/>
      <c r="G629" s="136"/>
      <c r="H629" s="857"/>
      <c r="I629" s="876">
        <f t="shared" si="82"/>
        <v>0</v>
      </c>
      <c r="J629" s="857"/>
      <c r="K629" s="719"/>
      <c r="L629" s="719"/>
      <c r="M629" s="719"/>
      <c r="N629" s="719"/>
      <c r="O629" s="833"/>
      <c r="P629" s="833"/>
      <c r="Q629" s="883" t="str">
        <f t="shared" si="81"/>
        <v>正确</v>
      </c>
      <c r="X629" s="768" t="b">
        <f t="shared" si="87"/>
        <v>1</v>
      </c>
    </row>
    <row r="630" outlineLevel="2" spans="2:24">
      <c r="B630" s="692" t="s">
        <v>2904</v>
      </c>
      <c r="C630" s="693" t="str">
        <f t="shared" si="86"/>
        <v>深圳新阳蓝光能源管理科技股份有限公司</v>
      </c>
      <c r="D630" s="1009" t="s">
        <v>2950</v>
      </c>
      <c r="E630" s="855"/>
      <c r="F630" s="856"/>
      <c r="G630" s="136"/>
      <c r="H630" s="857"/>
      <c r="I630" s="876">
        <f t="shared" si="82"/>
        <v>0</v>
      </c>
      <c r="J630" s="857"/>
      <c r="K630" s="719"/>
      <c r="L630" s="719"/>
      <c r="M630" s="719"/>
      <c r="N630" s="719"/>
      <c r="O630" s="833"/>
      <c r="P630" s="833"/>
      <c r="Q630" s="883" t="str">
        <f t="shared" si="81"/>
        <v>正确</v>
      </c>
      <c r="X630" s="768" t="b">
        <f t="shared" si="87"/>
        <v>1</v>
      </c>
    </row>
    <row r="631" outlineLevel="2" spans="2:24">
      <c r="B631" s="692" t="s">
        <v>2904</v>
      </c>
      <c r="C631" s="693" t="str">
        <f t="shared" si="86"/>
        <v>深圳新阳蓝光能源管理科技股份有限公司</v>
      </c>
      <c r="D631" s="1009" t="s">
        <v>2950</v>
      </c>
      <c r="E631" s="855"/>
      <c r="F631" s="856"/>
      <c r="G631" s="136"/>
      <c r="H631" s="857"/>
      <c r="I631" s="876">
        <f t="shared" si="82"/>
        <v>0</v>
      </c>
      <c r="J631" s="857"/>
      <c r="K631" s="719"/>
      <c r="L631" s="719"/>
      <c r="M631" s="719"/>
      <c r="N631" s="719"/>
      <c r="O631" s="833"/>
      <c r="P631" s="833"/>
      <c r="Q631" s="883" t="str">
        <f t="shared" si="81"/>
        <v>正确</v>
      </c>
      <c r="X631" s="768" t="b">
        <f t="shared" si="87"/>
        <v>1</v>
      </c>
    </row>
    <row r="632" outlineLevel="2" spans="2:24">
      <c r="B632" s="692" t="s">
        <v>2904</v>
      </c>
      <c r="C632" s="693" t="str">
        <f t="shared" si="86"/>
        <v>深圳新阳蓝光能源管理科技股份有限公司</v>
      </c>
      <c r="D632" s="1009" t="s">
        <v>2950</v>
      </c>
      <c r="E632" s="855"/>
      <c r="F632" s="856"/>
      <c r="G632" s="136"/>
      <c r="H632" s="857"/>
      <c r="I632" s="876">
        <f t="shared" si="82"/>
        <v>0</v>
      </c>
      <c r="J632" s="857"/>
      <c r="K632" s="719"/>
      <c r="L632" s="719"/>
      <c r="M632" s="719"/>
      <c r="N632" s="719"/>
      <c r="O632" s="833"/>
      <c r="P632" s="833"/>
      <c r="Q632" s="883" t="str">
        <f t="shared" si="81"/>
        <v>正确</v>
      </c>
      <c r="X632" s="768" t="b">
        <f t="shared" si="87"/>
        <v>1</v>
      </c>
    </row>
    <row r="633" outlineLevel="2" spans="2:24">
      <c r="B633" s="692" t="s">
        <v>2904</v>
      </c>
      <c r="C633" s="693" t="str">
        <f t="shared" si="86"/>
        <v>深圳新阳蓝光能源管理科技股份有限公司</v>
      </c>
      <c r="D633" s="1009" t="s">
        <v>2950</v>
      </c>
      <c r="E633" s="855"/>
      <c r="F633" s="856"/>
      <c r="G633" s="136"/>
      <c r="H633" s="857"/>
      <c r="I633" s="876">
        <f t="shared" si="82"/>
        <v>0</v>
      </c>
      <c r="J633" s="857"/>
      <c r="K633" s="719"/>
      <c r="L633" s="719"/>
      <c r="M633" s="719"/>
      <c r="N633" s="719"/>
      <c r="O633" s="833"/>
      <c r="P633" s="833"/>
      <c r="Q633" s="883" t="str">
        <f t="shared" si="81"/>
        <v>正确</v>
      </c>
      <c r="X633" s="768" t="b">
        <f t="shared" si="87"/>
        <v>1</v>
      </c>
    </row>
    <row r="634" outlineLevel="2" spans="2:24">
      <c r="B634" s="692" t="s">
        <v>2904</v>
      </c>
      <c r="C634" s="693" t="str">
        <f t="shared" si="86"/>
        <v>深圳新阳蓝光能源管理科技股份有限公司</v>
      </c>
      <c r="D634" s="1009" t="s">
        <v>2950</v>
      </c>
      <c r="E634" s="855"/>
      <c r="F634" s="856"/>
      <c r="G634" s="136"/>
      <c r="H634" s="857"/>
      <c r="I634" s="876">
        <f t="shared" si="82"/>
        <v>0</v>
      </c>
      <c r="J634" s="857"/>
      <c r="K634" s="719"/>
      <c r="L634" s="719"/>
      <c r="M634" s="719"/>
      <c r="N634" s="719"/>
      <c r="O634" s="833"/>
      <c r="P634" s="833"/>
      <c r="Q634" s="883" t="str">
        <f t="shared" si="81"/>
        <v>正确</v>
      </c>
      <c r="X634" s="768" t="b">
        <f t="shared" si="87"/>
        <v>1</v>
      </c>
    </row>
    <row r="635" outlineLevel="2" spans="2:24">
      <c r="B635" s="692" t="s">
        <v>2904</v>
      </c>
      <c r="C635" s="693" t="str">
        <f t="shared" si="86"/>
        <v>深圳新阳蓝光能源管理科技股份有限公司</v>
      </c>
      <c r="D635" s="1009" t="s">
        <v>2950</v>
      </c>
      <c r="E635" s="855"/>
      <c r="F635" s="856"/>
      <c r="G635" s="136"/>
      <c r="H635" s="857"/>
      <c r="I635" s="876">
        <f t="shared" si="82"/>
        <v>0</v>
      </c>
      <c r="J635" s="857"/>
      <c r="K635" s="719"/>
      <c r="L635" s="719"/>
      <c r="M635" s="719"/>
      <c r="N635" s="719"/>
      <c r="O635" s="833"/>
      <c r="P635" s="833"/>
      <c r="Q635" s="883" t="str">
        <f t="shared" si="81"/>
        <v>正确</v>
      </c>
      <c r="X635" s="768" t="b">
        <f t="shared" si="87"/>
        <v>1</v>
      </c>
    </row>
    <row r="636" outlineLevel="2" spans="1:24">
      <c r="A636" s="826" t="s">
        <v>2021</v>
      </c>
      <c r="B636" s="692" t="s">
        <v>2904</v>
      </c>
      <c r="C636" s="693" t="str">
        <f t="shared" si="86"/>
        <v>深圳新阳蓝光能源管理科技股份有限公司</v>
      </c>
      <c r="D636" s="1009" t="s">
        <v>2950</v>
      </c>
      <c r="E636" s="830" t="s">
        <v>2021</v>
      </c>
      <c r="F636" s="875"/>
      <c r="G636" s="139">
        <f>G614+G590</f>
        <v>3502985</v>
      </c>
      <c r="H636" s="139">
        <f>H614+H590</f>
        <v>0</v>
      </c>
      <c r="I636" s="876">
        <f t="shared" si="82"/>
        <v>0</v>
      </c>
      <c r="J636" s="873"/>
      <c r="K636" s="139">
        <f t="shared" ref="K636:P636" si="88">K614+K590</f>
        <v>437</v>
      </c>
      <c r="L636" s="139">
        <f t="shared" si="88"/>
        <v>3502548</v>
      </c>
      <c r="M636" s="139">
        <f t="shared" si="88"/>
        <v>0</v>
      </c>
      <c r="N636" s="139">
        <f t="shared" si="88"/>
        <v>0</v>
      </c>
      <c r="O636" s="139">
        <f t="shared" si="88"/>
        <v>0</v>
      </c>
      <c r="P636" s="139">
        <f t="shared" si="88"/>
        <v>0</v>
      </c>
      <c r="Q636" s="883" t="str">
        <f t="shared" si="81"/>
        <v>正确</v>
      </c>
      <c r="X636" s="768" t="b">
        <f t="shared" si="87"/>
        <v>1</v>
      </c>
    </row>
    <row r="637" outlineLevel="2" spans="2:24">
      <c r="B637" s="692" t="s">
        <v>2904</v>
      </c>
      <c r="C637" s="693" t="str">
        <f t="shared" si="86"/>
        <v>深圳新阳蓝光能源管理科技股份有限公司</v>
      </c>
      <c r="D637" s="1009" t="s">
        <v>2950</v>
      </c>
      <c r="E637" s="885" t="s">
        <v>3090</v>
      </c>
      <c r="F637" s="715"/>
      <c r="G637" s="837"/>
      <c r="H637" s="715"/>
      <c r="I637" s="837"/>
      <c r="J637" s="715"/>
      <c r="K637" s="837"/>
      <c r="L637" s="715"/>
      <c r="M637" s="837"/>
      <c r="N637" s="829"/>
      <c r="X637" s="768" t="b">
        <f t="shared" si="87"/>
        <v>0</v>
      </c>
    </row>
    <row r="638" outlineLevel="2" spans="1:24">
      <c r="A638" s="826" t="s">
        <v>2473</v>
      </c>
      <c r="B638" s="692" t="s">
        <v>2904</v>
      </c>
      <c r="C638" s="693" t="str">
        <f t="shared" si="86"/>
        <v>深圳新阳蓝光能源管理科技股份有限公司</v>
      </c>
      <c r="D638" s="1009" t="s">
        <v>2942</v>
      </c>
      <c r="E638" s="851" t="s">
        <v>2473</v>
      </c>
      <c r="F638" s="851" t="s">
        <v>2944</v>
      </c>
      <c r="G638" s="886" t="s">
        <v>2020</v>
      </c>
      <c r="H638" s="851" t="s">
        <v>2945</v>
      </c>
      <c r="I638" s="851" t="s">
        <v>2946</v>
      </c>
      <c r="J638" s="851" t="s">
        <v>2947</v>
      </c>
      <c r="K638" s="873" t="s">
        <v>2026</v>
      </c>
      <c r="L638" s="833" t="s">
        <v>2923</v>
      </c>
      <c r="M638" s="873" t="s">
        <v>2028</v>
      </c>
      <c r="N638" s="874" t="s">
        <v>2926</v>
      </c>
      <c r="O638" s="875" t="s">
        <v>2928</v>
      </c>
      <c r="P638" s="875" t="s">
        <v>2929</v>
      </c>
      <c r="Q638" s="875" t="s">
        <v>1997</v>
      </c>
      <c r="X638" s="768" t="b">
        <f t="shared" si="87"/>
        <v>1</v>
      </c>
    </row>
    <row r="639" outlineLevel="2" spans="2:24">
      <c r="B639" s="692" t="s">
        <v>2904</v>
      </c>
      <c r="C639" s="693" t="str">
        <f t="shared" si="86"/>
        <v>深圳新阳蓝光能源管理科技股份有限公司</v>
      </c>
      <c r="D639" s="1009" t="s">
        <v>2942</v>
      </c>
      <c r="E639" s="852" t="s">
        <v>3091</v>
      </c>
      <c r="F639" s="853"/>
      <c r="G639" s="854">
        <f>ROUND(SUM(G640:G662),2)</f>
        <v>3502548</v>
      </c>
      <c r="H639" s="854">
        <f>ROUND(SUM(H640:H662),2)</f>
        <v>0</v>
      </c>
      <c r="I639" s="876">
        <f>IFERROR(ROUND(H639/G639,4),0)</f>
        <v>0</v>
      </c>
      <c r="J639" s="877"/>
      <c r="K639" s="854">
        <f t="shared" ref="K639" si="89">ROUND(SUM(K640:K662),2)</f>
        <v>3502548</v>
      </c>
      <c r="L639" s="854">
        <f t="shared" ref="L639:P639" si="90">ROUND(SUM(L640:L662),2)</f>
        <v>0</v>
      </c>
      <c r="M639" s="854">
        <f t="shared" si="90"/>
        <v>0</v>
      </c>
      <c r="N639" s="854">
        <f t="shared" si="90"/>
        <v>0</v>
      </c>
      <c r="O639" s="854">
        <f t="shared" si="90"/>
        <v>0</v>
      </c>
      <c r="P639" s="854">
        <f t="shared" si="90"/>
        <v>0</v>
      </c>
      <c r="Q639" s="883" t="str">
        <f t="shared" ref="Q639:Q685" si="91">IF(ROUND(G639-K639-L639-M639-O639-P639-N639,2)=0,"正确","错误请核对")</f>
        <v>正确</v>
      </c>
      <c r="X639" s="768" t="b">
        <f t="shared" si="87"/>
        <v>0</v>
      </c>
    </row>
    <row r="640" outlineLevel="2" spans="2:24">
      <c r="B640" s="692" t="s">
        <v>2904</v>
      </c>
      <c r="C640" s="693" t="str">
        <f t="shared" si="86"/>
        <v>深圳新阳蓝光能源管理科技股份有限公司</v>
      </c>
      <c r="D640" s="1009" t="s">
        <v>2942</v>
      </c>
      <c r="E640" s="855"/>
      <c r="F640" s="856"/>
      <c r="G640" s="136"/>
      <c r="H640" s="719"/>
      <c r="I640" s="876">
        <f t="shared" ref="I640:I685" si="92">IFERROR(ROUND(H640/G640,4),0)</f>
        <v>0</v>
      </c>
      <c r="J640" s="1013"/>
      <c r="K640" s="719"/>
      <c r="L640" s="719"/>
      <c r="M640" s="719"/>
      <c r="N640" s="719"/>
      <c r="O640" s="833"/>
      <c r="P640" s="833"/>
      <c r="Q640" s="883" t="str">
        <f t="shared" si="91"/>
        <v>正确</v>
      </c>
      <c r="X640" s="768" t="b">
        <f t="shared" si="87"/>
        <v>1</v>
      </c>
    </row>
    <row r="641" outlineLevel="2" spans="2:24">
      <c r="B641" s="692"/>
      <c r="C641" s="745"/>
      <c r="D641" s="1009"/>
      <c r="E641" s="855" t="s">
        <v>3087</v>
      </c>
      <c r="F641" s="856"/>
      <c r="G641" s="136">
        <v>3502548</v>
      </c>
      <c r="H641" s="857"/>
      <c r="I641" s="876">
        <f t="shared" si="92"/>
        <v>0</v>
      </c>
      <c r="J641" s="857"/>
      <c r="K641" s="719">
        <v>3502548</v>
      </c>
      <c r="L641" s="719"/>
      <c r="M641" s="719"/>
      <c r="N641" s="719"/>
      <c r="O641" s="833"/>
      <c r="P641" s="833"/>
      <c r="Q641" s="883" t="str">
        <f t="shared" si="91"/>
        <v>正确</v>
      </c>
      <c r="X641" s="769"/>
    </row>
    <row r="642" outlineLevel="2" spans="2:24">
      <c r="B642" s="692"/>
      <c r="C642" s="745"/>
      <c r="D642" s="1009"/>
      <c r="E642" s="855" t="s">
        <v>3092</v>
      </c>
      <c r="F642" s="856"/>
      <c r="G642" s="136"/>
      <c r="H642" s="857"/>
      <c r="I642" s="876">
        <f t="shared" si="92"/>
        <v>0</v>
      </c>
      <c r="J642" s="857"/>
      <c r="K642" s="719"/>
      <c r="L642" s="719"/>
      <c r="M642" s="719"/>
      <c r="N642" s="719"/>
      <c r="O642" s="833"/>
      <c r="P642" s="833"/>
      <c r="Q642" s="883" t="str">
        <f t="shared" si="91"/>
        <v>正确</v>
      </c>
      <c r="X642" s="769"/>
    </row>
    <row r="643" outlineLevel="2" spans="2:24">
      <c r="B643" s="692"/>
      <c r="C643" s="745"/>
      <c r="D643" s="1009"/>
      <c r="E643" s="855"/>
      <c r="F643" s="856"/>
      <c r="G643" s="136"/>
      <c r="H643" s="857"/>
      <c r="I643" s="876">
        <f t="shared" si="92"/>
        <v>0</v>
      </c>
      <c r="J643" s="857"/>
      <c r="K643" s="719"/>
      <c r="L643" s="719"/>
      <c r="M643" s="719"/>
      <c r="N643" s="719"/>
      <c r="O643" s="833"/>
      <c r="P643" s="833"/>
      <c r="Q643" s="883" t="str">
        <f t="shared" si="91"/>
        <v>正确</v>
      </c>
      <c r="X643" s="769"/>
    </row>
    <row r="644" outlineLevel="2" spans="2:24">
      <c r="B644" s="692"/>
      <c r="C644" s="745"/>
      <c r="D644" s="1009"/>
      <c r="E644" s="855"/>
      <c r="F644" s="856"/>
      <c r="G644" s="136"/>
      <c r="H644" s="857"/>
      <c r="I644" s="876">
        <f t="shared" si="92"/>
        <v>0</v>
      </c>
      <c r="J644" s="857"/>
      <c r="K644" s="719"/>
      <c r="L644" s="719"/>
      <c r="M644" s="719"/>
      <c r="N644" s="719"/>
      <c r="O644" s="833"/>
      <c r="P644" s="833"/>
      <c r="Q644" s="883" t="str">
        <f t="shared" si="91"/>
        <v>正确</v>
      </c>
      <c r="X644" s="769"/>
    </row>
    <row r="645" outlineLevel="2" spans="2:24">
      <c r="B645" s="692" t="s">
        <v>2904</v>
      </c>
      <c r="C645" s="693" t="str">
        <f>$G$1</f>
        <v>深圳新阳蓝光能源管理科技股份有限公司</v>
      </c>
      <c r="D645" s="1009" t="s">
        <v>2942</v>
      </c>
      <c r="E645" s="855"/>
      <c r="F645" s="856"/>
      <c r="G645" s="136"/>
      <c r="H645" s="857"/>
      <c r="I645" s="876">
        <f t="shared" si="92"/>
        <v>0</v>
      </c>
      <c r="J645" s="857"/>
      <c r="K645" s="719"/>
      <c r="L645" s="719"/>
      <c r="M645" s="719"/>
      <c r="N645" s="719"/>
      <c r="O645" s="833"/>
      <c r="P645" s="833"/>
      <c r="Q645" s="883" t="str">
        <f t="shared" si="91"/>
        <v>正确</v>
      </c>
      <c r="X645" s="768" t="b">
        <f t="shared" ref="X645" si="93">EXACT(A645,E645)</f>
        <v>1</v>
      </c>
    </row>
    <row r="646" outlineLevel="2" spans="2:24">
      <c r="B646" s="692"/>
      <c r="C646" s="745"/>
      <c r="D646" s="1009"/>
      <c r="E646" s="855"/>
      <c r="F646" s="856"/>
      <c r="G646" s="136"/>
      <c r="H646" s="857"/>
      <c r="I646" s="876">
        <f t="shared" si="92"/>
        <v>0</v>
      </c>
      <c r="J646" s="857"/>
      <c r="K646" s="719"/>
      <c r="L646" s="719"/>
      <c r="M646" s="719"/>
      <c r="N646" s="719"/>
      <c r="O646" s="833"/>
      <c r="P646" s="833"/>
      <c r="Q646" s="883" t="str">
        <f t="shared" si="91"/>
        <v>正确</v>
      </c>
      <c r="X646" s="769"/>
    </row>
    <row r="647" outlineLevel="2" spans="2:24">
      <c r="B647" s="692"/>
      <c r="C647" s="745"/>
      <c r="D647" s="1009"/>
      <c r="E647" s="855"/>
      <c r="F647" s="856"/>
      <c r="G647" s="136"/>
      <c r="H647" s="857"/>
      <c r="I647" s="876">
        <f t="shared" si="92"/>
        <v>0</v>
      </c>
      <c r="J647" s="857"/>
      <c r="K647" s="719"/>
      <c r="L647" s="719"/>
      <c r="M647" s="719"/>
      <c r="N647" s="719"/>
      <c r="O647" s="833"/>
      <c r="P647" s="833"/>
      <c r="Q647" s="883" t="str">
        <f t="shared" si="91"/>
        <v>正确</v>
      </c>
      <c r="X647" s="769"/>
    </row>
    <row r="648" outlineLevel="2" spans="2:24">
      <c r="B648" s="692"/>
      <c r="C648" s="745"/>
      <c r="D648" s="1009"/>
      <c r="E648" s="855"/>
      <c r="F648" s="856"/>
      <c r="G648" s="136"/>
      <c r="H648" s="857"/>
      <c r="I648" s="876">
        <f t="shared" si="92"/>
        <v>0</v>
      </c>
      <c r="J648" s="857"/>
      <c r="K648" s="719"/>
      <c r="L648" s="719"/>
      <c r="M648" s="719"/>
      <c r="N648" s="719"/>
      <c r="O648" s="833"/>
      <c r="P648" s="833"/>
      <c r="Q648" s="883" t="str">
        <f t="shared" si="91"/>
        <v>正确</v>
      </c>
      <c r="X648" s="769"/>
    </row>
    <row r="649" outlineLevel="2" spans="2:24">
      <c r="B649" s="692"/>
      <c r="C649" s="745"/>
      <c r="D649" s="1009"/>
      <c r="E649" s="855"/>
      <c r="F649" s="856"/>
      <c r="G649" s="136"/>
      <c r="H649" s="857"/>
      <c r="I649" s="876">
        <f t="shared" si="92"/>
        <v>0</v>
      </c>
      <c r="J649" s="857"/>
      <c r="K649" s="719"/>
      <c r="L649" s="719"/>
      <c r="M649" s="719"/>
      <c r="N649" s="719"/>
      <c r="O649" s="833"/>
      <c r="P649" s="833"/>
      <c r="Q649" s="883" t="str">
        <f t="shared" si="91"/>
        <v>正确</v>
      </c>
      <c r="X649" s="769"/>
    </row>
    <row r="650" outlineLevel="2" spans="2:24">
      <c r="B650" s="692"/>
      <c r="C650" s="745"/>
      <c r="D650" s="1009"/>
      <c r="E650" s="855"/>
      <c r="F650" s="856"/>
      <c r="G650" s="136"/>
      <c r="H650" s="857"/>
      <c r="I650" s="876">
        <f t="shared" si="92"/>
        <v>0</v>
      </c>
      <c r="J650" s="857"/>
      <c r="K650" s="719"/>
      <c r="L650" s="719"/>
      <c r="M650" s="719"/>
      <c r="N650" s="719"/>
      <c r="O650" s="833"/>
      <c r="P650" s="833"/>
      <c r="Q650" s="883" t="str">
        <f t="shared" si="91"/>
        <v>正确</v>
      </c>
      <c r="X650" s="769"/>
    </row>
    <row r="651" outlineLevel="2" spans="2:24">
      <c r="B651" s="692"/>
      <c r="C651" s="745"/>
      <c r="D651" s="1009"/>
      <c r="E651" s="855"/>
      <c r="F651" s="856"/>
      <c r="G651" s="136"/>
      <c r="H651" s="857"/>
      <c r="I651" s="876">
        <f t="shared" si="92"/>
        <v>0</v>
      </c>
      <c r="J651" s="857"/>
      <c r="K651" s="719"/>
      <c r="L651" s="719"/>
      <c r="M651" s="719"/>
      <c r="N651" s="719"/>
      <c r="O651" s="833"/>
      <c r="P651" s="833"/>
      <c r="Q651" s="883" t="str">
        <f t="shared" si="91"/>
        <v>正确</v>
      </c>
      <c r="X651" s="769"/>
    </row>
    <row r="652" outlineLevel="2" spans="2:24">
      <c r="B652" s="692"/>
      <c r="C652" s="745"/>
      <c r="D652" s="1009"/>
      <c r="E652" s="855"/>
      <c r="F652" s="856"/>
      <c r="G652" s="136"/>
      <c r="H652" s="857"/>
      <c r="I652" s="876">
        <f t="shared" si="92"/>
        <v>0</v>
      </c>
      <c r="J652" s="857"/>
      <c r="K652" s="719"/>
      <c r="L652" s="719"/>
      <c r="M652" s="719"/>
      <c r="N652" s="719"/>
      <c r="O652" s="833"/>
      <c r="P652" s="833"/>
      <c r="Q652" s="883" t="str">
        <f t="shared" si="91"/>
        <v>正确</v>
      </c>
      <c r="X652" s="769"/>
    </row>
    <row r="653" outlineLevel="2" spans="2:24">
      <c r="B653" s="692"/>
      <c r="C653" s="745"/>
      <c r="D653" s="1009"/>
      <c r="E653" s="855"/>
      <c r="F653" s="856"/>
      <c r="G653" s="136"/>
      <c r="H653" s="857"/>
      <c r="I653" s="876">
        <f t="shared" si="92"/>
        <v>0</v>
      </c>
      <c r="J653" s="857"/>
      <c r="K653" s="719"/>
      <c r="L653" s="719"/>
      <c r="M653" s="719"/>
      <c r="N653" s="719"/>
      <c r="O653" s="833"/>
      <c r="P653" s="833"/>
      <c r="Q653" s="883" t="str">
        <f t="shared" si="91"/>
        <v>正确</v>
      </c>
      <c r="X653" s="769"/>
    </row>
    <row r="654" outlineLevel="2" spans="2:24">
      <c r="B654" s="692"/>
      <c r="C654" s="745"/>
      <c r="D654" s="1009"/>
      <c r="E654" s="855"/>
      <c r="F654" s="856"/>
      <c r="G654" s="136"/>
      <c r="H654" s="857"/>
      <c r="I654" s="876">
        <f t="shared" si="92"/>
        <v>0</v>
      </c>
      <c r="J654" s="857"/>
      <c r="K654" s="719"/>
      <c r="L654" s="719"/>
      <c r="M654" s="719"/>
      <c r="N654" s="719"/>
      <c r="O654" s="833"/>
      <c r="P654" s="833"/>
      <c r="Q654" s="883" t="str">
        <f t="shared" si="91"/>
        <v>正确</v>
      </c>
      <c r="X654" s="769"/>
    </row>
    <row r="655" outlineLevel="2" spans="2:24">
      <c r="B655" s="692"/>
      <c r="C655" s="745"/>
      <c r="D655" s="1009"/>
      <c r="E655" s="855"/>
      <c r="F655" s="856"/>
      <c r="G655" s="136"/>
      <c r="H655" s="857"/>
      <c r="I655" s="876">
        <f t="shared" si="92"/>
        <v>0</v>
      </c>
      <c r="J655" s="857"/>
      <c r="K655" s="719"/>
      <c r="L655" s="719"/>
      <c r="M655" s="719"/>
      <c r="N655" s="719"/>
      <c r="O655" s="833"/>
      <c r="P655" s="833"/>
      <c r="Q655" s="883" t="str">
        <f t="shared" si="91"/>
        <v>正确</v>
      </c>
      <c r="X655" s="769"/>
    </row>
    <row r="656" outlineLevel="2" spans="2:24">
      <c r="B656" s="692"/>
      <c r="C656" s="745"/>
      <c r="D656" s="1009"/>
      <c r="E656" s="855"/>
      <c r="F656" s="856"/>
      <c r="G656" s="136"/>
      <c r="H656" s="857"/>
      <c r="I656" s="876">
        <f t="shared" si="92"/>
        <v>0</v>
      </c>
      <c r="J656" s="857"/>
      <c r="K656" s="719"/>
      <c r="L656" s="719"/>
      <c r="M656" s="719"/>
      <c r="N656" s="719"/>
      <c r="O656" s="833"/>
      <c r="P656" s="833"/>
      <c r="Q656" s="883" t="str">
        <f t="shared" si="91"/>
        <v>正确</v>
      </c>
      <c r="X656" s="769"/>
    </row>
    <row r="657" outlineLevel="2" spans="2:24">
      <c r="B657" s="692"/>
      <c r="C657" s="745"/>
      <c r="D657" s="1009"/>
      <c r="E657" s="855"/>
      <c r="F657" s="856"/>
      <c r="G657" s="136"/>
      <c r="H657" s="857"/>
      <c r="I657" s="876">
        <f t="shared" si="92"/>
        <v>0</v>
      </c>
      <c r="J657" s="857"/>
      <c r="K657" s="719"/>
      <c r="L657" s="719"/>
      <c r="M657" s="719"/>
      <c r="N657" s="719"/>
      <c r="O657" s="833"/>
      <c r="P657" s="833"/>
      <c r="Q657" s="883" t="str">
        <f t="shared" si="91"/>
        <v>正确</v>
      </c>
      <c r="X657" s="769"/>
    </row>
    <row r="658" outlineLevel="2" spans="2:24">
      <c r="B658" s="692"/>
      <c r="C658" s="745"/>
      <c r="D658" s="1009"/>
      <c r="E658" s="855"/>
      <c r="F658" s="856"/>
      <c r="G658" s="136"/>
      <c r="H658" s="857"/>
      <c r="I658" s="876">
        <f t="shared" si="92"/>
        <v>0</v>
      </c>
      <c r="J658" s="857"/>
      <c r="K658" s="719"/>
      <c r="L658" s="719"/>
      <c r="M658" s="719"/>
      <c r="N658" s="719"/>
      <c r="O658" s="833"/>
      <c r="P658" s="833"/>
      <c r="Q658" s="883" t="str">
        <f t="shared" si="91"/>
        <v>正确</v>
      </c>
      <c r="X658" s="769"/>
    </row>
    <row r="659" outlineLevel="2" spans="2:24">
      <c r="B659" s="692"/>
      <c r="C659" s="745"/>
      <c r="D659" s="1009"/>
      <c r="E659" s="855"/>
      <c r="F659" s="856"/>
      <c r="G659" s="136"/>
      <c r="H659" s="857"/>
      <c r="I659" s="876">
        <f t="shared" si="92"/>
        <v>0</v>
      </c>
      <c r="J659" s="857"/>
      <c r="K659" s="719"/>
      <c r="L659" s="719"/>
      <c r="M659" s="719"/>
      <c r="N659" s="719"/>
      <c r="O659" s="833"/>
      <c r="P659" s="833"/>
      <c r="Q659" s="883" t="str">
        <f t="shared" si="91"/>
        <v>正确</v>
      </c>
      <c r="X659" s="769"/>
    </row>
    <row r="660" outlineLevel="2" spans="2:24">
      <c r="B660" s="692"/>
      <c r="C660" s="745"/>
      <c r="D660" s="1009"/>
      <c r="E660" s="855"/>
      <c r="F660" s="856"/>
      <c r="G660" s="136"/>
      <c r="H660" s="857"/>
      <c r="I660" s="876">
        <f t="shared" si="92"/>
        <v>0</v>
      </c>
      <c r="J660" s="857"/>
      <c r="K660" s="719"/>
      <c r="L660" s="719"/>
      <c r="M660" s="719"/>
      <c r="N660" s="719"/>
      <c r="O660" s="833"/>
      <c r="P660" s="833"/>
      <c r="Q660" s="883" t="str">
        <f t="shared" si="91"/>
        <v>正确</v>
      </c>
      <c r="X660" s="769"/>
    </row>
    <row r="661" outlineLevel="2" spans="2:24">
      <c r="B661" s="692"/>
      <c r="C661" s="745"/>
      <c r="D661" s="1009"/>
      <c r="E661" s="855"/>
      <c r="F661" s="856"/>
      <c r="G661" s="136"/>
      <c r="H661" s="857"/>
      <c r="I661" s="876">
        <f t="shared" si="92"/>
        <v>0</v>
      </c>
      <c r="J661" s="857"/>
      <c r="K661" s="719"/>
      <c r="L661" s="719"/>
      <c r="M661" s="719"/>
      <c r="N661" s="719"/>
      <c r="O661" s="833"/>
      <c r="P661" s="833"/>
      <c r="Q661" s="883" t="str">
        <f t="shared" si="91"/>
        <v>正确</v>
      </c>
      <c r="X661" s="769"/>
    </row>
    <row r="662" outlineLevel="2" spans="2:24">
      <c r="B662" s="692"/>
      <c r="C662" s="745"/>
      <c r="D662" s="1009"/>
      <c r="E662" s="855"/>
      <c r="F662" s="856"/>
      <c r="G662" s="136"/>
      <c r="H662" s="857"/>
      <c r="I662" s="876">
        <f t="shared" si="92"/>
        <v>0</v>
      </c>
      <c r="J662" s="857"/>
      <c r="K662" s="719"/>
      <c r="L662" s="719"/>
      <c r="M662" s="719"/>
      <c r="N662" s="719"/>
      <c r="O662" s="833"/>
      <c r="P662" s="833"/>
      <c r="Q662" s="883" t="str">
        <f t="shared" si="91"/>
        <v>正确</v>
      </c>
      <c r="X662" s="769"/>
    </row>
    <row r="663" outlineLevel="2" spans="2:24">
      <c r="B663" s="692" t="s">
        <v>2904</v>
      </c>
      <c r="C663" s="693" t="str">
        <f>$G$1</f>
        <v>深圳新阳蓝光能源管理科技股份有限公司</v>
      </c>
      <c r="D663" s="1009" t="s">
        <v>2942</v>
      </c>
      <c r="E663" s="1010" t="s">
        <v>3093</v>
      </c>
      <c r="F663" s="853"/>
      <c r="G663" s="854">
        <f>ROUND(SUM(G664:G684),2)</f>
        <v>0</v>
      </c>
      <c r="H663" s="854">
        <f>ROUND(SUM(H664:H684),2)</f>
        <v>0</v>
      </c>
      <c r="I663" s="876">
        <f t="shared" si="92"/>
        <v>0</v>
      </c>
      <c r="J663" s="854">
        <f t="shared" ref="J663:P663" si="94">ROUND(SUM(J664:J684),2)</f>
        <v>0</v>
      </c>
      <c r="K663" s="854">
        <f t="shared" si="94"/>
        <v>0</v>
      </c>
      <c r="L663" s="854">
        <f t="shared" si="94"/>
        <v>0</v>
      </c>
      <c r="M663" s="854">
        <f t="shared" si="94"/>
        <v>0</v>
      </c>
      <c r="N663" s="854">
        <f t="shared" si="94"/>
        <v>0</v>
      </c>
      <c r="O663" s="854">
        <f t="shared" si="94"/>
        <v>0</v>
      </c>
      <c r="P663" s="854">
        <f t="shared" si="94"/>
        <v>0</v>
      </c>
      <c r="Q663" s="883" t="str">
        <f t="shared" si="91"/>
        <v>正确</v>
      </c>
      <c r="X663" s="768" t="b">
        <f t="shared" ref="X663:X666" si="95">EXACT(A663,E663)</f>
        <v>0</v>
      </c>
    </row>
    <row r="664" outlineLevel="2" spans="2:24">
      <c r="B664" s="692" t="s">
        <v>2904</v>
      </c>
      <c r="C664" s="693" t="str">
        <f>$G$1</f>
        <v>深圳新阳蓝光能源管理科技股份有限公司</v>
      </c>
      <c r="D664" s="1009" t="s">
        <v>2942</v>
      </c>
      <c r="E664" s="855"/>
      <c r="F664" s="856"/>
      <c r="G664" s="136"/>
      <c r="H664" s="857"/>
      <c r="I664" s="876">
        <f t="shared" si="92"/>
        <v>0</v>
      </c>
      <c r="J664" s="857"/>
      <c r="K664" s="719"/>
      <c r="L664" s="719"/>
      <c r="M664" s="719"/>
      <c r="N664" s="719"/>
      <c r="O664" s="833"/>
      <c r="P664" s="833"/>
      <c r="Q664" s="883" t="str">
        <f t="shared" si="91"/>
        <v>正确</v>
      </c>
      <c r="X664" s="768" t="b">
        <f t="shared" si="95"/>
        <v>1</v>
      </c>
    </row>
    <row r="665" outlineLevel="2" spans="2:24">
      <c r="B665" s="692" t="s">
        <v>2904</v>
      </c>
      <c r="C665" s="693" t="str">
        <f>$G$1</f>
        <v>深圳新阳蓝光能源管理科技股份有限公司</v>
      </c>
      <c r="D665" s="1009" t="s">
        <v>2942</v>
      </c>
      <c r="E665" s="855"/>
      <c r="F665" s="856"/>
      <c r="G665" s="136"/>
      <c r="H665" s="857"/>
      <c r="I665" s="876">
        <f t="shared" si="92"/>
        <v>0</v>
      </c>
      <c r="J665" s="857"/>
      <c r="K665" s="719"/>
      <c r="L665" s="719"/>
      <c r="M665" s="719"/>
      <c r="N665" s="719"/>
      <c r="O665" s="833"/>
      <c r="P665" s="833"/>
      <c r="Q665" s="883" t="str">
        <f t="shared" si="91"/>
        <v>正确</v>
      </c>
      <c r="X665" s="768" t="b">
        <f t="shared" si="95"/>
        <v>1</v>
      </c>
    </row>
    <row r="666" outlineLevel="2" spans="2:24">
      <c r="B666" s="692" t="s">
        <v>2904</v>
      </c>
      <c r="C666" s="693" t="str">
        <f>$G$1</f>
        <v>深圳新阳蓝光能源管理科技股份有限公司</v>
      </c>
      <c r="D666" s="1009" t="s">
        <v>2950</v>
      </c>
      <c r="E666" s="855"/>
      <c r="F666" s="856"/>
      <c r="G666" s="136"/>
      <c r="H666" s="857"/>
      <c r="I666" s="876">
        <f t="shared" si="92"/>
        <v>0</v>
      </c>
      <c r="J666" s="857"/>
      <c r="K666" s="719"/>
      <c r="L666" s="719"/>
      <c r="M666" s="719"/>
      <c r="N666" s="719"/>
      <c r="O666" s="833"/>
      <c r="P666" s="833"/>
      <c r="Q666" s="883" t="str">
        <f t="shared" si="91"/>
        <v>正确</v>
      </c>
      <c r="X666" s="768" t="b">
        <f t="shared" si="95"/>
        <v>1</v>
      </c>
    </row>
    <row r="667" outlineLevel="2" spans="2:24">
      <c r="B667" s="692"/>
      <c r="C667" s="745"/>
      <c r="D667" s="1009"/>
      <c r="E667" s="855"/>
      <c r="F667" s="856"/>
      <c r="G667" s="136"/>
      <c r="H667" s="857"/>
      <c r="I667" s="876">
        <f t="shared" si="92"/>
        <v>0</v>
      </c>
      <c r="J667" s="857"/>
      <c r="K667" s="719"/>
      <c r="L667" s="719"/>
      <c r="M667" s="719"/>
      <c r="N667" s="719"/>
      <c r="O667" s="833"/>
      <c r="P667" s="833"/>
      <c r="Q667" s="883" t="str">
        <f t="shared" si="91"/>
        <v>正确</v>
      </c>
      <c r="X667" s="769"/>
    </row>
    <row r="668" outlineLevel="2" spans="2:24">
      <c r="B668" s="692"/>
      <c r="C668" s="745"/>
      <c r="D668" s="1009"/>
      <c r="E668" s="855"/>
      <c r="F668" s="856"/>
      <c r="G668" s="136"/>
      <c r="H668" s="857"/>
      <c r="I668" s="876">
        <f t="shared" si="92"/>
        <v>0</v>
      </c>
      <c r="J668" s="857"/>
      <c r="K668" s="719"/>
      <c r="L668" s="719"/>
      <c r="M668" s="719"/>
      <c r="N668" s="719"/>
      <c r="O668" s="833"/>
      <c r="P668" s="833"/>
      <c r="Q668" s="883" t="str">
        <f t="shared" si="91"/>
        <v>正确</v>
      </c>
      <c r="X668" s="769"/>
    </row>
    <row r="669" outlineLevel="2" spans="2:24">
      <c r="B669" s="692"/>
      <c r="C669" s="745"/>
      <c r="D669" s="1009"/>
      <c r="E669" s="855"/>
      <c r="F669" s="856"/>
      <c r="G669" s="136"/>
      <c r="H669" s="857"/>
      <c r="I669" s="876">
        <f t="shared" si="92"/>
        <v>0</v>
      </c>
      <c r="J669" s="857"/>
      <c r="K669" s="719"/>
      <c r="L669" s="719"/>
      <c r="M669" s="719"/>
      <c r="N669" s="719"/>
      <c r="O669" s="833"/>
      <c r="P669" s="833"/>
      <c r="Q669" s="883" t="str">
        <f t="shared" si="91"/>
        <v>正确</v>
      </c>
      <c r="X669" s="769"/>
    </row>
    <row r="670" outlineLevel="2" spans="2:24">
      <c r="B670" s="692"/>
      <c r="C670" s="745"/>
      <c r="D670" s="1009"/>
      <c r="E670" s="855"/>
      <c r="F670" s="856"/>
      <c r="G670" s="136"/>
      <c r="H670" s="857"/>
      <c r="I670" s="876">
        <f t="shared" si="92"/>
        <v>0</v>
      </c>
      <c r="J670" s="857"/>
      <c r="K670" s="719"/>
      <c r="L670" s="719"/>
      <c r="M670" s="719"/>
      <c r="N670" s="719"/>
      <c r="O670" s="833"/>
      <c r="P670" s="833"/>
      <c r="Q670" s="883" t="str">
        <f t="shared" si="91"/>
        <v>正确</v>
      </c>
      <c r="X670" s="769"/>
    </row>
    <row r="671" outlineLevel="2" spans="2:24">
      <c r="B671" s="692" t="s">
        <v>2904</v>
      </c>
      <c r="C671" s="693" t="str">
        <f t="shared" ref="C671:C701" si="96">$G$1</f>
        <v>深圳新阳蓝光能源管理科技股份有限公司</v>
      </c>
      <c r="D671" s="1009" t="s">
        <v>2950</v>
      </c>
      <c r="E671" s="855"/>
      <c r="F671" s="856"/>
      <c r="G671" s="136"/>
      <c r="H671" s="857"/>
      <c r="I671" s="876">
        <f t="shared" si="92"/>
        <v>0</v>
      </c>
      <c r="J671" s="857"/>
      <c r="K671" s="719"/>
      <c r="L671" s="719"/>
      <c r="M671" s="719"/>
      <c r="N671" s="719"/>
      <c r="O671" s="833"/>
      <c r="P671" s="833"/>
      <c r="Q671" s="883" t="str">
        <f t="shared" si="91"/>
        <v>正确</v>
      </c>
      <c r="X671" s="768" t="b">
        <f t="shared" ref="X671:X734" si="97">EXACT(A671,E671)</f>
        <v>1</v>
      </c>
    </row>
    <row r="672" outlineLevel="2" spans="2:24">
      <c r="B672" s="692" t="s">
        <v>2904</v>
      </c>
      <c r="C672" s="693" t="str">
        <f t="shared" si="96"/>
        <v>深圳新阳蓝光能源管理科技股份有限公司</v>
      </c>
      <c r="D672" s="1009" t="s">
        <v>2950</v>
      </c>
      <c r="E672" s="855"/>
      <c r="F672" s="856"/>
      <c r="G672" s="136"/>
      <c r="H672" s="857"/>
      <c r="I672" s="876">
        <f t="shared" si="92"/>
        <v>0</v>
      </c>
      <c r="J672" s="857"/>
      <c r="K672" s="719"/>
      <c r="L672" s="719"/>
      <c r="M672" s="719"/>
      <c r="N672" s="719"/>
      <c r="O672" s="833"/>
      <c r="P672" s="833"/>
      <c r="Q672" s="883" t="str">
        <f t="shared" si="91"/>
        <v>正确</v>
      </c>
      <c r="X672" s="768" t="b">
        <f t="shared" si="97"/>
        <v>1</v>
      </c>
    </row>
    <row r="673" outlineLevel="2" spans="2:24">
      <c r="B673" s="692" t="s">
        <v>2904</v>
      </c>
      <c r="C673" s="693" t="str">
        <f t="shared" si="96"/>
        <v>深圳新阳蓝光能源管理科技股份有限公司</v>
      </c>
      <c r="D673" s="1009" t="s">
        <v>2950</v>
      </c>
      <c r="E673" s="855"/>
      <c r="F673" s="856"/>
      <c r="G673" s="136"/>
      <c r="H673" s="857"/>
      <c r="I673" s="876">
        <f t="shared" si="92"/>
        <v>0</v>
      </c>
      <c r="J673" s="857"/>
      <c r="K673" s="719"/>
      <c r="L673" s="719"/>
      <c r="M673" s="719"/>
      <c r="N673" s="719"/>
      <c r="O673" s="833"/>
      <c r="P673" s="833"/>
      <c r="Q673" s="883" t="str">
        <f t="shared" si="91"/>
        <v>正确</v>
      </c>
      <c r="X673" s="768" t="b">
        <f t="shared" si="97"/>
        <v>1</v>
      </c>
    </row>
    <row r="674" outlineLevel="2" spans="2:24">
      <c r="B674" s="692" t="s">
        <v>2904</v>
      </c>
      <c r="C674" s="693" t="str">
        <f t="shared" si="96"/>
        <v>深圳新阳蓝光能源管理科技股份有限公司</v>
      </c>
      <c r="D674" s="1009" t="s">
        <v>2950</v>
      </c>
      <c r="E674" s="855"/>
      <c r="F674" s="856"/>
      <c r="G674" s="136"/>
      <c r="H674" s="857"/>
      <c r="I674" s="876">
        <f t="shared" si="92"/>
        <v>0</v>
      </c>
      <c r="J674" s="857"/>
      <c r="K674" s="719"/>
      <c r="L674" s="719"/>
      <c r="M674" s="719"/>
      <c r="N674" s="719"/>
      <c r="O674" s="833"/>
      <c r="P674" s="833"/>
      <c r="Q674" s="883" t="str">
        <f t="shared" si="91"/>
        <v>正确</v>
      </c>
      <c r="X674" s="768" t="b">
        <f t="shared" si="97"/>
        <v>1</v>
      </c>
    </row>
    <row r="675" outlineLevel="2" spans="2:24">
      <c r="B675" s="692" t="s">
        <v>2904</v>
      </c>
      <c r="C675" s="693" t="str">
        <f t="shared" si="96"/>
        <v>深圳新阳蓝光能源管理科技股份有限公司</v>
      </c>
      <c r="D675" s="1009" t="s">
        <v>2950</v>
      </c>
      <c r="E675" s="855"/>
      <c r="F675" s="856"/>
      <c r="G675" s="136"/>
      <c r="H675" s="857"/>
      <c r="I675" s="876">
        <f t="shared" si="92"/>
        <v>0</v>
      </c>
      <c r="J675" s="857"/>
      <c r="K675" s="719"/>
      <c r="L675" s="719"/>
      <c r="M675" s="719"/>
      <c r="N675" s="719"/>
      <c r="O675" s="833"/>
      <c r="P675" s="833"/>
      <c r="Q675" s="883" t="str">
        <f t="shared" si="91"/>
        <v>正确</v>
      </c>
      <c r="X675" s="768" t="b">
        <f t="shared" si="97"/>
        <v>1</v>
      </c>
    </row>
    <row r="676" outlineLevel="2" spans="2:24">
      <c r="B676" s="692" t="s">
        <v>2904</v>
      </c>
      <c r="C676" s="693" t="str">
        <f t="shared" si="96"/>
        <v>深圳新阳蓝光能源管理科技股份有限公司</v>
      </c>
      <c r="D676" s="1009" t="s">
        <v>2950</v>
      </c>
      <c r="E676" s="855"/>
      <c r="F676" s="856"/>
      <c r="G676" s="136"/>
      <c r="H676" s="857"/>
      <c r="I676" s="876">
        <f t="shared" si="92"/>
        <v>0</v>
      </c>
      <c r="J676" s="857"/>
      <c r="K676" s="719"/>
      <c r="L676" s="719"/>
      <c r="M676" s="719"/>
      <c r="N676" s="719"/>
      <c r="O676" s="833"/>
      <c r="P676" s="833"/>
      <c r="Q676" s="883" t="str">
        <f t="shared" si="91"/>
        <v>正确</v>
      </c>
      <c r="X676" s="768" t="b">
        <f t="shared" si="97"/>
        <v>1</v>
      </c>
    </row>
    <row r="677" outlineLevel="2" spans="2:24">
      <c r="B677" s="692" t="s">
        <v>2904</v>
      </c>
      <c r="C677" s="693" t="str">
        <f t="shared" si="96"/>
        <v>深圳新阳蓝光能源管理科技股份有限公司</v>
      </c>
      <c r="D677" s="1009" t="s">
        <v>2950</v>
      </c>
      <c r="E677" s="855"/>
      <c r="F677" s="856"/>
      <c r="G677" s="136"/>
      <c r="H677" s="857"/>
      <c r="I677" s="876">
        <f t="shared" si="92"/>
        <v>0</v>
      </c>
      <c r="J677" s="857"/>
      <c r="K677" s="719"/>
      <c r="L677" s="719"/>
      <c r="M677" s="719"/>
      <c r="N677" s="719"/>
      <c r="O677" s="833"/>
      <c r="P677" s="833"/>
      <c r="Q677" s="883" t="str">
        <f t="shared" si="91"/>
        <v>正确</v>
      </c>
      <c r="X677" s="768" t="b">
        <f t="shared" si="97"/>
        <v>1</v>
      </c>
    </row>
    <row r="678" outlineLevel="2" spans="2:24">
      <c r="B678" s="692" t="s">
        <v>2904</v>
      </c>
      <c r="C678" s="693" t="str">
        <f t="shared" si="96"/>
        <v>深圳新阳蓝光能源管理科技股份有限公司</v>
      </c>
      <c r="D678" s="1009" t="s">
        <v>2950</v>
      </c>
      <c r="E678" s="855"/>
      <c r="F678" s="856"/>
      <c r="G678" s="136"/>
      <c r="H678" s="857"/>
      <c r="I678" s="876">
        <f t="shared" si="92"/>
        <v>0</v>
      </c>
      <c r="J678" s="857"/>
      <c r="K678" s="719"/>
      <c r="L678" s="719"/>
      <c r="M678" s="719"/>
      <c r="N678" s="719"/>
      <c r="O678" s="833"/>
      <c r="P678" s="833"/>
      <c r="Q678" s="883" t="str">
        <f t="shared" si="91"/>
        <v>正确</v>
      </c>
      <c r="X678" s="768" t="b">
        <f t="shared" si="97"/>
        <v>1</v>
      </c>
    </row>
    <row r="679" outlineLevel="2" spans="2:24">
      <c r="B679" s="692" t="s">
        <v>2904</v>
      </c>
      <c r="C679" s="693" t="str">
        <f t="shared" si="96"/>
        <v>深圳新阳蓝光能源管理科技股份有限公司</v>
      </c>
      <c r="D679" s="1009" t="s">
        <v>2950</v>
      </c>
      <c r="E679" s="855"/>
      <c r="F679" s="856"/>
      <c r="G679" s="136"/>
      <c r="H679" s="857"/>
      <c r="I679" s="876">
        <f t="shared" si="92"/>
        <v>0</v>
      </c>
      <c r="J679" s="857"/>
      <c r="K679" s="719"/>
      <c r="L679" s="719"/>
      <c r="M679" s="719"/>
      <c r="N679" s="719"/>
      <c r="O679" s="833"/>
      <c r="P679" s="833"/>
      <c r="Q679" s="883" t="str">
        <f t="shared" si="91"/>
        <v>正确</v>
      </c>
      <c r="X679" s="768" t="b">
        <f t="shared" si="97"/>
        <v>1</v>
      </c>
    </row>
    <row r="680" outlineLevel="2" spans="2:24">
      <c r="B680" s="692" t="s">
        <v>2904</v>
      </c>
      <c r="C680" s="693" t="str">
        <f t="shared" si="96"/>
        <v>深圳新阳蓝光能源管理科技股份有限公司</v>
      </c>
      <c r="D680" s="1009" t="s">
        <v>2950</v>
      </c>
      <c r="E680" s="855"/>
      <c r="F680" s="856"/>
      <c r="G680" s="136"/>
      <c r="H680" s="857"/>
      <c r="I680" s="876">
        <f t="shared" si="92"/>
        <v>0</v>
      </c>
      <c r="J680" s="857"/>
      <c r="K680" s="719"/>
      <c r="L680" s="719"/>
      <c r="M680" s="719"/>
      <c r="N680" s="719"/>
      <c r="O680" s="833"/>
      <c r="P680" s="833"/>
      <c r="Q680" s="883" t="str">
        <f t="shared" si="91"/>
        <v>正确</v>
      </c>
      <c r="X680" s="768" t="b">
        <f t="shared" si="97"/>
        <v>1</v>
      </c>
    </row>
    <row r="681" outlineLevel="2" spans="2:24">
      <c r="B681" s="692" t="s">
        <v>2904</v>
      </c>
      <c r="C681" s="693" t="str">
        <f t="shared" si="96"/>
        <v>深圳新阳蓝光能源管理科技股份有限公司</v>
      </c>
      <c r="D681" s="1009" t="s">
        <v>2950</v>
      </c>
      <c r="E681" s="855"/>
      <c r="F681" s="856"/>
      <c r="G681" s="136"/>
      <c r="H681" s="857"/>
      <c r="I681" s="876">
        <f t="shared" si="92"/>
        <v>0</v>
      </c>
      <c r="J681" s="857"/>
      <c r="K681" s="719"/>
      <c r="L681" s="719"/>
      <c r="M681" s="719"/>
      <c r="N681" s="719"/>
      <c r="O681" s="833"/>
      <c r="P681" s="833"/>
      <c r="Q681" s="883" t="str">
        <f t="shared" si="91"/>
        <v>正确</v>
      </c>
      <c r="X681" s="768" t="b">
        <f t="shared" si="97"/>
        <v>1</v>
      </c>
    </row>
    <row r="682" outlineLevel="2" spans="2:24">
      <c r="B682" s="692" t="s">
        <v>2904</v>
      </c>
      <c r="C682" s="693" t="str">
        <f t="shared" si="96"/>
        <v>深圳新阳蓝光能源管理科技股份有限公司</v>
      </c>
      <c r="D682" s="1009" t="s">
        <v>2950</v>
      </c>
      <c r="E682" s="855"/>
      <c r="F682" s="856"/>
      <c r="G682" s="136"/>
      <c r="H682" s="857"/>
      <c r="I682" s="876">
        <f t="shared" si="92"/>
        <v>0</v>
      </c>
      <c r="J682" s="857"/>
      <c r="K682" s="719"/>
      <c r="L682" s="719"/>
      <c r="M682" s="719"/>
      <c r="N682" s="719"/>
      <c r="O682" s="833"/>
      <c r="P682" s="833"/>
      <c r="Q682" s="883" t="str">
        <f t="shared" si="91"/>
        <v>正确</v>
      </c>
      <c r="X682" s="768" t="b">
        <f t="shared" si="97"/>
        <v>1</v>
      </c>
    </row>
    <row r="683" outlineLevel="2" spans="2:24">
      <c r="B683" s="692" t="s">
        <v>2904</v>
      </c>
      <c r="C683" s="693" t="str">
        <f t="shared" si="96"/>
        <v>深圳新阳蓝光能源管理科技股份有限公司</v>
      </c>
      <c r="D683" s="1009" t="s">
        <v>2950</v>
      </c>
      <c r="E683" s="855"/>
      <c r="F683" s="856"/>
      <c r="G683" s="136"/>
      <c r="H683" s="857"/>
      <c r="I683" s="876">
        <f t="shared" si="92"/>
        <v>0</v>
      </c>
      <c r="J683" s="857"/>
      <c r="K683" s="719"/>
      <c r="L683" s="719"/>
      <c r="M683" s="719"/>
      <c r="N683" s="719"/>
      <c r="O683" s="833"/>
      <c r="P683" s="833"/>
      <c r="Q683" s="883" t="str">
        <f t="shared" si="91"/>
        <v>正确</v>
      </c>
      <c r="X683" s="768" t="b">
        <f t="shared" si="97"/>
        <v>1</v>
      </c>
    </row>
    <row r="684" outlineLevel="2" spans="2:24">
      <c r="B684" s="692" t="s">
        <v>2904</v>
      </c>
      <c r="C684" s="693" t="str">
        <f t="shared" si="96"/>
        <v>深圳新阳蓝光能源管理科技股份有限公司</v>
      </c>
      <c r="D684" s="1009" t="s">
        <v>2950</v>
      </c>
      <c r="E684" s="855"/>
      <c r="F684" s="856"/>
      <c r="G684" s="136"/>
      <c r="H684" s="857"/>
      <c r="I684" s="876">
        <f t="shared" si="92"/>
        <v>0</v>
      </c>
      <c r="J684" s="857"/>
      <c r="K684" s="719"/>
      <c r="L684" s="719"/>
      <c r="M684" s="719"/>
      <c r="N684" s="719"/>
      <c r="O684" s="833"/>
      <c r="P684" s="833"/>
      <c r="Q684" s="883" t="str">
        <f t="shared" si="91"/>
        <v>正确</v>
      </c>
      <c r="X684" s="768" t="b">
        <f t="shared" si="97"/>
        <v>1</v>
      </c>
    </row>
    <row r="685" outlineLevel="2" spans="1:24">
      <c r="A685" s="826" t="s">
        <v>2021</v>
      </c>
      <c r="B685" s="692" t="s">
        <v>2904</v>
      </c>
      <c r="C685" s="693" t="str">
        <f t="shared" si="96"/>
        <v>深圳新阳蓝光能源管理科技股份有限公司</v>
      </c>
      <c r="D685" s="1009" t="s">
        <v>2950</v>
      </c>
      <c r="E685" s="830" t="s">
        <v>2021</v>
      </c>
      <c r="F685" s="875"/>
      <c r="G685" s="139">
        <f>G663+G639</f>
        <v>3502548</v>
      </c>
      <c r="H685" s="139">
        <f>H663+H639</f>
        <v>0</v>
      </c>
      <c r="I685" s="876">
        <f t="shared" si="92"/>
        <v>0</v>
      </c>
      <c r="J685" s="873"/>
      <c r="K685" s="139">
        <f t="shared" ref="K685:P685" si="98">K663+K639</f>
        <v>3502548</v>
      </c>
      <c r="L685" s="139">
        <f t="shared" si="98"/>
        <v>0</v>
      </c>
      <c r="M685" s="139">
        <f t="shared" si="98"/>
        <v>0</v>
      </c>
      <c r="N685" s="139">
        <f t="shared" si="98"/>
        <v>0</v>
      </c>
      <c r="O685" s="139">
        <f t="shared" si="98"/>
        <v>0</v>
      </c>
      <c r="P685" s="139">
        <f t="shared" si="98"/>
        <v>0</v>
      </c>
      <c r="Q685" s="883" t="str">
        <f t="shared" si="91"/>
        <v>正确</v>
      </c>
      <c r="X685" s="768" t="b">
        <f t="shared" si="97"/>
        <v>1</v>
      </c>
    </row>
    <row r="686" outlineLevel="2" spans="2:24">
      <c r="B686" s="692" t="s">
        <v>2904</v>
      </c>
      <c r="C686" s="693" t="str">
        <f t="shared" si="96"/>
        <v>深圳新阳蓝光能源管理科技股份有限公司</v>
      </c>
      <c r="D686" s="1009" t="s">
        <v>2950</v>
      </c>
      <c r="E686" s="885" t="s">
        <v>3094</v>
      </c>
      <c r="F686" s="829"/>
      <c r="G686" s="829"/>
      <c r="H686" s="829"/>
      <c r="I686" s="829"/>
      <c r="J686" s="829"/>
      <c r="K686" s="829"/>
      <c r="L686" s="715"/>
      <c r="M686" s="837"/>
      <c r="N686" s="829"/>
      <c r="X686" s="768" t="b">
        <f t="shared" si="97"/>
        <v>0</v>
      </c>
    </row>
    <row r="687" outlineLevel="2" spans="1:24">
      <c r="A687" s="826" t="s">
        <v>2907</v>
      </c>
      <c r="B687" s="692" t="s">
        <v>2904</v>
      </c>
      <c r="C687" s="693" t="str">
        <f t="shared" si="96"/>
        <v>深圳新阳蓝光能源管理科技股份有限公司</v>
      </c>
      <c r="D687" s="827" t="s">
        <v>2905</v>
      </c>
      <c r="E687" s="887" t="s">
        <v>2907</v>
      </c>
      <c r="F687" s="831" t="s">
        <v>316</v>
      </c>
      <c r="G687" s="830"/>
      <c r="H687" s="830"/>
      <c r="I687" s="830"/>
      <c r="J687" s="830" t="s">
        <v>2020</v>
      </c>
      <c r="K687" s="830"/>
      <c r="L687" s="830"/>
      <c r="M687" s="830"/>
      <c r="N687" s="858" t="s">
        <v>2908</v>
      </c>
      <c r="O687" s="859" t="s">
        <v>2909</v>
      </c>
      <c r="P687" s="860" t="s">
        <v>2910</v>
      </c>
      <c r="Q687" s="866" t="s">
        <v>2913</v>
      </c>
      <c r="R687" s="867"/>
      <c r="T687" s="847" t="s">
        <v>366</v>
      </c>
      <c r="U687" s="847" t="s">
        <v>2918</v>
      </c>
      <c r="X687" s="768" t="b">
        <f t="shared" si="97"/>
        <v>1</v>
      </c>
    </row>
    <row r="688" outlineLevel="2" spans="2:24">
      <c r="B688" s="692" t="s">
        <v>2904</v>
      </c>
      <c r="C688" s="693" t="str">
        <f t="shared" si="96"/>
        <v>深圳新阳蓝光能源管理科技股份有限公司</v>
      </c>
      <c r="D688" s="827" t="s">
        <v>2905</v>
      </c>
      <c r="E688" s="888"/>
      <c r="F688" s="830" t="s">
        <v>2914</v>
      </c>
      <c r="G688" s="830" t="s">
        <v>445</v>
      </c>
      <c r="H688" s="830" t="s">
        <v>471</v>
      </c>
      <c r="I688" s="830" t="s">
        <v>2915</v>
      </c>
      <c r="J688" s="830" t="s">
        <v>2914</v>
      </c>
      <c r="K688" s="830" t="s">
        <v>445</v>
      </c>
      <c r="L688" s="830" t="s">
        <v>471</v>
      </c>
      <c r="M688" s="830" t="s">
        <v>2915</v>
      </c>
      <c r="O688" s="861"/>
      <c r="Q688" s="868" t="s">
        <v>2916</v>
      </c>
      <c r="R688" s="868" t="s">
        <v>2917</v>
      </c>
      <c r="S688" s="826" t="s">
        <v>2922</v>
      </c>
      <c r="T688" s="838">
        <v>2978483.65</v>
      </c>
      <c r="U688" s="838">
        <v>29784.84</v>
      </c>
      <c r="V688" s="884">
        <f>ROUND(U688/T688,2)</f>
        <v>0.01</v>
      </c>
      <c r="X688" s="768" t="b">
        <f t="shared" si="97"/>
        <v>1</v>
      </c>
    </row>
    <row r="689" outlineLevel="2" spans="1:24">
      <c r="A689" s="826" t="s">
        <v>2026</v>
      </c>
      <c r="B689" s="692" t="s">
        <v>2904</v>
      </c>
      <c r="C689" s="693" t="str">
        <f t="shared" si="96"/>
        <v>深圳新阳蓝光能源管理科技股份有限公司</v>
      </c>
      <c r="D689" s="827" t="s">
        <v>2905</v>
      </c>
      <c r="E689" s="830" t="s">
        <v>2921</v>
      </c>
      <c r="F689" s="136">
        <v>10028228.73</v>
      </c>
      <c r="G689" s="832">
        <f>IF($F$695=0,0,ROUND(F689/$F$695,4))+Q689</f>
        <v>0.6557</v>
      </c>
      <c r="H689" s="136">
        <v>501411.44</v>
      </c>
      <c r="I689" s="832">
        <f>IFERROR(ROUND(H689/F689,4),0)</f>
        <v>0.05</v>
      </c>
      <c r="J689" s="743">
        <f>报表附注合并期初用!E295</f>
        <v>12853510.6</v>
      </c>
      <c r="K689" s="832">
        <f>IF($J$695=0,0,ROUND(J689/$J$695,4))+R689</f>
        <v>0.8939</v>
      </c>
      <c r="L689" s="743">
        <f>报表附注合并期初用!E303</f>
        <v>624116.3</v>
      </c>
      <c r="M689" s="832">
        <f>IFERROR(ROUND(L689/J689,4),0)</f>
        <v>0.0486</v>
      </c>
      <c r="N689" s="898">
        <v>0.05</v>
      </c>
      <c r="O689" s="861"/>
      <c r="P689" s="863"/>
      <c r="Q689" s="869">
        <v>0.0001</v>
      </c>
      <c r="R689" s="869"/>
      <c r="S689" s="838" t="s">
        <v>2924</v>
      </c>
      <c r="T689" s="838">
        <v>1318050</v>
      </c>
      <c r="U689" s="838">
        <v>65902.5</v>
      </c>
      <c r="V689" s="884">
        <f>ROUND(U689/T689,2)</f>
        <v>0.05</v>
      </c>
      <c r="X689" s="768" t="b">
        <f t="shared" si="97"/>
        <v>1</v>
      </c>
    </row>
    <row r="690" outlineLevel="2" spans="1:24">
      <c r="A690" s="826" t="s">
        <v>2027</v>
      </c>
      <c r="B690" s="692" t="s">
        <v>2904</v>
      </c>
      <c r="C690" s="693" t="str">
        <f t="shared" si="96"/>
        <v>深圳新阳蓝光能源管理科技股份有限公司</v>
      </c>
      <c r="D690" s="827" t="s">
        <v>2905</v>
      </c>
      <c r="E690" s="830" t="s">
        <v>2923</v>
      </c>
      <c r="F690" s="136">
        <v>4583710.82</v>
      </c>
      <c r="G690" s="832">
        <f t="shared" ref="G690:G694" si="99">IF($F$695=0,0,ROUND(F690/$F$695,4))+Q690</f>
        <v>0.2997</v>
      </c>
      <c r="H690" s="136">
        <v>458371.08</v>
      </c>
      <c r="I690" s="832">
        <f>IFERROR(ROUND(H690/F690,4),0)</f>
        <v>0.1</v>
      </c>
      <c r="J690" s="743">
        <f>报表附注合并期初用!E296</f>
        <v>594556.18</v>
      </c>
      <c r="K690" s="832">
        <f t="shared" ref="K690:K694" si="100">IF($J$695=0,0,ROUND(J690/$J$695,4))+R690</f>
        <v>0.0413</v>
      </c>
      <c r="L690" s="743">
        <f>报表附注合并期初用!E304</f>
        <v>59455.62</v>
      </c>
      <c r="M690" s="832">
        <f t="shared" ref="M690:M695" si="101">IFERROR(ROUND(L690/J690,4),0)</f>
        <v>0.1</v>
      </c>
      <c r="N690" s="898">
        <v>0.1</v>
      </c>
      <c r="O690" s="864" t="str">
        <f>IF(F690&lt;=J689,"合理","1-2年账不合理")</f>
        <v>合理</v>
      </c>
      <c r="P690" s="863"/>
      <c r="Q690" s="869"/>
      <c r="R690" s="869"/>
      <c r="S690" s="838"/>
      <c r="T690" s="838"/>
      <c r="X690" s="768" t="b">
        <f t="shared" si="97"/>
        <v>1</v>
      </c>
    </row>
    <row r="691" outlineLevel="2" spans="1:24">
      <c r="A691" s="826" t="s">
        <v>2028</v>
      </c>
      <c r="B691" s="692" t="s">
        <v>2904</v>
      </c>
      <c r="C691" s="693" t="str">
        <f t="shared" si="96"/>
        <v>深圳新阳蓝光能源管理科技股份有限公司</v>
      </c>
      <c r="D691" s="827" t="s">
        <v>2905</v>
      </c>
      <c r="E691" s="830" t="s">
        <v>2925</v>
      </c>
      <c r="F691" s="136">
        <v>15000</v>
      </c>
      <c r="G691" s="832">
        <f t="shared" si="99"/>
        <v>0.001</v>
      </c>
      <c r="H691" s="136">
        <v>3000</v>
      </c>
      <c r="I691" s="832">
        <f t="shared" ref="I691:I695" si="102">IFERROR(ROUND(H691/F691,4),0)</f>
        <v>0.2</v>
      </c>
      <c r="J691" s="743">
        <f>报表附注合并期初用!E297</f>
        <v>832112.26</v>
      </c>
      <c r="K691" s="832">
        <f t="shared" si="100"/>
        <v>0.0579</v>
      </c>
      <c r="L691" s="743">
        <f>报表附注合并期初用!E305</f>
        <v>166422.45</v>
      </c>
      <c r="M691" s="832">
        <f t="shared" si="101"/>
        <v>0.2</v>
      </c>
      <c r="N691" s="898">
        <v>0.2</v>
      </c>
      <c r="O691" s="864" t="str">
        <f>IF(F691&lt;=J690,"合理","2-3年账不合理")</f>
        <v>合理</v>
      </c>
      <c r="P691" s="863"/>
      <c r="Q691" s="869"/>
      <c r="R691" s="869"/>
      <c r="S691" s="838"/>
      <c r="T691" s="838"/>
      <c r="X691" s="768" t="b">
        <f t="shared" si="97"/>
        <v>1</v>
      </c>
    </row>
    <row r="692" outlineLevel="2" spans="1:24">
      <c r="A692" s="826" t="s">
        <v>2029</v>
      </c>
      <c r="B692" s="692" t="s">
        <v>2904</v>
      </c>
      <c r="C692" s="693" t="str">
        <f t="shared" si="96"/>
        <v>深圳新阳蓝光能源管理科技股份有限公司</v>
      </c>
      <c r="D692" s="827" t="s">
        <v>2905</v>
      </c>
      <c r="E692" s="830" t="s">
        <v>2926</v>
      </c>
      <c r="F692" s="136">
        <v>570200</v>
      </c>
      <c r="G692" s="832">
        <f t="shared" si="99"/>
        <v>0.0373</v>
      </c>
      <c r="H692" s="136">
        <v>285100</v>
      </c>
      <c r="I692" s="832">
        <f t="shared" si="102"/>
        <v>0.5</v>
      </c>
      <c r="J692" s="743">
        <f>报表附注合并期初用!E298</f>
        <v>99064</v>
      </c>
      <c r="K692" s="832">
        <f t="shared" si="100"/>
        <v>0.0069</v>
      </c>
      <c r="L692" s="743">
        <f>报表附注合并期初用!E306</f>
        <v>49532</v>
      </c>
      <c r="M692" s="832">
        <f t="shared" si="101"/>
        <v>0.5</v>
      </c>
      <c r="N692" s="898">
        <v>0.5</v>
      </c>
      <c r="O692" s="864" t="str">
        <f>IF(F692&lt;=J691+J692,"合理","3-4年账不合理")</f>
        <v>合理</v>
      </c>
      <c r="P692" s="863"/>
      <c r="Q692" s="869"/>
      <c r="R692" s="869"/>
      <c r="S692" s="838"/>
      <c r="T692" s="838"/>
      <c r="X692" s="768" t="b">
        <f t="shared" si="97"/>
        <v>1</v>
      </c>
    </row>
    <row r="693" outlineLevel="2" spans="1:24">
      <c r="A693" s="826" t="s">
        <v>2030</v>
      </c>
      <c r="B693" s="692" t="s">
        <v>2904</v>
      </c>
      <c r="C693" s="693" t="str">
        <f t="shared" si="96"/>
        <v>深圳新阳蓝光能源管理科技股份有限公司</v>
      </c>
      <c r="D693" s="827" t="s">
        <v>2905</v>
      </c>
      <c r="E693" s="830" t="s">
        <v>2928</v>
      </c>
      <c r="F693" s="975">
        <v>99064</v>
      </c>
      <c r="G693" s="832">
        <f t="shared" si="99"/>
        <v>0.0065</v>
      </c>
      <c r="H693" s="975">
        <v>79251.2</v>
      </c>
      <c r="I693" s="832">
        <f t="shared" si="102"/>
        <v>0.8</v>
      </c>
      <c r="J693" s="743">
        <f>报表附注合并期初用!E299</f>
        <v>0</v>
      </c>
      <c r="K693" s="832">
        <f t="shared" si="100"/>
        <v>0</v>
      </c>
      <c r="L693" s="743">
        <f>报表附注合并期初用!E307</f>
        <v>0</v>
      </c>
      <c r="M693" s="832">
        <f t="shared" si="101"/>
        <v>0</v>
      </c>
      <c r="N693" s="898">
        <v>0.8</v>
      </c>
      <c r="O693" s="864" t="str">
        <f>IF(F693&lt;=J692,"合理","3-4年账龄不合理")</f>
        <v>合理</v>
      </c>
      <c r="P693" s="863"/>
      <c r="Q693" s="869"/>
      <c r="R693" s="869"/>
      <c r="S693" s="838"/>
      <c r="T693" s="838"/>
      <c r="X693" s="768" t="b">
        <f t="shared" si="97"/>
        <v>1</v>
      </c>
    </row>
    <row r="694" outlineLevel="2" spans="1:24">
      <c r="A694" s="826" t="s">
        <v>2031</v>
      </c>
      <c r="B694" s="692" t="s">
        <v>2904</v>
      </c>
      <c r="C694" s="693" t="str">
        <f t="shared" si="96"/>
        <v>深圳新阳蓝光能源管理科技股份有限公司</v>
      </c>
      <c r="D694" s="827" t="s">
        <v>2905</v>
      </c>
      <c r="E694" s="830" t="s">
        <v>2929</v>
      </c>
      <c r="F694" s="975">
        <v>0</v>
      </c>
      <c r="G694" s="832">
        <f t="shared" si="99"/>
        <v>0</v>
      </c>
      <c r="H694" s="975">
        <v>0</v>
      </c>
      <c r="I694" s="832">
        <f t="shared" si="102"/>
        <v>0</v>
      </c>
      <c r="J694" s="743">
        <f>报表附注合并期初用!E300</f>
        <v>0</v>
      </c>
      <c r="K694" s="832">
        <f t="shared" si="100"/>
        <v>0</v>
      </c>
      <c r="L694" s="743">
        <f>报表附注合并期初用!E308</f>
        <v>0</v>
      </c>
      <c r="M694" s="832">
        <f t="shared" si="101"/>
        <v>0</v>
      </c>
      <c r="N694" s="898">
        <v>1</v>
      </c>
      <c r="O694" s="864" t="str">
        <f>IF(F694&lt;=(J694+J693),"合理","5年以上账龄不合理")</f>
        <v>合理</v>
      </c>
      <c r="P694" s="863"/>
      <c r="Q694" s="869"/>
      <c r="R694" s="869"/>
      <c r="S694" s="838"/>
      <c r="T694" s="838"/>
      <c r="X694" s="768" t="b">
        <f t="shared" si="97"/>
        <v>1</v>
      </c>
    </row>
    <row r="695" outlineLevel="2" spans="1:24">
      <c r="A695" s="826" t="s">
        <v>2021</v>
      </c>
      <c r="B695" s="692" t="s">
        <v>2904</v>
      </c>
      <c r="C695" s="693" t="str">
        <f t="shared" si="96"/>
        <v>深圳新阳蓝光能源管理科技股份有限公司</v>
      </c>
      <c r="D695" s="827" t="s">
        <v>2905</v>
      </c>
      <c r="E695" s="830" t="s">
        <v>2021</v>
      </c>
      <c r="F695" s="834">
        <f>SUM(F689:F694)</f>
        <v>15296203.55</v>
      </c>
      <c r="G695" s="832">
        <f>SUM(G689:G694)</f>
        <v>1.0002</v>
      </c>
      <c r="H695" s="834">
        <f>SUM(H689:H694)</f>
        <v>1327133.72</v>
      </c>
      <c r="I695" s="832">
        <f t="shared" si="102"/>
        <v>0.0868</v>
      </c>
      <c r="J695" s="834">
        <f>SUM(J689:J694)</f>
        <v>14379243.04</v>
      </c>
      <c r="K695" s="832">
        <f>SUM(K689:K694)</f>
        <v>1</v>
      </c>
      <c r="L695" s="834">
        <f>SUM(L689:L694)</f>
        <v>899526.37</v>
      </c>
      <c r="M695" s="832">
        <f t="shared" si="101"/>
        <v>0.0626</v>
      </c>
      <c r="O695" s="829"/>
      <c r="X695" s="768" t="b">
        <f t="shared" si="97"/>
        <v>1</v>
      </c>
    </row>
    <row r="696" outlineLevel="2" spans="2:24">
      <c r="B696" s="692" t="s">
        <v>3072</v>
      </c>
      <c r="C696" s="693" t="str">
        <f t="shared" si="96"/>
        <v>深圳新阳蓝光能源管理科技股份有限公司</v>
      </c>
      <c r="D696" s="827" t="s">
        <v>3095</v>
      </c>
      <c r="E696" s="1015"/>
      <c r="F696" s="1015"/>
      <c r="G696" s="1015"/>
      <c r="H696" s="982"/>
      <c r="I696" s="981"/>
      <c r="J696" s="838">
        <v>15772052.5</v>
      </c>
      <c r="K696" s="981"/>
      <c r="L696" s="981"/>
      <c r="M696" s="981"/>
      <c r="N696" s="829"/>
      <c r="X696" s="768" t="b">
        <f t="shared" si="97"/>
        <v>1</v>
      </c>
    </row>
    <row r="697" outlineLevel="2" spans="1:24">
      <c r="A697" s="826" t="s">
        <v>3096</v>
      </c>
      <c r="B697" s="692" t="s">
        <v>3072</v>
      </c>
      <c r="C697" s="693" t="str">
        <f t="shared" si="96"/>
        <v>深圳新阳蓝光能源管理科技股份有限公司</v>
      </c>
      <c r="D697" s="971" t="s">
        <v>3097</v>
      </c>
      <c r="E697" s="890" t="s">
        <v>3098</v>
      </c>
      <c r="F697" s="1015"/>
      <c r="G697" s="1015"/>
      <c r="H697" s="982"/>
      <c r="I697" s="981"/>
      <c r="J697" s="981"/>
      <c r="K697" s="981"/>
      <c r="L697" s="981"/>
      <c r="M697" s="981"/>
      <c r="N697" s="829"/>
      <c r="X697" s="768" t="b">
        <f t="shared" si="97"/>
        <v>1</v>
      </c>
    </row>
    <row r="698" outlineLevel="2" spans="2:24">
      <c r="B698" s="692" t="s">
        <v>3072</v>
      </c>
      <c r="C698" s="693" t="str">
        <f t="shared" si="96"/>
        <v>深圳新阳蓝光能源管理科技股份有限公司</v>
      </c>
      <c r="D698" s="971" t="s">
        <v>3097</v>
      </c>
      <c r="E698" s="1015"/>
      <c r="F698" s="1016" t="s">
        <v>3099</v>
      </c>
      <c r="G698" s="1017">
        <v>1000000</v>
      </c>
      <c r="H698" s="981"/>
      <c r="I698" s="981"/>
      <c r="J698" s="981"/>
      <c r="K698" s="981"/>
      <c r="L698" s="981"/>
      <c r="M698" s="981"/>
      <c r="N698" s="829"/>
      <c r="X698" s="768" t="b">
        <f t="shared" si="97"/>
        <v>1</v>
      </c>
    </row>
    <row r="699" outlineLevel="2" spans="1:24">
      <c r="A699" s="826" t="s">
        <v>2473</v>
      </c>
      <c r="B699" s="692" t="s">
        <v>3072</v>
      </c>
      <c r="C699" s="693" t="str">
        <f t="shared" si="96"/>
        <v>深圳新阳蓝光能源管理科技股份有限公司</v>
      </c>
      <c r="D699" s="971" t="s">
        <v>3100</v>
      </c>
      <c r="E699" s="830" t="s">
        <v>2473</v>
      </c>
      <c r="F699" s="830" t="s">
        <v>2944</v>
      </c>
      <c r="G699" s="830" t="s">
        <v>2105</v>
      </c>
      <c r="H699" s="830" t="s">
        <v>471</v>
      </c>
      <c r="I699" s="830" t="s">
        <v>2959</v>
      </c>
      <c r="J699" s="899" t="s">
        <v>2947</v>
      </c>
      <c r="K699" s="900" t="s">
        <v>3101</v>
      </c>
      <c r="L699" s="981"/>
      <c r="M699" s="981"/>
      <c r="N699" s="829"/>
      <c r="X699" s="768" t="b">
        <f t="shared" si="97"/>
        <v>1</v>
      </c>
    </row>
    <row r="700" outlineLevel="2" spans="2:24">
      <c r="B700" s="692" t="s">
        <v>3072</v>
      </c>
      <c r="C700" s="693" t="str">
        <f t="shared" si="96"/>
        <v>深圳新阳蓝光能源管理科技股份有限公司</v>
      </c>
      <c r="D700" s="971" t="s">
        <v>3100</v>
      </c>
      <c r="E700" s="855"/>
      <c r="F700" s="855"/>
      <c r="G700" s="721"/>
      <c r="H700" s="136"/>
      <c r="I700" s="832">
        <f>IFERROR(ROUND(H700/G700,4),0)</f>
        <v>0</v>
      </c>
      <c r="J700" s="1018"/>
      <c r="K700" s="837"/>
      <c r="L700" s="981"/>
      <c r="M700" s="981"/>
      <c r="N700" s="829"/>
      <c r="X700" s="768" t="b">
        <f t="shared" si="97"/>
        <v>1</v>
      </c>
    </row>
    <row r="701" outlineLevel="2" spans="2:24">
      <c r="B701" s="692" t="s">
        <v>3072</v>
      </c>
      <c r="C701" s="693" t="str">
        <f t="shared" si="96"/>
        <v>深圳新阳蓝光能源管理科技股份有限公司</v>
      </c>
      <c r="D701" s="971" t="s">
        <v>3100</v>
      </c>
      <c r="E701" s="855"/>
      <c r="F701" s="855"/>
      <c r="G701" s="721"/>
      <c r="H701" s="136"/>
      <c r="I701" s="832">
        <f t="shared" ref="I701:I726" si="103">IFERROR(ROUND(H701/G701,4),0)</f>
        <v>0</v>
      </c>
      <c r="J701" s="721"/>
      <c r="K701" s="837"/>
      <c r="L701" s="981"/>
      <c r="M701" s="981"/>
      <c r="N701" s="829"/>
      <c r="X701" s="768" t="b">
        <f t="shared" si="97"/>
        <v>1</v>
      </c>
    </row>
    <row r="702" outlineLevel="2" spans="2:24">
      <c r="B702" s="692"/>
      <c r="C702" s="745"/>
      <c r="D702" s="971"/>
      <c r="E702" s="855" t="s">
        <v>3087</v>
      </c>
      <c r="F702" s="855"/>
      <c r="G702" s="721">
        <v>3502985</v>
      </c>
      <c r="H702" s="136"/>
      <c r="I702" s="832">
        <f t="shared" si="103"/>
        <v>0</v>
      </c>
      <c r="J702" s="721"/>
      <c r="K702" s="837"/>
      <c r="L702" s="981"/>
      <c r="M702" s="981"/>
      <c r="N702" s="829"/>
      <c r="X702" s="769"/>
    </row>
    <row r="703" outlineLevel="2" spans="2:24">
      <c r="B703" s="692"/>
      <c r="C703" s="745"/>
      <c r="D703" s="971"/>
      <c r="E703" s="855"/>
      <c r="F703" s="855"/>
      <c r="G703" s="721"/>
      <c r="H703" s="136"/>
      <c r="I703" s="832">
        <f t="shared" si="103"/>
        <v>0</v>
      </c>
      <c r="J703" s="721"/>
      <c r="K703" s="837"/>
      <c r="L703" s="981"/>
      <c r="M703" s="981"/>
      <c r="N703" s="829"/>
      <c r="X703" s="769"/>
    </row>
    <row r="704" outlineLevel="2" spans="2:24">
      <c r="B704" s="692"/>
      <c r="C704" s="745"/>
      <c r="D704" s="971"/>
      <c r="E704" s="855"/>
      <c r="F704" s="855"/>
      <c r="G704" s="721"/>
      <c r="H704" s="136"/>
      <c r="I704" s="832">
        <f t="shared" si="103"/>
        <v>0</v>
      </c>
      <c r="J704" s="721"/>
      <c r="K704" s="837"/>
      <c r="L704" s="981"/>
      <c r="M704" s="981"/>
      <c r="N704" s="829"/>
      <c r="X704" s="769"/>
    </row>
    <row r="705" outlineLevel="2" spans="2:24">
      <c r="B705" s="692"/>
      <c r="C705" s="745"/>
      <c r="D705" s="971"/>
      <c r="E705" s="855"/>
      <c r="F705" s="855"/>
      <c r="G705" s="721"/>
      <c r="H705" s="136"/>
      <c r="I705" s="832">
        <f t="shared" si="103"/>
        <v>0</v>
      </c>
      <c r="J705" s="721"/>
      <c r="K705" s="837"/>
      <c r="L705" s="981"/>
      <c r="M705" s="981"/>
      <c r="N705" s="829"/>
      <c r="X705" s="769"/>
    </row>
    <row r="706" outlineLevel="2" spans="2:24">
      <c r="B706" s="692"/>
      <c r="C706" s="745"/>
      <c r="D706" s="971"/>
      <c r="E706" s="855"/>
      <c r="F706" s="855"/>
      <c r="G706" s="721"/>
      <c r="H706" s="136"/>
      <c r="I706" s="832">
        <f t="shared" si="103"/>
        <v>0</v>
      </c>
      <c r="J706" s="721"/>
      <c r="K706" s="837"/>
      <c r="L706" s="981"/>
      <c r="M706" s="981"/>
      <c r="N706" s="829"/>
      <c r="X706" s="769"/>
    </row>
    <row r="707" outlineLevel="2" spans="2:24">
      <c r="B707" s="692"/>
      <c r="C707" s="745"/>
      <c r="D707" s="971"/>
      <c r="E707" s="855"/>
      <c r="F707" s="855"/>
      <c r="G707" s="721"/>
      <c r="H707" s="136"/>
      <c r="I707" s="832">
        <f t="shared" si="103"/>
        <v>0</v>
      </c>
      <c r="J707" s="721"/>
      <c r="K707" s="837"/>
      <c r="L707" s="981"/>
      <c r="M707" s="981"/>
      <c r="N707" s="829"/>
      <c r="X707" s="769"/>
    </row>
    <row r="708" outlineLevel="2" spans="2:24">
      <c r="B708" s="692"/>
      <c r="C708" s="745"/>
      <c r="D708" s="971"/>
      <c r="E708" s="855"/>
      <c r="F708" s="855"/>
      <c r="G708" s="721"/>
      <c r="H708" s="136"/>
      <c r="I708" s="832">
        <f t="shared" si="103"/>
        <v>0</v>
      </c>
      <c r="J708" s="721"/>
      <c r="K708" s="837"/>
      <c r="L708" s="981"/>
      <c r="M708" s="981"/>
      <c r="N708" s="829"/>
      <c r="X708" s="769"/>
    </row>
    <row r="709" outlineLevel="2" spans="2:24">
      <c r="B709" s="692"/>
      <c r="C709" s="745"/>
      <c r="D709" s="971"/>
      <c r="E709" s="855"/>
      <c r="F709" s="855"/>
      <c r="G709" s="721"/>
      <c r="H709" s="136"/>
      <c r="I709" s="832">
        <f t="shared" si="103"/>
        <v>0</v>
      </c>
      <c r="J709" s="721"/>
      <c r="K709" s="837"/>
      <c r="L709" s="981"/>
      <c r="M709" s="981"/>
      <c r="N709" s="829"/>
      <c r="X709" s="769"/>
    </row>
    <row r="710" outlineLevel="2" spans="2:24">
      <c r="B710" s="692" t="s">
        <v>3072</v>
      </c>
      <c r="C710" s="693" t="str">
        <f t="shared" ref="C710:C773" si="104">$G$1</f>
        <v>深圳新阳蓝光能源管理科技股份有限公司</v>
      </c>
      <c r="D710" s="971" t="s">
        <v>3100</v>
      </c>
      <c r="E710" s="855"/>
      <c r="F710" s="855"/>
      <c r="G710" s="721"/>
      <c r="H710" s="136"/>
      <c r="I710" s="832">
        <f t="shared" si="103"/>
        <v>0</v>
      </c>
      <c r="J710" s="721"/>
      <c r="K710" s="837"/>
      <c r="L710" s="981"/>
      <c r="M710" s="981"/>
      <c r="N710" s="829"/>
      <c r="X710" s="768" t="b">
        <f t="shared" si="97"/>
        <v>1</v>
      </c>
    </row>
    <row r="711" outlineLevel="2" spans="2:24">
      <c r="B711" s="692" t="s">
        <v>3072</v>
      </c>
      <c r="C711" s="693" t="str">
        <f t="shared" si="104"/>
        <v>深圳新阳蓝光能源管理科技股份有限公司</v>
      </c>
      <c r="D711" s="971" t="s">
        <v>3100</v>
      </c>
      <c r="E711" s="1019"/>
      <c r="F711" s="1020"/>
      <c r="G711" s="1020"/>
      <c r="H711" s="1021"/>
      <c r="I711" s="832">
        <f t="shared" si="103"/>
        <v>0</v>
      </c>
      <c r="J711" s="1032"/>
      <c r="K711" s="981"/>
      <c r="L711" s="981"/>
      <c r="M711" s="981"/>
      <c r="N711" s="829"/>
      <c r="X711" s="768" t="b">
        <f t="shared" si="97"/>
        <v>1</v>
      </c>
    </row>
    <row r="712" outlineLevel="2" spans="2:24">
      <c r="B712" s="692" t="s">
        <v>3072</v>
      </c>
      <c r="C712" s="693" t="str">
        <f t="shared" si="104"/>
        <v>深圳新阳蓝光能源管理科技股份有限公司</v>
      </c>
      <c r="D712" s="971" t="s">
        <v>3100</v>
      </c>
      <c r="E712" s="1019"/>
      <c r="F712" s="1020"/>
      <c r="G712" s="1020"/>
      <c r="H712" s="1021"/>
      <c r="I712" s="832">
        <f t="shared" si="103"/>
        <v>0</v>
      </c>
      <c r="J712" s="1032"/>
      <c r="K712" s="981"/>
      <c r="L712" s="981"/>
      <c r="M712" s="981"/>
      <c r="N712" s="829"/>
      <c r="X712" s="768" t="b">
        <f t="shared" si="97"/>
        <v>1</v>
      </c>
    </row>
    <row r="713" outlineLevel="2" spans="2:24">
      <c r="B713" s="692" t="s">
        <v>3072</v>
      </c>
      <c r="C713" s="693" t="str">
        <f t="shared" si="104"/>
        <v>深圳新阳蓝光能源管理科技股份有限公司</v>
      </c>
      <c r="D713" s="971" t="s">
        <v>3100</v>
      </c>
      <c r="E713" s="1019"/>
      <c r="F713" s="1020"/>
      <c r="G713" s="1020"/>
      <c r="H713" s="1021"/>
      <c r="I713" s="832">
        <f t="shared" si="103"/>
        <v>0</v>
      </c>
      <c r="J713" s="1032"/>
      <c r="K713" s="981"/>
      <c r="L713" s="981"/>
      <c r="M713" s="981"/>
      <c r="N713" s="829"/>
      <c r="X713" s="768" t="b">
        <f t="shared" si="97"/>
        <v>1</v>
      </c>
    </row>
    <row r="714" outlineLevel="2" spans="2:24">
      <c r="B714" s="692" t="s">
        <v>3072</v>
      </c>
      <c r="C714" s="693" t="str">
        <f t="shared" si="104"/>
        <v>深圳新阳蓝光能源管理科技股份有限公司</v>
      </c>
      <c r="D714" s="971" t="s">
        <v>3100</v>
      </c>
      <c r="E714" s="1019"/>
      <c r="F714" s="1020"/>
      <c r="G714" s="1020"/>
      <c r="H714" s="1021"/>
      <c r="I714" s="832">
        <f t="shared" si="103"/>
        <v>0</v>
      </c>
      <c r="J714" s="1032"/>
      <c r="K714" s="981"/>
      <c r="L714" s="981"/>
      <c r="M714" s="981"/>
      <c r="N714" s="829"/>
      <c r="X714" s="768" t="b">
        <f t="shared" si="97"/>
        <v>1</v>
      </c>
    </row>
    <row r="715" outlineLevel="2" spans="2:24">
      <c r="B715" s="692" t="s">
        <v>3072</v>
      </c>
      <c r="C715" s="693" t="str">
        <f t="shared" si="104"/>
        <v>深圳新阳蓝光能源管理科技股份有限公司</v>
      </c>
      <c r="D715" s="971" t="s">
        <v>3100</v>
      </c>
      <c r="E715" s="1019"/>
      <c r="F715" s="1020"/>
      <c r="G715" s="1020"/>
      <c r="H715" s="1021"/>
      <c r="I715" s="832">
        <f t="shared" si="103"/>
        <v>0</v>
      </c>
      <c r="J715" s="1032"/>
      <c r="K715" s="981"/>
      <c r="L715" s="981"/>
      <c r="M715" s="981"/>
      <c r="N715" s="829"/>
      <c r="X715" s="768" t="b">
        <f t="shared" si="97"/>
        <v>1</v>
      </c>
    </row>
    <row r="716" outlineLevel="2" spans="2:24">
      <c r="B716" s="692" t="s">
        <v>3072</v>
      </c>
      <c r="C716" s="693" t="str">
        <f t="shared" si="104"/>
        <v>深圳新阳蓝光能源管理科技股份有限公司</v>
      </c>
      <c r="D716" s="971" t="s">
        <v>3100</v>
      </c>
      <c r="E716" s="1019"/>
      <c r="F716" s="1020"/>
      <c r="G716" s="1020"/>
      <c r="H716" s="1021"/>
      <c r="I716" s="832">
        <f t="shared" si="103"/>
        <v>0</v>
      </c>
      <c r="J716" s="1032"/>
      <c r="K716" s="981"/>
      <c r="L716" s="981"/>
      <c r="M716" s="981"/>
      <c r="N716" s="829"/>
      <c r="X716" s="768" t="b">
        <f t="shared" si="97"/>
        <v>1</v>
      </c>
    </row>
    <row r="717" outlineLevel="2" spans="2:24">
      <c r="B717" s="692" t="s">
        <v>3072</v>
      </c>
      <c r="C717" s="693" t="str">
        <f t="shared" si="104"/>
        <v>深圳新阳蓝光能源管理科技股份有限公司</v>
      </c>
      <c r="D717" s="971" t="s">
        <v>3100</v>
      </c>
      <c r="E717" s="1019"/>
      <c r="F717" s="1020"/>
      <c r="G717" s="1020"/>
      <c r="H717" s="1021"/>
      <c r="I717" s="832">
        <f t="shared" si="103"/>
        <v>0</v>
      </c>
      <c r="J717" s="1032"/>
      <c r="K717" s="981"/>
      <c r="L717" s="981"/>
      <c r="M717" s="981"/>
      <c r="N717" s="829"/>
      <c r="X717" s="768" t="b">
        <f t="shared" si="97"/>
        <v>1</v>
      </c>
    </row>
    <row r="718" outlineLevel="2" spans="2:24">
      <c r="B718" s="692" t="s">
        <v>3072</v>
      </c>
      <c r="C718" s="693" t="str">
        <f t="shared" si="104"/>
        <v>深圳新阳蓝光能源管理科技股份有限公司</v>
      </c>
      <c r="D718" s="971" t="s">
        <v>3100</v>
      </c>
      <c r="E718" s="1019"/>
      <c r="F718" s="1020"/>
      <c r="G718" s="1020"/>
      <c r="H718" s="1021"/>
      <c r="I718" s="832">
        <f t="shared" si="103"/>
        <v>0</v>
      </c>
      <c r="J718" s="1032"/>
      <c r="K718" s="981"/>
      <c r="L718" s="981"/>
      <c r="M718" s="981"/>
      <c r="N718" s="829"/>
      <c r="X718" s="768" t="b">
        <f t="shared" si="97"/>
        <v>1</v>
      </c>
    </row>
    <row r="719" outlineLevel="2" spans="2:24">
      <c r="B719" s="692" t="s">
        <v>3072</v>
      </c>
      <c r="C719" s="693" t="str">
        <f t="shared" si="104"/>
        <v>深圳新阳蓝光能源管理科技股份有限公司</v>
      </c>
      <c r="D719" s="971" t="s">
        <v>3100</v>
      </c>
      <c r="E719" s="1019"/>
      <c r="F719" s="1020"/>
      <c r="G719" s="1020"/>
      <c r="H719" s="1021"/>
      <c r="I719" s="832">
        <f t="shared" si="103"/>
        <v>0</v>
      </c>
      <c r="J719" s="1032"/>
      <c r="K719" s="981"/>
      <c r="L719" s="981"/>
      <c r="M719" s="981"/>
      <c r="N719" s="829"/>
      <c r="X719" s="768" t="b">
        <f t="shared" si="97"/>
        <v>1</v>
      </c>
    </row>
    <row r="720" outlineLevel="2" spans="2:24">
      <c r="B720" s="692" t="s">
        <v>3072</v>
      </c>
      <c r="C720" s="693" t="str">
        <f t="shared" si="104"/>
        <v>深圳新阳蓝光能源管理科技股份有限公司</v>
      </c>
      <c r="D720" s="971" t="s">
        <v>3100</v>
      </c>
      <c r="E720" s="1019"/>
      <c r="F720" s="1020"/>
      <c r="G720" s="1020"/>
      <c r="H720" s="1021"/>
      <c r="I720" s="832">
        <f t="shared" si="103"/>
        <v>0</v>
      </c>
      <c r="J720" s="1032"/>
      <c r="K720" s="981"/>
      <c r="L720" s="981"/>
      <c r="M720" s="981"/>
      <c r="N720" s="829"/>
      <c r="X720" s="768" t="b">
        <f t="shared" si="97"/>
        <v>1</v>
      </c>
    </row>
    <row r="721" outlineLevel="2" spans="2:24">
      <c r="B721" s="692" t="s">
        <v>3072</v>
      </c>
      <c r="C721" s="693" t="str">
        <f t="shared" si="104"/>
        <v>深圳新阳蓝光能源管理科技股份有限公司</v>
      </c>
      <c r="D721" s="971" t="s">
        <v>3100</v>
      </c>
      <c r="E721" s="1019"/>
      <c r="F721" s="1020"/>
      <c r="G721" s="1020"/>
      <c r="H721" s="1021"/>
      <c r="I721" s="832">
        <f t="shared" si="103"/>
        <v>0</v>
      </c>
      <c r="J721" s="1032"/>
      <c r="K721" s="981"/>
      <c r="L721" s="981"/>
      <c r="M721" s="981"/>
      <c r="N721" s="829"/>
      <c r="X721" s="768" t="b">
        <f t="shared" si="97"/>
        <v>1</v>
      </c>
    </row>
    <row r="722" outlineLevel="2" spans="2:24">
      <c r="B722" s="692" t="s">
        <v>3072</v>
      </c>
      <c r="C722" s="693" t="str">
        <f t="shared" si="104"/>
        <v>深圳新阳蓝光能源管理科技股份有限公司</v>
      </c>
      <c r="D722" s="971" t="s">
        <v>3100</v>
      </c>
      <c r="E722" s="1019"/>
      <c r="F722" s="1020"/>
      <c r="G722" s="1020"/>
      <c r="H722" s="1021"/>
      <c r="I722" s="832">
        <f t="shared" si="103"/>
        <v>0</v>
      </c>
      <c r="J722" s="1032"/>
      <c r="K722" s="981"/>
      <c r="L722" s="981"/>
      <c r="M722" s="981"/>
      <c r="N722" s="829"/>
      <c r="X722" s="768" t="b">
        <f t="shared" si="97"/>
        <v>1</v>
      </c>
    </row>
    <row r="723" outlineLevel="2" spans="2:24">
      <c r="B723" s="692" t="s">
        <v>3072</v>
      </c>
      <c r="C723" s="693" t="str">
        <f t="shared" si="104"/>
        <v>深圳新阳蓝光能源管理科技股份有限公司</v>
      </c>
      <c r="D723" s="971" t="s">
        <v>3100</v>
      </c>
      <c r="E723" s="1019"/>
      <c r="F723" s="1020"/>
      <c r="G723" s="1020"/>
      <c r="H723" s="1021"/>
      <c r="I723" s="832">
        <f t="shared" si="103"/>
        <v>0</v>
      </c>
      <c r="J723" s="1032"/>
      <c r="K723" s="981"/>
      <c r="L723" s="981"/>
      <c r="M723" s="981"/>
      <c r="N723" s="829"/>
      <c r="X723" s="768" t="b">
        <f t="shared" si="97"/>
        <v>1</v>
      </c>
    </row>
    <row r="724" outlineLevel="2" spans="2:24">
      <c r="B724" s="692" t="s">
        <v>3072</v>
      </c>
      <c r="C724" s="693" t="str">
        <f t="shared" si="104"/>
        <v>深圳新阳蓝光能源管理科技股份有限公司</v>
      </c>
      <c r="D724" s="971" t="s">
        <v>3100</v>
      </c>
      <c r="E724" s="1019"/>
      <c r="F724" s="1020"/>
      <c r="G724" s="1020"/>
      <c r="H724" s="1021"/>
      <c r="I724" s="832">
        <f t="shared" si="103"/>
        <v>0</v>
      </c>
      <c r="J724" s="1032"/>
      <c r="K724" s="981"/>
      <c r="L724" s="981"/>
      <c r="M724" s="981"/>
      <c r="N724" s="829"/>
      <c r="X724" s="768" t="b">
        <f t="shared" si="97"/>
        <v>1</v>
      </c>
    </row>
    <row r="725" outlineLevel="2" spans="2:24">
      <c r="B725" s="692" t="s">
        <v>3072</v>
      </c>
      <c r="C725" s="693" t="str">
        <f t="shared" si="104"/>
        <v>深圳新阳蓝光能源管理科技股份有限公司</v>
      </c>
      <c r="D725" s="971" t="s">
        <v>3100</v>
      </c>
      <c r="E725" s="1019"/>
      <c r="F725" s="1020"/>
      <c r="G725" s="1020"/>
      <c r="H725" s="1021"/>
      <c r="I725" s="832">
        <f t="shared" si="103"/>
        <v>0</v>
      </c>
      <c r="J725" s="1032"/>
      <c r="K725" s="981"/>
      <c r="L725" s="981"/>
      <c r="M725" s="981"/>
      <c r="N725" s="829"/>
      <c r="X725" s="768" t="b">
        <f t="shared" si="97"/>
        <v>1</v>
      </c>
    </row>
    <row r="726" outlineLevel="2" spans="1:24">
      <c r="A726" s="826" t="s">
        <v>2021</v>
      </c>
      <c r="B726" s="692" t="s">
        <v>3072</v>
      </c>
      <c r="C726" s="693" t="str">
        <f t="shared" si="104"/>
        <v>深圳新阳蓝光能源管理科技股份有限公司</v>
      </c>
      <c r="D726" s="971" t="s">
        <v>3100</v>
      </c>
      <c r="E726" s="1022" t="s">
        <v>2021</v>
      </c>
      <c r="F726" s="1022"/>
      <c r="G726" s="1023">
        <f t="shared" ref="G726:H726" si="105">SUM(G700:G725)</f>
        <v>3502985</v>
      </c>
      <c r="H726" s="139">
        <f t="shared" si="105"/>
        <v>0</v>
      </c>
      <c r="I726" s="832">
        <f t="shared" si="103"/>
        <v>0</v>
      </c>
      <c r="J726" s="1033"/>
      <c r="K726" s="981"/>
      <c r="L726" s="981"/>
      <c r="M726" s="981"/>
      <c r="N726" s="829"/>
      <c r="X726" s="768" t="b">
        <f t="shared" si="97"/>
        <v>1</v>
      </c>
    </row>
    <row r="727" outlineLevel="2" spans="1:24">
      <c r="A727" s="826" t="s">
        <v>2960</v>
      </c>
      <c r="B727" s="692" t="s">
        <v>3072</v>
      </c>
      <c r="C727" s="693" t="str">
        <f t="shared" si="104"/>
        <v>深圳新阳蓝光能源管理科技股份有限公司</v>
      </c>
      <c r="D727" s="971" t="s">
        <v>3100</v>
      </c>
      <c r="E727" s="894" t="s">
        <v>2960</v>
      </c>
      <c r="F727" s="1024"/>
      <c r="G727" s="1007">
        <f>G726-F578</f>
        <v>0</v>
      </c>
      <c r="H727" s="1007">
        <f>H726-H578</f>
        <v>0</v>
      </c>
      <c r="I727" s="870"/>
      <c r="J727" s="1034"/>
      <c r="K727" s="981"/>
      <c r="L727" s="981"/>
      <c r="M727" s="981"/>
      <c r="N727" s="829"/>
      <c r="X727" s="768" t="b">
        <f t="shared" si="97"/>
        <v>1</v>
      </c>
    </row>
    <row r="728" outlineLevel="2" spans="2:24">
      <c r="B728" s="692" t="s">
        <v>3072</v>
      </c>
      <c r="C728" s="693" t="str">
        <f t="shared" si="104"/>
        <v>深圳新阳蓝光能源管理科技股份有限公司</v>
      </c>
      <c r="D728" s="971" t="s">
        <v>3100</v>
      </c>
      <c r="E728" s="894"/>
      <c r="F728" s="1024"/>
      <c r="G728" s="1024"/>
      <c r="H728" s="1024"/>
      <c r="I728" s="870"/>
      <c r="J728" s="1034"/>
      <c r="K728" s="981"/>
      <c r="L728" s="981"/>
      <c r="M728" s="981"/>
      <c r="N728" s="829"/>
      <c r="X728" s="768" t="b">
        <f t="shared" si="97"/>
        <v>1</v>
      </c>
    </row>
    <row r="729" outlineLevel="2" spans="2:24">
      <c r="B729" s="692" t="s">
        <v>3072</v>
      </c>
      <c r="C729" s="693" t="str">
        <f t="shared" si="104"/>
        <v>深圳新阳蓝光能源管理科技股份有限公司</v>
      </c>
      <c r="D729" s="971" t="s">
        <v>3100</v>
      </c>
      <c r="E729" s="981"/>
      <c r="F729" s="981"/>
      <c r="G729" s="981"/>
      <c r="H729" s="981"/>
      <c r="I729" s="981"/>
      <c r="J729" s="981"/>
      <c r="K729" s="981"/>
      <c r="L729" s="981"/>
      <c r="M729" s="981"/>
      <c r="N729" s="829"/>
      <c r="X729" s="768" t="b">
        <f t="shared" si="97"/>
        <v>1</v>
      </c>
    </row>
    <row r="730" ht="13.5" customHeight="1" outlineLevel="2" spans="1:24">
      <c r="A730" s="826" t="s">
        <v>3102</v>
      </c>
      <c r="B730" s="692" t="s">
        <v>3072</v>
      </c>
      <c r="C730" s="693" t="str">
        <f t="shared" si="104"/>
        <v>深圳新阳蓝光能源管理科技股份有限公司</v>
      </c>
      <c r="D730" s="971" t="s">
        <v>3102</v>
      </c>
      <c r="E730" s="1025" t="s">
        <v>3103</v>
      </c>
      <c r="F730" s="1026"/>
      <c r="G730" s="1026"/>
      <c r="H730" s="1026"/>
      <c r="I730" s="1026"/>
      <c r="J730" s="1026"/>
      <c r="K730" s="981"/>
      <c r="L730" s="981"/>
      <c r="M730" s="981"/>
      <c r="N730" s="829"/>
      <c r="X730" s="768" t="b">
        <f t="shared" si="97"/>
        <v>0</v>
      </c>
    </row>
    <row r="731" outlineLevel="2" spans="1:24">
      <c r="A731" s="826" t="s">
        <v>2967</v>
      </c>
      <c r="B731" s="692" t="s">
        <v>3072</v>
      </c>
      <c r="C731" s="693" t="str">
        <f t="shared" si="104"/>
        <v>深圳新阳蓝光能源管理科技股份有限公司</v>
      </c>
      <c r="D731" s="971" t="s">
        <v>3102</v>
      </c>
      <c r="E731" s="904" t="s">
        <v>2967</v>
      </c>
      <c r="F731" s="905" t="s">
        <v>2944</v>
      </c>
      <c r="G731" s="905" t="s">
        <v>2968</v>
      </c>
      <c r="H731" s="905" t="s">
        <v>2969</v>
      </c>
      <c r="I731" s="905" t="s">
        <v>2970</v>
      </c>
      <c r="J731" s="905" t="s">
        <v>2971</v>
      </c>
      <c r="K731" s="981"/>
      <c r="L731" s="981"/>
      <c r="M731" s="981"/>
      <c r="N731" s="829"/>
      <c r="X731" s="768" t="b">
        <f t="shared" si="97"/>
        <v>1</v>
      </c>
    </row>
    <row r="732" outlineLevel="2" spans="2:24">
      <c r="B732" s="692" t="s">
        <v>3072</v>
      </c>
      <c r="C732" s="693" t="str">
        <f t="shared" si="104"/>
        <v>深圳新阳蓝光能源管理科技股份有限公司</v>
      </c>
      <c r="D732" s="971" t="s">
        <v>3102</v>
      </c>
      <c r="E732" s="904"/>
      <c r="F732" s="904"/>
      <c r="G732" s="904"/>
      <c r="H732" s="904"/>
      <c r="I732" s="904"/>
      <c r="J732" s="904"/>
      <c r="K732" s="981"/>
      <c r="L732" s="981"/>
      <c r="M732" s="981"/>
      <c r="N732" s="829"/>
      <c r="X732" s="768" t="b">
        <f t="shared" si="97"/>
        <v>1</v>
      </c>
    </row>
    <row r="733" outlineLevel="2" spans="1:24">
      <c r="A733" s="826" t="s">
        <v>2972</v>
      </c>
      <c r="B733" s="692" t="s">
        <v>3072</v>
      </c>
      <c r="C733" s="693" t="str">
        <f t="shared" si="104"/>
        <v>深圳新阳蓝光能源管理科技股份有限公司</v>
      </c>
      <c r="D733" s="971" t="s">
        <v>3102</v>
      </c>
      <c r="E733" s="906" t="s">
        <v>2972</v>
      </c>
      <c r="F733" s="907"/>
      <c r="G733" s="906"/>
      <c r="H733" s="906"/>
      <c r="I733" s="93">
        <f>SUM(I734:I739)</f>
        <v>0</v>
      </c>
      <c r="J733" s="93">
        <f>SUM(J734:J739)</f>
        <v>0</v>
      </c>
      <c r="K733" s="981"/>
      <c r="L733" s="981"/>
      <c r="M733" s="981"/>
      <c r="N733" s="829"/>
      <c r="X733" s="768" t="b">
        <f t="shared" si="97"/>
        <v>1</v>
      </c>
    </row>
    <row r="734" outlineLevel="2" spans="1:24">
      <c r="A734" s="826">
        <v>1</v>
      </c>
      <c r="B734" s="692" t="s">
        <v>3072</v>
      </c>
      <c r="C734" s="693" t="str">
        <f t="shared" si="104"/>
        <v>深圳新阳蓝光能源管理科技股份有限公司</v>
      </c>
      <c r="D734" s="971" t="s">
        <v>3102</v>
      </c>
      <c r="E734" s="908"/>
      <c r="F734" s="908"/>
      <c r="G734" s="908"/>
      <c r="H734" s="908"/>
      <c r="I734" s="908"/>
      <c r="J734" s="908"/>
      <c r="K734" s="981"/>
      <c r="L734" s="981"/>
      <c r="M734" s="981"/>
      <c r="N734" s="829"/>
      <c r="X734" s="768" t="b">
        <f t="shared" si="97"/>
        <v>0</v>
      </c>
    </row>
    <row r="735" outlineLevel="2" spans="1:24">
      <c r="A735" s="826">
        <v>2</v>
      </c>
      <c r="B735" s="692" t="s">
        <v>3072</v>
      </c>
      <c r="C735" s="693" t="str">
        <f t="shared" si="104"/>
        <v>深圳新阳蓝光能源管理科技股份有限公司</v>
      </c>
      <c r="D735" s="971" t="s">
        <v>3102</v>
      </c>
      <c r="E735" s="908"/>
      <c r="F735" s="908"/>
      <c r="G735" s="908"/>
      <c r="H735" s="908"/>
      <c r="I735" s="908"/>
      <c r="J735" s="908"/>
      <c r="K735" s="981"/>
      <c r="L735" s="981"/>
      <c r="M735" s="981"/>
      <c r="N735" s="829"/>
      <c r="X735" s="768" t="b">
        <f t="shared" ref="X735:X989" si="106">EXACT(A735,E735)</f>
        <v>0</v>
      </c>
    </row>
    <row r="736" outlineLevel="2" spans="2:24">
      <c r="B736" s="692" t="s">
        <v>3072</v>
      </c>
      <c r="C736" s="693" t="str">
        <f t="shared" si="104"/>
        <v>深圳新阳蓝光能源管理科技股份有限公司</v>
      </c>
      <c r="D736" s="971" t="s">
        <v>3102</v>
      </c>
      <c r="E736" s="908"/>
      <c r="F736" s="908"/>
      <c r="G736" s="908"/>
      <c r="H736" s="908"/>
      <c r="I736" s="908"/>
      <c r="J736" s="908"/>
      <c r="K736" s="981"/>
      <c r="L736" s="981"/>
      <c r="M736" s="981"/>
      <c r="N736" s="829"/>
      <c r="X736" s="768" t="b">
        <f t="shared" si="106"/>
        <v>1</v>
      </c>
    </row>
    <row r="737" outlineLevel="2" spans="2:24">
      <c r="B737" s="692" t="s">
        <v>3072</v>
      </c>
      <c r="C737" s="693" t="str">
        <f t="shared" si="104"/>
        <v>深圳新阳蓝光能源管理科技股份有限公司</v>
      </c>
      <c r="D737" s="971" t="s">
        <v>3102</v>
      </c>
      <c r="E737" s="908"/>
      <c r="F737" s="908"/>
      <c r="G737" s="908"/>
      <c r="H737" s="908"/>
      <c r="I737" s="908"/>
      <c r="J737" s="908"/>
      <c r="K737" s="981"/>
      <c r="L737" s="981"/>
      <c r="M737" s="981"/>
      <c r="N737" s="829"/>
      <c r="X737" s="768" t="b">
        <f t="shared" si="106"/>
        <v>1</v>
      </c>
    </row>
    <row r="738" outlineLevel="2" spans="2:24">
      <c r="B738" s="692" t="s">
        <v>3072</v>
      </c>
      <c r="C738" s="693" t="str">
        <f t="shared" si="104"/>
        <v>深圳新阳蓝光能源管理科技股份有限公司</v>
      </c>
      <c r="D738" s="971" t="s">
        <v>3102</v>
      </c>
      <c r="E738" s="908"/>
      <c r="F738" s="908"/>
      <c r="G738" s="908"/>
      <c r="H738" s="908"/>
      <c r="I738" s="908"/>
      <c r="J738" s="908"/>
      <c r="K738" s="981"/>
      <c r="L738" s="981"/>
      <c r="M738" s="981"/>
      <c r="N738" s="829"/>
      <c r="X738" s="768" t="b">
        <f t="shared" si="106"/>
        <v>1</v>
      </c>
    </row>
    <row r="739" outlineLevel="2" spans="2:24">
      <c r="B739" s="692" t="s">
        <v>3072</v>
      </c>
      <c r="C739" s="693" t="str">
        <f t="shared" si="104"/>
        <v>深圳新阳蓝光能源管理科技股份有限公司</v>
      </c>
      <c r="D739" s="971" t="s">
        <v>3102</v>
      </c>
      <c r="E739" s="908"/>
      <c r="F739" s="908"/>
      <c r="G739" s="908"/>
      <c r="H739" s="908"/>
      <c r="I739" s="908"/>
      <c r="J739" s="908"/>
      <c r="K739" s="981"/>
      <c r="L739" s="981"/>
      <c r="M739" s="981"/>
      <c r="N739" s="829"/>
      <c r="X739" s="768" t="b">
        <f t="shared" si="106"/>
        <v>1</v>
      </c>
    </row>
    <row r="740" outlineLevel="2" spans="1:24">
      <c r="A740" s="826" t="s">
        <v>2974</v>
      </c>
      <c r="B740" s="692" t="s">
        <v>3072</v>
      </c>
      <c r="C740" s="693" t="str">
        <f t="shared" si="104"/>
        <v>深圳新阳蓝光能源管理科技股份有限公司</v>
      </c>
      <c r="D740" s="971" t="s">
        <v>3102</v>
      </c>
      <c r="E740" s="906" t="s">
        <v>2974</v>
      </c>
      <c r="F740" s="907"/>
      <c r="G740" s="906"/>
      <c r="H740" s="906"/>
      <c r="I740" s="93">
        <f>SUM(I741:I746)</f>
        <v>0</v>
      </c>
      <c r="J740" s="93">
        <f>SUM(J741:J746)</f>
        <v>0</v>
      </c>
      <c r="K740" s="981"/>
      <c r="L740" s="981"/>
      <c r="M740" s="981"/>
      <c r="N740" s="829"/>
      <c r="X740" s="768" t="b">
        <f t="shared" si="106"/>
        <v>1</v>
      </c>
    </row>
    <row r="741" outlineLevel="2" spans="1:24">
      <c r="A741" s="826">
        <v>1</v>
      </c>
      <c r="B741" s="692" t="s">
        <v>3072</v>
      </c>
      <c r="C741" s="693" t="str">
        <f t="shared" si="104"/>
        <v>深圳新阳蓝光能源管理科技股份有限公司</v>
      </c>
      <c r="D741" s="971" t="s">
        <v>3102</v>
      </c>
      <c r="E741" s="908"/>
      <c r="F741" s="908"/>
      <c r="G741" s="908"/>
      <c r="H741" s="908"/>
      <c r="I741" s="908"/>
      <c r="J741" s="908"/>
      <c r="K741" s="981"/>
      <c r="L741" s="981"/>
      <c r="M741" s="981"/>
      <c r="N741" s="829"/>
      <c r="X741" s="768" t="b">
        <f t="shared" si="106"/>
        <v>0</v>
      </c>
    </row>
    <row r="742" outlineLevel="2" spans="1:24">
      <c r="A742" s="826">
        <v>2</v>
      </c>
      <c r="B742" s="692" t="s">
        <v>3072</v>
      </c>
      <c r="C742" s="693" t="str">
        <f t="shared" si="104"/>
        <v>深圳新阳蓝光能源管理科技股份有限公司</v>
      </c>
      <c r="D742" s="971" t="s">
        <v>3102</v>
      </c>
      <c r="E742" s="908"/>
      <c r="F742" s="908"/>
      <c r="G742" s="908"/>
      <c r="H742" s="908"/>
      <c r="I742" s="908"/>
      <c r="J742" s="908"/>
      <c r="K742" s="981"/>
      <c r="L742" s="981"/>
      <c r="M742" s="981"/>
      <c r="N742" s="829"/>
      <c r="X742" s="768" t="b">
        <f t="shared" si="106"/>
        <v>0</v>
      </c>
    </row>
    <row r="743" outlineLevel="2" spans="2:24">
      <c r="B743" s="692" t="s">
        <v>3072</v>
      </c>
      <c r="C743" s="693" t="str">
        <f t="shared" si="104"/>
        <v>深圳新阳蓝光能源管理科技股份有限公司</v>
      </c>
      <c r="D743" s="971" t="s">
        <v>3102</v>
      </c>
      <c r="E743" s="908"/>
      <c r="F743" s="908"/>
      <c r="G743" s="908"/>
      <c r="H743" s="908"/>
      <c r="I743" s="908"/>
      <c r="J743" s="908"/>
      <c r="K743" s="981"/>
      <c r="L743" s="981"/>
      <c r="M743" s="981"/>
      <c r="N743" s="829"/>
      <c r="X743" s="768" t="b">
        <f t="shared" si="106"/>
        <v>1</v>
      </c>
    </row>
    <row r="744" outlineLevel="2" spans="2:24">
      <c r="B744" s="692" t="s">
        <v>3072</v>
      </c>
      <c r="C744" s="693" t="str">
        <f t="shared" si="104"/>
        <v>深圳新阳蓝光能源管理科技股份有限公司</v>
      </c>
      <c r="D744" s="971" t="s">
        <v>3102</v>
      </c>
      <c r="E744" s="908"/>
      <c r="F744" s="908"/>
      <c r="G744" s="908"/>
      <c r="H744" s="908"/>
      <c r="I744" s="908"/>
      <c r="J744" s="908"/>
      <c r="K744" s="981"/>
      <c r="L744" s="981"/>
      <c r="M744" s="981"/>
      <c r="N744" s="829"/>
      <c r="X744" s="768" t="b">
        <f t="shared" si="106"/>
        <v>1</v>
      </c>
    </row>
    <row r="745" outlineLevel="2" spans="2:24">
      <c r="B745" s="692" t="s">
        <v>3072</v>
      </c>
      <c r="C745" s="693" t="str">
        <f t="shared" si="104"/>
        <v>深圳新阳蓝光能源管理科技股份有限公司</v>
      </c>
      <c r="D745" s="971" t="s">
        <v>3102</v>
      </c>
      <c r="E745" s="908"/>
      <c r="F745" s="908"/>
      <c r="G745" s="908"/>
      <c r="H745" s="908"/>
      <c r="I745" s="908"/>
      <c r="J745" s="908"/>
      <c r="K745" s="981"/>
      <c r="L745" s="981"/>
      <c r="M745" s="981"/>
      <c r="N745" s="829"/>
      <c r="X745" s="768" t="b">
        <f t="shared" si="106"/>
        <v>1</v>
      </c>
    </row>
    <row r="746" outlineLevel="2" spans="2:24">
      <c r="B746" s="692" t="s">
        <v>3072</v>
      </c>
      <c r="C746" s="693" t="str">
        <f t="shared" si="104"/>
        <v>深圳新阳蓝光能源管理科技股份有限公司</v>
      </c>
      <c r="D746" s="971" t="s">
        <v>3102</v>
      </c>
      <c r="E746" s="908"/>
      <c r="F746" s="908"/>
      <c r="G746" s="908"/>
      <c r="H746" s="908"/>
      <c r="I746" s="908"/>
      <c r="J746" s="908"/>
      <c r="K746" s="981"/>
      <c r="L746" s="981"/>
      <c r="M746" s="981"/>
      <c r="N746" s="829"/>
      <c r="X746" s="768" t="b">
        <f t="shared" si="106"/>
        <v>1</v>
      </c>
    </row>
    <row r="747" outlineLevel="2" spans="1:24">
      <c r="A747" s="826" t="s">
        <v>2975</v>
      </c>
      <c r="B747" s="692" t="s">
        <v>3072</v>
      </c>
      <c r="C747" s="693" t="str">
        <f t="shared" si="104"/>
        <v>深圳新阳蓝光能源管理科技股份有限公司</v>
      </c>
      <c r="D747" s="971" t="s">
        <v>3102</v>
      </c>
      <c r="E747" s="906" t="s">
        <v>2975</v>
      </c>
      <c r="F747" s="909">
        <f>SUM(F748:F752)</f>
        <v>0</v>
      </c>
      <c r="G747" s="906"/>
      <c r="H747" s="906"/>
      <c r="I747" s="93">
        <f>SUM(I748:I752)</f>
        <v>0</v>
      </c>
      <c r="J747" s="93">
        <f>SUM(J748:J752)</f>
        <v>0</v>
      </c>
      <c r="K747" s="981"/>
      <c r="L747" s="981"/>
      <c r="M747" s="981"/>
      <c r="N747" s="829"/>
      <c r="X747" s="768" t="b">
        <f t="shared" si="106"/>
        <v>1</v>
      </c>
    </row>
    <row r="748" outlineLevel="2" spans="1:24">
      <c r="A748" s="826">
        <v>1</v>
      </c>
      <c r="B748" s="692" t="s">
        <v>3072</v>
      </c>
      <c r="C748" s="693" t="str">
        <f t="shared" si="104"/>
        <v>深圳新阳蓝光能源管理科技股份有限公司</v>
      </c>
      <c r="D748" s="971" t="s">
        <v>3102</v>
      </c>
      <c r="E748" s="908"/>
      <c r="F748" s="908"/>
      <c r="G748" s="908"/>
      <c r="H748" s="908"/>
      <c r="I748" s="908"/>
      <c r="J748" s="908"/>
      <c r="K748" s="981"/>
      <c r="L748" s="981"/>
      <c r="M748" s="981"/>
      <c r="N748" s="829"/>
      <c r="X748" s="768" t="b">
        <f t="shared" si="106"/>
        <v>0</v>
      </c>
    </row>
    <row r="749" outlineLevel="2" spans="1:24">
      <c r="A749" s="826">
        <v>2</v>
      </c>
      <c r="B749" s="692" t="s">
        <v>3072</v>
      </c>
      <c r="C749" s="693" t="str">
        <f t="shared" si="104"/>
        <v>深圳新阳蓝光能源管理科技股份有限公司</v>
      </c>
      <c r="D749" s="971" t="s">
        <v>3102</v>
      </c>
      <c r="E749" s="908"/>
      <c r="F749" s="908"/>
      <c r="G749" s="908"/>
      <c r="H749" s="908"/>
      <c r="I749" s="908"/>
      <c r="J749" s="908"/>
      <c r="K749" s="981"/>
      <c r="L749" s="981"/>
      <c r="M749" s="981"/>
      <c r="N749" s="829"/>
      <c r="X749" s="768" t="b">
        <f t="shared" si="106"/>
        <v>0</v>
      </c>
    </row>
    <row r="750" outlineLevel="2" spans="2:24">
      <c r="B750" s="692" t="s">
        <v>3072</v>
      </c>
      <c r="C750" s="693" t="str">
        <f t="shared" si="104"/>
        <v>深圳新阳蓝光能源管理科技股份有限公司</v>
      </c>
      <c r="D750" s="971" t="s">
        <v>3102</v>
      </c>
      <c r="E750" s="908"/>
      <c r="F750" s="908"/>
      <c r="G750" s="908"/>
      <c r="H750" s="908"/>
      <c r="I750" s="908"/>
      <c r="J750" s="908"/>
      <c r="K750" s="981"/>
      <c r="L750" s="981"/>
      <c r="M750" s="981"/>
      <c r="N750" s="829"/>
      <c r="X750" s="768" t="b">
        <f t="shared" si="106"/>
        <v>1</v>
      </c>
    </row>
    <row r="751" outlineLevel="2" spans="2:24">
      <c r="B751" s="692" t="s">
        <v>3072</v>
      </c>
      <c r="C751" s="693" t="str">
        <f t="shared" si="104"/>
        <v>深圳新阳蓝光能源管理科技股份有限公司</v>
      </c>
      <c r="D751" s="971" t="s">
        <v>3102</v>
      </c>
      <c r="E751" s="908"/>
      <c r="F751" s="908"/>
      <c r="G751" s="908"/>
      <c r="H751" s="908"/>
      <c r="I751" s="908"/>
      <c r="J751" s="908"/>
      <c r="K751" s="981"/>
      <c r="L751" s="981"/>
      <c r="M751" s="981"/>
      <c r="N751" s="829"/>
      <c r="X751" s="768" t="b">
        <f t="shared" si="106"/>
        <v>1</v>
      </c>
    </row>
    <row r="752" outlineLevel="2" spans="2:24">
      <c r="B752" s="692" t="s">
        <v>3072</v>
      </c>
      <c r="C752" s="693" t="str">
        <f t="shared" si="104"/>
        <v>深圳新阳蓝光能源管理科技股份有限公司</v>
      </c>
      <c r="D752" s="971" t="s">
        <v>3102</v>
      </c>
      <c r="E752" s="908"/>
      <c r="F752" s="908"/>
      <c r="G752" s="908" t="s">
        <v>2976</v>
      </c>
      <c r="H752" s="908"/>
      <c r="I752" s="908"/>
      <c r="J752" s="908"/>
      <c r="K752" s="981"/>
      <c r="L752" s="981"/>
      <c r="M752" s="981"/>
      <c r="N752" s="829"/>
      <c r="X752" s="768" t="b">
        <f t="shared" si="106"/>
        <v>1</v>
      </c>
    </row>
    <row r="753" ht="56.25" outlineLevel="2" spans="2:24">
      <c r="B753" s="692" t="s">
        <v>3072</v>
      </c>
      <c r="C753" s="693" t="str">
        <f t="shared" si="104"/>
        <v>深圳新阳蓝光能源管理科技股份有限公司</v>
      </c>
      <c r="D753" s="971" t="s">
        <v>3102</v>
      </c>
      <c r="E753" s="910" t="s">
        <v>2977</v>
      </c>
      <c r="F753" s="911"/>
      <c r="G753" s="911"/>
      <c r="H753" s="911"/>
      <c r="I753" s="829"/>
      <c r="J753" s="829"/>
      <c r="K753" s="981"/>
      <c r="L753" s="981"/>
      <c r="M753" s="981"/>
      <c r="N753" s="829"/>
      <c r="X753" s="768" t="b">
        <f t="shared" si="106"/>
        <v>0</v>
      </c>
    </row>
    <row r="754" outlineLevel="2" spans="2:24">
      <c r="B754" s="692" t="s">
        <v>3072</v>
      </c>
      <c r="C754" s="693" t="str">
        <f t="shared" si="104"/>
        <v>深圳新阳蓝光能源管理科技股份有限公司</v>
      </c>
      <c r="D754" s="971" t="s">
        <v>3102</v>
      </c>
      <c r="E754" s="1027"/>
      <c r="F754" s="981"/>
      <c r="G754" s="981"/>
      <c r="H754" s="981"/>
      <c r="I754" s="981"/>
      <c r="J754" s="981"/>
      <c r="K754" s="981"/>
      <c r="L754" s="981"/>
      <c r="M754" s="981"/>
      <c r="N754" s="829"/>
      <c r="X754" s="768" t="b">
        <f t="shared" si="106"/>
        <v>1</v>
      </c>
    </row>
    <row r="755" outlineLevel="2" spans="1:24">
      <c r="A755" s="826" t="s">
        <v>3104</v>
      </c>
      <c r="B755" s="692" t="s">
        <v>3072</v>
      </c>
      <c r="C755" s="693" t="str">
        <f t="shared" si="104"/>
        <v>深圳新阳蓝光能源管理科技股份有限公司</v>
      </c>
      <c r="D755" s="971" t="s">
        <v>3105</v>
      </c>
      <c r="E755" s="980" t="s">
        <v>3106</v>
      </c>
      <c r="F755" s="981"/>
      <c r="G755" s="981"/>
      <c r="H755" s="981"/>
      <c r="J755" s="919" t="s">
        <v>2966</v>
      </c>
      <c r="K755" s="981"/>
      <c r="L755" s="981"/>
      <c r="M755" s="981"/>
      <c r="N755" s="829"/>
      <c r="X755" s="768" t="b">
        <f t="shared" si="106"/>
        <v>0</v>
      </c>
    </row>
    <row r="756" outlineLevel="2" spans="1:24">
      <c r="A756" s="826" t="s">
        <v>2981</v>
      </c>
      <c r="B756" s="692" t="s">
        <v>3072</v>
      </c>
      <c r="C756" s="693" t="str">
        <f t="shared" si="104"/>
        <v>深圳新阳蓝光能源管理科技股份有限公司</v>
      </c>
      <c r="D756" s="971" t="s">
        <v>3105</v>
      </c>
      <c r="E756" s="973" t="s">
        <v>2981</v>
      </c>
      <c r="F756" s="973" t="s">
        <v>366</v>
      </c>
      <c r="G756" s="973" t="s">
        <v>2982</v>
      </c>
      <c r="H756" s="973" t="s">
        <v>3107</v>
      </c>
      <c r="I756" s="973" t="s">
        <v>2984</v>
      </c>
      <c r="J756" s="900"/>
      <c r="K756" s="981"/>
      <c r="L756" s="981"/>
      <c r="M756" s="981"/>
      <c r="N756" s="829"/>
      <c r="X756" s="768" t="b">
        <f t="shared" si="106"/>
        <v>1</v>
      </c>
    </row>
    <row r="757" outlineLevel="2" spans="2:24">
      <c r="B757" s="692" t="s">
        <v>3072</v>
      </c>
      <c r="C757" s="693" t="str">
        <f t="shared" si="104"/>
        <v>深圳新阳蓝光能源管理科技股份有限公司</v>
      </c>
      <c r="D757" s="971" t="s">
        <v>3108</v>
      </c>
      <c r="E757" s="1028"/>
      <c r="F757" s="1029"/>
      <c r="G757" s="1029"/>
      <c r="H757" s="1029"/>
      <c r="I757" s="1029"/>
      <c r="J757" s="981"/>
      <c r="K757" s="981"/>
      <c r="L757" s="981"/>
      <c r="M757" s="981"/>
      <c r="N757" s="829"/>
      <c r="X757" s="768" t="b">
        <f t="shared" si="106"/>
        <v>1</v>
      </c>
    </row>
    <row r="758" outlineLevel="2" spans="2:24">
      <c r="B758" s="692" t="s">
        <v>3072</v>
      </c>
      <c r="C758" s="693" t="str">
        <f t="shared" si="104"/>
        <v>深圳新阳蓝光能源管理科技股份有限公司</v>
      </c>
      <c r="D758" s="971" t="s">
        <v>3108</v>
      </c>
      <c r="E758" s="1028"/>
      <c r="F758" s="1029"/>
      <c r="G758" s="1029"/>
      <c r="H758" s="1029"/>
      <c r="I758" s="1029"/>
      <c r="J758" s="981"/>
      <c r="K758" s="981"/>
      <c r="L758" s="981"/>
      <c r="M758" s="981"/>
      <c r="N758" s="829"/>
      <c r="X758" s="768" t="b">
        <f t="shared" si="106"/>
        <v>1</v>
      </c>
    </row>
    <row r="759" outlineLevel="2" spans="2:24">
      <c r="B759" s="692" t="s">
        <v>3072</v>
      </c>
      <c r="C759" s="693" t="str">
        <f t="shared" si="104"/>
        <v>深圳新阳蓝光能源管理科技股份有限公司</v>
      </c>
      <c r="D759" s="971" t="s">
        <v>3108</v>
      </c>
      <c r="E759" s="1028"/>
      <c r="F759" s="1029"/>
      <c r="G759" s="1029"/>
      <c r="H759" s="1029"/>
      <c r="I759" s="1029"/>
      <c r="J759" s="1035"/>
      <c r="K759" s="981"/>
      <c r="L759" s="981"/>
      <c r="M759" s="981"/>
      <c r="N759" s="829"/>
      <c r="X759" s="768" t="b">
        <f t="shared" si="106"/>
        <v>1</v>
      </c>
    </row>
    <row r="760" outlineLevel="2" spans="2:24">
      <c r="B760" s="692" t="s">
        <v>3072</v>
      </c>
      <c r="C760" s="693" t="str">
        <f t="shared" si="104"/>
        <v>深圳新阳蓝光能源管理科技股份有限公司</v>
      </c>
      <c r="D760" s="971" t="s">
        <v>3108</v>
      </c>
      <c r="E760" s="1028"/>
      <c r="F760" s="1029"/>
      <c r="G760" s="1029"/>
      <c r="H760" s="1029"/>
      <c r="I760" s="1029"/>
      <c r="J760" s="981"/>
      <c r="K760" s="981"/>
      <c r="L760" s="981"/>
      <c r="M760" s="981"/>
      <c r="N760" s="829"/>
      <c r="X760" s="768" t="b">
        <f t="shared" si="106"/>
        <v>1</v>
      </c>
    </row>
    <row r="761" outlineLevel="2" spans="2:24">
      <c r="B761" s="692" t="s">
        <v>3072</v>
      </c>
      <c r="C761" s="693" t="str">
        <f t="shared" si="104"/>
        <v>深圳新阳蓝光能源管理科技股份有限公司</v>
      </c>
      <c r="D761" s="971" t="s">
        <v>3108</v>
      </c>
      <c r="E761" s="855"/>
      <c r="F761" s="721"/>
      <c r="G761" s="857"/>
      <c r="H761" s="721"/>
      <c r="I761" s="1029"/>
      <c r="J761" s="715"/>
      <c r="K761" s="837"/>
      <c r="L761" s="1036"/>
      <c r="M761" s="837"/>
      <c r="N761" s="829"/>
      <c r="X761" s="768" t="b">
        <f t="shared" si="106"/>
        <v>1</v>
      </c>
    </row>
    <row r="762" outlineLevel="2" spans="2:24">
      <c r="B762" s="692" t="s">
        <v>3072</v>
      </c>
      <c r="C762" s="693" t="str">
        <f t="shared" si="104"/>
        <v>深圳新阳蓝光能源管理科技股份有限公司</v>
      </c>
      <c r="D762" s="971" t="s">
        <v>3108</v>
      </c>
      <c r="E762" s="855"/>
      <c r="F762" s="721"/>
      <c r="G762" s="857"/>
      <c r="H762" s="721"/>
      <c r="I762" s="1029"/>
      <c r="J762" s="715"/>
      <c r="K762" s="837"/>
      <c r="L762" s="1036"/>
      <c r="M762" s="837"/>
      <c r="N762" s="829"/>
      <c r="X762" s="768" t="b">
        <f t="shared" si="106"/>
        <v>1</v>
      </c>
    </row>
    <row r="763" outlineLevel="2" spans="2:24">
      <c r="B763" s="692" t="s">
        <v>3072</v>
      </c>
      <c r="C763" s="693" t="str">
        <f t="shared" si="104"/>
        <v>深圳新阳蓝光能源管理科技股份有限公司</v>
      </c>
      <c r="D763" s="971" t="s">
        <v>3108</v>
      </c>
      <c r="E763" s="855"/>
      <c r="F763" s="721"/>
      <c r="G763" s="857"/>
      <c r="H763" s="721"/>
      <c r="I763" s="1029"/>
      <c r="J763" s="715"/>
      <c r="K763" s="837"/>
      <c r="L763" s="1036"/>
      <c r="M763" s="837"/>
      <c r="N763" s="829"/>
      <c r="X763" s="768" t="b">
        <f t="shared" si="106"/>
        <v>1</v>
      </c>
    </row>
    <row r="764" outlineLevel="2" spans="2:24">
      <c r="B764" s="692" t="s">
        <v>3072</v>
      </c>
      <c r="C764" s="693" t="str">
        <f t="shared" si="104"/>
        <v>深圳新阳蓝光能源管理科技股份有限公司</v>
      </c>
      <c r="D764" s="971" t="s">
        <v>3108</v>
      </c>
      <c r="E764" s="855"/>
      <c r="F764" s="721"/>
      <c r="G764" s="857"/>
      <c r="H764" s="721"/>
      <c r="I764" s="1029"/>
      <c r="J764" s="715"/>
      <c r="K764" s="837"/>
      <c r="L764" s="1036"/>
      <c r="M764" s="837"/>
      <c r="N764" s="829"/>
      <c r="X764" s="768" t="b">
        <f t="shared" si="106"/>
        <v>1</v>
      </c>
    </row>
    <row r="765" outlineLevel="2" spans="1:24">
      <c r="A765" s="826" t="s">
        <v>2021</v>
      </c>
      <c r="B765" s="692" t="s">
        <v>3072</v>
      </c>
      <c r="C765" s="693" t="str">
        <f t="shared" si="104"/>
        <v>深圳新阳蓝光能源管理科技股份有限公司</v>
      </c>
      <c r="D765" s="971" t="s">
        <v>3108</v>
      </c>
      <c r="E765" s="1030" t="s">
        <v>2021</v>
      </c>
      <c r="F765" s="139">
        <f>SUM(F757:F764)</f>
        <v>0</v>
      </c>
      <c r="G765" s="1031"/>
      <c r="H765" s="157"/>
      <c r="I765" s="1030"/>
      <c r="J765" s="715"/>
      <c r="K765" s="837"/>
      <c r="L765" s="1036"/>
      <c r="M765" s="837"/>
      <c r="N765" s="829"/>
      <c r="X765" s="768" t="b">
        <f t="shared" si="106"/>
        <v>1</v>
      </c>
    </row>
    <row r="766" outlineLevel="2" spans="2:24">
      <c r="B766" s="692" t="s">
        <v>3072</v>
      </c>
      <c r="C766" s="693" t="str">
        <f t="shared" si="104"/>
        <v>深圳新阳蓝光能源管理科技股份有限公司</v>
      </c>
      <c r="D766" s="971" t="s">
        <v>3108</v>
      </c>
      <c r="E766" s="894"/>
      <c r="F766" s="715"/>
      <c r="G766" s="837"/>
      <c r="H766" s="715"/>
      <c r="I766" s="837"/>
      <c r="J766" s="715"/>
      <c r="K766" s="837"/>
      <c r="L766" s="1036"/>
      <c r="M766" s="837"/>
      <c r="N766" s="829"/>
      <c r="X766" s="768" t="b">
        <f t="shared" si="106"/>
        <v>1</v>
      </c>
    </row>
    <row r="767" outlineLevel="2" spans="1:24">
      <c r="A767" s="826" t="s">
        <v>3109</v>
      </c>
      <c r="B767" s="692" t="s">
        <v>3072</v>
      </c>
      <c r="C767" s="693" t="str">
        <f t="shared" si="104"/>
        <v>深圳新阳蓝光能源管理科技股份有限公司</v>
      </c>
      <c r="D767" s="1009" t="s">
        <v>3110</v>
      </c>
      <c r="E767" s="897" t="s">
        <v>3111</v>
      </c>
      <c r="F767" s="715"/>
      <c r="G767" s="837"/>
      <c r="H767" s="715"/>
      <c r="I767" s="837"/>
      <c r="J767" s="715"/>
      <c r="K767" s="837"/>
      <c r="L767" s="1036"/>
      <c r="M767" s="837"/>
      <c r="N767" s="829"/>
      <c r="X767" s="768" t="b">
        <f t="shared" si="106"/>
        <v>0</v>
      </c>
    </row>
    <row r="768" outlineLevel="2" spans="2:24">
      <c r="B768" s="692" t="s">
        <v>3072</v>
      </c>
      <c r="C768" s="693" t="str">
        <f t="shared" si="104"/>
        <v>深圳新阳蓝光能源管理科技股份有限公司</v>
      </c>
      <c r="D768" s="1009" t="s">
        <v>3110</v>
      </c>
      <c r="E768" s="153"/>
      <c r="F768" s="153"/>
      <c r="G768" s="715"/>
      <c r="H768" s="837"/>
      <c r="I768" s="715"/>
      <c r="J768" s="837"/>
      <c r="K768" s="866" t="s">
        <v>2913</v>
      </c>
      <c r="L768" s="837"/>
      <c r="M768" s="1036"/>
      <c r="N768" s="837"/>
      <c r="O768" s="829"/>
      <c r="X768" s="768" t="b">
        <f t="shared" si="106"/>
        <v>1</v>
      </c>
    </row>
    <row r="769" outlineLevel="2" spans="1:24">
      <c r="A769" s="826" t="s">
        <v>2473</v>
      </c>
      <c r="B769" s="692" t="s">
        <v>3072</v>
      </c>
      <c r="C769" s="693" t="str">
        <f t="shared" si="104"/>
        <v>深圳新阳蓝光能源管理科技股份有限公司</v>
      </c>
      <c r="D769" s="1009" t="s">
        <v>3112</v>
      </c>
      <c r="E769" s="830" t="s">
        <v>2473</v>
      </c>
      <c r="F769" s="830" t="s">
        <v>2992</v>
      </c>
      <c r="G769" s="830" t="s">
        <v>366</v>
      </c>
      <c r="H769" s="830" t="s">
        <v>3056</v>
      </c>
      <c r="I769" s="830" t="s">
        <v>2994</v>
      </c>
      <c r="J769" s="830" t="s">
        <v>496</v>
      </c>
      <c r="K769" s="1042" t="s">
        <v>2995</v>
      </c>
      <c r="L769" s="829"/>
      <c r="M769" s="715"/>
      <c r="N769" s="837"/>
      <c r="O769" s="829"/>
      <c r="X769" s="768" t="b">
        <f t="shared" si="106"/>
        <v>1</v>
      </c>
    </row>
    <row r="770" outlineLevel="2" spans="2:24">
      <c r="B770" s="692" t="s">
        <v>3072</v>
      </c>
      <c r="C770" s="693" t="str">
        <f t="shared" si="104"/>
        <v>深圳新阳蓝光能源管理科技股份有限公司</v>
      </c>
      <c r="D770" s="1009" t="s">
        <v>3112</v>
      </c>
      <c r="E770" s="915"/>
      <c r="F770" s="915"/>
      <c r="G770" s="915"/>
      <c r="H770" s="915"/>
      <c r="I770" s="927">
        <f>IF($F$571=0,0,ROUND(G770/$F$571,4))+K770</f>
        <v>0</v>
      </c>
      <c r="J770" s="915"/>
      <c r="K770" s="869"/>
      <c r="L770" s="829"/>
      <c r="M770" s="715"/>
      <c r="N770" s="837"/>
      <c r="O770" s="829"/>
      <c r="X770" s="768" t="b">
        <f t="shared" si="106"/>
        <v>1</v>
      </c>
    </row>
    <row r="771" outlineLevel="2" spans="2:24">
      <c r="B771" s="692" t="s">
        <v>3072</v>
      </c>
      <c r="C771" s="693" t="str">
        <f t="shared" si="104"/>
        <v>深圳新阳蓝光能源管理科技股份有限公司</v>
      </c>
      <c r="D771" s="1009" t="s">
        <v>3112</v>
      </c>
      <c r="E771" s="915"/>
      <c r="F771" s="915"/>
      <c r="G771" s="915"/>
      <c r="H771" s="915"/>
      <c r="I771" s="927">
        <f t="shared" ref="I771:I774" si="107">IF($F$571=0,0,ROUND(G771/$F$571,4))+K771</f>
        <v>0</v>
      </c>
      <c r="J771" s="915"/>
      <c r="K771" s="869"/>
      <c r="L771" s="829"/>
      <c r="M771" s="715"/>
      <c r="N771" s="837"/>
      <c r="O771" s="829"/>
      <c r="X771" s="768" t="b">
        <f t="shared" si="106"/>
        <v>1</v>
      </c>
    </row>
    <row r="772" outlineLevel="2" spans="2:24">
      <c r="B772" s="692" t="s">
        <v>3072</v>
      </c>
      <c r="C772" s="693" t="str">
        <f t="shared" si="104"/>
        <v>深圳新阳蓝光能源管理科技股份有限公司</v>
      </c>
      <c r="D772" s="1009" t="s">
        <v>3112</v>
      </c>
      <c r="E772" s="915"/>
      <c r="F772" s="915"/>
      <c r="G772" s="915"/>
      <c r="H772" s="915"/>
      <c r="I772" s="927">
        <f t="shared" si="107"/>
        <v>0</v>
      </c>
      <c r="J772" s="915"/>
      <c r="K772" s="869"/>
      <c r="L772" s="829"/>
      <c r="M772" s="715"/>
      <c r="N772" s="837"/>
      <c r="O772" s="829"/>
      <c r="X772" s="768" t="b">
        <f t="shared" si="106"/>
        <v>1</v>
      </c>
    </row>
    <row r="773" outlineLevel="2" spans="2:24">
      <c r="B773" s="692" t="s">
        <v>3072</v>
      </c>
      <c r="C773" s="693" t="str">
        <f t="shared" si="104"/>
        <v>深圳新阳蓝光能源管理科技股份有限公司</v>
      </c>
      <c r="D773" s="1009" t="s">
        <v>3112</v>
      </c>
      <c r="E773" s="915"/>
      <c r="F773" s="915"/>
      <c r="G773" s="915"/>
      <c r="H773" s="915"/>
      <c r="I773" s="927">
        <f t="shared" si="107"/>
        <v>0</v>
      </c>
      <c r="J773" s="915"/>
      <c r="K773" s="869"/>
      <c r="L773" s="829"/>
      <c r="M773" s="715"/>
      <c r="N773" s="837"/>
      <c r="O773" s="829"/>
      <c r="X773" s="768" t="b">
        <f t="shared" si="106"/>
        <v>1</v>
      </c>
    </row>
    <row r="774" outlineLevel="2" spans="2:24">
      <c r="B774" s="692" t="s">
        <v>3072</v>
      </c>
      <c r="C774" s="693" t="str">
        <f t="shared" ref="C774:C837" si="108">$G$1</f>
        <v>深圳新阳蓝光能源管理科技股份有限公司</v>
      </c>
      <c r="D774" s="1009" t="s">
        <v>3112</v>
      </c>
      <c r="E774" s="915"/>
      <c r="F774" s="915"/>
      <c r="G774" s="915"/>
      <c r="H774" s="915"/>
      <c r="I774" s="927">
        <f t="shared" si="107"/>
        <v>0</v>
      </c>
      <c r="J774" s="915"/>
      <c r="K774" s="869"/>
      <c r="L774" s="829"/>
      <c r="M774" s="715"/>
      <c r="N774" s="837"/>
      <c r="O774" s="829"/>
      <c r="X774" s="768" t="b">
        <f t="shared" si="106"/>
        <v>1</v>
      </c>
    </row>
    <row r="775" outlineLevel="2" spans="1:24">
      <c r="A775" s="826" t="s">
        <v>2021</v>
      </c>
      <c r="B775" s="692" t="s">
        <v>3072</v>
      </c>
      <c r="C775" s="693" t="str">
        <f t="shared" si="108"/>
        <v>深圳新阳蓝光能源管理科技股份有限公司</v>
      </c>
      <c r="D775" s="1009" t="s">
        <v>3112</v>
      </c>
      <c r="E775" s="830" t="s">
        <v>2021</v>
      </c>
      <c r="F775" s="830"/>
      <c r="G775" s="802">
        <f>SUM(G770:G774)</f>
        <v>0</v>
      </c>
      <c r="H775" s="874"/>
      <c r="I775" s="927">
        <f>IF($F$571=0,0,ROUND(G775/$F$571,4))</f>
        <v>0</v>
      </c>
      <c r="J775" s="874"/>
      <c r="K775" s="829"/>
      <c r="L775" s="829"/>
      <c r="M775" s="715"/>
      <c r="N775" s="837"/>
      <c r="O775" s="829"/>
      <c r="X775" s="768" t="b">
        <f t="shared" si="106"/>
        <v>1</v>
      </c>
    </row>
    <row r="776" outlineLevel="2" spans="1:24">
      <c r="A776" s="826" t="s">
        <v>3113</v>
      </c>
      <c r="B776" s="692" t="s">
        <v>3072</v>
      </c>
      <c r="C776" s="693" t="str">
        <f t="shared" si="108"/>
        <v>深圳新阳蓝光能源管理科技股份有限公司</v>
      </c>
      <c r="D776" s="1009" t="s">
        <v>3112</v>
      </c>
      <c r="E776" s="796" t="s">
        <v>3113</v>
      </c>
      <c r="F776" s="1037"/>
      <c r="G776" s="715"/>
      <c r="H776" s="1038" t="s">
        <v>3020</v>
      </c>
      <c r="I776" s="930">
        <f>SUM(I770:I774)-I775</f>
        <v>0</v>
      </c>
      <c r="J776" s="837"/>
      <c r="K776" s="715"/>
      <c r="L776" s="837"/>
      <c r="M776" s="1036"/>
      <c r="N776" s="837"/>
      <c r="O776" s="829"/>
      <c r="X776" s="768" t="b">
        <f t="shared" si="106"/>
        <v>1</v>
      </c>
    </row>
    <row r="777" outlineLevel="2" spans="2:24">
      <c r="B777" s="692" t="s">
        <v>3072</v>
      </c>
      <c r="C777" s="693" t="str">
        <f t="shared" si="108"/>
        <v>深圳新阳蓝光能源管理科技股份有限公司</v>
      </c>
      <c r="D777" s="1009" t="s">
        <v>3112</v>
      </c>
      <c r="E777" s="796"/>
      <c r="F777" s="1037"/>
      <c r="G777" s="715"/>
      <c r="H777" s="837"/>
      <c r="I777" s="715"/>
      <c r="J777" s="837"/>
      <c r="K777" s="715"/>
      <c r="L777" s="837"/>
      <c r="M777" s="1036"/>
      <c r="N777" s="837"/>
      <c r="O777" s="829"/>
      <c r="X777" s="768" t="b">
        <f t="shared" si="106"/>
        <v>1</v>
      </c>
    </row>
    <row r="778" outlineLevel="2" spans="1:24">
      <c r="A778" s="826" t="s">
        <v>3114</v>
      </c>
      <c r="B778" s="692" t="s">
        <v>3072</v>
      </c>
      <c r="C778" s="693" t="str">
        <f t="shared" si="108"/>
        <v>深圳新阳蓝光能源管理科技股份有限公司</v>
      </c>
      <c r="D778" s="1009" t="s">
        <v>3115</v>
      </c>
      <c r="E778" s="153" t="s">
        <v>3116</v>
      </c>
      <c r="F778" s="829"/>
      <c r="G778" s="829"/>
      <c r="H778" s="829"/>
      <c r="I778" s="829"/>
      <c r="J778" s="715"/>
      <c r="K778" s="837"/>
      <c r="L778" s="1036"/>
      <c r="M778" s="837"/>
      <c r="N778" s="829"/>
      <c r="X778" s="768" t="b">
        <f t="shared" si="106"/>
        <v>0</v>
      </c>
    </row>
    <row r="779" ht="33.75" outlineLevel="2" spans="1:24">
      <c r="A779" s="826" t="s">
        <v>2473</v>
      </c>
      <c r="B779" s="692" t="s">
        <v>3072</v>
      </c>
      <c r="C779" s="693" t="str">
        <f t="shared" si="108"/>
        <v>深圳新阳蓝光能源管理科技股份有限公司</v>
      </c>
      <c r="D779" s="1039" t="s">
        <v>3115</v>
      </c>
      <c r="E779" s="931" t="s">
        <v>2473</v>
      </c>
      <c r="F779" s="931" t="s">
        <v>3010</v>
      </c>
      <c r="G779" s="931" t="s">
        <v>3011</v>
      </c>
      <c r="H779" s="931" t="s">
        <v>3012</v>
      </c>
      <c r="I779" s="830" t="s">
        <v>3011</v>
      </c>
      <c r="J779" s="1043" t="s">
        <v>3117</v>
      </c>
      <c r="K779" s="837"/>
      <c r="L779" s="1036"/>
      <c r="M779" s="837"/>
      <c r="N779" s="829"/>
      <c r="X779" s="768" t="b">
        <f t="shared" si="106"/>
        <v>1</v>
      </c>
    </row>
    <row r="780" outlineLevel="2" spans="2:24">
      <c r="B780" s="692" t="s">
        <v>3072</v>
      </c>
      <c r="C780" s="693" t="str">
        <f t="shared" si="108"/>
        <v>深圳新阳蓝光能源管理科技股份有限公司</v>
      </c>
      <c r="D780" s="1009" t="s">
        <v>3118</v>
      </c>
      <c r="E780" s="753"/>
      <c r="F780" s="753"/>
      <c r="G780" s="753"/>
      <c r="H780" s="753"/>
      <c r="I780" s="753"/>
      <c r="J780" s="753"/>
      <c r="K780" s="837"/>
      <c r="L780" s="1036"/>
      <c r="M780" s="837"/>
      <c r="N780" s="829"/>
      <c r="X780" s="768" t="b">
        <f t="shared" si="106"/>
        <v>1</v>
      </c>
    </row>
    <row r="781" outlineLevel="2" spans="2:24">
      <c r="B781" s="692" t="s">
        <v>3072</v>
      </c>
      <c r="C781" s="693" t="str">
        <f t="shared" si="108"/>
        <v>深圳新阳蓝光能源管理科技股份有限公司</v>
      </c>
      <c r="D781" s="1039" t="s">
        <v>3118</v>
      </c>
      <c r="E781" s="753"/>
      <c r="F781" s="915"/>
      <c r="G781" s="915"/>
      <c r="H781" s="915"/>
      <c r="I781" s="915"/>
      <c r="J781" s="915"/>
      <c r="K781" s="837"/>
      <c r="L781" s="1036"/>
      <c r="M781" s="837"/>
      <c r="N781" s="829"/>
      <c r="X781" s="768" t="b">
        <f t="shared" si="106"/>
        <v>1</v>
      </c>
    </row>
    <row r="782" outlineLevel="2" spans="2:24">
      <c r="B782" s="692" t="s">
        <v>3072</v>
      </c>
      <c r="C782" s="693" t="str">
        <f t="shared" si="108"/>
        <v>深圳新阳蓝光能源管理科技股份有限公司</v>
      </c>
      <c r="D782" s="1009" t="s">
        <v>3118</v>
      </c>
      <c r="E782" s="753"/>
      <c r="F782" s="915"/>
      <c r="G782" s="915"/>
      <c r="H782" s="915"/>
      <c r="I782" s="915"/>
      <c r="J782" s="915"/>
      <c r="K782" s="837"/>
      <c r="L782" s="1036"/>
      <c r="M782" s="837"/>
      <c r="N782" s="829"/>
      <c r="X782" s="768" t="b">
        <f t="shared" si="106"/>
        <v>1</v>
      </c>
    </row>
    <row r="783" outlineLevel="2" spans="2:24">
      <c r="B783" s="692" t="s">
        <v>3072</v>
      </c>
      <c r="C783" s="693" t="str">
        <f t="shared" si="108"/>
        <v>深圳新阳蓝光能源管理科技股份有限公司</v>
      </c>
      <c r="D783" s="1039" t="s">
        <v>3118</v>
      </c>
      <c r="E783" s="753"/>
      <c r="F783" s="915"/>
      <c r="G783" s="915"/>
      <c r="H783" s="915"/>
      <c r="I783" s="915"/>
      <c r="J783" s="915"/>
      <c r="K783" s="837"/>
      <c r="L783" s="1036"/>
      <c r="M783" s="837"/>
      <c r="N783" s="829"/>
      <c r="X783" s="768" t="b">
        <f t="shared" si="106"/>
        <v>1</v>
      </c>
    </row>
    <row r="784" outlineLevel="2" spans="2:24">
      <c r="B784" s="692" t="s">
        <v>3072</v>
      </c>
      <c r="C784" s="693" t="str">
        <f t="shared" si="108"/>
        <v>深圳新阳蓝光能源管理科技股份有限公司</v>
      </c>
      <c r="D784" s="1009" t="s">
        <v>3118</v>
      </c>
      <c r="E784" s="753"/>
      <c r="F784" s="915"/>
      <c r="G784" s="915"/>
      <c r="H784" s="915"/>
      <c r="I784" s="915"/>
      <c r="J784" s="915"/>
      <c r="K784" s="837"/>
      <c r="L784" s="1036"/>
      <c r="M784" s="837"/>
      <c r="N784" s="829"/>
      <c r="X784" s="768" t="b">
        <f t="shared" si="106"/>
        <v>1</v>
      </c>
    </row>
    <row r="785" outlineLevel="2" spans="2:24">
      <c r="B785" s="692" t="s">
        <v>3072</v>
      </c>
      <c r="C785" s="693" t="str">
        <f t="shared" si="108"/>
        <v>深圳新阳蓝光能源管理科技股份有限公司</v>
      </c>
      <c r="D785" s="1039" t="s">
        <v>3118</v>
      </c>
      <c r="E785" s="753"/>
      <c r="F785" s="915"/>
      <c r="G785" s="915"/>
      <c r="H785" s="915"/>
      <c r="I785" s="915"/>
      <c r="J785" s="915"/>
      <c r="K785" s="837"/>
      <c r="L785" s="1036"/>
      <c r="M785" s="837"/>
      <c r="N785" s="829"/>
      <c r="X785" s="768" t="b">
        <f t="shared" si="106"/>
        <v>1</v>
      </c>
    </row>
    <row r="786" outlineLevel="2" spans="2:24">
      <c r="B786" s="692" t="s">
        <v>3072</v>
      </c>
      <c r="C786" s="693" t="str">
        <f t="shared" si="108"/>
        <v>深圳新阳蓝光能源管理科技股份有限公司</v>
      </c>
      <c r="D786" s="1009" t="s">
        <v>3118</v>
      </c>
      <c r="E786" s="753"/>
      <c r="F786" s="915"/>
      <c r="G786" s="915"/>
      <c r="H786" s="915"/>
      <c r="I786" s="915"/>
      <c r="J786" s="915"/>
      <c r="K786" s="837"/>
      <c r="L786" s="1036"/>
      <c r="M786" s="837"/>
      <c r="N786" s="829"/>
      <c r="X786" s="768" t="b">
        <f t="shared" si="106"/>
        <v>1</v>
      </c>
    </row>
    <row r="787" outlineLevel="2" spans="2:24">
      <c r="B787" s="692" t="s">
        <v>3072</v>
      </c>
      <c r="C787" s="693" t="str">
        <f t="shared" si="108"/>
        <v>深圳新阳蓝光能源管理科技股份有限公司</v>
      </c>
      <c r="D787" s="1039" t="s">
        <v>3118</v>
      </c>
      <c r="E787" s="753"/>
      <c r="F787" s="915"/>
      <c r="G787" s="915"/>
      <c r="H787" s="915"/>
      <c r="I787" s="915"/>
      <c r="J787" s="915"/>
      <c r="K787" s="837"/>
      <c r="L787" s="1036"/>
      <c r="M787" s="837"/>
      <c r="N787" s="829"/>
      <c r="X787" s="768" t="b">
        <f t="shared" si="106"/>
        <v>1</v>
      </c>
    </row>
    <row r="788" outlineLevel="2" spans="2:24">
      <c r="B788" s="692" t="s">
        <v>3072</v>
      </c>
      <c r="C788" s="693" t="str">
        <f t="shared" si="108"/>
        <v>深圳新阳蓝光能源管理科技股份有限公司</v>
      </c>
      <c r="D788" s="1009" t="s">
        <v>3118</v>
      </c>
      <c r="E788" s="753"/>
      <c r="F788" s="915"/>
      <c r="G788" s="915"/>
      <c r="H788" s="915"/>
      <c r="I788" s="915"/>
      <c r="J788" s="915"/>
      <c r="K788" s="837"/>
      <c r="L788" s="1036"/>
      <c r="M788" s="837"/>
      <c r="N788" s="829"/>
      <c r="X788" s="768" t="b">
        <f t="shared" si="106"/>
        <v>1</v>
      </c>
    </row>
    <row r="789" outlineLevel="2" spans="2:24">
      <c r="B789" s="692" t="s">
        <v>3072</v>
      </c>
      <c r="C789" s="693" t="str">
        <f t="shared" si="108"/>
        <v>深圳新阳蓝光能源管理科技股份有限公司</v>
      </c>
      <c r="D789" s="1039" t="s">
        <v>3118</v>
      </c>
      <c r="E789" s="753"/>
      <c r="F789" s="915"/>
      <c r="G789" s="915"/>
      <c r="H789" s="915"/>
      <c r="I789" s="915"/>
      <c r="J789" s="915"/>
      <c r="K789" s="837"/>
      <c r="L789" s="1036"/>
      <c r="M789" s="837"/>
      <c r="N789" s="829"/>
      <c r="X789" s="768" t="b">
        <f t="shared" si="106"/>
        <v>1</v>
      </c>
    </row>
    <row r="790" outlineLevel="2" spans="1:24">
      <c r="A790" s="826" t="s">
        <v>3014</v>
      </c>
      <c r="B790" s="845" t="s">
        <v>3072</v>
      </c>
      <c r="C790" s="693" t="str">
        <f t="shared" si="108"/>
        <v>深圳新阳蓝光能源管理科技股份有限公司</v>
      </c>
      <c r="D790" s="849" t="s">
        <v>3118</v>
      </c>
      <c r="E790" s="1040" t="s">
        <v>3014</v>
      </c>
      <c r="F790" s="829"/>
      <c r="G790" s="829"/>
      <c r="H790" s="829"/>
      <c r="I790" s="829"/>
      <c r="J790" s="715"/>
      <c r="K790" s="837"/>
      <c r="L790" s="1036"/>
      <c r="M790" s="837"/>
      <c r="N790" s="829"/>
      <c r="X790" s="768" t="b">
        <f t="shared" si="106"/>
        <v>1</v>
      </c>
    </row>
    <row r="791" outlineLevel="2" spans="1:24">
      <c r="A791" s="826" t="s">
        <v>3015</v>
      </c>
      <c r="B791" s="845" t="s">
        <v>3072</v>
      </c>
      <c r="C791" s="693" t="str">
        <f t="shared" si="108"/>
        <v>深圳新阳蓝光能源管理科技股份有限公司</v>
      </c>
      <c r="D791" s="1041" t="s">
        <v>3016</v>
      </c>
      <c r="E791" s="153" t="s">
        <v>3017</v>
      </c>
      <c r="F791" s="829"/>
      <c r="G791" s="829"/>
      <c r="H791" s="829"/>
      <c r="I791" s="829"/>
      <c r="J791" s="715"/>
      <c r="K791" s="837"/>
      <c r="L791" s="1036"/>
      <c r="M791" s="837"/>
      <c r="N791" s="829"/>
      <c r="X791" s="768" t="b">
        <f t="shared" si="106"/>
        <v>1</v>
      </c>
    </row>
    <row r="792" outlineLevel="2" spans="2:24">
      <c r="B792" s="845" t="s">
        <v>3072</v>
      </c>
      <c r="C792" s="693" t="str">
        <f t="shared" si="108"/>
        <v>深圳新阳蓝光能源管理科技股份有限公司</v>
      </c>
      <c r="D792" s="1041" t="s">
        <v>3016</v>
      </c>
      <c r="E792" s="153"/>
      <c r="F792" s="829"/>
      <c r="G792" s="829"/>
      <c r="H792" s="829"/>
      <c r="I792" s="866" t="s">
        <v>2913</v>
      </c>
      <c r="J792" s="715"/>
      <c r="K792" s="837"/>
      <c r="L792" s="1036"/>
      <c r="M792" s="837"/>
      <c r="N792" s="829"/>
      <c r="X792" s="768" t="b">
        <f t="shared" si="106"/>
        <v>1</v>
      </c>
    </row>
    <row r="793" outlineLevel="2" spans="1:24">
      <c r="A793" s="826" t="s">
        <v>2473</v>
      </c>
      <c r="B793" s="845" t="s">
        <v>3072</v>
      </c>
      <c r="C793" s="693" t="str">
        <f t="shared" si="108"/>
        <v>深圳新阳蓝光能源管理科技股份有限公司</v>
      </c>
      <c r="D793" s="1041" t="s">
        <v>3019</v>
      </c>
      <c r="E793" s="830" t="s">
        <v>2473</v>
      </c>
      <c r="F793" s="830" t="s">
        <v>2992</v>
      </c>
      <c r="G793" s="830" t="s">
        <v>366</v>
      </c>
      <c r="H793" s="830" t="s">
        <v>3018</v>
      </c>
      <c r="I793" s="1042" t="s">
        <v>2995</v>
      </c>
      <c r="J793" s="715"/>
      <c r="K793" s="837"/>
      <c r="L793" s="1036"/>
      <c r="M793" s="837"/>
      <c r="N793" s="829"/>
      <c r="X793" s="768" t="b">
        <f t="shared" si="106"/>
        <v>1</v>
      </c>
    </row>
    <row r="794" outlineLevel="2" spans="2:24">
      <c r="B794" s="845" t="s">
        <v>3072</v>
      </c>
      <c r="C794" s="693" t="str">
        <f t="shared" si="108"/>
        <v>深圳新阳蓝光能源管理科技股份有限公司</v>
      </c>
      <c r="D794" s="1041" t="s">
        <v>3019</v>
      </c>
      <c r="E794" s="925"/>
      <c r="F794" s="925"/>
      <c r="G794" s="925"/>
      <c r="H794" s="927">
        <f>IF($F$571=0,0,ROUND(G794/$F$571,4))+I794</f>
        <v>0</v>
      </c>
      <c r="I794" s="869"/>
      <c r="J794" s="715"/>
      <c r="K794" s="837"/>
      <c r="L794" s="1036"/>
      <c r="M794" s="837"/>
      <c r="N794" s="829"/>
      <c r="X794" s="768" t="b">
        <f t="shared" si="106"/>
        <v>1</v>
      </c>
    </row>
    <row r="795" outlineLevel="2" spans="2:24">
      <c r="B795" s="845" t="s">
        <v>3072</v>
      </c>
      <c r="C795" s="693" t="str">
        <f t="shared" si="108"/>
        <v>深圳新阳蓝光能源管理科技股份有限公司</v>
      </c>
      <c r="D795" s="1041" t="s">
        <v>3019</v>
      </c>
      <c r="E795" s="753"/>
      <c r="F795" s="915"/>
      <c r="G795" s="915"/>
      <c r="H795" s="927">
        <f t="shared" ref="H795:H802" si="109">IF($F$571=0,0,ROUND(G795/$F$571,4))+I795</f>
        <v>0</v>
      </c>
      <c r="I795" s="869"/>
      <c r="J795" s="715"/>
      <c r="K795" s="837"/>
      <c r="L795" s="1036"/>
      <c r="M795" s="837"/>
      <c r="N795" s="829"/>
      <c r="X795" s="768" t="b">
        <f t="shared" si="106"/>
        <v>1</v>
      </c>
    </row>
    <row r="796" outlineLevel="2" spans="2:24">
      <c r="B796" s="845" t="s">
        <v>3072</v>
      </c>
      <c r="C796" s="693" t="str">
        <f t="shared" si="108"/>
        <v>深圳新阳蓝光能源管理科技股份有限公司</v>
      </c>
      <c r="D796" s="1041" t="s">
        <v>3019</v>
      </c>
      <c r="E796" s="753"/>
      <c r="F796" s="915"/>
      <c r="G796" s="915"/>
      <c r="H796" s="927">
        <f t="shared" si="109"/>
        <v>0</v>
      </c>
      <c r="I796" s="869"/>
      <c r="J796" s="715"/>
      <c r="K796" s="837"/>
      <c r="L796" s="1036"/>
      <c r="M796" s="837"/>
      <c r="N796" s="829"/>
      <c r="X796" s="768" t="b">
        <f t="shared" si="106"/>
        <v>1</v>
      </c>
    </row>
    <row r="797" outlineLevel="2" spans="2:24">
      <c r="B797" s="845" t="s">
        <v>3072</v>
      </c>
      <c r="C797" s="693" t="str">
        <f t="shared" si="108"/>
        <v>深圳新阳蓝光能源管理科技股份有限公司</v>
      </c>
      <c r="D797" s="1041" t="s">
        <v>3019</v>
      </c>
      <c r="E797" s="753"/>
      <c r="F797" s="915"/>
      <c r="G797" s="915"/>
      <c r="H797" s="927">
        <f t="shared" si="109"/>
        <v>0</v>
      </c>
      <c r="I797" s="869"/>
      <c r="J797" s="715"/>
      <c r="K797" s="837"/>
      <c r="L797" s="1036"/>
      <c r="M797" s="837"/>
      <c r="N797" s="829"/>
      <c r="X797" s="768" t="b">
        <f t="shared" si="106"/>
        <v>1</v>
      </c>
    </row>
    <row r="798" outlineLevel="2" spans="2:24">
      <c r="B798" s="845" t="s">
        <v>3072</v>
      </c>
      <c r="C798" s="693" t="str">
        <f t="shared" si="108"/>
        <v>深圳新阳蓝光能源管理科技股份有限公司</v>
      </c>
      <c r="D798" s="1041" t="s">
        <v>3019</v>
      </c>
      <c r="E798" s="753"/>
      <c r="F798" s="915"/>
      <c r="G798" s="915"/>
      <c r="H798" s="927">
        <f t="shared" si="109"/>
        <v>0</v>
      </c>
      <c r="I798" s="869"/>
      <c r="J798" s="715"/>
      <c r="K798" s="837"/>
      <c r="L798" s="1036"/>
      <c r="M798" s="837"/>
      <c r="N798" s="829"/>
      <c r="X798" s="768" t="b">
        <f t="shared" si="106"/>
        <v>1</v>
      </c>
    </row>
    <row r="799" outlineLevel="2" spans="2:24">
      <c r="B799" s="845" t="s">
        <v>3072</v>
      </c>
      <c r="C799" s="693" t="str">
        <f t="shared" si="108"/>
        <v>深圳新阳蓝光能源管理科技股份有限公司</v>
      </c>
      <c r="D799" s="1041" t="s">
        <v>3019</v>
      </c>
      <c r="E799" s="753"/>
      <c r="F799" s="915"/>
      <c r="G799" s="915"/>
      <c r="H799" s="927">
        <f t="shared" si="109"/>
        <v>0</v>
      </c>
      <c r="I799" s="869"/>
      <c r="J799" s="715"/>
      <c r="K799" s="837"/>
      <c r="L799" s="1036"/>
      <c r="M799" s="837"/>
      <c r="N799" s="829"/>
      <c r="X799" s="768" t="b">
        <f t="shared" si="106"/>
        <v>1</v>
      </c>
    </row>
    <row r="800" outlineLevel="2" spans="2:24">
      <c r="B800" s="845" t="s">
        <v>3072</v>
      </c>
      <c r="C800" s="693" t="str">
        <f t="shared" si="108"/>
        <v>深圳新阳蓝光能源管理科技股份有限公司</v>
      </c>
      <c r="D800" s="1041" t="s">
        <v>3019</v>
      </c>
      <c r="E800" s="753"/>
      <c r="F800" s="915"/>
      <c r="G800" s="915"/>
      <c r="H800" s="927">
        <f t="shared" si="109"/>
        <v>0</v>
      </c>
      <c r="I800" s="869"/>
      <c r="J800" s="715"/>
      <c r="K800" s="837"/>
      <c r="L800" s="1036"/>
      <c r="M800" s="837"/>
      <c r="N800" s="829"/>
      <c r="X800" s="768" t="b">
        <f t="shared" si="106"/>
        <v>1</v>
      </c>
    </row>
    <row r="801" outlineLevel="2" spans="2:24">
      <c r="B801" s="845" t="s">
        <v>3072</v>
      </c>
      <c r="C801" s="693" t="str">
        <f t="shared" si="108"/>
        <v>深圳新阳蓝光能源管理科技股份有限公司</v>
      </c>
      <c r="D801" s="1041" t="s">
        <v>3019</v>
      </c>
      <c r="E801" s="753"/>
      <c r="F801" s="915"/>
      <c r="G801" s="915"/>
      <c r="H801" s="927">
        <f t="shared" si="109"/>
        <v>0</v>
      </c>
      <c r="I801" s="869"/>
      <c r="J801" s="715"/>
      <c r="K801" s="837"/>
      <c r="L801" s="1036"/>
      <c r="M801" s="837"/>
      <c r="N801" s="829"/>
      <c r="X801" s="768" t="b">
        <f t="shared" si="106"/>
        <v>1</v>
      </c>
    </row>
    <row r="802" outlineLevel="2" spans="2:24">
      <c r="B802" s="845" t="s">
        <v>3072</v>
      </c>
      <c r="C802" s="693" t="str">
        <f t="shared" si="108"/>
        <v>深圳新阳蓝光能源管理科技股份有限公司</v>
      </c>
      <c r="D802" s="1041" t="s">
        <v>3019</v>
      </c>
      <c r="E802" s="753"/>
      <c r="F802" s="915"/>
      <c r="G802" s="915"/>
      <c r="H802" s="927">
        <f t="shared" si="109"/>
        <v>0</v>
      </c>
      <c r="I802" s="869"/>
      <c r="J802" s="715"/>
      <c r="K802" s="837"/>
      <c r="L802" s="1036"/>
      <c r="M802" s="837"/>
      <c r="N802" s="829"/>
      <c r="X802" s="768" t="b">
        <f t="shared" si="106"/>
        <v>1</v>
      </c>
    </row>
    <row r="803" outlineLevel="2" spans="1:24">
      <c r="A803" s="826" t="s">
        <v>2021</v>
      </c>
      <c r="B803" s="845" t="s">
        <v>3072</v>
      </c>
      <c r="C803" s="693" t="str">
        <f t="shared" si="108"/>
        <v>深圳新阳蓝光能源管理科技股份有限公司</v>
      </c>
      <c r="D803" s="1041" t="s">
        <v>3019</v>
      </c>
      <c r="E803" s="923" t="s">
        <v>2021</v>
      </c>
      <c r="F803" s="874"/>
      <c r="G803" s="802">
        <f>SUM(G794:G802)</f>
        <v>0</v>
      </c>
      <c r="H803" s="927">
        <f t="shared" ref="H803" si="110">IF($F$571=0,0,ROUND(G803/$F$571,4))</f>
        <v>0</v>
      </c>
      <c r="I803" s="829"/>
      <c r="J803" s="715"/>
      <c r="K803" s="837"/>
      <c r="L803" s="1036"/>
      <c r="M803" s="837"/>
      <c r="N803" s="829"/>
      <c r="X803" s="768" t="b">
        <f t="shared" si="106"/>
        <v>1</v>
      </c>
    </row>
    <row r="804" outlineLevel="2" spans="2:24">
      <c r="B804" s="845" t="s">
        <v>3072</v>
      </c>
      <c r="C804" s="693" t="str">
        <f t="shared" si="108"/>
        <v>深圳新阳蓝光能源管理科技股份有限公司</v>
      </c>
      <c r="D804" s="1041" t="s">
        <v>3019</v>
      </c>
      <c r="E804" s="928"/>
      <c r="F804" s="828"/>
      <c r="G804" s="929" t="s">
        <v>3020</v>
      </c>
      <c r="H804" s="930">
        <f>SUM(H794:H802)-H803</f>
        <v>0</v>
      </c>
      <c r="I804" s="829"/>
      <c r="J804" s="715"/>
      <c r="K804" s="837"/>
      <c r="L804" s="1036"/>
      <c r="M804" s="837"/>
      <c r="N804" s="829"/>
      <c r="X804" s="768" t="b">
        <f t="shared" si="106"/>
        <v>1</v>
      </c>
    </row>
    <row r="805" outlineLevel="2" spans="1:24">
      <c r="A805" s="826" t="s">
        <v>3021</v>
      </c>
      <c r="B805" s="845" t="s">
        <v>3072</v>
      </c>
      <c r="C805" s="693" t="str">
        <f t="shared" si="108"/>
        <v>深圳新阳蓝光能源管理科技股份有限公司</v>
      </c>
      <c r="D805" s="1041" t="s">
        <v>3119</v>
      </c>
      <c r="E805" s="153" t="s">
        <v>3022</v>
      </c>
      <c r="F805" s="829"/>
      <c r="G805" s="829"/>
      <c r="H805" s="829"/>
      <c r="I805" s="829"/>
      <c r="J805" s="715"/>
      <c r="K805" s="837"/>
      <c r="L805" s="1036"/>
      <c r="M805" s="837"/>
      <c r="N805" s="829"/>
      <c r="X805" s="768" t="b">
        <f t="shared" si="106"/>
        <v>1</v>
      </c>
    </row>
    <row r="806" outlineLevel="2" spans="1:24">
      <c r="A806" s="826" t="s">
        <v>61</v>
      </c>
      <c r="B806" s="845" t="s">
        <v>3072</v>
      </c>
      <c r="C806" s="693" t="str">
        <f t="shared" si="108"/>
        <v>深圳新阳蓝光能源管理科技股份有限公司</v>
      </c>
      <c r="D806" s="1041" t="s">
        <v>3119</v>
      </c>
      <c r="E806" s="831" t="s">
        <v>61</v>
      </c>
      <c r="F806" s="831" t="s">
        <v>3023</v>
      </c>
      <c r="G806" s="830" t="s">
        <v>3024</v>
      </c>
      <c r="H806" s="829"/>
      <c r="I806" s="829"/>
      <c r="J806" s="715"/>
      <c r="K806" s="837"/>
      <c r="L806" s="1036"/>
      <c r="M806" s="837"/>
      <c r="N806" s="829"/>
      <c r="X806" s="768" t="b">
        <f t="shared" si="106"/>
        <v>1</v>
      </c>
    </row>
    <row r="807" outlineLevel="2" spans="2:24">
      <c r="B807" s="845" t="s">
        <v>3072</v>
      </c>
      <c r="C807" s="693" t="str">
        <f t="shared" si="108"/>
        <v>深圳新阳蓝光能源管理科技股份有限公司</v>
      </c>
      <c r="D807" s="1041" t="s">
        <v>3120</v>
      </c>
      <c r="E807" s="753"/>
      <c r="F807" s="915"/>
      <c r="G807" s="915"/>
      <c r="H807" s="829"/>
      <c r="I807" s="829"/>
      <c r="J807" s="715"/>
      <c r="K807" s="837"/>
      <c r="L807" s="1036"/>
      <c r="M807" s="837"/>
      <c r="N807" s="829"/>
      <c r="X807" s="768" t="b">
        <f t="shared" si="106"/>
        <v>1</v>
      </c>
    </row>
    <row r="808" outlineLevel="2" spans="2:24">
      <c r="B808" s="845" t="s">
        <v>3072</v>
      </c>
      <c r="C808" s="693" t="str">
        <f t="shared" si="108"/>
        <v>深圳新阳蓝光能源管理科技股份有限公司</v>
      </c>
      <c r="D808" s="1041" t="s">
        <v>3120</v>
      </c>
      <c r="E808" s="753"/>
      <c r="F808" s="915"/>
      <c r="G808" s="915"/>
      <c r="H808" s="829"/>
      <c r="I808" s="829"/>
      <c r="J808" s="715"/>
      <c r="K808" s="837"/>
      <c r="L808" s="1036"/>
      <c r="M808" s="837"/>
      <c r="N808" s="829"/>
      <c r="X808" s="768" t="b">
        <f t="shared" si="106"/>
        <v>1</v>
      </c>
    </row>
    <row r="809" outlineLevel="2" spans="2:24">
      <c r="B809" s="845" t="s">
        <v>3072</v>
      </c>
      <c r="C809" s="693" t="str">
        <f t="shared" si="108"/>
        <v>深圳新阳蓝光能源管理科技股份有限公司</v>
      </c>
      <c r="D809" s="1041" t="s">
        <v>3120</v>
      </c>
      <c r="E809" s="753"/>
      <c r="F809" s="915"/>
      <c r="G809" s="915"/>
      <c r="H809" s="829"/>
      <c r="I809" s="829"/>
      <c r="J809" s="715"/>
      <c r="K809" s="837"/>
      <c r="L809" s="1036"/>
      <c r="M809" s="837"/>
      <c r="N809" s="829"/>
      <c r="X809" s="768" t="b">
        <f t="shared" si="106"/>
        <v>1</v>
      </c>
    </row>
    <row r="810" outlineLevel="2" spans="2:24">
      <c r="B810" s="845" t="s">
        <v>3072</v>
      </c>
      <c r="C810" s="693" t="str">
        <f t="shared" si="108"/>
        <v>深圳新阳蓝光能源管理科技股份有限公司</v>
      </c>
      <c r="D810" s="1041" t="s">
        <v>3120</v>
      </c>
      <c r="E810" s="753"/>
      <c r="F810" s="915"/>
      <c r="G810" s="915"/>
      <c r="H810" s="829"/>
      <c r="I810" s="829"/>
      <c r="J810" s="715"/>
      <c r="K810" s="837"/>
      <c r="L810" s="1036"/>
      <c r="M810" s="837"/>
      <c r="N810" s="829"/>
      <c r="X810" s="768" t="b">
        <f t="shared" si="106"/>
        <v>1</v>
      </c>
    </row>
    <row r="811" outlineLevel="2" spans="2:24">
      <c r="B811" s="845" t="s">
        <v>3072</v>
      </c>
      <c r="C811" s="693" t="str">
        <f t="shared" si="108"/>
        <v>深圳新阳蓝光能源管理科技股份有限公司</v>
      </c>
      <c r="D811" s="1041" t="s">
        <v>3120</v>
      </c>
      <c r="E811" s="753"/>
      <c r="F811" s="915"/>
      <c r="G811" s="915"/>
      <c r="H811" s="829"/>
      <c r="I811" s="829"/>
      <c r="J811" s="715"/>
      <c r="K811" s="837"/>
      <c r="L811" s="1036"/>
      <c r="M811" s="837"/>
      <c r="N811" s="829"/>
      <c r="X811" s="768" t="b">
        <f t="shared" si="106"/>
        <v>1</v>
      </c>
    </row>
    <row r="812" outlineLevel="2" spans="2:24">
      <c r="B812" s="845" t="s">
        <v>3072</v>
      </c>
      <c r="C812" s="693" t="str">
        <f t="shared" si="108"/>
        <v>深圳新阳蓝光能源管理科技股份有限公司</v>
      </c>
      <c r="D812" s="1041" t="s">
        <v>3120</v>
      </c>
      <c r="E812" s="753"/>
      <c r="F812" s="915"/>
      <c r="G812" s="915"/>
      <c r="H812" s="829"/>
      <c r="I812" s="829"/>
      <c r="J812" s="715"/>
      <c r="K812" s="837"/>
      <c r="L812" s="1036"/>
      <c r="M812" s="837"/>
      <c r="N812" s="829"/>
      <c r="X812" s="768" t="b">
        <f t="shared" si="106"/>
        <v>1</v>
      </c>
    </row>
    <row r="813" outlineLevel="2" spans="1:24">
      <c r="A813" s="826" t="s">
        <v>2021</v>
      </c>
      <c r="B813" s="845" t="s">
        <v>3072</v>
      </c>
      <c r="C813" s="693" t="str">
        <f t="shared" si="108"/>
        <v>深圳新阳蓝光能源管理科技股份有限公司</v>
      </c>
      <c r="D813" s="1041" t="s">
        <v>3120</v>
      </c>
      <c r="E813" s="923" t="s">
        <v>2021</v>
      </c>
      <c r="F813" s="802">
        <f>SUM(F807:F812)</f>
        <v>0</v>
      </c>
      <c r="G813" s="802">
        <f>SUM(G807:G812)</f>
        <v>0</v>
      </c>
      <c r="H813" s="829"/>
      <c r="I813" s="829"/>
      <c r="J813" s="715"/>
      <c r="K813" s="837"/>
      <c r="L813" s="1036"/>
      <c r="M813" s="837"/>
      <c r="N813" s="829"/>
      <c r="X813" s="768" t="b">
        <f t="shared" si="106"/>
        <v>1</v>
      </c>
    </row>
    <row r="814" outlineLevel="2" spans="2:24">
      <c r="B814" s="845" t="s">
        <v>3072</v>
      </c>
      <c r="C814" s="693" t="str">
        <f t="shared" si="108"/>
        <v>深圳新阳蓝光能源管理科技股份有限公司</v>
      </c>
      <c r="D814" s="1041" t="s">
        <v>3120</v>
      </c>
      <c r="E814" s="932"/>
      <c r="F814" s="828"/>
      <c r="G814" s="828"/>
      <c r="H814" s="829"/>
      <c r="I814" s="829"/>
      <c r="J814" s="715"/>
      <c r="K814" s="837"/>
      <c r="L814" s="1036"/>
      <c r="M814" s="837"/>
      <c r="N814" s="829"/>
      <c r="X814" s="768" t="b">
        <f t="shared" si="106"/>
        <v>1</v>
      </c>
    </row>
    <row r="815" outlineLevel="2" spans="1:24">
      <c r="A815" s="826" t="s">
        <v>3025</v>
      </c>
      <c r="B815" s="845" t="s">
        <v>3072</v>
      </c>
      <c r="C815" s="693" t="str">
        <f t="shared" si="108"/>
        <v>深圳新阳蓝光能源管理科技股份有限公司</v>
      </c>
      <c r="D815" s="889" t="s">
        <v>3025</v>
      </c>
      <c r="E815" s="153" t="s">
        <v>3026</v>
      </c>
      <c r="F815" s="829"/>
      <c r="G815" s="829"/>
      <c r="H815" s="829"/>
      <c r="I815" s="829"/>
      <c r="J815" s="715"/>
      <c r="K815" s="837"/>
      <c r="L815" s="1036"/>
      <c r="M815" s="837"/>
      <c r="N815" s="829"/>
      <c r="X815" s="768" t="b">
        <f t="shared" si="106"/>
        <v>1</v>
      </c>
    </row>
    <row r="816" outlineLevel="2" spans="1:24">
      <c r="A816" s="826" t="s">
        <v>61</v>
      </c>
      <c r="B816" s="845" t="s">
        <v>3072</v>
      </c>
      <c r="C816" s="693" t="str">
        <f t="shared" si="108"/>
        <v>深圳新阳蓝光能源管理科技股份有限公司</v>
      </c>
      <c r="D816" s="889" t="s">
        <v>3025</v>
      </c>
      <c r="E816" s="830" t="s">
        <v>61</v>
      </c>
      <c r="F816" s="830" t="s">
        <v>2902</v>
      </c>
      <c r="G816" s="829"/>
      <c r="H816" s="829"/>
      <c r="I816" s="829"/>
      <c r="J816" s="715"/>
      <c r="K816" s="837"/>
      <c r="L816" s="1036"/>
      <c r="M816" s="837"/>
      <c r="N816" s="829"/>
      <c r="X816" s="768" t="b">
        <f t="shared" si="106"/>
        <v>1</v>
      </c>
    </row>
    <row r="817" outlineLevel="2" spans="1:24">
      <c r="A817" s="826" t="s">
        <v>3028</v>
      </c>
      <c r="B817" s="845" t="s">
        <v>3072</v>
      </c>
      <c r="C817" s="693" t="str">
        <f t="shared" si="108"/>
        <v>深圳新阳蓝光能源管理科技股份有限公司</v>
      </c>
      <c r="D817" s="889" t="s">
        <v>3025</v>
      </c>
      <c r="E817" s="933" t="s">
        <v>3028</v>
      </c>
      <c r="F817" s="934"/>
      <c r="G817" s="829"/>
      <c r="H817" s="829"/>
      <c r="I817" s="829"/>
      <c r="J817" s="715"/>
      <c r="K817" s="837"/>
      <c r="L817" s="1036"/>
      <c r="M817" s="837"/>
      <c r="N817" s="829"/>
      <c r="X817" s="768" t="b">
        <f t="shared" si="106"/>
        <v>1</v>
      </c>
    </row>
    <row r="818" outlineLevel="2" spans="2:24">
      <c r="B818" s="845" t="s">
        <v>3072</v>
      </c>
      <c r="C818" s="693" t="str">
        <f t="shared" si="108"/>
        <v>深圳新阳蓝光能源管理科技股份有限公司</v>
      </c>
      <c r="D818" s="889" t="s">
        <v>3025</v>
      </c>
      <c r="E818" s="753"/>
      <c r="F818" s="815"/>
      <c r="G818" s="829"/>
      <c r="H818" s="829"/>
      <c r="I818" s="829"/>
      <c r="J818" s="715"/>
      <c r="K818" s="837"/>
      <c r="L818" s="1036"/>
      <c r="M818" s="837"/>
      <c r="N818" s="829"/>
      <c r="X818" s="768" t="b">
        <f t="shared" si="106"/>
        <v>1</v>
      </c>
    </row>
    <row r="819" outlineLevel="2" spans="2:24">
      <c r="B819" s="845" t="s">
        <v>3072</v>
      </c>
      <c r="C819" s="693" t="str">
        <f t="shared" si="108"/>
        <v>深圳新阳蓝光能源管理科技股份有限公司</v>
      </c>
      <c r="D819" s="889" t="s">
        <v>3025</v>
      </c>
      <c r="E819" s="753"/>
      <c r="F819" s="815"/>
      <c r="G819" s="829"/>
      <c r="H819" s="829"/>
      <c r="I819" s="829"/>
      <c r="J819" s="715"/>
      <c r="K819" s="837"/>
      <c r="L819" s="1036"/>
      <c r="M819" s="837"/>
      <c r="N819" s="829"/>
      <c r="X819" s="768" t="b">
        <f t="shared" si="106"/>
        <v>1</v>
      </c>
    </row>
    <row r="820" outlineLevel="2" spans="2:24">
      <c r="B820" s="845" t="s">
        <v>3072</v>
      </c>
      <c r="C820" s="693" t="str">
        <f t="shared" si="108"/>
        <v>深圳新阳蓝光能源管理科技股份有限公司</v>
      </c>
      <c r="D820" s="889" t="s">
        <v>3025</v>
      </c>
      <c r="E820" s="753"/>
      <c r="F820" s="815"/>
      <c r="G820" s="829"/>
      <c r="H820" s="829"/>
      <c r="I820" s="829"/>
      <c r="J820" s="715"/>
      <c r="K820" s="837"/>
      <c r="L820" s="1036"/>
      <c r="M820" s="837"/>
      <c r="N820" s="829"/>
      <c r="X820" s="768" t="b">
        <f t="shared" si="106"/>
        <v>1</v>
      </c>
    </row>
    <row r="821" outlineLevel="2" spans="2:24">
      <c r="B821" s="845" t="s">
        <v>3072</v>
      </c>
      <c r="C821" s="693" t="str">
        <f t="shared" si="108"/>
        <v>深圳新阳蓝光能源管理科技股份有限公司</v>
      </c>
      <c r="D821" s="889" t="s">
        <v>3025</v>
      </c>
      <c r="E821" s="753"/>
      <c r="F821" s="815"/>
      <c r="G821" s="829"/>
      <c r="H821" s="829"/>
      <c r="I821" s="829"/>
      <c r="J821" s="715"/>
      <c r="K821" s="837"/>
      <c r="L821" s="1036"/>
      <c r="M821" s="837"/>
      <c r="N821" s="829"/>
      <c r="X821" s="768" t="b">
        <f t="shared" si="106"/>
        <v>1</v>
      </c>
    </row>
    <row r="822" outlineLevel="2" spans="2:24">
      <c r="B822" s="845" t="s">
        <v>3072</v>
      </c>
      <c r="C822" s="693" t="str">
        <f t="shared" si="108"/>
        <v>深圳新阳蓝光能源管理科技股份有限公司</v>
      </c>
      <c r="D822" s="889" t="s">
        <v>3025</v>
      </c>
      <c r="E822" s="753"/>
      <c r="F822" s="815"/>
      <c r="G822" s="829"/>
      <c r="H822" s="829"/>
      <c r="I822" s="829"/>
      <c r="J822" s="715"/>
      <c r="K822" s="837"/>
      <c r="L822" s="1036"/>
      <c r="M822" s="837"/>
      <c r="N822" s="829"/>
      <c r="X822" s="768" t="b">
        <f t="shared" si="106"/>
        <v>1</v>
      </c>
    </row>
    <row r="823" outlineLevel="2" spans="1:24">
      <c r="A823" s="826" t="s">
        <v>3030</v>
      </c>
      <c r="B823" s="845" t="s">
        <v>3072</v>
      </c>
      <c r="C823" s="693" t="str">
        <f t="shared" si="108"/>
        <v>深圳新阳蓝光能源管理科技股份有限公司</v>
      </c>
      <c r="D823" s="889" t="s">
        <v>3025</v>
      </c>
      <c r="E823" s="731" t="s">
        <v>3030</v>
      </c>
      <c r="F823" s="802">
        <f>SUM(F817:F822)</f>
        <v>0</v>
      </c>
      <c r="G823" s="829"/>
      <c r="H823" s="829"/>
      <c r="I823" s="829"/>
      <c r="J823" s="715"/>
      <c r="K823" s="837"/>
      <c r="L823" s="1036"/>
      <c r="M823" s="837"/>
      <c r="N823" s="829"/>
      <c r="X823" s="768" t="b">
        <f t="shared" si="106"/>
        <v>1</v>
      </c>
    </row>
    <row r="824" outlineLevel="2" spans="1:24">
      <c r="A824" s="826" t="s">
        <v>3031</v>
      </c>
      <c r="B824" s="845" t="s">
        <v>3072</v>
      </c>
      <c r="C824" s="693" t="str">
        <f t="shared" si="108"/>
        <v>深圳新阳蓝光能源管理科技股份有限公司</v>
      </c>
      <c r="D824" s="889" t="s">
        <v>3025</v>
      </c>
      <c r="E824" s="731" t="s">
        <v>3031</v>
      </c>
      <c r="F824" s="935"/>
      <c r="G824" s="829"/>
      <c r="H824" s="829"/>
      <c r="I824" s="829"/>
      <c r="J824" s="715"/>
      <c r="K824" s="837"/>
      <c r="L824" s="1036"/>
      <c r="M824" s="837"/>
      <c r="N824" s="829"/>
      <c r="X824" s="768" t="b">
        <f t="shared" si="106"/>
        <v>1</v>
      </c>
    </row>
    <row r="825" outlineLevel="2" spans="2:24">
      <c r="B825" s="845" t="s">
        <v>3072</v>
      </c>
      <c r="C825" s="693" t="str">
        <f t="shared" si="108"/>
        <v>深圳新阳蓝光能源管理科技股份有限公司</v>
      </c>
      <c r="D825" s="889" t="s">
        <v>3025</v>
      </c>
      <c r="E825" s="753"/>
      <c r="F825" s="815"/>
      <c r="G825" s="829"/>
      <c r="H825" s="829"/>
      <c r="I825" s="829"/>
      <c r="J825" s="715"/>
      <c r="K825" s="837"/>
      <c r="L825" s="1036"/>
      <c r="M825" s="837"/>
      <c r="N825" s="829"/>
      <c r="X825" s="768" t="b">
        <f t="shared" si="106"/>
        <v>1</v>
      </c>
    </row>
    <row r="826" outlineLevel="2" spans="2:24">
      <c r="B826" s="845" t="s">
        <v>3072</v>
      </c>
      <c r="C826" s="693" t="str">
        <f t="shared" si="108"/>
        <v>深圳新阳蓝光能源管理科技股份有限公司</v>
      </c>
      <c r="D826" s="889" t="s">
        <v>3025</v>
      </c>
      <c r="E826" s="753"/>
      <c r="F826" s="815"/>
      <c r="G826" s="829"/>
      <c r="H826" s="829"/>
      <c r="I826" s="829"/>
      <c r="J826" s="715"/>
      <c r="K826" s="837"/>
      <c r="L826" s="1036"/>
      <c r="M826" s="837"/>
      <c r="N826" s="829"/>
      <c r="X826" s="768" t="b">
        <f t="shared" si="106"/>
        <v>1</v>
      </c>
    </row>
    <row r="827" outlineLevel="2" spans="2:24">
      <c r="B827" s="845" t="s">
        <v>3072</v>
      </c>
      <c r="C827" s="693" t="str">
        <f t="shared" si="108"/>
        <v>深圳新阳蓝光能源管理科技股份有限公司</v>
      </c>
      <c r="D827" s="889" t="s">
        <v>3025</v>
      </c>
      <c r="E827" s="753"/>
      <c r="F827" s="815"/>
      <c r="G827" s="829"/>
      <c r="H827" s="829"/>
      <c r="I827" s="829"/>
      <c r="J827" s="715"/>
      <c r="K827" s="837"/>
      <c r="L827" s="1036"/>
      <c r="M827" s="837"/>
      <c r="N827" s="829"/>
      <c r="X827" s="768" t="b">
        <f t="shared" si="106"/>
        <v>1</v>
      </c>
    </row>
    <row r="828" outlineLevel="2" spans="2:24">
      <c r="B828" s="845" t="s">
        <v>3072</v>
      </c>
      <c r="C828" s="693" t="str">
        <f t="shared" si="108"/>
        <v>深圳新阳蓝光能源管理科技股份有限公司</v>
      </c>
      <c r="D828" s="889" t="s">
        <v>3025</v>
      </c>
      <c r="E828" s="753"/>
      <c r="F828" s="815"/>
      <c r="G828" s="829"/>
      <c r="H828" s="829"/>
      <c r="I828" s="829"/>
      <c r="J828" s="715"/>
      <c r="K828" s="837"/>
      <c r="L828" s="1036"/>
      <c r="M828" s="837"/>
      <c r="N828" s="829"/>
      <c r="X828" s="768" t="b">
        <f t="shared" si="106"/>
        <v>1</v>
      </c>
    </row>
    <row r="829" outlineLevel="2" spans="2:24">
      <c r="B829" s="845" t="s">
        <v>3072</v>
      </c>
      <c r="C829" s="693" t="str">
        <f t="shared" si="108"/>
        <v>深圳新阳蓝光能源管理科技股份有限公司</v>
      </c>
      <c r="D829" s="889" t="s">
        <v>3025</v>
      </c>
      <c r="E829" s="753"/>
      <c r="F829" s="815"/>
      <c r="G829" s="829"/>
      <c r="H829" s="829"/>
      <c r="I829" s="829"/>
      <c r="J829" s="715"/>
      <c r="K829" s="837"/>
      <c r="L829" s="1036"/>
      <c r="M829" s="837"/>
      <c r="N829" s="829"/>
      <c r="X829" s="768" t="b">
        <f t="shared" si="106"/>
        <v>1</v>
      </c>
    </row>
    <row r="830" outlineLevel="2" spans="1:24">
      <c r="A830" s="826" t="s">
        <v>3032</v>
      </c>
      <c r="B830" s="845" t="s">
        <v>3072</v>
      </c>
      <c r="C830" s="693" t="str">
        <f t="shared" si="108"/>
        <v>深圳新阳蓝光能源管理科技股份有限公司</v>
      </c>
      <c r="D830" s="889" t="s">
        <v>3025</v>
      </c>
      <c r="E830" s="731" t="s">
        <v>3032</v>
      </c>
      <c r="F830" s="802">
        <f>SUM(F825:F829)</f>
        <v>0</v>
      </c>
      <c r="G830" s="829"/>
      <c r="H830" s="829"/>
      <c r="I830" s="829"/>
      <c r="J830" s="715"/>
      <c r="K830" s="837"/>
      <c r="L830" s="1036"/>
      <c r="M830" s="837"/>
      <c r="N830" s="829"/>
      <c r="X830" s="768" t="b">
        <f t="shared" si="106"/>
        <v>1</v>
      </c>
    </row>
    <row r="831" outlineLevel="2" spans="2:24">
      <c r="B831" s="845" t="s">
        <v>3072</v>
      </c>
      <c r="C831" s="693" t="str">
        <f t="shared" si="108"/>
        <v>深圳新阳蓝光能源管理科技股份有限公司</v>
      </c>
      <c r="D831" s="889" t="s">
        <v>3025</v>
      </c>
      <c r="E831" s="153"/>
      <c r="F831" s="829"/>
      <c r="G831" s="829"/>
      <c r="H831" s="829"/>
      <c r="I831" s="829"/>
      <c r="J831" s="715"/>
      <c r="K831" s="837"/>
      <c r="L831" s="1036"/>
      <c r="M831" s="837"/>
      <c r="N831" s="829"/>
      <c r="X831" s="768" t="b">
        <f t="shared" si="106"/>
        <v>1</v>
      </c>
    </row>
    <row r="832" outlineLevel="2" spans="1:24">
      <c r="A832" s="826" t="s">
        <v>3121</v>
      </c>
      <c r="B832" s="845" t="s">
        <v>3072</v>
      </c>
      <c r="C832" s="693" t="str">
        <f t="shared" si="108"/>
        <v>深圳新阳蓝光能源管理科技股份有限公司</v>
      </c>
      <c r="D832" s="849" t="s">
        <v>3122</v>
      </c>
      <c r="E832" s="153" t="s">
        <v>3123</v>
      </c>
      <c r="F832" s="829"/>
      <c r="G832" s="829"/>
      <c r="H832" s="829"/>
      <c r="I832" s="829"/>
      <c r="J832" s="715"/>
      <c r="K832" s="837"/>
      <c r="L832" s="1036"/>
      <c r="M832" s="837"/>
      <c r="N832" s="829"/>
      <c r="X832" s="768" t="b">
        <f t="shared" si="106"/>
        <v>1</v>
      </c>
    </row>
    <row r="833" outlineLevel="2" spans="1:24">
      <c r="A833" s="826" t="s">
        <v>2473</v>
      </c>
      <c r="B833" s="845" t="s">
        <v>3072</v>
      </c>
      <c r="C833" s="693" t="str">
        <f t="shared" si="108"/>
        <v>深圳新阳蓝光能源管理科技股份有限公司</v>
      </c>
      <c r="D833" s="849" t="s">
        <v>3122</v>
      </c>
      <c r="E833" s="830" t="s">
        <v>2473</v>
      </c>
      <c r="F833" s="830" t="s">
        <v>3124</v>
      </c>
      <c r="G833" s="830" t="s">
        <v>366</v>
      </c>
      <c r="H833" s="715"/>
      <c r="I833" s="837"/>
      <c r="J833" s="715"/>
      <c r="K833" s="837"/>
      <c r="L833" s="1036"/>
      <c r="M833" s="837"/>
      <c r="N833" s="829"/>
      <c r="X833" s="768" t="b">
        <f t="shared" si="106"/>
        <v>1</v>
      </c>
    </row>
    <row r="834" outlineLevel="2" spans="2:24">
      <c r="B834" s="845" t="s">
        <v>3072</v>
      </c>
      <c r="C834" s="693" t="str">
        <f t="shared" si="108"/>
        <v>深圳新阳蓝光能源管理科技股份有限公司</v>
      </c>
      <c r="D834" s="849" t="s">
        <v>3125</v>
      </c>
      <c r="E834" s="1044"/>
      <c r="F834" s="721"/>
      <c r="G834" s="719"/>
      <c r="H834" s="715"/>
      <c r="I834" s="837"/>
      <c r="J834" s="715"/>
      <c r="K834" s="837"/>
      <c r="L834" s="1036"/>
      <c r="M834" s="837"/>
      <c r="N834" s="829"/>
      <c r="X834" s="768" t="b">
        <f t="shared" si="106"/>
        <v>1</v>
      </c>
    </row>
    <row r="835" outlineLevel="2" spans="2:24">
      <c r="B835" s="845" t="s">
        <v>3072</v>
      </c>
      <c r="C835" s="693" t="str">
        <f t="shared" si="108"/>
        <v>深圳新阳蓝光能源管理科技股份有限公司</v>
      </c>
      <c r="D835" s="849" t="s">
        <v>3125</v>
      </c>
      <c r="E835" s="1044"/>
      <c r="F835" s="721"/>
      <c r="G835" s="719"/>
      <c r="H835" s="715"/>
      <c r="I835" s="837"/>
      <c r="J835" s="715"/>
      <c r="K835" s="837"/>
      <c r="L835" s="1036"/>
      <c r="M835" s="837"/>
      <c r="N835" s="829"/>
      <c r="X835" s="768" t="b">
        <f t="shared" si="106"/>
        <v>1</v>
      </c>
    </row>
    <row r="836" outlineLevel="2" spans="2:24">
      <c r="B836" s="845" t="s">
        <v>3072</v>
      </c>
      <c r="C836" s="693" t="str">
        <f t="shared" si="108"/>
        <v>深圳新阳蓝光能源管理科技股份有限公司</v>
      </c>
      <c r="D836" s="849" t="s">
        <v>3125</v>
      </c>
      <c r="E836" s="1044"/>
      <c r="F836" s="721"/>
      <c r="G836" s="719"/>
      <c r="H836" s="715"/>
      <c r="I836" s="837"/>
      <c r="J836" s="715"/>
      <c r="K836" s="837"/>
      <c r="L836" s="1036"/>
      <c r="M836" s="837"/>
      <c r="N836" s="829"/>
      <c r="X836" s="768" t="b">
        <f t="shared" si="106"/>
        <v>1</v>
      </c>
    </row>
    <row r="837" outlineLevel="2" spans="2:24">
      <c r="B837" s="845" t="s">
        <v>3072</v>
      </c>
      <c r="C837" s="693" t="str">
        <f t="shared" si="108"/>
        <v>深圳新阳蓝光能源管理科技股份有限公司</v>
      </c>
      <c r="D837" s="849" t="s">
        <v>3125</v>
      </c>
      <c r="E837" s="1044"/>
      <c r="F837" s="721"/>
      <c r="G837" s="719"/>
      <c r="H837" s="715"/>
      <c r="I837" s="837"/>
      <c r="J837" s="715"/>
      <c r="K837" s="837"/>
      <c r="L837" s="1036"/>
      <c r="M837" s="837"/>
      <c r="N837" s="829"/>
      <c r="X837" s="768" t="b">
        <f t="shared" si="106"/>
        <v>1</v>
      </c>
    </row>
    <row r="838" outlineLevel="2" spans="2:24">
      <c r="B838" s="845" t="s">
        <v>3072</v>
      </c>
      <c r="C838" s="693" t="str">
        <f t="shared" ref="C838:C901" si="111">$G$1</f>
        <v>深圳新阳蓝光能源管理科技股份有限公司</v>
      </c>
      <c r="D838" s="849" t="s">
        <v>3125</v>
      </c>
      <c r="E838" s="1044"/>
      <c r="F838" s="721"/>
      <c r="G838" s="719"/>
      <c r="H838" s="715"/>
      <c r="I838" s="837"/>
      <c r="J838" s="715"/>
      <c r="K838" s="837"/>
      <c r="L838" s="1036"/>
      <c r="M838" s="837"/>
      <c r="N838" s="829"/>
      <c r="X838" s="768" t="b">
        <f t="shared" si="106"/>
        <v>1</v>
      </c>
    </row>
    <row r="839" outlineLevel="2" spans="2:24">
      <c r="B839" s="845" t="s">
        <v>3072</v>
      </c>
      <c r="C839" s="693" t="str">
        <f t="shared" si="111"/>
        <v>深圳新阳蓝光能源管理科技股份有限公司</v>
      </c>
      <c r="D839" s="849" t="s">
        <v>3125</v>
      </c>
      <c r="E839" s="1044"/>
      <c r="F839" s="721"/>
      <c r="G839" s="719"/>
      <c r="H839" s="715"/>
      <c r="I839" s="837"/>
      <c r="J839" s="715"/>
      <c r="K839" s="837"/>
      <c r="L839" s="1036"/>
      <c r="M839" s="837"/>
      <c r="N839" s="829"/>
      <c r="X839" s="768" t="b">
        <f t="shared" si="106"/>
        <v>1</v>
      </c>
    </row>
    <row r="840" outlineLevel="2" spans="2:24">
      <c r="B840" s="845" t="s">
        <v>3072</v>
      </c>
      <c r="C840" s="693" t="str">
        <f t="shared" si="111"/>
        <v>深圳新阳蓝光能源管理科技股份有限公司</v>
      </c>
      <c r="D840" s="849" t="s">
        <v>3125</v>
      </c>
      <c r="E840" s="1044"/>
      <c r="F840" s="721"/>
      <c r="G840" s="719"/>
      <c r="H840" s="715"/>
      <c r="I840" s="837"/>
      <c r="J840" s="715"/>
      <c r="K840" s="837"/>
      <c r="L840" s="1036"/>
      <c r="M840" s="837"/>
      <c r="N840" s="829"/>
      <c r="X840" s="768" t="b">
        <f t="shared" si="106"/>
        <v>1</v>
      </c>
    </row>
    <row r="841" outlineLevel="2" spans="2:24">
      <c r="B841" s="845" t="s">
        <v>3072</v>
      </c>
      <c r="C841" s="693" t="str">
        <f t="shared" si="111"/>
        <v>深圳新阳蓝光能源管理科技股份有限公司</v>
      </c>
      <c r="D841" s="849" t="s">
        <v>3125</v>
      </c>
      <c r="E841" s="1044"/>
      <c r="F841" s="721"/>
      <c r="G841" s="719"/>
      <c r="H841" s="715"/>
      <c r="I841" s="837"/>
      <c r="J841" s="715"/>
      <c r="K841" s="837"/>
      <c r="L841" s="1036"/>
      <c r="M841" s="837"/>
      <c r="N841" s="829"/>
      <c r="X841" s="768" t="b">
        <f t="shared" si="106"/>
        <v>1</v>
      </c>
    </row>
    <row r="842" outlineLevel="2" spans="2:24">
      <c r="B842" s="845" t="s">
        <v>3072</v>
      </c>
      <c r="C842" s="693" t="str">
        <f t="shared" si="111"/>
        <v>深圳新阳蓝光能源管理科技股份有限公司</v>
      </c>
      <c r="D842" s="849" t="s">
        <v>3125</v>
      </c>
      <c r="E842" s="1044"/>
      <c r="F842" s="721"/>
      <c r="G842" s="719"/>
      <c r="H842" s="715"/>
      <c r="I842" s="837"/>
      <c r="J842" s="715"/>
      <c r="K842" s="837"/>
      <c r="L842" s="1036"/>
      <c r="M842" s="837"/>
      <c r="N842" s="829"/>
      <c r="X842" s="768" t="b">
        <f t="shared" si="106"/>
        <v>1</v>
      </c>
    </row>
    <row r="843" outlineLevel="2" spans="2:24">
      <c r="B843" s="845" t="s">
        <v>3072</v>
      </c>
      <c r="C843" s="693" t="str">
        <f t="shared" si="111"/>
        <v>深圳新阳蓝光能源管理科技股份有限公司</v>
      </c>
      <c r="D843" s="849" t="s">
        <v>3125</v>
      </c>
      <c r="E843" s="1037"/>
      <c r="F843" s="715"/>
      <c r="G843" s="837"/>
      <c r="H843" s="715"/>
      <c r="I843" s="837"/>
      <c r="J843" s="715"/>
      <c r="K843" s="837"/>
      <c r="L843" s="1036"/>
      <c r="M843" s="837"/>
      <c r="N843" s="829"/>
      <c r="X843" s="768" t="b">
        <f t="shared" si="106"/>
        <v>1</v>
      </c>
    </row>
    <row r="844" outlineLevel="2" spans="2:24">
      <c r="B844" s="692" t="s">
        <v>3072</v>
      </c>
      <c r="C844" s="693" t="str">
        <f t="shared" si="111"/>
        <v>深圳新阳蓝光能源管理科技股份有限公司</v>
      </c>
      <c r="D844" s="1039"/>
      <c r="E844" s="153"/>
      <c r="F844" s="715"/>
      <c r="G844" s="837"/>
      <c r="H844" s="715"/>
      <c r="I844" s="837"/>
      <c r="J844" s="715"/>
      <c r="K844" s="837"/>
      <c r="L844" s="1036"/>
      <c r="M844" s="837"/>
      <c r="N844" s="829"/>
      <c r="X844" s="768" t="b">
        <f t="shared" si="106"/>
        <v>1</v>
      </c>
    </row>
    <row r="845" outlineLevel="2" spans="1:24">
      <c r="A845" s="826" t="s">
        <v>2809</v>
      </c>
      <c r="B845" s="692" t="s">
        <v>3072</v>
      </c>
      <c r="C845" s="693" t="str">
        <f t="shared" si="111"/>
        <v>深圳新阳蓝光能源管理科技股份有限公司</v>
      </c>
      <c r="D845" s="1039"/>
      <c r="E845" s="1037" t="s">
        <v>2809</v>
      </c>
      <c r="F845" s="736"/>
      <c r="G845" s="902"/>
      <c r="H845" s="715"/>
      <c r="I845" s="837"/>
      <c r="J845" s="715"/>
      <c r="K845" s="837"/>
      <c r="L845" s="1036"/>
      <c r="M845" s="837"/>
      <c r="N845" s="829"/>
      <c r="X845" s="768" t="b">
        <f t="shared" si="106"/>
        <v>1</v>
      </c>
    </row>
    <row r="846" outlineLevel="2" spans="2:24">
      <c r="B846" s="692" t="s">
        <v>3072</v>
      </c>
      <c r="C846" s="693" t="str">
        <f t="shared" si="111"/>
        <v>深圳新阳蓝光能源管理科技股份有限公司</v>
      </c>
      <c r="D846" s="1045"/>
      <c r="E846" s="1046"/>
      <c r="F846" s="715"/>
      <c r="G846" s="837"/>
      <c r="H846" s="1047"/>
      <c r="I846" s="715"/>
      <c r="J846" s="715"/>
      <c r="K846" s="837"/>
      <c r="L846" s="837"/>
      <c r="M846" s="715"/>
      <c r="X846" s="768" t="b">
        <f t="shared" si="106"/>
        <v>1</v>
      </c>
    </row>
    <row r="847" spans="1:24">
      <c r="A847" s="1048" t="s">
        <v>2046</v>
      </c>
      <c r="B847" s="692" t="s">
        <v>3126</v>
      </c>
      <c r="C847" s="693" t="str">
        <f t="shared" si="111"/>
        <v>深圳新阳蓝光能源管理科技股份有限公司</v>
      </c>
      <c r="D847" s="1049" t="s">
        <v>3127</v>
      </c>
      <c r="E847" s="70" t="s">
        <v>3128</v>
      </c>
      <c r="F847" s="1050"/>
      <c r="G847" s="1050"/>
      <c r="H847" s="1050"/>
      <c r="I847" s="1050"/>
      <c r="J847" s="1050"/>
      <c r="K847" s="1050"/>
      <c r="X847" s="768" t="b">
        <f t="shared" si="106"/>
        <v>1</v>
      </c>
    </row>
    <row r="848" outlineLevel="2" spans="1:24">
      <c r="A848" s="1048" t="s">
        <v>61</v>
      </c>
      <c r="B848" s="692" t="s">
        <v>3126</v>
      </c>
      <c r="C848" s="693" t="str">
        <f t="shared" si="111"/>
        <v>深圳新阳蓝光能源管理科技股份有限公司</v>
      </c>
      <c r="D848" s="1049" t="s">
        <v>3127</v>
      </c>
      <c r="E848" s="1051" t="s">
        <v>61</v>
      </c>
      <c r="F848" s="1051" t="s">
        <v>316</v>
      </c>
      <c r="G848" s="1051" t="s">
        <v>2060</v>
      </c>
      <c r="H848" s="1051" t="s">
        <v>3129</v>
      </c>
      <c r="I848" s="1051" t="s">
        <v>2020</v>
      </c>
      <c r="J848" s="1051" t="s">
        <v>2058</v>
      </c>
      <c r="K848" s="1051" t="s">
        <v>3130</v>
      </c>
      <c r="L848" s="1050"/>
      <c r="M848" s="1050"/>
      <c r="X848" s="768" t="b">
        <f t="shared" si="106"/>
        <v>1</v>
      </c>
    </row>
    <row r="849" outlineLevel="2" spans="1:24">
      <c r="A849" s="1048" t="s">
        <v>589</v>
      </c>
      <c r="B849" s="692" t="s">
        <v>3126</v>
      </c>
      <c r="C849" s="693" t="str">
        <f t="shared" si="111"/>
        <v>深圳新阳蓝光能源管理科技股份有限公司</v>
      </c>
      <c r="D849" s="1049" t="s">
        <v>3127</v>
      </c>
      <c r="E849" s="1052" t="s">
        <v>589</v>
      </c>
      <c r="F849" s="139">
        <f t="shared" ref="F849:F863" si="112">I869</f>
        <v>0</v>
      </c>
      <c r="G849" s="139">
        <f t="shared" ref="G849:G863" si="113">K905</f>
        <v>0</v>
      </c>
      <c r="H849" s="139">
        <f>ROUND(F849-G849,2)</f>
        <v>0</v>
      </c>
      <c r="I849" s="139">
        <f t="shared" ref="I849:I863" si="114">F869</f>
        <v>181934</v>
      </c>
      <c r="J849" s="802">
        <f t="shared" ref="J849:J863" si="115">F905</f>
        <v>0</v>
      </c>
      <c r="K849" s="139">
        <f>ROUND(I849-J849,2)</f>
        <v>181934</v>
      </c>
      <c r="L849" s="1050"/>
      <c r="M849" s="1050"/>
      <c r="X849" s="768" t="b">
        <f t="shared" si="106"/>
        <v>1</v>
      </c>
    </row>
    <row r="850" outlineLevel="2" spans="1:24">
      <c r="A850" s="1048" t="s">
        <v>3131</v>
      </c>
      <c r="B850" s="692" t="s">
        <v>3126</v>
      </c>
      <c r="C850" s="693" t="str">
        <f t="shared" si="111"/>
        <v>深圳新阳蓝光能源管理科技股份有限公司</v>
      </c>
      <c r="D850" s="1049" t="s">
        <v>3127</v>
      </c>
      <c r="E850" s="1052" t="s">
        <v>591</v>
      </c>
      <c r="F850" s="139">
        <f t="shared" si="112"/>
        <v>0</v>
      </c>
      <c r="G850" s="139">
        <f t="shared" si="113"/>
        <v>0</v>
      </c>
      <c r="H850" s="139">
        <f t="shared" ref="H850:H854" si="116">ROUND(F850-G850,2)</f>
        <v>0</v>
      </c>
      <c r="I850" s="139">
        <f t="shared" si="114"/>
        <v>0</v>
      </c>
      <c r="J850" s="802">
        <f t="shared" si="115"/>
        <v>0</v>
      </c>
      <c r="K850" s="139">
        <f t="shared" ref="K850:K854" si="117">ROUND(I850-J850,2)</f>
        <v>0</v>
      </c>
      <c r="L850" s="1050"/>
      <c r="M850" s="1050"/>
      <c r="X850" s="768" t="b">
        <f t="shared" si="106"/>
        <v>0</v>
      </c>
    </row>
    <row r="851" outlineLevel="2" spans="1:24">
      <c r="A851" s="1048" t="s">
        <v>593</v>
      </c>
      <c r="B851" s="692" t="s">
        <v>3126</v>
      </c>
      <c r="C851" s="693" t="str">
        <f t="shared" si="111"/>
        <v>深圳新阳蓝光能源管理科技股份有限公司</v>
      </c>
      <c r="D851" s="1049" t="s">
        <v>3127</v>
      </c>
      <c r="E851" s="1052" t="s">
        <v>3132</v>
      </c>
      <c r="F851" s="139">
        <f t="shared" si="112"/>
        <v>4554574.91</v>
      </c>
      <c r="G851" s="139">
        <f t="shared" si="113"/>
        <v>0</v>
      </c>
      <c r="H851" s="139">
        <f t="shared" si="116"/>
        <v>4554574.91</v>
      </c>
      <c r="I851" s="139">
        <f t="shared" si="114"/>
        <v>4466870.63</v>
      </c>
      <c r="J851" s="802">
        <f t="shared" si="115"/>
        <v>0</v>
      </c>
      <c r="K851" s="139">
        <f t="shared" si="117"/>
        <v>4466870.63</v>
      </c>
      <c r="L851" s="1050"/>
      <c r="M851" s="1050"/>
      <c r="X851" s="768" t="b">
        <f t="shared" si="106"/>
        <v>0</v>
      </c>
    </row>
    <row r="852" outlineLevel="2" spans="1:24">
      <c r="A852" s="1048" t="s">
        <v>585</v>
      </c>
      <c r="B852" s="692" t="s">
        <v>3126</v>
      </c>
      <c r="C852" s="693" t="str">
        <f t="shared" si="111"/>
        <v>深圳新阳蓝光能源管理科技股份有限公司</v>
      </c>
      <c r="D852" s="1049" t="s">
        <v>3127</v>
      </c>
      <c r="E852" s="1052" t="s">
        <v>2048</v>
      </c>
      <c r="F852" s="139">
        <f t="shared" si="112"/>
        <v>0</v>
      </c>
      <c r="G852" s="139">
        <f t="shared" si="113"/>
        <v>0</v>
      </c>
      <c r="H852" s="139">
        <f t="shared" si="116"/>
        <v>0</v>
      </c>
      <c r="I852" s="139">
        <f t="shared" si="114"/>
        <v>0</v>
      </c>
      <c r="J852" s="802">
        <f t="shared" si="115"/>
        <v>0</v>
      </c>
      <c r="K852" s="139">
        <f t="shared" si="117"/>
        <v>0</v>
      </c>
      <c r="L852" s="1050"/>
      <c r="M852" s="1050"/>
      <c r="X852" s="768" t="b">
        <f t="shared" si="106"/>
        <v>0</v>
      </c>
    </row>
    <row r="853" outlineLevel="2" spans="1:24">
      <c r="A853" s="1048" t="s">
        <v>587</v>
      </c>
      <c r="B853" s="692" t="s">
        <v>3126</v>
      </c>
      <c r="C853" s="693" t="str">
        <f t="shared" si="111"/>
        <v>深圳新阳蓝光能源管理科技股份有限公司</v>
      </c>
      <c r="D853" s="1049" t="s">
        <v>3127</v>
      </c>
      <c r="E853" s="1052" t="s">
        <v>3133</v>
      </c>
      <c r="F853" s="139">
        <f t="shared" si="112"/>
        <v>0</v>
      </c>
      <c r="G853" s="139">
        <f t="shared" si="113"/>
        <v>0</v>
      </c>
      <c r="H853" s="139">
        <f t="shared" si="116"/>
        <v>0</v>
      </c>
      <c r="I853" s="139">
        <f t="shared" si="114"/>
        <v>0</v>
      </c>
      <c r="J853" s="802">
        <f t="shared" si="115"/>
        <v>0</v>
      </c>
      <c r="K853" s="139">
        <f t="shared" si="117"/>
        <v>0</v>
      </c>
      <c r="L853" s="1050"/>
      <c r="M853" s="1050"/>
      <c r="X853" s="768" t="b">
        <f t="shared" si="106"/>
        <v>0</v>
      </c>
    </row>
    <row r="854" outlineLevel="2" spans="1:24">
      <c r="A854" s="1048" t="s">
        <v>599</v>
      </c>
      <c r="B854" s="692" t="s">
        <v>3126</v>
      </c>
      <c r="C854" s="693" t="str">
        <f t="shared" si="111"/>
        <v>深圳新阳蓝光能源管理科技股份有限公司</v>
      </c>
      <c r="D854" s="1049" t="s">
        <v>3127</v>
      </c>
      <c r="E854" s="1052" t="s">
        <v>597</v>
      </c>
      <c r="F854" s="139">
        <f t="shared" si="112"/>
        <v>0</v>
      </c>
      <c r="G854" s="139">
        <f t="shared" si="113"/>
        <v>0</v>
      </c>
      <c r="H854" s="139">
        <f t="shared" si="116"/>
        <v>0</v>
      </c>
      <c r="I854" s="139">
        <f t="shared" si="114"/>
        <v>0</v>
      </c>
      <c r="J854" s="802">
        <f t="shared" si="115"/>
        <v>0</v>
      </c>
      <c r="K854" s="139">
        <f t="shared" si="117"/>
        <v>0</v>
      </c>
      <c r="L854" s="1050"/>
      <c r="M854" s="1050"/>
      <c r="X854" s="768" t="b">
        <f t="shared" si="106"/>
        <v>0</v>
      </c>
    </row>
    <row r="855" ht="12" customHeight="1" outlineLevel="2" spans="1:24">
      <c r="A855" s="1048" t="s">
        <v>2048</v>
      </c>
      <c r="B855" s="692" t="s">
        <v>3126</v>
      </c>
      <c r="C855" s="693" t="str">
        <f t="shared" si="111"/>
        <v>深圳新阳蓝光能源管理科技股份有限公司</v>
      </c>
      <c r="D855" s="1049" t="s">
        <v>3127</v>
      </c>
      <c r="E855" s="1053" t="s">
        <v>595</v>
      </c>
      <c r="F855" s="139">
        <f t="shared" si="112"/>
        <v>0</v>
      </c>
      <c r="G855" s="139">
        <f t="shared" si="113"/>
        <v>0</v>
      </c>
      <c r="H855" s="139">
        <f t="shared" ref="H855:H863" si="118">F855-G855</f>
        <v>0</v>
      </c>
      <c r="I855" s="139">
        <f t="shared" si="114"/>
        <v>1046808</v>
      </c>
      <c r="J855" s="802">
        <f t="shared" si="115"/>
        <v>0</v>
      </c>
      <c r="K855" s="802">
        <f t="shared" ref="K855:K863" si="119">I855-J855</f>
        <v>1046808</v>
      </c>
      <c r="L855" s="1050"/>
      <c r="M855" s="1050"/>
      <c r="X855" s="768" t="b">
        <f t="shared" si="106"/>
        <v>0</v>
      </c>
    </row>
    <row r="856" outlineLevel="2" spans="1:24">
      <c r="A856" s="1048" t="s">
        <v>3133</v>
      </c>
      <c r="B856" s="692" t="s">
        <v>3126</v>
      </c>
      <c r="C856" s="693" t="str">
        <f t="shared" si="111"/>
        <v>深圳新阳蓝光能源管理科技股份有限公司</v>
      </c>
      <c r="D856" s="1049" t="s">
        <v>3127</v>
      </c>
      <c r="E856" s="950" t="s">
        <v>3134</v>
      </c>
      <c r="F856" s="139">
        <f t="shared" si="112"/>
        <v>27407838.98</v>
      </c>
      <c r="G856" s="139">
        <f t="shared" si="113"/>
        <v>0</v>
      </c>
      <c r="H856" s="139">
        <f t="shared" si="118"/>
        <v>27407838.98</v>
      </c>
      <c r="I856" s="139">
        <f t="shared" si="114"/>
        <v>4131156.32</v>
      </c>
      <c r="J856" s="802">
        <f t="shared" si="115"/>
        <v>0</v>
      </c>
      <c r="K856" s="802">
        <f t="shared" si="119"/>
        <v>4131156.32</v>
      </c>
      <c r="L856" s="1050"/>
      <c r="M856" s="1050"/>
      <c r="X856" s="768" t="b">
        <f t="shared" si="106"/>
        <v>0</v>
      </c>
    </row>
    <row r="857" hidden="1" outlineLevel="2" spans="1:24">
      <c r="A857" s="1048" t="s">
        <v>3135</v>
      </c>
      <c r="B857" s="692" t="s">
        <v>3126</v>
      </c>
      <c r="C857" s="693" t="str">
        <f t="shared" si="111"/>
        <v>深圳新阳蓝光能源管理科技股份有限公司</v>
      </c>
      <c r="D857" s="1049" t="s">
        <v>3127</v>
      </c>
      <c r="E857" s="950" t="s">
        <v>3136</v>
      </c>
      <c r="F857" s="139">
        <f t="shared" si="112"/>
        <v>0</v>
      </c>
      <c r="G857" s="139">
        <f t="shared" si="113"/>
        <v>0</v>
      </c>
      <c r="H857" s="139">
        <f t="shared" si="118"/>
        <v>0</v>
      </c>
      <c r="I857" s="139">
        <f t="shared" si="114"/>
        <v>0</v>
      </c>
      <c r="J857" s="802">
        <f t="shared" si="115"/>
        <v>0</v>
      </c>
      <c r="K857" s="802">
        <f t="shared" si="119"/>
        <v>0</v>
      </c>
      <c r="L857" s="1050"/>
      <c r="M857" s="1050"/>
      <c r="X857" s="768" t="b">
        <f t="shared" si="106"/>
        <v>0</v>
      </c>
    </row>
    <row r="858" hidden="1" outlineLevel="2" spans="1:24">
      <c r="A858" s="1048" t="s">
        <v>597</v>
      </c>
      <c r="B858" s="692" t="s">
        <v>3126</v>
      </c>
      <c r="C858" s="693" t="str">
        <f t="shared" si="111"/>
        <v>深圳新阳蓝光能源管理科技股份有限公司</v>
      </c>
      <c r="D858" s="1049" t="s">
        <v>3127</v>
      </c>
      <c r="E858" s="950" t="s">
        <v>3137</v>
      </c>
      <c r="F858" s="139">
        <f t="shared" si="112"/>
        <v>0</v>
      </c>
      <c r="G858" s="139">
        <f t="shared" si="113"/>
        <v>0</v>
      </c>
      <c r="H858" s="139">
        <f t="shared" si="118"/>
        <v>0</v>
      </c>
      <c r="I858" s="139">
        <f t="shared" si="114"/>
        <v>0</v>
      </c>
      <c r="J858" s="802">
        <f t="shared" si="115"/>
        <v>0</v>
      </c>
      <c r="K858" s="802">
        <f t="shared" si="119"/>
        <v>0</v>
      </c>
      <c r="L858" s="1050"/>
      <c r="M858" s="1050"/>
      <c r="X858" s="768" t="b">
        <f t="shared" si="106"/>
        <v>0</v>
      </c>
    </row>
    <row r="859" hidden="1" outlineLevel="2" spans="1:24">
      <c r="A859" s="1048" t="s">
        <v>595</v>
      </c>
      <c r="B859" s="692" t="s">
        <v>3126</v>
      </c>
      <c r="C859" s="693" t="str">
        <f t="shared" si="111"/>
        <v>深圳新阳蓝光能源管理科技股份有限公司</v>
      </c>
      <c r="D859" s="1049" t="s">
        <v>3127</v>
      </c>
      <c r="E859" s="950" t="s">
        <v>3138</v>
      </c>
      <c r="F859" s="139">
        <f t="shared" si="112"/>
        <v>0</v>
      </c>
      <c r="G859" s="139">
        <f t="shared" si="113"/>
        <v>0</v>
      </c>
      <c r="H859" s="139">
        <f t="shared" si="118"/>
        <v>0</v>
      </c>
      <c r="I859" s="139">
        <f t="shared" si="114"/>
        <v>0</v>
      </c>
      <c r="J859" s="802">
        <f t="shared" si="115"/>
        <v>0</v>
      </c>
      <c r="K859" s="802">
        <f t="shared" si="119"/>
        <v>0</v>
      </c>
      <c r="L859" s="1050"/>
      <c r="M859" s="1050"/>
      <c r="X859" s="768" t="b">
        <f t="shared" si="106"/>
        <v>0</v>
      </c>
    </row>
    <row r="860" hidden="1" outlineLevel="2" spans="1:24">
      <c r="A860" s="1048" t="s">
        <v>601</v>
      </c>
      <c r="B860" s="692" t="s">
        <v>3126</v>
      </c>
      <c r="C860" s="693" t="str">
        <f t="shared" si="111"/>
        <v>深圳新阳蓝光能源管理科技股份有限公司</v>
      </c>
      <c r="D860" s="1049" t="s">
        <v>3127</v>
      </c>
      <c r="E860" s="950" t="s">
        <v>3139</v>
      </c>
      <c r="F860" s="139">
        <f t="shared" si="112"/>
        <v>0</v>
      </c>
      <c r="G860" s="139">
        <f t="shared" si="113"/>
        <v>0</v>
      </c>
      <c r="H860" s="139">
        <f t="shared" si="118"/>
        <v>0</v>
      </c>
      <c r="I860" s="139">
        <f t="shared" si="114"/>
        <v>0</v>
      </c>
      <c r="J860" s="802">
        <f t="shared" si="115"/>
        <v>0</v>
      </c>
      <c r="K860" s="802">
        <f t="shared" si="119"/>
        <v>0</v>
      </c>
      <c r="L860" s="1050"/>
      <c r="M860" s="1050"/>
      <c r="X860" s="768" t="b">
        <f t="shared" si="106"/>
        <v>0</v>
      </c>
    </row>
    <row r="861" hidden="1" outlineLevel="2" spans="1:24">
      <c r="A861" s="1048" t="s">
        <v>2050</v>
      </c>
      <c r="B861" s="692" t="s">
        <v>3126</v>
      </c>
      <c r="C861" s="693" t="str">
        <f t="shared" si="111"/>
        <v>深圳新阳蓝光能源管理科技股份有限公司</v>
      </c>
      <c r="D861" s="1049" t="s">
        <v>3127</v>
      </c>
      <c r="E861" s="950" t="s">
        <v>3140</v>
      </c>
      <c r="F861" s="139">
        <f t="shared" si="112"/>
        <v>0</v>
      </c>
      <c r="G861" s="139">
        <f t="shared" si="113"/>
        <v>0</v>
      </c>
      <c r="H861" s="139">
        <f t="shared" si="118"/>
        <v>0</v>
      </c>
      <c r="I861" s="139">
        <f t="shared" si="114"/>
        <v>0</v>
      </c>
      <c r="J861" s="802">
        <f t="shared" si="115"/>
        <v>0</v>
      </c>
      <c r="K861" s="802">
        <f t="shared" si="119"/>
        <v>0</v>
      </c>
      <c r="L861" s="1050"/>
      <c r="M861" s="1050"/>
      <c r="X861" s="768" t="b">
        <f t="shared" si="106"/>
        <v>0</v>
      </c>
    </row>
    <row r="862" hidden="1" outlineLevel="2" spans="1:24">
      <c r="A862" s="1048" t="s">
        <v>2051</v>
      </c>
      <c r="B862" s="692" t="s">
        <v>3126</v>
      </c>
      <c r="C862" s="693" t="str">
        <f t="shared" si="111"/>
        <v>深圳新阳蓝光能源管理科技股份有限公司</v>
      </c>
      <c r="D862" s="1049" t="s">
        <v>3127</v>
      </c>
      <c r="E862" s="950" t="s">
        <v>3141</v>
      </c>
      <c r="F862" s="139">
        <f t="shared" si="112"/>
        <v>0</v>
      </c>
      <c r="G862" s="139">
        <f t="shared" si="113"/>
        <v>0</v>
      </c>
      <c r="H862" s="139">
        <f t="shared" si="118"/>
        <v>0</v>
      </c>
      <c r="I862" s="139">
        <f t="shared" si="114"/>
        <v>0</v>
      </c>
      <c r="J862" s="802">
        <f t="shared" si="115"/>
        <v>0</v>
      </c>
      <c r="K862" s="802">
        <f t="shared" si="119"/>
        <v>0</v>
      </c>
      <c r="L862" s="1050"/>
      <c r="M862" s="1050"/>
      <c r="X862" s="768" t="b">
        <f t="shared" si="106"/>
        <v>0</v>
      </c>
    </row>
    <row r="863" hidden="1" outlineLevel="2" spans="1:24">
      <c r="A863" s="1048" t="s">
        <v>2052</v>
      </c>
      <c r="B863" s="692" t="s">
        <v>3126</v>
      </c>
      <c r="C863" s="693" t="str">
        <f t="shared" si="111"/>
        <v>深圳新阳蓝光能源管理科技股份有限公司</v>
      </c>
      <c r="D863" s="1049" t="s">
        <v>3127</v>
      </c>
      <c r="E863" s="950" t="s">
        <v>3142</v>
      </c>
      <c r="F863" s="139">
        <f t="shared" si="112"/>
        <v>0</v>
      </c>
      <c r="G863" s="139">
        <f t="shared" si="113"/>
        <v>0</v>
      </c>
      <c r="H863" s="139">
        <f t="shared" si="118"/>
        <v>0</v>
      </c>
      <c r="I863" s="139">
        <f t="shared" si="114"/>
        <v>0</v>
      </c>
      <c r="J863" s="802">
        <f t="shared" si="115"/>
        <v>0</v>
      </c>
      <c r="K863" s="802">
        <f t="shared" si="119"/>
        <v>0</v>
      </c>
      <c r="L863" s="1050"/>
      <c r="M863" s="1050"/>
      <c r="X863" s="768" t="b">
        <f t="shared" si="106"/>
        <v>0</v>
      </c>
    </row>
    <row r="864" outlineLevel="2" spans="1:24">
      <c r="A864" s="1048" t="s">
        <v>2021</v>
      </c>
      <c r="B864" s="692" t="s">
        <v>3126</v>
      </c>
      <c r="C864" s="693" t="str">
        <f t="shared" si="111"/>
        <v>深圳新阳蓝光能源管理科技股份有限公司</v>
      </c>
      <c r="D864" s="1049" t="s">
        <v>3127</v>
      </c>
      <c r="E864" s="1051" t="s">
        <v>2021</v>
      </c>
      <c r="F864" s="139">
        <f>ROUND(SUM(F849:F863),2)</f>
        <v>31962413.89</v>
      </c>
      <c r="G864" s="139">
        <f>ROUND(SUM(G849:G863),2)</f>
        <v>0</v>
      </c>
      <c r="H864" s="139">
        <f>ROUND(SUM(H849:H863),2)</f>
        <v>31962413.89</v>
      </c>
      <c r="I864" s="139">
        <f t="shared" ref="I864:K864" si="120">SUM(I849:I863)</f>
        <v>9826768.95</v>
      </c>
      <c r="J864" s="139">
        <f t="shared" si="120"/>
        <v>0</v>
      </c>
      <c r="K864" s="139">
        <f t="shared" si="120"/>
        <v>9826768.95</v>
      </c>
      <c r="L864" s="1050"/>
      <c r="M864" s="1050"/>
      <c r="X864" s="768" t="b">
        <f t="shared" si="106"/>
        <v>1</v>
      </c>
    </row>
    <row r="865" outlineLevel="2" spans="1:24">
      <c r="A865" s="1048" t="s">
        <v>1723</v>
      </c>
      <c r="B865" s="692" t="s">
        <v>3126</v>
      </c>
      <c r="C865" s="693" t="str">
        <f t="shared" si="111"/>
        <v>深圳新阳蓝光能源管理科技股份有限公司</v>
      </c>
      <c r="D865" s="1049" t="s">
        <v>3127</v>
      </c>
      <c r="E865" s="1054" t="s">
        <v>1723</v>
      </c>
      <c r="F865" s="1055"/>
      <c r="G865" s="1055"/>
      <c r="H865" s="1056">
        <f>审定资负表!C15</f>
        <v>31962413.89</v>
      </c>
      <c r="I865" s="145"/>
      <c r="J865" s="838"/>
      <c r="K865" s="1056">
        <f>审定资负表!D15</f>
        <v>9826768.95</v>
      </c>
      <c r="L865" s="1050"/>
      <c r="M865" s="1050"/>
      <c r="X865" s="768" t="b">
        <f t="shared" si="106"/>
        <v>1</v>
      </c>
    </row>
    <row r="866" outlineLevel="1" spans="1:24">
      <c r="A866" s="1048" t="s">
        <v>1395</v>
      </c>
      <c r="B866" s="692" t="s">
        <v>3126</v>
      </c>
      <c r="C866" s="693" t="str">
        <f t="shared" si="111"/>
        <v>深圳新阳蓝光能源管理科技股份有限公司</v>
      </c>
      <c r="D866" s="1049" t="s">
        <v>3127</v>
      </c>
      <c r="E866" s="1054" t="s">
        <v>1395</v>
      </c>
      <c r="F866" s="1055"/>
      <c r="G866" s="1055"/>
      <c r="H866" s="92">
        <f>ROUND(H864-H865,2)</f>
        <v>0</v>
      </c>
      <c r="I866" s="145"/>
      <c r="J866" s="838"/>
      <c r="K866" s="92">
        <f>ROUND(K864-K865,2)</f>
        <v>0</v>
      </c>
      <c r="L866" s="1050"/>
      <c r="M866" s="1050"/>
      <c r="X866" s="768" t="b">
        <f t="shared" si="106"/>
        <v>1</v>
      </c>
    </row>
    <row r="867" outlineLevel="2" spans="1:24">
      <c r="A867" s="1048" t="s">
        <v>3143</v>
      </c>
      <c r="B867" s="692" t="s">
        <v>3126</v>
      </c>
      <c r="C867" s="693" t="str">
        <f t="shared" si="111"/>
        <v>深圳新阳蓝光能源管理科技股份有限公司</v>
      </c>
      <c r="D867" s="1049" t="s">
        <v>3127</v>
      </c>
      <c r="E867" s="1057" t="s">
        <v>3143</v>
      </c>
      <c r="F867" s="1055"/>
      <c r="G867" s="1055"/>
      <c r="H867" s="1055"/>
      <c r="I867" s="145"/>
      <c r="J867" s="838"/>
      <c r="K867" s="1055"/>
      <c r="L867" s="1050"/>
      <c r="M867" s="1050"/>
      <c r="X867" s="768" t="b">
        <f t="shared" si="106"/>
        <v>1</v>
      </c>
    </row>
    <row r="868" outlineLevel="2" spans="1:24">
      <c r="A868" s="1048" t="s">
        <v>61</v>
      </c>
      <c r="B868" s="692" t="s">
        <v>3126</v>
      </c>
      <c r="C868" s="693" t="str">
        <f t="shared" si="111"/>
        <v>深圳新阳蓝光能源管理科技股份有限公司</v>
      </c>
      <c r="D868" s="1049" t="s">
        <v>3127</v>
      </c>
      <c r="E868" s="1051" t="s">
        <v>61</v>
      </c>
      <c r="F868" s="1051" t="s">
        <v>2020</v>
      </c>
      <c r="G868" s="1051" t="s">
        <v>672</v>
      </c>
      <c r="H868" s="1051" t="s">
        <v>673</v>
      </c>
      <c r="I868" s="1051" t="s">
        <v>2059</v>
      </c>
      <c r="J868" s="838"/>
      <c r="K868" s="1055"/>
      <c r="L868" s="1050"/>
      <c r="M868" s="1050"/>
      <c r="X868" s="768" t="b">
        <f t="shared" si="106"/>
        <v>1</v>
      </c>
    </row>
    <row r="869" outlineLevel="2" spans="1:24">
      <c r="A869" s="1048" t="s">
        <v>589</v>
      </c>
      <c r="B869" s="692" t="s">
        <v>3126</v>
      </c>
      <c r="C869" s="693" t="str">
        <f t="shared" si="111"/>
        <v>深圳新阳蓝光能源管理科技股份有限公司</v>
      </c>
      <c r="D869" s="1049" t="s">
        <v>3127</v>
      </c>
      <c r="E869" s="1052" t="str">
        <f t="shared" ref="E869:E871" si="121">E849</f>
        <v>原材料</v>
      </c>
      <c r="F869" s="760">
        <f>报表附注合并期初用!E397</f>
        <v>181934</v>
      </c>
      <c r="G869" s="137">
        <v>14967508.43</v>
      </c>
      <c r="H869" s="137">
        <v>15149442.43</v>
      </c>
      <c r="I869" s="699">
        <f>ROUND(F869+G869-H869,2)</f>
        <v>0</v>
      </c>
      <c r="J869" s="838"/>
      <c r="K869" s="1055"/>
      <c r="L869" s="1050"/>
      <c r="M869" s="1050"/>
      <c r="X869" s="768" t="b">
        <f t="shared" si="106"/>
        <v>1</v>
      </c>
    </row>
    <row r="870" outlineLevel="2" spans="1:24">
      <c r="A870" s="1048" t="s">
        <v>3131</v>
      </c>
      <c r="B870" s="692" t="s">
        <v>3126</v>
      </c>
      <c r="C870" s="693" t="str">
        <f t="shared" si="111"/>
        <v>深圳新阳蓝光能源管理科技股份有限公司</v>
      </c>
      <c r="D870" s="1049" t="s">
        <v>3127</v>
      </c>
      <c r="E870" s="1052" t="str">
        <f t="shared" si="121"/>
        <v>在产品</v>
      </c>
      <c r="F870" s="760">
        <f>报表附注合并期初用!E398</f>
        <v>0</v>
      </c>
      <c r="G870" s="137"/>
      <c r="H870" s="137"/>
      <c r="I870" s="699">
        <f t="shared" ref="I870:I874" si="122">ROUND(F870+G870-H870,2)</f>
        <v>0</v>
      </c>
      <c r="J870" s="838"/>
      <c r="K870" s="1055"/>
      <c r="L870" s="1050"/>
      <c r="M870" s="1050"/>
      <c r="X870" s="768" t="b">
        <f t="shared" si="106"/>
        <v>0</v>
      </c>
    </row>
    <row r="871" outlineLevel="2" spans="1:24">
      <c r="A871" s="1048" t="s">
        <v>593</v>
      </c>
      <c r="B871" s="692" t="s">
        <v>3126</v>
      </c>
      <c r="C871" s="693" t="str">
        <f t="shared" si="111"/>
        <v>深圳新阳蓝光能源管理科技股份有限公司</v>
      </c>
      <c r="D871" s="1049" t="s">
        <v>3127</v>
      </c>
      <c r="E871" s="1052" t="str">
        <f t="shared" si="121"/>
        <v>产成品</v>
      </c>
      <c r="F871" s="760">
        <f>报表附注合并期初用!E399</f>
        <v>4466870.63</v>
      </c>
      <c r="G871" s="137">
        <v>86907303.87</v>
      </c>
      <c r="H871" s="137">
        <v>86819599.59</v>
      </c>
      <c r="I871" s="699">
        <f t="shared" si="122"/>
        <v>4554574.91</v>
      </c>
      <c r="J871" s="838"/>
      <c r="K871" s="1055"/>
      <c r="L871" s="1050"/>
      <c r="M871" s="1050"/>
      <c r="X871" s="768" t="b">
        <f t="shared" si="106"/>
        <v>0</v>
      </c>
    </row>
    <row r="872" outlineLevel="2" spans="1:24">
      <c r="A872" s="1048" t="s">
        <v>585</v>
      </c>
      <c r="B872" s="692" t="s">
        <v>3126</v>
      </c>
      <c r="C872" s="693" t="str">
        <f t="shared" si="111"/>
        <v>深圳新阳蓝光能源管理科技股份有限公司</v>
      </c>
      <c r="D872" s="1049" t="s">
        <v>3127</v>
      </c>
      <c r="E872" s="1052" t="str">
        <f t="shared" ref="E872:E884" si="123">E852</f>
        <v>低值易耗品</v>
      </c>
      <c r="F872" s="760">
        <f>报表附注合并期初用!E400</f>
        <v>0</v>
      </c>
      <c r="G872" s="137">
        <v>23367.38</v>
      </c>
      <c r="H872" s="137">
        <v>23367.38</v>
      </c>
      <c r="I872" s="699">
        <f t="shared" si="122"/>
        <v>0</v>
      </c>
      <c r="J872" s="838"/>
      <c r="K872" s="1055"/>
      <c r="L872" s="1050"/>
      <c r="M872" s="1050"/>
      <c r="X872" s="768" t="b">
        <f t="shared" si="106"/>
        <v>0</v>
      </c>
    </row>
    <row r="873" outlineLevel="2" spans="1:24">
      <c r="A873" s="1048" t="s">
        <v>587</v>
      </c>
      <c r="B873" s="692" t="s">
        <v>3126</v>
      </c>
      <c r="C873" s="693" t="str">
        <f t="shared" si="111"/>
        <v>深圳新阳蓝光能源管理科技股份有限公司</v>
      </c>
      <c r="D873" s="1049" t="s">
        <v>3127</v>
      </c>
      <c r="E873" s="1052" t="str">
        <f t="shared" si="123"/>
        <v>包装物</v>
      </c>
      <c r="F873" s="760">
        <f>报表附注合并期初用!E401</f>
        <v>0</v>
      </c>
      <c r="G873" s="137"/>
      <c r="H873" s="137"/>
      <c r="I873" s="699">
        <f t="shared" si="122"/>
        <v>0</v>
      </c>
      <c r="J873" s="838"/>
      <c r="K873" s="1055"/>
      <c r="L873" s="1050"/>
      <c r="M873" s="1050"/>
      <c r="X873" s="768" t="b">
        <f t="shared" si="106"/>
        <v>0</v>
      </c>
    </row>
    <row r="874" outlineLevel="2" spans="1:24">
      <c r="A874" s="1048" t="s">
        <v>599</v>
      </c>
      <c r="B874" s="692" t="s">
        <v>3126</v>
      </c>
      <c r="C874" s="693" t="str">
        <f t="shared" si="111"/>
        <v>深圳新阳蓝光能源管理科技股份有限公司</v>
      </c>
      <c r="D874" s="1049" t="s">
        <v>3127</v>
      </c>
      <c r="E874" s="1052" t="str">
        <f t="shared" si="123"/>
        <v>委托加工物资</v>
      </c>
      <c r="F874" s="760">
        <f>报表附注合并期初用!E402</f>
        <v>0</v>
      </c>
      <c r="G874" s="137">
        <v>1678807.55</v>
      </c>
      <c r="H874" s="137">
        <v>1678807.55</v>
      </c>
      <c r="I874" s="699">
        <f t="shared" si="122"/>
        <v>0</v>
      </c>
      <c r="J874" s="838"/>
      <c r="K874" s="1055"/>
      <c r="L874" s="1050"/>
      <c r="M874" s="1050"/>
      <c r="X874" s="768" t="b">
        <f t="shared" si="106"/>
        <v>0</v>
      </c>
    </row>
    <row r="875" outlineLevel="2" spans="1:24">
      <c r="A875" s="1048" t="s">
        <v>2048</v>
      </c>
      <c r="B875" s="692" t="s">
        <v>3126</v>
      </c>
      <c r="C875" s="693" t="str">
        <f t="shared" si="111"/>
        <v>深圳新阳蓝光能源管理科技股份有限公司</v>
      </c>
      <c r="D875" s="1049" t="s">
        <v>3127</v>
      </c>
      <c r="E875" s="1052" t="str">
        <f t="shared" si="123"/>
        <v>发出商品</v>
      </c>
      <c r="F875" s="760">
        <f>报表附注合并期初用!E403</f>
        <v>1046808</v>
      </c>
      <c r="G875" s="137"/>
      <c r="H875" s="137">
        <v>1046808</v>
      </c>
      <c r="I875" s="699">
        <f t="shared" ref="I875:I883" si="124">F875+G875-H875</f>
        <v>0</v>
      </c>
      <c r="J875" s="838"/>
      <c r="K875" s="1055"/>
      <c r="L875" s="1050"/>
      <c r="M875" s="1050"/>
      <c r="X875" s="768" t="b">
        <f t="shared" si="106"/>
        <v>0</v>
      </c>
    </row>
    <row r="876" outlineLevel="2" spans="1:24">
      <c r="A876" s="1048" t="s">
        <v>3133</v>
      </c>
      <c r="B876" s="692" t="s">
        <v>3126</v>
      </c>
      <c r="C876" s="693" t="str">
        <f t="shared" si="111"/>
        <v>深圳新阳蓝光能源管理科技股份有限公司</v>
      </c>
      <c r="D876" s="1049" t="s">
        <v>3127</v>
      </c>
      <c r="E876" s="1052" t="str">
        <f t="shared" si="123"/>
        <v>增加项目1-工程施工</v>
      </c>
      <c r="F876" s="760">
        <f>报表附注合并期初用!E404</f>
        <v>4131156.32</v>
      </c>
      <c r="G876" s="137">
        <v>59721594.49</v>
      </c>
      <c r="H876" s="137">
        <v>36444911.83</v>
      </c>
      <c r="I876" s="699">
        <f t="shared" si="124"/>
        <v>27407838.98</v>
      </c>
      <c r="J876" s="838"/>
      <c r="K876" s="1055"/>
      <c r="L876" s="1050"/>
      <c r="M876" s="1050"/>
      <c r="X876" s="768" t="b">
        <f t="shared" si="106"/>
        <v>0</v>
      </c>
    </row>
    <row r="877" hidden="1" outlineLevel="2" spans="1:24">
      <c r="A877" s="1048" t="s">
        <v>3135</v>
      </c>
      <c r="B877" s="692" t="s">
        <v>3126</v>
      </c>
      <c r="C877" s="693" t="str">
        <f t="shared" si="111"/>
        <v>深圳新阳蓝光能源管理科技股份有限公司</v>
      </c>
      <c r="D877" s="1049" t="s">
        <v>3127</v>
      </c>
      <c r="E877" s="1052" t="str">
        <f t="shared" si="123"/>
        <v>增加项目2-</v>
      </c>
      <c r="F877" s="760">
        <f>报表附注合并期初用!E405</f>
        <v>0</v>
      </c>
      <c r="G877" s="137"/>
      <c r="H877" s="137"/>
      <c r="I877" s="699">
        <f t="shared" si="124"/>
        <v>0</v>
      </c>
      <c r="J877" s="838"/>
      <c r="K877" s="1055"/>
      <c r="L877" s="1050"/>
      <c r="M877" s="1050"/>
      <c r="X877" s="768" t="b">
        <f t="shared" si="106"/>
        <v>0</v>
      </c>
    </row>
    <row r="878" hidden="1" outlineLevel="2" spans="1:24">
      <c r="A878" s="1048" t="s">
        <v>597</v>
      </c>
      <c r="B878" s="692" t="s">
        <v>3126</v>
      </c>
      <c r="C878" s="693" t="str">
        <f t="shared" si="111"/>
        <v>深圳新阳蓝光能源管理科技股份有限公司</v>
      </c>
      <c r="D878" s="1049" t="s">
        <v>3127</v>
      </c>
      <c r="E878" s="1052" t="str">
        <f t="shared" si="123"/>
        <v>增加项目3-</v>
      </c>
      <c r="F878" s="760">
        <f>报表附注合并期初用!E406</f>
        <v>0</v>
      </c>
      <c r="G878" s="137"/>
      <c r="H878" s="137"/>
      <c r="I878" s="699">
        <f t="shared" si="124"/>
        <v>0</v>
      </c>
      <c r="J878" s="838"/>
      <c r="K878" s="1055"/>
      <c r="L878" s="1050"/>
      <c r="M878" s="1050"/>
      <c r="X878" s="768" t="b">
        <f t="shared" si="106"/>
        <v>0</v>
      </c>
    </row>
    <row r="879" hidden="1" outlineLevel="2" spans="1:24">
      <c r="A879" s="1048" t="s">
        <v>595</v>
      </c>
      <c r="B879" s="692" t="s">
        <v>3126</v>
      </c>
      <c r="C879" s="693" t="str">
        <f t="shared" si="111"/>
        <v>深圳新阳蓝光能源管理科技股份有限公司</v>
      </c>
      <c r="D879" s="1049" t="s">
        <v>3127</v>
      </c>
      <c r="E879" s="1052" t="str">
        <f t="shared" si="123"/>
        <v>增加项目4-</v>
      </c>
      <c r="F879" s="760">
        <f>报表附注合并期初用!E407</f>
        <v>0</v>
      </c>
      <c r="G879" s="137"/>
      <c r="H879" s="137"/>
      <c r="I879" s="699">
        <f t="shared" si="124"/>
        <v>0</v>
      </c>
      <c r="J879" s="838"/>
      <c r="K879" s="1055"/>
      <c r="L879" s="1050"/>
      <c r="M879" s="1050"/>
      <c r="X879" s="768" t="b">
        <f t="shared" si="106"/>
        <v>0</v>
      </c>
    </row>
    <row r="880" hidden="1" outlineLevel="2" spans="1:24">
      <c r="A880" s="1048" t="s">
        <v>601</v>
      </c>
      <c r="B880" s="692" t="s">
        <v>3126</v>
      </c>
      <c r="C880" s="693" t="str">
        <f t="shared" si="111"/>
        <v>深圳新阳蓝光能源管理科技股份有限公司</v>
      </c>
      <c r="D880" s="1049" t="s">
        <v>3127</v>
      </c>
      <c r="E880" s="1052" t="str">
        <f t="shared" si="123"/>
        <v>增加项目5-</v>
      </c>
      <c r="F880" s="760">
        <f>报表附注合并期初用!E408</f>
        <v>0</v>
      </c>
      <c r="G880" s="137"/>
      <c r="H880" s="137"/>
      <c r="I880" s="699">
        <f t="shared" si="124"/>
        <v>0</v>
      </c>
      <c r="J880" s="838"/>
      <c r="K880" s="1055"/>
      <c r="L880" s="1050"/>
      <c r="M880" s="1050"/>
      <c r="X880" s="768" t="b">
        <f t="shared" si="106"/>
        <v>0</v>
      </c>
    </row>
    <row r="881" hidden="1" outlineLevel="2" spans="1:24">
      <c r="A881" s="1048" t="s">
        <v>2050</v>
      </c>
      <c r="B881" s="692" t="s">
        <v>3126</v>
      </c>
      <c r="C881" s="693" t="str">
        <f t="shared" si="111"/>
        <v>深圳新阳蓝光能源管理科技股份有限公司</v>
      </c>
      <c r="D881" s="1049" t="s">
        <v>3127</v>
      </c>
      <c r="E881" s="1052" t="str">
        <f t="shared" si="123"/>
        <v>增加项目6-</v>
      </c>
      <c r="F881" s="760">
        <f>报表附注合并期初用!E409</f>
        <v>0</v>
      </c>
      <c r="G881" s="137"/>
      <c r="H881" s="137"/>
      <c r="I881" s="699">
        <f t="shared" si="124"/>
        <v>0</v>
      </c>
      <c r="J881" s="838"/>
      <c r="K881" s="1055"/>
      <c r="L881" s="1050"/>
      <c r="M881" s="1050"/>
      <c r="X881" s="768" t="b">
        <f t="shared" si="106"/>
        <v>0</v>
      </c>
    </row>
    <row r="882" hidden="1" outlineLevel="2" spans="1:24">
      <c r="A882" s="1048" t="s">
        <v>2051</v>
      </c>
      <c r="B882" s="692" t="s">
        <v>3126</v>
      </c>
      <c r="C882" s="693" t="str">
        <f t="shared" si="111"/>
        <v>深圳新阳蓝光能源管理科技股份有限公司</v>
      </c>
      <c r="D882" s="1049" t="s">
        <v>3127</v>
      </c>
      <c r="E882" s="1052" t="str">
        <f t="shared" si="123"/>
        <v>增加项目7-</v>
      </c>
      <c r="F882" s="760">
        <f>报表附注合并期初用!E410</f>
        <v>0</v>
      </c>
      <c r="G882" s="137"/>
      <c r="H882" s="137"/>
      <c r="I882" s="699">
        <f t="shared" si="124"/>
        <v>0</v>
      </c>
      <c r="J882" s="838"/>
      <c r="K882" s="1055"/>
      <c r="L882" s="1050"/>
      <c r="M882" s="1050"/>
      <c r="X882" s="768" t="b">
        <f t="shared" si="106"/>
        <v>0</v>
      </c>
    </row>
    <row r="883" hidden="1" outlineLevel="2" spans="1:24">
      <c r="A883" s="1048" t="s">
        <v>2052</v>
      </c>
      <c r="B883" s="692" t="s">
        <v>3126</v>
      </c>
      <c r="C883" s="693" t="str">
        <f t="shared" si="111"/>
        <v>深圳新阳蓝光能源管理科技股份有限公司</v>
      </c>
      <c r="D883" s="1049" t="s">
        <v>3127</v>
      </c>
      <c r="E883" s="1052" t="str">
        <f t="shared" si="123"/>
        <v>增加项目8-</v>
      </c>
      <c r="F883" s="760">
        <f>报表附注合并期初用!E411</f>
        <v>0</v>
      </c>
      <c r="G883" s="137"/>
      <c r="H883" s="137"/>
      <c r="I883" s="699">
        <f t="shared" si="124"/>
        <v>0</v>
      </c>
      <c r="J883" s="838"/>
      <c r="K883" s="1055"/>
      <c r="L883" s="1050"/>
      <c r="M883" s="1050"/>
      <c r="X883" s="768" t="b">
        <f t="shared" si="106"/>
        <v>0</v>
      </c>
    </row>
    <row r="884" outlineLevel="2" spans="1:24">
      <c r="A884" s="1048" t="s">
        <v>2021</v>
      </c>
      <c r="B884" s="692" t="s">
        <v>3126</v>
      </c>
      <c r="C884" s="693" t="str">
        <f t="shared" si="111"/>
        <v>深圳新阳蓝光能源管理科技股份有限公司</v>
      </c>
      <c r="D884" s="1049" t="s">
        <v>3127</v>
      </c>
      <c r="E884" s="1058" t="str">
        <f t="shared" si="123"/>
        <v>合计</v>
      </c>
      <c r="F884" s="699">
        <f>ROUND(SUM(F869:F883),2)</f>
        <v>9826768.95</v>
      </c>
      <c r="G884" s="699">
        <f>ROUND(SUM(G869:G883),2)</f>
        <v>163298581.72</v>
      </c>
      <c r="H884" s="699">
        <f t="shared" ref="H884:I884" si="125">ROUND(SUM(H869:H883),2)</f>
        <v>141162936.78</v>
      </c>
      <c r="I884" s="699">
        <f t="shared" si="125"/>
        <v>31962413.89</v>
      </c>
      <c r="J884" s="838"/>
      <c r="K884" s="1055"/>
      <c r="L884" s="1050"/>
      <c r="M884" s="1050"/>
      <c r="X884" s="768" t="b">
        <f t="shared" si="106"/>
        <v>1</v>
      </c>
    </row>
    <row r="885" outlineLevel="2" spans="2:24">
      <c r="B885" s="692" t="s">
        <v>3126</v>
      </c>
      <c r="C885" s="693" t="str">
        <f t="shared" si="111"/>
        <v>深圳新阳蓝光能源管理科技股份有限公司</v>
      </c>
      <c r="D885" s="1049" t="s">
        <v>3127</v>
      </c>
      <c r="E885" s="1054"/>
      <c r="F885" s="1055"/>
      <c r="G885" s="1055"/>
      <c r="H885" s="1055"/>
      <c r="I885" s="145"/>
      <c r="J885" s="838"/>
      <c r="K885" s="1055"/>
      <c r="L885" s="1050"/>
      <c r="M885" s="1050"/>
      <c r="X885" s="768" t="b">
        <f t="shared" si="106"/>
        <v>1</v>
      </c>
    </row>
    <row r="886" hidden="1" outlineLevel="2" spans="1:24">
      <c r="A886" s="1048" t="s">
        <v>3144</v>
      </c>
      <c r="B886" s="692" t="s">
        <v>3126</v>
      </c>
      <c r="C886" s="693" t="str">
        <f t="shared" si="111"/>
        <v>深圳新阳蓝光能源管理科技股份有限公司</v>
      </c>
      <c r="D886" s="1049" t="s">
        <v>3145</v>
      </c>
      <c r="E886" s="1050" t="s">
        <v>3146</v>
      </c>
      <c r="F886" s="1050"/>
      <c r="G886" s="1050"/>
      <c r="H886" s="1050"/>
      <c r="I886" s="1050"/>
      <c r="J886" s="1050"/>
      <c r="K886" s="1050"/>
      <c r="X886" s="768" t="b">
        <f t="shared" si="106"/>
        <v>1</v>
      </c>
    </row>
    <row r="887" hidden="1" outlineLevel="2" spans="1:24">
      <c r="A887" s="1048" t="s">
        <v>61</v>
      </c>
      <c r="B887" s="692" t="s">
        <v>3126</v>
      </c>
      <c r="C887" s="693" t="str">
        <f t="shared" si="111"/>
        <v>深圳新阳蓝光能源管理科技股份有限公司</v>
      </c>
      <c r="D887" s="1049" t="s">
        <v>3145</v>
      </c>
      <c r="E887" s="1051" t="s">
        <v>61</v>
      </c>
      <c r="F887" s="1051" t="s">
        <v>316</v>
      </c>
      <c r="G887" s="1051" t="s">
        <v>2020</v>
      </c>
      <c r="H887" s="1050"/>
      <c r="I887" s="1050"/>
      <c r="J887" s="1050"/>
      <c r="K887" s="1050"/>
      <c r="X887" s="768" t="b">
        <f t="shared" si="106"/>
        <v>1</v>
      </c>
    </row>
    <row r="888" hidden="1" outlineLevel="2" spans="1:24">
      <c r="A888" s="1048" t="s">
        <v>838</v>
      </c>
      <c r="B888" s="692" t="s">
        <v>3126</v>
      </c>
      <c r="C888" s="693" t="str">
        <f t="shared" si="111"/>
        <v>深圳新阳蓝光能源管理科技股份有限公司</v>
      </c>
      <c r="D888" s="1049" t="s">
        <v>3147</v>
      </c>
      <c r="E888" s="1051" t="s">
        <v>838</v>
      </c>
      <c r="F888" s="1059">
        <f>SUM(F889:F890)</f>
        <v>0</v>
      </c>
      <c r="G888" s="1059">
        <f>SUM(G889:G890)</f>
        <v>0</v>
      </c>
      <c r="H888" s="1050"/>
      <c r="I888" s="1050"/>
      <c r="J888" s="1050"/>
      <c r="K888" s="1050"/>
      <c r="X888" s="768" t="b">
        <f t="shared" si="106"/>
        <v>1</v>
      </c>
    </row>
    <row r="889" hidden="1" outlineLevel="2" spans="1:24">
      <c r="A889" s="1048">
        <v>1</v>
      </c>
      <c r="B889" s="692" t="s">
        <v>3126</v>
      </c>
      <c r="C889" s="693" t="str">
        <f t="shared" si="111"/>
        <v>深圳新阳蓝光能源管理科技股份有限公司</v>
      </c>
      <c r="D889" s="1049" t="s">
        <v>3147</v>
      </c>
      <c r="E889" s="1060">
        <v>1</v>
      </c>
      <c r="F889" s="1061">
        <f>报表附注合并期初用!E465</f>
        <v>0</v>
      </c>
      <c r="G889" s="1061">
        <f>报表附注合并期初用!E450</f>
        <v>0</v>
      </c>
      <c r="H889" s="1050"/>
      <c r="I889" s="1050"/>
      <c r="J889" s="1050"/>
      <c r="K889" s="1050"/>
      <c r="X889" s="768" t="b">
        <f t="shared" si="106"/>
        <v>1</v>
      </c>
    </row>
    <row r="890" hidden="1" outlineLevel="2" spans="1:24">
      <c r="A890" s="1048">
        <v>2</v>
      </c>
      <c r="B890" s="692" t="s">
        <v>3126</v>
      </c>
      <c r="C890" s="693" t="str">
        <f t="shared" si="111"/>
        <v>深圳新阳蓝光能源管理科技股份有限公司</v>
      </c>
      <c r="D890" s="1049" t="s">
        <v>3147</v>
      </c>
      <c r="E890" s="1060">
        <v>2</v>
      </c>
      <c r="F890" s="1061">
        <f>报表附注合并期初用!E466</f>
        <v>0</v>
      </c>
      <c r="G890" s="1061">
        <f>报表附注合并期初用!E451</f>
        <v>0</v>
      </c>
      <c r="H890" s="1050"/>
      <c r="I890" s="1050"/>
      <c r="J890" s="1050"/>
      <c r="K890" s="1050"/>
      <c r="X890" s="768" t="b">
        <f t="shared" si="106"/>
        <v>1</v>
      </c>
    </row>
    <row r="891" hidden="1" outlineLevel="2" spans="1:24">
      <c r="A891" s="1048" t="s">
        <v>841</v>
      </c>
      <c r="B891" s="692" t="s">
        <v>3126</v>
      </c>
      <c r="C891" s="693" t="str">
        <f t="shared" si="111"/>
        <v>深圳新阳蓝光能源管理科技股份有限公司</v>
      </c>
      <c r="D891" s="1049" t="s">
        <v>3147</v>
      </c>
      <c r="E891" s="1051" t="s">
        <v>841</v>
      </c>
      <c r="F891" s="1059">
        <f>SUM(F892:F893)</f>
        <v>0</v>
      </c>
      <c r="G891" s="1059">
        <f>SUM(G892:G893)</f>
        <v>0</v>
      </c>
      <c r="H891" s="1050"/>
      <c r="I891" s="1050"/>
      <c r="J891" s="1050"/>
      <c r="K891" s="1050"/>
      <c r="X891" s="768" t="b">
        <f t="shared" si="106"/>
        <v>1</v>
      </c>
    </row>
    <row r="892" hidden="1" outlineLevel="2" spans="1:24">
      <c r="A892" s="1048">
        <v>1</v>
      </c>
      <c r="B892" s="692" t="s">
        <v>3126</v>
      </c>
      <c r="C892" s="693" t="str">
        <f t="shared" si="111"/>
        <v>深圳新阳蓝光能源管理科技股份有限公司</v>
      </c>
      <c r="D892" s="1049" t="s">
        <v>3147</v>
      </c>
      <c r="E892" s="1060">
        <v>1</v>
      </c>
      <c r="F892" s="1061">
        <f>报表附注合并期初用!E468</f>
        <v>0</v>
      </c>
      <c r="G892" s="1061">
        <f>报表附注合并期初用!E453</f>
        <v>0</v>
      </c>
      <c r="H892" s="1050"/>
      <c r="I892" s="1050"/>
      <c r="J892" s="1050"/>
      <c r="K892" s="1050"/>
      <c r="X892" s="768" t="b">
        <f t="shared" si="106"/>
        <v>1</v>
      </c>
    </row>
    <row r="893" hidden="1" outlineLevel="2" spans="1:24">
      <c r="A893" s="1048">
        <v>2</v>
      </c>
      <c r="B893" s="692" t="s">
        <v>3126</v>
      </c>
      <c r="C893" s="693" t="str">
        <f t="shared" si="111"/>
        <v>深圳新阳蓝光能源管理科技股份有限公司</v>
      </c>
      <c r="D893" s="1049" t="s">
        <v>3147</v>
      </c>
      <c r="E893" s="1060">
        <v>2</v>
      </c>
      <c r="F893" s="1061">
        <f>报表附注合并期初用!E469</f>
        <v>0</v>
      </c>
      <c r="G893" s="1061">
        <f>报表附注合并期初用!E454</f>
        <v>0</v>
      </c>
      <c r="H893" s="1050"/>
      <c r="I893" s="1050"/>
      <c r="J893" s="1050"/>
      <c r="K893" s="1050"/>
      <c r="X893" s="768" t="b">
        <f t="shared" si="106"/>
        <v>1</v>
      </c>
    </row>
    <row r="894" hidden="1" outlineLevel="2" spans="1:24">
      <c r="A894" s="1048" t="s">
        <v>844</v>
      </c>
      <c r="B894" s="692" t="s">
        <v>3126</v>
      </c>
      <c r="C894" s="693" t="str">
        <f t="shared" si="111"/>
        <v>深圳新阳蓝光能源管理科技股份有限公司</v>
      </c>
      <c r="D894" s="1049" t="s">
        <v>3147</v>
      </c>
      <c r="E894" s="1051" t="s">
        <v>844</v>
      </c>
      <c r="F894" s="1059">
        <f>SUM(F895:F896)</f>
        <v>0</v>
      </c>
      <c r="G894" s="1059">
        <f>SUM(G895:G896)</f>
        <v>0</v>
      </c>
      <c r="H894" s="1050"/>
      <c r="I894" s="1050"/>
      <c r="J894" s="1050"/>
      <c r="K894" s="1050"/>
      <c r="X894" s="768" t="b">
        <f t="shared" si="106"/>
        <v>1</v>
      </c>
    </row>
    <row r="895" hidden="1" outlineLevel="2" spans="1:24">
      <c r="A895" s="1048">
        <v>1</v>
      </c>
      <c r="B895" s="692" t="s">
        <v>3126</v>
      </c>
      <c r="C895" s="693" t="str">
        <f t="shared" si="111"/>
        <v>深圳新阳蓝光能源管理科技股份有限公司</v>
      </c>
      <c r="D895" s="1049" t="s">
        <v>3147</v>
      </c>
      <c r="E895" s="1060">
        <v>1</v>
      </c>
      <c r="F895" s="1061">
        <f>报表附注合并期初用!E471</f>
        <v>0</v>
      </c>
      <c r="G895" s="1061">
        <f>报表附注合并期初用!E456</f>
        <v>0</v>
      </c>
      <c r="H895" s="1050"/>
      <c r="I895" s="1050"/>
      <c r="J895" s="1050"/>
      <c r="K895" s="1050"/>
      <c r="X895" s="768" t="b">
        <f t="shared" si="106"/>
        <v>1</v>
      </c>
    </row>
    <row r="896" hidden="1" outlineLevel="2" spans="1:24">
      <c r="A896" s="1048">
        <v>2</v>
      </c>
      <c r="B896" s="692" t="s">
        <v>3126</v>
      </c>
      <c r="C896" s="693" t="str">
        <f t="shared" si="111"/>
        <v>深圳新阳蓝光能源管理科技股份有限公司</v>
      </c>
      <c r="D896" s="1049" t="s">
        <v>3147</v>
      </c>
      <c r="E896" s="1060">
        <v>2</v>
      </c>
      <c r="F896" s="1061">
        <f>报表附注合并期初用!E472</f>
        <v>0</v>
      </c>
      <c r="G896" s="1061">
        <f>报表附注合并期初用!E457</f>
        <v>0</v>
      </c>
      <c r="H896" s="1050"/>
      <c r="I896" s="1050"/>
      <c r="J896" s="1050"/>
      <c r="K896" s="1050"/>
      <c r="X896" s="768" t="b">
        <f t="shared" si="106"/>
        <v>1</v>
      </c>
    </row>
    <row r="897" hidden="1" outlineLevel="2" spans="1:24">
      <c r="A897" s="1048" t="s">
        <v>847</v>
      </c>
      <c r="B897" s="692" t="s">
        <v>3126</v>
      </c>
      <c r="C897" s="693" t="str">
        <f t="shared" si="111"/>
        <v>深圳新阳蓝光能源管理科技股份有限公司</v>
      </c>
      <c r="D897" s="1049" t="s">
        <v>3147</v>
      </c>
      <c r="E897" s="1051" t="s">
        <v>847</v>
      </c>
      <c r="F897" s="1059">
        <f>SUM(F898:F899)</f>
        <v>0</v>
      </c>
      <c r="G897" s="1059">
        <f>SUM(G898:G899)</f>
        <v>0</v>
      </c>
      <c r="H897" s="1050"/>
      <c r="I897" s="1050"/>
      <c r="J897" s="1050"/>
      <c r="K897" s="1050"/>
      <c r="X897" s="768" t="b">
        <f t="shared" si="106"/>
        <v>1</v>
      </c>
    </row>
    <row r="898" hidden="1" outlineLevel="2" spans="1:24">
      <c r="A898" s="1048">
        <v>1</v>
      </c>
      <c r="B898" s="692" t="s">
        <v>3126</v>
      </c>
      <c r="C898" s="693" t="str">
        <f t="shared" si="111"/>
        <v>深圳新阳蓝光能源管理科技股份有限公司</v>
      </c>
      <c r="D898" s="1049" t="s">
        <v>3147</v>
      </c>
      <c r="E898" s="1060">
        <v>1</v>
      </c>
      <c r="F898" s="1061">
        <f>报表附注合并期初用!E474</f>
        <v>0</v>
      </c>
      <c r="G898" s="1061">
        <f>报表附注合并期初用!E459</f>
        <v>0</v>
      </c>
      <c r="H898" s="1050"/>
      <c r="I898" s="1050"/>
      <c r="J898" s="1050"/>
      <c r="K898" s="1050"/>
      <c r="X898" s="768" t="b">
        <f t="shared" si="106"/>
        <v>1</v>
      </c>
    </row>
    <row r="899" hidden="1" outlineLevel="2" spans="1:24">
      <c r="A899" s="1048">
        <v>2</v>
      </c>
      <c r="B899" s="692" t="s">
        <v>3126</v>
      </c>
      <c r="C899" s="693" t="str">
        <f t="shared" si="111"/>
        <v>深圳新阳蓝光能源管理科技股份有限公司</v>
      </c>
      <c r="D899" s="1049" t="s">
        <v>3147</v>
      </c>
      <c r="E899" s="1060">
        <v>2</v>
      </c>
      <c r="F899" s="1061">
        <f>报表附注合并期初用!E475</f>
        <v>0</v>
      </c>
      <c r="G899" s="1061">
        <f>报表附注合并期初用!E460</f>
        <v>0</v>
      </c>
      <c r="H899" s="1050"/>
      <c r="I899" s="1050"/>
      <c r="J899" s="1050"/>
      <c r="K899" s="1050"/>
      <c r="X899" s="768" t="b">
        <f t="shared" si="106"/>
        <v>1</v>
      </c>
    </row>
    <row r="900" hidden="1" outlineLevel="2" spans="1:24">
      <c r="A900" s="1048" t="s">
        <v>2021</v>
      </c>
      <c r="B900" s="692" t="s">
        <v>3126</v>
      </c>
      <c r="C900" s="693" t="str">
        <f t="shared" si="111"/>
        <v>深圳新阳蓝光能源管理科技股份有限公司</v>
      </c>
      <c r="D900" s="1049" t="s">
        <v>3147</v>
      </c>
      <c r="E900" s="1051" t="s">
        <v>2021</v>
      </c>
      <c r="F900" s="1059">
        <f>F888+F891+F894+F897</f>
        <v>0</v>
      </c>
      <c r="G900" s="1059">
        <f>G888+G891+G894+G897</f>
        <v>0</v>
      </c>
      <c r="H900" s="1050"/>
      <c r="I900" s="1050"/>
      <c r="J900" s="1050"/>
      <c r="K900" s="1050"/>
      <c r="X900" s="768" t="b">
        <f t="shared" si="106"/>
        <v>1</v>
      </c>
    </row>
    <row r="901" outlineLevel="2" spans="2:24">
      <c r="B901" s="692" t="s">
        <v>3126</v>
      </c>
      <c r="C901" s="693" t="str">
        <f t="shared" si="111"/>
        <v>深圳新阳蓝光能源管理科技股份有限公司</v>
      </c>
      <c r="D901" s="1049" t="s">
        <v>3147</v>
      </c>
      <c r="E901" s="1062"/>
      <c r="F901" s="1050"/>
      <c r="G901" s="1050"/>
      <c r="H901" s="838"/>
      <c r="I901" s="838"/>
      <c r="J901" s="1050"/>
      <c r="K901" s="1050"/>
      <c r="X901" s="768" t="b">
        <f t="shared" si="106"/>
        <v>1</v>
      </c>
    </row>
    <row r="902" outlineLevel="2" spans="1:24">
      <c r="A902" s="1048" t="s">
        <v>3148</v>
      </c>
      <c r="B902" s="692" t="s">
        <v>3126</v>
      </c>
      <c r="C902" s="693" t="str">
        <f t="shared" ref="C902:C965" si="126">$G$1</f>
        <v>深圳新阳蓝光能源管理科技股份有限公司</v>
      </c>
      <c r="D902" s="1049" t="s">
        <v>3149</v>
      </c>
      <c r="E902" s="1062" t="s">
        <v>3150</v>
      </c>
      <c r="F902" s="1050"/>
      <c r="G902" s="1050"/>
      <c r="H902" s="1050"/>
      <c r="I902" s="1050"/>
      <c r="J902" s="1050"/>
      <c r="K902" s="1050"/>
      <c r="X902" s="768" t="b">
        <f t="shared" si="106"/>
        <v>1</v>
      </c>
    </row>
    <row r="903" outlineLevel="2" spans="1:24">
      <c r="A903" s="1048" t="s">
        <v>61</v>
      </c>
      <c r="B903" s="692" t="s">
        <v>3126</v>
      </c>
      <c r="C903" s="693" t="str">
        <f t="shared" si="126"/>
        <v>深圳新阳蓝光能源管理科技股份有限公司</v>
      </c>
      <c r="D903" s="1049" t="s">
        <v>3149</v>
      </c>
      <c r="E903" s="1051" t="s">
        <v>61</v>
      </c>
      <c r="F903" s="1051" t="s">
        <v>2020</v>
      </c>
      <c r="G903" s="1051" t="s">
        <v>2198</v>
      </c>
      <c r="H903" s="1051" t="s">
        <v>673</v>
      </c>
      <c r="I903" s="1051"/>
      <c r="J903" s="1051"/>
      <c r="K903" s="1051" t="s">
        <v>316</v>
      </c>
      <c r="X903" s="768" t="b">
        <f t="shared" si="106"/>
        <v>1</v>
      </c>
    </row>
    <row r="904" outlineLevel="2" spans="2:24">
      <c r="B904" s="692" t="s">
        <v>3126</v>
      </c>
      <c r="C904" s="693" t="str">
        <f t="shared" si="126"/>
        <v>深圳新阳蓝光能源管理科技股份有限公司</v>
      </c>
      <c r="D904" s="1049" t="s">
        <v>3151</v>
      </c>
      <c r="E904" s="1051"/>
      <c r="F904" s="1051"/>
      <c r="G904" s="1051"/>
      <c r="H904" s="1051" t="s">
        <v>612</v>
      </c>
      <c r="I904" s="1051" t="s">
        <v>613</v>
      </c>
      <c r="J904" s="1051" t="s">
        <v>2021</v>
      </c>
      <c r="K904" s="1051"/>
      <c r="X904" s="768" t="b">
        <f t="shared" si="106"/>
        <v>1</v>
      </c>
    </row>
    <row r="905" outlineLevel="2" spans="1:24">
      <c r="A905" s="1048" t="s">
        <v>589</v>
      </c>
      <c r="B905" s="692" t="s">
        <v>3126</v>
      </c>
      <c r="C905" s="693" t="str">
        <f t="shared" si="126"/>
        <v>深圳新阳蓝光能源管理科技股份有限公司</v>
      </c>
      <c r="D905" s="1049" t="s">
        <v>3151</v>
      </c>
      <c r="E905" s="1052" t="s">
        <v>589</v>
      </c>
      <c r="F905" s="743">
        <f>报表附注合并期初用!E479</f>
        <v>0</v>
      </c>
      <c r="G905" s="136"/>
      <c r="H905" s="136"/>
      <c r="I905" s="136"/>
      <c r="J905" s="1059">
        <f>H905+I905</f>
        <v>0</v>
      </c>
      <c r="K905" s="1059">
        <f>ROUND(F905+G905-J905,2)</f>
        <v>0</v>
      </c>
      <c r="X905" s="768" t="b">
        <f t="shared" si="106"/>
        <v>1</v>
      </c>
    </row>
    <row r="906" outlineLevel="2" spans="1:24">
      <c r="A906" s="1048" t="s">
        <v>3131</v>
      </c>
      <c r="B906" s="692" t="s">
        <v>3126</v>
      </c>
      <c r="C906" s="693" t="str">
        <f t="shared" si="126"/>
        <v>深圳新阳蓝光能源管理科技股份有限公司</v>
      </c>
      <c r="D906" s="1049" t="s">
        <v>3151</v>
      </c>
      <c r="E906" s="1052" t="s">
        <v>591</v>
      </c>
      <c r="F906" s="743">
        <f>报表附注合并期初用!E480</f>
        <v>0</v>
      </c>
      <c r="G906" s="136"/>
      <c r="H906" s="136"/>
      <c r="I906" s="136"/>
      <c r="J906" s="1059">
        <f t="shared" ref="J906:J919" si="127">H906+I906</f>
        <v>0</v>
      </c>
      <c r="K906" s="1059">
        <f t="shared" ref="K906:K919" si="128">ROUND(F906+G906-J906,2)</f>
        <v>0</v>
      </c>
      <c r="X906" s="768" t="b">
        <f t="shared" si="106"/>
        <v>0</v>
      </c>
    </row>
    <row r="907" outlineLevel="2" spans="1:24">
      <c r="A907" s="1048" t="s">
        <v>593</v>
      </c>
      <c r="B907" s="692" t="s">
        <v>3126</v>
      </c>
      <c r="C907" s="693" t="str">
        <f t="shared" si="126"/>
        <v>深圳新阳蓝光能源管理科技股份有限公司</v>
      </c>
      <c r="D907" s="1049" t="s">
        <v>3151</v>
      </c>
      <c r="E907" s="1052" t="s">
        <v>3132</v>
      </c>
      <c r="F907" s="743">
        <f>报表附注合并期初用!E481</f>
        <v>0</v>
      </c>
      <c r="G907" s="136"/>
      <c r="H907" s="136"/>
      <c r="I907" s="136"/>
      <c r="J907" s="1059">
        <f t="shared" si="127"/>
        <v>0</v>
      </c>
      <c r="K907" s="1059">
        <f t="shared" si="128"/>
        <v>0</v>
      </c>
      <c r="X907" s="768" t="b">
        <f t="shared" si="106"/>
        <v>0</v>
      </c>
    </row>
    <row r="908" outlineLevel="2" spans="1:24">
      <c r="A908" s="1048" t="s">
        <v>585</v>
      </c>
      <c r="B908" s="692" t="s">
        <v>3126</v>
      </c>
      <c r="C908" s="693" t="str">
        <f t="shared" si="126"/>
        <v>深圳新阳蓝光能源管理科技股份有限公司</v>
      </c>
      <c r="D908" s="1049" t="s">
        <v>3151</v>
      </c>
      <c r="E908" s="1052" t="s">
        <v>2048</v>
      </c>
      <c r="F908" s="743">
        <f>报表附注合并期初用!E482</f>
        <v>0</v>
      </c>
      <c r="G908" s="136"/>
      <c r="H908" s="136"/>
      <c r="I908" s="136"/>
      <c r="J908" s="1059">
        <f t="shared" si="127"/>
        <v>0</v>
      </c>
      <c r="K908" s="1059">
        <f t="shared" si="128"/>
        <v>0</v>
      </c>
      <c r="X908" s="768" t="b">
        <f t="shared" si="106"/>
        <v>0</v>
      </c>
    </row>
    <row r="909" outlineLevel="2" spans="1:24">
      <c r="A909" s="1048" t="s">
        <v>587</v>
      </c>
      <c r="B909" s="692" t="s">
        <v>3126</v>
      </c>
      <c r="C909" s="693" t="str">
        <f t="shared" si="126"/>
        <v>深圳新阳蓝光能源管理科技股份有限公司</v>
      </c>
      <c r="D909" s="1049" t="s">
        <v>3151</v>
      </c>
      <c r="E909" s="1052" t="s">
        <v>3133</v>
      </c>
      <c r="F909" s="743">
        <f>报表附注合并期初用!E483</f>
        <v>0</v>
      </c>
      <c r="G909" s="136"/>
      <c r="H909" s="136"/>
      <c r="I909" s="136"/>
      <c r="J909" s="1059">
        <f t="shared" si="127"/>
        <v>0</v>
      </c>
      <c r="K909" s="1059">
        <f t="shared" si="128"/>
        <v>0</v>
      </c>
      <c r="X909" s="768" t="b">
        <f t="shared" si="106"/>
        <v>0</v>
      </c>
    </row>
    <row r="910" outlineLevel="2" spans="1:24">
      <c r="A910" s="1048" t="s">
        <v>599</v>
      </c>
      <c r="B910" s="692" t="s">
        <v>3126</v>
      </c>
      <c r="C910" s="693" t="str">
        <f t="shared" si="126"/>
        <v>深圳新阳蓝光能源管理科技股份有限公司</v>
      </c>
      <c r="D910" s="1049" t="s">
        <v>3151</v>
      </c>
      <c r="E910" s="1052" t="s">
        <v>597</v>
      </c>
      <c r="F910" s="743">
        <f>报表附注合并期初用!E484</f>
        <v>0</v>
      </c>
      <c r="G910" s="136"/>
      <c r="H910" s="136"/>
      <c r="I910" s="136"/>
      <c r="J910" s="1059">
        <f t="shared" si="127"/>
        <v>0</v>
      </c>
      <c r="K910" s="1059">
        <f t="shared" si="128"/>
        <v>0</v>
      </c>
      <c r="X910" s="768" t="b">
        <f t="shared" si="106"/>
        <v>0</v>
      </c>
    </row>
    <row r="911" outlineLevel="2" spans="1:24">
      <c r="A911" s="1048" t="s">
        <v>2048</v>
      </c>
      <c r="B911" s="692" t="s">
        <v>3126</v>
      </c>
      <c r="C911" s="693" t="str">
        <f t="shared" si="126"/>
        <v>深圳新阳蓝光能源管理科技股份有限公司</v>
      </c>
      <c r="D911" s="1049" t="s">
        <v>3151</v>
      </c>
      <c r="E911" s="1052" t="str">
        <f t="shared" ref="E911:E919" si="129">E855</f>
        <v>发出商品</v>
      </c>
      <c r="F911" s="743">
        <f>报表附注合并期初用!E485</f>
        <v>0</v>
      </c>
      <c r="G911" s="136"/>
      <c r="H911" s="136"/>
      <c r="I911" s="136"/>
      <c r="J911" s="1059">
        <f t="shared" si="127"/>
        <v>0</v>
      </c>
      <c r="K911" s="1059">
        <f t="shared" si="128"/>
        <v>0</v>
      </c>
      <c r="X911" s="768" t="b">
        <f t="shared" si="106"/>
        <v>0</v>
      </c>
    </row>
    <row r="912" hidden="1" outlineLevel="2" spans="1:24">
      <c r="A912" s="1048" t="s">
        <v>3133</v>
      </c>
      <c r="B912" s="692" t="s">
        <v>3126</v>
      </c>
      <c r="C912" s="693" t="str">
        <f t="shared" si="126"/>
        <v>深圳新阳蓝光能源管理科技股份有限公司</v>
      </c>
      <c r="D912" s="1049" t="s">
        <v>3151</v>
      </c>
      <c r="E912" s="1052" t="str">
        <f t="shared" si="129"/>
        <v>增加项目1-工程施工</v>
      </c>
      <c r="F912" s="743">
        <f>报表附注合并期初用!E486</f>
        <v>0</v>
      </c>
      <c r="G912" s="136"/>
      <c r="H912" s="136"/>
      <c r="I912" s="136"/>
      <c r="J912" s="1059">
        <f t="shared" si="127"/>
        <v>0</v>
      </c>
      <c r="K912" s="1059">
        <f t="shared" si="128"/>
        <v>0</v>
      </c>
      <c r="X912" s="768" t="b">
        <f t="shared" si="106"/>
        <v>0</v>
      </c>
    </row>
    <row r="913" hidden="1" outlineLevel="2" spans="1:24">
      <c r="A913" s="1048" t="s">
        <v>3135</v>
      </c>
      <c r="B913" s="692" t="s">
        <v>3126</v>
      </c>
      <c r="C913" s="693" t="str">
        <f t="shared" si="126"/>
        <v>深圳新阳蓝光能源管理科技股份有限公司</v>
      </c>
      <c r="D913" s="1049" t="s">
        <v>3151</v>
      </c>
      <c r="E913" s="1052" t="str">
        <f t="shared" si="129"/>
        <v>增加项目2-</v>
      </c>
      <c r="F913" s="743">
        <f>报表附注合并期初用!E487</f>
        <v>0</v>
      </c>
      <c r="G913" s="136"/>
      <c r="H913" s="136"/>
      <c r="I913" s="136"/>
      <c r="J913" s="1059">
        <f t="shared" si="127"/>
        <v>0</v>
      </c>
      <c r="K913" s="1059">
        <f t="shared" si="128"/>
        <v>0</v>
      </c>
      <c r="X913" s="768" t="b">
        <f t="shared" si="106"/>
        <v>0</v>
      </c>
    </row>
    <row r="914" hidden="1" outlineLevel="2" spans="1:24">
      <c r="A914" s="1048" t="s">
        <v>597</v>
      </c>
      <c r="B914" s="692" t="s">
        <v>3126</v>
      </c>
      <c r="C914" s="693" t="str">
        <f t="shared" si="126"/>
        <v>深圳新阳蓝光能源管理科技股份有限公司</v>
      </c>
      <c r="D914" s="1049" t="s">
        <v>3151</v>
      </c>
      <c r="E914" s="1052" t="str">
        <f t="shared" si="129"/>
        <v>增加项目3-</v>
      </c>
      <c r="F914" s="743">
        <f>报表附注合并期初用!E488</f>
        <v>0</v>
      </c>
      <c r="G914" s="136"/>
      <c r="H914" s="136"/>
      <c r="I914" s="136"/>
      <c r="J914" s="1059">
        <f t="shared" si="127"/>
        <v>0</v>
      </c>
      <c r="K914" s="1059">
        <f t="shared" si="128"/>
        <v>0</v>
      </c>
      <c r="X914" s="768" t="b">
        <f t="shared" si="106"/>
        <v>0</v>
      </c>
    </row>
    <row r="915" hidden="1" outlineLevel="2" spans="1:24">
      <c r="A915" s="1048" t="s">
        <v>595</v>
      </c>
      <c r="B915" s="692" t="s">
        <v>3126</v>
      </c>
      <c r="C915" s="693" t="str">
        <f t="shared" si="126"/>
        <v>深圳新阳蓝光能源管理科技股份有限公司</v>
      </c>
      <c r="D915" s="1049" t="s">
        <v>3151</v>
      </c>
      <c r="E915" s="1052" t="str">
        <f t="shared" si="129"/>
        <v>增加项目4-</v>
      </c>
      <c r="F915" s="743">
        <f>报表附注合并期初用!E489</f>
        <v>0</v>
      </c>
      <c r="G915" s="136"/>
      <c r="H915" s="136"/>
      <c r="I915" s="136"/>
      <c r="J915" s="1059">
        <f t="shared" si="127"/>
        <v>0</v>
      </c>
      <c r="K915" s="1059">
        <f t="shared" si="128"/>
        <v>0</v>
      </c>
      <c r="X915" s="768" t="b">
        <f t="shared" si="106"/>
        <v>0</v>
      </c>
    </row>
    <row r="916" hidden="1" outlineLevel="2" spans="1:24">
      <c r="A916" s="1048" t="s">
        <v>601</v>
      </c>
      <c r="B916" s="692" t="s">
        <v>3126</v>
      </c>
      <c r="C916" s="693" t="str">
        <f t="shared" si="126"/>
        <v>深圳新阳蓝光能源管理科技股份有限公司</v>
      </c>
      <c r="D916" s="1049" t="s">
        <v>3151</v>
      </c>
      <c r="E916" s="1052" t="str">
        <f t="shared" si="129"/>
        <v>增加项目5-</v>
      </c>
      <c r="F916" s="743">
        <f>报表附注合并期初用!E490</f>
        <v>0</v>
      </c>
      <c r="G916" s="136"/>
      <c r="H916" s="136"/>
      <c r="I916" s="136"/>
      <c r="J916" s="1059">
        <f t="shared" si="127"/>
        <v>0</v>
      </c>
      <c r="K916" s="1059">
        <f t="shared" si="128"/>
        <v>0</v>
      </c>
      <c r="X916" s="768" t="b">
        <f t="shared" si="106"/>
        <v>0</v>
      </c>
    </row>
    <row r="917" hidden="1" outlineLevel="2" spans="1:24">
      <c r="A917" s="1048" t="s">
        <v>2050</v>
      </c>
      <c r="B917" s="692" t="s">
        <v>3126</v>
      </c>
      <c r="C917" s="693" t="str">
        <f t="shared" si="126"/>
        <v>深圳新阳蓝光能源管理科技股份有限公司</v>
      </c>
      <c r="D917" s="1049" t="s">
        <v>3151</v>
      </c>
      <c r="E917" s="1052" t="str">
        <f t="shared" si="129"/>
        <v>增加项目6-</v>
      </c>
      <c r="F917" s="743">
        <f>报表附注合并期初用!E491</f>
        <v>0</v>
      </c>
      <c r="G917" s="136"/>
      <c r="H917" s="136"/>
      <c r="I917" s="136"/>
      <c r="J917" s="1059">
        <f t="shared" si="127"/>
        <v>0</v>
      </c>
      <c r="K917" s="1059">
        <f t="shared" si="128"/>
        <v>0</v>
      </c>
      <c r="X917" s="768" t="b">
        <f t="shared" si="106"/>
        <v>0</v>
      </c>
    </row>
    <row r="918" hidden="1" outlineLevel="2" spans="1:24">
      <c r="A918" s="1048" t="s">
        <v>2051</v>
      </c>
      <c r="B918" s="692" t="s">
        <v>3126</v>
      </c>
      <c r="C918" s="693" t="str">
        <f t="shared" si="126"/>
        <v>深圳新阳蓝光能源管理科技股份有限公司</v>
      </c>
      <c r="D918" s="1049" t="s">
        <v>3151</v>
      </c>
      <c r="E918" s="1052" t="str">
        <f t="shared" si="129"/>
        <v>增加项目7-</v>
      </c>
      <c r="F918" s="743">
        <f>报表附注合并期初用!E492</f>
        <v>0</v>
      </c>
      <c r="G918" s="136"/>
      <c r="H918" s="136"/>
      <c r="I918" s="136"/>
      <c r="J918" s="1059">
        <f t="shared" si="127"/>
        <v>0</v>
      </c>
      <c r="K918" s="1059">
        <f t="shared" si="128"/>
        <v>0</v>
      </c>
      <c r="X918" s="768" t="b">
        <f t="shared" si="106"/>
        <v>0</v>
      </c>
    </row>
    <row r="919" hidden="1" outlineLevel="2" spans="1:24">
      <c r="A919" s="1048" t="s">
        <v>2052</v>
      </c>
      <c r="B919" s="692" t="s">
        <v>3126</v>
      </c>
      <c r="C919" s="693" t="str">
        <f t="shared" si="126"/>
        <v>深圳新阳蓝光能源管理科技股份有限公司</v>
      </c>
      <c r="D919" s="1049" t="s">
        <v>3151</v>
      </c>
      <c r="E919" s="1052" t="str">
        <f t="shared" si="129"/>
        <v>增加项目8-</v>
      </c>
      <c r="F919" s="743">
        <f>报表附注合并期初用!E493</f>
        <v>0</v>
      </c>
      <c r="G919" s="136"/>
      <c r="H919" s="136"/>
      <c r="I919" s="136"/>
      <c r="J919" s="1059">
        <f t="shared" si="127"/>
        <v>0</v>
      </c>
      <c r="K919" s="1059">
        <f t="shared" si="128"/>
        <v>0</v>
      </c>
      <c r="X919" s="768" t="b">
        <f t="shared" si="106"/>
        <v>0</v>
      </c>
    </row>
    <row r="920" outlineLevel="2" spans="1:24">
      <c r="A920" s="1048" t="s">
        <v>2021</v>
      </c>
      <c r="B920" s="692" t="s">
        <v>3126</v>
      </c>
      <c r="C920" s="693" t="str">
        <f t="shared" si="126"/>
        <v>深圳新阳蓝光能源管理科技股份有限公司</v>
      </c>
      <c r="D920" s="1049" t="s">
        <v>3151</v>
      </c>
      <c r="E920" s="1051" t="s">
        <v>2021</v>
      </c>
      <c r="F920" s="1059">
        <f>SUM(F905:F919)</f>
        <v>0</v>
      </c>
      <c r="G920" s="1059">
        <f t="shared" ref="G920:K920" si="130">SUM(G905:G919)</f>
        <v>0</v>
      </c>
      <c r="H920" s="1059">
        <f t="shared" si="130"/>
        <v>0</v>
      </c>
      <c r="I920" s="1059">
        <f t="shared" si="130"/>
        <v>0</v>
      </c>
      <c r="J920" s="1059">
        <f t="shared" si="130"/>
        <v>0</v>
      </c>
      <c r="K920" s="1059">
        <f t="shared" si="130"/>
        <v>0</v>
      </c>
      <c r="X920" s="768" t="b">
        <f t="shared" si="106"/>
        <v>1</v>
      </c>
    </row>
    <row r="921" outlineLevel="2" spans="2:24">
      <c r="B921" s="692" t="s">
        <v>3126</v>
      </c>
      <c r="C921" s="693" t="str">
        <f t="shared" si="126"/>
        <v>深圳新阳蓝光能源管理科技股份有限公司</v>
      </c>
      <c r="D921" s="1049" t="s">
        <v>3151</v>
      </c>
      <c r="E921" s="1063"/>
      <c r="F921" s="1055"/>
      <c r="G921" s="1055"/>
      <c r="H921" s="1050"/>
      <c r="I921" s="1050"/>
      <c r="J921" s="1050"/>
      <c r="K921" s="1050"/>
      <c r="X921" s="768" t="b">
        <f t="shared" si="106"/>
        <v>1</v>
      </c>
    </row>
    <row r="922" outlineLevel="2" spans="1:24">
      <c r="A922" s="1048" t="s">
        <v>3152</v>
      </c>
      <c r="B922" s="692" t="s">
        <v>3126</v>
      </c>
      <c r="C922" s="693" t="str">
        <f t="shared" si="126"/>
        <v>深圳新阳蓝光能源管理科技股份有限公司</v>
      </c>
      <c r="D922" s="1064" t="s">
        <v>3153</v>
      </c>
      <c r="E922" s="1037" t="s">
        <v>3154</v>
      </c>
      <c r="F922" s="1055"/>
      <c r="G922" s="1055"/>
      <c r="H922" s="1050"/>
      <c r="I922" s="1050"/>
      <c r="J922" s="1050"/>
      <c r="K922" s="1050"/>
      <c r="X922" s="768" t="b">
        <f t="shared" si="106"/>
        <v>1</v>
      </c>
    </row>
    <row r="923" ht="32.25" customHeight="1" outlineLevel="2" spans="1:24">
      <c r="A923" s="1048" t="s">
        <v>61</v>
      </c>
      <c r="B923" s="692" t="s">
        <v>3126</v>
      </c>
      <c r="C923" s="693" t="str">
        <f t="shared" si="126"/>
        <v>深圳新阳蓝光能源管理科技股份有限公司</v>
      </c>
      <c r="D923" s="1064" t="s">
        <v>3153</v>
      </c>
      <c r="E923" s="1051" t="s">
        <v>61</v>
      </c>
      <c r="F923" s="1051" t="s">
        <v>3155</v>
      </c>
      <c r="G923" s="1051" t="s">
        <v>3156</v>
      </c>
      <c r="H923" s="1051" t="s">
        <v>3157</v>
      </c>
      <c r="I923" s="1050"/>
      <c r="J923" s="1050"/>
      <c r="K923" s="1050"/>
      <c r="X923" s="768" t="b">
        <f t="shared" si="106"/>
        <v>1</v>
      </c>
    </row>
    <row r="924" outlineLevel="2" spans="1:24">
      <c r="A924" s="1048" t="s">
        <v>589</v>
      </c>
      <c r="B924" s="692" t="s">
        <v>3126</v>
      </c>
      <c r="C924" s="693" t="str">
        <f t="shared" si="126"/>
        <v>深圳新阳蓝光能源管理科技股份有限公司</v>
      </c>
      <c r="D924" s="1064" t="s">
        <v>3158</v>
      </c>
      <c r="E924" s="1065" t="str">
        <f t="shared" ref="E924:E938" si="131">E905</f>
        <v>原材料</v>
      </c>
      <c r="F924" s="1066"/>
      <c r="G924" s="1067"/>
      <c r="H924" s="1067"/>
      <c r="I924" s="1050"/>
      <c r="J924" s="1050"/>
      <c r="K924" s="1050"/>
      <c r="X924" s="768" t="b">
        <f t="shared" si="106"/>
        <v>1</v>
      </c>
    </row>
    <row r="925" outlineLevel="2" spans="1:24">
      <c r="A925" s="1048" t="s">
        <v>3131</v>
      </c>
      <c r="B925" s="692" t="s">
        <v>3126</v>
      </c>
      <c r="C925" s="693" t="str">
        <f t="shared" si="126"/>
        <v>深圳新阳蓝光能源管理科技股份有限公司</v>
      </c>
      <c r="D925" s="1064" t="s">
        <v>3158</v>
      </c>
      <c r="E925" s="1068" t="str">
        <f t="shared" si="131"/>
        <v>在产品</v>
      </c>
      <c r="F925" s="1069"/>
      <c r="G925" s="1069"/>
      <c r="H925" s="1070"/>
      <c r="I925" s="1050"/>
      <c r="J925" s="1050"/>
      <c r="K925" s="1050"/>
      <c r="X925" s="768" t="b">
        <f t="shared" si="106"/>
        <v>0</v>
      </c>
    </row>
    <row r="926" outlineLevel="2" spans="1:24">
      <c r="A926" s="1048" t="s">
        <v>593</v>
      </c>
      <c r="B926" s="692" t="s">
        <v>3126</v>
      </c>
      <c r="C926" s="693" t="str">
        <f t="shared" si="126"/>
        <v>深圳新阳蓝光能源管理科技股份有限公司</v>
      </c>
      <c r="D926" s="1064" t="s">
        <v>3158</v>
      </c>
      <c r="E926" s="1071" t="str">
        <f t="shared" si="131"/>
        <v>产成品</v>
      </c>
      <c r="F926" s="1069"/>
      <c r="G926" s="1069"/>
      <c r="H926" s="1070"/>
      <c r="I926" s="1050"/>
      <c r="J926" s="1050"/>
      <c r="K926" s="1050"/>
      <c r="X926" s="768" t="b">
        <f t="shared" si="106"/>
        <v>0</v>
      </c>
    </row>
    <row r="927" outlineLevel="2" spans="1:24">
      <c r="A927" s="1048" t="s">
        <v>585</v>
      </c>
      <c r="B927" s="692" t="s">
        <v>3126</v>
      </c>
      <c r="C927" s="693" t="str">
        <f t="shared" si="126"/>
        <v>深圳新阳蓝光能源管理科技股份有限公司</v>
      </c>
      <c r="D927" s="1064" t="s">
        <v>3158</v>
      </c>
      <c r="E927" s="1071" t="str">
        <f t="shared" si="131"/>
        <v>低值易耗品</v>
      </c>
      <c r="F927" s="1069"/>
      <c r="G927" s="1069"/>
      <c r="H927" s="1070"/>
      <c r="I927" s="1050"/>
      <c r="J927" s="1050"/>
      <c r="K927" s="1050"/>
      <c r="X927" s="768" t="b">
        <f t="shared" si="106"/>
        <v>0</v>
      </c>
    </row>
    <row r="928" outlineLevel="2" spans="1:24">
      <c r="A928" s="1048" t="s">
        <v>587</v>
      </c>
      <c r="B928" s="692" t="s">
        <v>3126</v>
      </c>
      <c r="C928" s="693" t="str">
        <f t="shared" si="126"/>
        <v>深圳新阳蓝光能源管理科技股份有限公司</v>
      </c>
      <c r="D928" s="1064" t="s">
        <v>3158</v>
      </c>
      <c r="E928" s="1071" t="str">
        <f t="shared" si="131"/>
        <v>包装物</v>
      </c>
      <c r="F928" s="1069"/>
      <c r="G928" s="1069"/>
      <c r="H928" s="1070"/>
      <c r="I928" s="1050"/>
      <c r="J928" s="1050"/>
      <c r="K928" s="1050"/>
      <c r="X928" s="768" t="b">
        <f t="shared" si="106"/>
        <v>0</v>
      </c>
    </row>
    <row r="929" outlineLevel="2" spans="1:24">
      <c r="A929" s="1048" t="s">
        <v>599</v>
      </c>
      <c r="B929" s="692" t="s">
        <v>3126</v>
      </c>
      <c r="C929" s="693" t="str">
        <f t="shared" si="126"/>
        <v>深圳新阳蓝光能源管理科技股份有限公司</v>
      </c>
      <c r="D929" s="1064" t="s">
        <v>3158</v>
      </c>
      <c r="E929" s="1071" t="str">
        <f t="shared" si="131"/>
        <v>委托加工物资</v>
      </c>
      <c r="F929" s="1069"/>
      <c r="G929" s="1069"/>
      <c r="H929" s="1070"/>
      <c r="I929" s="1050"/>
      <c r="J929" s="1050"/>
      <c r="K929" s="1050"/>
      <c r="X929" s="768" t="b">
        <f t="shared" si="106"/>
        <v>0</v>
      </c>
    </row>
    <row r="930" outlineLevel="2" spans="1:24">
      <c r="A930" s="1048" t="s">
        <v>2048</v>
      </c>
      <c r="B930" s="692" t="s">
        <v>3126</v>
      </c>
      <c r="C930" s="693" t="str">
        <f t="shared" si="126"/>
        <v>深圳新阳蓝光能源管理科技股份有限公司</v>
      </c>
      <c r="D930" s="1064" t="s">
        <v>3158</v>
      </c>
      <c r="E930" s="1071" t="str">
        <f t="shared" si="131"/>
        <v>发出商品</v>
      </c>
      <c r="F930" s="1069"/>
      <c r="G930" s="1069"/>
      <c r="H930" s="1070"/>
      <c r="I930" s="1050"/>
      <c r="J930" s="1050"/>
      <c r="K930" s="1050"/>
      <c r="X930" s="768" t="b">
        <f t="shared" si="106"/>
        <v>0</v>
      </c>
    </row>
    <row r="931" hidden="1" outlineLevel="2" spans="1:24">
      <c r="A931" s="1048" t="s">
        <v>3133</v>
      </c>
      <c r="B931" s="692" t="s">
        <v>3126</v>
      </c>
      <c r="C931" s="693" t="str">
        <f t="shared" si="126"/>
        <v>深圳新阳蓝光能源管理科技股份有限公司</v>
      </c>
      <c r="D931" s="1064" t="s">
        <v>3158</v>
      </c>
      <c r="E931" s="1071" t="str">
        <f t="shared" si="131"/>
        <v>增加项目1-工程施工</v>
      </c>
      <c r="F931" s="1069"/>
      <c r="G931" s="1069"/>
      <c r="H931" s="1070"/>
      <c r="I931" s="1050"/>
      <c r="J931" s="1050"/>
      <c r="K931" s="1050"/>
      <c r="X931" s="768" t="b">
        <f t="shared" si="106"/>
        <v>0</v>
      </c>
    </row>
    <row r="932" hidden="1" outlineLevel="2" spans="1:24">
      <c r="A932" s="1048" t="s">
        <v>3135</v>
      </c>
      <c r="B932" s="692" t="s">
        <v>3126</v>
      </c>
      <c r="C932" s="693" t="str">
        <f t="shared" si="126"/>
        <v>深圳新阳蓝光能源管理科技股份有限公司</v>
      </c>
      <c r="D932" s="1064" t="s">
        <v>3158</v>
      </c>
      <c r="E932" s="1071" t="str">
        <f t="shared" si="131"/>
        <v>增加项目2-</v>
      </c>
      <c r="F932" s="1069"/>
      <c r="G932" s="1069"/>
      <c r="H932" s="1070"/>
      <c r="I932" s="1050"/>
      <c r="J932" s="1050"/>
      <c r="K932" s="1050"/>
      <c r="X932" s="768" t="b">
        <f t="shared" si="106"/>
        <v>0</v>
      </c>
    </row>
    <row r="933" hidden="1" outlineLevel="2" spans="1:24">
      <c r="A933" s="1048" t="s">
        <v>597</v>
      </c>
      <c r="B933" s="692" t="s">
        <v>3126</v>
      </c>
      <c r="C933" s="693" t="str">
        <f t="shared" si="126"/>
        <v>深圳新阳蓝光能源管理科技股份有限公司</v>
      </c>
      <c r="D933" s="1064" t="s">
        <v>3158</v>
      </c>
      <c r="E933" s="1071" t="str">
        <f t="shared" si="131"/>
        <v>增加项目3-</v>
      </c>
      <c r="F933" s="1069"/>
      <c r="G933" s="1069"/>
      <c r="H933" s="1070"/>
      <c r="I933" s="1050"/>
      <c r="J933" s="1050"/>
      <c r="K933" s="1050"/>
      <c r="X933" s="768" t="b">
        <f t="shared" si="106"/>
        <v>0</v>
      </c>
    </row>
    <row r="934" hidden="1" outlineLevel="2" spans="1:24">
      <c r="A934" s="1048" t="s">
        <v>595</v>
      </c>
      <c r="B934" s="692" t="s">
        <v>3126</v>
      </c>
      <c r="C934" s="693" t="str">
        <f t="shared" si="126"/>
        <v>深圳新阳蓝光能源管理科技股份有限公司</v>
      </c>
      <c r="D934" s="1064" t="s">
        <v>3158</v>
      </c>
      <c r="E934" s="1071" t="str">
        <f t="shared" si="131"/>
        <v>增加项目4-</v>
      </c>
      <c r="F934" s="1069"/>
      <c r="G934" s="1069"/>
      <c r="H934" s="1070"/>
      <c r="I934" s="1050"/>
      <c r="J934" s="1050"/>
      <c r="K934" s="1050"/>
      <c r="X934" s="768" t="b">
        <f t="shared" si="106"/>
        <v>0</v>
      </c>
    </row>
    <row r="935" hidden="1" outlineLevel="2" spans="1:24">
      <c r="A935" s="1048" t="s">
        <v>601</v>
      </c>
      <c r="B935" s="692" t="s">
        <v>3126</v>
      </c>
      <c r="C935" s="693" t="str">
        <f t="shared" si="126"/>
        <v>深圳新阳蓝光能源管理科技股份有限公司</v>
      </c>
      <c r="D935" s="1064" t="s">
        <v>3158</v>
      </c>
      <c r="E935" s="1071" t="str">
        <f t="shared" si="131"/>
        <v>增加项目5-</v>
      </c>
      <c r="F935" s="1069"/>
      <c r="G935" s="1069"/>
      <c r="H935" s="1070"/>
      <c r="I935" s="1050"/>
      <c r="J935" s="1050"/>
      <c r="K935" s="1050"/>
      <c r="X935" s="768" t="b">
        <f t="shared" si="106"/>
        <v>0</v>
      </c>
    </row>
    <row r="936" hidden="1" outlineLevel="2" spans="1:24">
      <c r="A936" s="1048" t="s">
        <v>2050</v>
      </c>
      <c r="B936" s="692" t="s">
        <v>3126</v>
      </c>
      <c r="C936" s="693" t="str">
        <f t="shared" si="126"/>
        <v>深圳新阳蓝光能源管理科技股份有限公司</v>
      </c>
      <c r="D936" s="1064" t="s">
        <v>3158</v>
      </c>
      <c r="E936" s="1071" t="str">
        <f t="shared" si="131"/>
        <v>增加项目6-</v>
      </c>
      <c r="F936" s="1069"/>
      <c r="G936" s="1069"/>
      <c r="H936" s="1070"/>
      <c r="I936" s="1050"/>
      <c r="J936" s="1050"/>
      <c r="K936" s="1050"/>
      <c r="X936" s="768" t="b">
        <f t="shared" si="106"/>
        <v>0</v>
      </c>
    </row>
    <row r="937" hidden="1" outlineLevel="2" spans="1:24">
      <c r="A937" s="1048" t="s">
        <v>2051</v>
      </c>
      <c r="B937" s="692" t="s">
        <v>3126</v>
      </c>
      <c r="C937" s="693" t="str">
        <f t="shared" si="126"/>
        <v>深圳新阳蓝光能源管理科技股份有限公司</v>
      </c>
      <c r="D937" s="1064" t="s">
        <v>3158</v>
      </c>
      <c r="E937" s="1071" t="str">
        <f t="shared" si="131"/>
        <v>增加项目7-</v>
      </c>
      <c r="F937" s="1069"/>
      <c r="G937" s="1069"/>
      <c r="H937" s="1070"/>
      <c r="I937" s="1050"/>
      <c r="J937" s="1050"/>
      <c r="K937" s="1050"/>
      <c r="X937" s="768" t="b">
        <f t="shared" si="106"/>
        <v>0</v>
      </c>
    </row>
    <row r="938" hidden="1" outlineLevel="2" spans="1:24">
      <c r="A938" s="1048" t="s">
        <v>2052</v>
      </c>
      <c r="B938" s="692" t="s">
        <v>3126</v>
      </c>
      <c r="C938" s="693" t="str">
        <f t="shared" si="126"/>
        <v>深圳新阳蓝光能源管理科技股份有限公司</v>
      </c>
      <c r="D938" s="1064" t="s">
        <v>3158</v>
      </c>
      <c r="E938" s="1071" t="str">
        <f t="shared" si="131"/>
        <v>增加项目8-</v>
      </c>
      <c r="F938" s="1069"/>
      <c r="G938" s="1069"/>
      <c r="H938" s="1070"/>
      <c r="I938" s="1050"/>
      <c r="J938" s="1050"/>
      <c r="K938" s="1050"/>
      <c r="X938" s="768" t="b">
        <f t="shared" si="106"/>
        <v>0</v>
      </c>
    </row>
    <row r="939" outlineLevel="2" spans="2:24">
      <c r="B939" s="692" t="s">
        <v>3126</v>
      </c>
      <c r="C939" s="693" t="str">
        <f t="shared" si="126"/>
        <v>深圳新阳蓝光能源管理科技股份有限公司</v>
      </c>
      <c r="D939" s="1064" t="s">
        <v>3158</v>
      </c>
      <c r="E939" s="1037"/>
      <c r="F939" s="1055"/>
      <c r="G939" s="1055"/>
      <c r="H939" s="1050"/>
      <c r="I939" s="1050"/>
      <c r="J939" s="1050"/>
      <c r="K939" s="1050"/>
      <c r="X939" s="768" t="b">
        <f t="shared" si="106"/>
        <v>1</v>
      </c>
    </row>
    <row r="940" outlineLevel="2" spans="2:24">
      <c r="B940" s="692" t="s">
        <v>3126</v>
      </c>
      <c r="C940" s="693" t="str">
        <f t="shared" si="126"/>
        <v>深圳新阳蓝光能源管理科技股份有限公司</v>
      </c>
      <c r="D940" s="1064"/>
      <c r="E940" s="153"/>
      <c r="F940" s="1055"/>
      <c r="G940" s="1055"/>
      <c r="H940" s="1050"/>
      <c r="I940" s="1050"/>
      <c r="J940" s="1050"/>
      <c r="K940" s="1050"/>
      <c r="X940" s="768" t="b">
        <f t="shared" si="106"/>
        <v>1</v>
      </c>
    </row>
    <row r="941" outlineLevel="2" spans="1:24">
      <c r="A941" s="1048" t="s">
        <v>2809</v>
      </c>
      <c r="B941" s="692" t="s">
        <v>3126</v>
      </c>
      <c r="C941" s="693" t="str">
        <f t="shared" si="126"/>
        <v>深圳新阳蓝光能源管理科技股份有限公司</v>
      </c>
      <c r="D941" s="1064"/>
      <c r="E941" s="1037" t="s">
        <v>2809</v>
      </c>
      <c r="F941" s="1072"/>
      <c r="G941" s="1072"/>
      <c r="H941" s="1073"/>
      <c r="I941" s="1050"/>
      <c r="J941" s="1050"/>
      <c r="K941" s="1050"/>
      <c r="X941" s="768" t="b">
        <f t="shared" si="106"/>
        <v>1</v>
      </c>
    </row>
    <row r="942" outlineLevel="2" spans="2:24">
      <c r="B942" s="692" t="s">
        <v>3126</v>
      </c>
      <c r="C942" s="693" t="str">
        <f t="shared" si="126"/>
        <v>深圳新阳蓝光能源管理科技股份有限公司</v>
      </c>
      <c r="D942" s="1064"/>
      <c r="E942" s="1074"/>
      <c r="F942" s="1055"/>
      <c r="G942" s="1055"/>
      <c r="H942" s="1050"/>
      <c r="I942" s="1050"/>
      <c r="J942" s="1050"/>
      <c r="K942" s="1050"/>
      <c r="X942" s="768" t="b">
        <f t="shared" si="106"/>
        <v>1</v>
      </c>
    </row>
    <row r="943" spans="1:24">
      <c r="A943" s="1048" t="s">
        <v>3159</v>
      </c>
      <c r="B943" s="692" t="s">
        <v>3160</v>
      </c>
      <c r="C943" s="693" t="str">
        <f t="shared" si="126"/>
        <v>深圳新阳蓝光能源管理科技股份有限公司</v>
      </c>
      <c r="D943" s="1064" t="s">
        <v>3161</v>
      </c>
      <c r="E943" s="70" t="s">
        <v>3162</v>
      </c>
      <c r="F943" s="1075" t="s">
        <v>3163</v>
      </c>
      <c r="G943" s="1055"/>
      <c r="H943" s="1050"/>
      <c r="I943" s="1050"/>
      <c r="J943" s="1050"/>
      <c r="K943" s="1050"/>
      <c r="X943" s="768" t="b">
        <f t="shared" si="106"/>
        <v>1</v>
      </c>
    </row>
    <row r="944" outlineLevel="2" spans="1:24">
      <c r="A944" s="1048" t="s">
        <v>3164</v>
      </c>
      <c r="B944" s="692" t="s">
        <v>3160</v>
      </c>
      <c r="C944" s="693" t="str">
        <f t="shared" si="126"/>
        <v>深圳新阳蓝光能源管理科技股份有限公司</v>
      </c>
      <c r="D944" s="1064" t="s">
        <v>3161</v>
      </c>
      <c r="E944" s="153" t="s">
        <v>3165</v>
      </c>
      <c r="F944" s="1055"/>
      <c r="G944" s="1055"/>
      <c r="H944" s="1050"/>
      <c r="I944" s="1050"/>
      <c r="J944" s="1050"/>
      <c r="K944" s="1050"/>
      <c r="X944" s="768" t="b">
        <f t="shared" si="106"/>
        <v>1</v>
      </c>
    </row>
    <row r="945" outlineLevel="2" spans="1:24">
      <c r="A945" s="1048" t="s">
        <v>61</v>
      </c>
      <c r="B945" s="692" t="s">
        <v>3160</v>
      </c>
      <c r="C945" s="693" t="str">
        <f t="shared" si="126"/>
        <v>深圳新阳蓝光能源管理科技股份有限公司</v>
      </c>
      <c r="D945" s="1064" t="s">
        <v>3166</v>
      </c>
      <c r="E945" s="1031" t="s">
        <v>61</v>
      </c>
      <c r="F945" s="1031" t="s">
        <v>516</v>
      </c>
      <c r="G945" s="1031" t="s">
        <v>671</v>
      </c>
      <c r="H945" s="1050"/>
      <c r="I945" s="1050"/>
      <c r="J945" s="1050"/>
      <c r="K945" s="1050"/>
      <c r="X945" s="768" t="b">
        <f t="shared" si="106"/>
        <v>1</v>
      </c>
    </row>
    <row r="946" outlineLevel="2" spans="2:24">
      <c r="B946" s="692" t="s">
        <v>3160</v>
      </c>
      <c r="C946" s="693" t="str">
        <f t="shared" si="126"/>
        <v>深圳新阳蓝光能源管理科技股份有限公司</v>
      </c>
      <c r="D946" s="1064" t="s">
        <v>3166</v>
      </c>
      <c r="E946" s="1076" t="s">
        <v>3167</v>
      </c>
      <c r="F946" s="719">
        <f>资负表及利润表调整分录!G925</f>
        <v>0</v>
      </c>
      <c r="G946" s="719">
        <f>资负表及利润表调整分录!G512</f>
        <v>0</v>
      </c>
      <c r="H946" s="1077"/>
      <c r="I946" s="1050"/>
      <c r="J946" s="1050"/>
      <c r="K946" s="1050"/>
      <c r="X946" s="768" t="b">
        <f t="shared" si="106"/>
        <v>0</v>
      </c>
    </row>
    <row r="947" outlineLevel="2" spans="2:24">
      <c r="B947" s="692" t="s">
        <v>3160</v>
      </c>
      <c r="C947" s="693" t="str">
        <f t="shared" si="126"/>
        <v>深圳新阳蓝光能源管理科技股份有限公司</v>
      </c>
      <c r="D947" s="1064" t="s">
        <v>3166</v>
      </c>
      <c r="E947" s="1031" t="s">
        <v>1094</v>
      </c>
      <c r="F947" s="719">
        <f>资负表及利润表调整分录!G640</f>
        <v>0</v>
      </c>
      <c r="G947" s="719"/>
      <c r="H947" s="1077"/>
      <c r="I947" s="838"/>
      <c r="J947" s="1050"/>
      <c r="K947" s="1050"/>
      <c r="X947" s="768" t="b">
        <f t="shared" si="106"/>
        <v>0</v>
      </c>
    </row>
    <row r="948" outlineLevel="2" spans="2:24">
      <c r="B948" s="692" t="s">
        <v>3160</v>
      </c>
      <c r="C948" s="693" t="str">
        <f t="shared" si="126"/>
        <v>深圳新阳蓝光能源管理科技股份有限公司</v>
      </c>
      <c r="D948" s="1064" t="s">
        <v>3166</v>
      </c>
      <c r="E948" s="1076" t="s">
        <v>3168</v>
      </c>
      <c r="F948" s="719">
        <f>资负表及利润表调整分录!G927</f>
        <v>0</v>
      </c>
      <c r="G948" s="719"/>
      <c r="H948" s="1077"/>
      <c r="I948" s="838"/>
      <c r="J948" s="1050"/>
      <c r="K948" s="1050"/>
      <c r="X948" s="768" t="b">
        <f t="shared" si="106"/>
        <v>0</v>
      </c>
    </row>
    <row r="949" spans="2:24">
      <c r="B949" s="692" t="s">
        <v>3160</v>
      </c>
      <c r="C949" s="693" t="str">
        <f t="shared" si="126"/>
        <v>深圳新阳蓝光能源管理科技股份有限公司</v>
      </c>
      <c r="D949" s="1064" t="s">
        <v>3166</v>
      </c>
      <c r="E949" s="1031" t="s">
        <v>3169</v>
      </c>
      <c r="F949" s="719"/>
      <c r="G949" s="719"/>
      <c r="H949" s="1077"/>
      <c r="I949" s="838"/>
      <c r="J949" s="1050"/>
      <c r="K949" s="1050"/>
      <c r="X949" s="768" t="b">
        <f t="shared" si="106"/>
        <v>0</v>
      </c>
    </row>
    <row r="950" outlineLevel="1" spans="2:24">
      <c r="B950" s="692" t="s">
        <v>3160</v>
      </c>
      <c r="C950" s="693" t="str">
        <f t="shared" si="126"/>
        <v>深圳新阳蓝光能源管理科技股份有限公司</v>
      </c>
      <c r="D950" s="1064" t="s">
        <v>3166</v>
      </c>
      <c r="E950" s="1031" t="s">
        <v>3170</v>
      </c>
      <c r="F950" s="719"/>
      <c r="G950" s="719"/>
      <c r="H950" s="1077"/>
      <c r="I950" s="1050"/>
      <c r="J950" s="1050"/>
      <c r="K950" s="1050"/>
      <c r="X950" s="768" t="b">
        <f t="shared" si="106"/>
        <v>0</v>
      </c>
    </row>
    <row r="951" outlineLevel="1" spans="2:24">
      <c r="B951" s="692" t="s">
        <v>3160</v>
      </c>
      <c r="C951" s="693" t="str">
        <f t="shared" si="126"/>
        <v>深圳新阳蓝光能源管理科技股份有限公司</v>
      </c>
      <c r="D951" s="1064" t="s">
        <v>3166</v>
      </c>
      <c r="E951" s="1031" t="s">
        <v>3171</v>
      </c>
      <c r="F951" s="719"/>
      <c r="G951" s="719"/>
      <c r="H951" s="1077"/>
      <c r="I951" s="1050"/>
      <c r="J951" s="1050"/>
      <c r="K951" s="1050"/>
      <c r="X951" s="768" t="b">
        <f t="shared" si="106"/>
        <v>0</v>
      </c>
    </row>
    <row r="952" outlineLevel="1" spans="2:24">
      <c r="B952" s="692" t="s">
        <v>3160</v>
      </c>
      <c r="C952" s="693" t="str">
        <f t="shared" si="126"/>
        <v>深圳新阳蓝光能源管理科技股份有限公司</v>
      </c>
      <c r="D952" s="1064" t="s">
        <v>3166</v>
      </c>
      <c r="E952" s="718" t="s">
        <v>3172</v>
      </c>
      <c r="F952" s="719">
        <v>2044868.72</v>
      </c>
      <c r="G952" s="719">
        <v>893168.56</v>
      </c>
      <c r="H952" s="1077"/>
      <c r="I952" s="838"/>
      <c r="J952" s="1050"/>
      <c r="K952" s="1050"/>
      <c r="X952" s="768" t="b">
        <f t="shared" si="106"/>
        <v>0</v>
      </c>
    </row>
    <row r="953" outlineLevel="1" spans="2:24">
      <c r="B953" s="692" t="s">
        <v>3160</v>
      </c>
      <c r="C953" s="693" t="str">
        <f t="shared" si="126"/>
        <v>深圳新阳蓝光能源管理科技股份有限公司</v>
      </c>
      <c r="D953" s="1064" t="s">
        <v>3166</v>
      </c>
      <c r="E953" s="718" t="s">
        <v>3173</v>
      </c>
      <c r="F953" s="719"/>
      <c r="G953" s="719"/>
      <c r="H953" s="1077"/>
      <c r="I953" s="838"/>
      <c r="J953" s="1050"/>
      <c r="K953" s="1050"/>
      <c r="X953" s="768" t="b">
        <f t="shared" si="106"/>
        <v>0</v>
      </c>
    </row>
    <row r="954" outlineLevel="2" spans="1:24">
      <c r="A954" s="1048" t="s">
        <v>2021</v>
      </c>
      <c r="B954" s="692" t="s">
        <v>3160</v>
      </c>
      <c r="C954" s="693" t="str">
        <f t="shared" si="126"/>
        <v>深圳新阳蓝光能源管理科技股份有限公司</v>
      </c>
      <c r="D954" s="1064" t="s">
        <v>3166</v>
      </c>
      <c r="E954" s="1031" t="s">
        <v>2021</v>
      </c>
      <c r="F954" s="1078">
        <f>SUM(F946:F953)</f>
        <v>2044868.72</v>
      </c>
      <c r="G954" s="1078">
        <f>SUM(G946:G953)</f>
        <v>893168.56</v>
      </c>
      <c r="H954" s="1077"/>
      <c r="I954" s="1050"/>
      <c r="J954" s="1050"/>
      <c r="K954" s="1050"/>
      <c r="X954" s="768" t="b">
        <f t="shared" si="106"/>
        <v>1</v>
      </c>
    </row>
    <row r="955" outlineLevel="2" spans="1:24">
      <c r="A955" s="1048" t="s">
        <v>1723</v>
      </c>
      <c r="B955" s="692" t="s">
        <v>3160</v>
      </c>
      <c r="C955" s="693" t="str">
        <f t="shared" si="126"/>
        <v>深圳新阳蓝光能源管理科技股份有限公司</v>
      </c>
      <c r="D955" s="1064" t="s">
        <v>3166</v>
      </c>
      <c r="E955" s="1079" t="s">
        <v>1723</v>
      </c>
      <c r="F955" s="1056">
        <f>审定资负表!C17</f>
        <v>2044868.72</v>
      </c>
      <c r="G955" s="1056">
        <f>审定资负表!D17</f>
        <v>893168.56</v>
      </c>
      <c r="H955" s="1077">
        <f>H947+H948+H953</f>
        <v>0</v>
      </c>
      <c r="I955" s="1050"/>
      <c r="J955" s="1050"/>
      <c r="K955" s="1050"/>
      <c r="X955" s="768" t="b">
        <f t="shared" si="106"/>
        <v>1</v>
      </c>
    </row>
    <row r="956" outlineLevel="1" collapsed="1" spans="1:24">
      <c r="A956" s="1048" t="s">
        <v>1395</v>
      </c>
      <c r="B956" s="692" t="s">
        <v>3160</v>
      </c>
      <c r="C956" s="693" t="str">
        <f t="shared" si="126"/>
        <v>深圳新阳蓝光能源管理科技股份有限公司</v>
      </c>
      <c r="D956" s="1064" t="s">
        <v>3166</v>
      </c>
      <c r="E956" s="1079" t="s">
        <v>1395</v>
      </c>
      <c r="F956" s="92">
        <f>ROUND(F954-F955,2)</f>
        <v>0</v>
      </c>
      <c r="G956" s="92">
        <f>ROUND(G954-G955,2)</f>
        <v>0</v>
      </c>
      <c r="H956" s="1050"/>
      <c r="I956" s="1050"/>
      <c r="J956" s="1050"/>
      <c r="K956" s="1050"/>
      <c r="X956" s="768" t="b">
        <f t="shared" si="106"/>
        <v>1</v>
      </c>
    </row>
    <row r="957" hidden="1" outlineLevel="2" spans="2:24">
      <c r="B957" s="692" t="s">
        <v>3160</v>
      </c>
      <c r="C957" s="693" t="str">
        <f t="shared" si="126"/>
        <v>深圳新阳蓝光能源管理科技股份有限公司</v>
      </c>
      <c r="D957" s="1064" t="s">
        <v>3166</v>
      </c>
      <c r="E957" s="1079"/>
      <c r="F957" s="1055"/>
      <c r="G957" s="1055"/>
      <c r="H957" s="1050"/>
      <c r="I957" s="1050"/>
      <c r="J957" s="1050"/>
      <c r="K957" s="1050"/>
      <c r="X957" s="768" t="b">
        <f t="shared" si="106"/>
        <v>1</v>
      </c>
    </row>
    <row r="958" hidden="1" outlineLevel="2" spans="2:24">
      <c r="B958" s="692" t="s">
        <v>3160</v>
      </c>
      <c r="C958" s="693" t="str">
        <f t="shared" si="126"/>
        <v>深圳新阳蓝光能源管理科技股份有限公司</v>
      </c>
      <c r="D958" s="1080"/>
      <c r="E958" s="153"/>
      <c r="F958" s="1055"/>
      <c r="G958" s="1055"/>
      <c r="H958" s="1050"/>
      <c r="I958" s="1050"/>
      <c r="J958" s="1050"/>
      <c r="K958" s="1050"/>
      <c r="X958" s="768" t="b">
        <f t="shared" si="106"/>
        <v>1</v>
      </c>
    </row>
    <row r="959" hidden="1" outlineLevel="2" spans="1:24">
      <c r="A959" s="1048" t="s">
        <v>2809</v>
      </c>
      <c r="B959" s="692" t="s">
        <v>3160</v>
      </c>
      <c r="C959" s="693" t="str">
        <f t="shared" si="126"/>
        <v>深圳新阳蓝光能源管理科技股份有限公司</v>
      </c>
      <c r="D959" s="1080"/>
      <c r="E959" s="1037" t="s">
        <v>2809</v>
      </c>
      <c r="F959" s="1072"/>
      <c r="G959" s="1072"/>
      <c r="H959" s="1050"/>
      <c r="I959" s="1050"/>
      <c r="J959" s="1050"/>
      <c r="K959" s="1050"/>
      <c r="X959" s="768" t="b">
        <f t="shared" si="106"/>
        <v>1</v>
      </c>
    </row>
    <row r="960" hidden="1" outlineLevel="2" spans="2:24">
      <c r="B960" s="692" t="s">
        <v>3160</v>
      </c>
      <c r="C960" s="693" t="str">
        <f t="shared" si="126"/>
        <v>深圳新阳蓝光能源管理科技股份有限公司</v>
      </c>
      <c r="D960" s="1080"/>
      <c r="E960" s="1074"/>
      <c r="F960" s="1055"/>
      <c r="G960" s="1055"/>
      <c r="H960" s="1050"/>
      <c r="I960" s="1050"/>
      <c r="J960" s="1050"/>
      <c r="K960" s="1050"/>
      <c r="X960" s="768" t="b">
        <f t="shared" si="106"/>
        <v>1</v>
      </c>
    </row>
    <row r="961" collapsed="1" spans="1:24">
      <c r="A961" s="1081" t="s">
        <v>2073</v>
      </c>
      <c r="B961" s="692" t="s">
        <v>3174</v>
      </c>
      <c r="C961" s="693" t="str">
        <f t="shared" si="126"/>
        <v>深圳新阳蓝光能源管理科技股份有限公司</v>
      </c>
      <c r="D961" s="1082" t="s">
        <v>3175</v>
      </c>
      <c r="E961" s="70" t="s">
        <v>3176</v>
      </c>
      <c r="F961" s="1083">
        <v>3697661.2002</v>
      </c>
      <c r="G961" s="1084"/>
      <c r="H961" s="1083"/>
      <c r="I961" s="1084"/>
      <c r="J961" s="1104"/>
      <c r="K961" s="1104"/>
      <c r="L961" s="1104"/>
      <c r="M961" s="1095"/>
      <c r="N961" s="1095"/>
      <c r="X961" s="768" t="b">
        <f t="shared" si="106"/>
        <v>1</v>
      </c>
    </row>
    <row r="962" hidden="1" outlineLevel="2" spans="1:24">
      <c r="A962" s="1081" t="s">
        <v>61</v>
      </c>
      <c r="B962" s="692" t="s">
        <v>3174</v>
      </c>
      <c r="C962" s="693" t="str">
        <f t="shared" si="126"/>
        <v>深圳新阳蓝光能源管理科技股份有限公司</v>
      </c>
      <c r="D962" s="1082" t="s">
        <v>3175</v>
      </c>
      <c r="E962" s="1085" t="s">
        <v>61</v>
      </c>
      <c r="F962" s="1085" t="s">
        <v>516</v>
      </c>
      <c r="G962" s="1086" t="s">
        <v>671</v>
      </c>
      <c r="H962" s="1087"/>
      <c r="I962" s="1087"/>
      <c r="J962" s="1104"/>
      <c r="K962" s="1104"/>
      <c r="L962" s="1104"/>
      <c r="M962" s="1117"/>
      <c r="N962" s="1117"/>
      <c r="X962" s="768" t="b">
        <f t="shared" si="106"/>
        <v>1</v>
      </c>
    </row>
    <row r="963" hidden="1" outlineLevel="2" spans="1:24">
      <c r="A963" s="1081" t="s">
        <v>2074</v>
      </c>
      <c r="B963" s="692" t="s">
        <v>3174</v>
      </c>
      <c r="C963" s="693" t="str">
        <f t="shared" si="126"/>
        <v>深圳新阳蓝光能源管理科技股份有限公司</v>
      </c>
      <c r="D963" s="1082" t="s">
        <v>3175</v>
      </c>
      <c r="E963" s="1088" t="s">
        <v>2074</v>
      </c>
      <c r="F963" s="136"/>
      <c r="G963" s="743">
        <f>报表附注合并期初用!E551</f>
        <v>0</v>
      </c>
      <c r="H963" s="1087"/>
      <c r="I963" s="1087"/>
      <c r="J963" s="1104"/>
      <c r="K963" s="1104"/>
      <c r="L963" s="1104"/>
      <c r="M963" s="1117"/>
      <c r="N963" s="1117"/>
      <c r="X963" s="768" t="b">
        <f t="shared" si="106"/>
        <v>1</v>
      </c>
    </row>
    <row r="964" hidden="1" outlineLevel="2" spans="1:24">
      <c r="A964" s="1081" t="s">
        <v>636</v>
      </c>
      <c r="B964" s="692" t="s">
        <v>3174</v>
      </c>
      <c r="C964" s="693" t="str">
        <f t="shared" si="126"/>
        <v>深圳新阳蓝光能源管理科技股份有限公司</v>
      </c>
      <c r="D964" s="1082" t="s">
        <v>3175</v>
      </c>
      <c r="E964" s="1088" t="s">
        <v>636</v>
      </c>
      <c r="F964" s="136"/>
      <c r="G964" s="743">
        <f>报表附注合并期初用!E552</f>
        <v>0</v>
      </c>
      <c r="H964" s="1087"/>
      <c r="I964" s="1087"/>
      <c r="J964" s="1104"/>
      <c r="K964" s="1104"/>
      <c r="L964" s="1104"/>
      <c r="M964" s="1117"/>
      <c r="N964" s="1117"/>
      <c r="X964" s="768" t="b">
        <f t="shared" si="106"/>
        <v>1</v>
      </c>
    </row>
    <row r="965" hidden="1" outlineLevel="2" spans="1:24">
      <c r="A965" s="1081" t="s">
        <v>280</v>
      </c>
      <c r="B965" s="692" t="s">
        <v>3174</v>
      </c>
      <c r="C965" s="693" t="str">
        <f t="shared" si="126"/>
        <v>深圳新阳蓝光能源管理科技股份有限公司</v>
      </c>
      <c r="D965" s="1082" t="s">
        <v>3175</v>
      </c>
      <c r="E965" s="1088" t="s">
        <v>280</v>
      </c>
      <c r="F965" s="136"/>
      <c r="G965" s="743">
        <f>报表附注合并期初用!E553</f>
        <v>0</v>
      </c>
      <c r="H965" s="1087"/>
      <c r="I965" s="1087"/>
      <c r="J965" s="1104"/>
      <c r="K965" s="1104"/>
      <c r="L965" s="1104"/>
      <c r="M965" s="1117"/>
      <c r="N965" s="1117"/>
      <c r="X965" s="768" t="b">
        <f t="shared" si="106"/>
        <v>1</v>
      </c>
    </row>
    <row r="966" hidden="1" outlineLevel="2" spans="1:24">
      <c r="A966" s="1081" t="s">
        <v>2021</v>
      </c>
      <c r="B966" s="692" t="s">
        <v>3174</v>
      </c>
      <c r="C966" s="693" t="str">
        <f t="shared" ref="C966:C1029" si="132">$G$1</f>
        <v>深圳新阳蓝光能源管理科技股份有限公司</v>
      </c>
      <c r="D966" s="1082" t="s">
        <v>3175</v>
      </c>
      <c r="E966" s="1085" t="s">
        <v>2021</v>
      </c>
      <c r="F966" s="1089">
        <f>SUM(F963:F965)</f>
        <v>0</v>
      </c>
      <c r="G966" s="1089">
        <f>SUM(G963:G965)</f>
        <v>0</v>
      </c>
      <c r="H966" s="1087"/>
      <c r="I966" s="1087"/>
      <c r="J966" s="1104"/>
      <c r="K966" s="1104"/>
      <c r="L966" s="1104"/>
      <c r="M966" s="1117"/>
      <c r="N966" s="1117"/>
      <c r="X966" s="768" t="b">
        <f t="shared" si="106"/>
        <v>1</v>
      </c>
    </row>
    <row r="967" hidden="1" outlineLevel="2" spans="1:24">
      <c r="A967" s="1081" t="s">
        <v>1723</v>
      </c>
      <c r="B967" s="692" t="s">
        <v>3174</v>
      </c>
      <c r="C967" s="693" t="str">
        <f t="shared" si="132"/>
        <v>深圳新阳蓝光能源管理科技股份有限公司</v>
      </c>
      <c r="D967" s="1082" t="s">
        <v>3175</v>
      </c>
      <c r="E967" s="1079" t="s">
        <v>1723</v>
      </c>
      <c r="F967" s="1090">
        <f>审定资负表!C22</f>
        <v>0</v>
      </c>
      <c r="G967" s="1090">
        <f>审定资负表!D22</f>
        <v>0</v>
      </c>
      <c r="H967" s="1087"/>
      <c r="I967" s="1087"/>
      <c r="J967" s="1104"/>
      <c r="K967" s="1104"/>
      <c r="L967" s="1104"/>
      <c r="M967" s="1117"/>
      <c r="N967" s="1117"/>
      <c r="X967" s="768" t="b">
        <f t="shared" si="106"/>
        <v>1</v>
      </c>
    </row>
    <row r="968" hidden="1" outlineLevel="1" collapsed="1" spans="1:24">
      <c r="A968" s="1081" t="s">
        <v>1395</v>
      </c>
      <c r="B968" s="692" t="s">
        <v>3174</v>
      </c>
      <c r="C968" s="693" t="str">
        <f t="shared" si="132"/>
        <v>深圳新阳蓝光能源管理科技股份有限公司</v>
      </c>
      <c r="D968" s="1082" t="s">
        <v>3175</v>
      </c>
      <c r="E968" s="1079" t="s">
        <v>1395</v>
      </c>
      <c r="F968" s="92">
        <f>ROUND(F966-F967,2)</f>
        <v>0</v>
      </c>
      <c r="G968" s="92">
        <f>ROUND(G966-G967,2)</f>
        <v>0</v>
      </c>
      <c r="H968" s="1087"/>
      <c r="I968" s="1087"/>
      <c r="J968" s="1104"/>
      <c r="K968" s="1104"/>
      <c r="L968" s="1104"/>
      <c r="M968" s="1117"/>
      <c r="N968" s="1117"/>
      <c r="X968" s="768" t="b">
        <f t="shared" si="106"/>
        <v>1</v>
      </c>
    </row>
    <row r="969" ht="19.5" hidden="1" customHeight="1" outlineLevel="2" spans="1:24">
      <c r="A969" s="1081" t="s">
        <v>3177</v>
      </c>
      <c r="B969" s="692" t="s">
        <v>3174</v>
      </c>
      <c r="C969" s="693" t="str">
        <f t="shared" si="132"/>
        <v>深圳新阳蓝光能源管理科技股份有限公司</v>
      </c>
      <c r="D969" s="1082" t="s">
        <v>3175</v>
      </c>
      <c r="E969" s="153" t="s">
        <v>3178</v>
      </c>
      <c r="F969" s="1091"/>
      <c r="G969" s="1091"/>
      <c r="H969" s="1087"/>
      <c r="I969" s="1087"/>
      <c r="J969" s="1104"/>
      <c r="K969" s="1104"/>
      <c r="L969" s="1104"/>
      <c r="M969" s="1117"/>
      <c r="N969" s="1117"/>
      <c r="X969" s="768" t="b">
        <f t="shared" si="106"/>
        <v>1</v>
      </c>
    </row>
    <row r="970" ht="19.5" hidden="1" customHeight="1" outlineLevel="2" spans="1:24">
      <c r="A970" s="1081" t="s">
        <v>2809</v>
      </c>
      <c r="B970" s="692" t="s">
        <v>3174</v>
      </c>
      <c r="C970" s="693" t="str">
        <f t="shared" si="132"/>
        <v>深圳新阳蓝光能源管理科技股份有限公司</v>
      </c>
      <c r="D970" s="1082" t="s">
        <v>3175</v>
      </c>
      <c r="E970" s="153" t="s">
        <v>2829</v>
      </c>
      <c r="F970" s="1092"/>
      <c r="G970" s="1092"/>
      <c r="H970" s="1087"/>
      <c r="I970" s="1087"/>
      <c r="J970" s="1104"/>
      <c r="K970" s="1104"/>
      <c r="L970" s="1104"/>
      <c r="M970" s="1117"/>
      <c r="N970" s="1117"/>
      <c r="X970" s="768" t="b">
        <f t="shared" si="106"/>
        <v>1</v>
      </c>
    </row>
    <row r="971" ht="19.5" hidden="1" customHeight="1" outlineLevel="2" spans="2:24">
      <c r="B971" s="692" t="s">
        <v>3174</v>
      </c>
      <c r="C971" s="693" t="str">
        <f t="shared" si="132"/>
        <v>深圳新阳蓝光能源管理科技股份有限公司</v>
      </c>
      <c r="D971" s="1082" t="s">
        <v>3175</v>
      </c>
      <c r="E971" s="153"/>
      <c r="F971" s="1091"/>
      <c r="G971" s="1091"/>
      <c r="H971" s="1087"/>
      <c r="I971" s="1087"/>
      <c r="J971" s="1104"/>
      <c r="K971" s="1104"/>
      <c r="L971" s="1104"/>
      <c r="M971" s="1117"/>
      <c r="N971" s="1117"/>
      <c r="X971" s="768" t="b">
        <f t="shared" si="106"/>
        <v>1</v>
      </c>
    </row>
    <row r="972" ht="13.5" hidden="1" customHeight="1" outlineLevel="2" spans="1:24">
      <c r="A972" s="1081" t="s">
        <v>3179</v>
      </c>
      <c r="B972" s="692" t="s">
        <v>3174</v>
      </c>
      <c r="C972" s="693" t="str">
        <f t="shared" si="132"/>
        <v>深圳新阳蓝光能源管理科技股份有限公司</v>
      </c>
      <c r="D972" s="1093" t="s">
        <v>3179</v>
      </c>
      <c r="E972" s="1094" t="s">
        <v>3180</v>
      </c>
      <c r="F972" s="1094"/>
      <c r="G972" s="919" t="s">
        <v>2966</v>
      </c>
      <c r="H972" s="1095"/>
      <c r="I972" s="1095"/>
      <c r="J972" s="1095"/>
      <c r="K972" s="1095"/>
      <c r="L972" s="1095"/>
      <c r="M972" s="1095"/>
      <c r="X972" s="768" t="b">
        <f t="shared" si="106"/>
        <v>1</v>
      </c>
    </row>
    <row r="973" hidden="1" outlineLevel="2" spans="1:24">
      <c r="A973" s="1081" t="s">
        <v>3181</v>
      </c>
      <c r="B973" s="692" t="s">
        <v>3174</v>
      </c>
      <c r="C973" s="693" t="str">
        <f t="shared" si="132"/>
        <v>深圳新阳蓝光能源管理科技股份有限公司</v>
      </c>
      <c r="D973" s="1093" t="s">
        <v>3182</v>
      </c>
      <c r="E973" s="1085" t="s">
        <v>3181</v>
      </c>
      <c r="F973" s="1085" t="s">
        <v>3183</v>
      </c>
      <c r="G973" s="1085" t="s">
        <v>3184</v>
      </c>
      <c r="H973" s="1085" t="s">
        <v>3185</v>
      </c>
      <c r="I973" s="1085" t="s">
        <v>3186</v>
      </c>
      <c r="J973" s="1085" t="s">
        <v>3187</v>
      </c>
      <c r="K973" s="1085" t="s">
        <v>645</v>
      </c>
      <c r="L973" s="1085" t="s">
        <v>3188</v>
      </c>
      <c r="M973" s="1085" t="s">
        <v>3189</v>
      </c>
      <c r="N973" s="1085" t="s">
        <v>3190</v>
      </c>
      <c r="O973" s="900" t="s">
        <v>3101</v>
      </c>
      <c r="X973" s="768" t="b">
        <f t="shared" si="106"/>
        <v>1</v>
      </c>
    </row>
    <row r="974" hidden="1" outlineLevel="2" spans="2:24">
      <c r="B974" s="692" t="s">
        <v>3174</v>
      </c>
      <c r="C974" s="693" t="str">
        <f t="shared" si="132"/>
        <v>深圳新阳蓝光能源管理科技股份有限公司</v>
      </c>
      <c r="D974" s="1093" t="s">
        <v>3179</v>
      </c>
      <c r="E974" s="1096"/>
      <c r="F974" s="1097"/>
      <c r="G974" s="1097"/>
      <c r="H974" s="1097"/>
      <c r="I974" s="1097"/>
      <c r="J974" s="1097"/>
      <c r="K974" s="1097"/>
      <c r="L974" s="1097"/>
      <c r="M974" s="1097"/>
      <c r="N974" s="1097"/>
      <c r="O974" s="1117"/>
      <c r="X974" s="768" t="b">
        <f t="shared" si="106"/>
        <v>1</v>
      </c>
    </row>
    <row r="975" hidden="1" outlineLevel="2" spans="2:24">
      <c r="B975" s="692" t="s">
        <v>3174</v>
      </c>
      <c r="C975" s="693" t="str">
        <f t="shared" si="132"/>
        <v>深圳新阳蓝光能源管理科技股份有限公司</v>
      </c>
      <c r="D975" s="1093" t="s">
        <v>3191</v>
      </c>
      <c r="E975" s="1096"/>
      <c r="F975" s="1097"/>
      <c r="G975" s="1097"/>
      <c r="H975" s="1097"/>
      <c r="I975" s="1097"/>
      <c r="J975" s="1097"/>
      <c r="K975" s="1097"/>
      <c r="L975" s="1097"/>
      <c r="M975" s="1097"/>
      <c r="N975" s="1097"/>
      <c r="O975" s="1117"/>
      <c r="X975" s="768" t="b">
        <f t="shared" si="106"/>
        <v>1</v>
      </c>
    </row>
    <row r="976" hidden="1" outlineLevel="2" spans="2:24">
      <c r="B976" s="692" t="s">
        <v>3174</v>
      </c>
      <c r="C976" s="693" t="str">
        <f t="shared" si="132"/>
        <v>深圳新阳蓝光能源管理科技股份有限公司</v>
      </c>
      <c r="D976" s="1093" t="s">
        <v>3179</v>
      </c>
      <c r="E976" s="1096"/>
      <c r="F976" s="1097"/>
      <c r="G976" s="1097"/>
      <c r="H976" s="1097"/>
      <c r="I976" s="1097"/>
      <c r="J976" s="1097"/>
      <c r="K976" s="1097"/>
      <c r="L976" s="1097"/>
      <c r="M976" s="1097"/>
      <c r="N976" s="1097"/>
      <c r="O976" s="1117"/>
      <c r="X976" s="768" t="b">
        <f t="shared" si="106"/>
        <v>1</v>
      </c>
    </row>
    <row r="977" hidden="1" outlineLevel="2" spans="2:24">
      <c r="B977" s="692" t="s">
        <v>3174</v>
      </c>
      <c r="C977" s="693" t="str">
        <f t="shared" si="132"/>
        <v>深圳新阳蓝光能源管理科技股份有限公司</v>
      </c>
      <c r="D977" s="1093" t="s">
        <v>3191</v>
      </c>
      <c r="E977" s="1096"/>
      <c r="F977" s="1097"/>
      <c r="G977" s="1097"/>
      <c r="H977" s="1097"/>
      <c r="I977" s="1097"/>
      <c r="J977" s="1097"/>
      <c r="K977" s="1097"/>
      <c r="L977" s="1097"/>
      <c r="M977" s="1097"/>
      <c r="N977" s="1097"/>
      <c r="O977" s="1117"/>
      <c r="X977" s="768" t="b">
        <f t="shared" si="106"/>
        <v>1</v>
      </c>
    </row>
    <row r="978" hidden="1" outlineLevel="2" spans="2:24">
      <c r="B978" s="692" t="s">
        <v>3174</v>
      </c>
      <c r="C978" s="693" t="str">
        <f t="shared" si="132"/>
        <v>深圳新阳蓝光能源管理科技股份有限公司</v>
      </c>
      <c r="D978" s="1093" t="s">
        <v>3179</v>
      </c>
      <c r="E978" s="1098"/>
      <c r="F978" s="1099"/>
      <c r="G978" s="1100"/>
      <c r="H978" s="1101"/>
      <c r="I978" s="1100"/>
      <c r="J978" s="1118"/>
      <c r="K978" s="1100"/>
      <c r="L978" s="1098"/>
      <c r="M978" s="1098"/>
      <c r="N978" s="1100"/>
      <c r="O978" s="1117"/>
      <c r="X978" s="768" t="b">
        <f t="shared" si="106"/>
        <v>1</v>
      </c>
    </row>
    <row r="979" hidden="1" outlineLevel="2" spans="2:24">
      <c r="B979" s="692" t="s">
        <v>3174</v>
      </c>
      <c r="C979" s="693" t="str">
        <f t="shared" si="132"/>
        <v>深圳新阳蓝光能源管理科技股份有限公司</v>
      </c>
      <c r="D979" s="1093" t="s">
        <v>3191</v>
      </c>
      <c r="E979" s="1098"/>
      <c r="F979" s="1099"/>
      <c r="G979" s="1098"/>
      <c r="H979" s="1101"/>
      <c r="I979" s="1100"/>
      <c r="J979" s="1118"/>
      <c r="K979" s="1100"/>
      <c r="L979" s="1098"/>
      <c r="M979" s="1098"/>
      <c r="N979" s="1098"/>
      <c r="O979" s="1117"/>
      <c r="X979" s="768" t="b">
        <f t="shared" si="106"/>
        <v>1</v>
      </c>
    </row>
    <row r="980" hidden="1" outlineLevel="2" spans="2:24">
      <c r="B980" s="692" t="s">
        <v>3174</v>
      </c>
      <c r="C980" s="693" t="str">
        <f t="shared" si="132"/>
        <v>深圳新阳蓝光能源管理科技股份有限公司</v>
      </c>
      <c r="D980" s="1093" t="s">
        <v>3179</v>
      </c>
      <c r="E980" s="1098"/>
      <c r="F980" s="1099"/>
      <c r="G980" s="1098"/>
      <c r="H980" s="1101"/>
      <c r="I980" s="1100"/>
      <c r="J980" s="1118"/>
      <c r="K980" s="1100"/>
      <c r="L980" s="1098"/>
      <c r="M980" s="1098"/>
      <c r="N980" s="1098"/>
      <c r="O980" s="1117"/>
      <c r="X980" s="768" t="b">
        <f t="shared" si="106"/>
        <v>1</v>
      </c>
    </row>
    <row r="981" hidden="1" outlineLevel="2" spans="2:24">
      <c r="B981" s="692" t="s">
        <v>3174</v>
      </c>
      <c r="C981" s="693" t="str">
        <f t="shared" si="132"/>
        <v>深圳新阳蓝光能源管理科技股份有限公司</v>
      </c>
      <c r="D981" s="1093" t="s">
        <v>3191</v>
      </c>
      <c r="E981" s="1098"/>
      <c r="F981" s="1099"/>
      <c r="G981" s="1098"/>
      <c r="H981" s="1101"/>
      <c r="I981" s="1100"/>
      <c r="J981" s="1118"/>
      <c r="K981" s="1100"/>
      <c r="L981" s="1098"/>
      <c r="M981" s="1098"/>
      <c r="N981" s="1098"/>
      <c r="O981" s="1117"/>
      <c r="X981" s="768" t="b">
        <f t="shared" si="106"/>
        <v>1</v>
      </c>
    </row>
    <row r="982" hidden="1" outlineLevel="2" spans="2:24">
      <c r="B982" s="692" t="s">
        <v>3174</v>
      </c>
      <c r="C982" s="693" t="str">
        <f t="shared" si="132"/>
        <v>深圳新阳蓝光能源管理科技股份有限公司</v>
      </c>
      <c r="D982" s="1093" t="s">
        <v>3179</v>
      </c>
      <c r="E982" s="1079"/>
      <c r="F982" s="1091"/>
      <c r="G982" s="1091"/>
      <c r="H982" s="1087"/>
      <c r="I982" s="1087"/>
      <c r="J982" s="1104"/>
      <c r="K982" s="1104"/>
      <c r="L982" s="1104"/>
      <c r="M982" s="1117"/>
      <c r="N982" s="1117"/>
      <c r="X982" s="768" t="b">
        <f t="shared" si="106"/>
        <v>1</v>
      </c>
    </row>
    <row r="983" hidden="1" outlineLevel="2" spans="2:24">
      <c r="B983" s="692" t="s">
        <v>3174</v>
      </c>
      <c r="C983" s="693" t="str">
        <f t="shared" si="132"/>
        <v>深圳新阳蓝光能源管理科技股份有限公司</v>
      </c>
      <c r="D983" s="1093"/>
      <c r="E983" s="153"/>
      <c r="F983" s="1091"/>
      <c r="G983" s="1091"/>
      <c r="H983" s="1087"/>
      <c r="I983" s="1087"/>
      <c r="J983" s="1087"/>
      <c r="K983" s="1087"/>
      <c r="L983" s="1104"/>
      <c r="M983" s="1117"/>
      <c r="N983" s="1117"/>
      <c r="X983" s="768" t="b">
        <f t="shared" si="106"/>
        <v>1</v>
      </c>
    </row>
    <row r="984" hidden="1" outlineLevel="2" spans="1:24">
      <c r="A984" s="1081" t="s">
        <v>2809</v>
      </c>
      <c r="B984" s="692" t="s">
        <v>3174</v>
      </c>
      <c r="C984" s="693" t="str">
        <f t="shared" si="132"/>
        <v>深圳新阳蓝光能源管理科技股份有限公司</v>
      </c>
      <c r="D984" s="1093"/>
      <c r="E984" s="153" t="s">
        <v>2809</v>
      </c>
      <c r="F984" s="1092"/>
      <c r="G984" s="1092"/>
      <c r="H984" s="1087"/>
      <c r="I984" s="1087"/>
      <c r="J984" s="1087"/>
      <c r="K984" s="1087"/>
      <c r="L984" s="1104"/>
      <c r="M984" s="1117"/>
      <c r="N984" s="1117"/>
      <c r="X984" s="768" t="b">
        <f t="shared" si="106"/>
        <v>1</v>
      </c>
    </row>
    <row r="985" hidden="1" outlineLevel="2" spans="2:24">
      <c r="B985" s="692" t="s">
        <v>3174</v>
      </c>
      <c r="C985" s="693" t="str">
        <f t="shared" si="132"/>
        <v>深圳新阳蓝光能源管理科技股份有限公司</v>
      </c>
      <c r="D985" s="1093"/>
      <c r="E985" s="1102"/>
      <c r="F985" s="1091"/>
      <c r="G985" s="1091"/>
      <c r="H985" s="1087"/>
      <c r="I985" s="1087"/>
      <c r="J985" s="1087"/>
      <c r="K985" s="1087"/>
      <c r="L985" s="1104"/>
      <c r="M985" s="1117"/>
      <c r="N985" s="1117"/>
      <c r="X985" s="768" t="b">
        <f t="shared" si="106"/>
        <v>1</v>
      </c>
    </row>
    <row r="986" spans="1:24">
      <c r="A986" s="1081" t="s">
        <v>3192</v>
      </c>
      <c r="B986" s="692" t="s">
        <v>3193</v>
      </c>
      <c r="C986" s="693" t="str">
        <f t="shared" si="132"/>
        <v>深圳新阳蓝光能源管理科技股份有限公司</v>
      </c>
      <c r="D986" s="1103" t="s">
        <v>3194</v>
      </c>
      <c r="E986" s="70" t="s">
        <v>3195</v>
      </c>
      <c r="F986" s="1075" t="s">
        <v>3163</v>
      </c>
      <c r="G986" s="1091"/>
      <c r="H986" s="1087"/>
      <c r="I986" s="1087"/>
      <c r="J986" s="1104"/>
      <c r="K986" s="1104"/>
      <c r="L986" s="1104"/>
      <c r="M986" s="1117"/>
      <c r="N986" s="1117"/>
      <c r="X986" s="768" t="b">
        <f t="shared" si="106"/>
        <v>1</v>
      </c>
    </row>
    <row r="987" outlineLevel="2" spans="1:24">
      <c r="A987" s="1081" t="s">
        <v>3196</v>
      </c>
      <c r="B987" s="692" t="s">
        <v>3193</v>
      </c>
      <c r="C987" s="693" t="str">
        <f t="shared" si="132"/>
        <v>深圳新阳蓝光能源管理科技股份有限公司</v>
      </c>
      <c r="D987" s="1103" t="s">
        <v>3194</v>
      </c>
      <c r="E987" s="153" t="s">
        <v>3197</v>
      </c>
      <c r="F987" s="1091"/>
      <c r="G987" s="1091"/>
      <c r="H987" s="1104"/>
      <c r="I987" s="1119"/>
      <c r="J987" s="1104"/>
      <c r="K987" s="1104"/>
      <c r="L987" s="1104"/>
      <c r="M987" s="1117"/>
      <c r="N987" s="1117"/>
      <c r="X987" s="768" t="b">
        <f t="shared" si="106"/>
        <v>1</v>
      </c>
    </row>
    <row r="988" outlineLevel="2" spans="1:24">
      <c r="A988" s="1048" t="s">
        <v>61</v>
      </c>
      <c r="B988" s="692" t="s">
        <v>3193</v>
      </c>
      <c r="C988" s="693" t="str">
        <f t="shared" si="132"/>
        <v>深圳新阳蓝光能源管理科技股份有限公司</v>
      </c>
      <c r="D988" s="1103" t="s">
        <v>3194</v>
      </c>
      <c r="E988" s="1031" t="s">
        <v>61</v>
      </c>
      <c r="F988" s="1031" t="s">
        <v>516</v>
      </c>
      <c r="G988" s="1076" t="s">
        <v>671</v>
      </c>
      <c r="H988" s="838"/>
      <c r="I988" s="1050"/>
      <c r="J988" s="1050"/>
      <c r="K988" s="1050"/>
      <c r="X988" s="768" t="b">
        <f t="shared" si="106"/>
        <v>1</v>
      </c>
    </row>
    <row r="989" outlineLevel="2" spans="2:24">
      <c r="B989" s="692" t="s">
        <v>3193</v>
      </c>
      <c r="C989" s="693" t="str">
        <f t="shared" si="132"/>
        <v>深圳新阳蓝光能源管理科技股份有限公司</v>
      </c>
      <c r="D989" s="1103" t="s">
        <v>3194</v>
      </c>
      <c r="E989" s="719"/>
      <c r="F989" s="719"/>
      <c r="G989" s="719"/>
      <c r="H989" s="1050"/>
      <c r="I989" s="1050"/>
      <c r="J989" s="1050"/>
      <c r="K989" s="1050"/>
      <c r="X989" s="768" t="b">
        <f t="shared" si="106"/>
        <v>1</v>
      </c>
    </row>
    <row r="990" outlineLevel="2" spans="2:24">
      <c r="B990" s="692" t="s">
        <v>3193</v>
      </c>
      <c r="C990" s="693" t="str">
        <f t="shared" si="132"/>
        <v>深圳新阳蓝光能源管理科技股份有限公司</v>
      </c>
      <c r="D990" s="1103" t="s">
        <v>3194</v>
      </c>
      <c r="E990" s="719"/>
      <c r="F990" s="719"/>
      <c r="G990" s="719"/>
      <c r="H990" s="1050"/>
      <c r="I990" s="1050"/>
      <c r="J990" s="1050"/>
      <c r="K990" s="1050"/>
      <c r="X990" s="768" t="b">
        <f t="shared" ref="X990:X1029" si="133">EXACT(A990,E990)</f>
        <v>1</v>
      </c>
    </row>
    <row r="991" outlineLevel="2" spans="2:24">
      <c r="B991" s="692" t="s">
        <v>3193</v>
      </c>
      <c r="C991" s="693" t="str">
        <f t="shared" si="132"/>
        <v>深圳新阳蓝光能源管理科技股份有限公司</v>
      </c>
      <c r="D991" s="1103" t="s">
        <v>3194</v>
      </c>
      <c r="E991" s="719"/>
      <c r="F991" s="719"/>
      <c r="G991" s="719"/>
      <c r="H991" s="1050"/>
      <c r="I991" s="1050"/>
      <c r="J991" s="1050"/>
      <c r="K991" s="1050"/>
      <c r="X991" s="768" t="b">
        <f t="shared" si="133"/>
        <v>1</v>
      </c>
    </row>
    <row r="992" outlineLevel="2" spans="2:24">
      <c r="B992" s="692" t="s">
        <v>3193</v>
      </c>
      <c r="C992" s="693" t="str">
        <f t="shared" si="132"/>
        <v>深圳新阳蓝光能源管理科技股份有限公司</v>
      </c>
      <c r="D992" s="1103" t="s">
        <v>3194</v>
      </c>
      <c r="E992" s="719"/>
      <c r="F992" s="719"/>
      <c r="G992" s="719"/>
      <c r="H992" s="1050"/>
      <c r="I992" s="1050"/>
      <c r="J992" s="1050"/>
      <c r="K992" s="1050"/>
      <c r="X992" s="768" t="b">
        <f t="shared" si="133"/>
        <v>1</v>
      </c>
    </row>
    <row r="993" outlineLevel="2" spans="2:24">
      <c r="B993" s="692" t="s">
        <v>3193</v>
      </c>
      <c r="C993" s="693" t="str">
        <f t="shared" si="132"/>
        <v>深圳新阳蓝光能源管理科技股份有限公司</v>
      </c>
      <c r="D993" s="1103" t="s">
        <v>3194</v>
      </c>
      <c r="E993" s="719"/>
      <c r="F993" s="719"/>
      <c r="G993" s="719"/>
      <c r="H993" s="1050"/>
      <c r="I993" s="1050"/>
      <c r="J993" s="1050"/>
      <c r="K993" s="1050"/>
      <c r="X993" s="768" t="b">
        <f t="shared" si="133"/>
        <v>1</v>
      </c>
    </row>
    <row r="994" outlineLevel="2" spans="1:24">
      <c r="A994" s="1048" t="s">
        <v>2021</v>
      </c>
      <c r="B994" s="692" t="s">
        <v>3193</v>
      </c>
      <c r="C994" s="693" t="str">
        <f t="shared" si="132"/>
        <v>深圳新阳蓝光能源管理科技股份有限公司</v>
      </c>
      <c r="D994" s="1103" t="s">
        <v>3194</v>
      </c>
      <c r="E994" s="1031" t="s">
        <v>2021</v>
      </c>
      <c r="F994" s="1078">
        <f>SUM(F989:F993)</f>
        <v>0</v>
      </c>
      <c r="G994" s="1078">
        <f>SUM(G989:G993)</f>
        <v>0</v>
      </c>
      <c r="H994" s="1050"/>
      <c r="I994" s="1050"/>
      <c r="J994" s="1050"/>
      <c r="K994" s="1050"/>
      <c r="X994" s="768" t="b">
        <f t="shared" si="133"/>
        <v>1</v>
      </c>
    </row>
    <row r="995" outlineLevel="2" spans="1:24">
      <c r="A995" s="1048" t="s">
        <v>1723</v>
      </c>
      <c r="B995" s="692" t="s">
        <v>3193</v>
      </c>
      <c r="C995" s="693" t="str">
        <f t="shared" si="132"/>
        <v>深圳新阳蓝光能源管理科技股份有限公司</v>
      </c>
      <c r="D995" s="1103" t="s">
        <v>3194</v>
      </c>
      <c r="E995" s="1079" t="s">
        <v>1723</v>
      </c>
      <c r="F995" s="1056">
        <f>审定资负表!C23</f>
        <v>0</v>
      </c>
      <c r="G995" s="1056">
        <f>审定资负表!D23</f>
        <v>0</v>
      </c>
      <c r="H995" s="1050"/>
      <c r="I995" s="1050"/>
      <c r="J995" s="1050"/>
      <c r="K995" s="1050"/>
      <c r="X995" s="768" t="b">
        <f t="shared" si="133"/>
        <v>1</v>
      </c>
    </row>
    <row r="996" outlineLevel="1" collapsed="1" spans="1:24">
      <c r="A996" s="1048" t="s">
        <v>1395</v>
      </c>
      <c r="B996" s="692" t="s">
        <v>3193</v>
      </c>
      <c r="C996" s="693" t="str">
        <f t="shared" si="132"/>
        <v>深圳新阳蓝光能源管理科技股份有限公司</v>
      </c>
      <c r="D996" s="1103" t="s">
        <v>3194</v>
      </c>
      <c r="E996" s="1079" t="s">
        <v>1395</v>
      </c>
      <c r="F996" s="92">
        <f>ROUND(F994-F995,2)</f>
        <v>0</v>
      </c>
      <c r="G996" s="92">
        <f>ROUND(G994-G995,2)</f>
        <v>0</v>
      </c>
      <c r="H996" s="1050"/>
      <c r="I996" s="1050"/>
      <c r="J996" s="1050"/>
      <c r="K996" s="1050"/>
      <c r="X996" s="768" t="b">
        <f t="shared" si="133"/>
        <v>1</v>
      </c>
    </row>
    <row r="997" hidden="1" outlineLevel="2" spans="2:24">
      <c r="B997" s="692" t="s">
        <v>3193</v>
      </c>
      <c r="C997" s="693" t="str">
        <f t="shared" si="132"/>
        <v>深圳新阳蓝光能源管理科技股份有限公司</v>
      </c>
      <c r="D997" s="1103" t="s">
        <v>3194</v>
      </c>
      <c r="E997" s="70"/>
      <c r="F997" s="1091"/>
      <c r="G997" s="1091"/>
      <c r="H997" s="1087"/>
      <c r="I997" s="1087"/>
      <c r="J997" s="1104"/>
      <c r="K997" s="1104"/>
      <c r="L997" s="1104"/>
      <c r="M997" s="1117"/>
      <c r="N997" s="1117"/>
      <c r="X997" s="768" t="b">
        <f t="shared" si="133"/>
        <v>1</v>
      </c>
    </row>
    <row r="998" hidden="1" outlineLevel="2" spans="1:24">
      <c r="A998" s="1081" t="s">
        <v>3198</v>
      </c>
      <c r="B998" s="692" t="s">
        <v>3193</v>
      </c>
      <c r="C998" s="693" t="str">
        <f t="shared" si="132"/>
        <v>深圳新阳蓝光能源管理科技股份有限公司</v>
      </c>
      <c r="D998" s="1103" t="s">
        <v>3199</v>
      </c>
      <c r="E998" s="153" t="s">
        <v>3200</v>
      </c>
      <c r="F998" s="1091"/>
      <c r="G998" s="1091"/>
      <c r="H998" s="1087"/>
      <c r="I998" s="1087"/>
      <c r="J998" s="1104"/>
      <c r="K998" s="1104"/>
      <c r="L998" s="1104"/>
      <c r="M998" s="1117"/>
      <c r="N998" s="1117"/>
      <c r="X998" s="768" t="b">
        <f t="shared" si="133"/>
        <v>1</v>
      </c>
    </row>
    <row r="999" hidden="1" outlineLevel="2" spans="1:24">
      <c r="A999" s="1081" t="s">
        <v>61</v>
      </c>
      <c r="B999" s="692" t="s">
        <v>3193</v>
      </c>
      <c r="C999" s="693" t="str">
        <f t="shared" si="132"/>
        <v>深圳新阳蓝光能源管理科技股份有限公司</v>
      </c>
      <c r="D999" s="1103" t="s">
        <v>3199</v>
      </c>
      <c r="E999" s="1031" t="s">
        <v>61</v>
      </c>
      <c r="F999" s="1031" t="s">
        <v>366</v>
      </c>
      <c r="G999" s="1031" t="s">
        <v>3201</v>
      </c>
      <c r="H999" s="1031" t="s">
        <v>3202</v>
      </c>
      <c r="I999" s="1087"/>
      <c r="J999" s="1104"/>
      <c r="K999" s="1104"/>
      <c r="L999" s="1104"/>
      <c r="M999" s="1117"/>
      <c r="N999" s="1117"/>
      <c r="X999" s="768" t="b">
        <f t="shared" si="133"/>
        <v>1</v>
      </c>
    </row>
    <row r="1000" hidden="1" outlineLevel="2" spans="2:24">
      <c r="B1000" s="692" t="s">
        <v>3193</v>
      </c>
      <c r="C1000" s="693" t="str">
        <f t="shared" si="132"/>
        <v>深圳新阳蓝光能源管理科技股份有限公司</v>
      </c>
      <c r="D1000" s="1103" t="s">
        <v>3203</v>
      </c>
      <c r="E1000" s="753"/>
      <c r="F1000" s="136"/>
      <c r="G1000" s="840">
        <f>IF(H1000=0,0,ROUND(F1000/H1000,4))</f>
        <v>0</v>
      </c>
      <c r="H1000" s="136"/>
      <c r="I1000" s="1087"/>
      <c r="J1000" s="1104"/>
      <c r="K1000" s="1104"/>
      <c r="L1000" s="1104"/>
      <c r="M1000" s="1117"/>
      <c r="N1000" s="1117"/>
      <c r="X1000" s="768" t="b">
        <f t="shared" si="133"/>
        <v>1</v>
      </c>
    </row>
    <row r="1001" hidden="1" outlineLevel="2" spans="2:24">
      <c r="B1001" s="692" t="s">
        <v>3193</v>
      </c>
      <c r="C1001" s="693" t="str">
        <f t="shared" si="132"/>
        <v>深圳新阳蓝光能源管理科技股份有限公司</v>
      </c>
      <c r="D1001" s="1103" t="s">
        <v>3203</v>
      </c>
      <c r="E1001" s="753"/>
      <c r="F1001" s="136"/>
      <c r="G1001" s="840">
        <f t="shared" ref="G1001:G1006" si="134">IF(H1001=0,0,ROUND(F1001/H1001,4))</f>
        <v>0</v>
      </c>
      <c r="H1001" s="136"/>
      <c r="I1001" s="1087"/>
      <c r="J1001" s="1104"/>
      <c r="K1001" s="1104"/>
      <c r="L1001" s="1104"/>
      <c r="M1001" s="1117"/>
      <c r="N1001" s="1117"/>
      <c r="X1001" s="768" t="b">
        <f t="shared" si="133"/>
        <v>1</v>
      </c>
    </row>
    <row r="1002" hidden="1" outlineLevel="2" spans="2:24">
      <c r="B1002" s="692" t="s">
        <v>3193</v>
      </c>
      <c r="C1002" s="693" t="str">
        <f t="shared" si="132"/>
        <v>深圳新阳蓝光能源管理科技股份有限公司</v>
      </c>
      <c r="D1002" s="1103" t="s">
        <v>3203</v>
      </c>
      <c r="E1002" s="753"/>
      <c r="F1002" s="136"/>
      <c r="G1002" s="840">
        <f t="shared" si="134"/>
        <v>0</v>
      </c>
      <c r="H1002" s="136"/>
      <c r="I1002" s="1087"/>
      <c r="J1002" s="1104"/>
      <c r="K1002" s="1104"/>
      <c r="L1002" s="1104"/>
      <c r="M1002" s="1117"/>
      <c r="N1002" s="1117"/>
      <c r="X1002" s="768" t="b">
        <f t="shared" si="133"/>
        <v>1</v>
      </c>
    </row>
    <row r="1003" hidden="1" outlineLevel="2" spans="2:24">
      <c r="B1003" s="692" t="s">
        <v>3193</v>
      </c>
      <c r="C1003" s="693" t="str">
        <f t="shared" si="132"/>
        <v>深圳新阳蓝光能源管理科技股份有限公司</v>
      </c>
      <c r="D1003" s="1103" t="s">
        <v>3203</v>
      </c>
      <c r="E1003" s="753"/>
      <c r="F1003" s="136"/>
      <c r="G1003" s="840">
        <f t="shared" si="134"/>
        <v>0</v>
      </c>
      <c r="H1003" s="136"/>
      <c r="I1003" s="1087"/>
      <c r="J1003" s="1104"/>
      <c r="K1003" s="1104"/>
      <c r="L1003" s="1104"/>
      <c r="M1003" s="1117"/>
      <c r="N1003" s="1117"/>
      <c r="X1003" s="768" t="b">
        <f t="shared" si="133"/>
        <v>1</v>
      </c>
    </row>
    <row r="1004" hidden="1" outlineLevel="2" spans="2:24">
      <c r="B1004" s="692" t="s">
        <v>3193</v>
      </c>
      <c r="C1004" s="693" t="str">
        <f t="shared" si="132"/>
        <v>深圳新阳蓝光能源管理科技股份有限公司</v>
      </c>
      <c r="D1004" s="1103" t="s">
        <v>3203</v>
      </c>
      <c r="E1004" s="753"/>
      <c r="F1004" s="136"/>
      <c r="G1004" s="840">
        <f t="shared" si="134"/>
        <v>0</v>
      </c>
      <c r="H1004" s="136"/>
      <c r="I1004" s="1087"/>
      <c r="J1004" s="1104"/>
      <c r="K1004" s="1104"/>
      <c r="L1004" s="1104"/>
      <c r="M1004" s="1117"/>
      <c r="N1004" s="1117"/>
      <c r="X1004" s="768" t="b">
        <f t="shared" si="133"/>
        <v>1</v>
      </c>
    </row>
    <row r="1005" hidden="1" outlineLevel="2" spans="2:24">
      <c r="B1005" s="692" t="s">
        <v>3193</v>
      </c>
      <c r="C1005" s="693" t="str">
        <f t="shared" si="132"/>
        <v>深圳新阳蓝光能源管理科技股份有限公司</v>
      </c>
      <c r="D1005" s="1103" t="s">
        <v>3203</v>
      </c>
      <c r="E1005" s="753"/>
      <c r="F1005" s="136"/>
      <c r="G1005" s="840">
        <f t="shared" si="134"/>
        <v>0</v>
      </c>
      <c r="H1005" s="136"/>
      <c r="I1005" s="1087"/>
      <c r="J1005" s="1104"/>
      <c r="K1005" s="1104"/>
      <c r="L1005" s="1104"/>
      <c r="M1005" s="1117"/>
      <c r="N1005" s="1117"/>
      <c r="X1005" s="768" t="b">
        <f t="shared" si="133"/>
        <v>1</v>
      </c>
    </row>
    <row r="1006" hidden="1" outlineLevel="2" spans="2:24">
      <c r="B1006" s="692" t="s">
        <v>3193</v>
      </c>
      <c r="C1006" s="693" t="str">
        <f t="shared" si="132"/>
        <v>深圳新阳蓝光能源管理科技股份有限公司</v>
      </c>
      <c r="D1006" s="1103" t="s">
        <v>3203</v>
      </c>
      <c r="E1006" s="753"/>
      <c r="F1006" s="136"/>
      <c r="G1006" s="840">
        <f t="shared" si="134"/>
        <v>0</v>
      </c>
      <c r="H1006" s="136"/>
      <c r="I1006" s="1087"/>
      <c r="J1006" s="1104"/>
      <c r="K1006" s="1104"/>
      <c r="L1006" s="1104"/>
      <c r="M1006" s="1117"/>
      <c r="N1006" s="1117"/>
      <c r="X1006" s="768" t="b">
        <f t="shared" si="133"/>
        <v>1</v>
      </c>
    </row>
    <row r="1007" hidden="1" outlineLevel="2" spans="1:24">
      <c r="A1007" s="1081" t="s">
        <v>2021</v>
      </c>
      <c r="B1007" s="692" t="s">
        <v>3193</v>
      </c>
      <c r="C1007" s="693" t="str">
        <f t="shared" si="132"/>
        <v>深圳新阳蓝光能源管理科技股份有限公司</v>
      </c>
      <c r="D1007" s="1103" t="s">
        <v>3203</v>
      </c>
      <c r="E1007" s="923" t="s">
        <v>2021</v>
      </c>
      <c r="F1007" s="1089">
        <f>SUM(F1000:F1006)</f>
        <v>0</v>
      </c>
      <c r="G1007" s="1105"/>
      <c r="H1007" s="139">
        <f>SUM(H1000:H1006)</f>
        <v>0</v>
      </c>
      <c r="I1007" s="1087"/>
      <c r="J1007" s="1104"/>
      <c r="K1007" s="1104"/>
      <c r="L1007" s="1104"/>
      <c r="M1007" s="1117"/>
      <c r="N1007" s="1117"/>
      <c r="X1007" s="768" t="b">
        <f t="shared" si="133"/>
        <v>1</v>
      </c>
    </row>
    <row r="1008" hidden="1" outlineLevel="2" spans="1:24">
      <c r="A1008" s="1081" t="s">
        <v>3204</v>
      </c>
      <c r="B1008" s="692" t="s">
        <v>3193</v>
      </c>
      <c r="C1008" s="693" t="str">
        <f t="shared" si="132"/>
        <v>深圳新阳蓝光能源管理科技股份有限公司</v>
      </c>
      <c r="D1008" s="1103" t="s">
        <v>3203</v>
      </c>
      <c r="E1008" s="1106" t="s">
        <v>3204</v>
      </c>
      <c r="F1008" s="1092"/>
      <c r="G1008" s="1092"/>
      <c r="H1008" s="1087"/>
      <c r="I1008" s="1087"/>
      <c r="J1008" s="1104"/>
      <c r="K1008" s="1104"/>
      <c r="L1008" s="1104"/>
      <c r="M1008" s="1117"/>
      <c r="N1008" s="1117"/>
      <c r="X1008" s="768" t="b">
        <f t="shared" si="133"/>
        <v>1</v>
      </c>
    </row>
    <row r="1009" hidden="1" outlineLevel="2" spans="2:24">
      <c r="B1009" s="692" t="s">
        <v>3193</v>
      </c>
      <c r="C1009" s="693" t="str">
        <f t="shared" si="132"/>
        <v>深圳新阳蓝光能源管理科技股份有限公司</v>
      </c>
      <c r="D1009" s="1103" t="s">
        <v>3203</v>
      </c>
      <c r="E1009" s="70"/>
      <c r="F1009" s="1091"/>
      <c r="G1009" s="1091"/>
      <c r="H1009" s="1087"/>
      <c r="I1009" s="1087"/>
      <c r="J1009" s="1104"/>
      <c r="K1009" s="1104"/>
      <c r="L1009" s="1104"/>
      <c r="M1009" s="1117"/>
      <c r="N1009" s="1117"/>
      <c r="X1009" s="768" t="b">
        <f t="shared" si="133"/>
        <v>1</v>
      </c>
    </row>
    <row r="1010" hidden="1" outlineLevel="2" spans="2:24">
      <c r="B1010" s="692" t="s">
        <v>3193</v>
      </c>
      <c r="C1010" s="693" t="str">
        <f t="shared" si="132"/>
        <v>深圳新阳蓝光能源管理科技股份有限公司</v>
      </c>
      <c r="D1010" s="1103" t="s">
        <v>3203</v>
      </c>
      <c r="E1010" s="70"/>
      <c r="F1010" s="1091"/>
      <c r="G1010" s="1091"/>
      <c r="H1010" s="1087"/>
      <c r="I1010" s="1087"/>
      <c r="J1010" s="1104"/>
      <c r="K1010" s="1104"/>
      <c r="L1010" s="1104"/>
      <c r="M1010" s="1117"/>
      <c r="N1010" s="1117"/>
      <c r="X1010" s="768" t="b">
        <f t="shared" si="133"/>
        <v>1</v>
      </c>
    </row>
    <row r="1011" hidden="1" outlineLevel="2" spans="2:24">
      <c r="B1011" s="692" t="s">
        <v>3193</v>
      </c>
      <c r="C1011" s="693" t="str">
        <f t="shared" si="132"/>
        <v>深圳新阳蓝光能源管理科技股份有限公司</v>
      </c>
      <c r="D1011" s="1082"/>
      <c r="E1011" s="153"/>
      <c r="F1011" s="1091"/>
      <c r="G1011" s="1091"/>
      <c r="H1011" s="1087"/>
      <c r="I1011" s="1087"/>
      <c r="J1011" s="1104"/>
      <c r="K1011" s="1104"/>
      <c r="L1011" s="1104"/>
      <c r="M1011" s="1117"/>
      <c r="N1011" s="1117"/>
      <c r="X1011" s="768" t="b">
        <f t="shared" si="133"/>
        <v>1</v>
      </c>
    </row>
    <row r="1012" hidden="1" outlineLevel="2" spans="1:24">
      <c r="A1012" s="1081" t="s">
        <v>2809</v>
      </c>
      <c r="B1012" s="692" t="s">
        <v>3193</v>
      </c>
      <c r="C1012" s="693" t="str">
        <f t="shared" si="132"/>
        <v>深圳新阳蓝光能源管理科技股份有限公司</v>
      </c>
      <c r="D1012" s="1082"/>
      <c r="E1012" s="783" t="s">
        <v>2809</v>
      </c>
      <c r="F1012" s="1092"/>
      <c r="G1012" s="1092"/>
      <c r="H1012" s="1087"/>
      <c r="I1012" s="1087"/>
      <c r="J1012" s="1104"/>
      <c r="K1012" s="1104"/>
      <c r="L1012" s="1104"/>
      <c r="M1012" s="1117"/>
      <c r="N1012" s="1117"/>
      <c r="X1012" s="768" t="b">
        <f t="shared" si="133"/>
        <v>1</v>
      </c>
    </row>
    <row r="1013" hidden="1" outlineLevel="2" spans="2:24">
      <c r="B1013" s="692" t="s">
        <v>3193</v>
      </c>
      <c r="C1013" s="693" t="str">
        <f t="shared" si="132"/>
        <v>深圳新阳蓝光能源管理科技股份有限公司</v>
      </c>
      <c r="D1013" s="1082"/>
      <c r="E1013" s="70"/>
      <c r="F1013" s="1091"/>
      <c r="G1013" s="1091"/>
      <c r="H1013" s="1087"/>
      <c r="I1013" s="1087"/>
      <c r="J1013" s="1104"/>
      <c r="K1013" s="1104"/>
      <c r="L1013" s="1104"/>
      <c r="M1013" s="1117"/>
      <c r="N1013" s="1117"/>
      <c r="X1013" s="768" t="b">
        <f t="shared" si="133"/>
        <v>1</v>
      </c>
    </row>
    <row r="1014" spans="1:24">
      <c r="A1014" s="1107" t="s">
        <v>2076</v>
      </c>
      <c r="B1014" s="692" t="s">
        <v>3193</v>
      </c>
      <c r="C1014" s="693" t="str">
        <f t="shared" si="132"/>
        <v>深圳新阳蓝光能源管理科技股份有限公司</v>
      </c>
      <c r="D1014" s="1108" t="s">
        <v>3205</v>
      </c>
      <c r="E1014" s="70" t="s">
        <v>3206</v>
      </c>
      <c r="F1014" s="1109"/>
      <c r="G1014" s="1109"/>
      <c r="X1014" s="768" t="b">
        <f t="shared" si="133"/>
        <v>1</v>
      </c>
    </row>
    <row r="1015" outlineLevel="2" spans="1:24">
      <c r="A1015" s="1107" t="s">
        <v>61</v>
      </c>
      <c r="B1015" s="692" t="s">
        <v>3193</v>
      </c>
      <c r="C1015" s="693" t="str">
        <f t="shared" si="132"/>
        <v>深圳新阳蓝光能源管理科技股份有限公司</v>
      </c>
      <c r="D1015" s="1108" t="s">
        <v>3205</v>
      </c>
      <c r="E1015" s="1110" t="s">
        <v>61</v>
      </c>
      <c r="F1015" s="1111" t="s">
        <v>316</v>
      </c>
      <c r="G1015" s="1111" t="s">
        <v>2020</v>
      </c>
      <c r="X1015" s="768" t="b">
        <f t="shared" si="133"/>
        <v>1</v>
      </c>
    </row>
    <row r="1016" outlineLevel="2" spans="1:24">
      <c r="A1016" s="1107" t="s">
        <v>659</v>
      </c>
      <c r="B1016" s="692" t="s">
        <v>3193</v>
      </c>
      <c r="C1016" s="693" t="str">
        <f t="shared" si="132"/>
        <v>深圳新阳蓝光能源管理科技股份有限公司</v>
      </c>
      <c r="D1016" s="1108" t="s">
        <v>3205</v>
      </c>
      <c r="E1016" s="1112" t="s">
        <v>659</v>
      </c>
      <c r="F1016" s="136"/>
      <c r="G1016" s="743">
        <f>报表附注合并期初用!E565</f>
        <v>0</v>
      </c>
      <c r="X1016" s="768" t="b">
        <f t="shared" si="133"/>
        <v>1</v>
      </c>
    </row>
    <row r="1017" outlineLevel="2" spans="1:24">
      <c r="A1017" s="1107" t="s">
        <v>661</v>
      </c>
      <c r="B1017" s="692" t="s">
        <v>3193</v>
      </c>
      <c r="C1017" s="693" t="str">
        <f t="shared" si="132"/>
        <v>深圳新阳蓝光能源管理科技股份有限公司</v>
      </c>
      <c r="D1017" s="1108" t="s">
        <v>3205</v>
      </c>
      <c r="E1017" s="1112" t="s">
        <v>661</v>
      </c>
      <c r="F1017" s="136"/>
      <c r="G1017" s="743">
        <f>报表附注合并期初用!E566</f>
        <v>0</v>
      </c>
      <c r="X1017" s="768" t="b">
        <f t="shared" si="133"/>
        <v>1</v>
      </c>
    </row>
    <row r="1018" outlineLevel="2" spans="1:24">
      <c r="A1018" s="1107" t="s">
        <v>663</v>
      </c>
      <c r="B1018" s="692" t="s">
        <v>3193</v>
      </c>
      <c r="C1018" s="693" t="str">
        <f t="shared" si="132"/>
        <v>深圳新阳蓝光能源管理科技股份有限公司</v>
      </c>
      <c r="D1018" s="1108" t="s">
        <v>3205</v>
      </c>
      <c r="E1018" s="1112" t="s">
        <v>663</v>
      </c>
      <c r="F1018" s="136">
        <v>71889420.62</v>
      </c>
      <c r="G1018" s="743">
        <f>报表附注合并期初用!E567</f>
        <v>9658781.06</v>
      </c>
      <c r="X1018" s="768" t="b">
        <f t="shared" si="133"/>
        <v>1</v>
      </c>
    </row>
    <row r="1019" outlineLevel="2" spans="1:24">
      <c r="A1019" s="1107" t="s">
        <v>280</v>
      </c>
      <c r="B1019" s="692" t="s">
        <v>3193</v>
      </c>
      <c r="C1019" s="693" t="str">
        <f t="shared" si="132"/>
        <v>深圳新阳蓝光能源管理科技股份有限公司</v>
      </c>
      <c r="D1019" s="1108" t="s">
        <v>3205</v>
      </c>
      <c r="E1019" s="1112" t="s">
        <v>280</v>
      </c>
      <c r="F1019" s="136"/>
      <c r="G1019" s="743">
        <f>报表附注合并期初用!E568</f>
        <v>0</v>
      </c>
      <c r="X1019" s="768" t="b">
        <f t="shared" si="133"/>
        <v>1</v>
      </c>
    </row>
    <row r="1020" outlineLevel="2" spans="1:24">
      <c r="A1020" s="1107" t="s">
        <v>2021</v>
      </c>
      <c r="B1020" s="692" t="s">
        <v>3193</v>
      </c>
      <c r="C1020" s="693" t="str">
        <f t="shared" si="132"/>
        <v>深圳新阳蓝光能源管理科技股份有限公司</v>
      </c>
      <c r="D1020" s="1108" t="s">
        <v>3205</v>
      </c>
      <c r="E1020" s="1111" t="s">
        <v>2021</v>
      </c>
      <c r="F1020" s="834">
        <f>SUM(F1016:F1019)</f>
        <v>71889420.62</v>
      </c>
      <c r="G1020" s="834">
        <f>SUM(G1016:G1019)</f>
        <v>9658781.06</v>
      </c>
      <c r="X1020" s="768" t="b">
        <f t="shared" si="133"/>
        <v>1</v>
      </c>
    </row>
    <row r="1021" outlineLevel="2" spans="1:24">
      <c r="A1021" s="1107" t="s">
        <v>1723</v>
      </c>
      <c r="B1021" s="692" t="s">
        <v>3193</v>
      </c>
      <c r="C1021" s="693" t="str">
        <f t="shared" si="132"/>
        <v>深圳新阳蓝光能源管理科技股份有限公司</v>
      </c>
      <c r="D1021" s="1108" t="s">
        <v>3205</v>
      </c>
      <c r="E1021" s="1113" t="s">
        <v>1723</v>
      </c>
      <c r="F1021" s="1114">
        <f>审定资负表!C24</f>
        <v>71889420.62</v>
      </c>
      <c r="G1021" s="1114">
        <f>审定资负表!D24</f>
        <v>9658781.06</v>
      </c>
      <c r="X1021" s="768" t="b">
        <f t="shared" si="133"/>
        <v>1</v>
      </c>
    </row>
    <row r="1022" outlineLevel="1" collapsed="1" spans="1:24">
      <c r="A1022" s="1107" t="s">
        <v>1395</v>
      </c>
      <c r="B1022" s="692" t="s">
        <v>3193</v>
      </c>
      <c r="C1022" s="693" t="str">
        <f t="shared" si="132"/>
        <v>深圳新阳蓝光能源管理科技股份有限公司</v>
      </c>
      <c r="D1022" s="1108" t="s">
        <v>3205</v>
      </c>
      <c r="E1022" s="1115" t="s">
        <v>1395</v>
      </c>
      <c r="F1022" s="92">
        <f>ROUND(F1020-F1021,2)</f>
        <v>0</v>
      </c>
      <c r="G1022" s="92">
        <f>ROUND(G1020-G1021,2)</f>
        <v>0</v>
      </c>
      <c r="X1022" s="768" t="b">
        <f t="shared" si="133"/>
        <v>1</v>
      </c>
    </row>
    <row r="1023" hidden="1" outlineLevel="2" spans="2:24">
      <c r="B1023" s="692" t="s">
        <v>3193</v>
      </c>
      <c r="C1023" s="693" t="str">
        <f t="shared" si="132"/>
        <v>深圳新阳蓝光能源管理科技股份有限公司</v>
      </c>
      <c r="D1023" s="1108" t="s">
        <v>3205</v>
      </c>
      <c r="X1023" s="768" t="b">
        <f t="shared" si="133"/>
        <v>1</v>
      </c>
    </row>
    <row r="1024" hidden="1" outlineLevel="2" spans="2:24">
      <c r="B1024" s="692" t="s">
        <v>3193</v>
      </c>
      <c r="C1024" s="693" t="str">
        <f t="shared" si="132"/>
        <v>深圳新阳蓝光能源管理科技股份有限公司</v>
      </c>
      <c r="D1024" s="1108" t="s">
        <v>3205</v>
      </c>
      <c r="E1024" s="1116"/>
      <c r="F1024" s="715"/>
      <c r="G1024" s="715"/>
      <c r="X1024" s="768" t="b">
        <f t="shared" si="133"/>
        <v>1</v>
      </c>
    </row>
    <row r="1025" hidden="1" outlineLevel="2" spans="2:24">
      <c r="B1025" s="692" t="s">
        <v>3193</v>
      </c>
      <c r="C1025" s="693" t="str">
        <f t="shared" si="132"/>
        <v>深圳新阳蓝光能源管理科技股份有限公司</v>
      </c>
      <c r="D1025" s="1108"/>
      <c r="E1025" s="153"/>
      <c r="F1025" s="715"/>
      <c r="G1025" s="715"/>
      <c r="X1025" s="768" t="b">
        <f t="shared" si="133"/>
        <v>1</v>
      </c>
    </row>
    <row r="1026" hidden="1" outlineLevel="2" spans="1:24">
      <c r="A1026" s="1107" t="s">
        <v>2809</v>
      </c>
      <c r="B1026" s="692" t="s">
        <v>3193</v>
      </c>
      <c r="C1026" s="693" t="str">
        <f t="shared" si="132"/>
        <v>深圳新阳蓝光能源管理科技股份有限公司</v>
      </c>
      <c r="D1026" s="1108"/>
      <c r="E1026" s="783" t="s">
        <v>2809</v>
      </c>
      <c r="F1026" s="1092"/>
      <c r="G1026" s="1092"/>
      <c r="X1026" s="768" t="b">
        <f t="shared" si="133"/>
        <v>1</v>
      </c>
    </row>
    <row r="1027" hidden="1" outlineLevel="2" spans="2:24">
      <c r="B1027" s="692" t="s">
        <v>3193</v>
      </c>
      <c r="C1027" s="693" t="str">
        <f t="shared" si="132"/>
        <v>深圳新阳蓝光能源管理科技股份有限公司</v>
      </c>
      <c r="D1027" s="1108"/>
      <c r="E1027" s="153"/>
      <c r="F1027" s="715"/>
      <c r="G1027" s="715"/>
      <c r="X1027" s="768" t="b">
        <f t="shared" si="133"/>
        <v>1</v>
      </c>
    </row>
    <row r="1028" hidden="1" outlineLevel="2" spans="2:24">
      <c r="B1028" s="692" t="s">
        <v>3193</v>
      </c>
      <c r="C1028" s="693" t="str">
        <f t="shared" si="132"/>
        <v>深圳新阳蓝光能源管理科技股份有限公司</v>
      </c>
      <c r="D1028" s="1108"/>
      <c r="E1028" s="153"/>
      <c r="F1028" s="715"/>
      <c r="G1028" s="715"/>
      <c r="X1028" s="768" t="b">
        <f t="shared" si="133"/>
        <v>1</v>
      </c>
    </row>
    <row r="1029" collapsed="1" spans="1:24">
      <c r="A1029" s="1107" t="s">
        <v>3207</v>
      </c>
      <c r="B1029" s="692" t="s">
        <v>3193</v>
      </c>
      <c r="C1029" s="693" t="str">
        <f t="shared" si="132"/>
        <v>深圳新阳蓝光能源管理科技股份有限公司</v>
      </c>
      <c r="D1029" s="1108" t="s">
        <v>3207</v>
      </c>
      <c r="E1029" s="70" t="s">
        <v>3208</v>
      </c>
      <c r="F1029" s="715"/>
      <c r="G1029" s="715">
        <f>F1018-G1018</f>
        <v>62230639.56</v>
      </c>
      <c r="X1029" s="768" t="b">
        <f t="shared" si="133"/>
        <v>1</v>
      </c>
    </row>
    <row r="1030" ht="24.75" hidden="1" outlineLevel="2" spans="1:24">
      <c r="A1030" s="1107" t="s">
        <v>669</v>
      </c>
      <c r="B1030" s="692" t="s">
        <v>3193</v>
      </c>
      <c r="C1030" s="693" t="str">
        <f t="shared" ref="C1030:C1093" si="135">$G$1</f>
        <v>深圳新阳蓝光能源管理科技股份有限公司</v>
      </c>
      <c r="D1030" s="1108" t="s">
        <v>3207</v>
      </c>
      <c r="E1030" s="1110" t="s">
        <v>669</v>
      </c>
      <c r="F1030" s="1110" t="s">
        <v>3209</v>
      </c>
      <c r="G1030" s="1110" t="s">
        <v>3210</v>
      </c>
      <c r="H1030" s="1110" t="s">
        <v>3211</v>
      </c>
      <c r="I1030" s="1110" t="s">
        <v>3212</v>
      </c>
      <c r="J1030" s="1110" t="s">
        <v>3213</v>
      </c>
      <c r="K1030" s="1110" t="s">
        <v>3214</v>
      </c>
      <c r="L1030" s="1110" t="s">
        <v>705</v>
      </c>
      <c r="X1030" s="768" t="b">
        <f t="shared" ref="X1030:X1048" si="136">EXACT(A1030,E1030)</f>
        <v>1</v>
      </c>
    </row>
    <row r="1031" hidden="1" outlineLevel="2" spans="1:24">
      <c r="A1031" s="1107" t="s">
        <v>706</v>
      </c>
      <c r="B1031" s="692" t="s">
        <v>3193</v>
      </c>
      <c r="C1031" s="693" t="str">
        <f t="shared" si="135"/>
        <v>深圳新阳蓝光能源管理科技股份有限公司</v>
      </c>
      <c r="D1031" s="1108" t="s">
        <v>3207</v>
      </c>
      <c r="E1031" s="1120" t="s">
        <v>706</v>
      </c>
      <c r="F1031" s="1121"/>
      <c r="G1031" s="1121"/>
      <c r="H1031" s="1121"/>
      <c r="I1031" s="1121"/>
      <c r="J1031" s="1121"/>
      <c r="K1031" s="1121"/>
      <c r="L1031" s="851"/>
      <c r="X1031" s="768" t="b">
        <f t="shared" si="136"/>
        <v>1</v>
      </c>
    </row>
    <row r="1032" hidden="1" outlineLevel="2" spans="2:24">
      <c r="B1032" s="692" t="s">
        <v>3193</v>
      </c>
      <c r="C1032" s="693" t="str">
        <f t="shared" si="135"/>
        <v>深圳新阳蓝光能源管理科技股份有限公司</v>
      </c>
      <c r="D1032" s="1108" t="s">
        <v>3207</v>
      </c>
      <c r="E1032" s="1122"/>
      <c r="F1032" s="1122"/>
      <c r="G1032" s="1122"/>
      <c r="H1032" s="1122"/>
      <c r="I1032" s="1122"/>
      <c r="J1032" s="1122"/>
      <c r="K1032" s="1122"/>
      <c r="L1032" s="1122"/>
      <c r="X1032" s="768" t="b">
        <f t="shared" si="136"/>
        <v>1</v>
      </c>
    </row>
    <row r="1033" hidden="1" outlineLevel="2" spans="2:24">
      <c r="B1033" s="692" t="s">
        <v>3193</v>
      </c>
      <c r="C1033" s="693" t="str">
        <f t="shared" si="135"/>
        <v>深圳新阳蓝光能源管理科技股份有限公司</v>
      </c>
      <c r="D1033" s="1108" t="s">
        <v>3207</v>
      </c>
      <c r="E1033" s="1122"/>
      <c r="F1033" s="1122"/>
      <c r="G1033" s="1122"/>
      <c r="H1033" s="1122"/>
      <c r="I1033" s="1122"/>
      <c r="J1033" s="1122"/>
      <c r="K1033" s="1122"/>
      <c r="L1033" s="1122"/>
      <c r="X1033" s="768" t="b">
        <f t="shared" si="136"/>
        <v>1</v>
      </c>
    </row>
    <row r="1034" hidden="1" outlineLevel="2" spans="2:24">
      <c r="B1034" s="692" t="s">
        <v>3193</v>
      </c>
      <c r="C1034" s="693" t="str">
        <f t="shared" si="135"/>
        <v>深圳新阳蓝光能源管理科技股份有限公司</v>
      </c>
      <c r="D1034" s="1108" t="s">
        <v>3207</v>
      </c>
      <c r="E1034" s="1122"/>
      <c r="F1034" s="1122"/>
      <c r="G1034" s="1122"/>
      <c r="H1034" s="1122"/>
      <c r="I1034" s="1122"/>
      <c r="J1034" s="1122"/>
      <c r="K1034" s="1122"/>
      <c r="L1034" s="1122"/>
      <c r="X1034" s="768" t="b">
        <f t="shared" si="136"/>
        <v>1</v>
      </c>
    </row>
    <row r="1035" hidden="1" outlineLevel="2" spans="2:24">
      <c r="B1035" s="692" t="s">
        <v>3193</v>
      </c>
      <c r="C1035" s="693" t="str">
        <f t="shared" si="135"/>
        <v>深圳新阳蓝光能源管理科技股份有限公司</v>
      </c>
      <c r="D1035" s="1108" t="s">
        <v>3207</v>
      </c>
      <c r="E1035" s="1122"/>
      <c r="F1035" s="1122"/>
      <c r="G1035" s="1122"/>
      <c r="H1035" s="1122"/>
      <c r="I1035" s="1122"/>
      <c r="J1035" s="1122"/>
      <c r="K1035" s="1122"/>
      <c r="L1035" s="1122"/>
      <c r="X1035" s="768" t="b">
        <f t="shared" si="136"/>
        <v>1</v>
      </c>
    </row>
    <row r="1036" hidden="1" outlineLevel="2" spans="2:24">
      <c r="B1036" s="692" t="s">
        <v>3193</v>
      </c>
      <c r="C1036" s="693" t="str">
        <f t="shared" si="135"/>
        <v>深圳新阳蓝光能源管理科技股份有限公司</v>
      </c>
      <c r="D1036" s="1108" t="s">
        <v>3207</v>
      </c>
      <c r="E1036" s="1122"/>
      <c r="F1036" s="1122"/>
      <c r="G1036" s="1122"/>
      <c r="H1036" s="1122"/>
      <c r="I1036" s="1122"/>
      <c r="J1036" s="1122"/>
      <c r="K1036" s="1122"/>
      <c r="L1036" s="1122"/>
      <c r="X1036" s="768" t="b">
        <f t="shared" si="136"/>
        <v>1</v>
      </c>
    </row>
    <row r="1037" hidden="1" outlineLevel="2" spans="2:24">
      <c r="B1037" s="692" t="s">
        <v>3193</v>
      </c>
      <c r="C1037" s="693" t="str">
        <f t="shared" si="135"/>
        <v>深圳新阳蓝光能源管理科技股份有限公司</v>
      </c>
      <c r="D1037" s="1108" t="s">
        <v>3207</v>
      </c>
      <c r="E1037" s="1122"/>
      <c r="F1037" s="1122"/>
      <c r="G1037" s="1122"/>
      <c r="H1037" s="1122"/>
      <c r="I1037" s="1122"/>
      <c r="J1037" s="1122"/>
      <c r="K1037" s="1122"/>
      <c r="L1037" s="1122"/>
      <c r="X1037" s="768" t="b">
        <f t="shared" si="136"/>
        <v>1</v>
      </c>
    </row>
    <row r="1038" hidden="1" outlineLevel="2" spans="2:24">
      <c r="B1038" s="692" t="s">
        <v>3193</v>
      </c>
      <c r="C1038" s="693" t="str">
        <f t="shared" si="135"/>
        <v>深圳新阳蓝光能源管理科技股份有限公司</v>
      </c>
      <c r="D1038" s="1108" t="s">
        <v>3207</v>
      </c>
      <c r="E1038" s="1122"/>
      <c r="F1038" s="1122"/>
      <c r="G1038" s="1122"/>
      <c r="H1038" s="1122"/>
      <c r="I1038" s="1122"/>
      <c r="J1038" s="1122"/>
      <c r="K1038" s="1122"/>
      <c r="L1038" s="1122"/>
      <c r="X1038" s="768" t="b">
        <f t="shared" si="136"/>
        <v>1</v>
      </c>
    </row>
    <row r="1039" hidden="1" outlineLevel="2" spans="1:24">
      <c r="A1039" s="1107" t="s">
        <v>709</v>
      </c>
      <c r="B1039" s="692" t="s">
        <v>3193</v>
      </c>
      <c r="C1039" s="693" t="str">
        <f t="shared" si="135"/>
        <v>深圳新阳蓝光能源管理科技股份有限公司</v>
      </c>
      <c r="D1039" s="1108" t="s">
        <v>3207</v>
      </c>
      <c r="E1039" s="1120" t="s">
        <v>709</v>
      </c>
      <c r="F1039" s="1121"/>
      <c r="G1039" s="1121"/>
      <c r="H1039" s="1122"/>
      <c r="I1039" s="1122"/>
      <c r="J1039" s="1122"/>
      <c r="K1039" s="1122"/>
      <c r="L1039" s="1122"/>
      <c r="X1039" s="768" t="b">
        <f t="shared" si="136"/>
        <v>1</v>
      </c>
    </row>
    <row r="1040" hidden="1" outlineLevel="2" spans="2:24">
      <c r="B1040" s="692" t="s">
        <v>3193</v>
      </c>
      <c r="C1040" s="693" t="str">
        <f t="shared" si="135"/>
        <v>深圳新阳蓝光能源管理科技股份有限公司</v>
      </c>
      <c r="D1040" s="1108" t="s">
        <v>3207</v>
      </c>
      <c r="E1040" s="1122"/>
      <c r="F1040" s="1122"/>
      <c r="G1040" s="1122"/>
      <c r="H1040" s="1122"/>
      <c r="I1040" s="1122"/>
      <c r="J1040" s="1122"/>
      <c r="K1040" s="1122"/>
      <c r="L1040" s="1122"/>
      <c r="X1040" s="768" t="b">
        <f t="shared" si="136"/>
        <v>1</v>
      </c>
    </row>
    <row r="1041" hidden="1" outlineLevel="2" spans="2:24">
      <c r="B1041" s="692" t="s">
        <v>3193</v>
      </c>
      <c r="C1041" s="693" t="str">
        <f t="shared" si="135"/>
        <v>深圳新阳蓝光能源管理科技股份有限公司</v>
      </c>
      <c r="D1041" s="1108" t="s">
        <v>3207</v>
      </c>
      <c r="E1041" s="1122"/>
      <c r="F1041" s="1122"/>
      <c r="G1041" s="1122"/>
      <c r="H1041" s="1122"/>
      <c r="I1041" s="1122"/>
      <c r="J1041" s="1122"/>
      <c r="K1041" s="1122"/>
      <c r="L1041" s="1122"/>
      <c r="X1041" s="768" t="b">
        <f t="shared" si="136"/>
        <v>1</v>
      </c>
    </row>
    <row r="1042" hidden="1" outlineLevel="2" spans="2:24">
      <c r="B1042" s="692" t="s">
        <v>3193</v>
      </c>
      <c r="C1042" s="693" t="str">
        <f t="shared" si="135"/>
        <v>深圳新阳蓝光能源管理科技股份有限公司</v>
      </c>
      <c r="D1042" s="1108" t="s">
        <v>3207</v>
      </c>
      <c r="E1042" s="1122"/>
      <c r="F1042" s="1122"/>
      <c r="G1042" s="1122"/>
      <c r="H1042" s="1122"/>
      <c r="I1042" s="1122"/>
      <c r="J1042" s="1122"/>
      <c r="K1042" s="1122"/>
      <c r="L1042" s="1122"/>
      <c r="X1042" s="768" t="b">
        <f t="shared" si="136"/>
        <v>1</v>
      </c>
    </row>
    <row r="1043" hidden="1" outlineLevel="2" spans="2:24">
      <c r="B1043" s="692" t="s">
        <v>3193</v>
      </c>
      <c r="C1043" s="693" t="str">
        <f t="shared" si="135"/>
        <v>深圳新阳蓝光能源管理科技股份有限公司</v>
      </c>
      <c r="D1043" s="1108" t="s">
        <v>3207</v>
      </c>
      <c r="E1043" s="1122"/>
      <c r="F1043" s="1122"/>
      <c r="G1043" s="1122"/>
      <c r="H1043" s="1122"/>
      <c r="I1043" s="1122"/>
      <c r="J1043" s="1122"/>
      <c r="K1043" s="1122"/>
      <c r="L1043" s="1122"/>
      <c r="X1043" s="768" t="b">
        <f t="shared" si="136"/>
        <v>1</v>
      </c>
    </row>
    <row r="1044" hidden="1" outlineLevel="2" spans="2:24">
      <c r="B1044" s="692" t="s">
        <v>3193</v>
      </c>
      <c r="C1044" s="693" t="str">
        <f t="shared" si="135"/>
        <v>深圳新阳蓝光能源管理科技股份有限公司</v>
      </c>
      <c r="D1044" s="1108" t="s">
        <v>3207</v>
      </c>
      <c r="E1044" s="1122"/>
      <c r="F1044" s="1122"/>
      <c r="G1044" s="1122"/>
      <c r="H1044" s="1122"/>
      <c r="I1044" s="1122"/>
      <c r="J1044" s="1122"/>
      <c r="K1044" s="1122"/>
      <c r="L1044" s="1122"/>
      <c r="X1044" s="768" t="b">
        <f t="shared" si="136"/>
        <v>1</v>
      </c>
    </row>
    <row r="1045" hidden="1" outlineLevel="2" spans="2:24">
      <c r="B1045" s="692" t="s">
        <v>3193</v>
      </c>
      <c r="C1045" s="693" t="str">
        <f t="shared" si="135"/>
        <v>深圳新阳蓝光能源管理科技股份有限公司</v>
      </c>
      <c r="D1045" s="1108" t="s">
        <v>3207</v>
      </c>
      <c r="E1045" s="1122"/>
      <c r="F1045" s="1122"/>
      <c r="G1045" s="1122"/>
      <c r="H1045" s="1122"/>
      <c r="I1045" s="1122"/>
      <c r="J1045" s="1122"/>
      <c r="K1045" s="1122"/>
      <c r="L1045" s="1122"/>
      <c r="X1045" s="768" t="b">
        <f t="shared" si="136"/>
        <v>1</v>
      </c>
    </row>
    <row r="1046" hidden="1" outlineLevel="2" spans="2:24">
      <c r="B1046" s="692" t="s">
        <v>3193</v>
      </c>
      <c r="C1046" s="693" t="str">
        <f t="shared" si="135"/>
        <v>深圳新阳蓝光能源管理科技股份有限公司</v>
      </c>
      <c r="D1046" s="1108" t="s">
        <v>3207</v>
      </c>
      <c r="E1046" s="1122"/>
      <c r="F1046" s="1122"/>
      <c r="G1046" s="1122"/>
      <c r="H1046" s="1122"/>
      <c r="I1046" s="1122"/>
      <c r="J1046" s="1122"/>
      <c r="K1046" s="1122"/>
      <c r="L1046" s="1122"/>
      <c r="X1046" s="768" t="b">
        <f t="shared" si="136"/>
        <v>1</v>
      </c>
    </row>
    <row r="1047" hidden="1" outlineLevel="2" spans="2:24">
      <c r="B1047" s="692" t="s">
        <v>3193</v>
      </c>
      <c r="C1047" s="693" t="str">
        <f t="shared" si="135"/>
        <v>深圳新阳蓝光能源管理科技股份有限公司</v>
      </c>
      <c r="D1047" s="1108" t="s">
        <v>3207</v>
      </c>
      <c r="E1047" s="1122"/>
      <c r="F1047" s="1122"/>
      <c r="G1047" s="1122"/>
      <c r="H1047" s="1122"/>
      <c r="I1047" s="1122"/>
      <c r="J1047" s="1122"/>
      <c r="K1047" s="1122"/>
      <c r="L1047" s="1122"/>
      <c r="X1047" s="768" t="b">
        <f t="shared" si="136"/>
        <v>1</v>
      </c>
    </row>
    <row r="1048" hidden="1" outlineLevel="2" spans="2:24">
      <c r="B1048" s="692" t="s">
        <v>3193</v>
      </c>
      <c r="C1048" s="693" t="str">
        <f t="shared" si="135"/>
        <v>深圳新阳蓝光能源管理科技股份有限公司</v>
      </c>
      <c r="D1048" s="1108" t="s">
        <v>3207</v>
      </c>
      <c r="E1048" s="1122"/>
      <c r="F1048" s="1122"/>
      <c r="G1048" s="1122"/>
      <c r="H1048" s="1122"/>
      <c r="I1048" s="1122"/>
      <c r="J1048" s="1122"/>
      <c r="K1048" s="1122"/>
      <c r="L1048" s="1122"/>
      <c r="X1048" s="768" t="b">
        <f t="shared" si="136"/>
        <v>1</v>
      </c>
    </row>
    <row r="1049" hidden="1" outlineLevel="2" spans="1:24">
      <c r="A1049" s="1107" t="s">
        <v>3215</v>
      </c>
      <c r="B1049" s="692" t="s">
        <v>3193</v>
      </c>
      <c r="C1049" s="693" t="str">
        <f t="shared" si="135"/>
        <v>深圳新阳蓝光能源管理科技股份有限公司</v>
      </c>
      <c r="D1049" s="1108" t="s">
        <v>3207</v>
      </c>
      <c r="E1049" s="1106" t="s">
        <v>3215</v>
      </c>
      <c r="F1049" s="715"/>
      <c r="G1049" s="715"/>
      <c r="X1049" s="768" t="b">
        <f t="shared" ref="X1049:X1112" si="137">EXACT(A1049,E1049)</f>
        <v>1</v>
      </c>
    </row>
    <row r="1050" hidden="1" outlineLevel="2" spans="2:24">
      <c r="B1050" s="692" t="s">
        <v>3193</v>
      </c>
      <c r="C1050" s="693" t="str">
        <f t="shared" si="135"/>
        <v>深圳新阳蓝光能源管理科技股份有限公司</v>
      </c>
      <c r="D1050" s="1108" t="s">
        <v>3207</v>
      </c>
      <c r="E1050" s="1123"/>
      <c r="F1050" s="736"/>
      <c r="G1050" s="736"/>
      <c r="H1050" s="1124"/>
      <c r="X1050" s="768" t="b">
        <f t="shared" si="137"/>
        <v>1</v>
      </c>
    </row>
    <row r="1051" hidden="1" outlineLevel="2" spans="2:24">
      <c r="B1051" s="692" t="s">
        <v>3193</v>
      </c>
      <c r="C1051" s="693" t="str">
        <f t="shared" si="135"/>
        <v>深圳新阳蓝光能源管理科技股份有限公司</v>
      </c>
      <c r="D1051" s="1108" t="s">
        <v>3207</v>
      </c>
      <c r="E1051" s="1106"/>
      <c r="F1051" s="715"/>
      <c r="G1051" s="715"/>
      <c r="X1051" s="768" t="b">
        <f t="shared" si="137"/>
        <v>1</v>
      </c>
    </row>
    <row r="1052" spans="1:24">
      <c r="A1052" s="1107" t="s">
        <v>3216</v>
      </c>
      <c r="B1052" s="692" t="s">
        <v>3217</v>
      </c>
      <c r="C1052" s="693" t="str">
        <f t="shared" si="135"/>
        <v>深圳新阳蓝光能源管理科技股份有限公司</v>
      </c>
      <c r="D1052" s="1108" t="s">
        <v>3216</v>
      </c>
      <c r="E1052" s="70" t="s">
        <v>3218</v>
      </c>
      <c r="F1052" s="1075" t="s">
        <v>3163</v>
      </c>
      <c r="G1052" s="715"/>
      <c r="X1052" s="768" t="b">
        <f t="shared" si="137"/>
        <v>1</v>
      </c>
    </row>
    <row r="1053" outlineLevel="2" spans="1:24">
      <c r="A1053" s="1107" t="s">
        <v>3219</v>
      </c>
      <c r="B1053" s="692" t="s">
        <v>3217</v>
      </c>
      <c r="C1053" s="693" t="str">
        <f t="shared" si="135"/>
        <v>深圳新阳蓝光能源管理科技股份有限公司</v>
      </c>
      <c r="D1053" s="1108" t="s">
        <v>3216</v>
      </c>
      <c r="E1053" s="1125" t="s">
        <v>3219</v>
      </c>
      <c r="F1053" s="1125"/>
      <c r="G1053" s="1125"/>
      <c r="H1053" s="1125"/>
      <c r="I1053" s="1125"/>
      <c r="J1053" s="1125"/>
      <c r="K1053" s="1125"/>
      <c r="L1053" s="1134"/>
      <c r="X1053" s="768" t="b">
        <f t="shared" si="137"/>
        <v>1</v>
      </c>
    </row>
    <row r="1054" ht="40.5" customHeight="1" outlineLevel="2" spans="1:24">
      <c r="A1054" s="1107" t="s">
        <v>420</v>
      </c>
      <c r="B1054" s="692" t="s">
        <v>3217</v>
      </c>
      <c r="C1054" s="693" t="str">
        <f t="shared" si="135"/>
        <v>深圳新阳蓝光能源管理科技股份有限公司</v>
      </c>
      <c r="D1054" s="1108" t="s">
        <v>3216</v>
      </c>
      <c r="E1054" s="1126" t="s">
        <v>420</v>
      </c>
      <c r="F1054" s="1126" t="s">
        <v>3220</v>
      </c>
      <c r="G1054" s="1127" t="s">
        <v>3221</v>
      </c>
      <c r="H1054" s="1126" t="s">
        <v>3222</v>
      </c>
      <c r="I1054" s="1126" t="s">
        <v>672</v>
      </c>
      <c r="J1054" s="1126" t="s">
        <v>673</v>
      </c>
      <c r="K1054" s="1126" t="s">
        <v>3223</v>
      </c>
      <c r="L1054" s="1126" t="s">
        <v>3224</v>
      </c>
      <c r="M1054" s="1126" t="s">
        <v>3225</v>
      </c>
      <c r="N1054" s="1126" t="s">
        <v>3226</v>
      </c>
      <c r="O1054" s="1126" t="s">
        <v>776</v>
      </c>
      <c r="P1054" s="1126" t="s">
        <v>3227</v>
      </c>
      <c r="Q1054" s="1126" t="s">
        <v>3228</v>
      </c>
      <c r="X1054" s="768" t="b">
        <f t="shared" si="137"/>
        <v>1</v>
      </c>
    </row>
    <row r="1055" outlineLevel="2" spans="2:24">
      <c r="B1055" s="692" t="s">
        <v>3217</v>
      </c>
      <c r="C1055" s="693" t="str">
        <f t="shared" si="135"/>
        <v>深圳新阳蓝光能源管理科技股份有限公司</v>
      </c>
      <c r="D1055" s="1108" t="s">
        <v>3216</v>
      </c>
      <c r="E1055" s="1128" t="s">
        <v>3229</v>
      </c>
      <c r="F1055" s="1128"/>
      <c r="G1055" s="1129">
        <v>2000000</v>
      </c>
      <c r="H1055" s="1129">
        <v>2000000</v>
      </c>
      <c r="I1055" s="1138"/>
      <c r="J1055" s="1138"/>
      <c r="K1055" s="1139">
        <f t="shared" ref="K1055:K1080" si="138">ROUND(H1055+I1055-J1055,2)</f>
        <v>2000000</v>
      </c>
      <c r="L1055" s="1140">
        <v>100</v>
      </c>
      <c r="M1055" s="1140">
        <v>100</v>
      </c>
      <c r="N1055" s="1141"/>
      <c r="O1055" s="1141"/>
      <c r="P1055" s="1141"/>
      <c r="Q1055" s="1141"/>
      <c r="X1055" s="768" t="b">
        <f t="shared" si="137"/>
        <v>0</v>
      </c>
    </row>
    <row r="1056" outlineLevel="2" spans="2:24">
      <c r="B1056" s="692" t="s">
        <v>3217</v>
      </c>
      <c r="C1056" s="693" t="str">
        <f t="shared" si="135"/>
        <v>深圳新阳蓝光能源管理科技股份有限公司</v>
      </c>
      <c r="D1056" s="1108" t="s">
        <v>3216</v>
      </c>
      <c r="E1056" s="1128" t="s">
        <v>3230</v>
      </c>
      <c r="F1056" s="1128"/>
      <c r="G1056" s="1129">
        <v>2000000</v>
      </c>
      <c r="H1056" s="1129">
        <v>2000000</v>
      </c>
      <c r="I1056" s="1138"/>
      <c r="J1056" s="1138"/>
      <c r="K1056" s="1139">
        <f t="shared" si="138"/>
        <v>2000000</v>
      </c>
      <c r="L1056" s="1140">
        <v>100</v>
      </c>
      <c r="M1056" s="1140">
        <v>100</v>
      </c>
      <c r="N1056" s="1141"/>
      <c r="O1056" s="1141"/>
      <c r="P1056" s="1141"/>
      <c r="Q1056" s="1141"/>
      <c r="X1056" s="768" t="b">
        <f t="shared" si="137"/>
        <v>0</v>
      </c>
    </row>
    <row r="1057" outlineLevel="2" spans="2:24">
      <c r="B1057" s="692" t="s">
        <v>3217</v>
      </c>
      <c r="C1057" s="693" t="str">
        <f t="shared" si="135"/>
        <v>深圳新阳蓝光能源管理科技股份有限公司</v>
      </c>
      <c r="D1057" s="1108" t="s">
        <v>3216</v>
      </c>
      <c r="E1057" s="1128"/>
      <c r="F1057" s="1128"/>
      <c r="G1057" s="1129"/>
      <c r="H1057" s="1129"/>
      <c r="I1057" s="1138"/>
      <c r="J1057" s="1138"/>
      <c r="K1057" s="1139">
        <f t="shared" si="138"/>
        <v>0</v>
      </c>
      <c r="L1057" s="1140"/>
      <c r="M1057" s="1142"/>
      <c r="N1057" s="1141"/>
      <c r="O1057" s="1141"/>
      <c r="P1057" s="1141"/>
      <c r="Q1057" s="1141"/>
      <c r="X1057" s="768" t="b">
        <f t="shared" si="137"/>
        <v>1</v>
      </c>
    </row>
    <row r="1058" outlineLevel="2" spans="2:24">
      <c r="B1058" s="692" t="s">
        <v>3217</v>
      </c>
      <c r="C1058" s="693" t="str">
        <f t="shared" si="135"/>
        <v>深圳新阳蓝光能源管理科技股份有限公司</v>
      </c>
      <c r="D1058" s="1108" t="s">
        <v>3216</v>
      </c>
      <c r="E1058" s="1128"/>
      <c r="F1058" s="1128"/>
      <c r="G1058" s="1129"/>
      <c r="H1058" s="1129"/>
      <c r="I1058" s="1138"/>
      <c r="J1058" s="1138"/>
      <c r="K1058" s="1139">
        <f t="shared" si="138"/>
        <v>0</v>
      </c>
      <c r="L1058" s="1140"/>
      <c r="M1058" s="1142"/>
      <c r="N1058" s="1141"/>
      <c r="O1058" s="1141"/>
      <c r="P1058" s="1141"/>
      <c r="Q1058" s="1141"/>
      <c r="X1058" s="768" t="b">
        <f t="shared" si="137"/>
        <v>1</v>
      </c>
    </row>
    <row r="1059" outlineLevel="2" spans="2:24">
      <c r="B1059" s="692" t="s">
        <v>3217</v>
      </c>
      <c r="C1059" s="693" t="str">
        <f t="shared" si="135"/>
        <v>深圳新阳蓝光能源管理科技股份有限公司</v>
      </c>
      <c r="D1059" s="1108" t="s">
        <v>3216</v>
      </c>
      <c r="E1059" s="1128"/>
      <c r="F1059" s="1128"/>
      <c r="G1059" s="1129"/>
      <c r="H1059" s="1129"/>
      <c r="I1059" s="1138"/>
      <c r="J1059" s="1138"/>
      <c r="K1059" s="1139">
        <f t="shared" si="138"/>
        <v>0</v>
      </c>
      <c r="L1059" s="1140"/>
      <c r="M1059" s="1142"/>
      <c r="N1059" s="1141"/>
      <c r="O1059" s="1141"/>
      <c r="P1059" s="1141"/>
      <c r="Q1059" s="1141"/>
      <c r="X1059" s="768" t="b">
        <f t="shared" si="137"/>
        <v>1</v>
      </c>
    </row>
    <row r="1060" outlineLevel="2" spans="2:24">
      <c r="B1060" s="692" t="s">
        <v>3217</v>
      </c>
      <c r="C1060" s="693" t="str">
        <f t="shared" si="135"/>
        <v>深圳新阳蓝光能源管理科技股份有限公司</v>
      </c>
      <c r="D1060" s="1108" t="s">
        <v>3216</v>
      </c>
      <c r="E1060" s="1128"/>
      <c r="F1060" s="1128"/>
      <c r="G1060" s="1129"/>
      <c r="H1060" s="1129"/>
      <c r="I1060" s="1138"/>
      <c r="J1060" s="1138"/>
      <c r="K1060" s="1139">
        <f t="shared" si="138"/>
        <v>0</v>
      </c>
      <c r="L1060" s="1140"/>
      <c r="M1060" s="1142"/>
      <c r="N1060" s="1141"/>
      <c r="O1060" s="1141"/>
      <c r="P1060" s="1141"/>
      <c r="Q1060" s="1141"/>
      <c r="X1060" s="768" t="b">
        <f t="shared" si="137"/>
        <v>1</v>
      </c>
    </row>
    <row r="1061" outlineLevel="2" spans="2:24">
      <c r="B1061" s="692" t="s">
        <v>3217</v>
      </c>
      <c r="C1061" s="693" t="str">
        <f t="shared" si="135"/>
        <v>深圳新阳蓝光能源管理科技股份有限公司</v>
      </c>
      <c r="D1061" s="1108" t="s">
        <v>3216</v>
      </c>
      <c r="E1061" s="1128"/>
      <c r="F1061" s="1128"/>
      <c r="G1061" s="1129"/>
      <c r="H1061" s="1129"/>
      <c r="I1061" s="1138"/>
      <c r="J1061" s="1138"/>
      <c r="K1061" s="1139">
        <f t="shared" si="138"/>
        <v>0</v>
      </c>
      <c r="L1061" s="1140"/>
      <c r="M1061" s="1142"/>
      <c r="N1061" s="1141"/>
      <c r="O1061" s="1141"/>
      <c r="P1061" s="1141"/>
      <c r="Q1061" s="1141"/>
      <c r="X1061" s="768" t="b">
        <f t="shared" si="137"/>
        <v>1</v>
      </c>
    </row>
    <row r="1062" outlineLevel="2" spans="2:24">
      <c r="B1062" s="692" t="s">
        <v>3217</v>
      </c>
      <c r="C1062" s="693" t="str">
        <f t="shared" si="135"/>
        <v>深圳新阳蓝光能源管理科技股份有限公司</v>
      </c>
      <c r="D1062" s="1108" t="s">
        <v>3216</v>
      </c>
      <c r="E1062" s="1128"/>
      <c r="F1062" s="1128"/>
      <c r="G1062" s="1129"/>
      <c r="H1062" s="1129"/>
      <c r="I1062" s="1138"/>
      <c r="J1062" s="1138"/>
      <c r="K1062" s="1139">
        <f t="shared" si="138"/>
        <v>0</v>
      </c>
      <c r="L1062" s="1140"/>
      <c r="M1062" s="1142"/>
      <c r="N1062" s="1141"/>
      <c r="O1062" s="1141"/>
      <c r="P1062" s="1141"/>
      <c r="Q1062" s="1141"/>
      <c r="X1062" s="768" t="b">
        <f t="shared" si="137"/>
        <v>1</v>
      </c>
    </row>
    <row r="1063" outlineLevel="2" spans="2:24">
      <c r="B1063" s="692" t="s">
        <v>3217</v>
      </c>
      <c r="C1063" s="693" t="str">
        <f t="shared" si="135"/>
        <v>深圳新阳蓝光能源管理科技股份有限公司</v>
      </c>
      <c r="D1063" s="1108" t="s">
        <v>3216</v>
      </c>
      <c r="E1063" s="1128"/>
      <c r="F1063" s="1128"/>
      <c r="G1063" s="1129"/>
      <c r="H1063" s="1129"/>
      <c r="I1063" s="1138"/>
      <c r="J1063" s="1138"/>
      <c r="K1063" s="1139">
        <f t="shared" si="138"/>
        <v>0</v>
      </c>
      <c r="L1063" s="1140"/>
      <c r="M1063" s="1142"/>
      <c r="N1063" s="1141"/>
      <c r="O1063" s="1141"/>
      <c r="P1063" s="1141"/>
      <c r="Q1063" s="1141"/>
      <c r="X1063" s="768" t="b">
        <f t="shared" si="137"/>
        <v>1</v>
      </c>
    </row>
    <row r="1064" outlineLevel="2" spans="2:24">
      <c r="B1064" s="692" t="s">
        <v>3217</v>
      </c>
      <c r="C1064" s="693" t="str">
        <f t="shared" si="135"/>
        <v>深圳新阳蓝光能源管理科技股份有限公司</v>
      </c>
      <c r="D1064" s="1108" t="s">
        <v>3216</v>
      </c>
      <c r="E1064" s="1128"/>
      <c r="F1064" s="1128"/>
      <c r="G1064" s="1129"/>
      <c r="H1064" s="1129"/>
      <c r="I1064" s="1138"/>
      <c r="J1064" s="1138"/>
      <c r="K1064" s="1139">
        <f t="shared" si="138"/>
        <v>0</v>
      </c>
      <c r="L1064" s="1143"/>
      <c r="M1064" s="1142"/>
      <c r="N1064" s="1141"/>
      <c r="O1064" s="1141"/>
      <c r="P1064" s="1141"/>
      <c r="Q1064" s="1141"/>
      <c r="X1064" s="768" t="b">
        <f t="shared" si="137"/>
        <v>1</v>
      </c>
    </row>
    <row r="1065" outlineLevel="2" spans="2:24">
      <c r="B1065" s="692" t="s">
        <v>3217</v>
      </c>
      <c r="C1065" s="693" t="str">
        <f t="shared" si="135"/>
        <v>深圳新阳蓝光能源管理科技股份有限公司</v>
      </c>
      <c r="D1065" s="1108" t="s">
        <v>3216</v>
      </c>
      <c r="E1065" s="1128"/>
      <c r="F1065" s="1128"/>
      <c r="G1065" s="1129"/>
      <c r="H1065" s="1129"/>
      <c r="I1065" s="1138"/>
      <c r="J1065" s="1138"/>
      <c r="K1065" s="1139">
        <f t="shared" si="138"/>
        <v>0</v>
      </c>
      <c r="L1065" s="1143"/>
      <c r="M1065" s="1142"/>
      <c r="N1065" s="1141"/>
      <c r="O1065" s="1141"/>
      <c r="P1065" s="1141"/>
      <c r="Q1065" s="1141"/>
      <c r="X1065" s="768" t="b">
        <f t="shared" si="137"/>
        <v>1</v>
      </c>
    </row>
    <row r="1066" outlineLevel="2" spans="2:24">
      <c r="B1066" s="692" t="s">
        <v>3217</v>
      </c>
      <c r="C1066" s="693" t="str">
        <f t="shared" si="135"/>
        <v>深圳新阳蓝光能源管理科技股份有限公司</v>
      </c>
      <c r="D1066" s="1108" t="s">
        <v>3216</v>
      </c>
      <c r="E1066" s="1128"/>
      <c r="F1066" s="1128"/>
      <c r="G1066" s="1129"/>
      <c r="H1066" s="1129"/>
      <c r="I1066" s="1138"/>
      <c r="J1066" s="1138"/>
      <c r="K1066" s="1139">
        <f t="shared" si="138"/>
        <v>0</v>
      </c>
      <c r="L1066" s="1143"/>
      <c r="M1066" s="1142"/>
      <c r="N1066" s="1141"/>
      <c r="O1066" s="1141"/>
      <c r="P1066" s="1141"/>
      <c r="Q1066" s="1141"/>
      <c r="X1066" s="768" t="b">
        <f t="shared" si="137"/>
        <v>1</v>
      </c>
    </row>
    <row r="1067" outlineLevel="2" spans="2:24">
      <c r="B1067" s="692" t="s">
        <v>3217</v>
      </c>
      <c r="C1067" s="693" t="str">
        <f t="shared" si="135"/>
        <v>深圳新阳蓝光能源管理科技股份有限公司</v>
      </c>
      <c r="D1067" s="1108" t="s">
        <v>3216</v>
      </c>
      <c r="E1067" s="1128"/>
      <c r="F1067" s="1128"/>
      <c r="G1067" s="1129"/>
      <c r="H1067" s="1129"/>
      <c r="I1067" s="1138"/>
      <c r="J1067" s="1138"/>
      <c r="K1067" s="1139">
        <f t="shared" si="138"/>
        <v>0</v>
      </c>
      <c r="L1067" s="1143"/>
      <c r="M1067" s="1142"/>
      <c r="N1067" s="1141"/>
      <c r="O1067" s="1141"/>
      <c r="P1067" s="1141"/>
      <c r="Q1067" s="1141"/>
      <c r="X1067" s="768" t="b">
        <f t="shared" si="137"/>
        <v>1</v>
      </c>
    </row>
    <row r="1068" outlineLevel="2" spans="2:24">
      <c r="B1068" s="692" t="s">
        <v>3217</v>
      </c>
      <c r="C1068" s="693" t="str">
        <f t="shared" si="135"/>
        <v>深圳新阳蓝光能源管理科技股份有限公司</v>
      </c>
      <c r="D1068" s="1108" t="s">
        <v>3216</v>
      </c>
      <c r="E1068" s="1128"/>
      <c r="F1068" s="1128"/>
      <c r="G1068" s="1129"/>
      <c r="H1068" s="1129"/>
      <c r="I1068" s="1138"/>
      <c r="J1068" s="1138"/>
      <c r="K1068" s="1139">
        <f t="shared" si="138"/>
        <v>0</v>
      </c>
      <c r="L1068" s="1143"/>
      <c r="M1068" s="1142"/>
      <c r="N1068" s="1141"/>
      <c r="O1068" s="1141"/>
      <c r="P1068" s="1141"/>
      <c r="Q1068" s="1141"/>
      <c r="X1068" s="768" t="b">
        <f t="shared" si="137"/>
        <v>1</v>
      </c>
    </row>
    <row r="1069" outlineLevel="2" spans="2:24">
      <c r="B1069" s="692" t="s">
        <v>3217</v>
      </c>
      <c r="C1069" s="693" t="str">
        <f t="shared" si="135"/>
        <v>深圳新阳蓝光能源管理科技股份有限公司</v>
      </c>
      <c r="D1069" s="1108" t="s">
        <v>3216</v>
      </c>
      <c r="E1069" s="1128"/>
      <c r="F1069" s="1128"/>
      <c r="G1069" s="1129"/>
      <c r="H1069" s="1129"/>
      <c r="I1069" s="1138"/>
      <c r="J1069" s="1138"/>
      <c r="K1069" s="1139">
        <f t="shared" si="138"/>
        <v>0</v>
      </c>
      <c r="L1069" s="1143"/>
      <c r="M1069" s="1142"/>
      <c r="N1069" s="1141"/>
      <c r="O1069" s="1141"/>
      <c r="P1069" s="1141"/>
      <c r="Q1069" s="1141"/>
      <c r="X1069" s="768" t="b">
        <f t="shared" si="137"/>
        <v>1</v>
      </c>
    </row>
    <row r="1070" outlineLevel="2" spans="2:24">
      <c r="B1070" s="692" t="s">
        <v>3217</v>
      </c>
      <c r="C1070" s="693" t="str">
        <f t="shared" si="135"/>
        <v>深圳新阳蓝光能源管理科技股份有限公司</v>
      </c>
      <c r="D1070" s="1108" t="s">
        <v>3216</v>
      </c>
      <c r="E1070" s="1128"/>
      <c r="F1070" s="1128"/>
      <c r="G1070" s="1129"/>
      <c r="H1070" s="1129"/>
      <c r="I1070" s="1138"/>
      <c r="J1070" s="1138"/>
      <c r="K1070" s="1139">
        <f t="shared" si="138"/>
        <v>0</v>
      </c>
      <c r="L1070" s="1143"/>
      <c r="M1070" s="1142"/>
      <c r="N1070" s="1141"/>
      <c r="O1070" s="1141"/>
      <c r="P1070" s="1141"/>
      <c r="Q1070" s="1141"/>
      <c r="X1070" s="768" t="b">
        <f t="shared" si="137"/>
        <v>1</v>
      </c>
    </row>
    <row r="1071" outlineLevel="2" spans="2:24">
      <c r="B1071" s="692" t="s">
        <v>3217</v>
      </c>
      <c r="C1071" s="693" t="str">
        <f t="shared" si="135"/>
        <v>深圳新阳蓝光能源管理科技股份有限公司</v>
      </c>
      <c r="D1071" s="1108" t="s">
        <v>3216</v>
      </c>
      <c r="E1071" s="1128"/>
      <c r="F1071" s="1128"/>
      <c r="G1071" s="1129"/>
      <c r="H1071" s="1129"/>
      <c r="I1071" s="1137"/>
      <c r="J1071" s="1137"/>
      <c r="K1071" s="1139">
        <f t="shared" si="138"/>
        <v>0</v>
      </c>
      <c r="L1071" s="1143"/>
      <c r="M1071" s="1142"/>
      <c r="N1071" s="1141"/>
      <c r="O1071" s="1141"/>
      <c r="P1071" s="1141"/>
      <c r="Q1071" s="1141"/>
      <c r="X1071" s="768" t="b">
        <f t="shared" si="137"/>
        <v>1</v>
      </c>
    </row>
    <row r="1072" outlineLevel="2" spans="2:24">
      <c r="B1072" s="692" t="s">
        <v>3217</v>
      </c>
      <c r="C1072" s="693" t="str">
        <f t="shared" si="135"/>
        <v>深圳新阳蓝光能源管理科技股份有限公司</v>
      </c>
      <c r="D1072" s="1108" t="s">
        <v>3216</v>
      </c>
      <c r="E1072" s="1128"/>
      <c r="F1072" s="1128"/>
      <c r="G1072" s="1129"/>
      <c r="H1072" s="1129"/>
      <c r="I1072" s="1137"/>
      <c r="J1072" s="1137"/>
      <c r="K1072" s="1139">
        <f t="shared" si="138"/>
        <v>0</v>
      </c>
      <c r="L1072" s="1143"/>
      <c r="M1072" s="1142"/>
      <c r="N1072" s="1141"/>
      <c r="O1072" s="1141"/>
      <c r="P1072" s="1141"/>
      <c r="Q1072" s="1141"/>
      <c r="X1072" s="768" t="b">
        <f t="shared" si="137"/>
        <v>1</v>
      </c>
    </row>
    <row r="1073" outlineLevel="2" spans="2:24">
      <c r="B1073" s="692" t="s">
        <v>3217</v>
      </c>
      <c r="C1073" s="693" t="str">
        <f t="shared" si="135"/>
        <v>深圳新阳蓝光能源管理科技股份有限公司</v>
      </c>
      <c r="D1073" s="1108" t="s">
        <v>3216</v>
      </c>
      <c r="E1073" s="1128"/>
      <c r="F1073" s="1128"/>
      <c r="G1073" s="1129"/>
      <c r="H1073" s="1129"/>
      <c r="I1073" s="1137"/>
      <c r="J1073" s="1137"/>
      <c r="K1073" s="1139">
        <f t="shared" si="138"/>
        <v>0</v>
      </c>
      <c r="L1073" s="1143"/>
      <c r="M1073" s="1142"/>
      <c r="N1073" s="1141"/>
      <c r="O1073" s="1141"/>
      <c r="P1073" s="1141"/>
      <c r="Q1073" s="1141"/>
      <c r="X1073" s="768" t="b">
        <f t="shared" si="137"/>
        <v>1</v>
      </c>
    </row>
    <row r="1074" outlineLevel="2" spans="2:24">
      <c r="B1074" s="692" t="s">
        <v>3217</v>
      </c>
      <c r="C1074" s="693" t="str">
        <f t="shared" si="135"/>
        <v>深圳新阳蓝光能源管理科技股份有限公司</v>
      </c>
      <c r="D1074" s="1108" t="s">
        <v>3216</v>
      </c>
      <c r="E1074" s="1128"/>
      <c r="F1074" s="1128"/>
      <c r="G1074" s="1129"/>
      <c r="H1074" s="1129"/>
      <c r="I1074" s="1137"/>
      <c r="J1074" s="1137"/>
      <c r="K1074" s="1139">
        <f t="shared" si="138"/>
        <v>0</v>
      </c>
      <c r="L1074" s="1143"/>
      <c r="M1074" s="1142"/>
      <c r="N1074" s="1141"/>
      <c r="O1074" s="1141"/>
      <c r="P1074" s="1141"/>
      <c r="Q1074" s="1141"/>
      <c r="X1074" s="768" t="b">
        <f t="shared" si="137"/>
        <v>1</v>
      </c>
    </row>
    <row r="1075" outlineLevel="2" spans="2:24">
      <c r="B1075" s="692" t="s">
        <v>3217</v>
      </c>
      <c r="C1075" s="693" t="str">
        <f t="shared" si="135"/>
        <v>深圳新阳蓝光能源管理科技股份有限公司</v>
      </c>
      <c r="D1075" s="1108" t="s">
        <v>3216</v>
      </c>
      <c r="E1075" s="1128"/>
      <c r="F1075" s="1128"/>
      <c r="G1075" s="1129"/>
      <c r="H1075" s="1129"/>
      <c r="I1075" s="1137"/>
      <c r="J1075" s="1137"/>
      <c r="K1075" s="1139">
        <f t="shared" si="138"/>
        <v>0</v>
      </c>
      <c r="L1075" s="1143"/>
      <c r="M1075" s="1142"/>
      <c r="N1075" s="1141"/>
      <c r="O1075" s="1141"/>
      <c r="P1075" s="1141"/>
      <c r="Q1075" s="1141"/>
      <c r="X1075" s="768" t="b">
        <f t="shared" si="137"/>
        <v>1</v>
      </c>
    </row>
    <row r="1076" outlineLevel="2" spans="2:24">
      <c r="B1076" s="692" t="s">
        <v>3217</v>
      </c>
      <c r="C1076" s="693" t="str">
        <f t="shared" si="135"/>
        <v>深圳新阳蓝光能源管理科技股份有限公司</v>
      </c>
      <c r="D1076" s="1108" t="s">
        <v>3216</v>
      </c>
      <c r="E1076" s="1128"/>
      <c r="F1076" s="1128"/>
      <c r="G1076" s="1129"/>
      <c r="H1076" s="1129"/>
      <c r="I1076" s="1137"/>
      <c r="J1076" s="1137"/>
      <c r="K1076" s="1139">
        <f t="shared" si="138"/>
        <v>0</v>
      </c>
      <c r="L1076" s="1143"/>
      <c r="M1076" s="1142"/>
      <c r="N1076" s="1141"/>
      <c r="O1076" s="1141"/>
      <c r="P1076" s="1141"/>
      <c r="Q1076" s="1141"/>
      <c r="X1076" s="768" t="b">
        <f t="shared" si="137"/>
        <v>1</v>
      </c>
    </row>
    <row r="1077" outlineLevel="2" spans="2:24">
      <c r="B1077" s="692" t="s">
        <v>3217</v>
      </c>
      <c r="C1077" s="693" t="str">
        <f t="shared" si="135"/>
        <v>深圳新阳蓝光能源管理科技股份有限公司</v>
      </c>
      <c r="D1077" s="1108" t="s">
        <v>3216</v>
      </c>
      <c r="E1077" s="1128"/>
      <c r="F1077" s="1128"/>
      <c r="G1077" s="1129"/>
      <c r="H1077" s="1129"/>
      <c r="I1077" s="1137"/>
      <c r="J1077" s="1137"/>
      <c r="K1077" s="1139">
        <f t="shared" si="138"/>
        <v>0</v>
      </c>
      <c r="L1077" s="1143"/>
      <c r="M1077" s="1142"/>
      <c r="N1077" s="1141"/>
      <c r="O1077" s="1141"/>
      <c r="P1077" s="1141"/>
      <c r="Q1077" s="1141"/>
      <c r="X1077" s="768" t="b">
        <f t="shared" si="137"/>
        <v>1</v>
      </c>
    </row>
    <row r="1078" outlineLevel="2" spans="2:24">
      <c r="B1078" s="692" t="s">
        <v>3217</v>
      </c>
      <c r="C1078" s="693" t="str">
        <f t="shared" si="135"/>
        <v>深圳新阳蓝光能源管理科技股份有限公司</v>
      </c>
      <c r="D1078" s="1108" t="s">
        <v>3216</v>
      </c>
      <c r="E1078" s="1128"/>
      <c r="F1078" s="1128"/>
      <c r="G1078" s="1129"/>
      <c r="H1078" s="1129"/>
      <c r="I1078" s="1137"/>
      <c r="J1078" s="1137"/>
      <c r="K1078" s="1139">
        <f t="shared" si="138"/>
        <v>0</v>
      </c>
      <c r="L1078" s="1143"/>
      <c r="M1078" s="1142"/>
      <c r="N1078" s="1141"/>
      <c r="O1078" s="1141"/>
      <c r="P1078" s="1141"/>
      <c r="Q1078" s="1141"/>
      <c r="X1078" s="768" t="b">
        <f t="shared" si="137"/>
        <v>1</v>
      </c>
    </row>
    <row r="1079" outlineLevel="2" spans="2:24">
      <c r="B1079" s="692" t="s">
        <v>3217</v>
      </c>
      <c r="C1079" s="693" t="str">
        <f t="shared" si="135"/>
        <v>深圳新阳蓝光能源管理科技股份有限公司</v>
      </c>
      <c r="D1079" s="1108" t="s">
        <v>3216</v>
      </c>
      <c r="E1079" s="1128"/>
      <c r="F1079" s="1128"/>
      <c r="G1079" s="1129"/>
      <c r="H1079" s="1129"/>
      <c r="I1079" s="1137"/>
      <c r="J1079" s="1137"/>
      <c r="K1079" s="1139">
        <f t="shared" si="138"/>
        <v>0</v>
      </c>
      <c r="L1079" s="1137"/>
      <c r="M1079" s="1142"/>
      <c r="N1079" s="1141"/>
      <c r="O1079" s="1141"/>
      <c r="P1079" s="1141"/>
      <c r="Q1079" s="1141"/>
      <c r="X1079" s="768" t="b">
        <f t="shared" si="137"/>
        <v>1</v>
      </c>
    </row>
    <row r="1080" outlineLevel="2" spans="2:24">
      <c r="B1080" s="692" t="s">
        <v>3217</v>
      </c>
      <c r="C1080" s="693" t="str">
        <f t="shared" si="135"/>
        <v>深圳新阳蓝光能源管理科技股份有限公司</v>
      </c>
      <c r="D1080" s="1108" t="s">
        <v>3216</v>
      </c>
      <c r="E1080" s="1128"/>
      <c r="F1080" s="1128"/>
      <c r="G1080" s="1129"/>
      <c r="H1080" s="1129"/>
      <c r="I1080" s="1137"/>
      <c r="J1080" s="1137"/>
      <c r="K1080" s="1139">
        <f t="shared" si="138"/>
        <v>0</v>
      </c>
      <c r="L1080" s="1143"/>
      <c r="M1080" s="1142"/>
      <c r="N1080" s="1141"/>
      <c r="O1080" s="1141"/>
      <c r="P1080" s="1141"/>
      <c r="Q1080" s="1141"/>
      <c r="X1080" s="768" t="b">
        <f t="shared" si="137"/>
        <v>1</v>
      </c>
    </row>
    <row r="1081" outlineLevel="2" spans="1:24">
      <c r="A1081" s="1107" t="s">
        <v>2021</v>
      </c>
      <c r="B1081" s="692" t="s">
        <v>3217</v>
      </c>
      <c r="C1081" s="693" t="str">
        <f t="shared" si="135"/>
        <v>深圳新阳蓝光能源管理科技股份有限公司</v>
      </c>
      <c r="D1081" s="1108" t="s">
        <v>3216</v>
      </c>
      <c r="E1081" s="1126" t="s">
        <v>2021</v>
      </c>
      <c r="F1081" s="1126"/>
      <c r="G1081" s="139">
        <f t="shared" ref="G1081:H1081" si="139">ROUND(SUM(G1055:G1080),2)</f>
        <v>4000000</v>
      </c>
      <c r="H1081" s="139">
        <f t="shared" si="139"/>
        <v>4000000</v>
      </c>
      <c r="I1081" s="139">
        <f t="shared" ref="I1081:L1081" si="140">ROUND(SUM(I1055:I1080),2)</f>
        <v>0</v>
      </c>
      <c r="J1081" s="139">
        <f t="shared" si="140"/>
        <v>0</v>
      </c>
      <c r="K1081" s="139">
        <f t="shared" si="140"/>
        <v>4000000</v>
      </c>
      <c r="L1081" s="139">
        <f t="shared" si="140"/>
        <v>200</v>
      </c>
      <c r="M1081" s="139">
        <f t="shared" ref="M1081:Q1081" si="141">ROUND(SUM(M1055:M1080),2)</f>
        <v>200</v>
      </c>
      <c r="N1081" s="139">
        <f t="shared" si="141"/>
        <v>0</v>
      </c>
      <c r="O1081" s="139">
        <f t="shared" si="141"/>
        <v>0</v>
      </c>
      <c r="P1081" s="139">
        <f t="shared" si="141"/>
        <v>0</v>
      </c>
      <c r="Q1081" s="139">
        <f t="shared" si="141"/>
        <v>0</v>
      </c>
      <c r="X1081" s="768" t="b">
        <f t="shared" si="137"/>
        <v>1</v>
      </c>
    </row>
    <row r="1082" outlineLevel="2" spans="1:24">
      <c r="A1082" s="1107" t="s">
        <v>1723</v>
      </c>
      <c r="B1082" s="692" t="s">
        <v>3217</v>
      </c>
      <c r="C1082" s="693" t="str">
        <f t="shared" si="135"/>
        <v>深圳新阳蓝光能源管理科技股份有限公司</v>
      </c>
      <c r="D1082" s="1108" t="s">
        <v>3216</v>
      </c>
      <c r="E1082" s="1113" t="s">
        <v>1723</v>
      </c>
      <c r="F1082" s="1115"/>
      <c r="G1082" s="1130"/>
      <c r="H1082" s="1131">
        <f>审定资负表!D25</f>
        <v>4000000</v>
      </c>
      <c r="I1082" s="1130"/>
      <c r="J1082" s="1130"/>
      <c r="K1082" s="1131">
        <f>审定资负表!C25</f>
        <v>4000000</v>
      </c>
      <c r="L1082" s="1130"/>
      <c r="M1082" s="1134"/>
      <c r="X1082" s="768" t="b">
        <f t="shared" si="137"/>
        <v>1</v>
      </c>
    </row>
    <row r="1083" outlineLevel="1" spans="1:24">
      <c r="A1083" s="1107" t="s">
        <v>1395</v>
      </c>
      <c r="B1083" s="692" t="s">
        <v>3217</v>
      </c>
      <c r="C1083" s="693" t="str">
        <f t="shared" si="135"/>
        <v>深圳新阳蓝光能源管理科技股份有限公司</v>
      </c>
      <c r="D1083" s="1108" t="s">
        <v>3216</v>
      </c>
      <c r="E1083" s="1115" t="s">
        <v>1395</v>
      </c>
      <c r="F1083" s="1115"/>
      <c r="G1083" s="1130"/>
      <c r="H1083" s="1007">
        <f>ROUND(H1081-H1082-O1081+P1081,2)</f>
        <v>0</v>
      </c>
      <c r="I1083" s="1130"/>
      <c r="J1083" s="1130"/>
      <c r="K1083" s="1007">
        <f>ROUND(K1081-K1082-O1081,2)</f>
        <v>0</v>
      </c>
      <c r="L1083" s="1130"/>
      <c r="M1083" s="1134"/>
      <c r="X1083" s="768" t="b">
        <f t="shared" si="137"/>
        <v>1</v>
      </c>
    </row>
    <row r="1084" outlineLevel="2" spans="2:24">
      <c r="B1084" s="692" t="s">
        <v>3217</v>
      </c>
      <c r="C1084" s="693" t="str">
        <f t="shared" si="135"/>
        <v>深圳新阳蓝光能源管理科技股份有限公司</v>
      </c>
      <c r="D1084" s="1108" t="s">
        <v>3216</v>
      </c>
      <c r="E1084" s="1132"/>
      <c r="F1084" s="1130"/>
      <c r="G1084" s="1130"/>
      <c r="H1084" s="1130"/>
      <c r="I1084" s="1130"/>
      <c r="J1084" s="1130"/>
      <c r="K1084" s="1130"/>
      <c r="L1084" s="1134"/>
      <c r="X1084" s="768" t="b">
        <f t="shared" si="137"/>
        <v>1</v>
      </c>
    </row>
    <row r="1085" outlineLevel="2" spans="2:24">
      <c r="B1085" s="692" t="s">
        <v>3217</v>
      </c>
      <c r="C1085" s="693" t="str">
        <f t="shared" si="135"/>
        <v>深圳新阳蓝光能源管理科技股份有限公司</v>
      </c>
      <c r="D1085" s="1108" t="s">
        <v>3216</v>
      </c>
      <c r="E1085" s="1133"/>
      <c r="F1085" s="1134"/>
      <c r="G1085" s="1134"/>
      <c r="H1085" s="1134"/>
      <c r="I1085" s="1134"/>
      <c r="J1085" s="1134"/>
      <c r="K1085" s="1134"/>
      <c r="L1085" s="1134"/>
      <c r="X1085" s="768" t="b">
        <f t="shared" si="137"/>
        <v>1</v>
      </c>
    </row>
    <row r="1086" outlineLevel="2" spans="1:24">
      <c r="A1086" s="1107" t="s">
        <v>3231</v>
      </c>
      <c r="B1086" s="692" t="s">
        <v>3217</v>
      </c>
      <c r="C1086" s="693" t="str">
        <f t="shared" si="135"/>
        <v>深圳新阳蓝光能源管理科技股份有限公司</v>
      </c>
      <c r="D1086" s="1135" t="s">
        <v>3232</v>
      </c>
      <c r="E1086" s="1136" t="s">
        <v>3233</v>
      </c>
      <c r="F1086" s="1136"/>
      <c r="G1086" s="1136"/>
      <c r="H1086" s="1136"/>
      <c r="I1086" s="1136"/>
      <c r="J1086" s="1136"/>
      <c r="K1086" s="1136"/>
      <c r="L1086" s="1134"/>
      <c r="X1086" s="768" t="b">
        <f t="shared" si="137"/>
        <v>1</v>
      </c>
    </row>
    <row r="1087" ht="22.5" outlineLevel="2" spans="1:24">
      <c r="A1087" s="1107" t="s">
        <v>3234</v>
      </c>
      <c r="B1087" s="692" t="s">
        <v>3217</v>
      </c>
      <c r="C1087" s="693" t="str">
        <f t="shared" si="135"/>
        <v>深圳新阳蓝光能源管理科技股份有限公司</v>
      </c>
      <c r="D1087" s="1135" t="s">
        <v>3232</v>
      </c>
      <c r="E1087" s="1126" t="s">
        <v>3234</v>
      </c>
      <c r="F1087" s="1126" t="s">
        <v>3235</v>
      </c>
      <c r="G1087" s="1126" t="s">
        <v>3236</v>
      </c>
      <c r="H1087" s="1134"/>
      <c r="I1087" s="1134"/>
      <c r="J1087" s="1134"/>
      <c r="K1087" s="1134"/>
      <c r="L1087" s="1134"/>
      <c r="X1087" s="768" t="b">
        <f t="shared" si="137"/>
        <v>1</v>
      </c>
    </row>
    <row r="1088" outlineLevel="2" spans="2:24">
      <c r="B1088" s="692" t="s">
        <v>3217</v>
      </c>
      <c r="C1088" s="693" t="str">
        <f t="shared" si="135"/>
        <v>深圳新阳蓝光能源管理科技股份有限公司</v>
      </c>
      <c r="D1088" s="1135" t="s">
        <v>3237</v>
      </c>
      <c r="E1088" s="1128"/>
      <c r="F1088" s="1137"/>
      <c r="G1088" s="1137"/>
      <c r="H1088" s="1134"/>
      <c r="I1088" s="1134"/>
      <c r="J1088" s="1134"/>
      <c r="K1088" s="1134"/>
      <c r="L1088" s="1134"/>
      <c r="X1088" s="768" t="b">
        <f t="shared" si="137"/>
        <v>1</v>
      </c>
    </row>
    <row r="1089" outlineLevel="2" spans="2:24">
      <c r="B1089" s="692" t="s">
        <v>3217</v>
      </c>
      <c r="C1089" s="693" t="str">
        <f t="shared" si="135"/>
        <v>深圳新阳蓝光能源管理科技股份有限公司</v>
      </c>
      <c r="D1089" s="1135" t="s">
        <v>3237</v>
      </c>
      <c r="E1089" s="1128"/>
      <c r="F1089" s="1137"/>
      <c r="G1089" s="1137"/>
      <c r="H1089" s="1134"/>
      <c r="I1089" s="1134"/>
      <c r="J1089" s="1134"/>
      <c r="K1089" s="1134"/>
      <c r="L1089" s="1134"/>
      <c r="X1089" s="768" t="b">
        <f t="shared" si="137"/>
        <v>1</v>
      </c>
    </row>
    <row r="1090" outlineLevel="2" spans="2:24">
      <c r="B1090" s="692" t="s">
        <v>3217</v>
      </c>
      <c r="C1090" s="693" t="str">
        <f t="shared" si="135"/>
        <v>深圳新阳蓝光能源管理科技股份有限公司</v>
      </c>
      <c r="D1090" s="1135" t="s">
        <v>3237</v>
      </c>
      <c r="E1090" s="1128"/>
      <c r="F1090" s="1137"/>
      <c r="G1090" s="1137"/>
      <c r="H1090" s="1134"/>
      <c r="I1090" s="1134"/>
      <c r="J1090" s="1134"/>
      <c r="K1090" s="1134"/>
      <c r="L1090" s="1134"/>
      <c r="X1090" s="768" t="b">
        <f t="shared" si="137"/>
        <v>1</v>
      </c>
    </row>
    <row r="1091" outlineLevel="2" spans="2:24">
      <c r="B1091" s="692" t="s">
        <v>3217</v>
      </c>
      <c r="C1091" s="693" t="str">
        <f t="shared" si="135"/>
        <v>深圳新阳蓝光能源管理科技股份有限公司</v>
      </c>
      <c r="D1091" s="1135" t="s">
        <v>3237</v>
      </c>
      <c r="E1091" s="1128"/>
      <c r="F1091" s="1137"/>
      <c r="G1091" s="1137"/>
      <c r="H1091" s="1134"/>
      <c r="I1091" s="1134"/>
      <c r="J1091" s="1134"/>
      <c r="K1091" s="1134"/>
      <c r="L1091" s="1134"/>
      <c r="X1091" s="768" t="b">
        <f t="shared" si="137"/>
        <v>1</v>
      </c>
    </row>
    <row r="1092" outlineLevel="2" spans="2:24">
      <c r="B1092" s="692" t="s">
        <v>3217</v>
      </c>
      <c r="C1092" s="693" t="str">
        <f t="shared" si="135"/>
        <v>深圳新阳蓝光能源管理科技股份有限公司</v>
      </c>
      <c r="D1092" s="1135" t="s">
        <v>3237</v>
      </c>
      <c r="E1092" s="1128"/>
      <c r="F1092" s="1137"/>
      <c r="G1092" s="1137"/>
      <c r="H1092" s="1134"/>
      <c r="I1092" s="1134"/>
      <c r="J1092" s="1134"/>
      <c r="K1092" s="1134"/>
      <c r="L1092" s="1134"/>
      <c r="X1092" s="768" t="b">
        <f t="shared" si="137"/>
        <v>1</v>
      </c>
    </row>
    <row r="1093" outlineLevel="2" spans="2:24">
      <c r="B1093" s="692" t="s">
        <v>3217</v>
      </c>
      <c r="C1093" s="693" t="str">
        <f t="shared" si="135"/>
        <v>深圳新阳蓝光能源管理科技股份有限公司</v>
      </c>
      <c r="D1093" s="1135" t="s">
        <v>3237</v>
      </c>
      <c r="E1093" s="1128"/>
      <c r="F1093" s="1137"/>
      <c r="G1093" s="1137"/>
      <c r="H1093" s="1134"/>
      <c r="I1093" s="1134"/>
      <c r="J1093" s="1134"/>
      <c r="K1093" s="1134"/>
      <c r="L1093" s="1134"/>
      <c r="X1093" s="768" t="b">
        <f t="shared" si="137"/>
        <v>1</v>
      </c>
    </row>
    <row r="1094" outlineLevel="2" spans="2:24">
      <c r="B1094" s="692" t="s">
        <v>3217</v>
      </c>
      <c r="C1094" s="693" t="str">
        <f t="shared" ref="C1094:C1149" si="142">$G$1</f>
        <v>深圳新阳蓝光能源管理科技股份有限公司</v>
      </c>
      <c r="D1094" s="1135" t="s">
        <v>3237</v>
      </c>
      <c r="E1094" s="1128"/>
      <c r="F1094" s="1137"/>
      <c r="G1094" s="1137"/>
      <c r="H1094" s="1134"/>
      <c r="I1094" s="1134"/>
      <c r="J1094" s="1134"/>
      <c r="K1094" s="1134"/>
      <c r="L1094" s="1134"/>
      <c r="X1094" s="768" t="b">
        <f t="shared" si="137"/>
        <v>1</v>
      </c>
    </row>
    <row r="1095" outlineLevel="2" spans="2:24">
      <c r="B1095" s="692" t="s">
        <v>3217</v>
      </c>
      <c r="C1095" s="693" t="str">
        <f t="shared" si="142"/>
        <v>深圳新阳蓝光能源管理科技股份有限公司</v>
      </c>
      <c r="D1095" s="1135" t="s">
        <v>3237</v>
      </c>
      <c r="E1095" s="1128"/>
      <c r="F1095" s="1137"/>
      <c r="G1095" s="1137"/>
      <c r="H1095" s="1134"/>
      <c r="I1095" s="1134"/>
      <c r="J1095" s="1134"/>
      <c r="K1095" s="1134"/>
      <c r="L1095" s="1134"/>
      <c r="X1095" s="768" t="b">
        <f t="shared" si="137"/>
        <v>1</v>
      </c>
    </row>
    <row r="1096" outlineLevel="2" spans="2:24">
      <c r="B1096" s="692" t="s">
        <v>3217</v>
      </c>
      <c r="C1096" s="693" t="str">
        <f t="shared" si="142"/>
        <v>深圳新阳蓝光能源管理科技股份有限公司</v>
      </c>
      <c r="D1096" s="1135" t="s">
        <v>3237</v>
      </c>
      <c r="E1096" s="1133"/>
      <c r="F1096" s="1134"/>
      <c r="G1096" s="1134"/>
      <c r="H1096" s="1134"/>
      <c r="I1096" s="1134"/>
      <c r="J1096" s="1134"/>
      <c r="K1096" s="1134"/>
      <c r="L1096" s="1134"/>
      <c r="X1096" s="768" t="b">
        <f t="shared" si="137"/>
        <v>1</v>
      </c>
    </row>
    <row r="1097" outlineLevel="2" spans="2:24">
      <c r="B1097" s="692" t="s">
        <v>3217</v>
      </c>
      <c r="C1097" s="693" t="str">
        <f t="shared" si="142"/>
        <v>深圳新阳蓝光能源管理科技股份有限公司</v>
      </c>
      <c r="D1097" s="1135" t="s">
        <v>3237</v>
      </c>
      <c r="E1097" s="153"/>
      <c r="F1097" s="715"/>
      <c r="G1097" s="715"/>
      <c r="X1097" s="768" t="b">
        <f t="shared" si="137"/>
        <v>1</v>
      </c>
    </row>
    <row r="1098" outlineLevel="2" spans="2:24">
      <c r="B1098" s="692" t="s">
        <v>3217</v>
      </c>
      <c r="C1098" s="693" t="str">
        <f t="shared" si="142"/>
        <v>深圳新阳蓝光能源管理科技股份有限公司</v>
      </c>
      <c r="D1098" s="1108"/>
      <c r="E1098" s="153"/>
      <c r="F1098" s="715"/>
      <c r="G1098" s="715"/>
      <c r="X1098" s="768" t="b">
        <f t="shared" si="137"/>
        <v>1</v>
      </c>
    </row>
    <row r="1099" outlineLevel="2" spans="1:24">
      <c r="A1099" s="1107" t="s">
        <v>2809</v>
      </c>
      <c r="B1099" s="692" t="s">
        <v>3217</v>
      </c>
      <c r="C1099" s="693" t="str">
        <f t="shared" si="142"/>
        <v>深圳新阳蓝光能源管理科技股份有限公司</v>
      </c>
      <c r="D1099" s="1108"/>
      <c r="E1099" s="1037" t="s">
        <v>2829</v>
      </c>
      <c r="F1099" s="736"/>
      <c r="G1099" s="736"/>
      <c r="H1099" s="1124"/>
      <c r="X1099" s="768" t="b">
        <f t="shared" si="137"/>
        <v>1</v>
      </c>
    </row>
    <row r="1100" outlineLevel="2" spans="2:24">
      <c r="B1100" s="692" t="s">
        <v>3217</v>
      </c>
      <c r="C1100" s="693" t="str">
        <f t="shared" si="142"/>
        <v>深圳新阳蓝光能源管理科技股份有限公司</v>
      </c>
      <c r="D1100" s="1108"/>
      <c r="E1100" s="1037"/>
      <c r="F1100" s="715"/>
      <c r="G1100" s="715"/>
      <c r="X1100" s="768" t="b">
        <f t="shared" si="137"/>
        <v>1</v>
      </c>
    </row>
    <row r="1101" spans="1:24">
      <c r="A1101" s="1144" t="s">
        <v>2079</v>
      </c>
      <c r="B1101" s="692" t="s">
        <v>3238</v>
      </c>
      <c r="C1101" s="693" t="str">
        <f t="shared" si="142"/>
        <v>深圳新阳蓝光能源管理科技股份有限公司</v>
      </c>
      <c r="D1101" s="1145" t="s">
        <v>2079</v>
      </c>
      <c r="E1101" s="70" t="s">
        <v>3239</v>
      </c>
      <c r="F1101" s="1146" t="s">
        <v>3240</v>
      </c>
      <c r="G1101" s="1147"/>
      <c r="H1101" s="1148"/>
      <c r="I1101" s="1174"/>
      <c r="X1101" s="768" t="b">
        <f t="shared" si="137"/>
        <v>1</v>
      </c>
    </row>
    <row r="1102" outlineLevel="2" spans="1:24">
      <c r="A1102" s="1144" t="s">
        <v>2080</v>
      </c>
      <c r="B1102" s="692" t="s">
        <v>3238</v>
      </c>
      <c r="C1102" s="693" t="str">
        <f t="shared" si="142"/>
        <v>深圳新阳蓝光能源管理科技股份有限公司</v>
      </c>
      <c r="D1102" s="1145" t="s">
        <v>2079</v>
      </c>
      <c r="E1102" s="153" t="s">
        <v>3241</v>
      </c>
      <c r="F1102" s="1147"/>
      <c r="G1102" s="1147"/>
      <c r="H1102" s="1148"/>
      <c r="I1102" s="1174"/>
      <c r="J1102" s="1175" t="s">
        <v>3242</v>
      </c>
      <c r="M1102" s="1144" t="s">
        <v>2081</v>
      </c>
      <c r="N1102" s="1144" t="s">
        <v>2082</v>
      </c>
      <c r="X1102" s="768" t="b">
        <f t="shared" si="137"/>
        <v>0</v>
      </c>
    </row>
    <row r="1103" outlineLevel="2" spans="1:24">
      <c r="A1103" s="1144" t="s">
        <v>2981</v>
      </c>
      <c r="B1103" s="692" t="s">
        <v>3238</v>
      </c>
      <c r="C1103" s="693" t="str">
        <f t="shared" si="142"/>
        <v>深圳新阳蓝光能源管理科技股份有限公司</v>
      </c>
      <c r="D1103" s="1145" t="s">
        <v>2079</v>
      </c>
      <c r="E1103" s="1149" t="s">
        <v>2981</v>
      </c>
      <c r="F1103" s="1149" t="s">
        <v>2020</v>
      </c>
      <c r="G1103" s="1149" t="s">
        <v>672</v>
      </c>
      <c r="H1103" s="1149" t="s">
        <v>673</v>
      </c>
      <c r="I1103" s="1149" t="s">
        <v>316</v>
      </c>
      <c r="J1103" s="157" t="s">
        <v>3243</v>
      </c>
      <c r="K1103" s="157" t="s">
        <v>3244</v>
      </c>
      <c r="X1103" s="768" t="b">
        <f t="shared" si="137"/>
        <v>1</v>
      </c>
    </row>
    <row r="1104" outlineLevel="2" spans="1:24">
      <c r="A1104" s="1144" t="s">
        <v>715</v>
      </c>
      <c r="B1104" s="692" t="s">
        <v>3238</v>
      </c>
      <c r="C1104" s="693" t="str">
        <f t="shared" si="142"/>
        <v>深圳新阳蓝光能源管理科技股份有限公司</v>
      </c>
      <c r="D1104" s="1145" t="s">
        <v>2079</v>
      </c>
      <c r="E1104" s="1150" t="s">
        <v>715</v>
      </c>
      <c r="F1104" s="139">
        <f>F1105+F1106</f>
        <v>0</v>
      </c>
      <c r="G1104" s="139">
        <f>G1105+G1106</f>
        <v>0</v>
      </c>
      <c r="H1104" s="139">
        <f>H1105+H1106</f>
        <v>0</v>
      </c>
      <c r="I1104" s="139">
        <f>I1105+I1106</f>
        <v>0</v>
      </c>
      <c r="J1104" s="139">
        <f t="shared" ref="J1104:K1104" si="143">J1105+J1106</f>
        <v>0</v>
      </c>
      <c r="K1104" s="139">
        <f t="shared" si="143"/>
        <v>0</v>
      </c>
      <c r="X1104" s="768" t="b">
        <f t="shared" si="137"/>
        <v>1</v>
      </c>
    </row>
    <row r="1105" outlineLevel="2" spans="1:24">
      <c r="A1105" s="1144" t="s">
        <v>2081</v>
      </c>
      <c r="B1105" s="692" t="s">
        <v>3238</v>
      </c>
      <c r="C1105" s="693" t="str">
        <f t="shared" si="142"/>
        <v>深圳新阳蓝光能源管理科技股份有限公司</v>
      </c>
      <c r="D1105" s="1145" t="s">
        <v>2079</v>
      </c>
      <c r="E1105" s="1150" t="s">
        <v>3245</v>
      </c>
      <c r="F1105" s="1151">
        <f>F3753</f>
        <v>0</v>
      </c>
      <c r="G1105" s="139">
        <f>F3754</f>
        <v>0</v>
      </c>
      <c r="H1105" s="139">
        <f>F3759</f>
        <v>0</v>
      </c>
      <c r="I1105" s="139">
        <f>F1105+G1105-H1105</f>
        <v>0</v>
      </c>
      <c r="J1105" s="136"/>
      <c r="K1105" s="136"/>
      <c r="X1105" s="768" t="b">
        <f t="shared" si="137"/>
        <v>1</v>
      </c>
    </row>
    <row r="1106" outlineLevel="2" spans="1:24">
      <c r="A1106" s="1144" t="s">
        <v>2082</v>
      </c>
      <c r="B1106" s="692" t="s">
        <v>3238</v>
      </c>
      <c r="C1106" s="693" t="str">
        <f t="shared" si="142"/>
        <v>深圳新阳蓝光能源管理科技股份有限公司</v>
      </c>
      <c r="D1106" s="1145" t="s">
        <v>2079</v>
      </c>
      <c r="E1106" s="1150" t="s">
        <v>3246</v>
      </c>
      <c r="F1106" s="1151">
        <f>G3753</f>
        <v>0</v>
      </c>
      <c r="G1106" s="139">
        <f>G3754</f>
        <v>0</v>
      </c>
      <c r="H1106" s="139">
        <f>G3759</f>
        <v>0</v>
      </c>
      <c r="I1106" s="139">
        <f>F1106+G1106-H1106</f>
        <v>0</v>
      </c>
      <c r="J1106" s="136"/>
      <c r="K1106" s="136"/>
      <c r="X1106" s="768" t="b">
        <f t="shared" si="137"/>
        <v>1</v>
      </c>
    </row>
    <row r="1107" outlineLevel="2" spans="1:24">
      <c r="A1107" s="1144" t="s">
        <v>2083</v>
      </c>
      <c r="B1107" s="692" t="s">
        <v>3238</v>
      </c>
      <c r="C1107" s="693" t="str">
        <f t="shared" si="142"/>
        <v>深圳新阳蓝光能源管理科技股份有限公司</v>
      </c>
      <c r="D1107" s="1145" t="s">
        <v>2079</v>
      </c>
      <c r="E1107" s="1150" t="s">
        <v>2083</v>
      </c>
      <c r="F1107" s="139">
        <f>F1108+F1109</f>
        <v>0</v>
      </c>
      <c r="G1107" s="139">
        <f>G1108+G1109</f>
        <v>0</v>
      </c>
      <c r="H1107" s="139">
        <f>H1108+H1109</f>
        <v>0</v>
      </c>
      <c r="I1107" s="139">
        <f>I1108+I1109</f>
        <v>0</v>
      </c>
      <c r="J1107" s="139">
        <f t="shared" ref="J1107:K1107" si="144">J1108+J1109</f>
        <v>0</v>
      </c>
      <c r="K1107" s="139">
        <f t="shared" si="144"/>
        <v>0</v>
      </c>
      <c r="X1107" s="768" t="b">
        <f t="shared" si="137"/>
        <v>1</v>
      </c>
    </row>
    <row r="1108" outlineLevel="2" spans="1:24">
      <c r="A1108" s="1144" t="s">
        <v>2081</v>
      </c>
      <c r="B1108" s="692" t="s">
        <v>3238</v>
      </c>
      <c r="C1108" s="693" t="str">
        <f t="shared" si="142"/>
        <v>深圳新阳蓝光能源管理科技股份有限公司</v>
      </c>
      <c r="D1108" s="1145" t="s">
        <v>2079</v>
      </c>
      <c r="E1108" s="1150" t="s">
        <v>3245</v>
      </c>
      <c r="F1108" s="1151">
        <f>$F$3765</f>
        <v>0</v>
      </c>
      <c r="G1108" s="139">
        <f>F3767+F3768+F3769</f>
        <v>0</v>
      </c>
      <c r="H1108" s="139">
        <f>F3771+F3772+F3773</f>
        <v>0</v>
      </c>
      <c r="I1108" s="139">
        <f t="shared" ref="I1108:I1109" si="145">F1108+G1108-H1108</f>
        <v>0</v>
      </c>
      <c r="J1108" s="136"/>
      <c r="K1108" s="136"/>
      <c r="X1108" s="768" t="b">
        <f t="shared" si="137"/>
        <v>1</v>
      </c>
    </row>
    <row r="1109" outlineLevel="2" spans="1:24">
      <c r="A1109" s="1144" t="s">
        <v>2082</v>
      </c>
      <c r="B1109" s="692" t="s">
        <v>3238</v>
      </c>
      <c r="C1109" s="693" t="str">
        <f t="shared" si="142"/>
        <v>深圳新阳蓝光能源管理科技股份有限公司</v>
      </c>
      <c r="D1109" s="1145" t="s">
        <v>2079</v>
      </c>
      <c r="E1109" s="1150" t="s">
        <v>3246</v>
      </c>
      <c r="F1109" s="1151">
        <f>$G$3765</f>
        <v>0</v>
      </c>
      <c r="G1109" s="139">
        <f>G3767+G3768+G3769</f>
        <v>0</v>
      </c>
      <c r="H1109" s="139">
        <f>G3771+G3772+G3773</f>
        <v>0</v>
      </c>
      <c r="I1109" s="139">
        <f t="shared" si="145"/>
        <v>0</v>
      </c>
      <c r="J1109" s="136"/>
      <c r="K1109" s="136"/>
      <c r="X1109" s="768" t="b">
        <f t="shared" si="137"/>
        <v>1</v>
      </c>
    </row>
    <row r="1110" outlineLevel="2" spans="1:24">
      <c r="A1110" s="1144" t="s">
        <v>2084</v>
      </c>
      <c r="B1110" s="692" t="s">
        <v>3238</v>
      </c>
      <c r="C1110" s="693" t="str">
        <f t="shared" si="142"/>
        <v>深圳新阳蓝光能源管理科技股份有限公司</v>
      </c>
      <c r="D1110" s="1145" t="s">
        <v>2079</v>
      </c>
      <c r="E1110" s="1150" t="s">
        <v>2084</v>
      </c>
      <c r="F1110" s="743">
        <f>F1111+F1112</f>
        <v>0</v>
      </c>
      <c r="G1110" s="139">
        <f>G1111+G1112</f>
        <v>0</v>
      </c>
      <c r="H1110" s="139">
        <f>H1111+H1112</f>
        <v>0</v>
      </c>
      <c r="I1110" s="139">
        <f>I1111+I1112</f>
        <v>0</v>
      </c>
      <c r="J1110" s="139">
        <f t="shared" ref="J1110:K1110" si="146">J1111+J1112</f>
        <v>0</v>
      </c>
      <c r="K1110" s="139">
        <f t="shared" si="146"/>
        <v>0</v>
      </c>
      <c r="X1110" s="768" t="b">
        <f t="shared" si="137"/>
        <v>1</v>
      </c>
    </row>
    <row r="1111" outlineLevel="2" spans="1:24">
      <c r="A1111" s="1144" t="s">
        <v>2081</v>
      </c>
      <c r="B1111" s="692" t="s">
        <v>3238</v>
      </c>
      <c r="C1111" s="693" t="str">
        <f t="shared" si="142"/>
        <v>深圳新阳蓝光能源管理科技股份有限公司</v>
      </c>
      <c r="D1111" s="1145" t="s">
        <v>2079</v>
      </c>
      <c r="E1111" s="1150" t="s">
        <v>3245</v>
      </c>
      <c r="F1111" s="1151">
        <f>$F$3776</f>
        <v>0</v>
      </c>
      <c r="G1111" s="139">
        <f>F3777</f>
        <v>0</v>
      </c>
      <c r="H1111" s="139">
        <f>F3780</f>
        <v>0</v>
      </c>
      <c r="I1111" s="139">
        <f t="shared" ref="I1111:I1112" si="147">F1111+G1111-H1111</f>
        <v>0</v>
      </c>
      <c r="J1111" s="136"/>
      <c r="K1111" s="136"/>
      <c r="X1111" s="768" t="b">
        <f t="shared" si="137"/>
        <v>1</v>
      </c>
    </row>
    <row r="1112" outlineLevel="2" spans="1:24">
      <c r="A1112" s="1144" t="s">
        <v>2082</v>
      </c>
      <c r="B1112" s="692" t="s">
        <v>3238</v>
      </c>
      <c r="C1112" s="693" t="str">
        <f t="shared" si="142"/>
        <v>深圳新阳蓝光能源管理科技股份有限公司</v>
      </c>
      <c r="D1112" s="1145" t="s">
        <v>2079</v>
      </c>
      <c r="E1112" s="1150" t="s">
        <v>3246</v>
      </c>
      <c r="F1112" s="1151">
        <f>$G$3776</f>
        <v>0</v>
      </c>
      <c r="G1112" s="139">
        <f>G3777</f>
        <v>0</v>
      </c>
      <c r="H1112" s="139">
        <f>G3780</f>
        <v>0</v>
      </c>
      <c r="I1112" s="139">
        <f t="shared" si="147"/>
        <v>0</v>
      </c>
      <c r="J1112" s="136"/>
      <c r="K1112" s="136"/>
      <c r="X1112" s="768" t="b">
        <f t="shared" si="137"/>
        <v>1</v>
      </c>
    </row>
    <row r="1113" outlineLevel="2" spans="1:24">
      <c r="A1113" s="1144" t="s">
        <v>729</v>
      </c>
      <c r="B1113" s="692" t="s">
        <v>3238</v>
      </c>
      <c r="C1113" s="693" t="str">
        <f t="shared" si="142"/>
        <v>深圳新阳蓝光能源管理科技股份有限公司</v>
      </c>
      <c r="D1113" s="1145" t="s">
        <v>2079</v>
      </c>
      <c r="E1113" s="1150" t="s">
        <v>729</v>
      </c>
      <c r="F1113" s="139">
        <f>F1114+F1115</f>
        <v>0</v>
      </c>
      <c r="G1113" s="157"/>
      <c r="H1113" s="157"/>
      <c r="I1113" s="139">
        <f>I1114+I1115</f>
        <v>0</v>
      </c>
      <c r="J1113" s="139">
        <f t="shared" ref="J1113:K1113" si="148">J1114+J1115</f>
        <v>0</v>
      </c>
      <c r="K1113" s="139">
        <f t="shared" si="148"/>
        <v>0</v>
      </c>
      <c r="X1113" s="768" t="b">
        <f t="shared" ref="X1113:X1177" si="149">EXACT(A1113,E1113)</f>
        <v>1</v>
      </c>
    </row>
    <row r="1114" outlineLevel="2" spans="1:24">
      <c r="A1114" s="1144" t="s">
        <v>2081</v>
      </c>
      <c r="B1114" s="692" t="s">
        <v>3238</v>
      </c>
      <c r="C1114" s="693" t="str">
        <f t="shared" si="142"/>
        <v>深圳新阳蓝光能源管理科技股份有限公司</v>
      </c>
      <c r="D1114" s="1145" t="s">
        <v>2079</v>
      </c>
      <c r="E1114" s="1150" t="s">
        <v>3245</v>
      </c>
      <c r="F1114" s="139">
        <f>F1105-F1108-F1111</f>
        <v>0</v>
      </c>
      <c r="G1114" s="157"/>
      <c r="H1114" s="157"/>
      <c r="I1114" s="139">
        <f>I1105-I1108-I1111</f>
        <v>0</v>
      </c>
      <c r="J1114" s="139">
        <f t="shared" ref="J1114:K1115" si="150">J1105-J1108-J1111</f>
        <v>0</v>
      </c>
      <c r="K1114" s="139">
        <f t="shared" si="150"/>
        <v>0</v>
      </c>
      <c r="X1114" s="768" t="b">
        <f t="shared" si="149"/>
        <v>1</v>
      </c>
    </row>
    <row r="1115" outlineLevel="2" spans="1:24">
      <c r="A1115" s="1144" t="s">
        <v>2082</v>
      </c>
      <c r="B1115" s="692" t="s">
        <v>3238</v>
      </c>
      <c r="C1115" s="693" t="str">
        <f t="shared" si="142"/>
        <v>深圳新阳蓝光能源管理科技股份有限公司</v>
      </c>
      <c r="D1115" s="1145" t="s">
        <v>2079</v>
      </c>
      <c r="E1115" s="1150" t="s">
        <v>3246</v>
      </c>
      <c r="F1115" s="139">
        <f>F1106-F1109-F1112</f>
        <v>0</v>
      </c>
      <c r="G1115" s="157"/>
      <c r="H1115" s="157"/>
      <c r="I1115" s="139">
        <f>I1106-I1109-I1112</f>
        <v>0</v>
      </c>
      <c r="J1115" s="139">
        <f t="shared" si="150"/>
        <v>0</v>
      </c>
      <c r="K1115" s="139">
        <f t="shared" si="150"/>
        <v>0</v>
      </c>
      <c r="X1115" s="768" t="b">
        <f t="shared" si="149"/>
        <v>1</v>
      </c>
    </row>
    <row r="1116" outlineLevel="2" spans="1:24">
      <c r="A1116" s="1144" t="s">
        <v>1723</v>
      </c>
      <c r="B1116" s="692" t="s">
        <v>3238</v>
      </c>
      <c r="C1116" s="693" t="str">
        <f t="shared" si="142"/>
        <v>深圳新阳蓝光能源管理科技股份有限公司</v>
      </c>
      <c r="D1116" s="1145" t="s">
        <v>2079</v>
      </c>
      <c r="E1116" s="1115" t="s">
        <v>1723</v>
      </c>
      <c r="F1116" s="817">
        <f>审定资负表!D26</f>
        <v>0</v>
      </c>
      <c r="G1116" s="145"/>
      <c r="H1116" s="145"/>
      <c r="I1116" s="817">
        <f>审定资负表!C26</f>
        <v>0</v>
      </c>
      <c r="X1116" s="768" t="b">
        <f t="shared" si="149"/>
        <v>1</v>
      </c>
    </row>
    <row r="1117" outlineLevel="1" collapsed="1" spans="1:24">
      <c r="A1117" s="1144" t="s">
        <v>1395</v>
      </c>
      <c r="B1117" s="692" t="s">
        <v>3238</v>
      </c>
      <c r="C1117" s="693" t="str">
        <f t="shared" si="142"/>
        <v>深圳新阳蓝光能源管理科技股份有限公司</v>
      </c>
      <c r="D1117" s="1145" t="s">
        <v>2079</v>
      </c>
      <c r="E1117" s="1115" t="s">
        <v>1395</v>
      </c>
      <c r="F1117" s="92">
        <f>ROUND(F1113-F1116,2)</f>
        <v>0</v>
      </c>
      <c r="G1117" s="145"/>
      <c r="H1117" s="145"/>
      <c r="I1117" s="92">
        <f>ROUND(I1113-I1116,2)</f>
        <v>0</v>
      </c>
      <c r="X1117" s="768" t="b">
        <f t="shared" si="149"/>
        <v>1</v>
      </c>
    </row>
    <row r="1118" hidden="1" outlineLevel="2" spans="2:24">
      <c r="B1118" s="692" t="s">
        <v>3238</v>
      </c>
      <c r="C1118" s="693" t="str">
        <f t="shared" si="142"/>
        <v>深圳新阳蓝光能源管理科技股份有限公司</v>
      </c>
      <c r="D1118" s="1145" t="s">
        <v>2079</v>
      </c>
      <c r="E1118" s="1115"/>
      <c r="F1118" s="1147"/>
      <c r="G1118" s="1147"/>
      <c r="H1118" s="1147"/>
      <c r="I1118" s="1147"/>
      <c r="X1118" s="768" t="b">
        <f t="shared" si="149"/>
        <v>1</v>
      </c>
    </row>
    <row r="1119" hidden="1" outlineLevel="2" spans="1:24">
      <c r="A1119" s="1144" t="s">
        <v>2085</v>
      </c>
      <c r="B1119" s="692" t="s">
        <v>3238</v>
      </c>
      <c r="C1119" s="693" t="str">
        <f t="shared" si="142"/>
        <v>深圳新阳蓝光能源管理科技股份有限公司</v>
      </c>
      <c r="D1119" s="1145" t="s">
        <v>3247</v>
      </c>
      <c r="E1119" s="1152" t="s">
        <v>3248</v>
      </c>
      <c r="F1119" s="1147"/>
      <c r="G1119" s="1147"/>
      <c r="H1119" s="1147"/>
      <c r="I1119" s="1147"/>
      <c r="X1119" s="768" t="b">
        <f t="shared" si="149"/>
        <v>1</v>
      </c>
    </row>
    <row r="1120" hidden="1" outlineLevel="2" spans="1:24">
      <c r="A1120" s="1144" t="s">
        <v>61</v>
      </c>
      <c r="B1120" s="692" t="s">
        <v>3238</v>
      </c>
      <c r="C1120" s="693" t="str">
        <f t="shared" si="142"/>
        <v>深圳新阳蓝光能源管理科技股份有限公司</v>
      </c>
      <c r="D1120" s="1145" t="s">
        <v>3247</v>
      </c>
      <c r="E1120" s="1149" t="s">
        <v>61</v>
      </c>
      <c r="F1120" s="1149" t="s">
        <v>3249</v>
      </c>
      <c r="G1120" s="1149" t="s">
        <v>672</v>
      </c>
      <c r="H1120" s="1149"/>
      <c r="I1120" s="1149"/>
      <c r="J1120" s="1149" t="s">
        <v>673</v>
      </c>
      <c r="K1120" s="1149"/>
      <c r="L1120" s="1149" t="s">
        <v>3250</v>
      </c>
      <c r="X1120" s="768" t="b">
        <f t="shared" si="149"/>
        <v>1</v>
      </c>
    </row>
    <row r="1121" hidden="1" outlineLevel="2" spans="2:24">
      <c r="B1121" s="692" t="s">
        <v>3238</v>
      </c>
      <c r="C1121" s="693" t="str">
        <f t="shared" si="142"/>
        <v>深圳新阳蓝光能源管理科技股份有限公司</v>
      </c>
      <c r="D1121" s="1145"/>
      <c r="E1121" s="1149"/>
      <c r="F1121" s="1149" t="s">
        <v>3251</v>
      </c>
      <c r="G1121" s="1149" t="s">
        <v>3252</v>
      </c>
      <c r="H1121" s="1149" t="s">
        <v>3253</v>
      </c>
      <c r="I1121" s="1149" t="s">
        <v>3254</v>
      </c>
      <c r="J1121" s="1149" t="s">
        <v>3255</v>
      </c>
      <c r="K1121" s="1149" t="s">
        <v>3256</v>
      </c>
      <c r="L1121" s="1149" t="s">
        <v>3251</v>
      </c>
      <c r="X1121" s="768" t="b">
        <f t="shared" si="149"/>
        <v>1</v>
      </c>
    </row>
    <row r="1122" hidden="1" outlineLevel="2" spans="1:24">
      <c r="A1122" s="1144" t="s">
        <v>2087</v>
      </c>
      <c r="B1122" s="692" t="s">
        <v>3238</v>
      </c>
      <c r="C1122" s="693" t="str">
        <f t="shared" si="142"/>
        <v>深圳新阳蓝光能源管理科技股份有限公司</v>
      </c>
      <c r="D1122" s="1145" t="s">
        <v>3257</v>
      </c>
      <c r="E1122" s="789" t="s">
        <v>3258</v>
      </c>
      <c r="F1122" s="1153">
        <f>SUM(F1123:F1125)</f>
        <v>0</v>
      </c>
      <c r="G1122" s="1153">
        <f t="shared" ref="G1122:K1122" si="151">SUM(G1123:G1125)</f>
        <v>0</v>
      </c>
      <c r="H1122" s="1153">
        <f t="shared" si="151"/>
        <v>0</v>
      </c>
      <c r="I1122" s="1153">
        <f t="shared" si="151"/>
        <v>0</v>
      </c>
      <c r="J1122" s="1153">
        <f t="shared" si="151"/>
        <v>0</v>
      </c>
      <c r="K1122" s="1153">
        <f t="shared" si="151"/>
        <v>0</v>
      </c>
      <c r="L1122" s="1176">
        <f>F1122+G1122+H1122+I1122-J1122-K1122</f>
        <v>0</v>
      </c>
      <c r="X1122" s="768" t="b">
        <f t="shared" si="149"/>
        <v>1</v>
      </c>
    </row>
    <row r="1123" hidden="1" outlineLevel="2" spans="1:24">
      <c r="A1123" s="1144" t="s">
        <v>2088</v>
      </c>
      <c r="B1123" s="692" t="s">
        <v>3238</v>
      </c>
      <c r="C1123" s="693" t="str">
        <f t="shared" si="142"/>
        <v>深圳新阳蓝光能源管理科技股份有限公司</v>
      </c>
      <c r="D1123" s="1145" t="s">
        <v>3257</v>
      </c>
      <c r="E1123" s="789" t="s">
        <v>3259</v>
      </c>
      <c r="F1123" s="1154">
        <f>报表附注合并期初用!E617</f>
        <v>0</v>
      </c>
      <c r="G1123" s="1155"/>
      <c r="H1123" s="1155"/>
      <c r="I1123" s="1155"/>
      <c r="J1123" s="1177"/>
      <c r="K1123" s="1177"/>
      <c r="L1123" s="1176">
        <f t="shared" ref="L1123:L1129" si="152">F1123+G1123+H1123+I1123-J1123-K1123</f>
        <v>0</v>
      </c>
      <c r="X1123" s="768" t="b">
        <f t="shared" si="149"/>
        <v>1</v>
      </c>
    </row>
    <row r="1124" hidden="1" outlineLevel="2" spans="1:24">
      <c r="A1124" s="1144" t="s">
        <v>2089</v>
      </c>
      <c r="B1124" s="692" t="s">
        <v>3238</v>
      </c>
      <c r="C1124" s="693" t="str">
        <f t="shared" si="142"/>
        <v>深圳新阳蓝光能源管理科技股份有限公司</v>
      </c>
      <c r="D1124" s="1145"/>
      <c r="E1124" s="789" t="s">
        <v>3260</v>
      </c>
      <c r="F1124" s="1154">
        <f>报表附注合并期初用!E618</f>
        <v>0</v>
      </c>
      <c r="G1124" s="1155"/>
      <c r="H1124" s="1155"/>
      <c r="I1124" s="1155"/>
      <c r="J1124" s="1177"/>
      <c r="K1124" s="1177"/>
      <c r="L1124" s="1176">
        <f t="shared" si="152"/>
        <v>0</v>
      </c>
      <c r="X1124" s="768" t="b">
        <f t="shared" si="149"/>
        <v>1</v>
      </c>
    </row>
    <row r="1125" hidden="1" outlineLevel="2" spans="1:24">
      <c r="A1125" s="1144" t="s">
        <v>2090</v>
      </c>
      <c r="B1125" s="692" t="s">
        <v>3238</v>
      </c>
      <c r="C1125" s="693" t="str">
        <f t="shared" si="142"/>
        <v>深圳新阳蓝光能源管理科技股份有限公司</v>
      </c>
      <c r="D1125" s="1145" t="s">
        <v>3257</v>
      </c>
      <c r="E1125" s="789" t="s">
        <v>3261</v>
      </c>
      <c r="F1125" s="1154">
        <f>报表附注合并期初用!E619</f>
        <v>0</v>
      </c>
      <c r="G1125" s="1155"/>
      <c r="H1125" s="1155"/>
      <c r="I1125" s="1155"/>
      <c r="J1125" s="1177"/>
      <c r="K1125" s="1177"/>
      <c r="L1125" s="1176">
        <f t="shared" si="152"/>
        <v>0</v>
      </c>
      <c r="X1125" s="768" t="b">
        <f t="shared" si="149"/>
        <v>1</v>
      </c>
    </row>
    <row r="1126" hidden="1" outlineLevel="2" spans="1:24">
      <c r="A1126" s="1144" t="s">
        <v>2091</v>
      </c>
      <c r="B1126" s="692" t="s">
        <v>3238</v>
      </c>
      <c r="C1126" s="693" t="str">
        <f t="shared" si="142"/>
        <v>深圳新阳蓝光能源管理科技股份有限公司</v>
      </c>
      <c r="D1126" s="1145" t="s">
        <v>3257</v>
      </c>
      <c r="E1126" s="933" t="s">
        <v>3262</v>
      </c>
      <c r="F1126" s="1156">
        <f>SUM(F1127:F1129)</f>
        <v>0</v>
      </c>
      <c r="G1126" s="1153">
        <f t="shared" ref="G1126:K1126" si="153">SUM(G1127:G1129)</f>
        <v>0</v>
      </c>
      <c r="H1126" s="1153">
        <f t="shared" si="153"/>
        <v>0</v>
      </c>
      <c r="I1126" s="1153">
        <f t="shared" si="153"/>
        <v>0</v>
      </c>
      <c r="J1126" s="1153">
        <f t="shared" si="153"/>
        <v>0</v>
      </c>
      <c r="K1126" s="1153">
        <f t="shared" si="153"/>
        <v>0</v>
      </c>
      <c r="L1126" s="1176">
        <f t="shared" si="152"/>
        <v>0</v>
      </c>
      <c r="X1126" s="768" t="b">
        <f t="shared" si="149"/>
        <v>1</v>
      </c>
    </row>
    <row r="1127" hidden="1" outlineLevel="2" spans="1:24">
      <c r="A1127" s="1144" t="s">
        <v>2088</v>
      </c>
      <c r="B1127" s="692" t="s">
        <v>3238</v>
      </c>
      <c r="C1127" s="693" t="str">
        <f t="shared" si="142"/>
        <v>深圳新阳蓝光能源管理科技股份有限公司</v>
      </c>
      <c r="D1127" s="1145"/>
      <c r="E1127" s="789" t="s">
        <v>3259</v>
      </c>
      <c r="F1127" s="1154">
        <f>报表附注合并期初用!E621</f>
        <v>0</v>
      </c>
      <c r="G1127" s="1155"/>
      <c r="H1127" s="1155"/>
      <c r="I1127" s="1155"/>
      <c r="J1127" s="1177"/>
      <c r="K1127" s="1177"/>
      <c r="L1127" s="1176">
        <f t="shared" si="152"/>
        <v>0</v>
      </c>
      <c r="X1127" s="768" t="b">
        <f t="shared" si="149"/>
        <v>1</v>
      </c>
    </row>
    <row r="1128" hidden="1" outlineLevel="2" spans="1:24">
      <c r="A1128" s="1144" t="s">
        <v>2089</v>
      </c>
      <c r="B1128" s="692" t="s">
        <v>3238</v>
      </c>
      <c r="C1128" s="693" t="str">
        <f t="shared" si="142"/>
        <v>深圳新阳蓝光能源管理科技股份有限公司</v>
      </c>
      <c r="D1128" s="1145" t="s">
        <v>3257</v>
      </c>
      <c r="E1128" s="789" t="s">
        <v>3260</v>
      </c>
      <c r="F1128" s="1154">
        <f>报表附注合并期初用!E622</f>
        <v>0</v>
      </c>
      <c r="G1128" s="1155"/>
      <c r="H1128" s="1155"/>
      <c r="I1128" s="1155"/>
      <c r="J1128" s="1177"/>
      <c r="K1128" s="1177"/>
      <c r="L1128" s="1176">
        <f t="shared" si="152"/>
        <v>0</v>
      </c>
      <c r="X1128" s="768" t="b">
        <f t="shared" si="149"/>
        <v>1</v>
      </c>
    </row>
    <row r="1129" hidden="1" outlineLevel="2" spans="1:24">
      <c r="A1129" s="1144" t="s">
        <v>2090</v>
      </c>
      <c r="B1129" s="692" t="s">
        <v>3238</v>
      </c>
      <c r="C1129" s="693" t="str">
        <f t="shared" si="142"/>
        <v>深圳新阳蓝光能源管理科技股份有限公司</v>
      </c>
      <c r="D1129" s="1145" t="s">
        <v>3257</v>
      </c>
      <c r="E1129" s="789" t="s">
        <v>3261</v>
      </c>
      <c r="F1129" s="1154">
        <f>报表附注合并期初用!E623</f>
        <v>0</v>
      </c>
      <c r="G1129" s="1155"/>
      <c r="H1129" s="1155"/>
      <c r="I1129" s="1155"/>
      <c r="J1129" s="1177"/>
      <c r="K1129" s="1177"/>
      <c r="L1129" s="1176">
        <f t="shared" si="152"/>
        <v>0</v>
      </c>
      <c r="X1129" s="768" t="b">
        <f t="shared" si="149"/>
        <v>1</v>
      </c>
    </row>
    <row r="1130" hidden="1" outlineLevel="2" spans="1:24">
      <c r="A1130" s="1144" t="s">
        <v>2092</v>
      </c>
      <c r="B1130" s="692" t="s">
        <v>3238</v>
      </c>
      <c r="C1130" s="693" t="str">
        <f t="shared" si="142"/>
        <v>深圳新阳蓝光能源管理科技股份有限公司</v>
      </c>
      <c r="D1130" s="1145"/>
      <c r="E1130" s="933" t="s">
        <v>3263</v>
      </c>
      <c r="F1130" s="1153">
        <f t="shared" ref="F1130:L1130" si="154">SUM(F1131:F1133)</f>
        <v>0</v>
      </c>
      <c r="G1130" s="1153">
        <f t="shared" si="154"/>
        <v>0</v>
      </c>
      <c r="H1130" s="1153">
        <f t="shared" si="154"/>
        <v>0</v>
      </c>
      <c r="I1130" s="1153">
        <f t="shared" si="154"/>
        <v>0</v>
      </c>
      <c r="J1130" s="1153">
        <f t="shared" si="154"/>
        <v>0</v>
      </c>
      <c r="K1130" s="1153">
        <f t="shared" si="154"/>
        <v>0</v>
      </c>
      <c r="L1130" s="1153">
        <f t="shared" si="154"/>
        <v>0</v>
      </c>
      <c r="X1130" s="768" t="b">
        <f t="shared" si="149"/>
        <v>1</v>
      </c>
    </row>
    <row r="1131" hidden="1" outlineLevel="2" spans="1:24">
      <c r="A1131" s="1144" t="s">
        <v>2088</v>
      </c>
      <c r="B1131" s="692" t="s">
        <v>3238</v>
      </c>
      <c r="C1131" s="693" t="str">
        <f t="shared" si="142"/>
        <v>深圳新阳蓝光能源管理科技股份有限公司</v>
      </c>
      <c r="D1131" s="1145" t="s">
        <v>3257</v>
      </c>
      <c r="E1131" s="789" t="s">
        <v>3259</v>
      </c>
      <c r="F1131" s="802">
        <f>报表附注合并期初用!E625</f>
        <v>0</v>
      </c>
      <c r="G1131" s="1157">
        <f>报表附注合并期初用!E638</f>
        <v>0</v>
      </c>
      <c r="H1131" s="1157">
        <f>报表附注合并期初用!E651</f>
        <v>0</v>
      </c>
      <c r="I1131" s="1157">
        <f>报表附注合并期初用!E664</f>
        <v>0</v>
      </c>
      <c r="J1131" s="1178">
        <f>报表附注合并期初用!E677</f>
        <v>0</v>
      </c>
      <c r="K1131" s="1178">
        <f>报表附注合并期初用!E690</f>
        <v>0</v>
      </c>
      <c r="L1131" s="802">
        <f>L1123+L1127</f>
        <v>0</v>
      </c>
      <c r="X1131" s="768" t="b">
        <f t="shared" si="149"/>
        <v>1</v>
      </c>
    </row>
    <row r="1132" hidden="1" outlineLevel="2" spans="1:24">
      <c r="A1132" s="1144" t="s">
        <v>2089</v>
      </c>
      <c r="B1132" s="692" t="s">
        <v>3238</v>
      </c>
      <c r="C1132" s="693" t="str">
        <f t="shared" si="142"/>
        <v>深圳新阳蓝光能源管理科技股份有限公司</v>
      </c>
      <c r="D1132" s="1145" t="s">
        <v>3257</v>
      </c>
      <c r="E1132" s="789" t="s">
        <v>3260</v>
      </c>
      <c r="F1132" s="802">
        <f>报表附注合并期初用!E626</f>
        <v>0</v>
      </c>
      <c r="G1132" s="1157">
        <f>报表附注合并期初用!E639</f>
        <v>0</v>
      </c>
      <c r="H1132" s="1157">
        <f>报表附注合并期初用!E652</f>
        <v>0</v>
      </c>
      <c r="I1132" s="1157">
        <f>报表附注合并期初用!E665</f>
        <v>0</v>
      </c>
      <c r="J1132" s="1178">
        <f>报表附注合并期初用!E678</f>
        <v>0</v>
      </c>
      <c r="K1132" s="1178">
        <f>报表附注合并期初用!E691</f>
        <v>0</v>
      </c>
      <c r="L1132" s="802">
        <f t="shared" ref="L1132:L1133" si="155">L1124+L1128</f>
        <v>0</v>
      </c>
      <c r="X1132" s="768" t="b">
        <f t="shared" si="149"/>
        <v>1</v>
      </c>
    </row>
    <row r="1133" hidden="1" outlineLevel="2" spans="1:24">
      <c r="A1133" s="1144" t="s">
        <v>2090</v>
      </c>
      <c r="B1133" s="692" t="s">
        <v>3238</v>
      </c>
      <c r="C1133" s="693" t="str">
        <f t="shared" si="142"/>
        <v>深圳新阳蓝光能源管理科技股份有限公司</v>
      </c>
      <c r="D1133" s="1145"/>
      <c r="E1133" s="789" t="s">
        <v>3261</v>
      </c>
      <c r="F1133" s="802">
        <f>报表附注合并期初用!E627</f>
        <v>0</v>
      </c>
      <c r="G1133" s="1157">
        <f>报表附注合并期初用!E640</f>
        <v>0</v>
      </c>
      <c r="H1133" s="1157">
        <f>报表附注合并期初用!E653</f>
        <v>0</v>
      </c>
      <c r="I1133" s="1157">
        <f>报表附注合并期初用!E666</f>
        <v>0</v>
      </c>
      <c r="J1133" s="1178">
        <f>报表附注合并期初用!E679</f>
        <v>0</v>
      </c>
      <c r="K1133" s="1178">
        <f>报表附注合并期初用!E692</f>
        <v>0</v>
      </c>
      <c r="L1133" s="802">
        <f t="shared" si="155"/>
        <v>0</v>
      </c>
      <c r="X1133" s="768" t="b">
        <f t="shared" si="149"/>
        <v>1</v>
      </c>
    </row>
    <row r="1134" hidden="1" outlineLevel="2" spans="2:24">
      <c r="B1134" s="692" t="s">
        <v>3238</v>
      </c>
      <c r="C1134" s="693" t="str">
        <f t="shared" si="142"/>
        <v>深圳新阳蓝光能源管理科技股份有限公司</v>
      </c>
      <c r="D1134" s="1145" t="s">
        <v>3257</v>
      </c>
      <c r="E1134" s="1152"/>
      <c r="F1134" s="1147"/>
      <c r="G1134" s="1147"/>
      <c r="H1134" s="1147"/>
      <c r="I1134" s="1147"/>
      <c r="X1134" s="768" t="b">
        <f t="shared" si="149"/>
        <v>1</v>
      </c>
    </row>
    <row r="1135" hidden="1" outlineLevel="2" spans="1:24">
      <c r="A1135" s="1144" t="s">
        <v>3264</v>
      </c>
      <c r="B1135" s="692" t="s">
        <v>3238</v>
      </c>
      <c r="C1135" s="693" t="str">
        <f t="shared" si="142"/>
        <v>深圳新阳蓝光能源管理科技股份有限公司</v>
      </c>
      <c r="D1135" s="1145" t="s">
        <v>3264</v>
      </c>
      <c r="E1135" s="153" t="s">
        <v>3265</v>
      </c>
      <c r="X1135" s="768" t="b">
        <f t="shared" si="149"/>
        <v>1</v>
      </c>
    </row>
    <row r="1136" hidden="1" outlineLevel="2" spans="1:24">
      <c r="A1136" s="1144" t="s">
        <v>2809</v>
      </c>
      <c r="B1136" s="692" t="s">
        <v>3238</v>
      </c>
      <c r="C1136" s="693" t="str">
        <f t="shared" si="142"/>
        <v>深圳新阳蓝光能源管理科技股份有限公司</v>
      </c>
      <c r="D1136" s="1145" t="s">
        <v>3264</v>
      </c>
      <c r="E1136" s="153" t="s">
        <v>2829</v>
      </c>
      <c r="F1136" s="1158"/>
      <c r="G1136" s="1158"/>
      <c r="H1136" s="1158"/>
      <c r="I1136" s="1158"/>
      <c r="X1136" s="768" t="b">
        <f t="shared" si="149"/>
        <v>1</v>
      </c>
    </row>
    <row r="1137" hidden="1" outlineLevel="2" spans="1:24">
      <c r="A1137" s="1144" t="s">
        <v>3266</v>
      </c>
      <c r="B1137" s="692" t="s">
        <v>3238</v>
      </c>
      <c r="C1137" s="693" t="str">
        <f t="shared" si="142"/>
        <v>深圳新阳蓝光能源管理科技股份有限公司</v>
      </c>
      <c r="D1137" s="1159" t="s">
        <v>3266</v>
      </c>
      <c r="E1137" s="153" t="s">
        <v>3267</v>
      </c>
      <c r="X1137" s="768" t="b">
        <f t="shared" si="149"/>
        <v>1</v>
      </c>
    </row>
    <row r="1138" hidden="1" outlineLevel="2" spans="1:24">
      <c r="A1138" s="1144" t="s">
        <v>2809</v>
      </c>
      <c r="B1138" s="692" t="s">
        <v>3238</v>
      </c>
      <c r="C1138" s="693" t="str">
        <f t="shared" si="142"/>
        <v>深圳新阳蓝光能源管理科技股份有限公司</v>
      </c>
      <c r="D1138" s="1159" t="s">
        <v>3266</v>
      </c>
      <c r="E1138" s="153" t="s">
        <v>2829</v>
      </c>
      <c r="F1138" s="1158"/>
      <c r="G1138" s="1158"/>
      <c r="H1138" s="1158"/>
      <c r="I1138" s="1158"/>
      <c r="X1138" s="768" t="b">
        <f t="shared" si="149"/>
        <v>1</v>
      </c>
    </row>
    <row r="1139" hidden="1" outlineLevel="2" spans="2:24">
      <c r="B1139" s="692" t="s">
        <v>3238</v>
      </c>
      <c r="C1139" s="693" t="str">
        <f t="shared" si="142"/>
        <v>深圳新阳蓝光能源管理科技股份有限公司</v>
      </c>
      <c r="D1139" s="1159"/>
      <c r="E1139" s="153"/>
      <c r="X1139" s="768" t="b">
        <f t="shared" si="149"/>
        <v>1</v>
      </c>
    </row>
    <row r="1140" hidden="1" outlineLevel="2" spans="1:24">
      <c r="A1140" s="1144" t="s">
        <v>2809</v>
      </c>
      <c r="B1140" s="692" t="s">
        <v>3238</v>
      </c>
      <c r="C1140" s="693" t="str">
        <f t="shared" si="142"/>
        <v>深圳新阳蓝光能源管理科技股份有限公司</v>
      </c>
      <c r="D1140" s="1159"/>
      <c r="E1140" s="153" t="s">
        <v>2829</v>
      </c>
      <c r="F1140" s="1158"/>
      <c r="G1140" s="1158"/>
      <c r="H1140" s="1158"/>
      <c r="I1140" s="1158"/>
      <c r="X1140" s="768" t="b">
        <f t="shared" si="149"/>
        <v>1</v>
      </c>
    </row>
    <row r="1141" hidden="1" outlineLevel="2" spans="2:24">
      <c r="B1141" s="692" t="s">
        <v>3238</v>
      </c>
      <c r="C1141" s="693" t="str">
        <f t="shared" si="142"/>
        <v>深圳新阳蓝光能源管理科技股份有限公司</v>
      </c>
      <c r="D1141" s="1159"/>
      <c r="E1141" s="1160"/>
      <c r="F1141" s="1161"/>
      <c r="G1141" s="1161"/>
      <c r="H1141" s="1161"/>
      <c r="I1141" s="1161"/>
      <c r="X1141" s="768" t="b">
        <f t="shared" si="149"/>
        <v>1</v>
      </c>
    </row>
    <row r="1142" spans="1:24">
      <c r="A1142" s="152" t="s">
        <v>2098</v>
      </c>
      <c r="B1142" s="1162" t="s">
        <v>3268</v>
      </c>
      <c r="C1142" s="693" t="str">
        <f t="shared" si="142"/>
        <v>深圳新阳蓝光能源管理科技股份有限公司</v>
      </c>
      <c r="D1142" s="1163" t="s">
        <v>3269</v>
      </c>
      <c r="E1142" s="70" t="s">
        <v>3270</v>
      </c>
      <c r="F1142" s="1164" t="s">
        <v>3271</v>
      </c>
      <c r="G1142" s="1165"/>
      <c r="H1142" s="1166"/>
      <c r="I1142" s="1166"/>
      <c r="J1142" s="1175" t="s">
        <v>3242</v>
      </c>
      <c r="K1142" s="1144"/>
      <c r="X1142" s="768" t="b">
        <f t="shared" si="149"/>
        <v>0</v>
      </c>
    </row>
    <row r="1143" ht="22.5" outlineLevel="2" spans="1:25">
      <c r="A1143" s="152" t="s">
        <v>2981</v>
      </c>
      <c r="B1143" s="1162" t="s">
        <v>3268</v>
      </c>
      <c r="C1143" s="693" t="str">
        <f t="shared" si="142"/>
        <v>深圳新阳蓝光能源管理科技股份有限公司</v>
      </c>
      <c r="D1143" s="1159" t="s">
        <v>3269</v>
      </c>
      <c r="E1143" s="1167" t="s">
        <v>2981</v>
      </c>
      <c r="F1143" s="1167" t="s">
        <v>671</v>
      </c>
      <c r="G1143" s="1168" t="s">
        <v>672</v>
      </c>
      <c r="H1143" s="1169"/>
      <c r="I1143" s="1167" t="s">
        <v>673</v>
      </c>
      <c r="J1143" s="1167" t="s">
        <v>516</v>
      </c>
      <c r="K1143" s="1167" t="s">
        <v>3243</v>
      </c>
      <c r="L1143" s="1167" t="s">
        <v>3244</v>
      </c>
      <c r="M1143" s="1179" t="s">
        <v>3272</v>
      </c>
      <c r="N1143" s="1179" t="s">
        <v>3273</v>
      </c>
      <c r="O1143" s="1179" t="s">
        <v>3274</v>
      </c>
      <c r="P1143" s="1179" t="s">
        <v>3275</v>
      </c>
      <c r="Y1143" s="768" t="b">
        <f t="shared" ref="Y1143:Y1149" si="156">EXACT(A1143,E1143)</f>
        <v>1</v>
      </c>
    </row>
    <row r="1144" outlineLevel="2" spans="1:25">
      <c r="A1144" s="152" t="s">
        <v>715</v>
      </c>
      <c r="B1144" s="1162" t="s">
        <v>3268</v>
      </c>
      <c r="C1144" s="693" t="str">
        <f t="shared" si="142"/>
        <v>深圳新阳蓝光能源管理科技股份有限公司</v>
      </c>
      <c r="D1144" s="1163" t="s">
        <v>3269</v>
      </c>
      <c r="E1144" s="1170" t="s">
        <v>715</v>
      </c>
      <c r="F1144" s="743">
        <f>ROUND(SUM(F1145:F1149),2)</f>
        <v>84280783.27</v>
      </c>
      <c r="G1144" s="157"/>
      <c r="H1144" s="743">
        <f>ROUND(SUM(H1145:H1149),2)</f>
        <v>6918315.68</v>
      </c>
      <c r="I1144" s="743">
        <f t="shared" ref="I1144:J1144" si="157">ROUND(SUM(I1145:I1149),2)</f>
        <v>476159.98</v>
      </c>
      <c r="J1144" s="743">
        <f t="shared" si="157"/>
        <v>90722938.97</v>
      </c>
      <c r="K1144" s="139">
        <f t="shared" ref="K1144:P1144" si="158">SUM(K1145:K1149)</f>
        <v>0</v>
      </c>
      <c r="L1144" s="139">
        <f t="shared" si="158"/>
        <v>0</v>
      </c>
      <c r="M1144" s="139">
        <f t="shared" si="158"/>
        <v>0</v>
      </c>
      <c r="N1144" s="139">
        <f t="shared" si="158"/>
        <v>0</v>
      </c>
      <c r="O1144" s="139">
        <f t="shared" si="158"/>
        <v>0</v>
      </c>
      <c r="P1144" s="139">
        <f t="shared" si="158"/>
        <v>0</v>
      </c>
      <c r="Y1144" s="768" t="b">
        <f t="shared" si="156"/>
        <v>1</v>
      </c>
    </row>
    <row r="1145" outlineLevel="2" spans="1:25">
      <c r="A1145" s="152" t="s">
        <v>2099</v>
      </c>
      <c r="B1145" s="1162" t="s">
        <v>3268</v>
      </c>
      <c r="C1145" s="693" t="str">
        <f t="shared" si="142"/>
        <v>深圳新阳蓝光能源管理科技股份有限公司</v>
      </c>
      <c r="D1145" s="1159" t="s">
        <v>3269</v>
      </c>
      <c r="E1145" s="1171" t="s">
        <v>3276</v>
      </c>
      <c r="F1145" s="1151">
        <f>F3798</f>
        <v>81847437.29</v>
      </c>
      <c r="G1145" s="157"/>
      <c r="H1145" s="1151">
        <f>F3799</f>
        <v>6792196.69</v>
      </c>
      <c r="I1145" s="1151">
        <f>F3806</f>
        <v>0</v>
      </c>
      <c r="J1145" s="139">
        <f>ROUND(F1145+H1145-I1145,2)</f>
        <v>88639633.98</v>
      </c>
      <c r="K1145" s="139">
        <f>SUM(IF(M1145&gt;0,M1145,0),IF(N1145&gt;0,N1145,0),IF(O1145&gt;0,O1145,0),IF(P1145&gt;0,P1145,0))</f>
        <v>0</v>
      </c>
      <c r="L1145" s="139">
        <f>SUM(IF(M1145&gt;0,0,-M1145),IF(N1145&gt;0,0,-N1145),IF(O1145&gt;0,0,-O1145),IF(P1145&gt;0,0,-P1145))</f>
        <v>0</v>
      </c>
      <c r="M1145" s="136"/>
      <c r="N1145" s="136"/>
      <c r="O1145" s="136"/>
      <c r="P1145" s="136"/>
      <c r="Y1145" s="768" t="b">
        <f t="shared" si="156"/>
        <v>0</v>
      </c>
    </row>
    <row r="1146" outlineLevel="2" spans="1:25">
      <c r="A1146" s="152" t="s">
        <v>2100</v>
      </c>
      <c r="B1146" s="1162" t="s">
        <v>3268</v>
      </c>
      <c r="C1146" s="693" t="str">
        <f t="shared" si="142"/>
        <v>深圳新阳蓝光能源管理科技股份有限公司</v>
      </c>
      <c r="D1146" s="1163" t="s">
        <v>3269</v>
      </c>
      <c r="E1146" s="1171" t="s">
        <v>3277</v>
      </c>
      <c r="F1146" s="1151">
        <f>G3798</f>
        <v>300000</v>
      </c>
      <c r="G1146" s="157"/>
      <c r="H1146" s="1151">
        <f>G3799</f>
        <v>0</v>
      </c>
      <c r="I1146" s="1151">
        <f>G3806</f>
        <v>0</v>
      </c>
      <c r="J1146" s="139">
        <f t="shared" ref="J1146:J1149" si="159">ROUND(F1146+H1146-I1146,2)</f>
        <v>300000</v>
      </c>
      <c r="K1146" s="139">
        <f t="shared" ref="K1146:K1149" si="160">SUM(IF(M1146&gt;0,M1146,0),IF(N1146&gt;0,N1146,0),IF(O1146&gt;0,O1146,0),IF(P1146&gt;0,P1146,0))</f>
        <v>0</v>
      </c>
      <c r="L1146" s="139">
        <f t="shared" ref="L1146:L1149" si="161">SUM(IF(M1146&gt;0,0,-M1146),IF(N1146&gt;0,0,-N1146),IF(O1146&gt;0,0,-O1146),IF(P1146&gt;0,0,-P1146))</f>
        <v>0</v>
      </c>
      <c r="M1146" s="136"/>
      <c r="N1146" s="136"/>
      <c r="O1146" s="136"/>
      <c r="P1146" s="136"/>
      <c r="Y1146" s="768" t="b">
        <f t="shared" si="156"/>
        <v>0</v>
      </c>
    </row>
    <row r="1147" outlineLevel="2" spans="1:25">
      <c r="A1147" s="152" t="s">
        <v>2101</v>
      </c>
      <c r="B1147" s="1162" t="s">
        <v>3268</v>
      </c>
      <c r="C1147" s="693" t="str">
        <f t="shared" si="142"/>
        <v>深圳新阳蓝光能源管理科技股份有限公司</v>
      </c>
      <c r="D1147" s="1159" t="s">
        <v>3269</v>
      </c>
      <c r="E1147" s="1171" t="s">
        <v>3278</v>
      </c>
      <c r="F1147" s="1151">
        <f>H3798</f>
        <v>1717158</v>
      </c>
      <c r="G1147" s="157"/>
      <c r="H1147" s="1151">
        <f>H3799</f>
        <v>78343.34</v>
      </c>
      <c r="I1147" s="1151">
        <f>H3806</f>
        <v>300000</v>
      </c>
      <c r="J1147" s="139">
        <f t="shared" si="159"/>
        <v>1495501.34</v>
      </c>
      <c r="K1147" s="139">
        <f t="shared" si="160"/>
        <v>0</v>
      </c>
      <c r="L1147" s="139">
        <f t="shared" si="161"/>
        <v>0</v>
      </c>
      <c r="M1147" s="136"/>
      <c r="N1147" s="136"/>
      <c r="O1147" s="136"/>
      <c r="P1147" s="136"/>
      <c r="Y1147" s="768" t="b">
        <f t="shared" si="156"/>
        <v>0</v>
      </c>
    </row>
    <row r="1148" outlineLevel="2" spans="1:25">
      <c r="A1148" s="152" t="s">
        <v>2102</v>
      </c>
      <c r="B1148" s="1162" t="s">
        <v>3268</v>
      </c>
      <c r="C1148" s="693" t="str">
        <f t="shared" si="142"/>
        <v>深圳新阳蓝光能源管理科技股份有限公司</v>
      </c>
      <c r="D1148" s="1163" t="s">
        <v>3269</v>
      </c>
      <c r="E1148" s="1171" t="s">
        <v>3279</v>
      </c>
      <c r="F1148" s="1151">
        <f>I3798</f>
        <v>416187.98</v>
      </c>
      <c r="G1148" s="157"/>
      <c r="H1148" s="1151">
        <f>I3799</f>
        <v>47775.65</v>
      </c>
      <c r="I1148" s="1151">
        <f>I3806</f>
        <v>176159.98</v>
      </c>
      <c r="J1148" s="139">
        <f t="shared" si="159"/>
        <v>287803.65</v>
      </c>
      <c r="K1148" s="139">
        <f t="shared" si="160"/>
        <v>0</v>
      </c>
      <c r="L1148" s="139">
        <f t="shared" si="161"/>
        <v>0</v>
      </c>
      <c r="M1148" s="136"/>
      <c r="N1148" s="136"/>
      <c r="O1148" s="136"/>
      <c r="P1148" s="136"/>
      <c r="Y1148" s="768" t="b">
        <f t="shared" si="156"/>
        <v>0</v>
      </c>
    </row>
    <row r="1149" outlineLevel="2" spans="1:25">
      <c r="A1149" s="152" t="s">
        <v>3280</v>
      </c>
      <c r="B1149" s="1162" t="s">
        <v>3268</v>
      </c>
      <c r="C1149" s="693" t="str">
        <f t="shared" si="142"/>
        <v>深圳新阳蓝光能源管理科技股份有限公司</v>
      </c>
      <c r="D1149" s="1159" t="s">
        <v>3269</v>
      </c>
      <c r="E1149" s="1170"/>
      <c r="F1149" s="743"/>
      <c r="G1149" s="157"/>
      <c r="H1149" s="157"/>
      <c r="I1149" s="157"/>
      <c r="J1149" s="139">
        <f t="shared" si="159"/>
        <v>0</v>
      </c>
      <c r="K1149" s="139">
        <f t="shared" si="160"/>
        <v>0</v>
      </c>
      <c r="L1149" s="139">
        <f t="shared" si="161"/>
        <v>0</v>
      </c>
      <c r="M1149" s="136"/>
      <c r="N1149" s="136"/>
      <c r="O1149" s="136"/>
      <c r="P1149" s="136"/>
      <c r="Y1149" s="768" t="b">
        <f t="shared" si="156"/>
        <v>0</v>
      </c>
    </row>
    <row r="1150" outlineLevel="2" spans="2:25">
      <c r="B1150" s="1162"/>
      <c r="C1150" s="745"/>
      <c r="D1150" s="1159"/>
      <c r="E1150" s="1172"/>
      <c r="F1150" s="1173"/>
      <c r="G1150" s="1172" t="s">
        <v>3281</v>
      </c>
      <c r="H1150" s="1172" t="s">
        <v>2198</v>
      </c>
      <c r="I1150" s="1172"/>
      <c r="J1150" s="1172"/>
      <c r="K1150" s="157"/>
      <c r="L1150" s="157"/>
      <c r="M1150" s="136"/>
      <c r="N1150" s="136"/>
      <c r="O1150" s="136"/>
      <c r="P1150" s="136"/>
      <c r="Y1150" s="769"/>
    </row>
    <row r="1151" outlineLevel="2" spans="1:25">
      <c r="A1151" s="152" t="s">
        <v>760</v>
      </c>
      <c r="B1151" s="1162" t="s">
        <v>3268</v>
      </c>
      <c r="C1151" s="693" t="str">
        <f t="shared" ref="C1151:C1214" si="162">$G$1</f>
        <v>深圳新阳蓝光能源管理科技股份有限公司</v>
      </c>
      <c r="D1151" s="1163" t="s">
        <v>3269</v>
      </c>
      <c r="E1151" s="1170" t="s">
        <v>760</v>
      </c>
      <c r="F1151" s="743">
        <f>ROUND(SUM(F1152:F1156),2)</f>
        <v>16666992.97</v>
      </c>
      <c r="G1151" s="743">
        <f t="shared" ref="G1151:H1151" si="163">ROUND(SUM(G1152:G1156),2)</f>
        <v>0</v>
      </c>
      <c r="H1151" s="743">
        <f t="shared" si="163"/>
        <v>11274664.38</v>
      </c>
      <c r="I1151" s="743">
        <f t="shared" ref="I1151" si="164">ROUND(SUM(I1152:I1156),2)</f>
        <v>356910.75</v>
      </c>
      <c r="J1151" s="743">
        <f t="shared" ref="J1151" si="165">ROUND(SUM(J1152:J1156),2)</f>
        <v>27584746.6</v>
      </c>
      <c r="K1151" s="139">
        <f t="shared" ref="K1151:P1151" si="166">SUM(K1152:K1156)</f>
        <v>0</v>
      </c>
      <c r="L1151" s="139">
        <f t="shared" si="166"/>
        <v>0</v>
      </c>
      <c r="M1151" s="139">
        <f t="shared" si="166"/>
        <v>0</v>
      </c>
      <c r="N1151" s="139">
        <f t="shared" si="166"/>
        <v>0</v>
      </c>
      <c r="O1151" s="139">
        <f t="shared" si="166"/>
        <v>0</v>
      </c>
      <c r="P1151" s="139">
        <f t="shared" si="166"/>
        <v>0</v>
      </c>
      <c r="Y1151" s="768" t="b">
        <f t="shared" ref="Y1151:Y1170" si="167">EXACT(A1151,E1151)</f>
        <v>1</v>
      </c>
    </row>
    <row r="1152" outlineLevel="2" spans="1:25">
      <c r="A1152" s="152" t="s">
        <v>2099</v>
      </c>
      <c r="B1152" s="1162" t="s">
        <v>3268</v>
      </c>
      <c r="C1152" s="693" t="str">
        <f t="shared" si="162"/>
        <v>深圳新阳蓝光能源管理科技股份有限公司</v>
      </c>
      <c r="D1152" s="1159" t="s">
        <v>3269</v>
      </c>
      <c r="E1152" s="1171" t="str">
        <f t="shared" ref="E1152:E1156" si="168">E1145</f>
        <v>    其中：节能服务资产</v>
      </c>
      <c r="F1152" s="1151">
        <f>$F$3813</f>
        <v>15277280.8</v>
      </c>
      <c r="G1152" s="1151">
        <f>F3814-H1152</f>
        <v>0</v>
      </c>
      <c r="H1152" s="1151">
        <f>F3815</f>
        <v>10829306.89</v>
      </c>
      <c r="I1152" s="1151">
        <f>F3819</f>
        <v>0</v>
      </c>
      <c r="J1152" s="139">
        <f>ROUND(F1152+G1152+H1152-I1152,2)</f>
        <v>26106587.69</v>
      </c>
      <c r="K1152" s="139">
        <f t="shared" ref="K1152:K1156" si="169">SUM(IF(M1152&gt;0,M1152,0),IF(N1152&gt;0,N1152,0),IF(O1152&gt;0,O1152,0),IF(P1152&gt;0,P1152,0))</f>
        <v>0</v>
      </c>
      <c r="L1152" s="139">
        <f t="shared" ref="L1152:L1156" si="170">SUM(IF(M1152&gt;0,0,-M1152),IF(N1152&gt;0,0,-N1152),IF(O1152&gt;0,0,-O1152),IF(P1152&gt;0,0,-P1152))</f>
        <v>0</v>
      </c>
      <c r="M1152" s="136"/>
      <c r="N1152" s="136"/>
      <c r="O1152" s="136"/>
      <c r="P1152" s="136"/>
      <c r="Y1152" s="768" t="b">
        <f t="shared" si="167"/>
        <v>0</v>
      </c>
    </row>
    <row r="1153" outlineLevel="2" spans="1:25">
      <c r="A1153" s="152" t="s">
        <v>2100</v>
      </c>
      <c r="B1153" s="1162" t="s">
        <v>3268</v>
      </c>
      <c r="C1153" s="693" t="str">
        <f t="shared" si="162"/>
        <v>深圳新阳蓝光能源管理科技股份有限公司</v>
      </c>
      <c r="D1153" s="1163" t="s">
        <v>3269</v>
      </c>
      <c r="E1153" s="1171" t="str">
        <f t="shared" si="168"/>
        <v>        机器设备</v>
      </c>
      <c r="F1153" s="1151">
        <f>$G$3813</f>
        <v>78375</v>
      </c>
      <c r="G1153" s="1151">
        <f>G3814-H1153</f>
        <v>0</v>
      </c>
      <c r="H1153" s="1151">
        <f>G3815</f>
        <v>28500</v>
      </c>
      <c r="I1153" s="1151">
        <f>G3819</f>
        <v>0</v>
      </c>
      <c r="J1153" s="139">
        <f t="shared" ref="J1153:J1155" si="171">ROUND(F1153+G1153+H1153-I1153,2)</f>
        <v>106875</v>
      </c>
      <c r="K1153" s="139">
        <f t="shared" si="169"/>
        <v>0</v>
      </c>
      <c r="L1153" s="139">
        <f t="shared" si="170"/>
        <v>0</v>
      </c>
      <c r="M1153" s="136"/>
      <c r="N1153" s="136"/>
      <c r="O1153" s="136"/>
      <c r="P1153" s="136"/>
      <c r="Y1153" s="768" t="b">
        <f t="shared" si="167"/>
        <v>0</v>
      </c>
    </row>
    <row r="1154" outlineLevel="2" spans="1:25">
      <c r="A1154" s="152" t="s">
        <v>2101</v>
      </c>
      <c r="B1154" s="1162" t="s">
        <v>3268</v>
      </c>
      <c r="C1154" s="693" t="str">
        <f t="shared" si="162"/>
        <v>深圳新阳蓝光能源管理科技股份有限公司</v>
      </c>
      <c r="D1154" s="1159" t="s">
        <v>3269</v>
      </c>
      <c r="E1154" s="1171" t="str">
        <f t="shared" si="168"/>
        <v>        运输工具</v>
      </c>
      <c r="F1154" s="1151">
        <f>$H$3813</f>
        <v>1007572.78</v>
      </c>
      <c r="G1154" s="1151">
        <f>H3814-H1154</f>
        <v>0</v>
      </c>
      <c r="H1154" s="1151">
        <f>H3815</f>
        <v>351042.55</v>
      </c>
      <c r="I1154" s="1151">
        <f>H3819</f>
        <v>190000</v>
      </c>
      <c r="J1154" s="139">
        <f t="shared" si="171"/>
        <v>1168615.33</v>
      </c>
      <c r="K1154" s="139">
        <f t="shared" si="169"/>
        <v>0</v>
      </c>
      <c r="L1154" s="139">
        <f t="shared" si="170"/>
        <v>0</v>
      </c>
      <c r="M1154" s="136"/>
      <c r="N1154" s="136"/>
      <c r="O1154" s="136"/>
      <c r="P1154" s="136"/>
      <c r="Y1154" s="768" t="b">
        <f t="shared" si="167"/>
        <v>0</v>
      </c>
    </row>
    <row r="1155" outlineLevel="2" spans="1:25">
      <c r="A1155" s="152" t="s">
        <v>2102</v>
      </c>
      <c r="B1155" s="1162" t="s">
        <v>3268</v>
      </c>
      <c r="C1155" s="693" t="str">
        <f t="shared" si="162"/>
        <v>深圳新阳蓝光能源管理科技股份有限公司</v>
      </c>
      <c r="D1155" s="1163" t="s">
        <v>3269</v>
      </c>
      <c r="E1155" s="1171" t="str">
        <f t="shared" si="168"/>
        <v>        电子设备及其他</v>
      </c>
      <c r="F1155" s="1151">
        <f>$I$3813</f>
        <v>303764.39</v>
      </c>
      <c r="G1155" s="1151">
        <f>I3814-H1155</f>
        <v>0</v>
      </c>
      <c r="H1155" s="1151">
        <f>I3815</f>
        <v>65814.94</v>
      </c>
      <c r="I1155" s="1151">
        <f>I3819</f>
        <v>166910.75</v>
      </c>
      <c r="J1155" s="139">
        <f t="shared" si="171"/>
        <v>202668.58</v>
      </c>
      <c r="K1155" s="139">
        <f t="shared" si="169"/>
        <v>0</v>
      </c>
      <c r="L1155" s="139">
        <f t="shared" si="170"/>
        <v>0</v>
      </c>
      <c r="M1155" s="136"/>
      <c r="N1155" s="136"/>
      <c r="O1155" s="136"/>
      <c r="P1155" s="136"/>
      <c r="Y1155" s="768" t="b">
        <f t="shared" si="167"/>
        <v>0</v>
      </c>
    </row>
    <row r="1156" outlineLevel="2" spans="1:25">
      <c r="A1156" s="152" t="s">
        <v>3280</v>
      </c>
      <c r="B1156" s="1162" t="s">
        <v>3268</v>
      </c>
      <c r="C1156" s="693" t="str">
        <f t="shared" si="162"/>
        <v>深圳新阳蓝光能源管理科技股份有限公司</v>
      </c>
      <c r="D1156" s="1159" t="s">
        <v>3269</v>
      </c>
      <c r="E1156" s="1052">
        <f t="shared" si="168"/>
        <v>0</v>
      </c>
      <c r="F1156" s="743"/>
      <c r="G1156" s="157"/>
      <c r="H1156" s="157"/>
      <c r="I1156" s="157"/>
      <c r="J1156" s="139">
        <f t="shared" ref="J1156" si="172">ROUND(F1156+H1156-I1156,2)</f>
        <v>0</v>
      </c>
      <c r="K1156" s="139">
        <f t="shared" si="169"/>
        <v>0</v>
      </c>
      <c r="L1156" s="139">
        <f t="shared" si="170"/>
        <v>0</v>
      </c>
      <c r="M1156" s="136"/>
      <c r="N1156" s="136"/>
      <c r="O1156" s="136"/>
      <c r="P1156" s="136"/>
      <c r="Y1156" s="768" t="b">
        <f t="shared" si="167"/>
        <v>0</v>
      </c>
    </row>
    <row r="1157" outlineLevel="2" spans="1:25">
      <c r="A1157" s="152" t="s">
        <v>2103</v>
      </c>
      <c r="B1157" s="1162" t="s">
        <v>3268</v>
      </c>
      <c r="C1157" s="693" t="str">
        <f t="shared" si="162"/>
        <v>深圳新阳蓝光能源管理科技股份有限公司</v>
      </c>
      <c r="D1157" s="1163" t="s">
        <v>3269</v>
      </c>
      <c r="E1157" s="1170" t="s">
        <v>2103</v>
      </c>
      <c r="F1157" s="743">
        <f>SUM(F1158:F1162)</f>
        <v>0</v>
      </c>
      <c r="G1157" s="157"/>
      <c r="H1157" s="139">
        <f>ROUND(SUM(H1158:H1162),2)</f>
        <v>0</v>
      </c>
      <c r="I1157" s="139">
        <f t="shared" ref="I1157:J1157" si="173">ROUND(SUM(I1158:I1162),2)</f>
        <v>0</v>
      </c>
      <c r="J1157" s="139">
        <f t="shared" si="173"/>
        <v>0</v>
      </c>
      <c r="K1157" s="139">
        <f t="shared" ref="K1157:P1157" si="174">SUM(K1158:K1162)</f>
        <v>0</v>
      </c>
      <c r="L1157" s="139">
        <f t="shared" si="174"/>
        <v>0</v>
      </c>
      <c r="M1157" s="139">
        <f t="shared" si="174"/>
        <v>0</v>
      </c>
      <c r="N1157" s="139">
        <f t="shared" si="174"/>
        <v>0</v>
      </c>
      <c r="O1157" s="139">
        <f t="shared" si="174"/>
        <v>0</v>
      </c>
      <c r="P1157" s="139">
        <f t="shared" si="174"/>
        <v>0</v>
      </c>
      <c r="Y1157" s="768" t="b">
        <f t="shared" si="167"/>
        <v>1</v>
      </c>
    </row>
    <row r="1158" outlineLevel="2" spans="1:25">
      <c r="A1158" s="152" t="s">
        <v>2099</v>
      </c>
      <c r="B1158" s="1162" t="s">
        <v>3268</v>
      </c>
      <c r="C1158" s="693" t="str">
        <f t="shared" si="162"/>
        <v>深圳新阳蓝光能源管理科技股份有限公司</v>
      </c>
      <c r="D1158" s="1159" t="s">
        <v>3269</v>
      </c>
      <c r="E1158" s="1171" t="str">
        <f t="shared" ref="E1158:E1162" si="175">E1145</f>
        <v>    其中：节能服务资产</v>
      </c>
      <c r="F1158" s="743">
        <f>$F$3826</f>
        <v>0</v>
      </c>
      <c r="G1158" s="157"/>
      <c r="H1158" s="139">
        <f>F3827</f>
        <v>0</v>
      </c>
      <c r="I1158" s="139">
        <f>$F$3830</f>
        <v>0</v>
      </c>
      <c r="J1158" s="139">
        <f>F1158+H1158-I1158</f>
        <v>0</v>
      </c>
      <c r="K1158" s="139">
        <f t="shared" ref="K1158:K1162" si="176">SUM(IF(M1158&gt;0,M1158,0),IF(N1158&gt;0,N1158,0),IF(O1158&gt;0,O1158,0),IF(P1158&gt;0,P1158,0))</f>
        <v>0</v>
      </c>
      <c r="L1158" s="139">
        <f t="shared" ref="L1158:L1162" si="177">SUM(IF(M1158&gt;0,0,-M1158),IF(N1158&gt;0,0,-N1158),IF(O1158&gt;0,0,-O1158),IF(P1158&gt;0,0,-P1158))</f>
        <v>0</v>
      </c>
      <c r="M1158" s="136"/>
      <c r="N1158" s="136"/>
      <c r="O1158" s="136"/>
      <c r="P1158" s="136"/>
      <c r="Y1158" s="768" t="b">
        <f t="shared" si="167"/>
        <v>0</v>
      </c>
    </row>
    <row r="1159" outlineLevel="2" spans="1:25">
      <c r="A1159" s="152" t="s">
        <v>2100</v>
      </c>
      <c r="B1159" s="1162" t="s">
        <v>3268</v>
      </c>
      <c r="C1159" s="693" t="str">
        <f t="shared" si="162"/>
        <v>深圳新阳蓝光能源管理科技股份有限公司</v>
      </c>
      <c r="D1159" s="1163" t="s">
        <v>3269</v>
      </c>
      <c r="E1159" s="1171" t="str">
        <f t="shared" si="175"/>
        <v>        机器设备</v>
      </c>
      <c r="F1159" s="743">
        <f>$G$3826</f>
        <v>0</v>
      </c>
      <c r="G1159" s="157"/>
      <c r="H1159" s="139">
        <f>G3827</f>
        <v>0</v>
      </c>
      <c r="I1159" s="139">
        <f>$G$3830</f>
        <v>0</v>
      </c>
      <c r="J1159" s="139">
        <f>F1159+H1159-I1159</f>
        <v>0</v>
      </c>
      <c r="K1159" s="139">
        <f t="shared" si="176"/>
        <v>0</v>
      </c>
      <c r="L1159" s="139">
        <f t="shared" si="177"/>
        <v>0</v>
      </c>
      <c r="M1159" s="136"/>
      <c r="N1159" s="136"/>
      <c r="O1159" s="136"/>
      <c r="P1159" s="136"/>
      <c r="Y1159" s="768" t="b">
        <f t="shared" si="167"/>
        <v>0</v>
      </c>
    </row>
    <row r="1160" outlineLevel="2" spans="1:25">
      <c r="A1160" s="152" t="s">
        <v>2101</v>
      </c>
      <c r="B1160" s="1162" t="s">
        <v>3268</v>
      </c>
      <c r="C1160" s="693" t="str">
        <f t="shared" si="162"/>
        <v>深圳新阳蓝光能源管理科技股份有限公司</v>
      </c>
      <c r="D1160" s="1159" t="s">
        <v>3269</v>
      </c>
      <c r="E1160" s="1171" t="str">
        <f t="shared" si="175"/>
        <v>        运输工具</v>
      </c>
      <c r="F1160" s="743">
        <f>$H$3826</f>
        <v>0</v>
      </c>
      <c r="G1160" s="157"/>
      <c r="H1160" s="139">
        <f>H3827</f>
        <v>0</v>
      </c>
      <c r="I1160" s="139">
        <f>$H$3830</f>
        <v>0</v>
      </c>
      <c r="J1160" s="139">
        <f>F1160+H1160-I1160</f>
        <v>0</v>
      </c>
      <c r="K1160" s="139">
        <f t="shared" si="176"/>
        <v>0</v>
      </c>
      <c r="L1160" s="139">
        <f t="shared" si="177"/>
        <v>0</v>
      </c>
      <c r="M1160" s="136"/>
      <c r="N1160" s="136"/>
      <c r="O1160" s="136"/>
      <c r="P1160" s="136"/>
      <c r="Y1160" s="768" t="b">
        <f t="shared" si="167"/>
        <v>0</v>
      </c>
    </row>
    <row r="1161" outlineLevel="2" spans="1:25">
      <c r="A1161" s="152" t="s">
        <v>2102</v>
      </c>
      <c r="B1161" s="1162" t="s">
        <v>3268</v>
      </c>
      <c r="C1161" s="693" t="str">
        <f t="shared" si="162"/>
        <v>深圳新阳蓝光能源管理科技股份有限公司</v>
      </c>
      <c r="D1161" s="1163" t="s">
        <v>3269</v>
      </c>
      <c r="E1161" s="1171" t="str">
        <f t="shared" si="175"/>
        <v>        电子设备及其他</v>
      </c>
      <c r="F1161" s="743">
        <f>$I$3826</f>
        <v>0</v>
      </c>
      <c r="G1161" s="157"/>
      <c r="H1161" s="139">
        <f>I3827</f>
        <v>0</v>
      </c>
      <c r="I1161" s="139">
        <f>$I$3830</f>
        <v>0</v>
      </c>
      <c r="J1161" s="139">
        <f>F1161+H1161-I1161</f>
        <v>0</v>
      </c>
      <c r="K1161" s="139">
        <f t="shared" si="176"/>
        <v>0</v>
      </c>
      <c r="L1161" s="139">
        <f t="shared" si="177"/>
        <v>0</v>
      </c>
      <c r="M1161" s="136"/>
      <c r="N1161" s="136"/>
      <c r="O1161" s="136"/>
      <c r="P1161" s="136"/>
      <c r="Y1161" s="768" t="b">
        <f t="shared" si="167"/>
        <v>0</v>
      </c>
    </row>
    <row r="1162" outlineLevel="2" spans="1:25">
      <c r="A1162" s="152" t="s">
        <v>3280</v>
      </c>
      <c r="B1162" s="1162" t="s">
        <v>3268</v>
      </c>
      <c r="C1162" s="693" t="str">
        <f t="shared" si="162"/>
        <v>深圳新阳蓝光能源管理科技股份有限公司</v>
      </c>
      <c r="D1162" s="1159" t="s">
        <v>3269</v>
      </c>
      <c r="E1162" s="1052">
        <f t="shared" si="175"/>
        <v>0</v>
      </c>
      <c r="F1162" s="743"/>
      <c r="G1162" s="157"/>
      <c r="H1162" s="157"/>
      <c r="I1162" s="157"/>
      <c r="J1162" s="139">
        <f>F1162+H1162-I1162</f>
        <v>0</v>
      </c>
      <c r="K1162" s="139">
        <f t="shared" si="176"/>
        <v>0</v>
      </c>
      <c r="L1162" s="139">
        <f t="shared" si="177"/>
        <v>0</v>
      </c>
      <c r="M1162" s="136"/>
      <c r="N1162" s="136"/>
      <c r="O1162" s="136"/>
      <c r="P1162" s="136"/>
      <c r="Y1162" s="768" t="b">
        <f t="shared" si="167"/>
        <v>0</v>
      </c>
    </row>
    <row r="1163" outlineLevel="2" spans="1:25">
      <c r="A1163" s="152" t="s">
        <v>772</v>
      </c>
      <c r="B1163" s="1162" t="s">
        <v>3268</v>
      </c>
      <c r="C1163" s="693" t="str">
        <f t="shared" si="162"/>
        <v>深圳新阳蓝光能源管理科技股份有限公司</v>
      </c>
      <c r="D1163" s="1163" t="s">
        <v>3269</v>
      </c>
      <c r="E1163" s="1170" t="s">
        <v>772</v>
      </c>
      <c r="F1163" s="139">
        <f>ROUND(SUM(F1164:F1168),2)</f>
        <v>67613790.3</v>
      </c>
      <c r="G1163" s="157"/>
      <c r="H1163" s="157"/>
      <c r="I1163" s="157"/>
      <c r="J1163" s="139">
        <f>ROUND(SUM(J1164:J1168),2)</f>
        <v>63138192.37</v>
      </c>
      <c r="K1163" s="139">
        <f t="shared" ref="K1163:P1163" si="178">SUM(K1164:K1168)</f>
        <v>0</v>
      </c>
      <c r="L1163" s="139">
        <f t="shared" si="178"/>
        <v>0</v>
      </c>
      <c r="M1163" s="139">
        <f t="shared" si="178"/>
        <v>0</v>
      </c>
      <c r="N1163" s="139">
        <f t="shared" si="178"/>
        <v>0</v>
      </c>
      <c r="O1163" s="139">
        <f t="shared" si="178"/>
        <v>0</v>
      </c>
      <c r="P1163" s="139">
        <f t="shared" si="178"/>
        <v>0</v>
      </c>
      <c r="Y1163" s="768" t="b">
        <f t="shared" si="167"/>
        <v>1</v>
      </c>
    </row>
    <row r="1164" outlineLevel="2" spans="1:25">
      <c r="A1164" s="152" t="s">
        <v>2099</v>
      </c>
      <c r="B1164" s="1162" t="s">
        <v>3268</v>
      </c>
      <c r="C1164" s="693" t="str">
        <f t="shared" si="162"/>
        <v>深圳新阳蓝光能源管理科技股份有限公司</v>
      </c>
      <c r="D1164" s="1159" t="s">
        <v>3269</v>
      </c>
      <c r="E1164" s="1171" t="str">
        <f t="shared" ref="E1164:E1168" si="179">E1145</f>
        <v>    其中：节能服务资产</v>
      </c>
      <c r="F1164" s="139">
        <f>ROUND(F1145-F1152-F1158,2)</f>
        <v>66570156.49</v>
      </c>
      <c r="G1164" s="157"/>
      <c r="H1164" s="157"/>
      <c r="I1164" s="157"/>
      <c r="J1164" s="139">
        <f>ROUND(J1145-J1152-J1158,2)</f>
        <v>62533046.29</v>
      </c>
      <c r="K1164" s="139">
        <f t="shared" ref="K1164:P1168" si="180">K1145-K1152-K1158</f>
        <v>0</v>
      </c>
      <c r="L1164" s="139">
        <f t="shared" si="180"/>
        <v>0</v>
      </c>
      <c r="M1164" s="139">
        <f t="shared" si="180"/>
        <v>0</v>
      </c>
      <c r="N1164" s="139">
        <f t="shared" si="180"/>
        <v>0</v>
      </c>
      <c r="O1164" s="139">
        <f t="shared" si="180"/>
        <v>0</v>
      </c>
      <c r="P1164" s="139">
        <f t="shared" si="180"/>
        <v>0</v>
      </c>
      <c r="Y1164" s="768" t="b">
        <f t="shared" si="167"/>
        <v>0</v>
      </c>
    </row>
    <row r="1165" outlineLevel="2" spans="1:25">
      <c r="A1165" s="152" t="s">
        <v>2100</v>
      </c>
      <c r="B1165" s="1162" t="s">
        <v>3268</v>
      </c>
      <c r="C1165" s="693" t="str">
        <f t="shared" si="162"/>
        <v>深圳新阳蓝光能源管理科技股份有限公司</v>
      </c>
      <c r="D1165" s="1163" t="s">
        <v>3269</v>
      </c>
      <c r="E1165" s="1171" t="str">
        <f t="shared" si="179"/>
        <v>        机器设备</v>
      </c>
      <c r="F1165" s="139">
        <f t="shared" ref="F1165:F1168" si="181">ROUND(F1146-F1153-F1159,2)</f>
        <v>221625</v>
      </c>
      <c r="G1165" s="157"/>
      <c r="H1165" s="157"/>
      <c r="I1165" s="157"/>
      <c r="J1165" s="139">
        <f t="shared" ref="J1165:J1168" si="182">ROUND(J1146-J1153-J1159,2)</f>
        <v>193125</v>
      </c>
      <c r="K1165" s="139">
        <f t="shared" si="180"/>
        <v>0</v>
      </c>
      <c r="L1165" s="139">
        <f t="shared" si="180"/>
        <v>0</v>
      </c>
      <c r="M1165" s="139">
        <f t="shared" si="180"/>
        <v>0</v>
      </c>
      <c r="N1165" s="139">
        <f t="shared" si="180"/>
        <v>0</v>
      </c>
      <c r="O1165" s="139">
        <f t="shared" si="180"/>
        <v>0</v>
      </c>
      <c r="P1165" s="139">
        <f t="shared" si="180"/>
        <v>0</v>
      </c>
      <c r="Y1165" s="768" t="b">
        <f t="shared" si="167"/>
        <v>0</v>
      </c>
    </row>
    <row r="1166" outlineLevel="2" spans="1:25">
      <c r="A1166" s="152" t="s">
        <v>2101</v>
      </c>
      <c r="B1166" s="1162" t="s">
        <v>3268</v>
      </c>
      <c r="C1166" s="693" t="str">
        <f t="shared" si="162"/>
        <v>深圳新阳蓝光能源管理科技股份有限公司</v>
      </c>
      <c r="D1166" s="1159" t="s">
        <v>3269</v>
      </c>
      <c r="E1166" s="1171" t="str">
        <f t="shared" si="179"/>
        <v>        运输工具</v>
      </c>
      <c r="F1166" s="139">
        <f t="shared" si="181"/>
        <v>709585.22</v>
      </c>
      <c r="G1166" s="157"/>
      <c r="H1166" s="157"/>
      <c r="I1166" s="157"/>
      <c r="J1166" s="139">
        <f t="shared" si="182"/>
        <v>326886.01</v>
      </c>
      <c r="K1166" s="139">
        <f t="shared" si="180"/>
        <v>0</v>
      </c>
      <c r="L1166" s="139">
        <f t="shared" si="180"/>
        <v>0</v>
      </c>
      <c r="M1166" s="139">
        <f t="shared" si="180"/>
        <v>0</v>
      </c>
      <c r="N1166" s="139">
        <f t="shared" si="180"/>
        <v>0</v>
      </c>
      <c r="O1166" s="139">
        <f t="shared" si="180"/>
        <v>0</v>
      </c>
      <c r="P1166" s="139">
        <f t="shared" si="180"/>
        <v>0</v>
      </c>
      <c r="Y1166" s="768" t="b">
        <f t="shared" si="167"/>
        <v>0</v>
      </c>
    </row>
    <row r="1167" outlineLevel="2" spans="1:25">
      <c r="A1167" s="152" t="s">
        <v>2102</v>
      </c>
      <c r="B1167" s="1162" t="s">
        <v>3268</v>
      </c>
      <c r="C1167" s="693" t="str">
        <f t="shared" si="162"/>
        <v>深圳新阳蓝光能源管理科技股份有限公司</v>
      </c>
      <c r="D1167" s="1163" t="s">
        <v>3269</v>
      </c>
      <c r="E1167" s="1171" t="str">
        <f t="shared" si="179"/>
        <v>        电子设备及其他</v>
      </c>
      <c r="F1167" s="139">
        <f t="shared" si="181"/>
        <v>112423.59</v>
      </c>
      <c r="G1167" s="157"/>
      <c r="H1167" s="157"/>
      <c r="I1167" s="157"/>
      <c r="J1167" s="139">
        <f t="shared" si="182"/>
        <v>85135.07</v>
      </c>
      <c r="K1167" s="139">
        <f t="shared" si="180"/>
        <v>0</v>
      </c>
      <c r="L1167" s="139">
        <f t="shared" si="180"/>
        <v>0</v>
      </c>
      <c r="M1167" s="139">
        <f t="shared" si="180"/>
        <v>0</v>
      </c>
      <c r="N1167" s="139">
        <f t="shared" si="180"/>
        <v>0</v>
      </c>
      <c r="O1167" s="139">
        <f t="shared" si="180"/>
        <v>0</v>
      </c>
      <c r="P1167" s="139">
        <f t="shared" si="180"/>
        <v>0</v>
      </c>
      <c r="Y1167" s="768" t="b">
        <f t="shared" si="167"/>
        <v>0</v>
      </c>
    </row>
    <row r="1168" outlineLevel="2" spans="1:25">
      <c r="A1168" s="152" t="s">
        <v>3280</v>
      </c>
      <c r="B1168" s="1162" t="s">
        <v>3268</v>
      </c>
      <c r="C1168" s="693" t="str">
        <f t="shared" si="162"/>
        <v>深圳新阳蓝光能源管理科技股份有限公司</v>
      </c>
      <c r="D1168" s="1159" t="s">
        <v>3269</v>
      </c>
      <c r="E1168" s="1052">
        <f t="shared" si="179"/>
        <v>0</v>
      </c>
      <c r="F1168" s="139">
        <f t="shared" si="181"/>
        <v>0</v>
      </c>
      <c r="G1168" s="157"/>
      <c r="H1168" s="157"/>
      <c r="I1168" s="157"/>
      <c r="J1168" s="139">
        <f t="shared" si="182"/>
        <v>0</v>
      </c>
      <c r="K1168" s="139">
        <f t="shared" si="180"/>
        <v>0</v>
      </c>
      <c r="L1168" s="139">
        <f t="shared" si="180"/>
        <v>0</v>
      </c>
      <c r="M1168" s="139">
        <f t="shared" si="180"/>
        <v>0</v>
      </c>
      <c r="N1168" s="139">
        <f t="shared" si="180"/>
        <v>0</v>
      </c>
      <c r="O1168" s="139">
        <f t="shared" si="180"/>
        <v>0</v>
      </c>
      <c r="P1168" s="139">
        <f t="shared" si="180"/>
        <v>0</v>
      </c>
      <c r="Y1168" s="768" t="b">
        <f t="shared" si="167"/>
        <v>0</v>
      </c>
    </row>
    <row r="1169" outlineLevel="2" spans="1:25">
      <c r="A1169" s="152" t="s">
        <v>1723</v>
      </c>
      <c r="B1169" s="1162" t="s">
        <v>3268</v>
      </c>
      <c r="C1169" s="693" t="str">
        <f t="shared" si="162"/>
        <v>深圳新阳蓝光能源管理科技股份有限公司</v>
      </c>
      <c r="D1169" s="1163" t="s">
        <v>3269</v>
      </c>
      <c r="E1169" s="1115" t="s">
        <v>1723</v>
      </c>
      <c r="F1169" s="817">
        <f>审定资负表!D27</f>
        <v>67613790.3</v>
      </c>
      <c r="G1169" s="145"/>
      <c r="H1169" s="145"/>
      <c r="I1169" s="145"/>
      <c r="J1169" s="817">
        <f>审定资负表!C27</f>
        <v>63138192.37</v>
      </c>
      <c r="Y1169" s="768" t="b">
        <f t="shared" si="167"/>
        <v>1</v>
      </c>
    </row>
    <row r="1170" outlineLevel="1" spans="1:25">
      <c r="A1170" s="152" t="s">
        <v>1395</v>
      </c>
      <c r="B1170" s="1162" t="s">
        <v>3268</v>
      </c>
      <c r="C1170" s="693" t="str">
        <f t="shared" si="162"/>
        <v>深圳新阳蓝光能源管理科技股份有限公司</v>
      </c>
      <c r="D1170" s="1159" t="s">
        <v>3269</v>
      </c>
      <c r="E1170" s="1115" t="s">
        <v>1395</v>
      </c>
      <c r="F1170" s="92">
        <f>ROUND(F1163-F1169,2)</f>
        <v>0</v>
      </c>
      <c r="G1170" s="145"/>
      <c r="H1170" s="145"/>
      <c r="I1170" s="145"/>
      <c r="J1170" s="92">
        <f>ROUND(J1163-J1169,2)</f>
        <v>0</v>
      </c>
      <c r="Y1170" s="768" t="b">
        <f t="shared" si="167"/>
        <v>1</v>
      </c>
    </row>
    <row r="1171" outlineLevel="2" spans="1:24">
      <c r="A1171" s="152" t="s">
        <v>3282</v>
      </c>
      <c r="B1171" s="1162" t="s">
        <v>3268</v>
      </c>
      <c r="C1171" s="693" t="str">
        <f t="shared" si="162"/>
        <v>深圳新阳蓝光能源管理科技股份有限公司</v>
      </c>
      <c r="D1171" s="1163" t="s">
        <v>3269</v>
      </c>
      <c r="E1171" s="1106" t="s">
        <v>3283</v>
      </c>
      <c r="F1171" s="145"/>
      <c r="G1171" s="145"/>
      <c r="H1171" s="145"/>
      <c r="I1171" s="145"/>
      <c r="X1171" s="768" t="b">
        <f t="shared" si="149"/>
        <v>1</v>
      </c>
    </row>
    <row r="1172" outlineLevel="2" spans="1:24">
      <c r="A1172" s="152" t="s">
        <v>2809</v>
      </c>
      <c r="B1172" s="1162" t="s">
        <v>3268</v>
      </c>
      <c r="C1172" s="693" t="str">
        <f t="shared" si="162"/>
        <v>深圳新阳蓝光能源管理科技股份有限公司</v>
      </c>
      <c r="D1172" s="1159" t="s">
        <v>3269</v>
      </c>
      <c r="E1172" s="1180" t="s">
        <v>3284</v>
      </c>
      <c r="F1172" s="1005"/>
      <c r="G1172" s="1005"/>
      <c r="H1172" s="1005"/>
      <c r="I1172" s="1005"/>
      <c r="X1172" s="768" t="b">
        <f t="shared" si="149"/>
        <v>1</v>
      </c>
    </row>
    <row r="1173" outlineLevel="2" spans="1:24">
      <c r="A1173" s="152" t="s">
        <v>2106</v>
      </c>
      <c r="B1173" s="1162" t="s">
        <v>3268</v>
      </c>
      <c r="C1173" s="693" t="str">
        <f t="shared" si="162"/>
        <v>深圳新阳蓝光能源管理科技股份有限公司</v>
      </c>
      <c r="D1173" s="1163" t="s">
        <v>3285</v>
      </c>
      <c r="E1173" s="1181" t="s">
        <v>3286</v>
      </c>
      <c r="F1173" s="1181"/>
      <c r="G1173" s="1181"/>
      <c r="H1173" s="1181"/>
      <c r="I1173" s="1181"/>
      <c r="J1173" s="919" t="s">
        <v>2966</v>
      </c>
      <c r="X1173" s="768" t="b">
        <f t="shared" si="149"/>
        <v>1</v>
      </c>
    </row>
    <row r="1174" outlineLevel="2" spans="1:24">
      <c r="A1174" s="152" t="s">
        <v>3287</v>
      </c>
      <c r="B1174" s="1162" t="s">
        <v>3268</v>
      </c>
      <c r="C1174" s="693" t="str">
        <f t="shared" si="162"/>
        <v>深圳新阳蓝光能源管理科技股份有限公司</v>
      </c>
      <c r="D1174" s="1163" t="s">
        <v>3285</v>
      </c>
      <c r="E1174" s="1167" t="s">
        <v>3287</v>
      </c>
      <c r="F1174" s="1167" t="s">
        <v>2107</v>
      </c>
      <c r="G1174" s="1167" t="s">
        <v>860</v>
      </c>
      <c r="H1174" s="1167" t="s">
        <v>776</v>
      </c>
      <c r="I1174" s="1167" t="s">
        <v>3288</v>
      </c>
      <c r="J1174" s="900"/>
      <c r="X1174" s="768" t="b">
        <f t="shared" si="149"/>
        <v>1</v>
      </c>
    </row>
    <row r="1175" outlineLevel="2" spans="1:24">
      <c r="A1175" s="152" t="s">
        <v>2099</v>
      </c>
      <c r="B1175" s="1162" t="s">
        <v>3268</v>
      </c>
      <c r="C1175" s="693" t="str">
        <f t="shared" si="162"/>
        <v>深圳新阳蓝光能源管理科技股份有限公司</v>
      </c>
      <c r="D1175" s="1163" t="s">
        <v>3289</v>
      </c>
      <c r="E1175" s="1182" t="str">
        <f t="shared" ref="E1175:E1179" si="183">E1164</f>
        <v>    其中：节能服务资产</v>
      </c>
      <c r="F1175" s="1021"/>
      <c r="G1175" s="1021"/>
      <c r="H1175" s="1021"/>
      <c r="I1175" s="909">
        <f>F1175-G1175-H1175</f>
        <v>0</v>
      </c>
      <c r="X1175" s="768" t="b">
        <f t="shared" si="149"/>
        <v>0</v>
      </c>
    </row>
    <row r="1176" outlineLevel="2" spans="1:24">
      <c r="A1176" s="152" t="s">
        <v>2100</v>
      </c>
      <c r="B1176" s="1162" t="s">
        <v>3268</v>
      </c>
      <c r="C1176" s="693" t="str">
        <f t="shared" si="162"/>
        <v>深圳新阳蓝光能源管理科技股份有限公司</v>
      </c>
      <c r="D1176" s="1163" t="s">
        <v>3289</v>
      </c>
      <c r="E1176" s="1182" t="str">
        <f t="shared" si="183"/>
        <v>        机器设备</v>
      </c>
      <c r="F1176" s="1021"/>
      <c r="G1176" s="1021"/>
      <c r="H1176" s="1021"/>
      <c r="I1176" s="909">
        <f t="shared" ref="I1176:I1179" si="184">F1176-G1176-H1176</f>
        <v>0</v>
      </c>
      <c r="X1176" s="768" t="b">
        <f t="shared" si="149"/>
        <v>0</v>
      </c>
    </row>
    <row r="1177" outlineLevel="2" spans="1:24">
      <c r="A1177" s="152" t="s">
        <v>2101</v>
      </c>
      <c r="B1177" s="1162" t="s">
        <v>3268</v>
      </c>
      <c r="C1177" s="693" t="str">
        <f t="shared" si="162"/>
        <v>深圳新阳蓝光能源管理科技股份有限公司</v>
      </c>
      <c r="D1177" s="1163" t="s">
        <v>3289</v>
      </c>
      <c r="E1177" s="1182" t="str">
        <f t="shared" si="183"/>
        <v>        运输工具</v>
      </c>
      <c r="F1177" s="1021"/>
      <c r="G1177" s="1021"/>
      <c r="H1177" s="1021"/>
      <c r="I1177" s="909">
        <f t="shared" si="184"/>
        <v>0</v>
      </c>
      <c r="X1177" s="768" t="b">
        <f t="shared" si="149"/>
        <v>0</v>
      </c>
    </row>
    <row r="1178" outlineLevel="2" spans="1:24">
      <c r="A1178" s="152" t="s">
        <v>2102</v>
      </c>
      <c r="B1178" s="1162" t="s">
        <v>3268</v>
      </c>
      <c r="C1178" s="693" t="str">
        <f t="shared" si="162"/>
        <v>深圳新阳蓝光能源管理科技股份有限公司</v>
      </c>
      <c r="D1178" s="1163" t="s">
        <v>3289</v>
      </c>
      <c r="E1178" s="1182" t="str">
        <f t="shared" si="183"/>
        <v>        电子设备及其他</v>
      </c>
      <c r="F1178" s="1021"/>
      <c r="G1178" s="1021"/>
      <c r="H1178" s="1021"/>
      <c r="I1178" s="909">
        <f t="shared" si="184"/>
        <v>0</v>
      </c>
      <c r="X1178" s="768" t="b">
        <f t="shared" ref="X1178:X1241" si="185">EXACT(A1178,E1178)</f>
        <v>0</v>
      </c>
    </row>
    <row r="1179" outlineLevel="2" spans="1:24">
      <c r="A1179" s="152" t="s">
        <v>3280</v>
      </c>
      <c r="B1179" s="1162" t="s">
        <v>3268</v>
      </c>
      <c r="C1179" s="693" t="str">
        <f t="shared" si="162"/>
        <v>深圳新阳蓝光能源管理科技股份有限公司</v>
      </c>
      <c r="D1179" s="1163" t="s">
        <v>3289</v>
      </c>
      <c r="E1179" s="1182">
        <f t="shared" si="183"/>
        <v>0</v>
      </c>
      <c r="F1179" s="1021"/>
      <c r="G1179" s="1021"/>
      <c r="H1179" s="1021"/>
      <c r="I1179" s="909">
        <f t="shared" si="184"/>
        <v>0</v>
      </c>
      <c r="X1179" s="768" t="b">
        <f t="shared" si="185"/>
        <v>0</v>
      </c>
    </row>
    <row r="1180" outlineLevel="2" spans="1:24">
      <c r="A1180" s="152" t="s">
        <v>2021</v>
      </c>
      <c r="B1180" s="1162" t="s">
        <v>3268</v>
      </c>
      <c r="C1180" s="693" t="str">
        <f t="shared" si="162"/>
        <v>深圳新阳蓝光能源管理科技股份有限公司</v>
      </c>
      <c r="D1180" s="1163" t="s">
        <v>3289</v>
      </c>
      <c r="E1180" s="1167" t="s">
        <v>2021</v>
      </c>
      <c r="F1180" s="909">
        <f>SUM(F1175:F1179)</f>
        <v>0</v>
      </c>
      <c r="G1180" s="909">
        <f t="shared" ref="G1180:I1180" si="186">SUM(G1175:G1179)</f>
        <v>0</v>
      </c>
      <c r="H1180" s="909">
        <f t="shared" si="186"/>
        <v>0</v>
      </c>
      <c r="I1180" s="909">
        <f t="shared" si="186"/>
        <v>0</v>
      </c>
      <c r="X1180" s="768" t="b">
        <f t="shared" si="185"/>
        <v>1</v>
      </c>
    </row>
    <row r="1181" ht="13.5" customHeight="1" outlineLevel="2" spans="2:24">
      <c r="B1181" s="1162" t="s">
        <v>3268</v>
      </c>
      <c r="C1181" s="693" t="str">
        <f t="shared" si="162"/>
        <v>深圳新阳蓝光能源管理科技股份有限公司</v>
      </c>
      <c r="D1181" s="1163" t="s">
        <v>3289</v>
      </c>
      <c r="F1181" s="1183"/>
      <c r="G1181" s="1183"/>
      <c r="H1181" s="1183"/>
      <c r="I1181" s="1183"/>
      <c r="X1181" s="768" t="b">
        <f t="shared" si="185"/>
        <v>1</v>
      </c>
    </row>
    <row r="1182" outlineLevel="2" spans="1:24">
      <c r="A1182" s="152" t="s">
        <v>2108</v>
      </c>
      <c r="B1182" s="1162" t="s">
        <v>3268</v>
      </c>
      <c r="C1182" s="693" t="str">
        <f t="shared" si="162"/>
        <v>深圳新阳蓝光能源管理科技股份有限公司</v>
      </c>
      <c r="D1182" s="1163" t="s">
        <v>3290</v>
      </c>
      <c r="E1182" s="153" t="s">
        <v>3291</v>
      </c>
      <c r="F1182" s="1184"/>
      <c r="G1182" s="1184"/>
      <c r="H1182" s="1184"/>
      <c r="I1182" s="1184"/>
      <c r="X1182" s="768" t="b">
        <f t="shared" si="185"/>
        <v>1</v>
      </c>
    </row>
    <row r="1183" outlineLevel="2" spans="1:24">
      <c r="A1183" s="152" t="s">
        <v>3287</v>
      </c>
      <c r="B1183" s="1162" t="s">
        <v>3268</v>
      </c>
      <c r="C1183" s="693" t="str">
        <f t="shared" si="162"/>
        <v>深圳新阳蓝光能源管理科技股份有限公司</v>
      </c>
      <c r="D1183" s="1163" t="s">
        <v>3290</v>
      </c>
      <c r="E1183" s="907" t="s">
        <v>3287</v>
      </c>
      <c r="F1183" s="907" t="s">
        <v>2107</v>
      </c>
      <c r="G1183" s="907" t="s">
        <v>860</v>
      </c>
      <c r="H1183" s="907" t="s">
        <v>776</v>
      </c>
      <c r="I1183" s="907" t="s">
        <v>3288</v>
      </c>
      <c r="J1183" s="900"/>
      <c r="X1183" s="768" t="b">
        <f t="shared" si="185"/>
        <v>1</v>
      </c>
    </row>
    <row r="1184" outlineLevel="2" spans="1:24">
      <c r="A1184" s="152" t="s">
        <v>2099</v>
      </c>
      <c r="B1184" s="1162" t="s">
        <v>3268</v>
      </c>
      <c r="C1184" s="693" t="str">
        <f t="shared" si="162"/>
        <v>深圳新阳蓝光能源管理科技股份有限公司</v>
      </c>
      <c r="D1184" s="1163" t="s">
        <v>3292</v>
      </c>
      <c r="E1184" s="1052" t="str">
        <f t="shared" ref="E1184:E1188" si="187">E1175</f>
        <v>    其中：节能服务资产</v>
      </c>
      <c r="F1184" s="136"/>
      <c r="G1184" s="136"/>
      <c r="H1184" s="136"/>
      <c r="I1184" s="139">
        <f>F1184-G1184-H1184</f>
        <v>0</v>
      </c>
      <c r="X1184" s="768" t="b">
        <f t="shared" si="185"/>
        <v>0</v>
      </c>
    </row>
    <row r="1185" outlineLevel="2" spans="1:24">
      <c r="A1185" s="152" t="s">
        <v>2100</v>
      </c>
      <c r="B1185" s="1162" t="s">
        <v>3268</v>
      </c>
      <c r="C1185" s="693" t="str">
        <f t="shared" si="162"/>
        <v>深圳新阳蓝光能源管理科技股份有限公司</v>
      </c>
      <c r="D1185" s="1163" t="s">
        <v>3292</v>
      </c>
      <c r="E1185" s="1052" t="str">
        <f t="shared" si="187"/>
        <v>        机器设备</v>
      </c>
      <c r="F1185" s="136"/>
      <c r="G1185" s="136"/>
      <c r="H1185" s="136"/>
      <c r="I1185" s="139">
        <f t="shared" ref="I1185:I1188" si="188">F1185-G1185-H1185</f>
        <v>0</v>
      </c>
      <c r="X1185" s="768" t="b">
        <f t="shared" si="185"/>
        <v>0</v>
      </c>
    </row>
    <row r="1186" outlineLevel="2" spans="1:24">
      <c r="A1186" s="152" t="s">
        <v>2101</v>
      </c>
      <c r="B1186" s="1162" t="s">
        <v>3268</v>
      </c>
      <c r="C1186" s="693" t="str">
        <f t="shared" si="162"/>
        <v>深圳新阳蓝光能源管理科技股份有限公司</v>
      </c>
      <c r="D1186" s="1163" t="s">
        <v>3292</v>
      </c>
      <c r="E1186" s="1052" t="str">
        <f t="shared" si="187"/>
        <v>        运输工具</v>
      </c>
      <c r="F1186" s="136"/>
      <c r="G1186" s="136"/>
      <c r="H1186" s="136"/>
      <c r="I1186" s="139">
        <f t="shared" si="188"/>
        <v>0</v>
      </c>
      <c r="X1186" s="768" t="b">
        <f t="shared" si="185"/>
        <v>0</v>
      </c>
    </row>
    <row r="1187" outlineLevel="2" spans="1:24">
      <c r="A1187" s="152" t="s">
        <v>2102</v>
      </c>
      <c r="B1187" s="1162" t="s">
        <v>3268</v>
      </c>
      <c r="C1187" s="693" t="str">
        <f t="shared" si="162"/>
        <v>深圳新阳蓝光能源管理科技股份有限公司</v>
      </c>
      <c r="D1187" s="1163" t="s">
        <v>3292</v>
      </c>
      <c r="E1187" s="1052" t="str">
        <f t="shared" si="187"/>
        <v>        电子设备及其他</v>
      </c>
      <c r="F1187" s="136"/>
      <c r="G1187" s="136"/>
      <c r="H1187" s="136"/>
      <c r="I1187" s="139">
        <f t="shared" si="188"/>
        <v>0</v>
      </c>
      <c r="X1187" s="768" t="b">
        <f t="shared" si="185"/>
        <v>0</v>
      </c>
    </row>
    <row r="1188" outlineLevel="2" spans="1:24">
      <c r="A1188" s="152" t="s">
        <v>3280</v>
      </c>
      <c r="B1188" s="1162" t="s">
        <v>3268</v>
      </c>
      <c r="C1188" s="693" t="str">
        <f t="shared" si="162"/>
        <v>深圳新阳蓝光能源管理科技股份有限公司</v>
      </c>
      <c r="D1188" s="1163" t="s">
        <v>3292</v>
      </c>
      <c r="E1188" s="1052">
        <f t="shared" si="187"/>
        <v>0</v>
      </c>
      <c r="F1188" s="136"/>
      <c r="G1188" s="136"/>
      <c r="H1188" s="136"/>
      <c r="I1188" s="139">
        <f t="shared" si="188"/>
        <v>0</v>
      </c>
      <c r="X1188" s="768" t="b">
        <f t="shared" si="185"/>
        <v>0</v>
      </c>
    </row>
    <row r="1189" outlineLevel="2" spans="1:24">
      <c r="A1189" s="152" t="s">
        <v>2021</v>
      </c>
      <c r="B1189" s="1162" t="s">
        <v>3268</v>
      </c>
      <c r="C1189" s="693" t="str">
        <f t="shared" si="162"/>
        <v>深圳新阳蓝光能源管理科技股份有限公司</v>
      </c>
      <c r="D1189" s="1163" t="s">
        <v>3292</v>
      </c>
      <c r="E1189" s="1167" t="s">
        <v>2021</v>
      </c>
      <c r="F1189" s="909">
        <f>SUM(F1184:F1188)</f>
        <v>0</v>
      </c>
      <c r="G1189" s="909">
        <f t="shared" ref="G1189:I1189" si="189">SUM(G1184:G1188)</f>
        <v>0</v>
      </c>
      <c r="H1189" s="909">
        <f t="shared" si="189"/>
        <v>0</v>
      </c>
      <c r="I1189" s="909">
        <f t="shared" si="189"/>
        <v>0</v>
      </c>
      <c r="X1189" s="768" t="b">
        <f t="shared" si="185"/>
        <v>1</v>
      </c>
    </row>
    <row r="1190" outlineLevel="2" spans="2:24">
      <c r="B1190" s="1162" t="s">
        <v>3268</v>
      </c>
      <c r="C1190" s="693" t="str">
        <f t="shared" si="162"/>
        <v>深圳新阳蓝光能源管理科技股份有限公司</v>
      </c>
      <c r="D1190" s="1163" t="s">
        <v>3292</v>
      </c>
      <c r="E1190" s="1185"/>
      <c r="F1190" s="145"/>
      <c r="G1190" s="145"/>
      <c r="H1190" s="145"/>
      <c r="I1190" s="145"/>
      <c r="X1190" s="768" t="b">
        <f t="shared" si="185"/>
        <v>1</v>
      </c>
    </row>
    <row r="1191" outlineLevel="2" spans="1:24">
      <c r="A1191" s="152" t="s">
        <v>2109</v>
      </c>
      <c r="B1191" s="1162" t="s">
        <v>3268</v>
      </c>
      <c r="C1191" s="693" t="str">
        <f t="shared" si="162"/>
        <v>深圳新阳蓝光能源管理科技股份有限公司</v>
      </c>
      <c r="D1191" s="1186" t="s">
        <v>3293</v>
      </c>
      <c r="E1191" s="153" t="s">
        <v>3294</v>
      </c>
      <c r="F1191" s="145"/>
      <c r="G1191" s="145"/>
      <c r="H1191" s="145"/>
      <c r="I1191" s="145"/>
      <c r="X1191" s="768" t="b">
        <f t="shared" si="185"/>
        <v>1</v>
      </c>
    </row>
    <row r="1192" outlineLevel="2" spans="1:24">
      <c r="A1192" s="152" t="s">
        <v>3287</v>
      </c>
      <c r="B1192" s="1162" t="s">
        <v>3268</v>
      </c>
      <c r="C1192" s="693" t="str">
        <f t="shared" si="162"/>
        <v>深圳新阳蓝光能源管理科技股份有限公司</v>
      </c>
      <c r="D1192" s="1186" t="s">
        <v>3293</v>
      </c>
      <c r="E1192" s="907" t="s">
        <v>3287</v>
      </c>
      <c r="F1192" s="907" t="s">
        <v>2107</v>
      </c>
      <c r="G1192" s="907" t="s">
        <v>860</v>
      </c>
      <c r="H1192" s="907" t="s">
        <v>776</v>
      </c>
      <c r="I1192" s="907" t="s">
        <v>3288</v>
      </c>
      <c r="X1192" s="768" t="b">
        <f t="shared" si="185"/>
        <v>1</v>
      </c>
    </row>
    <row r="1193" outlineLevel="2" spans="1:24">
      <c r="A1193" s="152" t="s">
        <v>2099</v>
      </c>
      <c r="B1193" s="1162" t="s">
        <v>3268</v>
      </c>
      <c r="C1193" s="693" t="str">
        <f t="shared" si="162"/>
        <v>深圳新阳蓝光能源管理科技股份有限公司</v>
      </c>
      <c r="D1193" s="1186" t="s">
        <v>3295</v>
      </c>
      <c r="E1193" s="1052" t="str">
        <f>E1184</f>
        <v>    其中：节能服务资产</v>
      </c>
      <c r="F1193" s="136"/>
      <c r="G1193" s="136"/>
      <c r="H1193" s="136"/>
      <c r="I1193" s="139">
        <f>F1193-G1193-H1193</f>
        <v>0</v>
      </c>
      <c r="X1193" s="768" t="b">
        <f t="shared" si="185"/>
        <v>0</v>
      </c>
    </row>
    <row r="1194" outlineLevel="2" spans="1:24">
      <c r="A1194" s="152" t="s">
        <v>2100</v>
      </c>
      <c r="B1194" s="1162" t="s">
        <v>3268</v>
      </c>
      <c r="C1194" s="693" t="str">
        <f t="shared" si="162"/>
        <v>深圳新阳蓝光能源管理科技股份有限公司</v>
      </c>
      <c r="D1194" s="1186" t="s">
        <v>3295</v>
      </c>
      <c r="E1194" s="1052" t="str">
        <f>E1185</f>
        <v>        机器设备</v>
      </c>
      <c r="F1194" s="136"/>
      <c r="G1194" s="136"/>
      <c r="H1194" s="136"/>
      <c r="I1194" s="139">
        <f t="shared" ref="I1194:I1197" si="190">F1194-G1194-H1194</f>
        <v>0</v>
      </c>
      <c r="X1194" s="768" t="b">
        <f t="shared" si="185"/>
        <v>0</v>
      </c>
    </row>
    <row r="1195" outlineLevel="2" spans="1:24">
      <c r="A1195" s="152" t="s">
        <v>2101</v>
      </c>
      <c r="B1195" s="1162" t="s">
        <v>3268</v>
      </c>
      <c r="C1195" s="693" t="str">
        <f t="shared" si="162"/>
        <v>深圳新阳蓝光能源管理科技股份有限公司</v>
      </c>
      <c r="D1195" s="1186" t="s">
        <v>3295</v>
      </c>
      <c r="E1195" s="1052" t="str">
        <f t="shared" ref="E1195:E1197" si="191">E1186</f>
        <v>        运输工具</v>
      </c>
      <c r="F1195" s="136"/>
      <c r="G1195" s="136"/>
      <c r="H1195" s="136"/>
      <c r="I1195" s="139">
        <f t="shared" si="190"/>
        <v>0</v>
      </c>
      <c r="X1195" s="768" t="b">
        <f t="shared" si="185"/>
        <v>0</v>
      </c>
    </row>
    <row r="1196" outlineLevel="2" spans="1:24">
      <c r="A1196" s="152" t="s">
        <v>2102</v>
      </c>
      <c r="B1196" s="1162" t="s">
        <v>3268</v>
      </c>
      <c r="C1196" s="693" t="str">
        <f t="shared" si="162"/>
        <v>深圳新阳蓝光能源管理科技股份有限公司</v>
      </c>
      <c r="D1196" s="1186" t="s">
        <v>3295</v>
      </c>
      <c r="E1196" s="1052" t="str">
        <f t="shared" si="191"/>
        <v>        电子设备及其他</v>
      </c>
      <c r="F1196" s="136"/>
      <c r="G1196" s="136"/>
      <c r="H1196" s="136"/>
      <c r="I1196" s="139">
        <f t="shared" si="190"/>
        <v>0</v>
      </c>
      <c r="X1196" s="768" t="b">
        <f t="shared" si="185"/>
        <v>0</v>
      </c>
    </row>
    <row r="1197" outlineLevel="2" spans="1:24">
      <c r="A1197" s="152" t="s">
        <v>3280</v>
      </c>
      <c r="B1197" s="1162" t="s">
        <v>3268</v>
      </c>
      <c r="C1197" s="693" t="str">
        <f t="shared" si="162"/>
        <v>深圳新阳蓝光能源管理科技股份有限公司</v>
      </c>
      <c r="D1197" s="1186" t="s">
        <v>3295</v>
      </c>
      <c r="E1197" s="1052">
        <f t="shared" si="191"/>
        <v>0</v>
      </c>
      <c r="F1197" s="136"/>
      <c r="G1197" s="136"/>
      <c r="H1197" s="136"/>
      <c r="I1197" s="139">
        <f t="shared" si="190"/>
        <v>0</v>
      </c>
      <c r="X1197" s="768" t="b">
        <f t="shared" si="185"/>
        <v>0</v>
      </c>
    </row>
    <row r="1198" outlineLevel="2" spans="1:24">
      <c r="A1198" s="152" t="s">
        <v>2021</v>
      </c>
      <c r="B1198" s="1162" t="s">
        <v>3268</v>
      </c>
      <c r="C1198" s="693" t="str">
        <f t="shared" si="162"/>
        <v>深圳新阳蓝光能源管理科技股份有限公司</v>
      </c>
      <c r="D1198" s="1186" t="s">
        <v>3295</v>
      </c>
      <c r="E1198" s="1167" t="s">
        <v>2021</v>
      </c>
      <c r="F1198" s="909">
        <f>SUM(F1193:F1197)</f>
        <v>0</v>
      </c>
      <c r="G1198" s="909">
        <f t="shared" ref="G1198:I1198" si="192">SUM(G1193:G1197)</f>
        <v>0</v>
      </c>
      <c r="H1198" s="909">
        <f t="shared" si="192"/>
        <v>0</v>
      </c>
      <c r="I1198" s="909">
        <f t="shared" si="192"/>
        <v>0</v>
      </c>
      <c r="X1198" s="768" t="b">
        <f t="shared" si="185"/>
        <v>1</v>
      </c>
    </row>
    <row r="1199" outlineLevel="2" spans="2:24">
      <c r="B1199" s="1162" t="s">
        <v>3268</v>
      </c>
      <c r="C1199" s="693" t="str">
        <f t="shared" si="162"/>
        <v>深圳新阳蓝光能源管理科技股份有限公司</v>
      </c>
      <c r="D1199" s="1186" t="s">
        <v>3295</v>
      </c>
      <c r="E1199" s="1187"/>
      <c r="F1199" s="1188"/>
      <c r="G1199" s="1188"/>
      <c r="H1199" s="1188"/>
      <c r="I1199" s="1188"/>
      <c r="X1199" s="768" t="b">
        <f t="shared" si="185"/>
        <v>1</v>
      </c>
    </row>
    <row r="1200" outlineLevel="2" spans="1:24">
      <c r="A1200" s="152" t="s">
        <v>2110</v>
      </c>
      <c r="B1200" s="1162" t="s">
        <v>3268</v>
      </c>
      <c r="C1200" s="693" t="str">
        <f t="shared" si="162"/>
        <v>深圳新阳蓝光能源管理科技股份有限公司</v>
      </c>
      <c r="D1200" s="1186" t="s">
        <v>3296</v>
      </c>
      <c r="E1200" s="153" t="s">
        <v>3297</v>
      </c>
      <c r="F1200" s="145"/>
      <c r="G1200" s="145"/>
      <c r="H1200" s="145"/>
      <c r="I1200" s="145"/>
      <c r="X1200" s="768" t="b">
        <f t="shared" si="185"/>
        <v>1</v>
      </c>
    </row>
    <row r="1201" outlineLevel="2" spans="1:24">
      <c r="A1201" s="152" t="s">
        <v>3298</v>
      </c>
      <c r="B1201" s="1162" t="s">
        <v>3268</v>
      </c>
      <c r="C1201" s="693" t="str">
        <f t="shared" si="162"/>
        <v>深圳新阳蓝光能源管理科技股份有限公司</v>
      </c>
      <c r="D1201" s="1186" t="s">
        <v>3296</v>
      </c>
      <c r="E1201" s="907" t="s">
        <v>3298</v>
      </c>
      <c r="F1201" s="907" t="s">
        <v>2111</v>
      </c>
      <c r="G1201" s="907" t="s">
        <v>2112</v>
      </c>
      <c r="H1201" s="907" t="s">
        <v>2113</v>
      </c>
      <c r="I1201" s="907" t="s">
        <v>3299</v>
      </c>
      <c r="X1201" s="768" t="b">
        <f t="shared" si="185"/>
        <v>1</v>
      </c>
    </row>
    <row r="1202" outlineLevel="2" spans="1:24">
      <c r="A1202" s="152" t="s">
        <v>2099</v>
      </c>
      <c r="B1202" s="1162" t="s">
        <v>3268</v>
      </c>
      <c r="C1202" s="693" t="str">
        <f t="shared" si="162"/>
        <v>深圳新阳蓝光能源管理科技股份有限公司</v>
      </c>
      <c r="D1202" s="1186" t="s">
        <v>3300</v>
      </c>
      <c r="E1202" s="1052" t="str">
        <f>E1193</f>
        <v>    其中：节能服务资产</v>
      </c>
      <c r="F1202" s="136"/>
      <c r="G1202" s="136"/>
      <c r="H1202" s="136"/>
      <c r="I1202" s="136"/>
      <c r="X1202" s="768" t="b">
        <f t="shared" si="185"/>
        <v>0</v>
      </c>
    </row>
    <row r="1203" outlineLevel="2" spans="1:24">
      <c r="A1203" s="152" t="s">
        <v>2100</v>
      </c>
      <c r="B1203" s="1162" t="s">
        <v>3268</v>
      </c>
      <c r="C1203" s="693" t="str">
        <f t="shared" si="162"/>
        <v>深圳新阳蓝光能源管理科技股份有限公司</v>
      </c>
      <c r="D1203" s="1186" t="s">
        <v>3300</v>
      </c>
      <c r="E1203" s="1052" t="str">
        <f>E1194</f>
        <v>        机器设备</v>
      </c>
      <c r="F1203" s="136"/>
      <c r="G1203" s="136"/>
      <c r="H1203" s="136"/>
      <c r="I1203" s="136"/>
      <c r="X1203" s="768" t="b">
        <f t="shared" si="185"/>
        <v>0</v>
      </c>
    </row>
    <row r="1204" outlineLevel="2" spans="1:24">
      <c r="A1204" s="152" t="s">
        <v>2101</v>
      </c>
      <c r="B1204" s="1162" t="s">
        <v>3268</v>
      </c>
      <c r="C1204" s="693" t="str">
        <f t="shared" si="162"/>
        <v>深圳新阳蓝光能源管理科技股份有限公司</v>
      </c>
      <c r="D1204" s="1186" t="s">
        <v>3300</v>
      </c>
      <c r="E1204" s="1052" t="str">
        <f t="shared" ref="E1204:E1206" si="193">E1195</f>
        <v>        运输工具</v>
      </c>
      <c r="F1204" s="136"/>
      <c r="G1204" s="136"/>
      <c r="H1204" s="136"/>
      <c r="I1204" s="136"/>
      <c r="X1204" s="768" t="b">
        <f t="shared" si="185"/>
        <v>0</v>
      </c>
    </row>
    <row r="1205" outlineLevel="2" spans="1:24">
      <c r="A1205" s="152" t="s">
        <v>2102</v>
      </c>
      <c r="B1205" s="1162" t="s">
        <v>3268</v>
      </c>
      <c r="C1205" s="693" t="str">
        <f t="shared" si="162"/>
        <v>深圳新阳蓝光能源管理科技股份有限公司</v>
      </c>
      <c r="D1205" s="1186" t="s">
        <v>3300</v>
      </c>
      <c r="E1205" s="1052" t="str">
        <f t="shared" si="193"/>
        <v>        电子设备及其他</v>
      </c>
      <c r="F1205" s="136"/>
      <c r="G1205" s="136"/>
      <c r="H1205" s="136"/>
      <c r="I1205" s="136"/>
      <c r="X1205" s="768" t="b">
        <f t="shared" si="185"/>
        <v>0</v>
      </c>
    </row>
    <row r="1206" outlineLevel="2" spans="1:24">
      <c r="A1206" s="152" t="s">
        <v>3280</v>
      </c>
      <c r="B1206" s="1162" t="s">
        <v>3268</v>
      </c>
      <c r="C1206" s="693" t="str">
        <f t="shared" si="162"/>
        <v>深圳新阳蓝光能源管理科技股份有限公司</v>
      </c>
      <c r="D1206" s="1186" t="s">
        <v>3300</v>
      </c>
      <c r="E1206" s="1052">
        <f t="shared" si="193"/>
        <v>0</v>
      </c>
      <c r="F1206" s="136"/>
      <c r="G1206" s="136"/>
      <c r="H1206" s="136"/>
      <c r="I1206" s="136"/>
      <c r="X1206" s="768" t="b">
        <f t="shared" si="185"/>
        <v>0</v>
      </c>
    </row>
    <row r="1207" outlineLevel="2" spans="1:24">
      <c r="A1207" s="152" t="s">
        <v>2021</v>
      </c>
      <c r="B1207" s="1162" t="s">
        <v>3268</v>
      </c>
      <c r="C1207" s="693" t="str">
        <f t="shared" si="162"/>
        <v>深圳新阳蓝光能源管理科技股份有限公司</v>
      </c>
      <c r="D1207" s="1186" t="s">
        <v>3300</v>
      </c>
      <c r="E1207" s="1167" t="s">
        <v>2021</v>
      </c>
      <c r="F1207" s="909">
        <f>SUM(F1202:F1206)</f>
        <v>0</v>
      </c>
      <c r="G1207" s="909">
        <f t="shared" ref="G1207:H1207" si="194">SUM(G1202:G1206)</f>
        <v>0</v>
      </c>
      <c r="H1207" s="909">
        <f t="shared" si="194"/>
        <v>0</v>
      </c>
      <c r="I1207" s="907"/>
      <c r="X1207" s="768" t="b">
        <f t="shared" si="185"/>
        <v>1</v>
      </c>
    </row>
    <row r="1208" outlineLevel="2" spans="2:24">
      <c r="B1208" s="1162" t="s">
        <v>3268</v>
      </c>
      <c r="C1208" s="693" t="str">
        <f t="shared" si="162"/>
        <v>深圳新阳蓝光能源管理科技股份有限公司</v>
      </c>
      <c r="D1208" s="1186" t="s">
        <v>3300</v>
      </c>
      <c r="E1208" s="963"/>
      <c r="F1208" s="145"/>
      <c r="G1208" s="145"/>
      <c r="H1208" s="145"/>
      <c r="I1208" s="145"/>
      <c r="X1208" s="768" t="b">
        <f t="shared" si="185"/>
        <v>1</v>
      </c>
    </row>
    <row r="1209" outlineLevel="2" spans="1:24">
      <c r="A1209" s="152" t="s">
        <v>3301</v>
      </c>
      <c r="B1209" s="1162" t="s">
        <v>3268</v>
      </c>
      <c r="C1209" s="693" t="str">
        <f t="shared" si="162"/>
        <v>深圳新阳蓝光能源管理科技股份有限公司</v>
      </c>
      <c r="D1209" s="1186" t="s">
        <v>3302</v>
      </c>
      <c r="E1209" s="153" t="s">
        <v>3303</v>
      </c>
      <c r="F1209" s="145"/>
      <c r="G1209" s="145"/>
      <c r="H1209" s="145"/>
      <c r="I1209" s="145"/>
      <c r="X1209" s="768" t="b">
        <f t="shared" si="185"/>
        <v>0</v>
      </c>
    </row>
    <row r="1210" outlineLevel="2" spans="1:24">
      <c r="A1210" s="152" t="s">
        <v>61</v>
      </c>
      <c r="B1210" s="1162" t="s">
        <v>3268</v>
      </c>
      <c r="C1210" s="693" t="str">
        <f t="shared" si="162"/>
        <v>深圳新阳蓝光能源管理科技股份有限公司</v>
      </c>
      <c r="D1210" s="1186" t="s">
        <v>3302</v>
      </c>
      <c r="E1210" s="907" t="s">
        <v>61</v>
      </c>
      <c r="F1210" s="907" t="s">
        <v>3304</v>
      </c>
      <c r="G1210" s="907" t="s">
        <v>3305</v>
      </c>
      <c r="H1210" s="909" t="s">
        <v>3306</v>
      </c>
      <c r="I1210" s="909" t="s">
        <v>860</v>
      </c>
      <c r="J1210" s="909" t="s">
        <v>3307</v>
      </c>
      <c r="X1210" s="768" t="b">
        <f t="shared" si="185"/>
        <v>1</v>
      </c>
    </row>
    <row r="1211" outlineLevel="2" spans="2:24">
      <c r="B1211" s="1162" t="s">
        <v>3268</v>
      </c>
      <c r="C1211" s="693" t="str">
        <f t="shared" si="162"/>
        <v>深圳新阳蓝光能源管理科技股份有限公司</v>
      </c>
      <c r="D1211" s="1186" t="s">
        <v>3308</v>
      </c>
      <c r="E1211" s="753"/>
      <c r="F1211" s="1189"/>
      <c r="G1211" s="136"/>
      <c r="H1211" s="1190"/>
      <c r="I1211" s="1190"/>
      <c r="J1211" s="909">
        <f>H1211-I1211</f>
        <v>0</v>
      </c>
      <c r="X1211" s="768" t="b">
        <f t="shared" si="185"/>
        <v>1</v>
      </c>
    </row>
    <row r="1212" outlineLevel="2" spans="2:24">
      <c r="B1212" s="1162" t="s">
        <v>3268</v>
      </c>
      <c r="C1212" s="693" t="str">
        <f t="shared" si="162"/>
        <v>深圳新阳蓝光能源管理科技股份有限公司</v>
      </c>
      <c r="D1212" s="1186" t="s">
        <v>3308</v>
      </c>
      <c r="E1212" s="753"/>
      <c r="F1212" s="1189"/>
      <c r="G1212" s="136"/>
      <c r="H1212" s="1190"/>
      <c r="I1212" s="1190"/>
      <c r="J1212" s="909">
        <f t="shared" ref="J1212:J1220" si="195">H1212-I1212</f>
        <v>0</v>
      </c>
      <c r="X1212" s="768" t="b">
        <f t="shared" si="185"/>
        <v>1</v>
      </c>
    </row>
    <row r="1213" outlineLevel="2" spans="2:24">
      <c r="B1213" s="1162" t="s">
        <v>3268</v>
      </c>
      <c r="C1213" s="693" t="str">
        <f t="shared" si="162"/>
        <v>深圳新阳蓝光能源管理科技股份有限公司</v>
      </c>
      <c r="D1213" s="1186" t="s">
        <v>3308</v>
      </c>
      <c r="E1213" s="753"/>
      <c r="F1213" s="1189"/>
      <c r="G1213" s="136"/>
      <c r="H1213" s="1190"/>
      <c r="I1213" s="1190"/>
      <c r="J1213" s="909">
        <f t="shared" si="195"/>
        <v>0</v>
      </c>
      <c r="X1213" s="768" t="b">
        <f t="shared" si="185"/>
        <v>1</v>
      </c>
    </row>
    <row r="1214" outlineLevel="2" spans="2:24">
      <c r="B1214" s="1162" t="s">
        <v>3268</v>
      </c>
      <c r="C1214" s="693" t="str">
        <f t="shared" si="162"/>
        <v>深圳新阳蓝光能源管理科技股份有限公司</v>
      </c>
      <c r="D1214" s="1186" t="s">
        <v>3308</v>
      </c>
      <c r="E1214" s="753"/>
      <c r="F1214" s="1189"/>
      <c r="G1214" s="136"/>
      <c r="H1214" s="1190"/>
      <c r="I1214" s="1190"/>
      <c r="J1214" s="909">
        <f t="shared" si="195"/>
        <v>0</v>
      </c>
      <c r="X1214" s="768" t="b">
        <f t="shared" si="185"/>
        <v>1</v>
      </c>
    </row>
    <row r="1215" outlineLevel="2" spans="2:24">
      <c r="B1215" s="1162" t="s">
        <v>3268</v>
      </c>
      <c r="C1215" s="693" t="str">
        <f t="shared" ref="C1215:C1278" si="196">$G$1</f>
        <v>深圳新阳蓝光能源管理科技股份有限公司</v>
      </c>
      <c r="D1215" s="1186" t="s">
        <v>3308</v>
      </c>
      <c r="E1215" s="753"/>
      <c r="F1215" s="136"/>
      <c r="G1215" s="136"/>
      <c r="H1215" s="1190"/>
      <c r="I1215" s="1190"/>
      <c r="J1215" s="909">
        <f t="shared" si="195"/>
        <v>0</v>
      </c>
      <c r="X1215" s="768" t="b">
        <f t="shared" si="185"/>
        <v>1</v>
      </c>
    </row>
    <row r="1216" outlineLevel="2" spans="2:24">
      <c r="B1216" s="1162" t="s">
        <v>3268</v>
      </c>
      <c r="C1216" s="693" t="str">
        <f t="shared" si="196"/>
        <v>深圳新阳蓝光能源管理科技股份有限公司</v>
      </c>
      <c r="D1216" s="1186" t="s">
        <v>3308</v>
      </c>
      <c r="E1216" s="753"/>
      <c r="F1216" s="136"/>
      <c r="G1216" s="136"/>
      <c r="H1216" s="1190"/>
      <c r="I1216" s="1190"/>
      <c r="J1216" s="909">
        <f t="shared" si="195"/>
        <v>0</v>
      </c>
      <c r="X1216" s="768" t="b">
        <f t="shared" si="185"/>
        <v>1</v>
      </c>
    </row>
    <row r="1217" outlineLevel="2" spans="2:24">
      <c r="B1217" s="1162" t="s">
        <v>3268</v>
      </c>
      <c r="C1217" s="693" t="str">
        <f t="shared" si="196"/>
        <v>深圳新阳蓝光能源管理科技股份有限公司</v>
      </c>
      <c r="D1217" s="1186" t="s">
        <v>3308</v>
      </c>
      <c r="E1217" s="753"/>
      <c r="F1217" s="136"/>
      <c r="G1217" s="136"/>
      <c r="H1217" s="1190"/>
      <c r="I1217" s="1190"/>
      <c r="J1217" s="909">
        <f t="shared" si="195"/>
        <v>0</v>
      </c>
      <c r="X1217" s="768" t="b">
        <f t="shared" si="185"/>
        <v>1</v>
      </c>
    </row>
    <row r="1218" outlineLevel="2" spans="2:24">
      <c r="B1218" s="1162" t="s">
        <v>3268</v>
      </c>
      <c r="C1218" s="693" t="str">
        <f t="shared" si="196"/>
        <v>深圳新阳蓝光能源管理科技股份有限公司</v>
      </c>
      <c r="D1218" s="1186" t="s">
        <v>3308</v>
      </c>
      <c r="E1218" s="753"/>
      <c r="F1218" s="136"/>
      <c r="G1218" s="136"/>
      <c r="H1218" s="1190"/>
      <c r="I1218" s="1190"/>
      <c r="J1218" s="909">
        <f t="shared" si="195"/>
        <v>0</v>
      </c>
      <c r="X1218" s="768" t="b">
        <f t="shared" si="185"/>
        <v>1</v>
      </c>
    </row>
    <row r="1219" outlineLevel="2" spans="2:24">
      <c r="B1219" s="1162" t="s">
        <v>3268</v>
      </c>
      <c r="C1219" s="693" t="str">
        <f t="shared" si="196"/>
        <v>深圳新阳蓝光能源管理科技股份有限公司</v>
      </c>
      <c r="D1219" s="1186" t="s">
        <v>3308</v>
      </c>
      <c r="E1219" s="753"/>
      <c r="F1219" s="136"/>
      <c r="G1219" s="136"/>
      <c r="H1219" s="1190"/>
      <c r="I1219" s="1190"/>
      <c r="J1219" s="909">
        <f t="shared" si="195"/>
        <v>0</v>
      </c>
      <c r="X1219" s="768" t="b">
        <f t="shared" si="185"/>
        <v>1</v>
      </c>
    </row>
    <row r="1220" outlineLevel="2" spans="2:24">
      <c r="B1220" s="1162" t="s">
        <v>3268</v>
      </c>
      <c r="C1220" s="693" t="str">
        <f t="shared" si="196"/>
        <v>深圳新阳蓝光能源管理科技股份有限公司</v>
      </c>
      <c r="D1220" s="1186" t="s">
        <v>3308</v>
      </c>
      <c r="E1220" s="753"/>
      <c r="F1220" s="136"/>
      <c r="G1220" s="136"/>
      <c r="H1220" s="1190"/>
      <c r="I1220" s="1190"/>
      <c r="J1220" s="909">
        <f t="shared" si="195"/>
        <v>0</v>
      </c>
      <c r="X1220" s="768" t="b">
        <f t="shared" si="185"/>
        <v>1</v>
      </c>
    </row>
    <row r="1221" outlineLevel="2" spans="2:24">
      <c r="B1221" s="1162" t="s">
        <v>3268</v>
      </c>
      <c r="C1221" s="693" t="str">
        <f t="shared" si="196"/>
        <v>深圳新阳蓝光能源管理科技股份有限公司</v>
      </c>
      <c r="D1221" s="1186" t="s">
        <v>3308</v>
      </c>
      <c r="E1221" s="907"/>
      <c r="F1221" s="907"/>
      <c r="G1221" s="907"/>
      <c r="H1221" s="909">
        <f>SUM(H1211:H1220)</f>
        <v>0</v>
      </c>
      <c r="I1221" s="909">
        <f>SUM(I1211:I1220)</f>
        <v>0</v>
      </c>
      <c r="J1221" s="909">
        <f>SUM(J1211:J1220)</f>
        <v>0</v>
      </c>
      <c r="X1221" s="768" t="b">
        <f t="shared" si="185"/>
        <v>1</v>
      </c>
    </row>
    <row r="1222" outlineLevel="2" spans="2:24">
      <c r="B1222" s="1162" t="s">
        <v>3268</v>
      </c>
      <c r="C1222" s="693" t="str">
        <f t="shared" si="196"/>
        <v>深圳新阳蓝光能源管理科技股份有限公司</v>
      </c>
      <c r="D1222" s="1186" t="s">
        <v>3308</v>
      </c>
      <c r="E1222" s="153"/>
      <c r="F1222" s="145"/>
      <c r="G1222" s="145"/>
      <c r="H1222" s="145"/>
      <c r="I1222" s="145"/>
      <c r="X1222" s="768" t="b">
        <f t="shared" si="185"/>
        <v>1</v>
      </c>
    </row>
    <row r="1223" outlineLevel="2" spans="2:24">
      <c r="B1223" s="1162" t="s">
        <v>3268</v>
      </c>
      <c r="C1223" s="693" t="str">
        <f t="shared" si="196"/>
        <v>深圳新阳蓝光能源管理科技股份有限公司</v>
      </c>
      <c r="D1223" s="1163"/>
      <c r="E1223" s="153"/>
      <c r="F1223" s="145"/>
      <c r="G1223" s="145"/>
      <c r="H1223" s="145"/>
      <c r="I1223" s="145"/>
      <c r="X1223" s="768" t="b">
        <f t="shared" si="185"/>
        <v>1</v>
      </c>
    </row>
    <row r="1224" outlineLevel="2" spans="1:24">
      <c r="A1224" s="152" t="s">
        <v>2809</v>
      </c>
      <c r="B1224" s="1162" t="s">
        <v>3268</v>
      </c>
      <c r="C1224" s="693" t="str">
        <f t="shared" si="196"/>
        <v>深圳新阳蓝光能源管理科技股份有限公司</v>
      </c>
      <c r="D1224" s="1163"/>
      <c r="E1224" s="153" t="s">
        <v>2829</v>
      </c>
      <c r="F1224" s="1005"/>
      <c r="G1224" s="1005"/>
      <c r="H1224" s="1005"/>
      <c r="I1224" s="145"/>
      <c r="X1224" s="768" t="b">
        <f t="shared" si="185"/>
        <v>1</v>
      </c>
    </row>
    <row r="1225" outlineLevel="2" spans="2:24">
      <c r="B1225" s="1162" t="s">
        <v>3268</v>
      </c>
      <c r="C1225" s="693" t="str">
        <f t="shared" si="196"/>
        <v>深圳新阳蓝光能源管理科技股份有限公司</v>
      </c>
      <c r="D1225" s="1163"/>
      <c r="E1225" s="153"/>
      <c r="F1225" s="145"/>
      <c r="G1225" s="145"/>
      <c r="H1225" s="145"/>
      <c r="I1225" s="145"/>
      <c r="X1225" s="768" t="b">
        <f t="shared" si="185"/>
        <v>1</v>
      </c>
    </row>
    <row r="1226" spans="1:24">
      <c r="A1226" s="152" t="s">
        <v>3309</v>
      </c>
      <c r="B1226" s="1162" t="s">
        <v>3310</v>
      </c>
      <c r="C1226" s="693" t="str">
        <f t="shared" si="196"/>
        <v>深圳新阳蓝光能源管理科技股份有限公司</v>
      </c>
      <c r="D1226" s="1186" t="s">
        <v>3311</v>
      </c>
      <c r="E1226" s="70" t="s">
        <v>3312</v>
      </c>
      <c r="F1226" s="1191" t="s">
        <v>3163</v>
      </c>
      <c r="G1226" s="145"/>
      <c r="H1226" s="145"/>
      <c r="I1226" s="145"/>
      <c r="X1226" s="768" t="b">
        <f t="shared" si="185"/>
        <v>1</v>
      </c>
    </row>
    <row r="1227" outlineLevel="2" spans="1:24">
      <c r="A1227" s="152" t="s">
        <v>3313</v>
      </c>
      <c r="B1227" s="1162" t="s">
        <v>3310</v>
      </c>
      <c r="C1227" s="693" t="str">
        <f t="shared" si="196"/>
        <v>深圳新阳蓝光能源管理科技股份有限公司</v>
      </c>
      <c r="D1227" s="1186" t="s">
        <v>3311</v>
      </c>
      <c r="E1227" s="153" t="s">
        <v>3314</v>
      </c>
      <c r="F1227" s="145"/>
      <c r="G1227" s="145"/>
      <c r="H1227" s="145"/>
      <c r="I1227" s="145"/>
      <c r="X1227" s="768" t="b">
        <f t="shared" si="185"/>
        <v>1</v>
      </c>
    </row>
    <row r="1228" outlineLevel="2" spans="1:24">
      <c r="A1228" s="152" t="s">
        <v>61</v>
      </c>
      <c r="B1228" s="1162" t="s">
        <v>3310</v>
      </c>
      <c r="C1228" s="693" t="str">
        <f t="shared" si="196"/>
        <v>深圳新阳蓝光能源管理科技股份有限公司</v>
      </c>
      <c r="D1228" s="1186" t="s">
        <v>3315</v>
      </c>
      <c r="E1228" s="851" t="s">
        <v>61</v>
      </c>
      <c r="F1228" s="851" t="s">
        <v>2902</v>
      </c>
      <c r="G1228" s="851"/>
      <c r="H1228" s="851"/>
      <c r="I1228" s="851" t="s">
        <v>3316</v>
      </c>
      <c r="J1228" s="851"/>
      <c r="K1228" s="851"/>
      <c r="X1228" s="768" t="b">
        <f t="shared" si="185"/>
        <v>1</v>
      </c>
    </row>
    <row r="1229" outlineLevel="2" spans="2:24">
      <c r="B1229" s="1162" t="s">
        <v>3310</v>
      </c>
      <c r="C1229" s="693" t="str">
        <f t="shared" si="196"/>
        <v>深圳新阳蓝光能源管理科技股份有限公司</v>
      </c>
      <c r="D1229" s="1186" t="s">
        <v>3315</v>
      </c>
      <c r="E1229" s="851"/>
      <c r="F1229" s="851" t="s">
        <v>444</v>
      </c>
      <c r="G1229" s="851" t="s">
        <v>776</v>
      </c>
      <c r="H1229" s="851" t="s">
        <v>777</v>
      </c>
      <c r="I1229" s="851" t="s">
        <v>444</v>
      </c>
      <c r="J1229" s="851" t="s">
        <v>776</v>
      </c>
      <c r="K1229" s="851" t="s">
        <v>777</v>
      </c>
      <c r="X1229" s="768" t="b">
        <f t="shared" si="185"/>
        <v>1</v>
      </c>
    </row>
    <row r="1230" outlineLevel="2" spans="2:24">
      <c r="B1230" s="1162" t="s">
        <v>3310</v>
      </c>
      <c r="C1230" s="693" t="str">
        <f t="shared" si="196"/>
        <v>深圳新阳蓝光能源管理科技股份有限公司</v>
      </c>
      <c r="D1230" s="1186" t="s">
        <v>3315</v>
      </c>
      <c r="E1230" s="909" t="str">
        <f>E1281</f>
        <v>广州中心城区路灯EPC项目</v>
      </c>
      <c r="F1230" s="139">
        <f>Q1281</f>
        <v>0</v>
      </c>
      <c r="G1230" s="1192"/>
      <c r="H1230" s="139">
        <f>F1230-G1230</f>
        <v>0</v>
      </c>
      <c r="I1230" s="139">
        <f>G1281</f>
        <v>566699</v>
      </c>
      <c r="J1230" s="1192"/>
      <c r="K1230" s="139">
        <f>I1230-J1230</f>
        <v>566699</v>
      </c>
      <c r="X1230" s="768" t="b">
        <f t="shared" si="185"/>
        <v>0</v>
      </c>
    </row>
    <row r="1231" outlineLevel="2" spans="2:24">
      <c r="B1231" s="1162" t="s">
        <v>3310</v>
      </c>
      <c r="C1231" s="693" t="str">
        <f t="shared" si="196"/>
        <v>深圳新阳蓝光能源管理科技股份有限公司</v>
      </c>
      <c r="D1231" s="1186" t="s">
        <v>3315</v>
      </c>
      <c r="E1231" s="909" t="str">
        <f t="shared" ref="E1231:E1257" si="197">E1282</f>
        <v>朗溪县城区新建及改造LED路灯项目</v>
      </c>
      <c r="F1231" s="139">
        <f t="shared" ref="F1231:F1257" si="198">Q1282</f>
        <v>8227910.7</v>
      </c>
      <c r="G1231" s="1192"/>
      <c r="H1231" s="139">
        <f t="shared" ref="H1231:H1273" si="199">F1231-G1231</f>
        <v>8227910.7</v>
      </c>
      <c r="I1231" s="139">
        <f>G1282</f>
        <v>0</v>
      </c>
      <c r="J1231" s="1192"/>
      <c r="K1231" s="139">
        <f t="shared" ref="K1231:K1273" si="200">I1231-J1231</f>
        <v>0</v>
      </c>
      <c r="X1231" s="768" t="b">
        <f t="shared" si="185"/>
        <v>0</v>
      </c>
    </row>
    <row r="1232" outlineLevel="2" spans="2:24">
      <c r="B1232" s="1162" t="s">
        <v>3310</v>
      </c>
      <c r="C1232" s="693" t="str">
        <f t="shared" si="196"/>
        <v>深圳新阳蓝光能源管理科技股份有限公司</v>
      </c>
      <c r="D1232" s="1186" t="s">
        <v>3315</v>
      </c>
      <c r="E1232" s="909" t="str">
        <f t="shared" si="197"/>
        <v>佛一环二标段二期路灯EPC项目</v>
      </c>
      <c r="F1232" s="139">
        <f t="shared" si="198"/>
        <v>1502874.27</v>
      </c>
      <c r="G1232" s="1192"/>
      <c r="H1232" s="139">
        <f t="shared" si="199"/>
        <v>1502874.27</v>
      </c>
      <c r="I1232" s="139">
        <f t="shared" ref="I1232:I1257" si="201">G1283</f>
        <v>0</v>
      </c>
      <c r="J1232" s="1192"/>
      <c r="K1232" s="139">
        <f t="shared" si="200"/>
        <v>0</v>
      </c>
      <c r="X1232" s="768" t="b">
        <f t="shared" si="185"/>
        <v>0</v>
      </c>
    </row>
    <row r="1233" outlineLevel="2" spans="2:24">
      <c r="B1233" s="1162" t="s">
        <v>3310</v>
      </c>
      <c r="C1233" s="693" t="str">
        <f t="shared" si="196"/>
        <v>深圳新阳蓝光能源管理科技股份有限公司</v>
      </c>
      <c r="D1233" s="1186" t="s">
        <v>3315</v>
      </c>
      <c r="E1233" s="909" t="str">
        <f t="shared" si="197"/>
        <v>广州市北二环高速公路全线路灯节能改造项目</v>
      </c>
      <c r="F1233" s="139">
        <f t="shared" si="198"/>
        <v>0</v>
      </c>
      <c r="G1233" s="1192"/>
      <c r="H1233" s="139">
        <f t="shared" si="199"/>
        <v>0</v>
      </c>
      <c r="I1233" s="139">
        <f t="shared" si="201"/>
        <v>1477994.46</v>
      </c>
      <c r="J1233" s="1192"/>
      <c r="K1233" s="139">
        <f t="shared" si="200"/>
        <v>1477994.46</v>
      </c>
      <c r="X1233" s="768" t="b">
        <f t="shared" si="185"/>
        <v>0</v>
      </c>
    </row>
    <row r="1234" outlineLevel="2" spans="2:24">
      <c r="B1234" s="1162" t="s">
        <v>3310</v>
      </c>
      <c r="C1234" s="693" t="str">
        <f t="shared" si="196"/>
        <v>深圳新阳蓝光能源管理科技股份有限公司</v>
      </c>
      <c r="D1234" s="1186" t="s">
        <v>3315</v>
      </c>
      <c r="E1234" s="909" t="str">
        <f t="shared" si="197"/>
        <v>阳江市区LED路灯节能改造</v>
      </c>
      <c r="F1234" s="139">
        <f t="shared" si="198"/>
        <v>6200673.8</v>
      </c>
      <c r="G1234" s="1192"/>
      <c r="H1234" s="139">
        <f t="shared" si="199"/>
        <v>6200673.8</v>
      </c>
      <c r="I1234" s="139">
        <f t="shared" si="201"/>
        <v>228844</v>
      </c>
      <c r="J1234" s="1192"/>
      <c r="K1234" s="139">
        <f t="shared" si="200"/>
        <v>228844</v>
      </c>
      <c r="X1234" s="768" t="b">
        <f t="shared" si="185"/>
        <v>0</v>
      </c>
    </row>
    <row r="1235" outlineLevel="2" spans="2:24">
      <c r="B1235" s="1162" t="s">
        <v>3310</v>
      </c>
      <c r="C1235" s="693" t="str">
        <f t="shared" si="196"/>
        <v>深圳新阳蓝光能源管理科技股份有限公司</v>
      </c>
      <c r="D1235" s="1186" t="s">
        <v>3315</v>
      </c>
      <c r="E1235" s="909" t="str">
        <f t="shared" si="197"/>
        <v>机场高速</v>
      </c>
      <c r="F1235" s="139">
        <f t="shared" si="198"/>
        <v>6879348.68</v>
      </c>
      <c r="G1235" s="1192"/>
      <c r="H1235" s="139">
        <f t="shared" si="199"/>
        <v>6879348.68</v>
      </c>
      <c r="I1235" s="139">
        <f t="shared" si="201"/>
        <v>0</v>
      </c>
      <c r="J1235" s="1192"/>
      <c r="K1235" s="139">
        <f t="shared" si="200"/>
        <v>0</v>
      </c>
      <c r="X1235" s="768" t="b">
        <f t="shared" si="185"/>
        <v>0</v>
      </c>
    </row>
    <row r="1236" outlineLevel="2" spans="2:24">
      <c r="B1236" s="1162" t="s">
        <v>3310</v>
      </c>
      <c r="C1236" s="693" t="str">
        <f t="shared" si="196"/>
        <v>深圳新阳蓝光能源管理科技股份有限公司</v>
      </c>
      <c r="D1236" s="1186" t="s">
        <v>3315</v>
      </c>
      <c r="E1236" s="909" t="str">
        <f t="shared" si="197"/>
        <v>阳江市海陵岛LED路灯节能改造</v>
      </c>
      <c r="F1236" s="139">
        <f t="shared" si="198"/>
        <v>373165</v>
      </c>
      <c r="G1236" s="1192"/>
      <c r="H1236" s="139">
        <f t="shared" si="199"/>
        <v>373165</v>
      </c>
      <c r="I1236" s="139">
        <f t="shared" si="201"/>
        <v>0</v>
      </c>
      <c r="J1236" s="1192"/>
      <c r="K1236" s="139">
        <f t="shared" si="200"/>
        <v>0</v>
      </c>
      <c r="X1236" s="768" t="b">
        <f t="shared" si="185"/>
        <v>0</v>
      </c>
    </row>
    <row r="1237" outlineLevel="2" spans="2:24">
      <c r="B1237" s="1162" t="s">
        <v>3310</v>
      </c>
      <c r="C1237" s="693" t="str">
        <f t="shared" si="196"/>
        <v>深圳新阳蓝光能源管理科技股份有限公司</v>
      </c>
      <c r="D1237" s="1186" t="s">
        <v>3315</v>
      </c>
      <c r="E1237" s="909" t="str">
        <f t="shared" si="197"/>
        <v>阳江市阳东县LED路灯节能改造</v>
      </c>
      <c r="F1237" s="139">
        <f t="shared" si="198"/>
        <v>6078815</v>
      </c>
      <c r="G1237" s="1192"/>
      <c r="H1237" s="139">
        <f t="shared" si="199"/>
        <v>6078815</v>
      </c>
      <c r="I1237" s="139">
        <f t="shared" si="201"/>
        <v>0</v>
      </c>
      <c r="J1237" s="1192"/>
      <c r="K1237" s="139">
        <f t="shared" si="200"/>
        <v>0</v>
      </c>
      <c r="X1237" s="768" t="b">
        <f t="shared" si="185"/>
        <v>0</v>
      </c>
    </row>
    <row r="1238" outlineLevel="2" spans="2:24">
      <c r="B1238" s="1162" t="s">
        <v>3310</v>
      </c>
      <c r="C1238" s="693" t="str">
        <f t="shared" si="196"/>
        <v>深圳新阳蓝光能源管理科技股份有限公司</v>
      </c>
      <c r="D1238" s="1186" t="s">
        <v>3315</v>
      </c>
      <c r="E1238" s="909" t="str">
        <f t="shared" si="197"/>
        <v>阳江市阳春市LED路灯节能改造</v>
      </c>
      <c r="F1238" s="139">
        <f t="shared" si="198"/>
        <v>4370485</v>
      </c>
      <c r="G1238" s="1192"/>
      <c r="H1238" s="139">
        <f t="shared" si="199"/>
        <v>4370485</v>
      </c>
      <c r="I1238" s="139">
        <f t="shared" si="201"/>
        <v>0</v>
      </c>
      <c r="J1238" s="1192"/>
      <c r="K1238" s="139">
        <f t="shared" si="200"/>
        <v>0</v>
      </c>
      <c r="X1238" s="768" t="b">
        <f t="shared" si="185"/>
        <v>0</v>
      </c>
    </row>
    <row r="1239" outlineLevel="2" spans="2:24">
      <c r="B1239" s="1162" t="s">
        <v>3310</v>
      </c>
      <c r="C1239" s="693" t="str">
        <f t="shared" si="196"/>
        <v>深圳新阳蓝光能源管理科技股份有限公司</v>
      </c>
      <c r="D1239" s="1186" t="s">
        <v>3315</v>
      </c>
      <c r="E1239" s="909" t="str">
        <f t="shared" si="197"/>
        <v>阳江市阳西县LED路灯节能改造</v>
      </c>
      <c r="F1239" s="139">
        <f t="shared" si="198"/>
        <v>3230485</v>
      </c>
      <c r="G1239" s="1192"/>
      <c r="H1239" s="139">
        <f t="shared" si="199"/>
        <v>3230485</v>
      </c>
      <c r="I1239" s="139">
        <f t="shared" si="201"/>
        <v>0</v>
      </c>
      <c r="J1239" s="1192"/>
      <c r="K1239" s="139">
        <f t="shared" si="200"/>
        <v>0</v>
      </c>
      <c r="X1239" s="768" t="b">
        <f t="shared" si="185"/>
        <v>0</v>
      </c>
    </row>
    <row r="1240" outlineLevel="2" spans="2:24">
      <c r="B1240" s="1162" t="s">
        <v>3310</v>
      </c>
      <c r="C1240" s="693" t="str">
        <f t="shared" si="196"/>
        <v>深圳新阳蓝光能源管理科技股份有限公司</v>
      </c>
      <c r="D1240" s="1186" t="s">
        <v>3315</v>
      </c>
      <c r="E1240" s="909" t="str">
        <f t="shared" si="197"/>
        <v>[KC]葵涌项目</v>
      </c>
      <c r="F1240" s="139">
        <f t="shared" si="198"/>
        <v>3004385</v>
      </c>
      <c r="G1240" s="1192"/>
      <c r="H1240" s="139">
        <f t="shared" si="199"/>
        <v>3004385</v>
      </c>
      <c r="I1240" s="139">
        <f t="shared" si="201"/>
        <v>0</v>
      </c>
      <c r="J1240" s="1192"/>
      <c r="K1240" s="139">
        <f t="shared" si="200"/>
        <v>0</v>
      </c>
      <c r="X1240" s="768" t="b">
        <f t="shared" si="185"/>
        <v>0</v>
      </c>
    </row>
    <row r="1241" outlineLevel="2" spans="2:24">
      <c r="B1241" s="1162" t="s">
        <v>3310</v>
      </c>
      <c r="C1241" s="693" t="str">
        <f t="shared" si="196"/>
        <v>深圳新阳蓝光能源管理科技股份有限公司</v>
      </c>
      <c r="D1241" s="1186" t="s">
        <v>3315</v>
      </c>
      <c r="E1241" s="909" t="str">
        <f t="shared" si="197"/>
        <v>[NSGAJ]南山公安局项目</v>
      </c>
      <c r="F1241" s="139">
        <f t="shared" si="198"/>
        <v>1130587.76</v>
      </c>
      <c r="G1241" s="1192"/>
      <c r="H1241" s="139">
        <f t="shared" si="199"/>
        <v>1130587.76</v>
      </c>
      <c r="I1241" s="139">
        <f t="shared" si="201"/>
        <v>0</v>
      </c>
      <c r="J1241" s="1192"/>
      <c r="K1241" s="139">
        <f t="shared" si="200"/>
        <v>0</v>
      </c>
      <c r="X1241" s="768" t="b">
        <f t="shared" si="185"/>
        <v>0</v>
      </c>
    </row>
    <row r="1242" outlineLevel="2" spans="2:24">
      <c r="B1242" s="1162" t="s">
        <v>3310</v>
      </c>
      <c r="C1242" s="693" t="str">
        <f t="shared" si="196"/>
        <v>深圳新阳蓝光能源管理科技股份有限公司</v>
      </c>
      <c r="D1242" s="1186" t="s">
        <v>3315</v>
      </c>
      <c r="E1242" s="909" t="str">
        <f t="shared" si="197"/>
        <v>[NSXM]深圳南山教育局项目</v>
      </c>
      <c r="F1242" s="139">
        <f t="shared" si="198"/>
        <v>2603475.62</v>
      </c>
      <c r="G1242" s="1192"/>
      <c r="H1242" s="139">
        <f t="shared" si="199"/>
        <v>2603475.62</v>
      </c>
      <c r="I1242" s="139">
        <f t="shared" si="201"/>
        <v>4708</v>
      </c>
      <c r="J1242" s="1192"/>
      <c r="K1242" s="139">
        <f t="shared" si="200"/>
        <v>4708</v>
      </c>
      <c r="X1242" s="768" t="b">
        <f t="shared" ref="X1242:X1305" si="202">EXACT(A1242,E1242)</f>
        <v>0</v>
      </c>
    </row>
    <row r="1243" outlineLevel="2" spans="2:24">
      <c r="B1243" s="1162" t="s">
        <v>3310</v>
      </c>
      <c r="C1243" s="693" t="str">
        <f t="shared" si="196"/>
        <v>深圳新阳蓝光能源管理科技股份有限公司</v>
      </c>
      <c r="D1243" s="1186" t="s">
        <v>3315</v>
      </c>
      <c r="E1243" s="909" t="str">
        <f t="shared" si="197"/>
        <v>[STXM]汕头项目</v>
      </c>
      <c r="F1243" s="139">
        <f t="shared" si="198"/>
        <v>7095788.1</v>
      </c>
      <c r="G1243" s="1192"/>
      <c r="H1243" s="139">
        <f t="shared" si="199"/>
        <v>7095788.1</v>
      </c>
      <c r="I1243" s="139">
        <f t="shared" si="201"/>
        <v>0</v>
      </c>
      <c r="J1243" s="1192"/>
      <c r="K1243" s="139">
        <f t="shared" si="200"/>
        <v>0</v>
      </c>
      <c r="X1243" s="768" t="b">
        <f t="shared" si="202"/>
        <v>0</v>
      </c>
    </row>
    <row r="1244" outlineLevel="2" spans="2:24">
      <c r="B1244" s="1162" t="s">
        <v>3310</v>
      </c>
      <c r="C1244" s="693" t="str">
        <f t="shared" si="196"/>
        <v>深圳新阳蓝光能源管理科技股份有限公司</v>
      </c>
      <c r="D1244" s="1186" t="s">
        <v>3315</v>
      </c>
      <c r="E1244" s="909" t="str">
        <f t="shared" si="197"/>
        <v>[SYDS]深圳水源大厦</v>
      </c>
      <c r="F1244" s="139">
        <f t="shared" si="198"/>
        <v>0</v>
      </c>
      <c r="G1244" s="1192"/>
      <c r="H1244" s="139">
        <f t="shared" si="199"/>
        <v>0</v>
      </c>
      <c r="I1244" s="139">
        <f t="shared" si="201"/>
        <v>0</v>
      </c>
      <c r="J1244" s="1192"/>
      <c r="K1244" s="139">
        <f t="shared" si="200"/>
        <v>0</v>
      </c>
      <c r="X1244" s="768" t="b">
        <f t="shared" si="202"/>
        <v>0</v>
      </c>
    </row>
    <row r="1245" outlineLevel="2" spans="2:24">
      <c r="B1245" s="1162" t="s">
        <v>3310</v>
      </c>
      <c r="C1245" s="693" t="str">
        <f t="shared" si="196"/>
        <v>深圳新阳蓝光能源管理科技股份有限公司</v>
      </c>
      <c r="D1245" s="1186" t="s">
        <v>3315</v>
      </c>
      <c r="E1245" s="909" t="str">
        <f t="shared" si="197"/>
        <v>[YFEQ]云浮二期项目</v>
      </c>
      <c r="F1245" s="139">
        <f t="shared" si="198"/>
        <v>0</v>
      </c>
      <c r="G1245" s="1192"/>
      <c r="H1245" s="139">
        <f t="shared" si="199"/>
        <v>0</v>
      </c>
      <c r="I1245" s="139">
        <f t="shared" si="201"/>
        <v>48174.45</v>
      </c>
      <c r="J1245" s="1192"/>
      <c r="K1245" s="139">
        <f t="shared" si="200"/>
        <v>48174.45</v>
      </c>
      <c r="X1245" s="768" t="b">
        <f t="shared" si="202"/>
        <v>0</v>
      </c>
    </row>
    <row r="1246" outlineLevel="2" spans="2:24">
      <c r="B1246" s="1162" t="s">
        <v>3310</v>
      </c>
      <c r="C1246" s="693" t="str">
        <f t="shared" si="196"/>
        <v>深圳新阳蓝光能源管理科技股份有限公司</v>
      </c>
      <c r="D1246" s="1186" t="s">
        <v>3315</v>
      </c>
      <c r="E1246" s="909" t="str">
        <f t="shared" si="197"/>
        <v>[ZBT]中波台</v>
      </c>
      <c r="F1246" s="139">
        <f t="shared" si="198"/>
        <v>0</v>
      </c>
      <c r="G1246" s="1192"/>
      <c r="H1246" s="139">
        <f t="shared" si="199"/>
        <v>0</v>
      </c>
      <c r="I1246" s="139">
        <f t="shared" si="201"/>
        <v>0</v>
      </c>
      <c r="J1246" s="1192"/>
      <c r="K1246" s="139">
        <f t="shared" si="200"/>
        <v>0</v>
      </c>
      <c r="X1246" s="768" t="b">
        <f t="shared" si="202"/>
        <v>0</v>
      </c>
    </row>
    <row r="1247" outlineLevel="2" spans="2:24">
      <c r="B1247" s="1162" t="s">
        <v>3310</v>
      </c>
      <c r="C1247" s="693" t="str">
        <f t="shared" si="196"/>
        <v>深圳新阳蓝光能源管理科技股份有限公司</v>
      </c>
      <c r="D1247" s="1186" t="s">
        <v>3315</v>
      </c>
      <c r="E1247" s="909" t="str">
        <f t="shared" si="197"/>
        <v>广深高速三期</v>
      </c>
      <c r="F1247" s="139">
        <f t="shared" si="198"/>
        <v>0</v>
      </c>
      <c r="G1247" s="1192"/>
      <c r="H1247" s="139">
        <f t="shared" si="199"/>
        <v>0</v>
      </c>
      <c r="I1247" s="139">
        <f t="shared" si="201"/>
        <v>1000</v>
      </c>
      <c r="J1247" s="1192"/>
      <c r="K1247" s="139">
        <f t="shared" si="200"/>
        <v>1000</v>
      </c>
      <c r="X1247" s="768" t="b">
        <f t="shared" si="202"/>
        <v>0</v>
      </c>
    </row>
    <row r="1248" outlineLevel="2" spans="2:24">
      <c r="B1248" s="1162" t="s">
        <v>3310</v>
      </c>
      <c r="C1248" s="693" t="str">
        <f t="shared" si="196"/>
        <v>深圳新阳蓝光能源管理科技股份有限公司</v>
      </c>
      <c r="D1248" s="1186" t="s">
        <v>3315</v>
      </c>
      <c r="E1248" s="909">
        <f t="shared" si="197"/>
        <v>0</v>
      </c>
      <c r="F1248" s="139">
        <f t="shared" si="198"/>
        <v>0</v>
      </c>
      <c r="G1248" s="1192"/>
      <c r="H1248" s="139">
        <f t="shared" si="199"/>
        <v>0</v>
      </c>
      <c r="I1248" s="139">
        <f t="shared" si="201"/>
        <v>0</v>
      </c>
      <c r="J1248" s="1192"/>
      <c r="K1248" s="139">
        <f t="shared" si="200"/>
        <v>0</v>
      </c>
      <c r="X1248" s="768" t="b">
        <f t="shared" si="202"/>
        <v>0</v>
      </c>
    </row>
    <row r="1249" outlineLevel="2" spans="2:24">
      <c r="B1249" s="1162" t="s">
        <v>3310</v>
      </c>
      <c r="C1249" s="693" t="str">
        <f t="shared" si="196"/>
        <v>深圳新阳蓝光能源管理科技股份有限公司</v>
      </c>
      <c r="D1249" s="1186" t="s">
        <v>3315</v>
      </c>
      <c r="E1249" s="909">
        <f t="shared" si="197"/>
        <v>0</v>
      </c>
      <c r="F1249" s="139">
        <f t="shared" si="198"/>
        <v>0</v>
      </c>
      <c r="G1249" s="1192"/>
      <c r="H1249" s="139">
        <f t="shared" si="199"/>
        <v>0</v>
      </c>
      <c r="I1249" s="139">
        <f t="shared" si="201"/>
        <v>0</v>
      </c>
      <c r="J1249" s="1192"/>
      <c r="K1249" s="139">
        <f t="shared" si="200"/>
        <v>0</v>
      </c>
      <c r="X1249" s="768" t="b">
        <f t="shared" si="202"/>
        <v>0</v>
      </c>
    </row>
    <row r="1250" outlineLevel="2" spans="2:24">
      <c r="B1250" s="1162" t="s">
        <v>3310</v>
      </c>
      <c r="C1250" s="693" t="str">
        <f t="shared" si="196"/>
        <v>深圳新阳蓝光能源管理科技股份有限公司</v>
      </c>
      <c r="D1250" s="1186" t="s">
        <v>3315</v>
      </c>
      <c r="E1250" s="909">
        <f t="shared" si="197"/>
        <v>0</v>
      </c>
      <c r="F1250" s="139">
        <f t="shared" si="198"/>
        <v>0</v>
      </c>
      <c r="G1250" s="1192"/>
      <c r="H1250" s="139">
        <f t="shared" si="199"/>
        <v>0</v>
      </c>
      <c r="I1250" s="139">
        <f t="shared" si="201"/>
        <v>0</v>
      </c>
      <c r="J1250" s="1192"/>
      <c r="K1250" s="139">
        <f t="shared" si="200"/>
        <v>0</v>
      </c>
      <c r="X1250" s="768" t="b">
        <f t="shared" si="202"/>
        <v>0</v>
      </c>
    </row>
    <row r="1251" outlineLevel="2" spans="2:24">
      <c r="B1251" s="1162" t="s">
        <v>3310</v>
      </c>
      <c r="C1251" s="693" t="str">
        <f t="shared" si="196"/>
        <v>深圳新阳蓝光能源管理科技股份有限公司</v>
      </c>
      <c r="D1251" s="1186" t="s">
        <v>3315</v>
      </c>
      <c r="E1251" s="909">
        <f t="shared" si="197"/>
        <v>0</v>
      </c>
      <c r="F1251" s="139">
        <f t="shared" si="198"/>
        <v>0</v>
      </c>
      <c r="G1251" s="1192"/>
      <c r="H1251" s="139">
        <f t="shared" si="199"/>
        <v>0</v>
      </c>
      <c r="I1251" s="139">
        <f t="shared" si="201"/>
        <v>0</v>
      </c>
      <c r="J1251" s="1192"/>
      <c r="K1251" s="139">
        <f t="shared" si="200"/>
        <v>0</v>
      </c>
      <c r="X1251" s="768" t="b">
        <f t="shared" si="202"/>
        <v>0</v>
      </c>
    </row>
    <row r="1252" outlineLevel="2" spans="2:24">
      <c r="B1252" s="1162" t="s">
        <v>3310</v>
      </c>
      <c r="C1252" s="693" t="str">
        <f t="shared" si="196"/>
        <v>深圳新阳蓝光能源管理科技股份有限公司</v>
      </c>
      <c r="D1252" s="1186" t="s">
        <v>3315</v>
      </c>
      <c r="E1252" s="909">
        <f t="shared" si="197"/>
        <v>0</v>
      </c>
      <c r="F1252" s="139">
        <f t="shared" si="198"/>
        <v>0</v>
      </c>
      <c r="G1252" s="1192"/>
      <c r="H1252" s="139">
        <f t="shared" si="199"/>
        <v>0</v>
      </c>
      <c r="I1252" s="139">
        <f t="shared" si="201"/>
        <v>0</v>
      </c>
      <c r="J1252" s="1192"/>
      <c r="K1252" s="139">
        <f t="shared" si="200"/>
        <v>0</v>
      </c>
      <c r="X1252" s="768" t="b">
        <f t="shared" si="202"/>
        <v>0</v>
      </c>
    </row>
    <row r="1253" outlineLevel="2" spans="2:24">
      <c r="B1253" s="1162" t="s">
        <v>3310</v>
      </c>
      <c r="C1253" s="693" t="str">
        <f t="shared" si="196"/>
        <v>深圳新阳蓝光能源管理科技股份有限公司</v>
      </c>
      <c r="D1253" s="1186" t="s">
        <v>3315</v>
      </c>
      <c r="E1253" s="909">
        <f t="shared" si="197"/>
        <v>0</v>
      </c>
      <c r="F1253" s="139">
        <f t="shared" si="198"/>
        <v>0</v>
      </c>
      <c r="G1253" s="1192"/>
      <c r="H1253" s="139">
        <f t="shared" si="199"/>
        <v>0</v>
      </c>
      <c r="I1253" s="139">
        <f t="shared" si="201"/>
        <v>0</v>
      </c>
      <c r="J1253" s="1192"/>
      <c r="K1253" s="139">
        <f t="shared" si="200"/>
        <v>0</v>
      </c>
      <c r="X1253" s="768" t="b">
        <f t="shared" si="202"/>
        <v>0</v>
      </c>
    </row>
    <row r="1254" outlineLevel="2" spans="2:24">
      <c r="B1254" s="1162" t="s">
        <v>3310</v>
      </c>
      <c r="C1254" s="693" t="str">
        <f t="shared" si="196"/>
        <v>深圳新阳蓝光能源管理科技股份有限公司</v>
      </c>
      <c r="D1254" s="1186" t="s">
        <v>3315</v>
      </c>
      <c r="E1254" s="909">
        <f t="shared" si="197"/>
        <v>0</v>
      </c>
      <c r="F1254" s="139">
        <f t="shared" si="198"/>
        <v>0</v>
      </c>
      <c r="G1254" s="1192"/>
      <c r="H1254" s="139">
        <f t="shared" si="199"/>
        <v>0</v>
      </c>
      <c r="I1254" s="139">
        <f t="shared" si="201"/>
        <v>0</v>
      </c>
      <c r="J1254" s="1192"/>
      <c r="K1254" s="139">
        <f t="shared" si="200"/>
        <v>0</v>
      </c>
      <c r="X1254" s="768" t="b">
        <f t="shared" si="202"/>
        <v>0</v>
      </c>
    </row>
    <row r="1255" outlineLevel="2" spans="2:24">
      <c r="B1255" s="1162" t="s">
        <v>3310</v>
      </c>
      <c r="C1255" s="693" t="str">
        <f t="shared" si="196"/>
        <v>深圳新阳蓝光能源管理科技股份有限公司</v>
      </c>
      <c r="D1255" s="1186" t="s">
        <v>3315</v>
      </c>
      <c r="E1255" s="909">
        <f t="shared" si="197"/>
        <v>0</v>
      </c>
      <c r="F1255" s="139">
        <f t="shared" si="198"/>
        <v>0</v>
      </c>
      <c r="G1255" s="1192"/>
      <c r="H1255" s="139">
        <f t="shared" si="199"/>
        <v>0</v>
      </c>
      <c r="I1255" s="139">
        <f t="shared" si="201"/>
        <v>0</v>
      </c>
      <c r="J1255" s="1192"/>
      <c r="K1255" s="139">
        <f t="shared" si="200"/>
        <v>0</v>
      </c>
      <c r="X1255" s="768" t="b">
        <f t="shared" si="202"/>
        <v>0</v>
      </c>
    </row>
    <row r="1256" outlineLevel="2" spans="2:24">
      <c r="B1256" s="1162" t="s">
        <v>3310</v>
      </c>
      <c r="C1256" s="693" t="str">
        <f t="shared" si="196"/>
        <v>深圳新阳蓝光能源管理科技股份有限公司</v>
      </c>
      <c r="D1256" s="1186" t="s">
        <v>3315</v>
      </c>
      <c r="E1256" s="909">
        <f t="shared" si="197"/>
        <v>0</v>
      </c>
      <c r="F1256" s="139">
        <f t="shared" si="198"/>
        <v>0</v>
      </c>
      <c r="G1256" s="1192"/>
      <c r="H1256" s="139">
        <f t="shared" si="199"/>
        <v>0</v>
      </c>
      <c r="I1256" s="139">
        <f t="shared" si="201"/>
        <v>0</v>
      </c>
      <c r="J1256" s="1192"/>
      <c r="K1256" s="139">
        <f t="shared" si="200"/>
        <v>0</v>
      </c>
      <c r="X1256" s="768" t="b">
        <f t="shared" si="202"/>
        <v>0</v>
      </c>
    </row>
    <row r="1257" outlineLevel="2" spans="2:24">
      <c r="B1257" s="1162" t="s">
        <v>3310</v>
      </c>
      <c r="C1257" s="693" t="str">
        <f t="shared" si="196"/>
        <v>深圳新阳蓝光能源管理科技股份有限公司</v>
      </c>
      <c r="D1257" s="1186" t="s">
        <v>3315</v>
      </c>
      <c r="E1257" s="909">
        <f t="shared" si="197"/>
        <v>0</v>
      </c>
      <c r="F1257" s="139">
        <f t="shared" si="198"/>
        <v>0</v>
      </c>
      <c r="G1257" s="1192"/>
      <c r="H1257" s="139">
        <f t="shared" si="199"/>
        <v>0</v>
      </c>
      <c r="I1257" s="139">
        <f t="shared" si="201"/>
        <v>0</v>
      </c>
      <c r="J1257" s="1192"/>
      <c r="K1257" s="139">
        <f t="shared" si="200"/>
        <v>0</v>
      </c>
      <c r="X1257" s="768" t="b">
        <f t="shared" si="202"/>
        <v>0</v>
      </c>
    </row>
    <row r="1258" hidden="1" outlineLevel="2" spans="2:24">
      <c r="B1258" s="1162" t="s">
        <v>3310</v>
      </c>
      <c r="C1258" s="693" t="str">
        <f t="shared" si="196"/>
        <v>深圳新阳蓝光能源管理科技股份有限公司</v>
      </c>
      <c r="D1258" s="1186" t="s">
        <v>3315</v>
      </c>
      <c r="E1258" s="950"/>
      <c r="F1258" s="136"/>
      <c r="G1258" s="136"/>
      <c r="H1258" s="139">
        <f t="shared" si="199"/>
        <v>0</v>
      </c>
      <c r="I1258" s="136"/>
      <c r="J1258" s="815"/>
      <c r="K1258" s="802">
        <f t="shared" si="200"/>
        <v>0</v>
      </c>
      <c r="X1258" s="768" t="b">
        <f t="shared" si="202"/>
        <v>1</v>
      </c>
    </row>
    <row r="1259" hidden="1" outlineLevel="2" spans="2:24">
      <c r="B1259" s="1162" t="s">
        <v>3310</v>
      </c>
      <c r="C1259" s="693" t="str">
        <f t="shared" si="196"/>
        <v>深圳新阳蓝光能源管理科技股份有限公司</v>
      </c>
      <c r="D1259" s="1186" t="s">
        <v>3315</v>
      </c>
      <c r="E1259" s="950"/>
      <c r="F1259" s="136"/>
      <c r="G1259" s="136"/>
      <c r="H1259" s="139">
        <f t="shared" si="199"/>
        <v>0</v>
      </c>
      <c r="I1259" s="136"/>
      <c r="J1259" s="815"/>
      <c r="K1259" s="802">
        <f t="shared" si="200"/>
        <v>0</v>
      </c>
      <c r="X1259" s="768" t="b">
        <f t="shared" si="202"/>
        <v>1</v>
      </c>
    </row>
    <row r="1260" hidden="1" outlineLevel="2" spans="2:24">
      <c r="B1260" s="1162" t="s">
        <v>3310</v>
      </c>
      <c r="C1260" s="693" t="str">
        <f t="shared" si="196"/>
        <v>深圳新阳蓝光能源管理科技股份有限公司</v>
      </c>
      <c r="D1260" s="1186" t="s">
        <v>3315</v>
      </c>
      <c r="E1260" s="950"/>
      <c r="F1260" s="136"/>
      <c r="G1260" s="136"/>
      <c r="H1260" s="139">
        <f t="shared" si="199"/>
        <v>0</v>
      </c>
      <c r="I1260" s="136"/>
      <c r="J1260" s="815"/>
      <c r="K1260" s="802">
        <f t="shared" si="200"/>
        <v>0</v>
      </c>
      <c r="X1260" s="768" t="b">
        <f t="shared" si="202"/>
        <v>1</v>
      </c>
    </row>
    <row r="1261" hidden="1" outlineLevel="2" spans="2:24">
      <c r="B1261" s="1162" t="s">
        <v>3310</v>
      </c>
      <c r="C1261" s="693" t="str">
        <f t="shared" si="196"/>
        <v>深圳新阳蓝光能源管理科技股份有限公司</v>
      </c>
      <c r="D1261" s="1186" t="s">
        <v>3315</v>
      </c>
      <c r="E1261" s="950"/>
      <c r="F1261" s="136"/>
      <c r="G1261" s="136"/>
      <c r="H1261" s="139">
        <f t="shared" si="199"/>
        <v>0</v>
      </c>
      <c r="I1261" s="136"/>
      <c r="J1261" s="815"/>
      <c r="K1261" s="802">
        <f t="shared" si="200"/>
        <v>0</v>
      </c>
      <c r="X1261" s="768" t="b">
        <f t="shared" si="202"/>
        <v>1</v>
      </c>
    </row>
    <row r="1262" hidden="1" outlineLevel="2" spans="2:24">
      <c r="B1262" s="1162" t="s">
        <v>3310</v>
      </c>
      <c r="C1262" s="693" t="str">
        <f t="shared" si="196"/>
        <v>深圳新阳蓝光能源管理科技股份有限公司</v>
      </c>
      <c r="D1262" s="1186" t="s">
        <v>3315</v>
      </c>
      <c r="E1262" s="950"/>
      <c r="F1262" s="136"/>
      <c r="G1262" s="136"/>
      <c r="H1262" s="139">
        <f t="shared" si="199"/>
        <v>0</v>
      </c>
      <c r="I1262" s="136"/>
      <c r="J1262" s="815"/>
      <c r="K1262" s="802">
        <f t="shared" si="200"/>
        <v>0</v>
      </c>
      <c r="X1262" s="768" t="b">
        <f t="shared" si="202"/>
        <v>1</v>
      </c>
    </row>
    <row r="1263" hidden="1" outlineLevel="2" spans="2:24">
      <c r="B1263" s="1162" t="s">
        <v>3310</v>
      </c>
      <c r="C1263" s="693" t="str">
        <f t="shared" si="196"/>
        <v>深圳新阳蓝光能源管理科技股份有限公司</v>
      </c>
      <c r="D1263" s="1186" t="s">
        <v>3315</v>
      </c>
      <c r="E1263" s="950"/>
      <c r="F1263" s="136"/>
      <c r="G1263" s="136"/>
      <c r="H1263" s="139">
        <f t="shared" si="199"/>
        <v>0</v>
      </c>
      <c r="I1263" s="136"/>
      <c r="J1263" s="815"/>
      <c r="K1263" s="802">
        <f t="shared" si="200"/>
        <v>0</v>
      </c>
      <c r="X1263" s="768" t="b">
        <f t="shared" si="202"/>
        <v>1</v>
      </c>
    </row>
    <row r="1264" hidden="1" outlineLevel="2" spans="2:24">
      <c r="B1264" s="1162" t="s">
        <v>3310</v>
      </c>
      <c r="C1264" s="693" t="str">
        <f t="shared" si="196"/>
        <v>深圳新阳蓝光能源管理科技股份有限公司</v>
      </c>
      <c r="D1264" s="1186" t="s">
        <v>3315</v>
      </c>
      <c r="E1264" s="950"/>
      <c r="F1264" s="136"/>
      <c r="G1264" s="136"/>
      <c r="H1264" s="139">
        <f t="shared" si="199"/>
        <v>0</v>
      </c>
      <c r="I1264" s="136"/>
      <c r="J1264" s="815"/>
      <c r="K1264" s="802">
        <f t="shared" si="200"/>
        <v>0</v>
      </c>
      <c r="X1264" s="768" t="b">
        <f t="shared" si="202"/>
        <v>1</v>
      </c>
    </row>
    <row r="1265" hidden="1" outlineLevel="2" spans="2:24">
      <c r="B1265" s="1162" t="s">
        <v>3310</v>
      </c>
      <c r="C1265" s="693" t="str">
        <f t="shared" si="196"/>
        <v>深圳新阳蓝光能源管理科技股份有限公司</v>
      </c>
      <c r="D1265" s="1186" t="s">
        <v>3315</v>
      </c>
      <c r="E1265" s="950"/>
      <c r="F1265" s="136"/>
      <c r="G1265" s="136"/>
      <c r="H1265" s="139">
        <f t="shared" si="199"/>
        <v>0</v>
      </c>
      <c r="I1265" s="136"/>
      <c r="J1265" s="815"/>
      <c r="K1265" s="802">
        <f t="shared" si="200"/>
        <v>0</v>
      </c>
      <c r="X1265" s="768" t="b">
        <f t="shared" si="202"/>
        <v>1</v>
      </c>
    </row>
    <row r="1266" hidden="1" outlineLevel="2" spans="2:24">
      <c r="B1266" s="1162" t="s">
        <v>3310</v>
      </c>
      <c r="C1266" s="693" t="str">
        <f t="shared" si="196"/>
        <v>深圳新阳蓝光能源管理科技股份有限公司</v>
      </c>
      <c r="D1266" s="1186" t="s">
        <v>3315</v>
      </c>
      <c r="E1266" s="950"/>
      <c r="F1266" s="136"/>
      <c r="G1266" s="136"/>
      <c r="H1266" s="139">
        <f t="shared" si="199"/>
        <v>0</v>
      </c>
      <c r="I1266" s="136"/>
      <c r="J1266" s="815"/>
      <c r="K1266" s="802">
        <f t="shared" si="200"/>
        <v>0</v>
      </c>
      <c r="X1266" s="768" t="b">
        <f t="shared" si="202"/>
        <v>1</v>
      </c>
    </row>
    <row r="1267" hidden="1" outlineLevel="2" spans="2:24">
      <c r="B1267" s="1162" t="s">
        <v>3310</v>
      </c>
      <c r="C1267" s="693" t="str">
        <f t="shared" si="196"/>
        <v>深圳新阳蓝光能源管理科技股份有限公司</v>
      </c>
      <c r="D1267" s="1186" t="s">
        <v>3315</v>
      </c>
      <c r="E1267" s="950"/>
      <c r="F1267" s="136"/>
      <c r="G1267" s="136"/>
      <c r="H1267" s="139">
        <f t="shared" si="199"/>
        <v>0</v>
      </c>
      <c r="I1267" s="136"/>
      <c r="J1267" s="815"/>
      <c r="K1267" s="802">
        <f t="shared" si="200"/>
        <v>0</v>
      </c>
      <c r="X1267" s="768" t="b">
        <f t="shared" si="202"/>
        <v>1</v>
      </c>
    </row>
    <row r="1268" hidden="1" outlineLevel="2" spans="2:24">
      <c r="B1268" s="1162" t="s">
        <v>3310</v>
      </c>
      <c r="C1268" s="693" t="str">
        <f t="shared" si="196"/>
        <v>深圳新阳蓝光能源管理科技股份有限公司</v>
      </c>
      <c r="D1268" s="1186" t="s">
        <v>3315</v>
      </c>
      <c r="E1268" s="950"/>
      <c r="F1268" s="136"/>
      <c r="G1268" s="136"/>
      <c r="H1268" s="139">
        <f t="shared" si="199"/>
        <v>0</v>
      </c>
      <c r="I1268" s="136"/>
      <c r="J1268" s="815"/>
      <c r="K1268" s="802">
        <f t="shared" si="200"/>
        <v>0</v>
      </c>
      <c r="X1268" s="768" t="b">
        <f t="shared" si="202"/>
        <v>1</v>
      </c>
    </row>
    <row r="1269" hidden="1" outlineLevel="2" spans="2:24">
      <c r="B1269" s="1162" t="s">
        <v>3310</v>
      </c>
      <c r="C1269" s="693" t="str">
        <f t="shared" si="196"/>
        <v>深圳新阳蓝光能源管理科技股份有限公司</v>
      </c>
      <c r="D1269" s="1186" t="s">
        <v>3315</v>
      </c>
      <c r="E1269" s="950"/>
      <c r="F1269" s="136"/>
      <c r="G1269" s="136"/>
      <c r="H1269" s="139">
        <f t="shared" si="199"/>
        <v>0</v>
      </c>
      <c r="I1269" s="136"/>
      <c r="J1269" s="815"/>
      <c r="K1269" s="802">
        <f t="shared" si="200"/>
        <v>0</v>
      </c>
      <c r="X1269" s="768" t="b">
        <f t="shared" si="202"/>
        <v>1</v>
      </c>
    </row>
    <row r="1270" hidden="1" outlineLevel="2" spans="2:24">
      <c r="B1270" s="1162" t="s">
        <v>3310</v>
      </c>
      <c r="C1270" s="693" t="str">
        <f t="shared" si="196"/>
        <v>深圳新阳蓝光能源管理科技股份有限公司</v>
      </c>
      <c r="D1270" s="1186" t="s">
        <v>3315</v>
      </c>
      <c r="E1270" s="950"/>
      <c r="F1270" s="136"/>
      <c r="G1270" s="136"/>
      <c r="H1270" s="139">
        <f t="shared" si="199"/>
        <v>0</v>
      </c>
      <c r="I1270" s="136"/>
      <c r="J1270" s="815"/>
      <c r="K1270" s="802">
        <f t="shared" si="200"/>
        <v>0</v>
      </c>
      <c r="X1270" s="768" t="b">
        <f t="shared" si="202"/>
        <v>1</v>
      </c>
    </row>
    <row r="1271" hidden="1" outlineLevel="2" spans="2:24">
      <c r="B1271" s="1162" t="s">
        <v>3310</v>
      </c>
      <c r="C1271" s="693" t="str">
        <f t="shared" si="196"/>
        <v>深圳新阳蓝光能源管理科技股份有限公司</v>
      </c>
      <c r="D1271" s="1186" t="s">
        <v>3315</v>
      </c>
      <c r="E1271" s="950"/>
      <c r="F1271" s="136"/>
      <c r="G1271" s="136"/>
      <c r="H1271" s="139">
        <f t="shared" si="199"/>
        <v>0</v>
      </c>
      <c r="I1271" s="136"/>
      <c r="J1271" s="815"/>
      <c r="K1271" s="802">
        <f t="shared" si="200"/>
        <v>0</v>
      </c>
      <c r="X1271" s="768" t="b">
        <f t="shared" si="202"/>
        <v>1</v>
      </c>
    </row>
    <row r="1272" hidden="1" outlineLevel="2" spans="2:24">
      <c r="B1272" s="1162" t="s">
        <v>3310</v>
      </c>
      <c r="C1272" s="693" t="str">
        <f t="shared" si="196"/>
        <v>深圳新阳蓝光能源管理科技股份有限公司</v>
      </c>
      <c r="D1272" s="1186" t="s">
        <v>3315</v>
      </c>
      <c r="E1272" s="950"/>
      <c r="F1272" s="136"/>
      <c r="G1272" s="136"/>
      <c r="H1272" s="139">
        <f t="shared" si="199"/>
        <v>0</v>
      </c>
      <c r="I1272" s="136"/>
      <c r="J1272" s="815"/>
      <c r="K1272" s="802">
        <f t="shared" si="200"/>
        <v>0</v>
      </c>
      <c r="X1272" s="768" t="b">
        <f t="shared" si="202"/>
        <v>1</v>
      </c>
    </row>
    <row r="1273" hidden="1" outlineLevel="2" spans="2:24">
      <c r="B1273" s="1162" t="s">
        <v>3310</v>
      </c>
      <c r="C1273" s="693" t="str">
        <f t="shared" si="196"/>
        <v>深圳新阳蓝光能源管理科技股份有限公司</v>
      </c>
      <c r="D1273" s="1186" t="s">
        <v>3315</v>
      </c>
      <c r="E1273" s="950"/>
      <c r="F1273" s="136"/>
      <c r="G1273" s="136"/>
      <c r="H1273" s="139">
        <f t="shared" si="199"/>
        <v>0</v>
      </c>
      <c r="I1273" s="136"/>
      <c r="J1273" s="815"/>
      <c r="K1273" s="802">
        <f t="shared" si="200"/>
        <v>0</v>
      </c>
      <c r="X1273" s="768" t="b">
        <f t="shared" si="202"/>
        <v>1</v>
      </c>
    </row>
    <row r="1274" outlineLevel="2" spans="1:24">
      <c r="A1274" s="152" t="s">
        <v>2021</v>
      </c>
      <c r="B1274" s="1162" t="s">
        <v>3310</v>
      </c>
      <c r="C1274" s="693" t="str">
        <f t="shared" si="196"/>
        <v>深圳新阳蓝光能源管理科技股份有限公司</v>
      </c>
      <c r="D1274" s="1186" t="s">
        <v>3315</v>
      </c>
      <c r="E1274" s="1167" t="s">
        <v>2021</v>
      </c>
      <c r="F1274" s="139">
        <f>SUM(F1230:F1273)</f>
        <v>50697993.93</v>
      </c>
      <c r="G1274" s="139">
        <f t="shared" ref="G1274:K1274" si="203">SUM(G1230:G1273)</f>
        <v>0</v>
      </c>
      <c r="H1274" s="139">
        <f t="shared" si="203"/>
        <v>50697993.93</v>
      </c>
      <c r="I1274" s="139">
        <f t="shared" si="203"/>
        <v>2327419.91</v>
      </c>
      <c r="J1274" s="139">
        <f t="shared" si="203"/>
        <v>0</v>
      </c>
      <c r="K1274" s="139">
        <f t="shared" si="203"/>
        <v>2327419.91</v>
      </c>
      <c r="X1274" s="768" t="b">
        <f t="shared" si="202"/>
        <v>1</v>
      </c>
    </row>
    <row r="1275" outlineLevel="2" spans="1:24">
      <c r="A1275" s="152" t="s">
        <v>1723</v>
      </c>
      <c r="B1275" s="1162" t="s">
        <v>3310</v>
      </c>
      <c r="C1275" s="693" t="str">
        <f t="shared" si="196"/>
        <v>深圳新阳蓝光能源管理科技股份有限公司</v>
      </c>
      <c r="D1275" s="1186" t="s">
        <v>3315</v>
      </c>
      <c r="E1275" s="1113" t="s">
        <v>1723</v>
      </c>
      <c r="F1275" s="145"/>
      <c r="G1275" s="145"/>
      <c r="H1275" s="817">
        <f>审定资负表!C28</f>
        <v>50697993.93</v>
      </c>
      <c r="I1275" s="145"/>
      <c r="J1275" s="145"/>
      <c r="K1275" s="817">
        <f>审定资负表!D28</f>
        <v>2327419.91</v>
      </c>
      <c r="X1275" s="768" t="b">
        <f t="shared" si="202"/>
        <v>1</v>
      </c>
    </row>
    <row r="1276" outlineLevel="1" spans="1:24">
      <c r="A1276" s="152" t="s">
        <v>1395</v>
      </c>
      <c r="B1276" s="1162" t="s">
        <v>3310</v>
      </c>
      <c r="C1276" s="693" t="str">
        <f t="shared" si="196"/>
        <v>深圳新阳蓝光能源管理科技股份有限公司</v>
      </c>
      <c r="D1276" s="1186" t="s">
        <v>3315</v>
      </c>
      <c r="E1276" s="1115" t="s">
        <v>1395</v>
      </c>
      <c r="F1276" s="145"/>
      <c r="G1276" s="145"/>
      <c r="H1276" s="92">
        <f>ROUND(H1274-H1275,2)</f>
        <v>0</v>
      </c>
      <c r="I1276" s="145"/>
      <c r="J1276" s="145"/>
      <c r="K1276" s="92">
        <f>ROUND(K1274-K1275,2)</f>
        <v>0</v>
      </c>
      <c r="X1276" s="768" t="b">
        <f t="shared" si="202"/>
        <v>1</v>
      </c>
    </row>
    <row r="1277" outlineLevel="2" spans="2:24">
      <c r="B1277" s="1162" t="s">
        <v>3310</v>
      </c>
      <c r="C1277" s="693" t="str">
        <f t="shared" si="196"/>
        <v>深圳新阳蓝光能源管理科技股份有限公司</v>
      </c>
      <c r="D1277" s="1186" t="s">
        <v>3315</v>
      </c>
      <c r="E1277" s="1187"/>
      <c r="F1277" s="145"/>
      <c r="G1277" s="145"/>
      <c r="H1277" s="145"/>
      <c r="I1277" s="145"/>
      <c r="J1277" s="145"/>
      <c r="K1277" s="145"/>
      <c r="X1277" s="768" t="b">
        <f t="shared" si="202"/>
        <v>1</v>
      </c>
    </row>
    <row r="1278" outlineLevel="2" spans="2:24">
      <c r="B1278" s="1162" t="s">
        <v>3310</v>
      </c>
      <c r="C1278" s="693" t="str">
        <f t="shared" si="196"/>
        <v>深圳新阳蓝光能源管理科技股份有限公司</v>
      </c>
      <c r="D1278" s="1186" t="s">
        <v>3315</v>
      </c>
      <c r="E1278" s="1185"/>
      <c r="F1278" s="145"/>
      <c r="G1278" s="145"/>
      <c r="H1278" s="145"/>
      <c r="I1278" s="145"/>
      <c r="J1278" s="146"/>
      <c r="K1278" s="146"/>
      <c r="X1278" s="768" t="b">
        <f t="shared" si="202"/>
        <v>1</v>
      </c>
    </row>
    <row r="1279" outlineLevel="2" spans="1:24">
      <c r="A1279" s="152" t="s">
        <v>3317</v>
      </c>
      <c r="B1279" s="1162" t="s">
        <v>3310</v>
      </c>
      <c r="C1279" s="693" t="str">
        <f t="shared" ref="C1279:C1342" si="204">$G$1</f>
        <v>深圳新阳蓝光能源管理科技股份有限公司</v>
      </c>
      <c r="D1279" s="1186" t="s">
        <v>3318</v>
      </c>
      <c r="E1279" s="144" t="s">
        <v>3319</v>
      </c>
      <c r="F1279" s="145"/>
      <c r="G1279" s="145"/>
      <c r="H1279" s="145"/>
      <c r="I1279" s="145"/>
      <c r="J1279" s="146"/>
      <c r="K1279" s="146"/>
      <c r="X1279" s="768" t="b">
        <f t="shared" si="202"/>
        <v>1</v>
      </c>
    </row>
    <row r="1280" ht="24.75" outlineLevel="2" spans="1:24">
      <c r="A1280" s="152" t="s">
        <v>2981</v>
      </c>
      <c r="B1280" s="1162" t="s">
        <v>3310</v>
      </c>
      <c r="C1280" s="693" t="str">
        <f t="shared" si="204"/>
        <v>深圳新阳蓝光能源管理科技股份有限公司</v>
      </c>
      <c r="D1280" s="1186" t="s">
        <v>3318</v>
      </c>
      <c r="E1280" s="147" t="s">
        <v>2981</v>
      </c>
      <c r="F1280" s="147" t="s">
        <v>816</v>
      </c>
      <c r="G1280" s="147" t="s">
        <v>671</v>
      </c>
      <c r="H1280" s="147" t="s">
        <v>672</v>
      </c>
      <c r="I1280" s="147" t="s">
        <v>3320</v>
      </c>
      <c r="J1280" s="147" t="s">
        <v>818</v>
      </c>
      <c r="K1280" s="147" t="s">
        <v>3321</v>
      </c>
      <c r="L1280" s="147" t="s">
        <v>3322</v>
      </c>
      <c r="M1280" s="147" t="s">
        <v>3323</v>
      </c>
      <c r="N1280" s="154" t="s">
        <v>3324</v>
      </c>
      <c r="O1280" s="147" t="s">
        <v>3325</v>
      </c>
      <c r="P1280" s="147" t="s">
        <v>819</v>
      </c>
      <c r="Q1280" s="147" t="s">
        <v>2902</v>
      </c>
      <c r="R1280" s="1167" t="s">
        <v>3243</v>
      </c>
      <c r="S1280" s="1167" t="s">
        <v>3244</v>
      </c>
      <c r="T1280" s="1179" t="s">
        <v>3272</v>
      </c>
      <c r="U1280" s="1179" t="s">
        <v>3273</v>
      </c>
      <c r="V1280" s="1179" t="s">
        <v>3274</v>
      </c>
      <c r="W1280" s="1179" t="s">
        <v>3275</v>
      </c>
      <c r="X1280" s="768" t="b">
        <f t="shared" si="202"/>
        <v>1</v>
      </c>
    </row>
    <row r="1281" outlineLevel="2" spans="2:24">
      <c r="B1281" s="1162" t="s">
        <v>3310</v>
      </c>
      <c r="C1281" s="693" t="str">
        <f t="shared" si="204"/>
        <v>深圳新阳蓝光能源管理科技股份有限公司</v>
      </c>
      <c r="D1281" s="1186" t="s">
        <v>3326</v>
      </c>
      <c r="E1281" s="1193" t="s">
        <v>3327</v>
      </c>
      <c r="F1281" s="136"/>
      <c r="G1281" s="136">
        <v>566699</v>
      </c>
      <c r="H1281" s="136"/>
      <c r="I1281" s="136">
        <v>566699</v>
      </c>
      <c r="J1281" s="1203"/>
      <c r="K1281" s="1203"/>
      <c r="L1281" s="1203"/>
      <c r="M1281" s="1203"/>
      <c r="N1281" s="1203"/>
      <c r="O1281" s="1203"/>
      <c r="P1281" s="1203"/>
      <c r="Q1281" s="1206">
        <f>ROUND(G1281+H1281-I1281-J1281,2)</f>
        <v>0</v>
      </c>
      <c r="R1281" s="139">
        <f>SUM(IF(T1281&gt;0,T1281,0),IF(U1281&gt;0,U1281,0),IF(V1281&gt;0,V1281,0),IF(W1281&gt;0,W1281,0))</f>
        <v>0</v>
      </c>
      <c r="S1281" s="139">
        <f>SUM(IF(T1281&gt;0,0,-T1281),IF(U1281&gt;0,0,-U1281),IF(V1281&gt;0,0,-V1281),IF(W1281&gt;0,0,-W1281))</f>
        <v>0</v>
      </c>
      <c r="T1281" s="1203"/>
      <c r="U1281" s="1203"/>
      <c r="V1281" s="1203"/>
      <c r="W1281" s="1203"/>
      <c r="X1281" s="768" t="b">
        <f t="shared" si="202"/>
        <v>0</v>
      </c>
    </row>
    <row r="1282" outlineLevel="2" spans="2:24">
      <c r="B1282" s="1162" t="s">
        <v>3310</v>
      </c>
      <c r="C1282" s="693" t="str">
        <f t="shared" si="204"/>
        <v>深圳新阳蓝光能源管理科技股份有限公司</v>
      </c>
      <c r="D1282" s="1186" t="s">
        <v>3326</v>
      </c>
      <c r="E1282" s="1193" t="s">
        <v>3328</v>
      </c>
      <c r="F1282" s="136"/>
      <c r="G1282" s="136"/>
      <c r="H1282" s="136">
        <v>8227910.7</v>
      </c>
      <c r="I1282" s="136"/>
      <c r="J1282" s="1203"/>
      <c r="K1282" s="1203"/>
      <c r="L1282" s="1203"/>
      <c r="M1282" s="1203"/>
      <c r="N1282" s="1203"/>
      <c r="O1282" s="1203"/>
      <c r="P1282" s="1203"/>
      <c r="Q1282" s="1206">
        <f t="shared" ref="Q1282:Q1308" si="205">ROUND(G1282+H1282-I1282-J1282,2)</f>
        <v>8227910.7</v>
      </c>
      <c r="R1282" s="139">
        <f t="shared" ref="R1282:R1308" si="206">SUM(IF(T1282&gt;0,T1282,0),IF(U1282&gt;0,U1282,0),IF(V1282&gt;0,V1282,0),IF(W1282&gt;0,W1282,0))</f>
        <v>0</v>
      </c>
      <c r="S1282" s="139">
        <f t="shared" ref="S1282:S1308" si="207">SUM(IF(T1282&gt;0,0,-T1282),IF(U1282&gt;0,0,-U1282),IF(V1282&gt;0,0,-V1282),IF(W1282&gt;0,0,-W1282))</f>
        <v>0</v>
      </c>
      <c r="T1282" s="1203"/>
      <c r="U1282" s="1203"/>
      <c r="V1282" s="1203"/>
      <c r="W1282" s="1203"/>
      <c r="X1282" s="768" t="b">
        <f t="shared" si="202"/>
        <v>0</v>
      </c>
    </row>
    <row r="1283" outlineLevel="2" spans="2:24">
      <c r="B1283" s="1162" t="s">
        <v>3310</v>
      </c>
      <c r="C1283" s="693" t="str">
        <f t="shared" si="204"/>
        <v>深圳新阳蓝光能源管理科技股份有限公司</v>
      </c>
      <c r="D1283" s="1186" t="s">
        <v>3326</v>
      </c>
      <c r="E1283" s="1193" t="s">
        <v>3329</v>
      </c>
      <c r="F1283" s="136"/>
      <c r="G1283" s="136"/>
      <c r="H1283" s="136">
        <v>1502874.27</v>
      </c>
      <c r="I1283" s="136"/>
      <c r="J1283" s="815"/>
      <c r="K1283" s="1203"/>
      <c r="L1283" s="1203"/>
      <c r="M1283" s="1203"/>
      <c r="N1283" s="1203"/>
      <c r="O1283" s="1203"/>
      <c r="P1283" s="1203"/>
      <c r="Q1283" s="1206">
        <f t="shared" si="205"/>
        <v>1502874.27</v>
      </c>
      <c r="R1283" s="139">
        <f t="shared" si="206"/>
        <v>0</v>
      </c>
      <c r="S1283" s="139">
        <f t="shared" si="207"/>
        <v>0</v>
      </c>
      <c r="T1283" s="1203"/>
      <c r="U1283" s="1203"/>
      <c r="V1283" s="1203"/>
      <c r="W1283" s="1203"/>
      <c r="X1283" s="768" t="b">
        <f t="shared" si="202"/>
        <v>0</v>
      </c>
    </row>
    <row r="1284" outlineLevel="2" spans="2:24">
      <c r="B1284" s="1162" t="s">
        <v>3310</v>
      </c>
      <c r="C1284" s="693" t="str">
        <f t="shared" si="204"/>
        <v>深圳新阳蓝光能源管理科技股份有限公司</v>
      </c>
      <c r="D1284" s="1186" t="s">
        <v>3326</v>
      </c>
      <c r="E1284" s="1193" t="s">
        <v>3330</v>
      </c>
      <c r="F1284" s="136"/>
      <c r="G1284" s="136">
        <v>1477994.46</v>
      </c>
      <c r="H1284" s="136"/>
      <c r="I1284" s="136">
        <v>1477994.46</v>
      </c>
      <c r="J1284" s="815"/>
      <c r="K1284" s="1203"/>
      <c r="L1284" s="1203"/>
      <c r="M1284" s="1203"/>
      <c r="N1284" s="1203"/>
      <c r="O1284" s="1203"/>
      <c r="P1284" s="1203"/>
      <c r="Q1284" s="1206">
        <f t="shared" si="205"/>
        <v>0</v>
      </c>
      <c r="R1284" s="139">
        <f t="shared" si="206"/>
        <v>0</v>
      </c>
      <c r="S1284" s="139">
        <f t="shared" si="207"/>
        <v>0</v>
      </c>
      <c r="T1284" s="1203"/>
      <c r="U1284" s="1203"/>
      <c r="V1284" s="1203"/>
      <c r="W1284" s="1203"/>
      <c r="X1284" s="768" t="b">
        <f t="shared" si="202"/>
        <v>0</v>
      </c>
    </row>
    <row r="1285" outlineLevel="2" spans="2:24">
      <c r="B1285" s="1162" t="s">
        <v>3310</v>
      </c>
      <c r="C1285" s="693" t="str">
        <f t="shared" si="204"/>
        <v>深圳新阳蓝光能源管理科技股份有限公司</v>
      </c>
      <c r="D1285" s="1186" t="s">
        <v>3326</v>
      </c>
      <c r="E1285" s="1193" t="s">
        <v>3331</v>
      </c>
      <c r="F1285" s="136"/>
      <c r="G1285" s="136">
        <v>228844</v>
      </c>
      <c r="H1285" s="136">
        <v>5971829.8</v>
      </c>
      <c r="I1285" s="136"/>
      <c r="J1285" s="815"/>
      <c r="K1285" s="1203"/>
      <c r="L1285" s="1203"/>
      <c r="M1285" s="1203"/>
      <c r="N1285" s="1203"/>
      <c r="O1285" s="1203"/>
      <c r="P1285" s="1203"/>
      <c r="Q1285" s="1206">
        <f t="shared" si="205"/>
        <v>6200673.8</v>
      </c>
      <c r="R1285" s="139">
        <f t="shared" si="206"/>
        <v>0</v>
      </c>
      <c r="S1285" s="139">
        <f t="shared" si="207"/>
        <v>0</v>
      </c>
      <c r="T1285" s="1203"/>
      <c r="U1285" s="1203"/>
      <c r="V1285" s="1203"/>
      <c r="W1285" s="1203"/>
      <c r="X1285" s="768" t="b">
        <f t="shared" si="202"/>
        <v>0</v>
      </c>
    </row>
    <row r="1286" outlineLevel="2" spans="2:24">
      <c r="B1286" s="1162" t="s">
        <v>3310</v>
      </c>
      <c r="C1286" s="693" t="str">
        <f t="shared" si="204"/>
        <v>深圳新阳蓝光能源管理科技股份有限公司</v>
      </c>
      <c r="D1286" s="1186" t="s">
        <v>3326</v>
      </c>
      <c r="E1286" s="1193" t="s">
        <v>3332</v>
      </c>
      <c r="F1286" s="136"/>
      <c r="G1286" s="136"/>
      <c r="H1286" s="136">
        <v>6879348.68</v>
      </c>
      <c r="I1286" s="136"/>
      <c r="J1286" s="815"/>
      <c r="K1286" s="1203"/>
      <c r="L1286" s="1203"/>
      <c r="M1286" s="1203"/>
      <c r="N1286" s="1203"/>
      <c r="O1286" s="1203"/>
      <c r="P1286" s="1203"/>
      <c r="Q1286" s="1206">
        <f t="shared" si="205"/>
        <v>6879348.68</v>
      </c>
      <c r="R1286" s="139">
        <f t="shared" si="206"/>
        <v>0</v>
      </c>
      <c r="S1286" s="139">
        <f t="shared" si="207"/>
        <v>0</v>
      </c>
      <c r="T1286" s="1203"/>
      <c r="U1286" s="1203"/>
      <c r="V1286" s="1203"/>
      <c r="W1286" s="1203"/>
      <c r="X1286" s="768" t="b">
        <f t="shared" si="202"/>
        <v>0</v>
      </c>
    </row>
    <row r="1287" outlineLevel="2" spans="2:24">
      <c r="B1287" s="1162" t="s">
        <v>3310</v>
      </c>
      <c r="C1287" s="693" t="str">
        <f t="shared" si="204"/>
        <v>深圳新阳蓝光能源管理科技股份有限公司</v>
      </c>
      <c r="D1287" s="1186" t="s">
        <v>3326</v>
      </c>
      <c r="E1287" s="1193" t="s">
        <v>3333</v>
      </c>
      <c r="F1287" s="136"/>
      <c r="G1287" s="136"/>
      <c r="H1287" s="136">
        <v>373165</v>
      </c>
      <c r="I1287" s="136"/>
      <c r="J1287" s="1203"/>
      <c r="K1287" s="1203"/>
      <c r="L1287" s="1203"/>
      <c r="M1287" s="1203"/>
      <c r="N1287" s="1203"/>
      <c r="O1287" s="1203"/>
      <c r="P1287" s="1203"/>
      <c r="Q1287" s="1206">
        <f t="shared" si="205"/>
        <v>373165</v>
      </c>
      <c r="R1287" s="139">
        <f t="shared" si="206"/>
        <v>0</v>
      </c>
      <c r="S1287" s="139">
        <f t="shared" si="207"/>
        <v>0</v>
      </c>
      <c r="T1287" s="1203"/>
      <c r="U1287" s="1203"/>
      <c r="V1287" s="1203"/>
      <c r="W1287" s="1203"/>
      <c r="X1287" s="768" t="b">
        <f t="shared" si="202"/>
        <v>0</v>
      </c>
    </row>
    <row r="1288" outlineLevel="2" spans="2:24">
      <c r="B1288" s="1162" t="s">
        <v>3310</v>
      </c>
      <c r="C1288" s="693" t="str">
        <f t="shared" si="204"/>
        <v>深圳新阳蓝光能源管理科技股份有限公司</v>
      </c>
      <c r="D1288" s="1186" t="s">
        <v>3326</v>
      </c>
      <c r="E1288" s="1193" t="s">
        <v>3334</v>
      </c>
      <c r="F1288" s="136"/>
      <c r="G1288" s="136"/>
      <c r="H1288" s="136">
        <v>6078815</v>
      </c>
      <c r="I1288" s="136"/>
      <c r="J1288" s="1203"/>
      <c r="K1288" s="1203"/>
      <c r="L1288" s="1203"/>
      <c r="M1288" s="1203"/>
      <c r="N1288" s="1203"/>
      <c r="O1288" s="1203"/>
      <c r="P1288" s="1203"/>
      <c r="Q1288" s="1206">
        <f t="shared" si="205"/>
        <v>6078815</v>
      </c>
      <c r="R1288" s="139">
        <f t="shared" si="206"/>
        <v>0</v>
      </c>
      <c r="S1288" s="139">
        <f t="shared" si="207"/>
        <v>0</v>
      </c>
      <c r="T1288" s="1203"/>
      <c r="U1288" s="1203"/>
      <c r="V1288" s="1203"/>
      <c r="W1288" s="1203"/>
      <c r="X1288" s="768" t="b">
        <f t="shared" si="202"/>
        <v>0</v>
      </c>
    </row>
    <row r="1289" outlineLevel="2" spans="2:24">
      <c r="B1289" s="1162" t="s">
        <v>3310</v>
      </c>
      <c r="C1289" s="693" t="str">
        <f t="shared" si="204"/>
        <v>深圳新阳蓝光能源管理科技股份有限公司</v>
      </c>
      <c r="D1289" s="1186" t="s">
        <v>3326</v>
      </c>
      <c r="E1289" s="1193" t="s">
        <v>3335</v>
      </c>
      <c r="F1289" s="136"/>
      <c r="G1289" s="136"/>
      <c r="H1289" s="136">
        <v>4370485</v>
      </c>
      <c r="I1289" s="136"/>
      <c r="J1289" s="1203"/>
      <c r="K1289" s="1203"/>
      <c r="L1289" s="1203"/>
      <c r="M1289" s="1203"/>
      <c r="N1289" s="1203"/>
      <c r="O1289" s="1203"/>
      <c r="P1289" s="1203"/>
      <c r="Q1289" s="1206">
        <f t="shared" si="205"/>
        <v>4370485</v>
      </c>
      <c r="R1289" s="139">
        <f t="shared" si="206"/>
        <v>0</v>
      </c>
      <c r="S1289" s="139">
        <f t="shared" si="207"/>
        <v>0</v>
      </c>
      <c r="T1289" s="1203"/>
      <c r="U1289" s="1203"/>
      <c r="V1289" s="1203"/>
      <c r="W1289" s="1203"/>
      <c r="X1289" s="768" t="b">
        <f t="shared" si="202"/>
        <v>0</v>
      </c>
    </row>
    <row r="1290" outlineLevel="2" spans="2:24">
      <c r="B1290" s="1162" t="s">
        <v>3310</v>
      </c>
      <c r="C1290" s="693" t="str">
        <f t="shared" si="204"/>
        <v>深圳新阳蓝光能源管理科技股份有限公司</v>
      </c>
      <c r="D1290" s="1186" t="s">
        <v>3326</v>
      </c>
      <c r="E1290" s="1193" t="s">
        <v>3336</v>
      </c>
      <c r="F1290" s="136"/>
      <c r="G1290" s="136"/>
      <c r="H1290" s="136">
        <v>3230485</v>
      </c>
      <c r="I1290" s="136"/>
      <c r="J1290" s="1203"/>
      <c r="K1290" s="1203"/>
      <c r="L1290" s="1203"/>
      <c r="M1290" s="1203"/>
      <c r="N1290" s="1203"/>
      <c r="O1290" s="1203"/>
      <c r="P1290" s="1203"/>
      <c r="Q1290" s="1206">
        <f t="shared" si="205"/>
        <v>3230485</v>
      </c>
      <c r="R1290" s="139">
        <f t="shared" si="206"/>
        <v>0</v>
      </c>
      <c r="S1290" s="139">
        <f t="shared" si="207"/>
        <v>0</v>
      </c>
      <c r="T1290" s="1203"/>
      <c r="U1290" s="1203"/>
      <c r="V1290" s="1203"/>
      <c r="W1290" s="1203"/>
      <c r="X1290" s="768" t="b">
        <f t="shared" si="202"/>
        <v>0</v>
      </c>
    </row>
    <row r="1291" outlineLevel="2" spans="2:24">
      <c r="B1291" s="1162" t="s">
        <v>3310</v>
      </c>
      <c r="C1291" s="693" t="str">
        <f t="shared" si="204"/>
        <v>深圳新阳蓝光能源管理科技股份有限公司</v>
      </c>
      <c r="D1291" s="1186" t="s">
        <v>3326</v>
      </c>
      <c r="E1291" s="1193" t="s">
        <v>3337</v>
      </c>
      <c r="F1291" s="136"/>
      <c r="G1291" s="136"/>
      <c r="H1291" s="136">
        <v>3004385</v>
      </c>
      <c r="I1291" s="136"/>
      <c r="J1291" s="1203"/>
      <c r="K1291" s="1203"/>
      <c r="L1291" s="1203"/>
      <c r="M1291" s="1203"/>
      <c r="N1291" s="1203"/>
      <c r="O1291" s="1203"/>
      <c r="P1291" s="1203"/>
      <c r="Q1291" s="1206">
        <f t="shared" si="205"/>
        <v>3004385</v>
      </c>
      <c r="R1291" s="139">
        <f t="shared" si="206"/>
        <v>0</v>
      </c>
      <c r="S1291" s="139">
        <f t="shared" si="207"/>
        <v>0</v>
      </c>
      <c r="T1291" s="1203"/>
      <c r="U1291" s="1203"/>
      <c r="V1291" s="1203"/>
      <c r="W1291" s="1203"/>
      <c r="X1291" s="768" t="b">
        <f t="shared" si="202"/>
        <v>0</v>
      </c>
    </row>
    <row r="1292" outlineLevel="2" spans="2:24">
      <c r="B1292" s="1162" t="s">
        <v>3310</v>
      </c>
      <c r="C1292" s="693" t="str">
        <f t="shared" si="204"/>
        <v>深圳新阳蓝光能源管理科技股份有限公司</v>
      </c>
      <c r="D1292" s="1186" t="s">
        <v>3326</v>
      </c>
      <c r="E1292" s="1193" t="s">
        <v>3338</v>
      </c>
      <c r="F1292" s="136"/>
      <c r="G1292" s="136"/>
      <c r="H1292" s="136">
        <v>1130587.76</v>
      </c>
      <c r="I1292" s="136"/>
      <c r="J1292" s="1203"/>
      <c r="K1292" s="1203"/>
      <c r="L1292" s="1203"/>
      <c r="M1292" s="1203"/>
      <c r="N1292" s="1203"/>
      <c r="O1292" s="1203"/>
      <c r="P1292" s="1203"/>
      <c r="Q1292" s="1206">
        <f t="shared" si="205"/>
        <v>1130587.76</v>
      </c>
      <c r="R1292" s="139">
        <f t="shared" si="206"/>
        <v>0</v>
      </c>
      <c r="S1292" s="139">
        <f t="shared" si="207"/>
        <v>0</v>
      </c>
      <c r="T1292" s="1203"/>
      <c r="U1292" s="1203"/>
      <c r="V1292" s="1203"/>
      <c r="W1292" s="1203"/>
      <c r="X1292" s="768" t="b">
        <f t="shared" si="202"/>
        <v>0</v>
      </c>
    </row>
    <row r="1293" outlineLevel="2" spans="2:24">
      <c r="B1293" s="1162" t="s">
        <v>3310</v>
      </c>
      <c r="C1293" s="693" t="str">
        <f t="shared" si="204"/>
        <v>深圳新阳蓝光能源管理科技股份有限公司</v>
      </c>
      <c r="D1293" s="1186" t="s">
        <v>3326</v>
      </c>
      <c r="E1293" s="1193" t="s">
        <v>3339</v>
      </c>
      <c r="F1293" s="136"/>
      <c r="G1293" s="136">
        <v>4708</v>
      </c>
      <c r="H1293" s="136">
        <v>5689381</v>
      </c>
      <c r="I1293" s="136">
        <v>3090613.38</v>
      </c>
      <c r="J1293" s="1203"/>
      <c r="K1293" s="1203"/>
      <c r="L1293" s="1203"/>
      <c r="M1293" s="1203"/>
      <c r="N1293" s="1203"/>
      <c r="O1293" s="1203"/>
      <c r="P1293" s="1203"/>
      <c r="Q1293" s="1206">
        <f t="shared" si="205"/>
        <v>2603475.62</v>
      </c>
      <c r="R1293" s="139">
        <f t="shared" si="206"/>
        <v>0</v>
      </c>
      <c r="S1293" s="139">
        <f t="shared" si="207"/>
        <v>0</v>
      </c>
      <c r="T1293" s="1203"/>
      <c r="U1293" s="1203"/>
      <c r="V1293" s="1203"/>
      <c r="W1293" s="1203"/>
      <c r="X1293" s="768" t="b">
        <f t="shared" si="202"/>
        <v>0</v>
      </c>
    </row>
    <row r="1294" outlineLevel="2" spans="2:24">
      <c r="B1294" s="1162" t="s">
        <v>3310</v>
      </c>
      <c r="C1294" s="693" t="str">
        <f t="shared" si="204"/>
        <v>深圳新阳蓝光能源管理科技股份有限公司</v>
      </c>
      <c r="D1294" s="1186" t="s">
        <v>3326</v>
      </c>
      <c r="E1294" s="1193" t="s">
        <v>3340</v>
      </c>
      <c r="F1294" s="136"/>
      <c r="G1294" s="136"/>
      <c r="H1294" s="136">
        <v>7095788.1</v>
      </c>
      <c r="I1294" s="136"/>
      <c r="J1294" s="1203"/>
      <c r="K1294" s="1203"/>
      <c r="L1294" s="1203"/>
      <c r="M1294" s="1203"/>
      <c r="N1294" s="1203"/>
      <c r="O1294" s="1203"/>
      <c r="P1294" s="1203"/>
      <c r="Q1294" s="1206">
        <f t="shared" si="205"/>
        <v>7095788.1</v>
      </c>
      <c r="R1294" s="139">
        <f t="shared" si="206"/>
        <v>0</v>
      </c>
      <c r="S1294" s="139">
        <f t="shared" si="207"/>
        <v>0</v>
      </c>
      <c r="T1294" s="1203"/>
      <c r="U1294" s="1203"/>
      <c r="V1294" s="1203"/>
      <c r="W1294" s="1203"/>
      <c r="X1294" s="768" t="b">
        <f t="shared" si="202"/>
        <v>0</v>
      </c>
    </row>
    <row r="1295" outlineLevel="2" spans="2:24">
      <c r="B1295" s="1162" t="s">
        <v>3310</v>
      </c>
      <c r="C1295" s="693" t="str">
        <f t="shared" si="204"/>
        <v>深圳新阳蓝光能源管理科技股份有限公司</v>
      </c>
      <c r="D1295" s="1186" t="s">
        <v>3326</v>
      </c>
      <c r="E1295" s="1193" t="s">
        <v>3341</v>
      </c>
      <c r="F1295" s="136"/>
      <c r="G1295" s="136"/>
      <c r="H1295" s="136">
        <v>410110.6</v>
      </c>
      <c r="I1295" s="136">
        <v>410110.6</v>
      </c>
      <c r="J1295" s="1203"/>
      <c r="K1295" s="1203"/>
      <c r="L1295" s="1203"/>
      <c r="M1295" s="1203"/>
      <c r="N1295" s="1203"/>
      <c r="O1295" s="1203"/>
      <c r="P1295" s="1203"/>
      <c r="Q1295" s="1206">
        <f t="shared" si="205"/>
        <v>0</v>
      </c>
      <c r="R1295" s="139">
        <f t="shared" si="206"/>
        <v>0</v>
      </c>
      <c r="S1295" s="139">
        <f t="shared" si="207"/>
        <v>0</v>
      </c>
      <c r="T1295" s="1203"/>
      <c r="U1295" s="1203"/>
      <c r="V1295" s="1203"/>
      <c r="W1295" s="1203"/>
      <c r="X1295" s="768" t="b">
        <f t="shared" si="202"/>
        <v>0</v>
      </c>
    </row>
    <row r="1296" outlineLevel="2" spans="2:24">
      <c r="B1296" s="1162" t="s">
        <v>3310</v>
      </c>
      <c r="C1296" s="693" t="str">
        <f t="shared" si="204"/>
        <v>深圳新阳蓝光能源管理科技股份有限公司</v>
      </c>
      <c r="D1296" s="1186" t="s">
        <v>3326</v>
      </c>
      <c r="E1296" s="1193" t="s">
        <v>3342</v>
      </c>
      <c r="F1296" s="136"/>
      <c r="G1296" s="136">
        <v>48174.45</v>
      </c>
      <c r="H1296" s="136">
        <v>720325.7</v>
      </c>
      <c r="I1296" s="136">
        <v>768500.15</v>
      </c>
      <c r="J1296" s="1203"/>
      <c r="K1296" s="1203"/>
      <c r="L1296" s="1203"/>
      <c r="M1296" s="1203"/>
      <c r="N1296" s="1203"/>
      <c r="O1296" s="1203"/>
      <c r="P1296" s="1203"/>
      <c r="Q1296" s="1206">
        <f t="shared" si="205"/>
        <v>0</v>
      </c>
      <c r="R1296" s="139">
        <f t="shared" si="206"/>
        <v>0</v>
      </c>
      <c r="S1296" s="139">
        <f t="shared" si="207"/>
        <v>0</v>
      </c>
      <c r="T1296" s="1203"/>
      <c r="U1296" s="1203"/>
      <c r="V1296" s="1203"/>
      <c r="W1296" s="1203"/>
      <c r="X1296" s="768" t="b">
        <f t="shared" si="202"/>
        <v>0</v>
      </c>
    </row>
    <row r="1297" outlineLevel="2" spans="2:24">
      <c r="B1297" s="1162" t="s">
        <v>3310</v>
      </c>
      <c r="C1297" s="693" t="str">
        <f t="shared" si="204"/>
        <v>深圳新阳蓝光能源管理科技股份有限公司</v>
      </c>
      <c r="D1297" s="1186" t="s">
        <v>3326</v>
      </c>
      <c r="E1297" s="1193" t="s">
        <v>3343</v>
      </c>
      <c r="F1297" s="136"/>
      <c r="G1297" s="136"/>
      <c r="H1297" s="136">
        <v>61969.1</v>
      </c>
      <c r="I1297" s="136">
        <v>61969.1</v>
      </c>
      <c r="J1297" s="1203"/>
      <c r="K1297" s="1203"/>
      <c r="L1297" s="1203"/>
      <c r="M1297" s="1203"/>
      <c r="N1297" s="1203"/>
      <c r="O1297" s="1203"/>
      <c r="P1297" s="1203"/>
      <c r="Q1297" s="1206">
        <f t="shared" si="205"/>
        <v>0</v>
      </c>
      <c r="R1297" s="139">
        <f t="shared" si="206"/>
        <v>0</v>
      </c>
      <c r="S1297" s="139">
        <f t="shared" si="207"/>
        <v>0</v>
      </c>
      <c r="T1297" s="1203"/>
      <c r="U1297" s="1203"/>
      <c r="V1297" s="1203"/>
      <c r="W1297" s="1203"/>
      <c r="X1297" s="768" t="b">
        <f t="shared" si="202"/>
        <v>0</v>
      </c>
    </row>
    <row r="1298" outlineLevel="2" spans="2:24">
      <c r="B1298" s="1162" t="s">
        <v>3310</v>
      </c>
      <c r="C1298" s="693" t="str">
        <f t="shared" si="204"/>
        <v>深圳新阳蓝光能源管理科技股份有限公司</v>
      </c>
      <c r="D1298" s="1186" t="s">
        <v>3326</v>
      </c>
      <c r="E1298" s="1193" t="s">
        <v>3344</v>
      </c>
      <c r="F1298" s="136"/>
      <c r="G1298" s="136">
        <v>1000</v>
      </c>
      <c r="H1298" s="136">
        <v>415310</v>
      </c>
      <c r="I1298" s="136">
        <v>416310</v>
      </c>
      <c r="J1298" s="1203"/>
      <c r="K1298" s="1203"/>
      <c r="L1298" s="1203"/>
      <c r="M1298" s="1203"/>
      <c r="N1298" s="1203"/>
      <c r="O1298" s="1203"/>
      <c r="P1298" s="1203"/>
      <c r="Q1298" s="1206">
        <f t="shared" si="205"/>
        <v>0</v>
      </c>
      <c r="R1298" s="139">
        <f t="shared" si="206"/>
        <v>0</v>
      </c>
      <c r="S1298" s="139">
        <f t="shared" si="207"/>
        <v>0</v>
      </c>
      <c r="T1298" s="1203"/>
      <c r="U1298" s="1203"/>
      <c r="V1298" s="1203"/>
      <c r="W1298" s="1203"/>
      <c r="X1298" s="768" t="b">
        <f t="shared" si="202"/>
        <v>0</v>
      </c>
    </row>
    <row r="1299" outlineLevel="2" spans="2:24">
      <c r="B1299" s="1162" t="s">
        <v>3310</v>
      </c>
      <c r="C1299" s="693" t="str">
        <f t="shared" si="204"/>
        <v>深圳新阳蓝光能源管理科技股份有限公司</v>
      </c>
      <c r="D1299" s="1186" t="s">
        <v>3326</v>
      </c>
      <c r="E1299" s="1193"/>
      <c r="F1299" s="136"/>
      <c r="G1299" s="136"/>
      <c r="H1299" s="136"/>
      <c r="I1299" s="136"/>
      <c r="J1299" s="1203"/>
      <c r="K1299" s="1203"/>
      <c r="L1299" s="1203"/>
      <c r="M1299" s="1203"/>
      <c r="N1299" s="1203"/>
      <c r="O1299" s="1203"/>
      <c r="P1299" s="1203"/>
      <c r="Q1299" s="1206">
        <f t="shared" si="205"/>
        <v>0</v>
      </c>
      <c r="R1299" s="139">
        <f t="shared" si="206"/>
        <v>0</v>
      </c>
      <c r="S1299" s="139">
        <f t="shared" si="207"/>
        <v>0</v>
      </c>
      <c r="T1299" s="1203"/>
      <c r="U1299" s="1203"/>
      <c r="V1299" s="1203"/>
      <c r="W1299" s="1203"/>
      <c r="X1299" s="768" t="b">
        <f t="shared" si="202"/>
        <v>1</v>
      </c>
    </row>
    <row r="1300" outlineLevel="2" spans="2:24">
      <c r="B1300" s="1162" t="s">
        <v>3310</v>
      </c>
      <c r="C1300" s="693" t="str">
        <f t="shared" si="204"/>
        <v>深圳新阳蓝光能源管理科技股份有限公司</v>
      </c>
      <c r="D1300" s="1186" t="s">
        <v>3326</v>
      </c>
      <c r="E1300" s="1193"/>
      <c r="F1300" s="136"/>
      <c r="G1300" s="136"/>
      <c r="H1300" s="136"/>
      <c r="I1300" s="136"/>
      <c r="J1300" s="1203"/>
      <c r="K1300" s="1203"/>
      <c r="L1300" s="1203"/>
      <c r="M1300" s="1203"/>
      <c r="N1300" s="1203"/>
      <c r="O1300" s="1203"/>
      <c r="P1300" s="1203"/>
      <c r="Q1300" s="1206">
        <f t="shared" si="205"/>
        <v>0</v>
      </c>
      <c r="R1300" s="139">
        <f t="shared" si="206"/>
        <v>0</v>
      </c>
      <c r="S1300" s="139">
        <f t="shared" si="207"/>
        <v>0</v>
      </c>
      <c r="T1300" s="1203"/>
      <c r="U1300" s="1203"/>
      <c r="V1300" s="1203"/>
      <c r="W1300" s="1203"/>
      <c r="X1300" s="768" t="b">
        <f t="shared" si="202"/>
        <v>1</v>
      </c>
    </row>
    <row r="1301" outlineLevel="2" spans="2:24">
      <c r="B1301" s="1162" t="s">
        <v>3310</v>
      </c>
      <c r="C1301" s="693" t="str">
        <f t="shared" si="204"/>
        <v>深圳新阳蓝光能源管理科技股份有限公司</v>
      </c>
      <c r="D1301" s="1186" t="s">
        <v>3326</v>
      </c>
      <c r="E1301" s="1193"/>
      <c r="F1301" s="136"/>
      <c r="G1301" s="136"/>
      <c r="H1301" s="136"/>
      <c r="I1301" s="136"/>
      <c r="J1301" s="1203"/>
      <c r="K1301" s="1203"/>
      <c r="L1301" s="1203"/>
      <c r="M1301" s="1203"/>
      <c r="N1301" s="1203"/>
      <c r="O1301" s="1203"/>
      <c r="P1301" s="1203"/>
      <c r="Q1301" s="1206">
        <f t="shared" si="205"/>
        <v>0</v>
      </c>
      <c r="R1301" s="139">
        <f t="shared" si="206"/>
        <v>0</v>
      </c>
      <c r="S1301" s="139">
        <f t="shared" si="207"/>
        <v>0</v>
      </c>
      <c r="T1301" s="1203"/>
      <c r="U1301" s="1203"/>
      <c r="V1301" s="1203"/>
      <c r="W1301" s="1203"/>
      <c r="X1301" s="768" t="b">
        <f t="shared" si="202"/>
        <v>1</v>
      </c>
    </row>
    <row r="1302" outlineLevel="2" spans="2:24">
      <c r="B1302" s="1162" t="s">
        <v>3310</v>
      </c>
      <c r="C1302" s="693" t="str">
        <f t="shared" si="204"/>
        <v>深圳新阳蓝光能源管理科技股份有限公司</v>
      </c>
      <c r="D1302" s="1186" t="s">
        <v>3326</v>
      </c>
      <c r="E1302" s="1193"/>
      <c r="F1302" s="136"/>
      <c r="G1302" s="136"/>
      <c r="H1302" s="136"/>
      <c r="I1302" s="136"/>
      <c r="J1302" s="1203"/>
      <c r="K1302" s="1203"/>
      <c r="L1302" s="1203"/>
      <c r="M1302" s="1203"/>
      <c r="N1302" s="1203"/>
      <c r="O1302" s="1203"/>
      <c r="P1302" s="1203"/>
      <c r="Q1302" s="1206">
        <f t="shared" si="205"/>
        <v>0</v>
      </c>
      <c r="R1302" s="139">
        <f t="shared" si="206"/>
        <v>0</v>
      </c>
      <c r="S1302" s="139">
        <f t="shared" si="207"/>
        <v>0</v>
      </c>
      <c r="T1302" s="1203"/>
      <c r="U1302" s="1203"/>
      <c r="V1302" s="1203"/>
      <c r="W1302" s="1203"/>
      <c r="X1302" s="768" t="b">
        <f t="shared" si="202"/>
        <v>1</v>
      </c>
    </row>
    <row r="1303" outlineLevel="2" spans="2:24">
      <c r="B1303" s="1162" t="s">
        <v>3310</v>
      </c>
      <c r="C1303" s="693" t="str">
        <f t="shared" si="204"/>
        <v>深圳新阳蓝光能源管理科技股份有限公司</v>
      </c>
      <c r="D1303" s="1186" t="s">
        <v>3326</v>
      </c>
      <c r="E1303" s="1193"/>
      <c r="F1303" s="136"/>
      <c r="G1303" s="136"/>
      <c r="H1303" s="136"/>
      <c r="I1303" s="136"/>
      <c r="J1303" s="1203"/>
      <c r="K1303" s="1203"/>
      <c r="L1303" s="1203"/>
      <c r="M1303" s="1203"/>
      <c r="N1303" s="1203"/>
      <c r="O1303" s="1203"/>
      <c r="P1303" s="1203"/>
      <c r="Q1303" s="1206">
        <f t="shared" si="205"/>
        <v>0</v>
      </c>
      <c r="R1303" s="139">
        <f t="shared" si="206"/>
        <v>0</v>
      </c>
      <c r="S1303" s="139">
        <f t="shared" si="207"/>
        <v>0</v>
      </c>
      <c r="T1303" s="1203"/>
      <c r="U1303" s="1203"/>
      <c r="V1303" s="1203"/>
      <c r="W1303" s="1203"/>
      <c r="X1303" s="768" t="b">
        <f t="shared" si="202"/>
        <v>1</v>
      </c>
    </row>
    <row r="1304" outlineLevel="2" spans="2:24">
      <c r="B1304" s="1162" t="s">
        <v>3310</v>
      </c>
      <c r="C1304" s="693" t="str">
        <f t="shared" si="204"/>
        <v>深圳新阳蓝光能源管理科技股份有限公司</v>
      </c>
      <c r="D1304" s="1186" t="s">
        <v>3326</v>
      </c>
      <c r="E1304" s="1193"/>
      <c r="F1304" s="136"/>
      <c r="G1304" s="136"/>
      <c r="H1304" s="136"/>
      <c r="I1304" s="136"/>
      <c r="J1304" s="1203"/>
      <c r="K1304" s="1203"/>
      <c r="L1304" s="1203"/>
      <c r="M1304" s="1203"/>
      <c r="N1304" s="1203"/>
      <c r="O1304" s="1203"/>
      <c r="P1304" s="1203"/>
      <c r="Q1304" s="1206">
        <f t="shared" si="205"/>
        <v>0</v>
      </c>
      <c r="R1304" s="139">
        <f t="shared" si="206"/>
        <v>0</v>
      </c>
      <c r="S1304" s="139">
        <f t="shared" si="207"/>
        <v>0</v>
      </c>
      <c r="T1304" s="1203"/>
      <c r="U1304" s="1203"/>
      <c r="V1304" s="1203"/>
      <c r="W1304" s="1203"/>
      <c r="X1304" s="768" t="b">
        <f t="shared" si="202"/>
        <v>1</v>
      </c>
    </row>
    <row r="1305" outlineLevel="2" spans="2:24">
      <c r="B1305" s="1162" t="s">
        <v>3310</v>
      </c>
      <c r="C1305" s="693" t="str">
        <f t="shared" si="204"/>
        <v>深圳新阳蓝光能源管理科技股份有限公司</v>
      </c>
      <c r="D1305" s="1186" t="s">
        <v>3326</v>
      </c>
      <c r="E1305" s="1193"/>
      <c r="F1305" s="136"/>
      <c r="G1305" s="136"/>
      <c r="H1305" s="136"/>
      <c r="I1305" s="136"/>
      <c r="J1305" s="1203"/>
      <c r="K1305" s="1203"/>
      <c r="L1305" s="1203"/>
      <c r="M1305" s="1203"/>
      <c r="N1305" s="1203"/>
      <c r="O1305" s="1203"/>
      <c r="P1305" s="1203"/>
      <c r="Q1305" s="1206">
        <f t="shared" si="205"/>
        <v>0</v>
      </c>
      <c r="R1305" s="139">
        <f t="shared" si="206"/>
        <v>0</v>
      </c>
      <c r="S1305" s="139">
        <f t="shared" si="207"/>
        <v>0</v>
      </c>
      <c r="T1305" s="1203"/>
      <c r="U1305" s="1203"/>
      <c r="V1305" s="1203"/>
      <c r="W1305" s="1203"/>
      <c r="X1305" s="768" t="b">
        <f t="shared" si="202"/>
        <v>1</v>
      </c>
    </row>
    <row r="1306" outlineLevel="2" spans="2:24">
      <c r="B1306" s="1162" t="s">
        <v>3310</v>
      </c>
      <c r="C1306" s="693" t="str">
        <f t="shared" si="204"/>
        <v>深圳新阳蓝光能源管理科技股份有限公司</v>
      </c>
      <c r="D1306" s="1186" t="s">
        <v>3326</v>
      </c>
      <c r="E1306" s="1193"/>
      <c r="F1306" s="136"/>
      <c r="G1306" s="136"/>
      <c r="H1306" s="136"/>
      <c r="I1306" s="136"/>
      <c r="J1306" s="1203"/>
      <c r="K1306" s="1203"/>
      <c r="L1306" s="1203"/>
      <c r="M1306" s="1203"/>
      <c r="N1306" s="1203"/>
      <c r="O1306" s="1203"/>
      <c r="P1306" s="1203"/>
      <c r="Q1306" s="1206">
        <f t="shared" si="205"/>
        <v>0</v>
      </c>
      <c r="R1306" s="139">
        <f t="shared" si="206"/>
        <v>0</v>
      </c>
      <c r="S1306" s="139">
        <f t="shared" si="207"/>
        <v>0</v>
      </c>
      <c r="T1306" s="1203"/>
      <c r="U1306" s="1203"/>
      <c r="V1306" s="1203"/>
      <c r="W1306" s="1203"/>
      <c r="X1306" s="768" t="b">
        <f t="shared" ref="X1306:X1369" si="208">EXACT(A1306,E1306)</f>
        <v>1</v>
      </c>
    </row>
    <row r="1307" outlineLevel="2" spans="2:24">
      <c r="B1307" s="1162" t="s">
        <v>3310</v>
      </c>
      <c r="C1307" s="693" t="str">
        <f t="shared" si="204"/>
        <v>深圳新阳蓝光能源管理科技股份有限公司</v>
      </c>
      <c r="D1307" s="1186" t="s">
        <v>3326</v>
      </c>
      <c r="E1307" s="1193"/>
      <c r="F1307" s="136"/>
      <c r="G1307" s="136"/>
      <c r="H1307" s="136"/>
      <c r="I1307" s="136"/>
      <c r="J1307" s="1203"/>
      <c r="K1307" s="1203"/>
      <c r="L1307" s="1203"/>
      <c r="M1307" s="1203"/>
      <c r="N1307" s="1203"/>
      <c r="O1307" s="1203"/>
      <c r="P1307" s="1203"/>
      <c r="Q1307" s="1206">
        <f t="shared" si="205"/>
        <v>0</v>
      </c>
      <c r="R1307" s="139">
        <f t="shared" si="206"/>
        <v>0</v>
      </c>
      <c r="S1307" s="139">
        <f t="shared" si="207"/>
        <v>0</v>
      </c>
      <c r="T1307" s="1203"/>
      <c r="U1307" s="1203"/>
      <c r="V1307" s="1203"/>
      <c r="W1307" s="1203"/>
      <c r="X1307" s="768" t="b">
        <f t="shared" si="208"/>
        <v>1</v>
      </c>
    </row>
    <row r="1308" outlineLevel="2" spans="2:24">
      <c r="B1308" s="1162" t="s">
        <v>3310</v>
      </c>
      <c r="C1308" s="693" t="str">
        <f t="shared" si="204"/>
        <v>深圳新阳蓝光能源管理科技股份有限公司</v>
      </c>
      <c r="D1308" s="1186" t="s">
        <v>3326</v>
      </c>
      <c r="E1308" s="753"/>
      <c r="F1308" s="136"/>
      <c r="G1308" s="136"/>
      <c r="H1308" s="136"/>
      <c r="I1308" s="136"/>
      <c r="J1308" s="1203"/>
      <c r="K1308" s="1203"/>
      <c r="L1308" s="1203"/>
      <c r="M1308" s="1203"/>
      <c r="N1308" s="1203"/>
      <c r="O1308" s="1203"/>
      <c r="P1308" s="1203"/>
      <c r="Q1308" s="1206">
        <f t="shared" si="205"/>
        <v>0</v>
      </c>
      <c r="R1308" s="139">
        <f t="shared" si="206"/>
        <v>0</v>
      </c>
      <c r="S1308" s="139">
        <f t="shared" si="207"/>
        <v>0</v>
      </c>
      <c r="T1308" s="1203"/>
      <c r="U1308" s="1203"/>
      <c r="V1308" s="1203"/>
      <c r="W1308" s="1203"/>
      <c r="X1308" s="768" t="b">
        <f t="shared" si="208"/>
        <v>1</v>
      </c>
    </row>
    <row r="1309" outlineLevel="2" spans="1:24">
      <c r="A1309" s="152" t="s">
        <v>2021</v>
      </c>
      <c r="B1309" s="1162" t="s">
        <v>3310</v>
      </c>
      <c r="C1309" s="693" t="str">
        <f t="shared" si="204"/>
        <v>深圳新阳蓝光能源管理科技股份有限公司</v>
      </c>
      <c r="D1309" s="1186" t="s">
        <v>3326</v>
      </c>
      <c r="E1309" s="731" t="s">
        <v>2021</v>
      </c>
      <c r="F1309" s="802">
        <f>ROUND(SUM(F1281:F1308),2)</f>
        <v>0</v>
      </c>
      <c r="G1309" s="802">
        <f>ROUND(SUM(G1281:G1308),2)</f>
        <v>2327419.91</v>
      </c>
      <c r="H1309" s="1194">
        <f t="shared" ref="H1309:J1309" si="209">SUM(H1281:H1308)</f>
        <v>55162770.71</v>
      </c>
      <c r="I1309" s="1194">
        <f t="shared" si="209"/>
        <v>6792196.69</v>
      </c>
      <c r="J1309" s="1194">
        <f t="shared" si="209"/>
        <v>0</v>
      </c>
      <c r="K1309" s="157"/>
      <c r="L1309" s="1204"/>
      <c r="M1309" s="802">
        <f>ROUND(SUM(M1281:M1308),2)</f>
        <v>0</v>
      </c>
      <c r="N1309" s="802">
        <f>ROUND(SUM(N1281:N1308),2)</f>
        <v>0</v>
      </c>
      <c r="O1309" s="1204"/>
      <c r="P1309" s="1204"/>
      <c r="Q1309" s="802">
        <f>ROUND(SUM(Q1281:Q1308),2)</f>
        <v>50697993.93</v>
      </c>
      <c r="R1309" s="139">
        <f t="shared" ref="R1309:W1309" si="210">SUM(R1281:R1308)</f>
        <v>0</v>
      </c>
      <c r="S1309" s="139">
        <f t="shared" si="210"/>
        <v>0</v>
      </c>
      <c r="T1309" s="139">
        <f t="shared" si="210"/>
        <v>0</v>
      </c>
      <c r="U1309" s="139">
        <f t="shared" si="210"/>
        <v>0</v>
      </c>
      <c r="V1309" s="139">
        <f t="shared" si="210"/>
        <v>0</v>
      </c>
      <c r="W1309" s="139">
        <f t="shared" si="210"/>
        <v>0</v>
      </c>
      <c r="X1309" s="768" t="b">
        <f t="shared" si="208"/>
        <v>1</v>
      </c>
    </row>
    <row r="1310" outlineLevel="2" spans="2:24">
      <c r="B1310" s="1162" t="s">
        <v>3310</v>
      </c>
      <c r="C1310" s="693" t="str">
        <f t="shared" si="204"/>
        <v>深圳新阳蓝光能源管理科技股份有限公司</v>
      </c>
      <c r="D1310" s="1186" t="s">
        <v>3326</v>
      </c>
      <c r="E1310" s="153"/>
      <c r="F1310" s="145"/>
      <c r="G1310" s="1007">
        <f>ROUND(G1309-I1274,2)</f>
        <v>0</v>
      </c>
      <c r="H1310" s="145"/>
      <c r="I1310" s="1007">
        <f>ROUND(I1309-J3801,2)</f>
        <v>0</v>
      </c>
      <c r="Q1310" s="1007">
        <f>ROUND(Q1309-F1274,2)</f>
        <v>0</v>
      </c>
      <c r="X1310" s="768" t="b">
        <f t="shared" si="208"/>
        <v>1</v>
      </c>
    </row>
    <row r="1311" outlineLevel="2" spans="1:24">
      <c r="A1311" s="152" t="s">
        <v>826</v>
      </c>
      <c r="B1311" s="1162" t="s">
        <v>3310</v>
      </c>
      <c r="C1311" s="693" t="str">
        <f t="shared" si="204"/>
        <v>深圳新阳蓝光能源管理科技股份有限公司</v>
      </c>
      <c r="D1311" s="1186" t="s">
        <v>3345</v>
      </c>
      <c r="E1311" s="153" t="s">
        <v>3346</v>
      </c>
      <c r="F1311" s="145"/>
      <c r="G1311" s="145"/>
      <c r="H1311" s="145"/>
      <c r="I1311" s="145"/>
      <c r="J1311" s="1205"/>
      <c r="X1311" s="768" t="b">
        <f t="shared" si="208"/>
        <v>1</v>
      </c>
    </row>
    <row r="1312" outlineLevel="2" spans="1:24">
      <c r="A1312" s="152" t="s">
        <v>61</v>
      </c>
      <c r="B1312" s="1162" t="s">
        <v>3310</v>
      </c>
      <c r="C1312" s="693" t="str">
        <f t="shared" si="204"/>
        <v>深圳新阳蓝光能源管理科技股份有限公司</v>
      </c>
      <c r="D1312" s="1186" t="s">
        <v>3345</v>
      </c>
      <c r="E1312" s="851" t="s">
        <v>61</v>
      </c>
      <c r="F1312" s="851" t="s">
        <v>671</v>
      </c>
      <c r="G1312" s="851" t="s">
        <v>672</v>
      </c>
      <c r="H1312" s="851" t="s">
        <v>673</v>
      </c>
      <c r="I1312" s="851" t="s">
        <v>516</v>
      </c>
      <c r="J1312" s="851" t="s">
        <v>827</v>
      </c>
      <c r="X1312" s="768" t="b">
        <f t="shared" si="208"/>
        <v>1</v>
      </c>
    </row>
    <row r="1313" outlineLevel="2" spans="2:24">
      <c r="B1313" s="1162" t="s">
        <v>3310</v>
      </c>
      <c r="C1313" s="693" t="str">
        <f t="shared" si="204"/>
        <v>深圳新阳蓝光能源管理科技股份有限公司</v>
      </c>
      <c r="D1313" s="1186" t="s">
        <v>3347</v>
      </c>
      <c r="E1313" s="753"/>
      <c r="F1313" s="136"/>
      <c r="G1313" s="136"/>
      <c r="H1313" s="136"/>
      <c r="I1313" s="139">
        <f>F1313+G1313-H1313</f>
        <v>0</v>
      </c>
      <c r="J1313" s="1203"/>
      <c r="X1313" s="768" t="b">
        <f t="shared" si="208"/>
        <v>1</v>
      </c>
    </row>
    <row r="1314" outlineLevel="2" spans="2:24">
      <c r="B1314" s="1162" t="s">
        <v>3310</v>
      </c>
      <c r="C1314" s="693" t="str">
        <f t="shared" si="204"/>
        <v>深圳新阳蓝光能源管理科技股份有限公司</v>
      </c>
      <c r="D1314" s="1186" t="s">
        <v>3347</v>
      </c>
      <c r="E1314" s="753"/>
      <c r="F1314" s="136"/>
      <c r="G1314" s="136"/>
      <c r="H1314" s="136"/>
      <c r="I1314" s="139">
        <f t="shared" ref="I1314:I1318" si="211">F1314+G1314-H1314</f>
        <v>0</v>
      </c>
      <c r="J1314" s="1203"/>
      <c r="X1314" s="768" t="b">
        <f t="shared" si="208"/>
        <v>1</v>
      </c>
    </row>
    <row r="1315" outlineLevel="2" spans="2:24">
      <c r="B1315" s="1162" t="s">
        <v>3310</v>
      </c>
      <c r="C1315" s="693" t="str">
        <f t="shared" si="204"/>
        <v>深圳新阳蓝光能源管理科技股份有限公司</v>
      </c>
      <c r="D1315" s="1186" t="s">
        <v>3347</v>
      </c>
      <c r="E1315" s="753"/>
      <c r="F1315" s="136"/>
      <c r="G1315" s="136"/>
      <c r="H1315" s="136"/>
      <c r="I1315" s="139">
        <f t="shared" si="211"/>
        <v>0</v>
      </c>
      <c r="J1315" s="1203"/>
      <c r="X1315" s="768" t="b">
        <f t="shared" si="208"/>
        <v>1</v>
      </c>
    </row>
    <row r="1316" outlineLevel="2" spans="2:24">
      <c r="B1316" s="1162" t="s">
        <v>3310</v>
      </c>
      <c r="C1316" s="693" t="str">
        <f t="shared" si="204"/>
        <v>深圳新阳蓝光能源管理科技股份有限公司</v>
      </c>
      <c r="D1316" s="1186" t="s">
        <v>3347</v>
      </c>
      <c r="E1316" s="753"/>
      <c r="F1316" s="136"/>
      <c r="G1316" s="136"/>
      <c r="H1316" s="136"/>
      <c r="I1316" s="139">
        <f t="shared" si="211"/>
        <v>0</v>
      </c>
      <c r="J1316" s="1203"/>
      <c r="X1316" s="768" t="b">
        <f t="shared" si="208"/>
        <v>1</v>
      </c>
    </row>
    <row r="1317" outlineLevel="2" spans="2:24">
      <c r="B1317" s="1162" t="s">
        <v>3310</v>
      </c>
      <c r="C1317" s="693" t="str">
        <f t="shared" si="204"/>
        <v>深圳新阳蓝光能源管理科技股份有限公司</v>
      </c>
      <c r="D1317" s="1186" t="s">
        <v>3347</v>
      </c>
      <c r="E1317" s="753"/>
      <c r="F1317" s="136"/>
      <c r="G1317" s="136"/>
      <c r="H1317" s="136"/>
      <c r="I1317" s="139">
        <f t="shared" si="211"/>
        <v>0</v>
      </c>
      <c r="J1317" s="1203"/>
      <c r="X1317" s="768" t="b">
        <f t="shared" si="208"/>
        <v>1</v>
      </c>
    </row>
    <row r="1318" outlineLevel="2" spans="2:24">
      <c r="B1318" s="1162" t="s">
        <v>3310</v>
      </c>
      <c r="C1318" s="693" t="str">
        <f t="shared" si="204"/>
        <v>深圳新阳蓝光能源管理科技股份有限公司</v>
      </c>
      <c r="D1318" s="1186" t="s">
        <v>3347</v>
      </c>
      <c r="E1318" s="753"/>
      <c r="F1318" s="136"/>
      <c r="G1318" s="136"/>
      <c r="H1318" s="136"/>
      <c r="I1318" s="139">
        <f t="shared" si="211"/>
        <v>0</v>
      </c>
      <c r="J1318" s="1203"/>
      <c r="X1318" s="768" t="b">
        <f t="shared" si="208"/>
        <v>1</v>
      </c>
    </row>
    <row r="1319" outlineLevel="2" spans="1:24">
      <c r="A1319" s="152" t="s">
        <v>2021</v>
      </c>
      <c r="B1319" s="1162" t="s">
        <v>3310</v>
      </c>
      <c r="C1319" s="693" t="str">
        <f t="shared" si="204"/>
        <v>深圳新阳蓝光能源管理科技股份有限公司</v>
      </c>
      <c r="D1319" s="1186" t="s">
        <v>3347</v>
      </c>
      <c r="E1319" s="923" t="s">
        <v>2021</v>
      </c>
      <c r="F1319" s="139">
        <f>SUM(F1313:F1318)</f>
        <v>0</v>
      </c>
      <c r="G1319" s="139">
        <f t="shared" ref="G1319:I1319" si="212">SUM(G1313:G1318)</f>
        <v>0</v>
      </c>
      <c r="H1319" s="139">
        <f t="shared" si="212"/>
        <v>0</v>
      </c>
      <c r="I1319" s="139">
        <f t="shared" si="212"/>
        <v>0</v>
      </c>
      <c r="J1319" s="1204"/>
      <c r="X1319" s="768" t="b">
        <f t="shared" si="208"/>
        <v>1</v>
      </c>
    </row>
    <row r="1320" outlineLevel="2" spans="2:24">
      <c r="B1320" s="1162" t="s">
        <v>3310</v>
      </c>
      <c r="C1320" s="693" t="str">
        <f t="shared" si="204"/>
        <v>深圳新阳蓝光能源管理科技股份有限公司</v>
      </c>
      <c r="D1320" s="1186" t="s">
        <v>3347</v>
      </c>
      <c r="E1320" s="153"/>
      <c r="F1320" s="1007">
        <f>ROUND(F1319-J1274,2)</f>
        <v>0</v>
      </c>
      <c r="G1320" s="145"/>
      <c r="H1320" s="145"/>
      <c r="I1320" s="1007">
        <f>ROUND(I1319-G1274,2)</f>
        <v>0</v>
      </c>
      <c r="X1320" s="768" t="b">
        <f t="shared" si="208"/>
        <v>1</v>
      </c>
    </row>
    <row r="1321" outlineLevel="2" spans="1:24">
      <c r="A1321" s="152" t="s">
        <v>3348</v>
      </c>
      <c r="B1321" s="1162" t="s">
        <v>3310</v>
      </c>
      <c r="C1321" s="693" t="str">
        <f t="shared" si="204"/>
        <v>深圳新阳蓝光能源管理科技股份有限公司</v>
      </c>
      <c r="D1321" s="1186" t="s">
        <v>3349</v>
      </c>
      <c r="E1321" s="153" t="s">
        <v>3350</v>
      </c>
      <c r="F1321" s="145"/>
      <c r="G1321" s="145"/>
      <c r="H1321" s="145"/>
      <c r="I1321" s="145"/>
      <c r="X1321" s="768" t="b">
        <f t="shared" si="208"/>
        <v>1</v>
      </c>
    </row>
    <row r="1322" outlineLevel="2" spans="1:24">
      <c r="A1322" s="152" t="s">
        <v>61</v>
      </c>
      <c r="B1322" s="1162" t="s">
        <v>3310</v>
      </c>
      <c r="C1322" s="693" t="str">
        <f t="shared" si="204"/>
        <v>深圳新阳蓝光能源管理科技股份有限公司</v>
      </c>
      <c r="D1322" s="1186" t="s">
        <v>3349</v>
      </c>
      <c r="E1322" s="132" t="s">
        <v>61</v>
      </c>
      <c r="F1322" s="132" t="s">
        <v>3322</v>
      </c>
      <c r="G1322" s="132" t="s">
        <v>354</v>
      </c>
      <c r="H1322" s="145"/>
      <c r="I1322" s="145"/>
      <c r="X1322" s="768" t="b">
        <f t="shared" si="208"/>
        <v>1</v>
      </c>
    </row>
    <row r="1323" outlineLevel="2" spans="2:24">
      <c r="B1323" s="1162" t="s">
        <v>3310</v>
      </c>
      <c r="C1323" s="693" t="str">
        <f t="shared" si="204"/>
        <v>深圳新阳蓝光能源管理科技股份有限公司</v>
      </c>
      <c r="D1323" s="1186" t="s">
        <v>3351</v>
      </c>
      <c r="E1323" s="753"/>
      <c r="F1323" s="136"/>
      <c r="G1323" s="136"/>
      <c r="H1323" s="145"/>
      <c r="I1323" s="145"/>
      <c r="X1323" s="768" t="b">
        <f t="shared" si="208"/>
        <v>1</v>
      </c>
    </row>
    <row r="1324" outlineLevel="2" spans="2:24">
      <c r="B1324" s="1162" t="s">
        <v>3310</v>
      </c>
      <c r="C1324" s="693" t="str">
        <f t="shared" si="204"/>
        <v>深圳新阳蓝光能源管理科技股份有限公司</v>
      </c>
      <c r="D1324" s="1186" t="s">
        <v>3351</v>
      </c>
      <c r="E1324" s="753"/>
      <c r="F1324" s="136"/>
      <c r="G1324" s="136"/>
      <c r="H1324" s="145"/>
      <c r="I1324" s="145"/>
      <c r="X1324" s="768" t="b">
        <f t="shared" si="208"/>
        <v>1</v>
      </c>
    </row>
    <row r="1325" outlineLevel="2" spans="2:24">
      <c r="B1325" s="1162" t="s">
        <v>3310</v>
      </c>
      <c r="C1325" s="693" t="str">
        <f t="shared" si="204"/>
        <v>深圳新阳蓝光能源管理科技股份有限公司</v>
      </c>
      <c r="D1325" s="1186" t="s">
        <v>3351</v>
      </c>
      <c r="E1325" s="753"/>
      <c r="F1325" s="136"/>
      <c r="G1325" s="136"/>
      <c r="H1325" s="145"/>
      <c r="I1325" s="145"/>
      <c r="X1325" s="768" t="b">
        <f t="shared" si="208"/>
        <v>1</v>
      </c>
    </row>
    <row r="1326" outlineLevel="2" spans="2:24">
      <c r="B1326" s="1162" t="s">
        <v>3310</v>
      </c>
      <c r="C1326" s="693" t="str">
        <f t="shared" si="204"/>
        <v>深圳新阳蓝光能源管理科技股份有限公司</v>
      </c>
      <c r="D1326" s="1186" t="s">
        <v>3351</v>
      </c>
      <c r="E1326" s="753"/>
      <c r="F1326" s="136"/>
      <c r="G1326" s="136"/>
      <c r="H1326" s="145"/>
      <c r="I1326" s="145"/>
      <c r="X1326" s="768" t="b">
        <f t="shared" si="208"/>
        <v>1</v>
      </c>
    </row>
    <row r="1327" outlineLevel="2" spans="2:24">
      <c r="B1327" s="1162" t="s">
        <v>3310</v>
      </c>
      <c r="C1327" s="693" t="str">
        <f t="shared" si="204"/>
        <v>深圳新阳蓝光能源管理科技股份有限公司</v>
      </c>
      <c r="D1327" s="1186" t="s">
        <v>3351</v>
      </c>
      <c r="E1327" s="753"/>
      <c r="F1327" s="136"/>
      <c r="G1327" s="136"/>
      <c r="H1327" s="145"/>
      <c r="I1327" s="145"/>
      <c r="X1327" s="768" t="b">
        <f t="shared" si="208"/>
        <v>1</v>
      </c>
    </row>
    <row r="1328" outlineLevel="2" spans="2:24">
      <c r="B1328" s="1162" t="s">
        <v>3310</v>
      </c>
      <c r="C1328" s="693" t="str">
        <f t="shared" si="204"/>
        <v>深圳新阳蓝光能源管理科技股份有限公司</v>
      </c>
      <c r="D1328" s="1186" t="s">
        <v>3351</v>
      </c>
      <c r="E1328" s="753"/>
      <c r="F1328" s="136"/>
      <c r="G1328" s="136"/>
      <c r="H1328" s="145"/>
      <c r="I1328" s="145"/>
      <c r="X1328" s="768" t="b">
        <f t="shared" si="208"/>
        <v>1</v>
      </c>
    </row>
    <row r="1329" outlineLevel="2" spans="2:24">
      <c r="B1329" s="1162" t="s">
        <v>3310</v>
      </c>
      <c r="C1329" s="693" t="str">
        <f t="shared" si="204"/>
        <v>深圳新阳蓝光能源管理科技股份有限公司</v>
      </c>
      <c r="D1329" s="1186" t="s">
        <v>3351</v>
      </c>
      <c r="E1329" s="753"/>
      <c r="F1329" s="136"/>
      <c r="G1329" s="136"/>
      <c r="H1329" s="145"/>
      <c r="I1329" s="145"/>
      <c r="X1329" s="768" t="b">
        <f t="shared" si="208"/>
        <v>1</v>
      </c>
    </row>
    <row r="1330" outlineLevel="2" spans="2:24">
      <c r="B1330" s="1162" t="s">
        <v>3310</v>
      </c>
      <c r="C1330" s="693" t="str">
        <f t="shared" si="204"/>
        <v>深圳新阳蓝光能源管理科技股份有限公司</v>
      </c>
      <c r="D1330" s="1186" t="s">
        <v>3351</v>
      </c>
      <c r="E1330" s="153"/>
      <c r="F1330" s="145"/>
      <c r="G1330" s="145"/>
      <c r="H1330" s="145"/>
      <c r="I1330" s="145"/>
      <c r="X1330" s="768" t="b">
        <f t="shared" si="208"/>
        <v>1</v>
      </c>
    </row>
    <row r="1331" outlineLevel="2" spans="2:24">
      <c r="B1331" s="1162" t="s">
        <v>3310</v>
      </c>
      <c r="C1331" s="693" t="str">
        <f t="shared" si="204"/>
        <v>深圳新阳蓝光能源管理科技股份有限公司</v>
      </c>
      <c r="D1331" s="1163"/>
      <c r="E1331" s="153"/>
      <c r="F1331" s="145"/>
      <c r="G1331" s="145"/>
      <c r="H1331" s="145"/>
      <c r="I1331" s="145"/>
      <c r="X1331" s="768" t="b">
        <f t="shared" si="208"/>
        <v>1</v>
      </c>
    </row>
    <row r="1332" outlineLevel="2" spans="1:24">
      <c r="A1332" s="152" t="s">
        <v>2809</v>
      </c>
      <c r="B1332" s="1162" t="s">
        <v>3310</v>
      </c>
      <c r="C1332" s="693" t="str">
        <f t="shared" si="204"/>
        <v>深圳新阳蓝光能源管理科技股份有限公司</v>
      </c>
      <c r="D1332" s="1163"/>
      <c r="E1332" s="153" t="s">
        <v>2829</v>
      </c>
      <c r="F1332" s="1005"/>
      <c r="G1332" s="1005"/>
      <c r="H1332" s="1005"/>
      <c r="I1332" s="145"/>
      <c r="X1332" s="768" t="b">
        <f t="shared" si="208"/>
        <v>1</v>
      </c>
    </row>
    <row r="1333" outlineLevel="2" spans="2:24">
      <c r="B1333" s="1162" t="s">
        <v>3310</v>
      </c>
      <c r="C1333" s="693" t="str">
        <f t="shared" si="204"/>
        <v>深圳新阳蓝光能源管理科技股份有限公司</v>
      </c>
      <c r="D1333" s="1163"/>
      <c r="E1333" s="153"/>
      <c r="F1333" s="145"/>
      <c r="G1333" s="145"/>
      <c r="H1333" s="145"/>
      <c r="I1333" s="145"/>
      <c r="X1333" s="768" t="b">
        <f t="shared" si="208"/>
        <v>1</v>
      </c>
    </row>
    <row r="1334" collapsed="1" spans="1:24">
      <c r="A1334" s="152" t="s">
        <v>3352</v>
      </c>
      <c r="B1334" s="1162" t="s">
        <v>3353</v>
      </c>
      <c r="C1334" s="693" t="str">
        <f t="shared" si="204"/>
        <v>深圳新阳蓝光能源管理科技股份有限公司</v>
      </c>
      <c r="D1334" s="1186" t="s">
        <v>3354</v>
      </c>
      <c r="E1334" s="70" t="s">
        <v>3355</v>
      </c>
      <c r="F1334" s="1191" t="s">
        <v>3163</v>
      </c>
      <c r="G1334" s="145"/>
      <c r="H1334" s="145"/>
      <c r="I1334" s="145"/>
      <c r="X1334" s="768" t="b">
        <f t="shared" si="208"/>
        <v>1</v>
      </c>
    </row>
    <row r="1335" hidden="1" outlineLevel="2" spans="1:24">
      <c r="A1335" s="152" t="s">
        <v>3356</v>
      </c>
      <c r="B1335" s="1162" t="s">
        <v>3353</v>
      </c>
      <c r="C1335" s="693" t="str">
        <f t="shared" si="204"/>
        <v>深圳新阳蓝光能源管理科技股份有限公司</v>
      </c>
      <c r="D1335" s="1195" t="s">
        <v>3354</v>
      </c>
      <c r="E1335" s="1196" t="s">
        <v>3357</v>
      </c>
      <c r="F1335" s="1197"/>
      <c r="G1335" s="1197"/>
      <c r="H1335" s="145"/>
      <c r="I1335" s="145"/>
      <c r="X1335" s="768" t="b">
        <f t="shared" si="208"/>
        <v>1</v>
      </c>
    </row>
    <row r="1336" hidden="1" outlineLevel="2" spans="1:24">
      <c r="A1336" s="152" t="s">
        <v>852</v>
      </c>
      <c r="B1336" s="1162" t="s">
        <v>3353</v>
      </c>
      <c r="C1336" s="693" t="str">
        <f t="shared" si="204"/>
        <v>深圳新阳蓝光能源管理科技股份有限公司</v>
      </c>
      <c r="D1336" s="1186" t="s">
        <v>3358</v>
      </c>
      <c r="E1336" s="1198" t="s">
        <v>852</v>
      </c>
      <c r="F1336" s="1198" t="s">
        <v>671</v>
      </c>
      <c r="G1336" s="1198" t="s">
        <v>672</v>
      </c>
      <c r="H1336" s="1198" t="s">
        <v>673</v>
      </c>
      <c r="I1336" s="1198" t="s">
        <v>516</v>
      </c>
      <c r="J1336" s="145"/>
      <c r="K1336" s="145"/>
      <c r="X1336" s="768" t="b">
        <f t="shared" si="208"/>
        <v>1</v>
      </c>
    </row>
    <row r="1337" hidden="1" outlineLevel="2" spans="2:24">
      <c r="B1337" s="1162" t="s">
        <v>3353</v>
      </c>
      <c r="C1337" s="693" t="str">
        <f t="shared" si="204"/>
        <v>深圳新阳蓝光能源管理科技股份有限公司</v>
      </c>
      <c r="D1337" s="1195" t="s">
        <v>3358</v>
      </c>
      <c r="E1337" s="1199" t="s">
        <v>3359</v>
      </c>
      <c r="F1337" s="1200"/>
      <c r="G1337" s="1200"/>
      <c r="H1337" s="1200"/>
      <c r="I1337" s="1200"/>
      <c r="J1337" s="145"/>
      <c r="K1337" s="145"/>
      <c r="X1337" s="768" t="b">
        <f t="shared" si="208"/>
        <v>0</v>
      </c>
    </row>
    <row r="1338" hidden="1" outlineLevel="2" spans="2:24">
      <c r="B1338" s="1162" t="s">
        <v>3353</v>
      </c>
      <c r="C1338" s="693" t="str">
        <f t="shared" si="204"/>
        <v>深圳新阳蓝光能源管理科技股份有限公司</v>
      </c>
      <c r="D1338" s="1186" t="s">
        <v>3358</v>
      </c>
      <c r="E1338" s="1199" t="s">
        <v>3360</v>
      </c>
      <c r="F1338" s="1200"/>
      <c r="G1338" s="1200"/>
      <c r="H1338" s="1200"/>
      <c r="I1338" s="1200"/>
      <c r="J1338" s="145"/>
      <c r="K1338" s="145"/>
      <c r="X1338" s="768" t="b">
        <f t="shared" si="208"/>
        <v>0</v>
      </c>
    </row>
    <row r="1339" hidden="1" outlineLevel="2" spans="2:24">
      <c r="B1339" s="1162" t="s">
        <v>3353</v>
      </c>
      <c r="C1339" s="693" t="str">
        <f t="shared" si="204"/>
        <v>深圳新阳蓝光能源管理科技股份有限公司</v>
      </c>
      <c r="D1339" s="1195" t="s">
        <v>3358</v>
      </c>
      <c r="E1339" s="1200"/>
      <c r="F1339" s="1200"/>
      <c r="G1339" s="1200"/>
      <c r="H1339" s="1200"/>
      <c r="I1339" s="1200"/>
      <c r="J1339" s="145"/>
      <c r="K1339" s="145"/>
      <c r="X1339" s="768" t="b">
        <f t="shared" si="208"/>
        <v>1</v>
      </c>
    </row>
    <row r="1340" hidden="1" outlineLevel="2" spans="2:24">
      <c r="B1340" s="1162" t="s">
        <v>3353</v>
      </c>
      <c r="C1340" s="693" t="str">
        <f t="shared" si="204"/>
        <v>深圳新阳蓝光能源管理科技股份有限公司</v>
      </c>
      <c r="D1340" s="1186" t="s">
        <v>3358</v>
      </c>
      <c r="E1340" s="1200"/>
      <c r="F1340" s="1200"/>
      <c r="G1340" s="1200"/>
      <c r="H1340" s="1200"/>
      <c r="I1340" s="1200"/>
      <c r="J1340" s="145"/>
      <c r="K1340" s="145"/>
      <c r="X1340" s="768" t="b">
        <f t="shared" si="208"/>
        <v>1</v>
      </c>
    </row>
    <row r="1341" hidden="1" outlineLevel="2" spans="2:24">
      <c r="B1341" s="1162" t="s">
        <v>3353</v>
      </c>
      <c r="C1341" s="693" t="str">
        <f t="shared" si="204"/>
        <v>深圳新阳蓝光能源管理科技股份有限公司</v>
      </c>
      <c r="D1341" s="1195" t="s">
        <v>3358</v>
      </c>
      <c r="E1341" s="1200"/>
      <c r="F1341" s="1200"/>
      <c r="G1341" s="1200"/>
      <c r="H1341" s="1200"/>
      <c r="I1341" s="1200"/>
      <c r="J1341" s="145"/>
      <c r="K1341" s="145"/>
      <c r="X1341" s="768" t="b">
        <f t="shared" si="208"/>
        <v>1</v>
      </c>
    </row>
    <row r="1342" hidden="1" outlineLevel="2" spans="2:24">
      <c r="B1342" s="1162" t="s">
        <v>3353</v>
      </c>
      <c r="C1342" s="693" t="str">
        <f t="shared" si="204"/>
        <v>深圳新阳蓝光能源管理科技股份有限公司</v>
      </c>
      <c r="D1342" s="1186" t="s">
        <v>3358</v>
      </c>
      <c r="E1342" s="1201"/>
      <c r="F1342" s="1100"/>
      <c r="G1342" s="1100"/>
      <c r="H1342" s="1100"/>
      <c r="I1342" s="1100"/>
      <c r="J1342" s="145"/>
      <c r="K1342" s="145"/>
      <c r="X1342" s="768" t="b">
        <f t="shared" si="208"/>
        <v>1</v>
      </c>
    </row>
    <row r="1343" hidden="1" outlineLevel="2" spans="2:24">
      <c r="B1343" s="1162" t="s">
        <v>3353</v>
      </c>
      <c r="C1343" s="693" t="str">
        <f t="shared" ref="C1343:C1406" si="213">$G$1</f>
        <v>深圳新阳蓝光能源管理科技股份有限公司</v>
      </c>
      <c r="D1343" s="1195" t="s">
        <v>3358</v>
      </c>
      <c r="E1343" s="1201"/>
      <c r="F1343" s="1100"/>
      <c r="G1343" s="1100"/>
      <c r="H1343" s="1100"/>
      <c r="I1343" s="1100"/>
      <c r="J1343" s="145"/>
      <c r="K1343" s="145"/>
      <c r="X1343" s="768" t="b">
        <f t="shared" si="208"/>
        <v>1</v>
      </c>
    </row>
    <row r="1344" hidden="1" outlineLevel="2" spans="1:24">
      <c r="A1344" s="152" t="s">
        <v>2021</v>
      </c>
      <c r="B1344" s="1162" t="s">
        <v>3353</v>
      </c>
      <c r="C1344" s="693" t="str">
        <f t="shared" si="213"/>
        <v>深圳新阳蓝光能源管理科技股份有限公司</v>
      </c>
      <c r="D1344" s="1186" t="s">
        <v>3358</v>
      </c>
      <c r="E1344" s="1198" t="s">
        <v>2021</v>
      </c>
      <c r="F1344" s="1023">
        <f>SUM(F1337:F1343)</f>
        <v>0</v>
      </c>
      <c r="G1344" s="1202"/>
      <c r="H1344" s="1202"/>
      <c r="I1344" s="1023">
        <f>SUM(I1337:I1343)</f>
        <v>0</v>
      </c>
      <c r="J1344" s="145"/>
      <c r="K1344" s="145"/>
      <c r="X1344" s="768" t="b">
        <f t="shared" si="208"/>
        <v>1</v>
      </c>
    </row>
    <row r="1345" hidden="1" outlineLevel="2" spans="1:24">
      <c r="A1345" s="152" t="s">
        <v>1723</v>
      </c>
      <c r="B1345" s="1162" t="s">
        <v>3353</v>
      </c>
      <c r="C1345" s="693" t="str">
        <f t="shared" si="213"/>
        <v>深圳新阳蓝光能源管理科技股份有限公司</v>
      </c>
      <c r="D1345" s="1195" t="s">
        <v>3358</v>
      </c>
      <c r="E1345" s="1113" t="s">
        <v>1723</v>
      </c>
      <c r="F1345" s="817">
        <f>审定资负表!D29</f>
        <v>0</v>
      </c>
      <c r="G1345" s="145"/>
      <c r="H1345" s="145"/>
      <c r="I1345" s="817">
        <f>审定资负表!C29</f>
        <v>0</v>
      </c>
      <c r="J1345" s="145"/>
      <c r="K1345" s="145"/>
      <c r="X1345" s="768" t="b">
        <f t="shared" si="208"/>
        <v>1</v>
      </c>
    </row>
    <row r="1346" hidden="1" outlineLevel="1" spans="1:24">
      <c r="A1346" s="152" t="s">
        <v>1395</v>
      </c>
      <c r="B1346" s="1162" t="s">
        <v>3353</v>
      </c>
      <c r="C1346" s="693" t="str">
        <f t="shared" si="213"/>
        <v>深圳新阳蓝光能源管理科技股份有限公司</v>
      </c>
      <c r="D1346" s="1186" t="s">
        <v>3358</v>
      </c>
      <c r="E1346" s="1115" t="s">
        <v>1395</v>
      </c>
      <c r="F1346" s="92">
        <f>ROUND(F1344-F1345,2)</f>
        <v>0</v>
      </c>
      <c r="G1346" s="145"/>
      <c r="H1346" s="145"/>
      <c r="I1346" s="92">
        <f>ROUND(I1344-I1345,2)</f>
        <v>0</v>
      </c>
      <c r="J1346" s="145"/>
      <c r="K1346" s="145"/>
      <c r="X1346" s="768" t="b">
        <f t="shared" si="208"/>
        <v>1</v>
      </c>
    </row>
    <row r="1347" hidden="1" outlineLevel="2" spans="2:24">
      <c r="B1347" s="1162" t="s">
        <v>3353</v>
      </c>
      <c r="C1347" s="693" t="str">
        <f t="shared" si="213"/>
        <v>深圳新阳蓝光能源管理科技股份有限公司</v>
      </c>
      <c r="D1347" s="1195" t="s">
        <v>3358</v>
      </c>
      <c r="E1347" s="153"/>
      <c r="F1347" s="145"/>
      <c r="G1347" s="145"/>
      <c r="H1347" s="145"/>
      <c r="I1347" s="145"/>
      <c r="X1347" s="768" t="b">
        <f t="shared" si="208"/>
        <v>1</v>
      </c>
    </row>
    <row r="1348" hidden="1" outlineLevel="2" spans="2:24">
      <c r="B1348" s="1162" t="s">
        <v>3353</v>
      </c>
      <c r="C1348" s="693" t="str">
        <f t="shared" si="213"/>
        <v>深圳新阳蓝光能源管理科技股份有限公司</v>
      </c>
      <c r="D1348" s="1163"/>
      <c r="E1348" s="751"/>
      <c r="F1348" s="145"/>
      <c r="G1348" s="145"/>
      <c r="H1348" s="145"/>
      <c r="I1348" s="145"/>
      <c r="X1348" s="768" t="b">
        <f t="shared" si="208"/>
        <v>1</v>
      </c>
    </row>
    <row r="1349" hidden="1" outlineLevel="2" spans="1:24">
      <c r="A1349" s="152" t="s">
        <v>2809</v>
      </c>
      <c r="B1349" s="1162" t="s">
        <v>3353</v>
      </c>
      <c r="C1349" s="693" t="str">
        <f t="shared" si="213"/>
        <v>深圳新阳蓝光能源管理科技股份有限公司</v>
      </c>
      <c r="D1349" s="1163"/>
      <c r="E1349" s="751" t="s">
        <v>2829</v>
      </c>
      <c r="F1349" s="1005"/>
      <c r="G1349" s="1005"/>
      <c r="H1349" s="1005"/>
      <c r="I1349" s="145"/>
      <c r="X1349" s="768" t="b">
        <f t="shared" si="208"/>
        <v>1</v>
      </c>
    </row>
    <row r="1350" hidden="1" outlineLevel="2" spans="2:24">
      <c r="B1350" s="1162" t="s">
        <v>3353</v>
      </c>
      <c r="C1350" s="693" t="str">
        <f t="shared" si="213"/>
        <v>深圳新阳蓝光能源管理科技股份有限公司</v>
      </c>
      <c r="D1350" s="1163"/>
      <c r="E1350" s="153"/>
      <c r="F1350" s="145"/>
      <c r="G1350" s="145"/>
      <c r="H1350" s="145"/>
      <c r="I1350" s="145"/>
      <c r="X1350" s="768" t="b">
        <f t="shared" si="208"/>
        <v>1</v>
      </c>
    </row>
    <row r="1351" spans="1:24">
      <c r="A1351" s="152" t="s">
        <v>3361</v>
      </c>
      <c r="B1351" s="1207" t="s">
        <v>3362</v>
      </c>
      <c r="C1351" s="693" t="str">
        <f t="shared" si="213"/>
        <v>深圳新阳蓝光能源管理科技股份有限公司</v>
      </c>
      <c r="D1351" s="1186" t="s">
        <v>3363</v>
      </c>
      <c r="E1351" s="1208" t="s">
        <v>3364</v>
      </c>
      <c r="F1351" s="145"/>
      <c r="G1351" s="145"/>
      <c r="H1351" s="145"/>
      <c r="I1351" s="145"/>
      <c r="X1351" s="768" t="b">
        <f t="shared" si="208"/>
        <v>1</v>
      </c>
    </row>
    <row r="1352" outlineLevel="2" spans="1:24">
      <c r="A1352" s="152" t="s">
        <v>3365</v>
      </c>
      <c r="B1352" s="1207" t="s">
        <v>3362</v>
      </c>
      <c r="C1352" s="693" t="str">
        <f t="shared" si="213"/>
        <v>深圳新阳蓝光能源管理科技股份有限公司</v>
      </c>
      <c r="D1352" s="1186" t="s">
        <v>3363</v>
      </c>
      <c r="E1352" s="153" t="s">
        <v>3366</v>
      </c>
      <c r="F1352" s="145"/>
      <c r="G1352" s="145"/>
      <c r="H1352" s="145"/>
      <c r="I1352" s="145"/>
      <c r="X1352" s="768" t="b">
        <f t="shared" si="208"/>
        <v>1</v>
      </c>
    </row>
    <row r="1353" outlineLevel="2" spans="1:24">
      <c r="A1353" s="152" t="s">
        <v>61</v>
      </c>
      <c r="B1353" s="1207" t="s">
        <v>3362</v>
      </c>
      <c r="C1353" s="693" t="str">
        <f t="shared" si="213"/>
        <v>深圳新阳蓝光能源管理科技股份有限公司</v>
      </c>
      <c r="D1353" s="1186" t="s">
        <v>3367</v>
      </c>
      <c r="E1353" s="851" t="s">
        <v>61</v>
      </c>
      <c r="F1353" s="851" t="s">
        <v>671</v>
      </c>
      <c r="G1353" s="851" t="s">
        <v>516</v>
      </c>
      <c r="H1353" s="851" t="s">
        <v>833</v>
      </c>
      <c r="I1353" s="145"/>
      <c r="X1353" s="768" t="b">
        <f t="shared" si="208"/>
        <v>1</v>
      </c>
    </row>
    <row r="1354" outlineLevel="2" spans="2:24">
      <c r="B1354" s="1207" t="s">
        <v>3362</v>
      </c>
      <c r="C1354" s="693" t="str">
        <f t="shared" si="213"/>
        <v>深圳新阳蓝光能源管理科技股份有限公司</v>
      </c>
      <c r="D1354" s="1186" t="s">
        <v>3367</v>
      </c>
      <c r="E1354" s="918"/>
      <c r="F1354" s="136"/>
      <c r="G1354" s="136"/>
      <c r="H1354" s="136"/>
      <c r="I1354" s="145"/>
      <c r="X1354" s="768" t="b">
        <f t="shared" si="208"/>
        <v>1</v>
      </c>
    </row>
    <row r="1355" outlineLevel="2" spans="2:24">
      <c r="B1355" s="1207" t="s">
        <v>3362</v>
      </c>
      <c r="C1355" s="693" t="str">
        <f t="shared" si="213"/>
        <v>深圳新阳蓝光能源管理科技股份有限公司</v>
      </c>
      <c r="D1355" s="1186" t="s">
        <v>3367</v>
      </c>
      <c r="E1355" s="918"/>
      <c r="F1355" s="136"/>
      <c r="G1355" s="136"/>
      <c r="H1355" s="136"/>
      <c r="I1355" s="145"/>
      <c r="X1355" s="768" t="b">
        <f t="shared" si="208"/>
        <v>1</v>
      </c>
    </row>
    <row r="1356" outlineLevel="2" spans="2:24">
      <c r="B1356" s="1207" t="s">
        <v>3362</v>
      </c>
      <c r="C1356" s="693" t="str">
        <f t="shared" si="213"/>
        <v>深圳新阳蓝光能源管理科技股份有限公司</v>
      </c>
      <c r="D1356" s="1186" t="s">
        <v>3367</v>
      </c>
      <c r="E1356" s="918"/>
      <c r="F1356" s="136"/>
      <c r="G1356" s="136"/>
      <c r="H1356" s="136"/>
      <c r="I1356" s="145"/>
      <c r="X1356" s="768" t="b">
        <f t="shared" si="208"/>
        <v>1</v>
      </c>
    </row>
    <row r="1357" outlineLevel="2" spans="2:24">
      <c r="B1357" s="1207" t="s">
        <v>3362</v>
      </c>
      <c r="C1357" s="693" t="str">
        <f t="shared" si="213"/>
        <v>深圳新阳蓝光能源管理科技股份有限公司</v>
      </c>
      <c r="D1357" s="1186" t="s">
        <v>3367</v>
      </c>
      <c r="E1357" s="918"/>
      <c r="F1357" s="136"/>
      <c r="G1357" s="136"/>
      <c r="H1357" s="136"/>
      <c r="I1357" s="145"/>
      <c r="X1357" s="768" t="b">
        <f t="shared" si="208"/>
        <v>1</v>
      </c>
    </row>
    <row r="1358" outlineLevel="2" spans="2:24">
      <c r="B1358" s="1207" t="s">
        <v>3362</v>
      </c>
      <c r="C1358" s="693" t="str">
        <f t="shared" si="213"/>
        <v>深圳新阳蓝光能源管理科技股份有限公司</v>
      </c>
      <c r="D1358" s="1186" t="s">
        <v>3367</v>
      </c>
      <c r="E1358" s="918"/>
      <c r="F1358" s="136"/>
      <c r="G1358" s="136"/>
      <c r="H1358" s="136"/>
      <c r="I1358" s="145"/>
      <c r="X1358" s="768" t="b">
        <f t="shared" si="208"/>
        <v>1</v>
      </c>
    </row>
    <row r="1359" outlineLevel="2" spans="2:24">
      <c r="B1359" s="1207" t="s">
        <v>3362</v>
      </c>
      <c r="C1359" s="693" t="str">
        <f t="shared" si="213"/>
        <v>深圳新阳蓝光能源管理科技股份有限公司</v>
      </c>
      <c r="D1359" s="1186" t="s">
        <v>3367</v>
      </c>
      <c r="E1359" s="918"/>
      <c r="F1359" s="136"/>
      <c r="G1359" s="136"/>
      <c r="H1359" s="136"/>
      <c r="I1359" s="145"/>
      <c r="X1359" s="768" t="b">
        <f t="shared" si="208"/>
        <v>1</v>
      </c>
    </row>
    <row r="1360" outlineLevel="2" spans="1:24">
      <c r="A1360" s="152" t="s">
        <v>2021</v>
      </c>
      <c r="B1360" s="1207" t="s">
        <v>3362</v>
      </c>
      <c r="C1360" s="693" t="str">
        <f t="shared" si="213"/>
        <v>深圳新阳蓝光能源管理科技股份有限公司</v>
      </c>
      <c r="D1360" s="1186" t="s">
        <v>3367</v>
      </c>
      <c r="E1360" s="1209" t="s">
        <v>2021</v>
      </c>
      <c r="F1360" s="139">
        <f>SUM(F1354:F1359)</f>
        <v>0</v>
      </c>
      <c r="G1360" s="139">
        <f>SUM(G1354:G1359)</f>
        <v>0</v>
      </c>
      <c r="H1360" s="157"/>
      <c r="I1360" s="145"/>
      <c r="X1360" s="768" t="b">
        <f t="shared" si="208"/>
        <v>1</v>
      </c>
    </row>
    <row r="1361" outlineLevel="2" spans="2:24">
      <c r="B1361" s="1207" t="s">
        <v>3362</v>
      </c>
      <c r="C1361" s="693" t="str">
        <f t="shared" si="213"/>
        <v>深圳新阳蓝光能源管理科技股份有限公司</v>
      </c>
      <c r="D1361" s="1186" t="s">
        <v>3367</v>
      </c>
      <c r="E1361" s="1079" t="s">
        <v>1723</v>
      </c>
      <c r="F1361" s="817">
        <f>审定资负表!D30</f>
        <v>0</v>
      </c>
      <c r="G1361" s="817">
        <f>审定资负表!C30</f>
        <v>0</v>
      </c>
      <c r="H1361" s="145"/>
      <c r="I1361" s="145"/>
      <c r="X1361" s="768" t="b">
        <f t="shared" si="208"/>
        <v>0</v>
      </c>
    </row>
    <row r="1362" outlineLevel="2" spans="1:24">
      <c r="A1362" s="152" t="s">
        <v>3368</v>
      </c>
      <c r="B1362" s="1207" t="s">
        <v>3362</v>
      </c>
      <c r="C1362" s="693" t="str">
        <f t="shared" si="213"/>
        <v>深圳新阳蓝光能源管理科技股份有限公司</v>
      </c>
      <c r="D1362" s="1163" t="s">
        <v>3368</v>
      </c>
      <c r="E1362" s="153" t="s">
        <v>3369</v>
      </c>
      <c r="F1362" s="92">
        <f>ROUND(F1360-F1361,2)</f>
        <v>0</v>
      </c>
      <c r="G1362" s="92">
        <f>ROUND(G1360-G1361,2)</f>
        <v>0</v>
      </c>
      <c r="H1362" s="145"/>
      <c r="I1362" s="145"/>
      <c r="X1362" s="768" t="b">
        <f t="shared" si="208"/>
        <v>1</v>
      </c>
    </row>
    <row r="1363" outlineLevel="2" spans="1:24">
      <c r="A1363" s="152" t="s">
        <v>2809</v>
      </c>
      <c r="B1363" s="1207" t="s">
        <v>3362</v>
      </c>
      <c r="C1363" s="693" t="str">
        <f t="shared" si="213"/>
        <v>深圳新阳蓝光能源管理科技股份有限公司</v>
      </c>
      <c r="D1363" s="1163" t="s">
        <v>3368</v>
      </c>
      <c r="E1363" s="932" t="s">
        <v>2829</v>
      </c>
      <c r="F1363" s="1005"/>
      <c r="G1363" s="1005"/>
      <c r="H1363" s="1005"/>
      <c r="I1363" s="145"/>
      <c r="X1363" s="768" t="b">
        <f t="shared" si="208"/>
        <v>1</v>
      </c>
    </row>
    <row r="1364" outlineLevel="2" spans="2:24">
      <c r="B1364" s="1207" t="s">
        <v>3362</v>
      </c>
      <c r="C1364" s="693" t="str">
        <f t="shared" si="213"/>
        <v>深圳新阳蓝光能源管理科技股份有限公司</v>
      </c>
      <c r="D1364" s="1163" t="s">
        <v>3368</v>
      </c>
      <c r="E1364" s="153"/>
      <c r="F1364" s="145"/>
      <c r="G1364" s="145"/>
      <c r="H1364" s="145"/>
      <c r="I1364" s="145"/>
      <c r="X1364" s="768" t="b">
        <f t="shared" si="208"/>
        <v>1</v>
      </c>
    </row>
    <row r="1365" ht="12.75" customHeight="1" collapsed="1" spans="1:24">
      <c r="A1365" s="152" t="s">
        <v>2117</v>
      </c>
      <c r="B1365" s="1207" t="s">
        <v>3370</v>
      </c>
      <c r="C1365" s="693" t="str">
        <f t="shared" si="213"/>
        <v>深圳新阳蓝光能源管理科技股份有限公司</v>
      </c>
      <c r="D1365" s="1186" t="s">
        <v>3354</v>
      </c>
      <c r="E1365" s="70" t="s">
        <v>3371</v>
      </c>
      <c r="F1365" s="145"/>
      <c r="G1365" s="145"/>
      <c r="H1365" s="145"/>
      <c r="I1365" s="145"/>
      <c r="X1365" s="768" t="b">
        <f t="shared" si="208"/>
        <v>1</v>
      </c>
    </row>
    <row r="1366" hidden="1" outlineLevel="2" spans="1:24">
      <c r="A1366" s="152" t="s">
        <v>3356</v>
      </c>
      <c r="B1366" s="1207" t="s">
        <v>3370</v>
      </c>
      <c r="C1366" s="693" t="str">
        <f t="shared" si="213"/>
        <v>深圳新阳蓝光能源管理科技股份有限公司</v>
      </c>
      <c r="D1366" s="1210" t="s">
        <v>3354</v>
      </c>
      <c r="E1366" s="153" t="s">
        <v>3357</v>
      </c>
      <c r="F1366" s="145"/>
      <c r="G1366" s="145"/>
      <c r="H1366" s="145"/>
      <c r="I1366" s="145"/>
      <c r="X1366" s="768" t="b">
        <f t="shared" si="208"/>
        <v>1</v>
      </c>
    </row>
    <row r="1367" hidden="1" outlineLevel="2" spans="1:24">
      <c r="A1367" s="152" t="s">
        <v>61</v>
      </c>
      <c r="B1367" s="1207" t="s">
        <v>3370</v>
      </c>
      <c r="C1367" s="693" t="str">
        <f t="shared" si="213"/>
        <v>深圳新阳蓝光能源管理科技股份有限公司</v>
      </c>
      <c r="D1367" s="1186" t="s">
        <v>3358</v>
      </c>
      <c r="E1367" s="1198" t="s">
        <v>61</v>
      </c>
      <c r="F1367" s="1198" t="s">
        <v>671</v>
      </c>
      <c r="G1367" s="1198" t="s">
        <v>672</v>
      </c>
      <c r="H1367" s="1198" t="s">
        <v>673</v>
      </c>
      <c r="I1367" s="1198" t="s">
        <v>516</v>
      </c>
      <c r="X1367" s="768" t="b">
        <f t="shared" si="208"/>
        <v>1</v>
      </c>
    </row>
    <row r="1368" hidden="1" outlineLevel="2" spans="1:24">
      <c r="A1368" s="152" t="s">
        <v>2118</v>
      </c>
      <c r="B1368" s="1207" t="s">
        <v>3370</v>
      </c>
      <c r="C1368" s="693" t="str">
        <f t="shared" si="213"/>
        <v>深圳新阳蓝光能源管理科技股份有限公司</v>
      </c>
      <c r="D1368" s="1210" t="s">
        <v>3358</v>
      </c>
      <c r="E1368" s="1211" t="s">
        <v>3372</v>
      </c>
      <c r="F1368" s="909">
        <f>SUM(F1369:F1372)</f>
        <v>0</v>
      </c>
      <c r="G1368" s="909">
        <f t="shared" ref="G1368:I1368" si="214">SUM(G1369:G1372)</f>
        <v>0</v>
      </c>
      <c r="H1368" s="909">
        <f t="shared" si="214"/>
        <v>0</v>
      </c>
      <c r="I1368" s="909">
        <f t="shared" si="214"/>
        <v>0</v>
      </c>
      <c r="X1368" s="768" t="b">
        <f t="shared" si="208"/>
        <v>1</v>
      </c>
    </row>
    <row r="1369" hidden="1" outlineLevel="2" spans="1:24">
      <c r="A1369" s="152" t="s">
        <v>2119</v>
      </c>
      <c r="B1369" s="1207" t="s">
        <v>3370</v>
      </c>
      <c r="C1369" s="693" t="str">
        <f t="shared" si="213"/>
        <v>深圳新阳蓝光能源管理科技股份有限公司</v>
      </c>
      <c r="D1369" s="1186" t="s">
        <v>3358</v>
      </c>
      <c r="E1369" s="1211" t="s">
        <v>2119</v>
      </c>
      <c r="F1369" s="1212">
        <f>报表附注合并期初用!E884</f>
        <v>0</v>
      </c>
      <c r="G1369" s="1021"/>
      <c r="H1369" s="1021"/>
      <c r="I1369" s="909">
        <f>F1369+G1369-H1369</f>
        <v>0</v>
      </c>
      <c r="X1369" s="768" t="b">
        <f t="shared" si="208"/>
        <v>1</v>
      </c>
    </row>
    <row r="1370" hidden="1" outlineLevel="2" spans="1:24">
      <c r="A1370" s="152" t="s">
        <v>863</v>
      </c>
      <c r="B1370" s="1207" t="s">
        <v>3370</v>
      </c>
      <c r="C1370" s="693" t="str">
        <f t="shared" si="213"/>
        <v>深圳新阳蓝光能源管理科技股份有限公司</v>
      </c>
      <c r="D1370" s="1210" t="s">
        <v>3358</v>
      </c>
      <c r="E1370" s="1211" t="s">
        <v>863</v>
      </c>
      <c r="F1370" s="1212">
        <f>报表附注合并期初用!E885</f>
        <v>0</v>
      </c>
      <c r="G1370" s="1021"/>
      <c r="H1370" s="1021"/>
      <c r="I1370" s="909">
        <f t="shared" ref="I1370:I1372" si="215">F1370+G1370-H1370</f>
        <v>0</v>
      </c>
      <c r="X1370" s="768" t="b">
        <f t="shared" ref="X1370:X1438" si="216">EXACT(A1370,E1370)</f>
        <v>1</v>
      </c>
    </row>
    <row r="1371" hidden="1" outlineLevel="2" spans="1:24">
      <c r="A1371" s="152" t="s">
        <v>865</v>
      </c>
      <c r="B1371" s="1207" t="s">
        <v>3370</v>
      </c>
      <c r="C1371" s="693" t="str">
        <f t="shared" si="213"/>
        <v>深圳新阳蓝光能源管理科技股份有限公司</v>
      </c>
      <c r="D1371" s="1186" t="s">
        <v>3358</v>
      </c>
      <c r="E1371" s="1211" t="s">
        <v>865</v>
      </c>
      <c r="F1371" s="1212">
        <f>报表附注合并期初用!E886</f>
        <v>0</v>
      </c>
      <c r="G1371" s="1021"/>
      <c r="H1371" s="1021"/>
      <c r="I1371" s="909">
        <f t="shared" si="215"/>
        <v>0</v>
      </c>
      <c r="X1371" s="768" t="b">
        <f t="shared" si="216"/>
        <v>1</v>
      </c>
    </row>
    <row r="1372" hidden="1" outlineLevel="2" spans="1:24">
      <c r="A1372" s="152" t="s">
        <v>2120</v>
      </c>
      <c r="B1372" s="1207" t="s">
        <v>3370</v>
      </c>
      <c r="C1372" s="693" t="str">
        <f t="shared" si="213"/>
        <v>深圳新阳蓝光能源管理科技股份有限公司</v>
      </c>
      <c r="D1372" s="1210" t="s">
        <v>3358</v>
      </c>
      <c r="E1372" s="1211" t="s">
        <v>3373</v>
      </c>
      <c r="F1372" s="1212">
        <f>报表附注合并期初用!E887</f>
        <v>0</v>
      </c>
      <c r="G1372" s="1021"/>
      <c r="H1372" s="1021"/>
      <c r="I1372" s="909">
        <f t="shared" si="215"/>
        <v>0</v>
      </c>
      <c r="X1372" s="768" t="b">
        <f t="shared" si="216"/>
        <v>1</v>
      </c>
    </row>
    <row r="1373" hidden="1" outlineLevel="2" spans="1:24">
      <c r="A1373" s="152" t="s">
        <v>760</v>
      </c>
      <c r="B1373" s="1207" t="s">
        <v>3370</v>
      </c>
      <c r="C1373" s="693" t="str">
        <f t="shared" si="213"/>
        <v>深圳新阳蓝光能源管理科技股份有限公司</v>
      </c>
      <c r="D1373" s="1186" t="s">
        <v>3358</v>
      </c>
      <c r="E1373" s="1211" t="s">
        <v>760</v>
      </c>
      <c r="F1373" s="1212">
        <f>SUM(F1374:F1377)</f>
        <v>0</v>
      </c>
      <c r="G1373" s="909">
        <f t="shared" ref="G1373:I1373" si="217">SUM(G1374:G1377)</f>
        <v>0</v>
      </c>
      <c r="H1373" s="909">
        <f t="shared" si="217"/>
        <v>0</v>
      </c>
      <c r="I1373" s="909">
        <f t="shared" si="217"/>
        <v>0</v>
      </c>
      <c r="X1373" s="768" t="b">
        <f t="shared" si="216"/>
        <v>1</v>
      </c>
    </row>
    <row r="1374" hidden="1" outlineLevel="2" spans="1:24">
      <c r="A1374" s="152" t="s">
        <v>2119</v>
      </c>
      <c r="B1374" s="1207" t="s">
        <v>3370</v>
      </c>
      <c r="C1374" s="693" t="str">
        <f t="shared" si="213"/>
        <v>深圳新阳蓝光能源管理科技股份有限公司</v>
      </c>
      <c r="D1374" s="1210" t="s">
        <v>3358</v>
      </c>
      <c r="E1374" s="1211" t="s">
        <v>2119</v>
      </c>
      <c r="F1374" s="1212">
        <f>报表附注合并期初用!E889</f>
        <v>0</v>
      </c>
      <c r="G1374" s="1021"/>
      <c r="H1374" s="1021"/>
      <c r="I1374" s="909">
        <f t="shared" ref="I1374:I1377" si="218">F1374+G1374-H1374</f>
        <v>0</v>
      </c>
      <c r="X1374" s="768" t="b">
        <f t="shared" si="216"/>
        <v>1</v>
      </c>
    </row>
    <row r="1375" hidden="1" outlineLevel="2" spans="1:24">
      <c r="A1375" s="152" t="s">
        <v>863</v>
      </c>
      <c r="B1375" s="1207" t="s">
        <v>3370</v>
      </c>
      <c r="C1375" s="693" t="str">
        <f t="shared" si="213"/>
        <v>深圳新阳蓝光能源管理科技股份有限公司</v>
      </c>
      <c r="D1375" s="1186" t="s">
        <v>3358</v>
      </c>
      <c r="E1375" s="1211" t="s">
        <v>863</v>
      </c>
      <c r="F1375" s="1212">
        <f>报表附注合并期初用!E890</f>
        <v>0</v>
      </c>
      <c r="G1375" s="1021"/>
      <c r="H1375" s="1021"/>
      <c r="I1375" s="909">
        <f t="shared" si="218"/>
        <v>0</v>
      </c>
      <c r="X1375" s="768" t="b">
        <f t="shared" si="216"/>
        <v>1</v>
      </c>
    </row>
    <row r="1376" hidden="1" outlineLevel="2" spans="1:24">
      <c r="A1376" s="152" t="s">
        <v>865</v>
      </c>
      <c r="B1376" s="1207" t="s">
        <v>3370</v>
      </c>
      <c r="C1376" s="693" t="str">
        <f t="shared" si="213"/>
        <v>深圳新阳蓝光能源管理科技股份有限公司</v>
      </c>
      <c r="D1376" s="1210" t="s">
        <v>3358</v>
      </c>
      <c r="E1376" s="1211" t="s">
        <v>865</v>
      </c>
      <c r="F1376" s="1212">
        <f>报表附注合并期初用!E891</f>
        <v>0</v>
      </c>
      <c r="G1376" s="1021"/>
      <c r="H1376" s="1021"/>
      <c r="I1376" s="909">
        <f t="shared" si="218"/>
        <v>0</v>
      </c>
      <c r="X1376" s="768" t="b">
        <f t="shared" si="216"/>
        <v>1</v>
      </c>
    </row>
    <row r="1377" hidden="1" outlineLevel="2" spans="1:24">
      <c r="A1377" s="152" t="s">
        <v>2120</v>
      </c>
      <c r="B1377" s="1207" t="s">
        <v>3370</v>
      </c>
      <c r="C1377" s="693" t="str">
        <f t="shared" si="213"/>
        <v>深圳新阳蓝光能源管理科技股份有限公司</v>
      </c>
      <c r="D1377" s="1186" t="s">
        <v>3358</v>
      </c>
      <c r="E1377" s="1211" t="s">
        <v>3373</v>
      </c>
      <c r="F1377" s="1212">
        <f>报表附注合并期初用!E892</f>
        <v>0</v>
      </c>
      <c r="G1377" s="1021"/>
      <c r="H1377" s="1021"/>
      <c r="I1377" s="909">
        <f t="shared" si="218"/>
        <v>0</v>
      </c>
      <c r="X1377" s="768" t="b">
        <f t="shared" si="216"/>
        <v>1</v>
      </c>
    </row>
    <row r="1378" hidden="1" outlineLevel="2" spans="1:24">
      <c r="A1378" s="152" t="s">
        <v>2121</v>
      </c>
      <c r="B1378" s="1207" t="s">
        <v>3370</v>
      </c>
      <c r="C1378" s="693" t="str">
        <f t="shared" si="213"/>
        <v>深圳新阳蓝光能源管理科技股份有限公司</v>
      </c>
      <c r="D1378" s="1210" t="s">
        <v>3358</v>
      </c>
      <c r="E1378" s="1211" t="s">
        <v>2121</v>
      </c>
      <c r="F1378" s="1212">
        <f>SUM(F1379:F1382)</f>
        <v>0</v>
      </c>
      <c r="G1378" s="909">
        <f t="shared" ref="G1378:I1378" si="219">SUM(G1379:G1382)</f>
        <v>0</v>
      </c>
      <c r="H1378" s="909">
        <f t="shared" si="219"/>
        <v>0</v>
      </c>
      <c r="I1378" s="909">
        <f t="shared" si="219"/>
        <v>0</v>
      </c>
      <c r="X1378" s="768" t="b">
        <f t="shared" si="216"/>
        <v>1</v>
      </c>
    </row>
    <row r="1379" hidden="1" outlineLevel="2" spans="1:24">
      <c r="A1379" s="152" t="s">
        <v>2119</v>
      </c>
      <c r="B1379" s="1207" t="s">
        <v>3370</v>
      </c>
      <c r="C1379" s="693" t="str">
        <f t="shared" si="213"/>
        <v>深圳新阳蓝光能源管理科技股份有限公司</v>
      </c>
      <c r="D1379" s="1186" t="s">
        <v>3358</v>
      </c>
      <c r="E1379" s="1211" t="s">
        <v>2119</v>
      </c>
      <c r="F1379" s="1212">
        <f>报表附注合并期初用!E894</f>
        <v>0</v>
      </c>
      <c r="G1379" s="1021"/>
      <c r="H1379" s="1021"/>
      <c r="I1379" s="909">
        <f t="shared" ref="I1379:I1382" si="220">F1379+G1379-H1379</f>
        <v>0</v>
      </c>
      <c r="X1379" s="768" t="b">
        <f t="shared" si="216"/>
        <v>1</v>
      </c>
    </row>
    <row r="1380" hidden="1" outlineLevel="2" spans="1:24">
      <c r="A1380" s="152" t="s">
        <v>863</v>
      </c>
      <c r="B1380" s="1207" t="s">
        <v>3370</v>
      </c>
      <c r="C1380" s="693" t="str">
        <f t="shared" si="213"/>
        <v>深圳新阳蓝光能源管理科技股份有限公司</v>
      </c>
      <c r="D1380" s="1210" t="s">
        <v>3358</v>
      </c>
      <c r="E1380" s="1211" t="s">
        <v>863</v>
      </c>
      <c r="F1380" s="1212">
        <f>报表附注合并期初用!E895</f>
        <v>0</v>
      </c>
      <c r="G1380" s="1021"/>
      <c r="H1380" s="1021"/>
      <c r="I1380" s="909">
        <f t="shared" si="220"/>
        <v>0</v>
      </c>
      <c r="X1380" s="768" t="b">
        <f t="shared" si="216"/>
        <v>1</v>
      </c>
    </row>
    <row r="1381" hidden="1" outlineLevel="2" spans="1:24">
      <c r="A1381" s="152" t="s">
        <v>865</v>
      </c>
      <c r="B1381" s="1207" t="s">
        <v>3370</v>
      </c>
      <c r="C1381" s="693" t="str">
        <f t="shared" si="213"/>
        <v>深圳新阳蓝光能源管理科技股份有限公司</v>
      </c>
      <c r="D1381" s="1186" t="s">
        <v>3358</v>
      </c>
      <c r="E1381" s="1211" t="s">
        <v>865</v>
      </c>
      <c r="F1381" s="1212">
        <f>报表附注合并期初用!E896</f>
        <v>0</v>
      </c>
      <c r="G1381" s="1021"/>
      <c r="H1381" s="1021"/>
      <c r="I1381" s="909">
        <f t="shared" si="220"/>
        <v>0</v>
      </c>
      <c r="X1381" s="768" t="b">
        <f t="shared" si="216"/>
        <v>1</v>
      </c>
    </row>
    <row r="1382" hidden="1" outlineLevel="2" spans="1:24">
      <c r="A1382" s="152" t="s">
        <v>2120</v>
      </c>
      <c r="B1382" s="1207" t="s">
        <v>3370</v>
      </c>
      <c r="C1382" s="693" t="str">
        <f t="shared" si="213"/>
        <v>深圳新阳蓝光能源管理科技股份有限公司</v>
      </c>
      <c r="D1382" s="1210" t="s">
        <v>3358</v>
      </c>
      <c r="E1382" s="1211" t="s">
        <v>3373</v>
      </c>
      <c r="F1382" s="1212">
        <f>报表附注合并期初用!E897</f>
        <v>0</v>
      </c>
      <c r="G1382" s="1021"/>
      <c r="H1382" s="1021"/>
      <c r="I1382" s="909">
        <f t="shared" si="220"/>
        <v>0</v>
      </c>
      <c r="X1382" s="768" t="b">
        <f t="shared" si="216"/>
        <v>1</v>
      </c>
    </row>
    <row r="1383" hidden="1" outlineLevel="2" spans="1:24">
      <c r="A1383" s="152" t="s">
        <v>3374</v>
      </c>
      <c r="B1383" s="1207" t="s">
        <v>3370</v>
      </c>
      <c r="C1383" s="693" t="str">
        <f t="shared" si="213"/>
        <v>深圳新阳蓝光能源管理科技股份有限公司</v>
      </c>
      <c r="D1383" s="1186" t="s">
        <v>3358</v>
      </c>
      <c r="E1383" s="1211" t="s">
        <v>3374</v>
      </c>
      <c r="F1383" s="909">
        <f>SUM(F1384:F1387)</f>
        <v>0</v>
      </c>
      <c r="G1383" s="907"/>
      <c r="H1383" s="907"/>
      <c r="I1383" s="909">
        <f t="shared" ref="I1383" si="221">SUM(I1384:I1387)</f>
        <v>0</v>
      </c>
      <c r="X1383" s="768" t="b">
        <f t="shared" si="216"/>
        <v>1</v>
      </c>
    </row>
    <row r="1384" hidden="1" outlineLevel="2" spans="1:24">
      <c r="A1384" s="152" t="s">
        <v>2119</v>
      </c>
      <c r="B1384" s="1207" t="s">
        <v>3370</v>
      </c>
      <c r="C1384" s="693" t="str">
        <f t="shared" si="213"/>
        <v>深圳新阳蓝光能源管理科技股份有限公司</v>
      </c>
      <c r="D1384" s="1210" t="s">
        <v>3358</v>
      </c>
      <c r="E1384" s="1211" t="s">
        <v>2119</v>
      </c>
      <c r="F1384" s="909">
        <f>F1369-F1374-F1379</f>
        <v>0</v>
      </c>
      <c r="G1384" s="907"/>
      <c r="H1384" s="907"/>
      <c r="I1384" s="909">
        <f>I1369-I1374-I1379</f>
        <v>0</v>
      </c>
      <c r="X1384" s="768" t="b">
        <f t="shared" si="216"/>
        <v>1</v>
      </c>
    </row>
    <row r="1385" hidden="1" outlineLevel="2" spans="1:24">
      <c r="A1385" s="152" t="s">
        <v>863</v>
      </c>
      <c r="B1385" s="1207" t="s">
        <v>3370</v>
      </c>
      <c r="C1385" s="693" t="str">
        <f t="shared" si="213"/>
        <v>深圳新阳蓝光能源管理科技股份有限公司</v>
      </c>
      <c r="D1385" s="1186" t="s">
        <v>3358</v>
      </c>
      <c r="E1385" s="1211" t="s">
        <v>863</v>
      </c>
      <c r="F1385" s="909">
        <f t="shared" ref="F1385:F1387" si="222">F1370-F1375-F1380</f>
        <v>0</v>
      </c>
      <c r="G1385" s="907"/>
      <c r="H1385" s="907"/>
      <c r="I1385" s="909">
        <f t="shared" ref="I1385:I1387" si="223">I1370-I1375-I1380</f>
        <v>0</v>
      </c>
      <c r="X1385" s="768" t="b">
        <f t="shared" si="216"/>
        <v>1</v>
      </c>
    </row>
    <row r="1386" hidden="1" outlineLevel="2" spans="1:24">
      <c r="A1386" s="152" t="s">
        <v>865</v>
      </c>
      <c r="B1386" s="1207" t="s">
        <v>3370</v>
      </c>
      <c r="C1386" s="693" t="str">
        <f t="shared" si="213"/>
        <v>深圳新阳蓝光能源管理科技股份有限公司</v>
      </c>
      <c r="D1386" s="1210" t="s">
        <v>3358</v>
      </c>
      <c r="E1386" s="1211" t="s">
        <v>865</v>
      </c>
      <c r="F1386" s="909">
        <f t="shared" si="222"/>
        <v>0</v>
      </c>
      <c r="G1386" s="907"/>
      <c r="H1386" s="907"/>
      <c r="I1386" s="909">
        <f t="shared" si="223"/>
        <v>0</v>
      </c>
      <c r="X1386" s="768" t="b">
        <f t="shared" si="216"/>
        <v>1</v>
      </c>
    </row>
    <row r="1387" hidden="1" outlineLevel="2" spans="1:24">
      <c r="A1387" s="152" t="s">
        <v>2120</v>
      </c>
      <c r="B1387" s="1207" t="s">
        <v>3370</v>
      </c>
      <c r="C1387" s="693" t="str">
        <f t="shared" si="213"/>
        <v>深圳新阳蓝光能源管理科技股份有限公司</v>
      </c>
      <c r="D1387" s="1186" t="s">
        <v>3358</v>
      </c>
      <c r="E1387" s="1211" t="s">
        <v>3373</v>
      </c>
      <c r="F1387" s="909">
        <f t="shared" si="222"/>
        <v>0</v>
      </c>
      <c r="G1387" s="907"/>
      <c r="H1387" s="907"/>
      <c r="I1387" s="909">
        <f t="shared" si="223"/>
        <v>0</v>
      </c>
      <c r="X1387" s="768" t="b">
        <f t="shared" si="216"/>
        <v>1</v>
      </c>
    </row>
    <row r="1388" hidden="1" outlineLevel="2" spans="1:24">
      <c r="A1388" s="152" t="s">
        <v>1723</v>
      </c>
      <c r="B1388" s="1207" t="s">
        <v>3370</v>
      </c>
      <c r="C1388" s="693" t="str">
        <f t="shared" si="213"/>
        <v>深圳新阳蓝光能源管理科技股份有限公司</v>
      </c>
      <c r="D1388" s="1186" t="s">
        <v>3358</v>
      </c>
      <c r="E1388" s="1113" t="s">
        <v>1723</v>
      </c>
      <c r="F1388" s="1213">
        <f>审定资负表!D31</f>
        <v>0</v>
      </c>
      <c r="G1388" s="1188"/>
      <c r="H1388" s="1188"/>
      <c r="I1388" s="1213">
        <f>审定资负表!C31</f>
        <v>0</v>
      </c>
      <c r="X1388" s="768" t="b">
        <f t="shared" si="216"/>
        <v>1</v>
      </c>
    </row>
    <row r="1389" hidden="1" outlineLevel="1" spans="1:24">
      <c r="A1389" s="152" t="s">
        <v>1395</v>
      </c>
      <c r="B1389" s="1207" t="s">
        <v>3370</v>
      </c>
      <c r="C1389" s="693" t="str">
        <f t="shared" si="213"/>
        <v>深圳新阳蓝光能源管理科技股份有限公司</v>
      </c>
      <c r="D1389" s="1210" t="s">
        <v>3358</v>
      </c>
      <c r="E1389" s="1115" t="s">
        <v>1395</v>
      </c>
      <c r="F1389" s="92">
        <f>ROUND(F1387-F1388,2)</f>
        <v>0</v>
      </c>
      <c r="G1389" s="145"/>
      <c r="H1389" s="145"/>
      <c r="I1389" s="92">
        <f>ROUND(I1387-I1388,2)</f>
        <v>0</v>
      </c>
      <c r="X1389" s="768" t="b">
        <f t="shared" si="216"/>
        <v>1</v>
      </c>
    </row>
    <row r="1390" hidden="1" outlineLevel="2" spans="2:24">
      <c r="B1390" s="1207" t="s">
        <v>3370</v>
      </c>
      <c r="C1390" s="693" t="str">
        <f t="shared" si="213"/>
        <v>深圳新阳蓝光能源管理科技股份有限公司</v>
      </c>
      <c r="D1390" s="1163"/>
      <c r="E1390" s="153"/>
      <c r="F1390" s="145"/>
      <c r="G1390" s="145"/>
      <c r="H1390" s="145"/>
      <c r="I1390" s="145"/>
      <c r="X1390" s="768" t="b">
        <f t="shared" si="216"/>
        <v>1</v>
      </c>
    </row>
    <row r="1391" ht="15" hidden="1" customHeight="1" outlineLevel="2" spans="1:24">
      <c r="A1391" s="152" t="s">
        <v>2809</v>
      </c>
      <c r="B1391" s="1207" t="s">
        <v>3370</v>
      </c>
      <c r="C1391" s="693" t="str">
        <f t="shared" si="213"/>
        <v>深圳新阳蓝光能源管理科技股份有限公司</v>
      </c>
      <c r="D1391" s="1163"/>
      <c r="E1391" s="783" t="s">
        <v>2829</v>
      </c>
      <c r="F1391" s="1005"/>
      <c r="G1391" s="1005"/>
      <c r="H1391" s="1005"/>
      <c r="I1391" s="1005"/>
      <c r="X1391" s="768" t="b">
        <f t="shared" si="216"/>
        <v>1</v>
      </c>
    </row>
    <row r="1392" ht="15" hidden="1" customHeight="1" outlineLevel="2" spans="2:24">
      <c r="B1392" s="1207" t="s">
        <v>3370</v>
      </c>
      <c r="C1392" s="693" t="str">
        <f t="shared" si="213"/>
        <v>深圳新阳蓝光能源管理科技股份有限公司</v>
      </c>
      <c r="D1392" s="1163"/>
      <c r="E1392" s="70"/>
      <c r="F1392" s="145"/>
      <c r="G1392" s="145"/>
      <c r="H1392" s="145"/>
      <c r="I1392" s="145"/>
      <c r="X1392" s="768" t="b">
        <f t="shared" si="216"/>
        <v>1</v>
      </c>
    </row>
    <row r="1393" collapsed="1" spans="1:24">
      <c r="A1393" s="152" t="s">
        <v>2122</v>
      </c>
      <c r="B1393" s="1207" t="s">
        <v>3375</v>
      </c>
      <c r="C1393" s="693" t="str">
        <f t="shared" si="213"/>
        <v>深圳新阳蓝光能源管理科技股份有限公司</v>
      </c>
      <c r="D1393" s="1186" t="s">
        <v>3354</v>
      </c>
      <c r="E1393" s="70" t="s">
        <v>3376</v>
      </c>
      <c r="F1393" s="145"/>
      <c r="G1393" s="145"/>
      <c r="H1393" s="145"/>
      <c r="I1393" s="145"/>
      <c r="X1393" s="768" t="b">
        <f t="shared" si="216"/>
        <v>1</v>
      </c>
    </row>
    <row r="1394" hidden="1" outlineLevel="2" spans="1:24">
      <c r="A1394" s="152" t="s">
        <v>3356</v>
      </c>
      <c r="B1394" s="1207" t="s">
        <v>3375</v>
      </c>
      <c r="C1394" s="693" t="str">
        <f t="shared" si="213"/>
        <v>深圳新阳蓝光能源管理科技股份有限公司</v>
      </c>
      <c r="D1394" s="1186" t="s">
        <v>3354</v>
      </c>
      <c r="E1394" s="153" t="s">
        <v>3357</v>
      </c>
      <c r="F1394" s="145"/>
      <c r="G1394" s="145"/>
      <c r="H1394" s="145"/>
      <c r="I1394" s="145"/>
      <c r="X1394" s="768" t="b">
        <f t="shared" si="216"/>
        <v>1</v>
      </c>
    </row>
    <row r="1395" hidden="1" outlineLevel="2" spans="1:24">
      <c r="A1395" s="152" t="s">
        <v>61</v>
      </c>
      <c r="B1395" s="1207" t="s">
        <v>3375</v>
      </c>
      <c r="C1395" s="693" t="str">
        <f t="shared" si="213"/>
        <v>深圳新阳蓝光能源管理科技股份有限公司</v>
      </c>
      <c r="D1395" s="1186" t="s">
        <v>3358</v>
      </c>
      <c r="E1395" s="907" t="s">
        <v>61</v>
      </c>
      <c r="F1395" s="907" t="s">
        <v>671</v>
      </c>
      <c r="G1395" s="907" t="s">
        <v>672</v>
      </c>
      <c r="H1395" s="907" t="s">
        <v>673</v>
      </c>
      <c r="I1395" s="907" t="s">
        <v>516</v>
      </c>
      <c r="X1395" s="768" t="b">
        <f t="shared" si="216"/>
        <v>1</v>
      </c>
    </row>
    <row r="1396" hidden="1" outlineLevel="2" spans="1:24">
      <c r="A1396" s="152" t="s">
        <v>715</v>
      </c>
      <c r="B1396" s="1207" t="s">
        <v>3375</v>
      </c>
      <c r="C1396" s="693" t="str">
        <f t="shared" si="213"/>
        <v>深圳新阳蓝光能源管理科技股份有限公司</v>
      </c>
      <c r="D1396" s="1186" t="s">
        <v>3358</v>
      </c>
      <c r="E1396" s="1214" t="s">
        <v>715</v>
      </c>
      <c r="F1396" s="1212">
        <f>SUM(F1397:F1399)</f>
        <v>0</v>
      </c>
      <c r="G1396" s="909">
        <f t="shared" ref="G1396:I1396" si="224">SUM(G1397:G1399)</f>
        <v>0</v>
      </c>
      <c r="H1396" s="909">
        <f t="shared" si="224"/>
        <v>0</v>
      </c>
      <c r="I1396" s="909">
        <f t="shared" si="224"/>
        <v>0</v>
      </c>
      <c r="X1396" s="768" t="b">
        <f t="shared" si="216"/>
        <v>1</v>
      </c>
    </row>
    <row r="1397" hidden="1" outlineLevel="2" spans="1:24">
      <c r="A1397" s="152" t="s">
        <v>2123</v>
      </c>
      <c r="B1397" s="1207" t="s">
        <v>3375</v>
      </c>
      <c r="C1397" s="693" t="str">
        <f t="shared" si="213"/>
        <v>深圳新阳蓝光能源管理科技股份有限公司</v>
      </c>
      <c r="D1397" s="1186" t="s">
        <v>3358</v>
      </c>
      <c r="E1397" s="1214" t="s">
        <v>3377</v>
      </c>
      <c r="F1397" s="1212">
        <f>报表附注合并期初用!E934</f>
        <v>0</v>
      </c>
      <c r="G1397" s="1021"/>
      <c r="H1397" s="1021"/>
      <c r="I1397" s="909">
        <f>F1397+G1397-H1397</f>
        <v>0</v>
      </c>
      <c r="X1397" s="768" t="b">
        <f t="shared" si="216"/>
        <v>1</v>
      </c>
    </row>
    <row r="1398" hidden="1" outlineLevel="2" spans="1:24">
      <c r="A1398" s="152" t="s">
        <v>2124</v>
      </c>
      <c r="B1398" s="1207" t="s">
        <v>3375</v>
      </c>
      <c r="C1398" s="693" t="str">
        <f t="shared" si="213"/>
        <v>深圳新阳蓝光能源管理科技股份有限公司</v>
      </c>
      <c r="D1398" s="1186" t="s">
        <v>3358</v>
      </c>
      <c r="E1398" s="1214" t="s">
        <v>3378</v>
      </c>
      <c r="F1398" s="1212">
        <f>报表附注合并期初用!E935</f>
        <v>0</v>
      </c>
      <c r="G1398" s="1021"/>
      <c r="H1398" s="1021"/>
      <c r="I1398" s="909">
        <f t="shared" ref="I1398:I1406" si="225">F1398+G1398-H1398</f>
        <v>0</v>
      </c>
      <c r="X1398" s="768" t="b">
        <f t="shared" si="216"/>
        <v>1</v>
      </c>
    </row>
    <row r="1399" hidden="1" outlineLevel="2" spans="1:24">
      <c r="A1399" s="152" t="s">
        <v>2125</v>
      </c>
      <c r="B1399" s="1207" t="s">
        <v>3375</v>
      </c>
      <c r="C1399" s="693" t="str">
        <f t="shared" si="213"/>
        <v>深圳新阳蓝光能源管理科技股份有限公司</v>
      </c>
      <c r="D1399" s="1186" t="s">
        <v>3358</v>
      </c>
      <c r="E1399" s="1214" t="s">
        <v>3379</v>
      </c>
      <c r="F1399" s="1212">
        <f>报表附注合并期初用!E936</f>
        <v>0</v>
      </c>
      <c r="G1399" s="1021"/>
      <c r="H1399" s="1021"/>
      <c r="I1399" s="909">
        <f t="shared" si="225"/>
        <v>0</v>
      </c>
      <c r="X1399" s="768" t="b">
        <f t="shared" si="216"/>
        <v>1</v>
      </c>
    </row>
    <row r="1400" hidden="1" outlineLevel="2" spans="1:24">
      <c r="A1400" s="152" t="s">
        <v>890</v>
      </c>
      <c r="B1400" s="1207" t="s">
        <v>3375</v>
      </c>
      <c r="C1400" s="693" t="str">
        <f t="shared" si="213"/>
        <v>深圳新阳蓝光能源管理科技股份有限公司</v>
      </c>
      <c r="D1400" s="1186" t="s">
        <v>3358</v>
      </c>
      <c r="E1400" s="1214" t="s">
        <v>890</v>
      </c>
      <c r="F1400" s="1212">
        <f>SUM(F1401:F1403)</f>
        <v>0</v>
      </c>
      <c r="G1400" s="909">
        <f t="shared" ref="G1400:I1400" si="226">SUM(G1401:G1403)</f>
        <v>0</v>
      </c>
      <c r="H1400" s="909">
        <f t="shared" si="226"/>
        <v>0</v>
      </c>
      <c r="I1400" s="909">
        <f t="shared" si="226"/>
        <v>0</v>
      </c>
      <c r="X1400" s="768" t="b">
        <f t="shared" si="216"/>
        <v>1</v>
      </c>
    </row>
    <row r="1401" hidden="1" outlineLevel="2" spans="1:24">
      <c r="A1401" s="152" t="s">
        <v>2123</v>
      </c>
      <c r="B1401" s="1207" t="s">
        <v>3375</v>
      </c>
      <c r="C1401" s="693" t="str">
        <f t="shared" si="213"/>
        <v>深圳新阳蓝光能源管理科技股份有限公司</v>
      </c>
      <c r="D1401" s="1186" t="s">
        <v>3358</v>
      </c>
      <c r="E1401" s="1214" t="s">
        <v>3377</v>
      </c>
      <c r="F1401" s="1212">
        <f>报表附注合并期初用!E938</f>
        <v>0</v>
      </c>
      <c r="G1401" s="1021"/>
      <c r="H1401" s="1021"/>
      <c r="I1401" s="909">
        <f t="shared" si="225"/>
        <v>0</v>
      </c>
      <c r="X1401" s="768" t="b">
        <f t="shared" si="216"/>
        <v>1</v>
      </c>
    </row>
    <row r="1402" hidden="1" outlineLevel="2" spans="1:24">
      <c r="A1402" s="152" t="s">
        <v>2126</v>
      </c>
      <c r="B1402" s="1207" t="s">
        <v>3375</v>
      </c>
      <c r="C1402" s="693" t="str">
        <f t="shared" si="213"/>
        <v>深圳新阳蓝光能源管理科技股份有限公司</v>
      </c>
      <c r="D1402" s="1186" t="s">
        <v>3358</v>
      </c>
      <c r="E1402" s="1214" t="s">
        <v>3380</v>
      </c>
      <c r="F1402" s="1212">
        <f>报表附注合并期初用!E939</f>
        <v>0</v>
      </c>
      <c r="G1402" s="1021"/>
      <c r="H1402" s="1021"/>
      <c r="I1402" s="909">
        <f t="shared" si="225"/>
        <v>0</v>
      </c>
      <c r="X1402" s="768" t="b">
        <f t="shared" si="216"/>
        <v>1</v>
      </c>
    </row>
    <row r="1403" hidden="1" outlineLevel="2" spans="1:24">
      <c r="A1403" s="152" t="s">
        <v>895</v>
      </c>
      <c r="B1403" s="1207" t="s">
        <v>3375</v>
      </c>
      <c r="C1403" s="693" t="str">
        <f t="shared" si="213"/>
        <v>深圳新阳蓝光能源管理科技股份有限公司</v>
      </c>
      <c r="D1403" s="1186" t="s">
        <v>3358</v>
      </c>
      <c r="E1403" s="1214" t="s">
        <v>895</v>
      </c>
      <c r="F1403" s="1212">
        <f>SUM(F1404:F1406)</f>
        <v>0</v>
      </c>
      <c r="G1403" s="909">
        <f t="shared" ref="G1403:I1403" si="227">SUM(G1404:G1406)</f>
        <v>0</v>
      </c>
      <c r="H1403" s="909">
        <f t="shared" si="227"/>
        <v>0</v>
      </c>
      <c r="I1403" s="909">
        <f t="shared" si="227"/>
        <v>0</v>
      </c>
      <c r="X1403" s="768" t="b">
        <f t="shared" si="216"/>
        <v>1</v>
      </c>
    </row>
    <row r="1404" hidden="1" outlineLevel="2" spans="1:24">
      <c r="A1404" s="152" t="s">
        <v>2123</v>
      </c>
      <c r="B1404" s="1207" t="s">
        <v>3375</v>
      </c>
      <c r="C1404" s="693" t="str">
        <f t="shared" si="213"/>
        <v>深圳新阳蓝光能源管理科技股份有限公司</v>
      </c>
      <c r="D1404" s="1186" t="s">
        <v>3358</v>
      </c>
      <c r="E1404" s="1214" t="s">
        <v>3377</v>
      </c>
      <c r="F1404" s="1212">
        <f>报表附注合并期初用!E941</f>
        <v>0</v>
      </c>
      <c r="G1404" s="1021"/>
      <c r="H1404" s="1021"/>
      <c r="I1404" s="909">
        <f t="shared" si="225"/>
        <v>0</v>
      </c>
      <c r="X1404" s="768" t="b">
        <f t="shared" si="216"/>
        <v>1</v>
      </c>
    </row>
    <row r="1405" hidden="1" outlineLevel="2" spans="1:24">
      <c r="A1405" s="152" t="s">
        <v>2124</v>
      </c>
      <c r="B1405" s="1207" t="s">
        <v>3375</v>
      </c>
      <c r="C1405" s="693" t="str">
        <f t="shared" si="213"/>
        <v>深圳新阳蓝光能源管理科技股份有限公司</v>
      </c>
      <c r="D1405" s="1186" t="s">
        <v>3358</v>
      </c>
      <c r="E1405" s="1214" t="s">
        <v>3378</v>
      </c>
      <c r="F1405" s="1212">
        <f>报表附注合并期初用!E942</f>
        <v>0</v>
      </c>
      <c r="G1405" s="1021"/>
      <c r="H1405" s="1021"/>
      <c r="I1405" s="909">
        <f t="shared" si="225"/>
        <v>0</v>
      </c>
      <c r="X1405" s="768" t="b">
        <f t="shared" si="216"/>
        <v>1</v>
      </c>
    </row>
    <row r="1406" hidden="1" outlineLevel="2" spans="1:24">
      <c r="A1406" s="152" t="s">
        <v>2125</v>
      </c>
      <c r="B1406" s="1207" t="s">
        <v>3375</v>
      </c>
      <c r="C1406" s="693" t="str">
        <f t="shared" si="213"/>
        <v>深圳新阳蓝光能源管理科技股份有限公司</v>
      </c>
      <c r="D1406" s="1186" t="s">
        <v>3358</v>
      </c>
      <c r="E1406" s="1214" t="s">
        <v>3379</v>
      </c>
      <c r="F1406" s="1212">
        <f>报表附注合并期初用!E943</f>
        <v>0</v>
      </c>
      <c r="G1406" s="1021"/>
      <c r="H1406" s="1021"/>
      <c r="I1406" s="909">
        <f t="shared" si="225"/>
        <v>0</v>
      </c>
      <c r="X1406" s="768" t="b">
        <f t="shared" si="216"/>
        <v>1</v>
      </c>
    </row>
    <row r="1407" hidden="1" outlineLevel="2" spans="1:24">
      <c r="A1407" s="152" t="s">
        <v>900</v>
      </c>
      <c r="B1407" s="1207" t="s">
        <v>3375</v>
      </c>
      <c r="C1407" s="693" t="str">
        <f t="shared" ref="C1407:C1425" si="228">$G$1</f>
        <v>深圳新阳蓝光能源管理科技股份有限公司</v>
      </c>
      <c r="D1407" s="1186" t="s">
        <v>3358</v>
      </c>
      <c r="E1407" s="1214" t="s">
        <v>900</v>
      </c>
      <c r="F1407" s="1212">
        <f>SUM(F1408:F1410)</f>
        <v>0</v>
      </c>
      <c r="G1407" s="907"/>
      <c r="H1407" s="907"/>
      <c r="I1407" s="909">
        <f t="shared" ref="I1407" si="229">SUM(I1408:I1410)</f>
        <v>0</v>
      </c>
      <c r="X1407" s="768" t="b">
        <f t="shared" si="216"/>
        <v>1</v>
      </c>
    </row>
    <row r="1408" hidden="1" outlineLevel="2" spans="1:24">
      <c r="A1408" s="152" t="s">
        <v>2123</v>
      </c>
      <c r="B1408" s="1207" t="s">
        <v>3375</v>
      </c>
      <c r="C1408" s="693" t="str">
        <f t="shared" si="228"/>
        <v>深圳新阳蓝光能源管理科技股份有限公司</v>
      </c>
      <c r="D1408" s="1186" t="s">
        <v>3358</v>
      </c>
      <c r="E1408" s="1214" t="s">
        <v>3377</v>
      </c>
      <c r="F1408" s="909">
        <f>F1397-F1401-F1404</f>
        <v>0</v>
      </c>
      <c r="G1408" s="907"/>
      <c r="H1408" s="907"/>
      <c r="I1408" s="909">
        <f>I1397-I1401-I1404</f>
        <v>0</v>
      </c>
      <c r="X1408" s="768" t="b">
        <f t="shared" si="216"/>
        <v>1</v>
      </c>
    </row>
    <row r="1409" hidden="1" outlineLevel="2" spans="1:24">
      <c r="A1409" s="152" t="s">
        <v>2124</v>
      </c>
      <c r="B1409" s="1207" t="s">
        <v>3375</v>
      </c>
      <c r="C1409" s="693" t="str">
        <f t="shared" si="228"/>
        <v>深圳新阳蓝光能源管理科技股份有限公司</v>
      </c>
      <c r="D1409" s="1186" t="s">
        <v>3358</v>
      </c>
      <c r="E1409" s="1214" t="s">
        <v>3378</v>
      </c>
      <c r="F1409" s="909">
        <f>F1398-F1405</f>
        <v>0</v>
      </c>
      <c r="G1409" s="907"/>
      <c r="H1409" s="907"/>
      <c r="I1409" s="909">
        <f>I1398-I1405</f>
        <v>0</v>
      </c>
      <c r="X1409" s="768" t="b">
        <f t="shared" si="216"/>
        <v>1</v>
      </c>
    </row>
    <row r="1410" hidden="1" outlineLevel="2" spans="1:24">
      <c r="A1410" s="152" t="s">
        <v>2125</v>
      </c>
      <c r="B1410" s="1207" t="s">
        <v>3375</v>
      </c>
      <c r="C1410" s="693" t="str">
        <f t="shared" si="228"/>
        <v>深圳新阳蓝光能源管理科技股份有限公司</v>
      </c>
      <c r="D1410" s="1186" t="s">
        <v>3358</v>
      </c>
      <c r="E1410" s="1214" t="s">
        <v>3379</v>
      </c>
      <c r="F1410" s="909">
        <f>F1399-F1402-F1406</f>
        <v>0</v>
      </c>
      <c r="G1410" s="907"/>
      <c r="H1410" s="907"/>
      <c r="I1410" s="909">
        <f>I1399-I1402-I1406</f>
        <v>0</v>
      </c>
      <c r="X1410" s="768" t="b">
        <f t="shared" si="216"/>
        <v>1</v>
      </c>
    </row>
    <row r="1411" hidden="1" outlineLevel="2" spans="1:24">
      <c r="A1411" s="152" t="s">
        <v>1723</v>
      </c>
      <c r="B1411" s="1207" t="s">
        <v>3375</v>
      </c>
      <c r="C1411" s="693" t="str">
        <f t="shared" si="228"/>
        <v>深圳新阳蓝光能源管理科技股份有限公司</v>
      </c>
      <c r="D1411" s="1186" t="s">
        <v>3358</v>
      </c>
      <c r="E1411" s="1113" t="s">
        <v>1723</v>
      </c>
      <c r="F1411" s="1213">
        <f>审定资负表!D32</f>
        <v>0</v>
      </c>
      <c r="G1411" s="1188"/>
      <c r="H1411" s="1188"/>
      <c r="I1411" s="1213">
        <f>审定资负表!C32</f>
        <v>0</v>
      </c>
      <c r="X1411" s="768" t="b">
        <f t="shared" si="216"/>
        <v>1</v>
      </c>
    </row>
    <row r="1412" hidden="1" outlineLevel="1" spans="1:24">
      <c r="A1412" s="152" t="s">
        <v>1395</v>
      </c>
      <c r="B1412" s="1207" t="s">
        <v>3375</v>
      </c>
      <c r="C1412" s="693" t="str">
        <f t="shared" si="228"/>
        <v>深圳新阳蓝光能源管理科技股份有限公司</v>
      </c>
      <c r="D1412" s="1186" t="s">
        <v>3358</v>
      </c>
      <c r="E1412" s="1115" t="s">
        <v>1395</v>
      </c>
      <c r="F1412" s="92">
        <f>ROUND(F1410-F1411,2)</f>
        <v>0</v>
      </c>
      <c r="G1412" s="145"/>
      <c r="H1412" s="145"/>
      <c r="I1412" s="92">
        <f>ROUND(I1410-I1411,2)</f>
        <v>0</v>
      </c>
      <c r="X1412" s="768" t="b">
        <f t="shared" si="216"/>
        <v>1</v>
      </c>
    </row>
    <row r="1413" hidden="1" outlineLevel="2" spans="1:24">
      <c r="A1413" s="152" t="s">
        <v>3381</v>
      </c>
      <c r="B1413" s="1207" t="s">
        <v>3375</v>
      </c>
      <c r="C1413" s="693" t="str">
        <f t="shared" si="228"/>
        <v>深圳新阳蓝光能源管理科技股份有限公司</v>
      </c>
      <c r="D1413" s="1163" t="s">
        <v>3381</v>
      </c>
      <c r="E1413" s="153" t="s">
        <v>3382</v>
      </c>
      <c r="F1413" s="153" t="s">
        <v>3383</v>
      </c>
      <c r="G1413" s="145"/>
      <c r="H1413" s="145"/>
      <c r="I1413" s="145"/>
      <c r="X1413" s="768" t="b">
        <f t="shared" si="216"/>
        <v>1</v>
      </c>
    </row>
    <row r="1414" hidden="1" outlineLevel="2" spans="1:24">
      <c r="A1414" s="152" t="s">
        <v>2809</v>
      </c>
      <c r="B1414" s="1207" t="s">
        <v>3375</v>
      </c>
      <c r="C1414" s="693" t="str">
        <f t="shared" si="228"/>
        <v>深圳新阳蓝光能源管理科技股份有限公司</v>
      </c>
      <c r="D1414" s="1163" t="s">
        <v>3381</v>
      </c>
      <c r="E1414" s="153" t="s">
        <v>2829</v>
      </c>
      <c r="F1414" s="770"/>
      <c r="G1414" s="1005"/>
      <c r="H1414" s="1005"/>
      <c r="I1414" s="1005"/>
      <c r="X1414" s="768" t="b">
        <f t="shared" si="216"/>
        <v>1</v>
      </c>
    </row>
    <row r="1415" hidden="1" outlineLevel="2" spans="2:24">
      <c r="B1415" s="1207" t="s">
        <v>3375</v>
      </c>
      <c r="C1415" s="693" t="str">
        <f t="shared" si="228"/>
        <v>深圳新阳蓝光能源管理科技股份有限公司</v>
      </c>
      <c r="D1415" s="1163"/>
      <c r="E1415" s="153"/>
      <c r="F1415" s="153"/>
      <c r="G1415" s="145"/>
      <c r="H1415" s="145"/>
      <c r="I1415" s="145"/>
      <c r="X1415" s="768" t="b">
        <f t="shared" si="216"/>
        <v>1</v>
      </c>
    </row>
    <row r="1416" hidden="1" outlineLevel="2" spans="1:24">
      <c r="A1416" s="152" t="s">
        <v>2809</v>
      </c>
      <c r="B1416" s="1207" t="s">
        <v>3375</v>
      </c>
      <c r="C1416" s="693" t="str">
        <f t="shared" si="228"/>
        <v>深圳新阳蓝光能源管理科技股份有限公司</v>
      </c>
      <c r="D1416" s="1163"/>
      <c r="E1416" s="153" t="s">
        <v>2829</v>
      </c>
      <c r="F1416" s="770"/>
      <c r="G1416" s="1005"/>
      <c r="H1416" s="1005"/>
      <c r="I1416" s="1005"/>
      <c r="X1416" s="768" t="b">
        <f t="shared" si="216"/>
        <v>1</v>
      </c>
    </row>
    <row r="1417" hidden="1" outlineLevel="2" spans="2:24">
      <c r="B1417" s="1207" t="s">
        <v>3375</v>
      </c>
      <c r="C1417" s="693" t="str">
        <f t="shared" si="228"/>
        <v>深圳新阳蓝光能源管理科技股份有限公司</v>
      </c>
      <c r="D1417" s="1163"/>
      <c r="E1417" s="751"/>
      <c r="F1417" s="145"/>
      <c r="G1417" s="145"/>
      <c r="H1417" s="145"/>
      <c r="I1417" s="145"/>
      <c r="X1417" s="768" t="b">
        <f t="shared" si="216"/>
        <v>1</v>
      </c>
    </row>
    <row r="1418" spans="1:24">
      <c r="A1418" s="152" t="s">
        <v>2127</v>
      </c>
      <c r="B1418" s="1215" t="s">
        <v>3384</v>
      </c>
      <c r="C1418" s="693" t="str">
        <f t="shared" si="228"/>
        <v>深圳新阳蓝光能源管理科技股份有限公司</v>
      </c>
      <c r="D1418" s="1186" t="s">
        <v>3385</v>
      </c>
      <c r="E1418" s="70" t="s">
        <v>3386</v>
      </c>
      <c r="F1418" s="1164" t="s">
        <v>3387</v>
      </c>
      <c r="G1418" s="1165"/>
      <c r="H1418" s="145"/>
      <c r="I1418" s="145"/>
      <c r="X1418" s="768" t="b">
        <f t="shared" si="216"/>
        <v>1</v>
      </c>
    </row>
    <row r="1419" outlineLevel="2" spans="1:24">
      <c r="A1419" s="152" t="s">
        <v>3388</v>
      </c>
      <c r="B1419" s="1215" t="s">
        <v>3384</v>
      </c>
      <c r="C1419" s="693" t="str">
        <f t="shared" si="228"/>
        <v>深圳新阳蓝光能源管理科技股份有限公司</v>
      </c>
      <c r="D1419" s="1216" t="s">
        <v>3385</v>
      </c>
      <c r="E1419" s="1217" t="s">
        <v>3389</v>
      </c>
      <c r="F1419" s="1165"/>
      <c r="G1419" s="1218"/>
      <c r="H1419" s="1218"/>
      <c r="I1419" s="1218"/>
      <c r="X1419" s="768" t="b">
        <f t="shared" si="216"/>
        <v>0</v>
      </c>
    </row>
    <row r="1420" ht="22.5" outlineLevel="2" spans="1:24">
      <c r="A1420" s="152" t="s">
        <v>61</v>
      </c>
      <c r="B1420" s="1215" t="s">
        <v>3384</v>
      </c>
      <c r="C1420" s="693" t="str">
        <f t="shared" si="228"/>
        <v>深圳新阳蓝光能源管理科技股份有限公司</v>
      </c>
      <c r="D1420" s="1186" t="s">
        <v>3390</v>
      </c>
      <c r="E1420" s="1219" t="s">
        <v>61</v>
      </c>
      <c r="F1420" s="1219" t="s">
        <v>2020</v>
      </c>
      <c r="G1420" s="1219" t="s">
        <v>672</v>
      </c>
      <c r="H1420" s="1219" t="s">
        <v>673</v>
      </c>
      <c r="I1420" s="1219" t="s">
        <v>316</v>
      </c>
      <c r="J1420" s="1167" t="s">
        <v>3243</v>
      </c>
      <c r="K1420" s="1167" t="s">
        <v>3244</v>
      </c>
      <c r="L1420" s="1179" t="s">
        <v>3272</v>
      </c>
      <c r="M1420" s="1179" t="s">
        <v>3273</v>
      </c>
      <c r="N1420" s="1179" t="s">
        <v>3274</v>
      </c>
      <c r="O1420" s="1179" t="s">
        <v>3275</v>
      </c>
      <c r="X1420" s="768" t="b">
        <f t="shared" si="216"/>
        <v>1</v>
      </c>
    </row>
    <row r="1421" outlineLevel="2" spans="1:24">
      <c r="A1421" s="152" t="s">
        <v>715</v>
      </c>
      <c r="B1421" s="1215" t="s">
        <v>3384</v>
      </c>
      <c r="C1421" s="693" t="str">
        <f t="shared" si="228"/>
        <v>深圳新阳蓝光能源管理科技股份有限公司</v>
      </c>
      <c r="D1421" s="1216" t="s">
        <v>3390</v>
      </c>
      <c r="E1421" s="1220" t="s">
        <v>715</v>
      </c>
      <c r="F1421" s="1221">
        <f>ROUND(SUM(F1422:F1435),2)</f>
        <v>18000</v>
      </c>
      <c r="G1421" s="1221">
        <f t="shared" ref="G1421:I1421" si="230">ROUND(SUM(G1422:G1435),2)</f>
        <v>0</v>
      </c>
      <c r="H1421" s="1221">
        <f t="shared" si="230"/>
        <v>0</v>
      </c>
      <c r="I1421" s="1221">
        <f t="shared" si="230"/>
        <v>18000</v>
      </c>
      <c r="J1421" s="1221">
        <f>SUM(J1422:J1435)</f>
        <v>0</v>
      </c>
      <c r="K1421" s="1221">
        <f t="shared" ref="K1421:O1421" si="231">SUM(K1422:K1435)</f>
        <v>0</v>
      </c>
      <c r="L1421" s="1221">
        <f t="shared" si="231"/>
        <v>0</v>
      </c>
      <c r="M1421" s="1221">
        <f t="shared" si="231"/>
        <v>0</v>
      </c>
      <c r="N1421" s="1221">
        <f t="shared" si="231"/>
        <v>0</v>
      </c>
      <c r="O1421" s="1221">
        <f t="shared" si="231"/>
        <v>0</v>
      </c>
      <c r="X1421" s="768" t="b">
        <f t="shared" si="216"/>
        <v>1</v>
      </c>
    </row>
    <row r="1422" outlineLevel="2" spans="1:24">
      <c r="A1422" s="152" t="s">
        <v>3391</v>
      </c>
      <c r="B1422" s="1215" t="s">
        <v>3384</v>
      </c>
      <c r="C1422" s="693" t="str">
        <f t="shared" si="228"/>
        <v>深圳新阳蓝光能源管理科技股份有限公司</v>
      </c>
      <c r="D1422" s="1186" t="s">
        <v>3390</v>
      </c>
      <c r="E1422" s="1222" t="s">
        <v>3392</v>
      </c>
      <c r="F1422" s="1223">
        <f>$F$3853</f>
        <v>0</v>
      </c>
      <c r="G1422" s="1223">
        <f>$F$3854</f>
        <v>0</v>
      </c>
      <c r="H1422" s="1223">
        <f>$F$3860</f>
        <v>0</v>
      </c>
      <c r="I1422" s="1221">
        <f>ROUND(F1422+G1422-H1422,2)</f>
        <v>0</v>
      </c>
      <c r="J1422" s="139">
        <f>SUM(IF(L1422&gt;0,L1422,0),IF(M1422&gt;0,M1422,0),IF(N1422&gt;0,N1422,0),IF(O1422&gt;0,O1422,0))</f>
        <v>0</v>
      </c>
      <c r="K1422" s="139">
        <f>SUM(IF(L1422&gt;0,0,-L1422),IF(M1422&gt;0,0,-M1422),IF(N1422&gt;0,0,-N1422),IF(O1422&gt;0,0,-O1422))</f>
        <v>0</v>
      </c>
      <c r="L1422" s="1203"/>
      <c r="M1422" s="1203"/>
      <c r="N1422" s="1203"/>
      <c r="O1422" s="1203"/>
      <c r="X1422" s="768" t="b">
        <f t="shared" si="216"/>
        <v>0</v>
      </c>
    </row>
    <row r="1423" outlineLevel="2" spans="1:24">
      <c r="A1423" s="152" t="s">
        <v>3393</v>
      </c>
      <c r="B1423" s="1215" t="s">
        <v>3384</v>
      </c>
      <c r="C1423" s="693" t="str">
        <f t="shared" si="228"/>
        <v>深圳新阳蓝光能源管理科技股份有限公司</v>
      </c>
      <c r="D1423" s="1216" t="s">
        <v>3390</v>
      </c>
      <c r="E1423" s="1222" t="s">
        <v>3394</v>
      </c>
      <c r="F1423" s="1223">
        <f>$H$3853</f>
        <v>18000</v>
      </c>
      <c r="G1423" s="1223">
        <f>$H$3854</f>
        <v>0</v>
      </c>
      <c r="H1423" s="1223">
        <f>$H$3860</f>
        <v>0</v>
      </c>
      <c r="I1423" s="1221">
        <f t="shared" ref="I1423:I1435" si="232">ROUND(F1423+G1423-H1423,2)</f>
        <v>18000</v>
      </c>
      <c r="J1423" s="139">
        <f t="shared" ref="J1423:J1465" si="233">SUM(IF(L1423&gt;0,L1423,0),IF(M1423&gt;0,M1423,0),IF(N1423&gt;0,N1423,0),IF(O1423&gt;0,O1423,0))</f>
        <v>0</v>
      </c>
      <c r="K1423" s="139">
        <f t="shared" ref="K1423:K1465" si="234">SUM(IF(L1423&gt;0,0,-L1423),IF(M1423&gt;0,0,-M1423),IF(N1423&gt;0,0,-N1423),IF(O1423&gt;0,0,-O1423))</f>
        <v>0</v>
      </c>
      <c r="L1423" s="1203"/>
      <c r="M1423" s="1203"/>
      <c r="N1423" s="1203"/>
      <c r="O1423" s="1203"/>
      <c r="X1423" s="768" t="b">
        <f t="shared" si="216"/>
        <v>0</v>
      </c>
    </row>
    <row r="1424" outlineLevel="2" spans="1:24">
      <c r="A1424" s="152" t="s">
        <v>3395</v>
      </c>
      <c r="B1424" s="1215" t="s">
        <v>3384</v>
      </c>
      <c r="C1424" s="693" t="str">
        <f t="shared" si="228"/>
        <v>深圳新阳蓝光能源管理科技股份有限公司</v>
      </c>
      <c r="D1424" s="1186" t="s">
        <v>3390</v>
      </c>
      <c r="E1424" s="1222" t="s">
        <v>3396</v>
      </c>
      <c r="F1424" s="1223">
        <f>$G$3853</f>
        <v>0</v>
      </c>
      <c r="G1424" s="1223">
        <f>$G$3854</f>
        <v>0</v>
      </c>
      <c r="H1424" s="1223">
        <f>$G$3860</f>
        <v>0</v>
      </c>
      <c r="I1424" s="1221">
        <f t="shared" si="232"/>
        <v>0</v>
      </c>
      <c r="J1424" s="139">
        <f t="shared" si="233"/>
        <v>0</v>
      </c>
      <c r="K1424" s="139">
        <f t="shared" si="234"/>
        <v>0</v>
      </c>
      <c r="L1424" s="1203"/>
      <c r="M1424" s="1203"/>
      <c r="N1424" s="1203"/>
      <c r="O1424" s="1203"/>
      <c r="X1424" s="768" t="b">
        <f t="shared" si="216"/>
        <v>0</v>
      </c>
    </row>
    <row r="1425" outlineLevel="2" collapsed="1" spans="1:24">
      <c r="A1425" s="152" t="s">
        <v>3397</v>
      </c>
      <c r="B1425" s="1215" t="s">
        <v>3384</v>
      </c>
      <c r="C1425" s="693" t="str">
        <f t="shared" si="228"/>
        <v>深圳新阳蓝光能源管理科技股份有限公司</v>
      </c>
      <c r="D1425" s="1216" t="s">
        <v>3390</v>
      </c>
      <c r="E1425" s="1222" t="s">
        <v>3398</v>
      </c>
      <c r="F1425" s="1223">
        <f>$I$3853</f>
        <v>0</v>
      </c>
      <c r="G1425" s="1223">
        <f>$I$3854</f>
        <v>0</v>
      </c>
      <c r="H1425" s="1223">
        <f>$I$3860</f>
        <v>0</v>
      </c>
      <c r="I1425" s="1221">
        <f t="shared" si="232"/>
        <v>0</v>
      </c>
      <c r="J1425" s="139">
        <f t="shared" si="233"/>
        <v>0</v>
      </c>
      <c r="K1425" s="139">
        <f t="shared" si="234"/>
        <v>0</v>
      </c>
      <c r="L1425" s="1203"/>
      <c r="M1425" s="1203"/>
      <c r="N1425" s="1203"/>
      <c r="O1425" s="1203"/>
      <c r="X1425" s="768" t="b">
        <f t="shared" si="216"/>
        <v>0</v>
      </c>
    </row>
    <row r="1426" hidden="1" outlineLevel="3" spans="2:24">
      <c r="B1426" s="1215"/>
      <c r="C1426" s="745"/>
      <c r="D1426" s="1216"/>
      <c r="E1426" s="1224"/>
      <c r="F1426" s="1225">
        <f>报表附注合并期初用!E977</f>
        <v>0</v>
      </c>
      <c r="G1426" s="1020"/>
      <c r="H1426" s="1020"/>
      <c r="I1426" s="1221">
        <f t="shared" si="232"/>
        <v>0</v>
      </c>
      <c r="J1426" s="139">
        <f t="shared" si="233"/>
        <v>0</v>
      </c>
      <c r="K1426" s="139">
        <f t="shared" si="234"/>
        <v>0</v>
      </c>
      <c r="L1426" s="1203"/>
      <c r="M1426" s="1203"/>
      <c r="N1426" s="1203"/>
      <c r="O1426" s="1203"/>
      <c r="X1426" s="769"/>
    </row>
    <row r="1427" hidden="1" outlineLevel="3" spans="2:24">
      <c r="B1427" s="1215"/>
      <c r="C1427" s="745"/>
      <c r="D1427" s="1216"/>
      <c r="E1427" s="1226"/>
      <c r="F1427" s="1225">
        <f>报表附注合并期初用!E978</f>
        <v>0</v>
      </c>
      <c r="G1427" s="1020"/>
      <c r="H1427" s="1020"/>
      <c r="I1427" s="1221">
        <f t="shared" si="232"/>
        <v>0</v>
      </c>
      <c r="J1427" s="139">
        <f t="shared" si="233"/>
        <v>0</v>
      </c>
      <c r="K1427" s="139">
        <f t="shared" si="234"/>
        <v>0</v>
      </c>
      <c r="L1427" s="1203"/>
      <c r="M1427" s="1203"/>
      <c r="N1427" s="1203"/>
      <c r="O1427" s="1203"/>
      <c r="X1427" s="769"/>
    </row>
    <row r="1428" hidden="1" outlineLevel="3" spans="2:24">
      <c r="B1428" s="1215"/>
      <c r="C1428" s="745"/>
      <c r="D1428" s="1216"/>
      <c r="E1428" s="1226"/>
      <c r="F1428" s="1225">
        <f>报表附注合并期初用!E979</f>
        <v>0</v>
      </c>
      <c r="G1428" s="1020"/>
      <c r="H1428" s="1020"/>
      <c r="I1428" s="1221">
        <f t="shared" si="232"/>
        <v>0</v>
      </c>
      <c r="J1428" s="139">
        <f t="shared" si="233"/>
        <v>0</v>
      </c>
      <c r="K1428" s="139">
        <f t="shared" si="234"/>
        <v>0</v>
      </c>
      <c r="L1428" s="1203"/>
      <c r="M1428" s="1203"/>
      <c r="N1428" s="1203"/>
      <c r="O1428" s="1203"/>
      <c r="X1428" s="769"/>
    </row>
    <row r="1429" hidden="1" outlineLevel="3" spans="2:24">
      <c r="B1429" s="1215"/>
      <c r="C1429" s="745"/>
      <c r="D1429" s="1216"/>
      <c r="E1429" s="1226"/>
      <c r="F1429" s="1225">
        <f>报表附注合并期初用!E980</f>
        <v>0</v>
      </c>
      <c r="G1429" s="1020"/>
      <c r="H1429" s="1020"/>
      <c r="I1429" s="1221">
        <f t="shared" si="232"/>
        <v>0</v>
      </c>
      <c r="J1429" s="139">
        <f t="shared" si="233"/>
        <v>0</v>
      </c>
      <c r="K1429" s="139">
        <f t="shared" si="234"/>
        <v>0</v>
      </c>
      <c r="L1429" s="1203"/>
      <c r="M1429" s="1203"/>
      <c r="N1429" s="1203"/>
      <c r="O1429" s="1203"/>
      <c r="X1429" s="769"/>
    </row>
    <row r="1430" hidden="1" outlineLevel="3" spans="2:24">
      <c r="B1430" s="1215"/>
      <c r="C1430" s="745"/>
      <c r="D1430" s="1216"/>
      <c r="E1430" s="1226"/>
      <c r="F1430" s="1225">
        <f>报表附注合并期初用!E981</f>
        <v>0</v>
      </c>
      <c r="G1430" s="1020"/>
      <c r="H1430" s="1020"/>
      <c r="I1430" s="1221">
        <f t="shared" si="232"/>
        <v>0</v>
      </c>
      <c r="J1430" s="139">
        <f t="shared" si="233"/>
        <v>0</v>
      </c>
      <c r="K1430" s="139">
        <f t="shared" si="234"/>
        <v>0</v>
      </c>
      <c r="L1430" s="1203"/>
      <c r="M1430" s="1203"/>
      <c r="N1430" s="1203"/>
      <c r="O1430" s="1203"/>
      <c r="X1430" s="769"/>
    </row>
    <row r="1431" hidden="1" outlineLevel="3" spans="1:24">
      <c r="A1431" s="152" t="s">
        <v>2132</v>
      </c>
      <c r="B1431" s="1215" t="s">
        <v>3384</v>
      </c>
      <c r="C1431" s="693" t="str">
        <f t="shared" ref="C1431:C1440" si="235">$G$1</f>
        <v>深圳新阳蓝光能源管理科技股份有限公司</v>
      </c>
      <c r="D1431" s="1186" t="s">
        <v>3390</v>
      </c>
      <c r="E1431" s="1226"/>
      <c r="F1431" s="1225">
        <f>报表附注合并期初用!E982</f>
        <v>0</v>
      </c>
      <c r="G1431" s="1020"/>
      <c r="H1431" s="1020"/>
      <c r="I1431" s="1221">
        <f t="shared" si="232"/>
        <v>0</v>
      </c>
      <c r="J1431" s="139">
        <f t="shared" si="233"/>
        <v>0</v>
      </c>
      <c r="K1431" s="139">
        <f t="shared" si="234"/>
        <v>0</v>
      </c>
      <c r="L1431" s="1203"/>
      <c r="M1431" s="1203"/>
      <c r="N1431" s="1203"/>
      <c r="O1431" s="1203"/>
      <c r="X1431" s="768" t="b">
        <f t="shared" si="216"/>
        <v>0</v>
      </c>
    </row>
    <row r="1432" hidden="1" outlineLevel="3" spans="1:24">
      <c r="A1432" s="152" t="s">
        <v>2133</v>
      </c>
      <c r="B1432" s="1215" t="s">
        <v>3384</v>
      </c>
      <c r="C1432" s="693" t="str">
        <f t="shared" si="235"/>
        <v>深圳新阳蓝光能源管理科技股份有限公司</v>
      </c>
      <c r="D1432" s="1216" t="s">
        <v>3390</v>
      </c>
      <c r="E1432" s="1226"/>
      <c r="F1432" s="1225">
        <f>报表附注合并期初用!E983</f>
        <v>0</v>
      </c>
      <c r="G1432" s="1020"/>
      <c r="H1432" s="1020"/>
      <c r="I1432" s="1221">
        <f t="shared" si="232"/>
        <v>0</v>
      </c>
      <c r="J1432" s="139">
        <f t="shared" si="233"/>
        <v>0</v>
      </c>
      <c r="K1432" s="139">
        <f t="shared" si="234"/>
        <v>0</v>
      </c>
      <c r="L1432" s="1203"/>
      <c r="M1432" s="1203"/>
      <c r="N1432" s="1203"/>
      <c r="O1432" s="1203"/>
      <c r="X1432" s="768" t="b">
        <f t="shared" si="216"/>
        <v>0</v>
      </c>
    </row>
    <row r="1433" hidden="1" outlineLevel="3" spans="1:24">
      <c r="A1433" s="152" t="s">
        <v>2134</v>
      </c>
      <c r="B1433" s="1215" t="s">
        <v>3384</v>
      </c>
      <c r="C1433" s="693" t="str">
        <f t="shared" si="235"/>
        <v>深圳新阳蓝光能源管理科技股份有限公司</v>
      </c>
      <c r="D1433" s="1186" t="s">
        <v>3390</v>
      </c>
      <c r="E1433" s="1226"/>
      <c r="F1433" s="1225">
        <f>报表附注合并期初用!E984</f>
        <v>0</v>
      </c>
      <c r="G1433" s="1020"/>
      <c r="H1433" s="1020"/>
      <c r="I1433" s="1221">
        <f t="shared" si="232"/>
        <v>0</v>
      </c>
      <c r="J1433" s="139">
        <f t="shared" si="233"/>
        <v>0</v>
      </c>
      <c r="K1433" s="139">
        <f t="shared" si="234"/>
        <v>0</v>
      </c>
      <c r="L1433" s="1203"/>
      <c r="M1433" s="1203"/>
      <c r="N1433" s="1203"/>
      <c r="O1433" s="1203"/>
      <c r="X1433" s="768" t="b">
        <f t="shared" si="216"/>
        <v>0</v>
      </c>
    </row>
    <row r="1434" hidden="1" outlineLevel="3" spans="1:24">
      <c r="A1434" s="152" t="s">
        <v>2135</v>
      </c>
      <c r="B1434" s="1215" t="s">
        <v>3384</v>
      </c>
      <c r="C1434" s="693" t="str">
        <f t="shared" si="235"/>
        <v>深圳新阳蓝光能源管理科技股份有限公司</v>
      </c>
      <c r="D1434" s="1216" t="s">
        <v>3390</v>
      </c>
      <c r="E1434" s="1226"/>
      <c r="F1434" s="1225">
        <f>报表附注合并期初用!E985</f>
        <v>0</v>
      </c>
      <c r="G1434" s="1020"/>
      <c r="H1434" s="1020"/>
      <c r="I1434" s="1221">
        <f t="shared" si="232"/>
        <v>0</v>
      </c>
      <c r="J1434" s="139">
        <f t="shared" si="233"/>
        <v>0</v>
      </c>
      <c r="K1434" s="139">
        <f t="shared" si="234"/>
        <v>0</v>
      </c>
      <c r="L1434" s="1203"/>
      <c r="M1434" s="1203"/>
      <c r="N1434" s="1203"/>
      <c r="O1434" s="1203"/>
      <c r="X1434" s="768" t="b">
        <f t="shared" si="216"/>
        <v>0</v>
      </c>
    </row>
    <row r="1435" hidden="1" outlineLevel="3" spans="1:24">
      <c r="A1435" s="152" t="s">
        <v>2136</v>
      </c>
      <c r="B1435" s="1215" t="s">
        <v>3384</v>
      </c>
      <c r="C1435" s="693" t="str">
        <f t="shared" si="235"/>
        <v>深圳新阳蓝光能源管理科技股份有限公司</v>
      </c>
      <c r="D1435" s="1186" t="s">
        <v>3390</v>
      </c>
      <c r="E1435" s="1226"/>
      <c r="F1435" s="1225">
        <f>报表附注合并期初用!E986</f>
        <v>0</v>
      </c>
      <c r="G1435" s="1020"/>
      <c r="H1435" s="1020"/>
      <c r="I1435" s="1221">
        <f t="shared" si="232"/>
        <v>0</v>
      </c>
      <c r="J1435" s="139">
        <f t="shared" si="233"/>
        <v>0</v>
      </c>
      <c r="K1435" s="139">
        <f t="shared" si="234"/>
        <v>0</v>
      </c>
      <c r="L1435" s="1203"/>
      <c r="M1435" s="1203"/>
      <c r="N1435" s="1203"/>
      <c r="O1435" s="1203"/>
      <c r="X1435" s="768" t="b">
        <f t="shared" si="216"/>
        <v>0</v>
      </c>
    </row>
    <row r="1436" outlineLevel="2" spans="1:24">
      <c r="A1436" s="152" t="s">
        <v>905</v>
      </c>
      <c r="B1436" s="1215" t="s">
        <v>3384</v>
      </c>
      <c r="C1436" s="693" t="str">
        <f t="shared" si="235"/>
        <v>深圳新阳蓝光能源管理科技股份有限公司</v>
      </c>
      <c r="D1436" s="1216" t="s">
        <v>3390</v>
      </c>
      <c r="E1436" s="1227" t="s">
        <v>905</v>
      </c>
      <c r="F1436" s="1225">
        <f>ROUND(SUM(F1437:F1450),2)</f>
        <v>2000</v>
      </c>
      <c r="G1436" s="1225">
        <f t="shared" ref="G1436:I1436" si="236">ROUND(SUM(G1437:G1450),2)</f>
        <v>6000</v>
      </c>
      <c r="H1436" s="1225">
        <f t="shared" si="236"/>
        <v>0</v>
      </c>
      <c r="I1436" s="1225">
        <f t="shared" si="236"/>
        <v>8000</v>
      </c>
      <c r="J1436" s="1221">
        <f t="shared" ref="J1436:O1436" si="237">SUM(J1437:J1450)</f>
        <v>0</v>
      </c>
      <c r="K1436" s="1221">
        <f t="shared" si="237"/>
        <v>0</v>
      </c>
      <c r="L1436" s="1221">
        <f t="shared" si="237"/>
        <v>0</v>
      </c>
      <c r="M1436" s="1221">
        <f t="shared" si="237"/>
        <v>0</v>
      </c>
      <c r="N1436" s="1221">
        <f t="shared" si="237"/>
        <v>0</v>
      </c>
      <c r="O1436" s="1221">
        <f t="shared" si="237"/>
        <v>0</v>
      </c>
      <c r="X1436" s="768" t="b">
        <f t="shared" si="216"/>
        <v>1</v>
      </c>
    </row>
    <row r="1437" outlineLevel="2" spans="1:24">
      <c r="A1437" s="152" t="s">
        <v>3391</v>
      </c>
      <c r="B1437" s="1215" t="s">
        <v>3384</v>
      </c>
      <c r="C1437" s="693" t="str">
        <f t="shared" si="235"/>
        <v>深圳新阳蓝光能源管理科技股份有限公司</v>
      </c>
      <c r="D1437" s="1186" t="s">
        <v>3390</v>
      </c>
      <c r="E1437" s="1228" t="str">
        <f>E1422</f>
        <v>1、土地使用权</v>
      </c>
      <c r="F1437" s="1223">
        <f>$F$3867</f>
        <v>0</v>
      </c>
      <c r="G1437" s="1223">
        <f>$F$3868</f>
        <v>0</v>
      </c>
      <c r="H1437" s="1223">
        <f>$F$3873</f>
        <v>0</v>
      </c>
      <c r="I1437" s="1221">
        <f t="shared" ref="I1437:I1450" si="238">ROUND(F1437+G1437-H1437,2)</f>
        <v>0</v>
      </c>
      <c r="J1437" s="139">
        <f t="shared" si="233"/>
        <v>0</v>
      </c>
      <c r="K1437" s="139">
        <f t="shared" si="234"/>
        <v>0</v>
      </c>
      <c r="L1437" s="1203"/>
      <c r="M1437" s="1203"/>
      <c r="N1437" s="1203"/>
      <c r="O1437" s="1203"/>
      <c r="X1437" s="768" t="b">
        <f t="shared" si="216"/>
        <v>0</v>
      </c>
    </row>
    <row r="1438" outlineLevel="2" spans="1:24">
      <c r="A1438" s="152" t="s">
        <v>3393</v>
      </c>
      <c r="B1438" s="1215" t="s">
        <v>3384</v>
      </c>
      <c r="C1438" s="693" t="str">
        <f t="shared" si="235"/>
        <v>深圳新阳蓝光能源管理科技股份有限公司</v>
      </c>
      <c r="D1438" s="1216" t="s">
        <v>3390</v>
      </c>
      <c r="E1438" s="1228" t="str">
        <f>E1423</f>
        <v>2、软件</v>
      </c>
      <c r="F1438" s="1223">
        <f>$H$3867</f>
        <v>2000</v>
      </c>
      <c r="G1438" s="1223">
        <f>$H$3868</f>
        <v>6000</v>
      </c>
      <c r="H1438" s="1223">
        <f>$H$3873</f>
        <v>0</v>
      </c>
      <c r="I1438" s="1221">
        <f t="shared" si="238"/>
        <v>8000</v>
      </c>
      <c r="J1438" s="139">
        <f t="shared" si="233"/>
        <v>0</v>
      </c>
      <c r="K1438" s="139">
        <f t="shared" si="234"/>
        <v>0</v>
      </c>
      <c r="L1438" s="1203"/>
      <c r="M1438" s="1203"/>
      <c r="N1438" s="1203"/>
      <c r="O1438" s="1203"/>
      <c r="X1438" s="768" t="b">
        <f t="shared" si="216"/>
        <v>0</v>
      </c>
    </row>
    <row r="1439" outlineLevel="2" spans="1:24">
      <c r="A1439" s="152" t="s">
        <v>3395</v>
      </c>
      <c r="B1439" s="1215" t="s">
        <v>3384</v>
      </c>
      <c r="C1439" s="693" t="str">
        <f t="shared" si="235"/>
        <v>深圳新阳蓝光能源管理科技股份有限公司</v>
      </c>
      <c r="D1439" s="1186" t="s">
        <v>3390</v>
      </c>
      <c r="E1439" s="1228" t="str">
        <f>E1424</f>
        <v>3、专利权</v>
      </c>
      <c r="F1439" s="1223">
        <f>$G$3867</f>
        <v>0</v>
      </c>
      <c r="G1439" s="1223">
        <f>$G$3868</f>
        <v>0</v>
      </c>
      <c r="H1439" s="1223">
        <f>$G$3873</f>
        <v>0</v>
      </c>
      <c r="I1439" s="1221">
        <f t="shared" si="238"/>
        <v>0</v>
      </c>
      <c r="J1439" s="139">
        <f t="shared" si="233"/>
        <v>0</v>
      </c>
      <c r="K1439" s="139">
        <f t="shared" si="234"/>
        <v>0</v>
      </c>
      <c r="L1439" s="1203"/>
      <c r="M1439" s="1203"/>
      <c r="N1439" s="1203"/>
      <c r="O1439" s="1203"/>
      <c r="X1439" s="768" t="b">
        <f t="shared" ref="X1439:X1517" si="239">EXACT(A1439,E1439)</f>
        <v>0</v>
      </c>
    </row>
    <row r="1440" outlineLevel="2" collapsed="1" spans="1:24">
      <c r="A1440" s="152" t="s">
        <v>3397</v>
      </c>
      <c r="B1440" s="1215" t="s">
        <v>3384</v>
      </c>
      <c r="C1440" s="693" t="str">
        <f t="shared" si="235"/>
        <v>深圳新阳蓝光能源管理科技股份有限公司</v>
      </c>
      <c r="D1440" s="1216" t="s">
        <v>3390</v>
      </c>
      <c r="E1440" s="1052" t="str">
        <f>E1425</f>
        <v>4、其它</v>
      </c>
      <c r="F1440" s="1223">
        <f>$I$3867</f>
        <v>0</v>
      </c>
      <c r="G1440" s="1223">
        <f>$I$3868</f>
        <v>0</v>
      </c>
      <c r="H1440" s="1223">
        <f>$I$3873</f>
        <v>0</v>
      </c>
      <c r="I1440" s="1221">
        <f t="shared" si="238"/>
        <v>0</v>
      </c>
      <c r="J1440" s="139">
        <f t="shared" si="233"/>
        <v>0</v>
      </c>
      <c r="K1440" s="139">
        <f t="shared" si="234"/>
        <v>0</v>
      </c>
      <c r="L1440" s="1203"/>
      <c r="M1440" s="1203"/>
      <c r="N1440" s="1203"/>
      <c r="O1440" s="1203"/>
      <c r="X1440" s="768" t="b">
        <f t="shared" si="239"/>
        <v>0</v>
      </c>
    </row>
    <row r="1441" hidden="1" outlineLevel="3" spans="2:24">
      <c r="B1441" s="1215"/>
      <c r="C1441" s="745"/>
      <c r="D1441" s="1216"/>
      <c r="E1441" s="1052">
        <f t="shared" ref="E1441:E1450" si="240">E1426</f>
        <v>0</v>
      </c>
      <c r="F1441" s="1225">
        <f>报表附注合并期初用!E992</f>
        <v>0</v>
      </c>
      <c r="G1441" s="1020"/>
      <c r="H1441" s="1020"/>
      <c r="I1441" s="1221">
        <f t="shared" si="238"/>
        <v>0</v>
      </c>
      <c r="J1441" s="139">
        <f t="shared" si="233"/>
        <v>0</v>
      </c>
      <c r="K1441" s="139">
        <f t="shared" si="234"/>
        <v>0</v>
      </c>
      <c r="L1441" s="1203"/>
      <c r="M1441" s="1203"/>
      <c r="N1441" s="1203"/>
      <c r="O1441" s="1203"/>
      <c r="X1441" s="769"/>
    </row>
    <row r="1442" hidden="1" outlineLevel="3" spans="2:24">
      <c r="B1442" s="1215"/>
      <c r="C1442" s="745"/>
      <c r="D1442" s="1216"/>
      <c r="E1442" s="1052">
        <f t="shared" si="240"/>
        <v>0</v>
      </c>
      <c r="F1442" s="1225">
        <f>报表附注合并期初用!E993</f>
        <v>0</v>
      </c>
      <c r="G1442" s="1020"/>
      <c r="H1442" s="1020"/>
      <c r="I1442" s="1221">
        <f t="shared" si="238"/>
        <v>0</v>
      </c>
      <c r="J1442" s="139">
        <f t="shared" si="233"/>
        <v>0</v>
      </c>
      <c r="K1442" s="139">
        <f t="shared" si="234"/>
        <v>0</v>
      </c>
      <c r="L1442" s="1203"/>
      <c r="M1442" s="1203"/>
      <c r="N1442" s="1203"/>
      <c r="O1442" s="1203"/>
      <c r="X1442" s="769"/>
    </row>
    <row r="1443" hidden="1" outlineLevel="3" spans="2:24">
      <c r="B1443" s="1215"/>
      <c r="C1443" s="745"/>
      <c r="D1443" s="1216"/>
      <c r="E1443" s="1052">
        <f t="shared" si="240"/>
        <v>0</v>
      </c>
      <c r="F1443" s="1225">
        <f>报表附注合并期初用!E994</f>
        <v>0</v>
      </c>
      <c r="G1443" s="1020"/>
      <c r="H1443" s="1020"/>
      <c r="I1443" s="1221">
        <f t="shared" si="238"/>
        <v>0</v>
      </c>
      <c r="J1443" s="139">
        <f t="shared" si="233"/>
        <v>0</v>
      </c>
      <c r="K1443" s="139">
        <f t="shared" si="234"/>
        <v>0</v>
      </c>
      <c r="L1443" s="1203"/>
      <c r="M1443" s="1203"/>
      <c r="N1443" s="1203"/>
      <c r="O1443" s="1203"/>
      <c r="X1443" s="769"/>
    </row>
    <row r="1444" hidden="1" outlineLevel="3" spans="2:24">
      <c r="B1444" s="1215"/>
      <c r="C1444" s="745"/>
      <c r="D1444" s="1216"/>
      <c r="E1444" s="1052">
        <f t="shared" si="240"/>
        <v>0</v>
      </c>
      <c r="F1444" s="1225">
        <f>报表附注合并期初用!E995</f>
        <v>0</v>
      </c>
      <c r="G1444" s="1020"/>
      <c r="H1444" s="1020"/>
      <c r="I1444" s="1221">
        <f t="shared" si="238"/>
        <v>0</v>
      </c>
      <c r="J1444" s="139">
        <f t="shared" si="233"/>
        <v>0</v>
      </c>
      <c r="K1444" s="139">
        <f t="shared" si="234"/>
        <v>0</v>
      </c>
      <c r="L1444" s="1203"/>
      <c r="M1444" s="1203"/>
      <c r="N1444" s="1203"/>
      <c r="O1444" s="1203"/>
      <c r="X1444" s="769"/>
    </row>
    <row r="1445" hidden="1" outlineLevel="3" spans="2:24">
      <c r="B1445" s="1215"/>
      <c r="C1445" s="745"/>
      <c r="D1445" s="1216"/>
      <c r="E1445" s="1052">
        <f t="shared" si="240"/>
        <v>0</v>
      </c>
      <c r="F1445" s="1225">
        <f>报表附注合并期初用!E996</f>
        <v>0</v>
      </c>
      <c r="G1445" s="1020"/>
      <c r="H1445" s="1020"/>
      <c r="I1445" s="1221">
        <f t="shared" si="238"/>
        <v>0</v>
      </c>
      <c r="J1445" s="139">
        <f t="shared" si="233"/>
        <v>0</v>
      </c>
      <c r="K1445" s="139">
        <f t="shared" si="234"/>
        <v>0</v>
      </c>
      <c r="L1445" s="1203"/>
      <c r="M1445" s="1203"/>
      <c r="N1445" s="1203"/>
      <c r="O1445" s="1203"/>
      <c r="X1445" s="769"/>
    </row>
    <row r="1446" hidden="1" outlineLevel="3" spans="1:24">
      <c r="A1446" s="152" t="s">
        <v>2132</v>
      </c>
      <c r="B1446" s="1215" t="s">
        <v>3384</v>
      </c>
      <c r="C1446" s="693" t="str">
        <f t="shared" ref="C1446:C1455" si="241">$G$1</f>
        <v>深圳新阳蓝光能源管理科技股份有限公司</v>
      </c>
      <c r="D1446" s="1186" t="s">
        <v>3390</v>
      </c>
      <c r="E1446" s="1052">
        <f t="shared" si="240"/>
        <v>0</v>
      </c>
      <c r="F1446" s="1225">
        <f>报表附注合并期初用!E997</f>
        <v>0</v>
      </c>
      <c r="G1446" s="1020"/>
      <c r="H1446" s="1020"/>
      <c r="I1446" s="1221">
        <f t="shared" si="238"/>
        <v>0</v>
      </c>
      <c r="J1446" s="139">
        <f t="shared" si="233"/>
        <v>0</v>
      </c>
      <c r="K1446" s="139">
        <f t="shared" si="234"/>
        <v>0</v>
      </c>
      <c r="L1446" s="1203"/>
      <c r="M1446" s="1203"/>
      <c r="N1446" s="1203"/>
      <c r="O1446" s="1203"/>
      <c r="X1446" s="768" t="b">
        <f t="shared" si="239"/>
        <v>0</v>
      </c>
    </row>
    <row r="1447" hidden="1" outlineLevel="3" spans="1:24">
      <c r="A1447" s="152" t="s">
        <v>2133</v>
      </c>
      <c r="B1447" s="1215" t="s">
        <v>3384</v>
      </c>
      <c r="C1447" s="693" t="str">
        <f t="shared" si="241"/>
        <v>深圳新阳蓝光能源管理科技股份有限公司</v>
      </c>
      <c r="D1447" s="1216" t="s">
        <v>3390</v>
      </c>
      <c r="E1447" s="1052">
        <f t="shared" si="240"/>
        <v>0</v>
      </c>
      <c r="F1447" s="1225">
        <f>报表附注合并期初用!E998</f>
        <v>0</v>
      </c>
      <c r="G1447" s="1020"/>
      <c r="H1447" s="1020"/>
      <c r="I1447" s="1221">
        <f t="shared" si="238"/>
        <v>0</v>
      </c>
      <c r="J1447" s="139">
        <f t="shared" si="233"/>
        <v>0</v>
      </c>
      <c r="K1447" s="139">
        <f t="shared" si="234"/>
        <v>0</v>
      </c>
      <c r="L1447" s="1203"/>
      <c r="M1447" s="1203"/>
      <c r="N1447" s="1203"/>
      <c r="O1447" s="1203"/>
      <c r="X1447" s="768" t="b">
        <f t="shared" si="239"/>
        <v>0</v>
      </c>
    </row>
    <row r="1448" hidden="1" outlineLevel="3" spans="1:24">
      <c r="A1448" s="152" t="s">
        <v>2134</v>
      </c>
      <c r="B1448" s="1215" t="s">
        <v>3384</v>
      </c>
      <c r="C1448" s="693" t="str">
        <f t="shared" si="241"/>
        <v>深圳新阳蓝光能源管理科技股份有限公司</v>
      </c>
      <c r="D1448" s="1186" t="s">
        <v>3390</v>
      </c>
      <c r="E1448" s="1052">
        <f t="shared" si="240"/>
        <v>0</v>
      </c>
      <c r="F1448" s="1225">
        <f>报表附注合并期初用!E999</f>
        <v>0</v>
      </c>
      <c r="G1448" s="1020"/>
      <c r="H1448" s="1020"/>
      <c r="I1448" s="1221">
        <f t="shared" si="238"/>
        <v>0</v>
      </c>
      <c r="J1448" s="139">
        <f t="shared" si="233"/>
        <v>0</v>
      </c>
      <c r="K1448" s="139">
        <f t="shared" si="234"/>
        <v>0</v>
      </c>
      <c r="L1448" s="1203"/>
      <c r="M1448" s="1203"/>
      <c r="N1448" s="1203"/>
      <c r="O1448" s="1203"/>
      <c r="X1448" s="768" t="b">
        <f t="shared" si="239"/>
        <v>0</v>
      </c>
    </row>
    <row r="1449" hidden="1" outlineLevel="3" spans="1:24">
      <c r="A1449" s="152" t="s">
        <v>2135</v>
      </c>
      <c r="B1449" s="1215" t="s">
        <v>3384</v>
      </c>
      <c r="C1449" s="693" t="str">
        <f t="shared" si="241"/>
        <v>深圳新阳蓝光能源管理科技股份有限公司</v>
      </c>
      <c r="D1449" s="1216" t="s">
        <v>3390</v>
      </c>
      <c r="E1449" s="1052">
        <f t="shared" si="240"/>
        <v>0</v>
      </c>
      <c r="F1449" s="1225">
        <f>报表附注合并期初用!E1000</f>
        <v>0</v>
      </c>
      <c r="G1449" s="1020"/>
      <c r="H1449" s="1020"/>
      <c r="I1449" s="1221">
        <f t="shared" si="238"/>
        <v>0</v>
      </c>
      <c r="J1449" s="139">
        <f t="shared" si="233"/>
        <v>0</v>
      </c>
      <c r="K1449" s="139">
        <f t="shared" si="234"/>
        <v>0</v>
      </c>
      <c r="L1449" s="1203"/>
      <c r="M1449" s="1203"/>
      <c r="N1449" s="1203"/>
      <c r="O1449" s="1203"/>
      <c r="X1449" s="768" t="b">
        <f t="shared" si="239"/>
        <v>0</v>
      </c>
    </row>
    <row r="1450" hidden="1" outlineLevel="3" spans="1:24">
      <c r="A1450" s="152" t="s">
        <v>2136</v>
      </c>
      <c r="B1450" s="1215" t="s">
        <v>3384</v>
      </c>
      <c r="C1450" s="693" t="str">
        <f t="shared" si="241"/>
        <v>深圳新阳蓝光能源管理科技股份有限公司</v>
      </c>
      <c r="D1450" s="1186" t="s">
        <v>3390</v>
      </c>
      <c r="E1450" s="1052">
        <f t="shared" si="240"/>
        <v>0</v>
      </c>
      <c r="F1450" s="1225">
        <f>报表附注合并期初用!E1001</f>
        <v>0</v>
      </c>
      <c r="G1450" s="1020"/>
      <c r="H1450" s="1020"/>
      <c r="I1450" s="1221">
        <f t="shared" si="238"/>
        <v>0</v>
      </c>
      <c r="J1450" s="139">
        <f t="shared" si="233"/>
        <v>0</v>
      </c>
      <c r="K1450" s="139">
        <f t="shared" si="234"/>
        <v>0</v>
      </c>
      <c r="L1450" s="1203"/>
      <c r="M1450" s="1203"/>
      <c r="N1450" s="1203"/>
      <c r="O1450" s="1203"/>
      <c r="X1450" s="768" t="b">
        <f t="shared" si="239"/>
        <v>0</v>
      </c>
    </row>
    <row r="1451" outlineLevel="2" spans="1:24">
      <c r="A1451" s="152" t="s">
        <v>908</v>
      </c>
      <c r="B1451" s="1215" t="s">
        <v>3384</v>
      </c>
      <c r="C1451" s="693" t="str">
        <f t="shared" si="241"/>
        <v>深圳新阳蓝光能源管理科技股份有限公司</v>
      </c>
      <c r="D1451" s="1216" t="s">
        <v>3390</v>
      </c>
      <c r="E1451" s="1227" t="s">
        <v>908</v>
      </c>
      <c r="F1451" s="1225">
        <f>ROUND(SUM(F1452:F1465),2)</f>
        <v>0</v>
      </c>
      <c r="G1451" s="1225">
        <f t="shared" ref="G1451:I1451" si="242">ROUND(SUM(G1452:G1465),2)</f>
        <v>0</v>
      </c>
      <c r="H1451" s="1225">
        <f t="shared" si="242"/>
        <v>0</v>
      </c>
      <c r="I1451" s="1225">
        <f t="shared" si="242"/>
        <v>0</v>
      </c>
      <c r="J1451" s="1221">
        <f t="shared" ref="J1451:O1451" si="243">SUM(J1452:J1465)</f>
        <v>0</v>
      </c>
      <c r="K1451" s="1221">
        <f t="shared" si="243"/>
        <v>0</v>
      </c>
      <c r="L1451" s="1221">
        <f t="shared" si="243"/>
        <v>0</v>
      </c>
      <c r="M1451" s="1221">
        <f t="shared" si="243"/>
        <v>0</v>
      </c>
      <c r="N1451" s="1221">
        <f t="shared" si="243"/>
        <v>0</v>
      </c>
      <c r="O1451" s="1221">
        <f t="shared" si="243"/>
        <v>0</v>
      </c>
      <c r="X1451" s="768" t="b">
        <f t="shared" si="239"/>
        <v>1</v>
      </c>
    </row>
    <row r="1452" outlineLevel="2" spans="1:24">
      <c r="A1452" s="152" t="s">
        <v>3391</v>
      </c>
      <c r="B1452" s="1215" t="s">
        <v>3384</v>
      </c>
      <c r="C1452" s="693" t="str">
        <f t="shared" si="241"/>
        <v>深圳新阳蓝光能源管理科技股份有限公司</v>
      </c>
      <c r="D1452" s="1186" t="s">
        <v>3390</v>
      </c>
      <c r="E1452" s="1228" t="str">
        <f>E1422</f>
        <v>1、土地使用权</v>
      </c>
      <c r="F1452" s="1223">
        <f>$F$3880</f>
        <v>0</v>
      </c>
      <c r="G1452" s="1223">
        <f>$F$3881</f>
        <v>0</v>
      </c>
      <c r="H1452" s="1223">
        <f>$F$3884</f>
        <v>0</v>
      </c>
      <c r="I1452" s="1221">
        <f t="shared" ref="I1452:I1465" si="244">ROUND(F1452+G1452-H1452,2)</f>
        <v>0</v>
      </c>
      <c r="J1452" s="139">
        <f t="shared" si="233"/>
        <v>0</v>
      </c>
      <c r="K1452" s="139">
        <f t="shared" si="234"/>
        <v>0</v>
      </c>
      <c r="L1452" s="1203"/>
      <c r="M1452" s="1203"/>
      <c r="N1452" s="1203"/>
      <c r="O1452" s="1203"/>
      <c r="X1452" s="768" t="b">
        <f t="shared" si="239"/>
        <v>0</v>
      </c>
    </row>
    <row r="1453" outlineLevel="2" spans="1:24">
      <c r="A1453" s="152" t="s">
        <v>3393</v>
      </c>
      <c r="B1453" s="1215" t="s">
        <v>3384</v>
      </c>
      <c r="C1453" s="693" t="str">
        <f t="shared" si="241"/>
        <v>深圳新阳蓝光能源管理科技股份有限公司</v>
      </c>
      <c r="D1453" s="1216" t="s">
        <v>3390</v>
      </c>
      <c r="E1453" s="1228" t="str">
        <f>E1423</f>
        <v>2、软件</v>
      </c>
      <c r="F1453" s="1223">
        <f>$H$3880</f>
        <v>0</v>
      </c>
      <c r="G1453" s="1223">
        <f>$H$3881</f>
        <v>0</v>
      </c>
      <c r="H1453" s="1223">
        <f>$H$3884</f>
        <v>0</v>
      </c>
      <c r="I1453" s="1221">
        <f t="shared" si="244"/>
        <v>0</v>
      </c>
      <c r="J1453" s="139">
        <f t="shared" si="233"/>
        <v>0</v>
      </c>
      <c r="K1453" s="139">
        <f t="shared" si="234"/>
        <v>0</v>
      </c>
      <c r="L1453" s="1203"/>
      <c r="M1453" s="1203"/>
      <c r="N1453" s="1203"/>
      <c r="O1453" s="1203"/>
      <c r="X1453" s="768" t="b">
        <f t="shared" si="239"/>
        <v>0</v>
      </c>
    </row>
    <row r="1454" outlineLevel="2" spans="1:24">
      <c r="A1454" s="152" t="s">
        <v>3395</v>
      </c>
      <c r="B1454" s="1215" t="s">
        <v>3384</v>
      </c>
      <c r="C1454" s="693" t="str">
        <f t="shared" si="241"/>
        <v>深圳新阳蓝光能源管理科技股份有限公司</v>
      </c>
      <c r="D1454" s="1186" t="s">
        <v>3390</v>
      </c>
      <c r="E1454" s="1228" t="str">
        <f>E1424</f>
        <v>3、专利权</v>
      </c>
      <c r="F1454" s="1223">
        <f>$G$3880</f>
        <v>0</v>
      </c>
      <c r="G1454" s="1223">
        <f>$G$3881</f>
        <v>0</v>
      </c>
      <c r="H1454" s="1223">
        <f>$G$3884</f>
        <v>0</v>
      </c>
      <c r="I1454" s="1221">
        <f t="shared" si="244"/>
        <v>0</v>
      </c>
      <c r="J1454" s="139">
        <f t="shared" si="233"/>
        <v>0</v>
      </c>
      <c r="K1454" s="139">
        <f t="shared" si="234"/>
        <v>0</v>
      </c>
      <c r="L1454" s="1203"/>
      <c r="M1454" s="1203"/>
      <c r="N1454" s="1203"/>
      <c r="O1454" s="1203"/>
      <c r="X1454" s="768" t="b">
        <f t="shared" si="239"/>
        <v>0</v>
      </c>
    </row>
    <row r="1455" outlineLevel="2" collapsed="1" spans="1:24">
      <c r="A1455" s="152" t="s">
        <v>3397</v>
      </c>
      <c r="B1455" s="1215" t="s">
        <v>3384</v>
      </c>
      <c r="C1455" s="693" t="str">
        <f t="shared" si="241"/>
        <v>深圳新阳蓝光能源管理科技股份有限公司</v>
      </c>
      <c r="D1455" s="1216" t="s">
        <v>3390</v>
      </c>
      <c r="E1455" s="1052" t="str">
        <f>E1425</f>
        <v>4、其它</v>
      </c>
      <c r="F1455" s="1223">
        <f>$I$3880</f>
        <v>0</v>
      </c>
      <c r="G1455" s="1223">
        <f>$I$3881</f>
        <v>0</v>
      </c>
      <c r="H1455" s="1223">
        <f>$I$3884</f>
        <v>0</v>
      </c>
      <c r="I1455" s="1221">
        <f t="shared" si="244"/>
        <v>0</v>
      </c>
      <c r="J1455" s="139">
        <f t="shared" si="233"/>
        <v>0</v>
      </c>
      <c r="K1455" s="139">
        <f t="shared" si="234"/>
        <v>0</v>
      </c>
      <c r="L1455" s="1203"/>
      <c r="M1455" s="1203"/>
      <c r="N1455" s="1203"/>
      <c r="O1455" s="1203"/>
      <c r="X1455" s="768" t="b">
        <f t="shared" si="239"/>
        <v>0</v>
      </c>
    </row>
    <row r="1456" hidden="1" outlineLevel="3" spans="2:24">
      <c r="B1456" s="1215"/>
      <c r="C1456" s="745"/>
      <c r="D1456" s="1216"/>
      <c r="E1456" s="1052">
        <f t="shared" ref="E1456:E1465" si="245">E1426</f>
        <v>0</v>
      </c>
      <c r="F1456" s="1225">
        <f>报表附注合并期初用!E1007</f>
        <v>0</v>
      </c>
      <c r="G1456" s="1020"/>
      <c r="H1456" s="1020"/>
      <c r="I1456" s="1221">
        <f t="shared" si="244"/>
        <v>0</v>
      </c>
      <c r="J1456" s="139">
        <f t="shared" si="233"/>
        <v>0</v>
      </c>
      <c r="K1456" s="139">
        <f t="shared" si="234"/>
        <v>0</v>
      </c>
      <c r="L1456" s="1203"/>
      <c r="M1456" s="1203"/>
      <c r="N1456" s="1203"/>
      <c r="O1456" s="1203"/>
      <c r="X1456" s="769"/>
    </row>
    <row r="1457" hidden="1" outlineLevel="3" spans="2:24">
      <c r="B1457" s="1215"/>
      <c r="C1457" s="745"/>
      <c r="D1457" s="1216"/>
      <c r="E1457" s="1052">
        <f t="shared" si="245"/>
        <v>0</v>
      </c>
      <c r="F1457" s="1225">
        <f>报表附注合并期初用!E1008</f>
        <v>0</v>
      </c>
      <c r="G1457" s="1020"/>
      <c r="H1457" s="1020"/>
      <c r="I1457" s="1221">
        <f t="shared" si="244"/>
        <v>0</v>
      </c>
      <c r="J1457" s="139">
        <f t="shared" si="233"/>
        <v>0</v>
      </c>
      <c r="K1457" s="139">
        <f t="shared" si="234"/>
        <v>0</v>
      </c>
      <c r="L1457" s="1203"/>
      <c r="M1457" s="1203"/>
      <c r="N1457" s="1203"/>
      <c r="O1457" s="1203"/>
      <c r="X1457" s="769"/>
    </row>
    <row r="1458" hidden="1" outlineLevel="3" spans="2:24">
      <c r="B1458" s="1215"/>
      <c r="C1458" s="745"/>
      <c r="D1458" s="1216"/>
      <c r="E1458" s="1052">
        <f t="shared" si="245"/>
        <v>0</v>
      </c>
      <c r="F1458" s="1225">
        <f>报表附注合并期初用!E1009</f>
        <v>0</v>
      </c>
      <c r="G1458" s="1020"/>
      <c r="H1458" s="1020"/>
      <c r="I1458" s="1221">
        <f t="shared" si="244"/>
        <v>0</v>
      </c>
      <c r="J1458" s="139">
        <f t="shared" si="233"/>
        <v>0</v>
      </c>
      <c r="K1458" s="139">
        <f t="shared" si="234"/>
        <v>0</v>
      </c>
      <c r="L1458" s="1203"/>
      <c r="M1458" s="1203"/>
      <c r="N1458" s="1203"/>
      <c r="O1458" s="1203"/>
      <c r="X1458" s="769"/>
    </row>
    <row r="1459" hidden="1" outlineLevel="3" spans="2:24">
      <c r="B1459" s="1215"/>
      <c r="C1459" s="745"/>
      <c r="D1459" s="1216"/>
      <c r="E1459" s="1052">
        <f t="shared" si="245"/>
        <v>0</v>
      </c>
      <c r="F1459" s="1225">
        <f>报表附注合并期初用!E1010</f>
        <v>0</v>
      </c>
      <c r="G1459" s="1020"/>
      <c r="H1459" s="1020"/>
      <c r="I1459" s="1221">
        <f t="shared" si="244"/>
        <v>0</v>
      </c>
      <c r="J1459" s="139">
        <f t="shared" si="233"/>
        <v>0</v>
      </c>
      <c r="K1459" s="139">
        <f t="shared" si="234"/>
        <v>0</v>
      </c>
      <c r="L1459" s="1203"/>
      <c r="M1459" s="1203"/>
      <c r="N1459" s="1203"/>
      <c r="O1459" s="1203"/>
      <c r="X1459" s="769"/>
    </row>
    <row r="1460" hidden="1" outlineLevel="3" spans="2:24">
      <c r="B1460" s="1215"/>
      <c r="C1460" s="745"/>
      <c r="D1460" s="1216"/>
      <c r="E1460" s="1052">
        <f t="shared" si="245"/>
        <v>0</v>
      </c>
      <c r="F1460" s="1225">
        <f>报表附注合并期初用!E1011</f>
        <v>0</v>
      </c>
      <c r="G1460" s="1020"/>
      <c r="H1460" s="1020"/>
      <c r="I1460" s="1221">
        <f t="shared" si="244"/>
        <v>0</v>
      </c>
      <c r="J1460" s="139">
        <f t="shared" si="233"/>
        <v>0</v>
      </c>
      <c r="K1460" s="139">
        <f t="shared" si="234"/>
        <v>0</v>
      </c>
      <c r="L1460" s="1203"/>
      <c r="M1460" s="1203"/>
      <c r="N1460" s="1203"/>
      <c r="O1460" s="1203"/>
      <c r="X1460" s="769"/>
    </row>
    <row r="1461" hidden="1" outlineLevel="3" spans="1:24">
      <c r="A1461" s="152" t="s">
        <v>2132</v>
      </c>
      <c r="B1461" s="1215" t="s">
        <v>3384</v>
      </c>
      <c r="C1461" s="693" t="str">
        <f t="shared" ref="C1461:C1470" si="246">$G$1</f>
        <v>深圳新阳蓝光能源管理科技股份有限公司</v>
      </c>
      <c r="D1461" s="1186" t="s">
        <v>3390</v>
      </c>
      <c r="E1461" s="1052">
        <f t="shared" si="245"/>
        <v>0</v>
      </c>
      <c r="F1461" s="1225">
        <f>报表附注合并期初用!E1012</f>
        <v>0</v>
      </c>
      <c r="G1461" s="1020"/>
      <c r="H1461" s="1020"/>
      <c r="I1461" s="1221">
        <f t="shared" si="244"/>
        <v>0</v>
      </c>
      <c r="J1461" s="139">
        <f t="shared" si="233"/>
        <v>0</v>
      </c>
      <c r="K1461" s="139">
        <f t="shared" si="234"/>
        <v>0</v>
      </c>
      <c r="L1461" s="1203"/>
      <c r="M1461" s="1203"/>
      <c r="N1461" s="1203"/>
      <c r="O1461" s="1203"/>
      <c r="X1461" s="768" t="b">
        <f t="shared" si="239"/>
        <v>0</v>
      </c>
    </row>
    <row r="1462" hidden="1" outlineLevel="3" spans="1:24">
      <c r="A1462" s="152" t="s">
        <v>2133</v>
      </c>
      <c r="B1462" s="1215" t="s">
        <v>3384</v>
      </c>
      <c r="C1462" s="693" t="str">
        <f t="shared" si="246"/>
        <v>深圳新阳蓝光能源管理科技股份有限公司</v>
      </c>
      <c r="D1462" s="1216" t="s">
        <v>3390</v>
      </c>
      <c r="E1462" s="1052">
        <f t="shared" si="245"/>
        <v>0</v>
      </c>
      <c r="F1462" s="1225">
        <f>报表附注合并期初用!E1013</f>
        <v>0</v>
      </c>
      <c r="G1462" s="1020"/>
      <c r="H1462" s="1020"/>
      <c r="I1462" s="1221">
        <f t="shared" si="244"/>
        <v>0</v>
      </c>
      <c r="J1462" s="139">
        <f t="shared" si="233"/>
        <v>0</v>
      </c>
      <c r="K1462" s="139">
        <f t="shared" si="234"/>
        <v>0</v>
      </c>
      <c r="L1462" s="1203"/>
      <c r="M1462" s="1203"/>
      <c r="N1462" s="1203"/>
      <c r="O1462" s="1203"/>
      <c r="X1462" s="768" t="b">
        <f t="shared" si="239"/>
        <v>0</v>
      </c>
    </row>
    <row r="1463" hidden="1" outlineLevel="3" spans="1:24">
      <c r="A1463" s="152" t="s">
        <v>2134</v>
      </c>
      <c r="B1463" s="1215" t="s">
        <v>3384</v>
      </c>
      <c r="C1463" s="693" t="str">
        <f t="shared" si="246"/>
        <v>深圳新阳蓝光能源管理科技股份有限公司</v>
      </c>
      <c r="D1463" s="1186" t="s">
        <v>3390</v>
      </c>
      <c r="E1463" s="1052">
        <f t="shared" si="245"/>
        <v>0</v>
      </c>
      <c r="F1463" s="1225">
        <f>报表附注合并期初用!E1014</f>
        <v>0</v>
      </c>
      <c r="G1463" s="1020"/>
      <c r="H1463" s="1020"/>
      <c r="I1463" s="1221">
        <f t="shared" si="244"/>
        <v>0</v>
      </c>
      <c r="J1463" s="139">
        <f t="shared" si="233"/>
        <v>0</v>
      </c>
      <c r="K1463" s="139">
        <f t="shared" si="234"/>
        <v>0</v>
      </c>
      <c r="L1463" s="1203"/>
      <c r="M1463" s="1203"/>
      <c r="N1463" s="1203"/>
      <c r="O1463" s="1203"/>
      <c r="X1463" s="768" t="b">
        <f t="shared" si="239"/>
        <v>0</v>
      </c>
    </row>
    <row r="1464" hidden="1" outlineLevel="3" spans="1:24">
      <c r="A1464" s="152" t="s">
        <v>2135</v>
      </c>
      <c r="B1464" s="1215" t="s">
        <v>3384</v>
      </c>
      <c r="C1464" s="693" t="str">
        <f t="shared" si="246"/>
        <v>深圳新阳蓝光能源管理科技股份有限公司</v>
      </c>
      <c r="D1464" s="1216" t="s">
        <v>3390</v>
      </c>
      <c r="E1464" s="1052">
        <f t="shared" si="245"/>
        <v>0</v>
      </c>
      <c r="F1464" s="1225">
        <f>报表附注合并期初用!E1015</f>
        <v>0</v>
      </c>
      <c r="G1464" s="1020"/>
      <c r="H1464" s="1020"/>
      <c r="I1464" s="1221">
        <f t="shared" si="244"/>
        <v>0</v>
      </c>
      <c r="J1464" s="139">
        <f t="shared" si="233"/>
        <v>0</v>
      </c>
      <c r="K1464" s="139">
        <f t="shared" si="234"/>
        <v>0</v>
      </c>
      <c r="L1464" s="1203"/>
      <c r="M1464" s="1203"/>
      <c r="N1464" s="1203"/>
      <c r="O1464" s="1203"/>
      <c r="X1464" s="768" t="b">
        <f t="shared" si="239"/>
        <v>0</v>
      </c>
    </row>
    <row r="1465" hidden="1" outlineLevel="3" spans="1:24">
      <c r="A1465" s="152" t="s">
        <v>2136</v>
      </c>
      <c r="B1465" s="1215" t="s">
        <v>3384</v>
      </c>
      <c r="C1465" s="693" t="str">
        <f t="shared" si="246"/>
        <v>深圳新阳蓝光能源管理科技股份有限公司</v>
      </c>
      <c r="D1465" s="1186" t="s">
        <v>3390</v>
      </c>
      <c r="E1465" s="1052">
        <f t="shared" si="245"/>
        <v>0</v>
      </c>
      <c r="F1465" s="1225">
        <f>报表附注合并期初用!E1016</f>
        <v>0</v>
      </c>
      <c r="G1465" s="1020"/>
      <c r="H1465" s="1020"/>
      <c r="I1465" s="1221">
        <f t="shared" si="244"/>
        <v>0</v>
      </c>
      <c r="J1465" s="139">
        <f t="shared" si="233"/>
        <v>0</v>
      </c>
      <c r="K1465" s="139">
        <f t="shared" si="234"/>
        <v>0</v>
      </c>
      <c r="L1465" s="1203"/>
      <c r="M1465" s="1203"/>
      <c r="N1465" s="1203"/>
      <c r="O1465" s="1203"/>
      <c r="X1465" s="768" t="b">
        <f t="shared" si="239"/>
        <v>0</v>
      </c>
    </row>
    <row r="1466" outlineLevel="2" spans="1:24">
      <c r="A1466" s="152" t="s">
        <v>911</v>
      </c>
      <c r="B1466" s="1215" t="s">
        <v>3384</v>
      </c>
      <c r="C1466" s="693" t="str">
        <f t="shared" si="246"/>
        <v>深圳新阳蓝光能源管理科技股份有限公司</v>
      </c>
      <c r="D1466" s="1216" t="s">
        <v>3390</v>
      </c>
      <c r="E1466" s="1227" t="s">
        <v>911</v>
      </c>
      <c r="F1466" s="1229">
        <f>SUM(F1467:F1480)</f>
        <v>16000</v>
      </c>
      <c r="G1466" s="1230"/>
      <c r="H1466" s="1230"/>
      <c r="I1466" s="1229">
        <f>SUM(I1467:I1480)</f>
        <v>10000</v>
      </c>
      <c r="J1466" s="1229">
        <f>SUM(J1467:J1480)</f>
        <v>0</v>
      </c>
      <c r="K1466" s="1229">
        <f t="shared" ref="K1466:O1466" si="247">SUM(K1467:K1480)</f>
        <v>0</v>
      </c>
      <c r="L1466" s="1229">
        <f t="shared" si="247"/>
        <v>0</v>
      </c>
      <c r="M1466" s="1229">
        <f t="shared" si="247"/>
        <v>0</v>
      </c>
      <c r="N1466" s="1229">
        <f t="shared" si="247"/>
        <v>0</v>
      </c>
      <c r="O1466" s="1229">
        <f t="shared" si="247"/>
        <v>0</v>
      </c>
      <c r="X1466" s="768" t="b">
        <f t="shared" si="239"/>
        <v>1</v>
      </c>
    </row>
    <row r="1467" outlineLevel="2" spans="1:24">
      <c r="A1467" s="152" t="s">
        <v>3391</v>
      </c>
      <c r="B1467" s="1215" t="s">
        <v>3384</v>
      </c>
      <c r="C1467" s="693" t="str">
        <f t="shared" si="246"/>
        <v>深圳新阳蓝光能源管理科技股份有限公司</v>
      </c>
      <c r="D1467" s="1186" t="s">
        <v>3390</v>
      </c>
      <c r="E1467" s="1228" t="str">
        <f>E1422</f>
        <v>1、土地使用权</v>
      </c>
      <c r="F1467" s="1221">
        <f>ROUND(F1422-F1437-F1452,2)</f>
        <v>0</v>
      </c>
      <c r="G1467" s="1231"/>
      <c r="H1467" s="1231"/>
      <c r="I1467" s="1221">
        <f>ROUND(I1422-I1437-I1452,2)</f>
        <v>0</v>
      </c>
      <c r="J1467" s="1221">
        <f t="shared" ref="J1467:O1480" si="248">J1422-J1437-J1452</f>
        <v>0</v>
      </c>
      <c r="K1467" s="1221">
        <f t="shared" si="248"/>
        <v>0</v>
      </c>
      <c r="L1467" s="1221">
        <f t="shared" si="248"/>
        <v>0</v>
      </c>
      <c r="M1467" s="1221">
        <f t="shared" si="248"/>
        <v>0</v>
      </c>
      <c r="N1467" s="1221">
        <f t="shared" si="248"/>
        <v>0</v>
      </c>
      <c r="O1467" s="1221">
        <f t="shared" si="248"/>
        <v>0</v>
      </c>
      <c r="X1467" s="768" t="b">
        <f t="shared" si="239"/>
        <v>0</v>
      </c>
    </row>
    <row r="1468" outlineLevel="2" spans="1:24">
      <c r="A1468" s="152" t="s">
        <v>3393</v>
      </c>
      <c r="B1468" s="1215" t="s">
        <v>3384</v>
      </c>
      <c r="C1468" s="693" t="str">
        <f t="shared" si="246"/>
        <v>深圳新阳蓝光能源管理科技股份有限公司</v>
      </c>
      <c r="D1468" s="1216" t="s">
        <v>3390</v>
      </c>
      <c r="E1468" s="1228" t="str">
        <f>E1423</f>
        <v>2、软件</v>
      </c>
      <c r="F1468" s="1221">
        <f t="shared" ref="F1468:F1480" si="249">ROUND(F1423-F1438-F1453,2)</f>
        <v>16000</v>
      </c>
      <c r="G1468" s="1231"/>
      <c r="H1468" s="1231"/>
      <c r="I1468" s="1221">
        <f t="shared" ref="I1468:I1480" si="250">ROUND(I1423-I1438-I1453,2)</f>
        <v>10000</v>
      </c>
      <c r="J1468" s="1221">
        <f t="shared" si="248"/>
        <v>0</v>
      </c>
      <c r="K1468" s="1221">
        <f t="shared" si="248"/>
        <v>0</v>
      </c>
      <c r="L1468" s="1221">
        <f t="shared" si="248"/>
        <v>0</v>
      </c>
      <c r="M1468" s="1221">
        <f t="shared" si="248"/>
        <v>0</v>
      </c>
      <c r="N1468" s="1221">
        <f t="shared" si="248"/>
        <v>0</v>
      </c>
      <c r="O1468" s="1221">
        <f t="shared" si="248"/>
        <v>0</v>
      </c>
      <c r="X1468" s="768" t="b">
        <f t="shared" si="239"/>
        <v>0</v>
      </c>
    </row>
    <row r="1469" outlineLevel="2" spans="1:24">
      <c r="A1469" s="152" t="s">
        <v>3395</v>
      </c>
      <c r="B1469" s="1215" t="s">
        <v>3384</v>
      </c>
      <c r="C1469" s="693" t="str">
        <f t="shared" si="246"/>
        <v>深圳新阳蓝光能源管理科技股份有限公司</v>
      </c>
      <c r="D1469" s="1186" t="s">
        <v>3390</v>
      </c>
      <c r="E1469" s="1228" t="str">
        <f>E1424</f>
        <v>3、专利权</v>
      </c>
      <c r="F1469" s="1221">
        <f t="shared" si="249"/>
        <v>0</v>
      </c>
      <c r="G1469" s="1231"/>
      <c r="H1469" s="1231"/>
      <c r="I1469" s="1221">
        <f t="shared" si="250"/>
        <v>0</v>
      </c>
      <c r="J1469" s="1221">
        <f t="shared" si="248"/>
        <v>0</v>
      </c>
      <c r="K1469" s="1221">
        <f t="shared" si="248"/>
        <v>0</v>
      </c>
      <c r="L1469" s="1221">
        <f t="shared" si="248"/>
        <v>0</v>
      </c>
      <c r="M1469" s="1221">
        <f t="shared" si="248"/>
        <v>0</v>
      </c>
      <c r="N1469" s="1221">
        <f t="shared" si="248"/>
        <v>0</v>
      </c>
      <c r="O1469" s="1221">
        <f t="shared" si="248"/>
        <v>0</v>
      </c>
      <c r="X1469" s="768" t="b">
        <f t="shared" si="239"/>
        <v>0</v>
      </c>
    </row>
    <row r="1470" outlineLevel="2" collapsed="1" spans="1:24">
      <c r="A1470" s="152" t="s">
        <v>3397</v>
      </c>
      <c r="B1470" s="1215" t="s">
        <v>3384</v>
      </c>
      <c r="C1470" s="693" t="str">
        <f t="shared" si="246"/>
        <v>深圳新阳蓝光能源管理科技股份有限公司</v>
      </c>
      <c r="D1470" s="1216" t="s">
        <v>3390</v>
      </c>
      <c r="E1470" s="1052" t="str">
        <f>E1425</f>
        <v>4、其它</v>
      </c>
      <c r="F1470" s="1221">
        <f t="shared" si="249"/>
        <v>0</v>
      </c>
      <c r="G1470" s="1231"/>
      <c r="H1470" s="1231"/>
      <c r="I1470" s="1221">
        <f t="shared" si="250"/>
        <v>0</v>
      </c>
      <c r="J1470" s="1221">
        <f t="shared" si="248"/>
        <v>0</v>
      </c>
      <c r="K1470" s="1221">
        <f t="shared" si="248"/>
        <v>0</v>
      </c>
      <c r="L1470" s="1221">
        <f t="shared" si="248"/>
        <v>0</v>
      </c>
      <c r="M1470" s="1221">
        <f t="shared" si="248"/>
        <v>0</v>
      </c>
      <c r="N1470" s="1221">
        <f t="shared" si="248"/>
        <v>0</v>
      </c>
      <c r="O1470" s="1221">
        <f t="shared" si="248"/>
        <v>0</v>
      </c>
      <c r="X1470" s="768" t="b">
        <f t="shared" si="239"/>
        <v>0</v>
      </c>
    </row>
    <row r="1471" hidden="1" outlineLevel="3" spans="2:24">
      <c r="B1471" s="1215"/>
      <c r="C1471" s="745"/>
      <c r="D1471" s="1216"/>
      <c r="E1471" s="1052">
        <f t="shared" ref="E1471:E1480" si="251">E1426</f>
        <v>0</v>
      </c>
      <c r="F1471" s="1221">
        <f t="shared" si="249"/>
        <v>0</v>
      </c>
      <c r="G1471" s="1231"/>
      <c r="H1471" s="1231"/>
      <c r="I1471" s="1221">
        <f t="shared" si="250"/>
        <v>0</v>
      </c>
      <c r="J1471" s="1221">
        <f t="shared" si="248"/>
        <v>0</v>
      </c>
      <c r="K1471" s="1221">
        <f t="shared" si="248"/>
        <v>0</v>
      </c>
      <c r="L1471" s="1231"/>
      <c r="M1471" s="1231"/>
      <c r="N1471" s="1231"/>
      <c r="O1471" s="1231"/>
      <c r="X1471" s="769"/>
    </row>
    <row r="1472" hidden="1" outlineLevel="3" spans="2:24">
      <c r="B1472" s="1215"/>
      <c r="C1472" s="745"/>
      <c r="D1472" s="1216"/>
      <c r="E1472" s="1052">
        <f t="shared" si="251"/>
        <v>0</v>
      </c>
      <c r="F1472" s="1221">
        <f t="shared" si="249"/>
        <v>0</v>
      </c>
      <c r="G1472" s="1231"/>
      <c r="H1472" s="1231"/>
      <c r="I1472" s="1221">
        <f t="shared" si="250"/>
        <v>0</v>
      </c>
      <c r="J1472" s="1221">
        <f t="shared" si="248"/>
        <v>0</v>
      </c>
      <c r="K1472" s="1221">
        <f t="shared" si="248"/>
        <v>0</v>
      </c>
      <c r="L1472" s="1231"/>
      <c r="M1472" s="1231"/>
      <c r="N1472" s="1231"/>
      <c r="O1472" s="1231"/>
      <c r="X1472" s="769"/>
    </row>
    <row r="1473" hidden="1" outlineLevel="3" spans="2:24">
      <c r="B1473" s="1215"/>
      <c r="C1473" s="745"/>
      <c r="D1473" s="1216"/>
      <c r="E1473" s="1052">
        <f t="shared" si="251"/>
        <v>0</v>
      </c>
      <c r="F1473" s="1221">
        <f t="shared" si="249"/>
        <v>0</v>
      </c>
      <c r="G1473" s="1231"/>
      <c r="H1473" s="1231"/>
      <c r="I1473" s="1221">
        <f t="shared" si="250"/>
        <v>0</v>
      </c>
      <c r="J1473" s="1221">
        <f t="shared" si="248"/>
        <v>0</v>
      </c>
      <c r="K1473" s="1221">
        <f t="shared" si="248"/>
        <v>0</v>
      </c>
      <c r="L1473" s="1231"/>
      <c r="M1473" s="1231"/>
      <c r="N1473" s="1231"/>
      <c r="O1473" s="1231"/>
      <c r="X1473" s="769"/>
    </row>
    <row r="1474" hidden="1" outlineLevel="3" spans="2:24">
      <c r="B1474" s="1215"/>
      <c r="C1474" s="745"/>
      <c r="D1474" s="1216"/>
      <c r="E1474" s="1052">
        <f t="shared" si="251"/>
        <v>0</v>
      </c>
      <c r="F1474" s="1221">
        <f t="shared" si="249"/>
        <v>0</v>
      </c>
      <c r="G1474" s="1231"/>
      <c r="H1474" s="1231"/>
      <c r="I1474" s="1221">
        <f t="shared" si="250"/>
        <v>0</v>
      </c>
      <c r="J1474" s="1221">
        <f t="shared" si="248"/>
        <v>0</v>
      </c>
      <c r="K1474" s="1221">
        <f t="shared" si="248"/>
        <v>0</v>
      </c>
      <c r="L1474" s="1231"/>
      <c r="M1474" s="1231"/>
      <c r="N1474" s="1231"/>
      <c r="O1474" s="1231"/>
      <c r="X1474" s="769"/>
    </row>
    <row r="1475" hidden="1" outlineLevel="3" spans="2:24">
      <c r="B1475" s="1215"/>
      <c r="C1475" s="745"/>
      <c r="D1475" s="1216"/>
      <c r="E1475" s="1052">
        <f t="shared" si="251"/>
        <v>0</v>
      </c>
      <c r="F1475" s="1221">
        <f t="shared" si="249"/>
        <v>0</v>
      </c>
      <c r="G1475" s="1231"/>
      <c r="H1475" s="1231"/>
      <c r="I1475" s="1221">
        <f t="shared" si="250"/>
        <v>0</v>
      </c>
      <c r="J1475" s="1221">
        <f t="shared" si="248"/>
        <v>0</v>
      </c>
      <c r="K1475" s="1221">
        <f t="shared" si="248"/>
        <v>0</v>
      </c>
      <c r="L1475" s="1231"/>
      <c r="M1475" s="1231"/>
      <c r="N1475" s="1231"/>
      <c r="O1475" s="1231"/>
      <c r="X1475" s="769"/>
    </row>
    <row r="1476" hidden="1" outlineLevel="3" spans="1:24">
      <c r="A1476" s="152" t="s">
        <v>2132</v>
      </c>
      <c r="B1476" s="1215" t="s">
        <v>3384</v>
      </c>
      <c r="C1476" s="693" t="str">
        <f t="shared" ref="C1476:C1523" si="252">$G$1</f>
        <v>深圳新阳蓝光能源管理科技股份有限公司</v>
      </c>
      <c r="D1476" s="1186" t="s">
        <v>3390</v>
      </c>
      <c r="E1476" s="1052">
        <f t="shared" si="251"/>
        <v>0</v>
      </c>
      <c r="F1476" s="1221">
        <f t="shared" si="249"/>
        <v>0</v>
      </c>
      <c r="G1476" s="1231"/>
      <c r="H1476" s="1231"/>
      <c r="I1476" s="1221">
        <f t="shared" si="250"/>
        <v>0</v>
      </c>
      <c r="J1476" s="1221">
        <f t="shared" si="248"/>
        <v>0</v>
      </c>
      <c r="K1476" s="1221">
        <f t="shared" si="248"/>
        <v>0</v>
      </c>
      <c r="L1476" s="1221">
        <f t="shared" si="248"/>
        <v>0</v>
      </c>
      <c r="M1476" s="1221">
        <f t="shared" si="248"/>
        <v>0</v>
      </c>
      <c r="N1476" s="1221">
        <f t="shared" si="248"/>
        <v>0</v>
      </c>
      <c r="O1476" s="1221">
        <f t="shared" si="248"/>
        <v>0</v>
      </c>
      <c r="X1476" s="768" t="b">
        <f t="shared" si="239"/>
        <v>0</v>
      </c>
    </row>
    <row r="1477" hidden="1" outlineLevel="3" spans="1:24">
      <c r="A1477" s="152" t="s">
        <v>2133</v>
      </c>
      <c r="B1477" s="1215" t="s">
        <v>3384</v>
      </c>
      <c r="C1477" s="693" t="str">
        <f t="shared" si="252"/>
        <v>深圳新阳蓝光能源管理科技股份有限公司</v>
      </c>
      <c r="D1477" s="1216" t="s">
        <v>3390</v>
      </c>
      <c r="E1477" s="1052">
        <f t="shared" si="251"/>
        <v>0</v>
      </c>
      <c r="F1477" s="1221">
        <f t="shared" si="249"/>
        <v>0</v>
      </c>
      <c r="G1477" s="1231"/>
      <c r="H1477" s="1231"/>
      <c r="I1477" s="1221">
        <f t="shared" si="250"/>
        <v>0</v>
      </c>
      <c r="J1477" s="1221">
        <f t="shared" si="248"/>
        <v>0</v>
      </c>
      <c r="K1477" s="1221">
        <f t="shared" si="248"/>
        <v>0</v>
      </c>
      <c r="L1477" s="1221">
        <f t="shared" si="248"/>
        <v>0</v>
      </c>
      <c r="M1477" s="1221">
        <f t="shared" si="248"/>
        <v>0</v>
      </c>
      <c r="N1477" s="1221">
        <f t="shared" si="248"/>
        <v>0</v>
      </c>
      <c r="O1477" s="1221">
        <f t="shared" si="248"/>
        <v>0</v>
      </c>
      <c r="X1477" s="768" t="b">
        <f t="shared" si="239"/>
        <v>0</v>
      </c>
    </row>
    <row r="1478" hidden="1" outlineLevel="3" spans="1:24">
      <c r="A1478" s="152" t="s">
        <v>2134</v>
      </c>
      <c r="B1478" s="1215" t="s">
        <v>3384</v>
      </c>
      <c r="C1478" s="693" t="str">
        <f t="shared" si="252"/>
        <v>深圳新阳蓝光能源管理科技股份有限公司</v>
      </c>
      <c r="D1478" s="1186" t="s">
        <v>3390</v>
      </c>
      <c r="E1478" s="1052">
        <f t="shared" si="251"/>
        <v>0</v>
      </c>
      <c r="F1478" s="1221">
        <f t="shared" si="249"/>
        <v>0</v>
      </c>
      <c r="G1478" s="1231"/>
      <c r="H1478" s="1231"/>
      <c r="I1478" s="1221">
        <f t="shared" si="250"/>
        <v>0</v>
      </c>
      <c r="J1478" s="1221">
        <f t="shared" si="248"/>
        <v>0</v>
      </c>
      <c r="K1478" s="1221">
        <f t="shared" si="248"/>
        <v>0</v>
      </c>
      <c r="L1478" s="1221">
        <f t="shared" si="248"/>
        <v>0</v>
      </c>
      <c r="M1478" s="1221">
        <f t="shared" si="248"/>
        <v>0</v>
      </c>
      <c r="N1478" s="1221">
        <f t="shared" si="248"/>
        <v>0</v>
      </c>
      <c r="O1478" s="1221">
        <f t="shared" si="248"/>
        <v>0</v>
      </c>
      <c r="X1478" s="768" t="b">
        <f t="shared" si="239"/>
        <v>0</v>
      </c>
    </row>
    <row r="1479" hidden="1" outlineLevel="3" spans="1:24">
      <c r="A1479" s="152" t="s">
        <v>2135</v>
      </c>
      <c r="B1479" s="1215" t="s">
        <v>3384</v>
      </c>
      <c r="C1479" s="693" t="str">
        <f t="shared" si="252"/>
        <v>深圳新阳蓝光能源管理科技股份有限公司</v>
      </c>
      <c r="D1479" s="1216" t="s">
        <v>3390</v>
      </c>
      <c r="E1479" s="1052">
        <f t="shared" si="251"/>
        <v>0</v>
      </c>
      <c r="F1479" s="1221">
        <f t="shared" si="249"/>
        <v>0</v>
      </c>
      <c r="G1479" s="1230"/>
      <c r="H1479" s="1230"/>
      <c r="I1479" s="1221">
        <f t="shared" si="250"/>
        <v>0</v>
      </c>
      <c r="J1479" s="1221">
        <f t="shared" si="248"/>
        <v>0</v>
      </c>
      <c r="K1479" s="1221">
        <f t="shared" si="248"/>
        <v>0</v>
      </c>
      <c r="L1479" s="1221">
        <f t="shared" si="248"/>
        <v>0</v>
      </c>
      <c r="M1479" s="1221">
        <f t="shared" si="248"/>
        <v>0</v>
      </c>
      <c r="N1479" s="1221">
        <f t="shared" si="248"/>
        <v>0</v>
      </c>
      <c r="O1479" s="1221">
        <f t="shared" si="248"/>
        <v>0</v>
      </c>
      <c r="X1479" s="768" t="b">
        <f t="shared" si="239"/>
        <v>0</v>
      </c>
    </row>
    <row r="1480" hidden="1" outlineLevel="3" spans="1:24">
      <c r="A1480" s="152" t="s">
        <v>2136</v>
      </c>
      <c r="B1480" s="1215" t="s">
        <v>3384</v>
      </c>
      <c r="C1480" s="693" t="str">
        <f t="shared" si="252"/>
        <v>深圳新阳蓝光能源管理科技股份有限公司</v>
      </c>
      <c r="D1480" s="1186" t="s">
        <v>3390</v>
      </c>
      <c r="E1480" s="1052">
        <f t="shared" si="251"/>
        <v>0</v>
      </c>
      <c r="F1480" s="1221">
        <f t="shared" si="249"/>
        <v>0</v>
      </c>
      <c r="G1480" s="1230"/>
      <c r="H1480" s="1230"/>
      <c r="I1480" s="1221">
        <f t="shared" si="250"/>
        <v>0</v>
      </c>
      <c r="J1480" s="1221">
        <f t="shared" si="248"/>
        <v>0</v>
      </c>
      <c r="K1480" s="1221">
        <f t="shared" si="248"/>
        <v>0</v>
      </c>
      <c r="L1480" s="1221">
        <f t="shared" si="248"/>
        <v>0</v>
      </c>
      <c r="M1480" s="1221">
        <f t="shared" si="248"/>
        <v>0</v>
      </c>
      <c r="N1480" s="1221">
        <f t="shared" si="248"/>
        <v>0</v>
      </c>
      <c r="O1480" s="1221">
        <f t="shared" si="248"/>
        <v>0</v>
      </c>
      <c r="X1480" s="768" t="b">
        <f t="shared" si="239"/>
        <v>0</v>
      </c>
    </row>
    <row r="1481" outlineLevel="2" spans="1:24">
      <c r="A1481" s="152" t="s">
        <v>1723</v>
      </c>
      <c r="B1481" s="1215" t="s">
        <v>3384</v>
      </c>
      <c r="C1481" s="693" t="str">
        <f t="shared" si="252"/>
        <v>深圳新阳蓝光能源管理科技股份有限公司</v>
      </c>
      <c r="D1481" s="1216" t="s">
        <v>3390</v>
      </c>
      <c r="E1481" s="1113" t="s">
        <v>1723</v>
      </c>
      <c r="F1481" s="817">
        <f>审定资负表!D33</f>
        <v>16000</v>
      </c>
      <c r="G1481" s="145"/>
      <c r="H1481" s="145"/>
      <c r="I1481" s="817">
        <f>审定资负表!C33</f>
        <v>10000</v>
      </c>
      <c r="X1481" s="768" t="b">
        <f t="shared" si="239"/>
        <v>1</v>
      </c>
    </row>
    <row r="1482" outlineLevel="1" spans="1:24">
      <c r="A1482" s="152" t="s">
        <v>1395</v>
      </c>
      <c r="B1482" s="1215" t="s">
        <v>3384</v>
      </c>
      <c r="C1482" s="693" t="str">
        <f t="shared" si="252"/>
        <v>深圳新阳蓝光能源管理科技股份有限公司</v>
      </c>
      <c r="D1482" s="1186" t="s">
        <v>3390</v>
      </c>
      <c r="E1482" s="1115" t="s">
        <v>1395</v>
      </c>
      <c r="F1482" s="92">
        <f>ROUND(F1466-F1481,2)</f>
        <v>0</v>
      </c>
      <c r="G1482" s="145"/>
      <c r="H1482" s="145"/>
      <c r="I1482" s="92">
        <f>ROUND(I1466-I1481,2)</f>
        <v>0</v>
      </c>
      <c r="X1482" s="768" t="b">
        <f t="shared" si="239"/>
        <v>1</v>
      </c>
    </row>
    <row r="1483" outlineLevel="2" spans="1:24">
      <c r="A1483" s="152" t="s">
        <v>3399</v>
      </c>
      <c r="B1483" s="1215" t="s">
        <v>3384</v>
      </c>
      <c r="C1483" s="693" t="str">
        <f t="shared" si="252"/>
        <v>深圳新阳蓝光能源管理科技股份有限公司</v>
      </c>
      <c r="D1483" s="1216" t="s">
        <v>3390</v>
      </c>
      <c r="E1483" s="770" t="s">
        <v>3400</v>
      </c>
      <c r="F1483" s="145"/>
      <c r="G1483" s="145"/>
      <c r="H1483" s="145"/>
      <c r="I1483" s="145"/>
      <c r="X1483" s="768" t="b">
        <f t="shared" si="239"/>
        <v>1</v>
      </c>
    </row>
    <row r="1484" outlineLevel="2" spans="2:24">
      <c r="B1484" s="1215" t="s">
        <v>3384</v>
      </c>
      <c r="C1484" s="693" t="str">
        <f t="shared" si="252"/>
        <v>深圳新阳蓝光能源管理科技股份有限公司</v>
      </c>
      <c r="D1484" s="1186" t="s">
        <v>3390</v>
      </c>
      <c r="E1484" s="1232"/>
      <c r="F1484" s="145"/>
      <c r="G1484" s="145"/>
      <c r="H1484" s="145"/>
      <c r="I1484" s="145"/>
      <c r="X1484" s="768" t="b">
        <f t="shared" si="239"/>
        <v>1</v>
      </c>
    </row>
    <row r="1485" outlineLevel="2" spans="1:24">
      <c r="A1485" s="152" t="s">
        <v>2142</v>
      </c>
      <c r="B1485" s="1215" t="s">
        <v>3384</v>
      </c>
      <c r="C1485" s="693" t="str">
        <f t="shared" si="252"/>
        <v>深圳新阳蓝光能源管理科技股份有限公司</v>
      </c>
      <c r="D1485" s="1186" t="s">
        <v>3401</v>
      </c>
      <c r="E1485" s="1233" t="s">
        <v>3402</v>
      </c>
      <c r="F1485" s="145"/>
      <c r="G1485" s="145"/>
      <c r="H1485" s="145"/>
      <c r="I1485" s="145"/>
      <c r="X1485" s="768" t="b">
        <f t="shared" si="239"/>
        <v>1</v>
      </c>
    </row>
    <row r="1486" outlineLevel="2" spans="1:24">
      <c r="A1486" s="152" t="s">
        <v>3403</v>
      </c>
      <c r="B1486" s="1215" t="s">
        <v>3384</v>
      </c>
      <c r="C1486" s="693" t="str">
        <f t="shared" si="252"/>
        <v>深圳新阳蓝光能源管理科技股份有限公司</v>
      </c>
      <c r="D1486" s="1186" t="s">
        <v>3401</v>
      </c>
      <c r="E1486" s="1233" t="s">
        <v>3403</v>
      </c>
      <c r="F1486" s="145"/>
      <c r="G1486" s="1191" t="s">
        <v>3163</v>
      </c>
      <c r="H1486" s="145"/>
      <c r="I1486" s="145"/>
      <c r="X1486" s="768" t="b">
        <f t="shared" si="239"/>
        <v>1</v>
      </c>
    </row>
    <row r="1487" outlineLevel="2" spans="2:24">
      <c r="B1487" s="1215" t="s">
        <v>3384</v>
      </c>
      <c r="C1487" s="693" t="str">
        <f t="shared" si="252"/>
        <v>深圳新阳蓝光能源管理科技股份有限公司</v>
      </c>
      <c r="D1487" s="1186" t="s">
        <v>3404</v>
      </c>
      <c r="E1487" s="153"/>
      <c r="F1487" s="145"/>
      <c r="G1487" s="145"/>
      <c r="H1487" s="145"/>
      <c r="I1487" s="145"/>
      <c r="X1487" s="768" t="b">
        <f t="shared" si="239"/>
        <v>1</v>
      </c>
    </row>
    <row r="1488" outlineLevel="2" spans="1:24">
      <c r="A1488" s="152" t="s">
        <v>61</v>
      </c>
      <c r="B1488" s="1215" t="s">
        <v>3384</v>
      </c>
      <c r="C1488" s="693" t="str">
        <f t="shared" si="252"/>
        <v>深圳新阳蓝光能源管理科技股份有限公司</v>
      </c>
      <c r="D1488" s="1186" t="s">
        <v>3404</v>
      </c>
      <c r="E1488" s="1234" t="s">
        <v>61</v>
      </c>
      <c r="F1488" s="1234" t="s">
        <v>671</v>
      </c>
      <c r="G1488" s="1234" t="s">
        <v>672</v>
      </c>
      <c r="H1488" s="1234" t="s">
        <v>673</v>
      </c>
      <c r="I1488" s="1234" t="s">
        <v>516</v>
      </c>
      <c r="X1488" s="768" t="b">
        <f t="shared" si="239"/>
        <v>1</v>
      </c>
    </row>
    <row r="1489" outlineLevel="2" spans="2:24">
      <c r="B1489" s="1215" t="s">
        <v>3384</v>
      </c>
      <c r="C1489" s="693" t="str">
        <f t="shared" si="252"/>
        <v>深圳新阳蓝光能源管理科技股份有限公司</v>
      </c>
      <c r="D1489" s="1186" t="s">
        <v>3404</v>
      </c>
      <c r="E1489" s="753"/>
      <c r="F1489" s="136"/>
      <c r="G1489" s="136"/>
      <c r="H1489" s="136"/>
      <c r="I1489" s="139">
        <f>F1489+G1489-H1489</f>
        <v>0</v>
      </c>
      <c r="X1489" s="768" t="b">
        <f t="shared" si="239"/>
        <v>1</v>
      </c>
    </row>
    <row r="1490" outlineLevel="2" spans="2:24">
      <c r="B1490" s="1215" t="s">
        <v>3384</v>
      </c>
      <c r="C1490" s="693" t="str">
        <f t="shared" si="252"/>
        <v>深圳新阳蓝光能源管理科技股份有限公司</v>
      </c>
      <c r="D1490" s="1186" t="s">
        <v>3404</v>
      </c>
      <c r="E1490" s="753"/>
      <c r="F1490" s="136"/>
      <c r="G1490" s="136"/>
      <c r="H1490" s="136"/>
      <c r="I1490" s="139">
        <f t="shared" ref="I1490:I1501" si="253">F1490+G1490-H1490</f>
        <v>0</v>
      </c>
      <c r="X1490" s="768" t="b">
        <f t="shared" si="239"/>
        <v>1</v>
      </c>
    </row>
    <row r="1491" outlineLevel="2" spans="2:24">
      <c r="B1491" s="1215" t="s">
        <v>3384</v>
      </c>
      <c r="C1491" s="693" t="str">
        <f t="shared" si="252"/>
        <v>深圳新阳蓝光能源管理科技股份有限公司</v>
      </c>
      <c r="D1491" s="1186" t="s">
        <v>3404</v>
      </c>
      <c r="E1491" s="753"/>
      <c r="F1491" s="136"/>
      <c r="G1491" s="136"/>
      <c r="H1491" s="136"/>
      <c r="I1491" s="139">
        <f t="shared" si="253"/>
        <v>0</v>
      </c>
      <c r="X1491" s="768" t="b">
        <f t="shared" si="239"/>
        <v>1</v>
      </c>
    </row>
    <row r="1492" outlineLevel="2" spans="2:24">
      <c r="B1492" s="1215" t="s">
        <v>3384</v>
      </c>
      <c r="C1492" s="693" t="str">
        <f t="shared" si="252"/>
        <v>深圳新阳蓝光能源管理科技股份有限公司</v>
      </c>
      <c r="D1492" s="1186" t="s">
        <v>3404</v>
      </c>
      <c r="E1492" s="753"/>
      <c r="F1492" s="136"/>
      <c r="G1492" s="136"/>
      <c r="H1492" s="136"/>
      <c r="I1492" s="139">
        <f t="shared" si="253"/>
        <v>0</v>
      </c>
      <c r="X1492" s="768" t="b">
        <f t="shared" si="239"/>
        <v>1</v>
      </c>
    </row>
    <row r="1493" outlineLevel="2" spans="2:24">
      <c r="B1493" s="1215" t="s">
        <v>3384</v>
      </c>
      <c r="C1493" s="693" t="str">
        <f t="shared" si="252"/>
        <v>深圳新阳蓝光能源管理科技股份有限公司</v>
      </c>
      <c r="D1493" s="1186" t="s">
        <v>3404</v>
      </c>
      <c r="E1493" s="753"/>
      <c r="F1493" s="136"/>
      <c r="G1493" s="136"/>
      <c r="H1493" s="136"/>
      <c r="I1493" s="139">
        <f t="shared" si="253"/>
        <v>0</v>
      </c>
      <c r="X1493" s="768" t="b">
        <f t="shared" si="239"/>
        <v>1</v>
      </c>
    </row>
    <row r="1494" outlineLevel="2" spans="2:24">
      <c r="B1494" s="1215" t="s">
        <v>3384</v>
      </c>
      <c r="C1494" s="693" t="str">
        <f t="shared" si="252"/>
        <v>深圳新阳蓝光能源管理科技股份有限公司</v>
      </c>
      <c r="D1494" s="1186" t="s">
        <v>3404</v>
      </c>
      <c r="E1494" s="753"/>
      <c r="F1494" s="136"/>
      <c r="G1494" s="136"/>
      <c r="H1494" s="136"/>
      <c r="I1494" s="139">
        <f t="shared" si="253"/>
        <v>0</v>
      </c>
      <c r="X1494" s="768" t="b">
        <f t="shared" si="239"/>
        <v>1</v>
      </c>
    </row>
    <row r="1495" outlineLevel="2" spans="2:24">
      <c r="B1495" s="1215" t="s">
        <v>3384</v>
      </c>
      <c r="C1495" s="693" t="str">
        <f t="shared" si="252"/>
        <v>深圳新阳蓝光能源管理科技股份有限公司</v>
      </c>
      <c r="D1495" s="1186" t="s">
        <v>3404</v>
      </c>
      <c r="E1495" s="753"/>
      <c r="F1495" s="136"/>
      <c r="G1495" s="136"/>
      <c r="H1495" s="136"/>
      <c r="I1495" s="139">
        <f t="shared" si="253"/>
        <v>0</v>
      </c>
      <c r="X1495" s="768" t="b">
        <f t="shared" si="239"/>
        <v>1</v>
      </c>
    </row>
    <row r="1496" outlineLevel="2" spans="2:24">
      <c r="B1496" s="1215" t="s">
        <v>3384</v>
      </c>
      <c r="C1496" s="693" t="str">
        <f t="shared" si="252"/>
        <v>深圳新阳蓝光能源管理科技股份有限公司</v>
      </c>
      <c r="D1496" s="1186" t="s">
        <v>3404</v>
      </c>
      <c r="E1496" s="753"/>
      <c r="F1496" s="136"/>
      <c r="G1496" s="136"/>
      <c r="H1496" s="136"/>
      <c r="I1496" s="139">
        <f t="shared" si="253"/>
        <v>0</v>
      </c>
      <c r="X1496" s="768" t="b">
        <f t="shared" si="239"/>
        <v>1</v>
      </c>
    </row>
    <row r="1497" outlineLevel="2" spans="2:24">
      <c r="B1497" s="1215" t="s">
        <v>3384</v>
      </c>
      <c r="C1497" s="693" t="str">
        <f t="shared" si="252"/>
        <v>深圳新阳蓝光能源管理科技股份有限公司</v>
      </c>
      <c r="D1497" s="1186" t="s">
        <v>3404</v>
      </c>
      <c r="E1497" s="753"/>
      <c r="F1497" s="136"/>
      <c r="G1497" s="136"/>
      <c r="H1497" s="136"/>
      <c r="I1497" s="139">
        <f t="shared" si="253"/>
        <v>0</v>
      </c>
      <c r="X1497" s="768" t="b">
        <f t="shared" si="239"/>
        <v>1</v>
      </c>
    </row>
    <row r="1498" outlineLevel="2" spans="2:24">
      <c r="B1498" s="1215" t="s">
        <v>3384</v>
      </c>
      <c r="C1498" s="693" t="str">
        <f t="shared" si="252"/>
        <v>深圳新阳蓝光能源管理科技股份有限公司</v>
      </c>
      <c r="D1498" s="1186" t="s">
        <v>3404</v>
      </c>
      <c r="E1498" s="753"/>
      <c r="F1498" s="136"/>
      <c r="G1498" s="136"/>
      <c r="H1498" s="136"/>
      <c r="I1498" s="139">
        <f t="shared" si="253"/>
        <v>0</v>
      </c>
      <c r="X1498" s="768" t="b">
        <f t="shared" si="239"/>
        <v>1</v>
      </c>
    </row>
    <row r="1499" outlineLevel="2" spans="2:24">
      <c r="B1499" s="1215" t="s">
        <v>3384</v>
      </c>
      <c r="C1499" s="693" t="str">
        <f t="shared" si="252"/>
        <v>深圳新阳蓝光能源管理科技股份有限公司</v>
      </c>
      <c r="D1499" s="1186" t="s">
        <v>3404</v>
      </c>
      <c r="E1499" s="753"/>
      <c r="F1499" s="136"/>
      <c r="G1499" s="136"/>
      <c r="H1499" s="136"/>
      <c r="I1499" s="139">
        <f t="shared" si="253"/>
        <v>0</v>
      </c>
      <c r="X1499" s="768" t="b">
        <f t="shared" si="239"/>
        <v>1</v>
      </c>
    </row>
    <row r="1500" outlineLevel="2" spans="2:24">
      <c r="B1500" s="1215" t="s">
        <v>3384</v>
      </c>
      <c r="C1500" s="693" t="str">
        <f t="shared" si="252"/>
        <v>深圳新阳蓝光能源管理科技股份有限公司</v>
      </c>
      <c r="D1500" s="1186" t="s">
        <v>3404</v>
      </c>
      <c r="E1500" s="753"/>
      <c r="F1500" s="136"/>
      <c r="G1500" s="136"/>
      <c r="H1500" s="136"/>
      <c r="I1500" s="139">
        <f t="shared" si="253"/>
        <v>0</v>
      </c>
      <c r="X1500" s="768" t="b">
        <f t="shared" si="239"/>
        <v>1</v>
      </c>
    </row>
    <row r="1501" outlineLevel="2" spans="2:24">
      <c r="B1501" s="1215" t="s">
        <v>3384</v>
      </c>
      <c r="C1501" s="693" t="str">
        <f t="shared" si="252"/>
        <v>深圳新阳蓝光能源管理科技股份有限公司</v>
      </c>
      <c r="D1501" s="1186" t="s">
        <v>3404</v>
      </c>
      <c r="E1501" s="753"/>
      <c r="F1501" s="136"/>
      <c r="G1501" s="136"/>
      <c r="H1501" s="136"/>
      <c r="I1501" s="139">
        <f t="shared" si="253"/>
        <v>0</v>
      </c>
      <c r="X1501" s="768" t="b">
        <f t="shared" si="239"/>
        <v>1</v>
      </c>
    </row>
    <row r="1502" outlineLevel="2" spans="1:24">
      <c r="A1502" s="152" t="s">
        <v>2021</v>
      </c>
      <c r="B1502" s="1215" t="s">
        <v>3384</v>
      </c>
      <c r="C1502" s="693" t="str">
        <f t="shared" si="252"/>
        <v>深圳新阳蓝光能源管理科技股份有限公司</v>
      </c>
      <c r="D1502" s="1186" t="s">
        <v>3404</v>
      </c>
      <c r="E1502" s="923" t="s">
        <v>2021</v>
      </c>
      <c r="F1502" s="139">
        <f>SUM(F1489:F1501)</f>
        <v>0</v>
      </c>
      <c r="G1502" s="139">
        <f t="shared" ref="G1502:I1502" si="254">SUM(G1489:G1501)</f>
        <v>0</v>
      </c>
      <c r="H1502" s="139">
        <f t="shared" si="254"/>
        <v>0</v>
      </c>
      <c r="I1502" s="139">
        <f t="shared" si="254"/>
        <v>0</v>
      </c>
      <c r="X1502" s="768" t="b">
        <f t="shared" si="239"/>
        <v>1</v>
      </c>
    </row>
    <row r="1503" outlineLevel="2" spans="1:24">
      <c r="A1503" s="152" t="s">
        <v>1723</v>
      </c>
      <c r="B1503" s="1215" t="s">
        <v>3384</v>
      </c>
      <c r="C1503" s="693" t="str">
        <f t="shared" si="252"/>
        <v>深圳新阳蓝光能源管理科技股份有限公司</v>
      </c>
      <c r="D1503" s="1186" t="s">
        <v>3404</v>
      </c>
      <c r="E1503" s="1113" t="s">
        <v>1723</v>
      </c>
      <c r="F1503" s="817">
        <f>审定资负表!D34</f>
        <v>0</v>
      </c>
      <c r="G1503" s="145"/>
      <c r="H1503" s="145"/>
      <c r="I1503" s="817">
        <f>审定资负表!C34</f>
        <v>0</v>
      </c>
      <c r="X1503" s="768" t="b">
        <f t="shared" si="239"/>
        <v>1</v>
      </c>
    </row>
    <row r="1504" outlineLevel="2" spans="1:24">
      <c r="A1504" s="152" t="s">
        <v>1395</v>
      </c>
      <c r="B1504" s="1215" t="s">
        <v>3384</v>
      </c>
      <c r="C1504" s="693" t="str">
        <f t="shared" si="252"/>
        <v>深圳新阳蓝光能源管理科技股份有限公司</v>
      </c>
      <c r="D1504" s="1186" t="s">
        <v>3404</v>
      </c>
      <c r="E1504" s="1115" t="s">
        <v>1395</v>
      </c>
      <c r="F1504" s="92">
        <f>ROUND(F1502-F1503,2)</f>
        <v>0</v>
      </c>
      <c r="G1504" s="145"/>
      <c r="H1504" s="145"/>
      <c r="I1504" s="92">
        <f>ROUND(I1502-I1503,2)</f>
        <v>0</v>
      </c>
      <c r="X1504" s="768" t="b">
        <f t="shared" si="239"/>
        <v>1</v>
      </c>
    </row>
    <row r="1505" outlineLevel="2" spans="2:24">
      <c r="B1505" s="1215" t="s">
        <v>3384</v>
      </c>
      <c r="C1505" s="693" t="str">
        <f t="shared" si="252"/>
        <v>深圳新阳蓝光能源管理科技股份有限公司</v>
      </c>
      <c r="D1505" s="1186" t="s">
        <v>3404</v>
      </c>
      <c r="E1505" s="1115"/>
      <c r="F1505" s="145"/>
      <c r="G1505" s="145"/>
      <c r="H1505" s="145"/>
      <c r="I1505" s="145"/>
      <c r="X1505" s="768" t="b">
        <f t="shared" si="239"/>
        <v>1</v>
      </c>
    </row>
    <row r="1506" outlineLevel="2" spans="2:24">
      <c r="B1506" s="1215" t="s">
        <v>3384</v>
      </c>
      <c r="C1506" s="693" t="str">
        <f t="shared" si="252"/>
        <v>深圳新阳蓝光能源管理科技股份有限公司</v>
      </c>
      <c r="D1506" s="1186" t="s">
        <v>3404</v>
      </c>
      <c r="E1506" s="1115"/>
      <c r="F1506" s="145"/>
      <c r="G1506" s="145"/>
      <c r="H1506" s="145"/>
      <c r="I1506" s="145"/>
      <c r="X1506" s="768" t="b">
        <f t="shared" si="239"/>
        <v>1</v>
      </c>
    </row>
    <row r="1507" outlineLevel="2" spans="1:24">
      <c r="A1507" s="152" t="s">
        <v>61</v>
      </c>
      <c r="B1507" s="1215" t="s">
        <v>3384</v>
      </c>
      <c r="C1507" s="693" t="str">
        <f t="shared" si="252"/>
        <v>深圳新阳蓝光能源管理科技股份有限公司</v>
      </c>
      <c r="D1507" s="1186" t="s">
        <v>3404</v>
      </c>
      <c r="E1507" s="851" t="s">
        <v>61</v>
      </c>
      <c r="F1507" s="851" t="s">
        <v>671</v>
      </c>
      <c r="G1507" s="851" t="s">
        <v>672</v>
      </c>
      <c r="H1507" s="851" t="s">
        <v>673</v>
      </c>
      <c r="I1507" s="851"/>
      <c r="J1507" s="851" t="s">
        <v>516</v>
      </c>
      <c r="X1507" s="768" t="b">
        <f t="shared" si="239"/>
        <v>1</v>
      </c>
    </row>
    <row r="1508" outlineLevel="2" spans="2:24">
      <c r="B1508" s="1215" t="s">
        <v>3384</v>
      </c>
      <c r="C1508" s="693" t="str">
        <f t="shared" si="252"/>
        <v>深圳新阳蓝光能源管理科技股份有限公司</v>
      </c>
      <c r="D1508" s="1186" t="s">
        <v>3404</v>
      </c>
      <c r="E1508" s="851"/>
      <c r="F1508" s="851"/>
      <c r="G1508" s="851"/>
      <c r="H1508" s="851" t="s">
        <v>3405</v>
      </c>
      <c r="I1508" s="851" t="s">
        <v>3406</v>
      </c>
      <c r="J1508" s="851"/>
      <c r="X1508" s="768" t="b">
        <f t="shared" si="239"/>
        <v>1</v>
      </c>
    </row>
    <row r="1509" outlineLevel="2" spans="1:24">
      <c r="A1509" s="152" t="s">
        <v>2143</v>
      </c>
      <c r="B1509" s="1215" t="s">
        <v>3384</v>
      </c>
      <c r="C1509" s="693" t="str">
        <f t="shared" si="252"/>
        <v>深圳新阳蓝光能源管理科技股份有限公司</v>
      </c>
      <c r="D1509" s="1186" t="s">
        <v>3404</v>
      </c>
      <c r="E1509" s="1235" t="s">
        <v>2143</v>
      </c>
      <c r="F1509" s="1236">
        <f>报表附注合并期初用!E1174</f>
        <v>0</v>
      </c>
      <c r="G1509" s="1237"/>
      <c r="H1509" s="4"/>
      <c r="I1509" s="4"/>
      <c r="J1509" s="1240">
        <f>F1509+G1509-H1509-I1509</f>
        <v>0</v>
      </c>
      <c r="K1509" s="836" t="str">
        <f>IF(J1509=0,"相符","余额不为0，请检查")</f>
        <v>相符</v>
      </c>
      <c r="X1509" s="768" t="b">
        <f t="shared" si="239"/>
        <v>1</v>
      </c>
    </row>
    <row r="1510" outlineLevel="2" spans="1:24">
      <c r="A1510" s="152" t="s">
        <v>247</v>
      </c>
      <c r="B1510" s="1215" t="s">
        <v>3384</v>
      </c>
      <c r="C1510" s="693" t="str">
        <f t="shared" si="252"/>
        <v>深圳新阳蓝光能源管理科技股份有限公司</v>
      </c>
      <c r="D1510" s="1186" t="s">
        <v>3404</v>
      </c>
      <c r="E1510" s="789" t="s">
        <v>247</v>
      </c>
      <c r="F1510" s="1238">
        <f>报表附注合并期初用!E1175</f>
        <v>0</v>
      </c>
      <c r="G1510" s="4"/>
      <c r="H1510" s="1237"/>
      <c r="I1510" s="1237"/>
      <c r="J1510" s="1240">
        <f>F1510+G1510-H1510-I1510</f>
        <v>0</v>
      </c>
      <c r="X1510" s="768" t="b">
        <f t="shared" si="239"/>
        <v>1</v>
      </c>
    </row>
    <row r="1511" outlineLevel="2" spans="1:24">
      <c r="A1511" s="152" t="s">
        <v>2021</v>
      </c>
      <c r="B1511" s="1215" t="s">
        <v>3384</v>
      </c>
      <c r="C1511" s="693" t="str">
        <f t="shared" si="252"/>
        <v>深圳新阳蓝光能源管理科技股份有限公司</v>
      </c>
      <c r="D1511" s="1186" t="s">
        <v>3404</v>
      </c>
      <c r="E1511" s="1239" t="s">
        <v>2021</v>
      </c>
      <c r="F1511" s="1240">
        <f>F1509+F1510</f>
        <v>0</v>
      </c>
      <c r="G1511" s="1240">
        <f t="shared" ref="G1511:J1511" si="255">G1509+G1510</f>
        <v>0</v>
      </c>
      <c r="H1511" s="1240">
        <f t="shared" si="255"/>
        <v>0</v>
      </c>
      <c r="I1511" s="1240">
        <f t="shared" si="255"/>
        <v>0</v>
      </c>
      <c r="J1511" s="1240">
        <f t="shared" si="255"/>
        <v>0</v>
      </c>
      <c r="X1511" s="768" t="b">
        <f t="shared" si="239"/>
        <v>1</v>
      </c>
    </row>
    <row r="1512" outlineLevel="2" spans="1:24">
      <c r="A1512" s="152" t="s">
        <v>1997</v>
      </c>
      <c r="B1512" s="1215" t="s">
        <v>3384</v>
      </c>
      <c r="C1512" s="693" t="str">
        <f t="shared" si="252"/>
        <v>深圳新阳蓝光能源管理科技股份有限公司</v>
      </c>
      <c r="D1512" s="1186" t="s">
        <v>3404</v>
      </c>
      <c r="E1512" s="1241" t="s">
        <v>1997</v>
      </c>
      <c r="F1512" s="1007">
        <f>ROUND(F1502-F1511,2)</f>
        <v>0</v>
      </c>
      <c r="G1512" s="1007">
        <f>ROUND(G1502-G1511,2)</f>
        <v>0</v>
      </c>
      <c r="H1512" s="1007">
        <f>ROUND(H1502-H1511-I1511,2)</f>
        <v>0</v>
      </c>
      <c r="I1512" s="1246"/>
      <c r="J1512" s="1246"/>
      <c r="X1512" s="768" t="b">
        <f t="shared" si="239"/>
        <v>1</v>
      </c>
    </row>
    <row r="1513" outlineLevel="2" spans="1:24">
      <c r="A1513" s="152" t="s">
        <v>3407</v>
      </c>
      <c r="B1513" s="1215" t="s">
        <v>3384</v>
      </c>
      <c r="C1513" s="693" t="str">
        <f t="shared" si="252"/>
        <v>深圳新阳蓝光能源管理科技股份有限公司</v>
      </c>
      <c r="D1513" s="1186" t="s">
        <v>3404</v>
      </c>
      <c r="E1513" s="153" t="s">
        <v>3408</v>
      </c>
      <c r="F1513" s="145"/>
      <c r="G1513" s="145"/>
      <c r="H1513" s="145"/>
      <c r="I1513" s="145"/>
      <c r="X1513" s="768" t="b">
        <f t="shared" si="239"/>
        <v>1</v>
      </c>
    </row>
    <row r="1514" outlineLevel="2" spans="1:24">
      <c r="A1514" s="152" t="s">
        <v>2809</v>
      </c>
      <c r="B1514" s="1215" t="s">
        <v>3384</v>
      </c>
      <c r="C1514" s="693" t="str">
        <f t="shared" si="252"/>
        <v>深圳新阳蓝光能源管理科技股份有限公司</v>
      </c>
      <c r="D1514" s="1186" t="s">
        <v>3404</v>
      </c>
      <c r="E1514" s="153" t="s">
        <v>2829</v>
      </c>
      <c r="F1514" s="1005"/>
      <c r="G1514" s="1005"/>
      <c r="H1514" s="1005"/>
      <c r="I1514" s="145"/>
      <c r="X1514" s="768" t="b">
        <f t="shared" si="239"/>
        <v>1</v>
      </c>
    </row>
    <row r="1515" outlineLevel="2" spans="1:24">
      <c r="A1515" s="152" t="s">
        <v>3409</v>
      </c>
      <c r="B1515" s="1215" t="s">
        <v>3384</v>
      </c>
      <c r="C1515" s="693" t="str">
        <f t="shared" si="252"/>
        <v>深圳新阳蓝光能源管理科技股份有限公司</v>
      </c>
      <c r="D1515" s="1163" t="s">
        <v>3409</v>
      </c>
      <c r="E1515" s="153" t="s">
        <v>3410</v>
      </c>
      <c r="F1515" s="145"/>
      <c r="G1515" s="145"/>
      <c r="H1515" s="145"/>
      <c r="I1515" s="145"/>
      <c r="X1515" s="768" t="b">
        <f t="shared" si="239"/>
        <v>1</v>
      </c>
    </row>
    <row r="1516" outlineLevel="2" spans="1:24">
      <c r="A1516" s="152" t="s">
        <v>2809</v>
      </c>
      <c r="B1516" s="1215" t="s">
        <v>3384</v>
      </c>
      <c r="C1516" s="693" t="str">
        <f t="shared" si="252"/>
        <v>深圳新阳蓝光能源管理科技股份有限公司</v>
      </c>
      <c r="D1516" s="1163" t="s">
        <v>3409</v>
      </c>
      <c r="E1516" s="153" t="s">
        <v>2829</v>
      </c>
      <c r="F1516" s="1005"/>
      <c r="G1516" s="1005"/>
      <c r="H1516" s="1005"/>
      <c r="I1516" s="145"/>
      <c r="X1516" s="768" t="b">
        <f t="shared" si="239"/>
        <v>1</v>
      </c>
    </row>
    <row r="1517" outlineLevel="2" spans="2:24">
      <c r="B1517" s="1215" t="s">
        <v>3384</v>
      </c>
      <c r="C1517" s="693" t="str">
        <f t="shared" si="252"/>
        <v>深圳新阳蓝光能源管理科技股份有限公司</v>
      </c>
      <c r="D1517" s="1163"/>
      <c r="E1517" s="153"/>
      <c r="F1517" s="145"/>
      <c r="G1517" s="145"/>
      <c r="H1517" s="145"/>
      <c r="I1517" s="145"/>
      <c r="X1517" s="768" t="b">
        <f t="shared" si="239"/>
        <v>1</v>
      </c>
    </row>
    <row r="1518" outlineLevel="2" spans="1:24">
      <c r="A1518" s="152" t="s">
        <v>2809</v>
      </c>
      <c r="B1518" s="1215" t="s">
        <v>3384</v>
      </c>
      <c r="C1518" s="693" t="str">
        <f t="shared" si="252"/>
        <v>深圳新阳蓝光能源管理科技股份有限公司</v>
      </c>
      <c r="D1518" s="1163"/>
      <c r="E1518" s="153" t="s">
        <v>2829</v>
      </c>
      <c r="F1518" s="1005"/>
      <c r="G1518" s="1005"/>
      <c r="H1518" s="1005"/>
      <c r="I1518" s="145"/>
      <c r="X1518" s="768" t="b">
        <f t="shared" ref="X1518:X1523" si="256">EXACT(A1518,E1518)</f>
        <v>1</v>
      </c>
    </row>
    <row r="1519" outlineLevel="2" spans="2:24">
      <c r="B1519" s="1215" t="s">
        <v>3384</v>
      </c>
      <c r="C1519" s="693" t="str">
        <f t="shared" si="252"/>
        <v>深圳新阳蓝光能源管理科技股份有限公司</v>
      </c>
      <c r="D1519" s="1163"/>
      <c r="E1519" s="153"/>
      <c r="F1519" s="145"/>
      <c r="G1519" s="145"/>
      <c r="H1519" s="145"/>
      <c r="I1519" s="145"/>
      <c r="X1519" s="768" t="b">
        <f t="shared" si="256"/>
        <v>1</v>
      </c>
    </row>
    <row r="1520" spans="1:24">
      <c r="A1520" s="152" t="s">
        <v>3411</v>
      </c>
      <c r="B1520" s="1207" t="s">
        <v>3412</v>
      </c>
      <c r="C1520" s="693" t="str">
        <f t="shared" si="252"/>
        <v>深圳新阳蓝光能源管理科技股份有限公司</v>
      </c>
      <c r="D1520" s="1186" t="s">
        <v>3413</v>
      </c>
      <c r="E1520" s="1233" t="s">
        <v>3414</v>
      </c>
      <c r="F1520" s="1191" t="s">
        <v>3163</v>
      </c>
      <c r="G1520" s="145"/>
      <c r="H1520" s="145"/>
      <c r="I1520" s="145"/>
      <c r="X1520" s="768" t="b">
        <f t="shared" si="256"/>
        <v>0</v>
      </c>
    </row>
    <row r="1521" outlineLevel="2" spans="1:24">
      <c r="A1521" s="152" t="s">
        <v>61</v>
      </c>
      <c r="B1521" s="1207" t="s">
        <v>3412</v>
      </c>
      <c r="C1521" s="693" t="str">
        <f t="shared" si="252"/>
        <v>深圳新阳蓝光能源管理科技股份有限公司</v>
      </c>
      <c r="D1521" s="1210" t="s">
        <v>3413</v>
      </c>
      <c r="E1521" s="132" t="s">
        <v>61</v>
      </c>
      <c r="F1521" s="132" t="s">
        <v>929</v>
      </c>
      <c r="G1521" s="132" t="s">
        <v>1971</v>
      </c>
      <c r="H1521" s="132" t="s">
        <v>1220</v>
      </c>
      <c r="I1521" s="132" t="s">
        <v>3415</v>
      </c>
      <c r="J1521" s="132" t="s">
        <v>818</v>
      </c>
      <c r="K1521" s="132" t="s">
        <v>1970</v>
      </c>
      <c r="L1521" s="140" t="s">
        <v>3416</v>
      </c>
      <c r="X1521" s="768" t="b">
        <f t="shared" si="256"/>
        <v>1</v>
      </c>
    </row>
    <row r="1522" outlineLevel="2" spans="2:24">
      <c r="B1522" s="1207" t="s">
        <v>3412</v>
      </c>
      <c r="C1522" s="693" t="str">
        <f t="shared" si="252"/>
        <v>深圳新阳蓝光能源管理科技股份有限公司</v>
      </c>
      <c r="D1522" s="1186" t="s">
        <v>3413</v>
      </c>
      <c r="E1522" s="1242" t="s">
        <v>3417</v>
      </c>
      <c r="F1522" s="1243"/>
      <c r="G1522" s="1243">
        <v>99456.65</v>
      </c>
      <c r="H1522" s="1243"/>
      <c r="I1522" s="1243">
        <v>99456.65</v>
      </c>
      <c r="J1522" s="1243"/>
      <c r="K1522" s="1247">
        <f>ROUND(G1522+H1522-I1522-J1522,2)</f>
        <v>0</v>
      </c>
      <c r="L1522" s="1203"/>
      <c r="X1522" s="768" t="b">
        <f t="shared" si="256"/>
        <v>0</v>
      </c>
    </row>
    <row r="1523" outlineLevel="2" spans="2:24">
      <c r="B1523" s="1207" t="s">
        <v>3412</v>
      </c>
      <c r="C1523" s="693" t="str">
        <f t="shared" si="252"/>
        <v>深圳新阳蓝光能源管理科技股份有限公司</v>
      </c>
      <c r="D1523" s="1210" t="s">
        <v>3413</v>
      </c>
      <c r="E1523" s="1244" t="s">
        <v>3418</v>
      </c>
      <c r="F1523" s="1245"/>
      <c r="G1523" s="1243">
        <v>85625.03</v>
      </c>
      <c r="H1523" s="1243"/>
      <c r="I1523" s="1243">
        <v>68499.96</v>
      </c>
      <c r="J1523" s="1243"/>
      <c r="K1523" s="1247">
        <f t="shared" ref="K1523:K1551" si="257">ROUND(G1523+H1523-I1523-J1523,2)</f>
        <v>17125.07</v>
      </c>
      <c r="L1523" s="1203"/>
      <c r="X1523" s="768" t="b">
        <f t="shared" si="256"/>
        <v>0</v>
      </c>
    </row>
    <row r="1524" outlineLevel="2" spans="2:24">
      <c r="B1524" s="1207" t="s">
        <v>3412</v>
      </c>
      <c r="C1524" s="693" t="str">
        <f t="shared" ref="C1524:C1543" si="258">$G$1</f>
        <v>深圳新阳蓝光能源管理科技股份有限公司</v>
      </c>
      <c r="D1524" s="1210" t="s">
        <v>3413</v>
      </c>
      <c r="E1524" s="1244" t="s">
        <v>3419</v>
      </c>
      <c r="F1524" s="1245"/>
      <c r="G1524" s="1243">
        <v>193333.34</v>
      </c>
      <c r="H1524" s="1243"/>
      <c r="I1524" s="1243">
        <v>39999.96</v>
      </c>
      <c r="J1524" s="1243"/>
      <c r="K1524" s="1247">
        <f t="shared" si="257"/>
        <v>153333.38</v>
      </c>
      <c r="L1524" s="1203"/>
      <c r="X1524" s="768" t="b">
        <f t="shared" ref="X1524:X1543" si="259">EXACT(A1524,E1524)</f>
        <v>0</v>
      </c>
    </row>
    <row r="1525" outlineLevel="2" spans="2:24">
      <c r="B1525" s="1207" t="s">
        <v>3412</v>
      </c>
      <c r="C1525" s="693" t="str">
        <f t="shared" si="258"/>
        <v>深圳新阳蓝光能源管理科技股份有限公司</v>
      </c>
      <c r="D1525" s="1210" t="s">
        <v>3413</v>
      </c>
      <c r="E1525" s="1244" t="s">
        <v>3420</v>
      </c>
      <c r="F1525" s="1245"/>
      <c r="G1525" s="1243"/>
      <c r="H1525" s="1243"/>
      <c r="I1525" s="1243"/>
      <c r="J1525" s="1243"/>
      <c r="K1525" s="1247">
        <f t="shared" si="257"/>
        <v>0</v>
      </c>
      <c r="L1525" s="1203"/>
      <c r="X1525" s="768" t="b">
        <f t="shared" si="259"/>
        <v>0</v>
      </c>
    </row>
    <row r="1526" outlineLevel="2" spans="2:24">
      <c r="B1526" s="1207" t="s">
        <v>3412</v>
      </c>
      <c r="C1526" s="693" t="str">
        <f t="shared" si="258"/>
        <v>深圳新阳蓝光能源管理科技股份有限公司</v>
      </c>
      <c r="D1526" s="1210" t="s">
        <v>3413</v>
      </c>
      <c r="E1526" s="1244" t="s">
        <v>3421</v>
      </c>
      <c r="F1526" s="1245"/>
      <c r="G1526" s="1243"/>
      <c r="H1526" s="1243"/>
      <c r="I1526" s="1243"/>
      <c r="J1526" s="1243"/>
      <c r="K1526" s="1247">
        <f t="shared" si="257"/>
        <v>0</v>
      </c>
      <c r="L1526" s="1203"/>
      <c r="X1526" s="768" t="b">
        <f t="shared" si="259"/>
        <v>0</v>
      </c>
    </row>
    <row r="1527" outlineLevel="2" spans="2:24">
      <c r="B1527" s="1207" t="s">
        <v>3412</v>
      </c>
      <c r="C1527" s="693" t="str">
        <f t="shared" si="258"/>
        <v>深圳新阳蓝光能源管理科技股份有限公司</v>
      </c>
      <c r="D1527" s="1210" t="s">
        <v>3413</v>
      </c>
      <c r="E1527" s="1244" t="s">
        <v>3422</v>
      </c>
      <c r="F1527" s="1245"/>
      <c r="G1527" s="1243"/>
      <c r="H1527" s="1243"/>
      <c r="I1527" s="1243"/>
      <c r="J1527" s="1243"/>
      <c r="K1527" s="1247">
        <f t="shared" si="257"/>
        <v>0</v>
      </c>
      <c r="L1527" s="1203"/>
      <c r="X1527" s="768" t="b">
        <f t="shared" si="259"/>
        <v>0</v>
      </c>
    </row>
    <row r="1528" outlineLevel="2" spans="2:24">
      <c r="B1528" s="1207" t="s">
        <v>3412</v>
      </c>
      <c r="C1528" s="693" t="str">
        <f t="shared" si="258"/>
        <v>深圳新阳蓝光能源管理科技股份有限公司</v>
      </c>
      <c r="D1528" s="1210" t="s">
        <v>3413</v>
      </c>
      <c r="E1528" s="1244" t="s">
        <v>3423</v>
      </c>
      <c r="F1528" s="1245"/>
      <c r="G1528" s="1243"/>
      <c r="H1528" s="1243"/>
      <c r="I1528" s="1243"/>
      <c r="J1528" s="1243"/>
      <c r="K1528" s="1247">
        <f t="shared" si="257"/>
        <v>0</v>
      </c>
      <c r="L1528" s="1203"/>
      <c r="X1528" s="768" t="b">
        <f t="shared" si="259"/>
        <v>0</v>
      </c>
    </row>
    <row r="1529" outlineLevel="2" spans="2:24">
      <c r="B1529" s="1207" t="s">
        <v>3412</v>
      </c>
      <c r="C1529" s="693" t="str">
        <f t="shared" si="258"/>
        <v>深圳新阳蓝光能源管理科技股份有限公司</v>
      </c>
      <c r="D1529" s="1210" t="s">
        <v>3413</v>
      </c>
      <c r="E1529" s="1244" t="s">
        <v>3424</v>
      </c>
      <c r="F1529" s="1245"/>
      <c r="G1529" s="1243"/>
      <c r="H1529" s="1243"/>
      <c r="I1529" s="1243"/>
      <c r="J1529" s="1243"/>
      <c r="K1529" s="1247">
        <f t="shared" si="257"/>
        <v>0</v>
      </c>
      <c r="L1529" s="1203"/>
      <c r="X1529" s="768" t="b">
        <f t="shared" si="259"/>
        <v>0</v>
      </c>
    </row>
    <row r="1530" outlineLevel="2" spans="2:24">
      <c r="B1530" s="1207" t="s">
        <v>3412</v>
      </c>
      <c r="C1530" s="693" t="str">
        <f t="shared" si="258"/>
        <v>深圳新阳蓝光能源管理科技股份有限公司</v>
      </c>
      <c r="D1530" s="1210" t="s">
        <v>3413</v>
      </c>
      <c r="E1530" s="1244" t="s">
        <v>3425</v>
      </c>
      <c r="F1530" s="1245"/>
      <c r="G1530" s="1243"/>
      <c r="H1530" s="1243"/>
      <c r="I1530" s="1243"/>
      <c r="J1530" s="1243"/>
      <c r="K1530" s="1247">
        <f t="shared" si="257"/>
        <v>0</v>
      </c>
      <c r="L1530" s="1203"/>
      <c r="X1530" s="768" t="b">
        <f t="shared" si="259"/>
        <v>0</v>
      </c>
    </row>
    <row r="1531" outlineLevel="2" spans="2:24">
      <c r="B1531" s="1207" t="s">
        <v>3412</v>
      </c>
      <c r="C1531" s="693" t="str">
        <f t="shared" si="258"/>
        <v>深圳新阳蓝光能源管理科技股份有限公司</v>
      </c>
      <c r="D1531" s="1210" t="s">
        <v>3413</v>
      </c>
      <c r="E1531" s="1244" t="s">
        <v>3426</v>
      </c>
      <c r="F1531" s="1245"/>
      <c r="G1531" s="1243"/>
      <c r="H1531" s="1243"/>
      <c r="I1531" s="1243"/>
      <c r="J1531" s="1243"/>
      <c r="K1531" s="1247">
        <f t="shared" si="257"/>
        <v>0</v>
      </c>
      <c r="L1531" s="1203"/>
      <c r="X1531" s="768" t="b">
        <f t="shared" ref="X1531:X1542" si="260">EXACT(A1531,E1531)</f>
        <v>0</v>
      </c>
    </row>
    <row r="1532" outlineLevel="3" spans="2:24">
      <c r="B1532" s="1207" t="s">
        <v>3412</v>
      </c>
      <c r="C1532" s="693" t="str">
        <f t="shared" si="258"/>
        <v>深圳新阳蓝光能源管理科技股份有限公司</v>
      </c>
      <c r="D1532" s="1210" t="s">
        <v>3413</v>
      </c>
      <c r="E1532" s="1244" t="s">
        <v>3427</v>
      </c>
      <c r="F1532" s="1245"/>
      <c r="G1532" s="1243"/>
      <c r="H1532" s="1243"/>
      <c r="I1532" s="1243"/>
      <c r="J1532" s="1243"/>
      <c r="K1532" s="1247">
        <f t="shared" si="257"/>
        <v>0</v>
      </c>
      <c r="L1532" s="1203"/>
      <c r="X1532" s="768" t="b">
        <f t="shared" si="260"/>
        <v>0</v>
      </c>
    </row>
    <row r="1533" outlineLevel="3" spans="2:24">
      <c r="B1533" s="1207" t="s">
        <v>3412</v>
      </c>
      <c r="C1533" s="693" t="str">
        <f t="shared" si="258"/>
        <v>深圳新阳蓝光能源管理科技股份有限公司</v>
      </c>
      <c r="D1533" s="1210" t="s">
        <v>3413</v>
      </c>
      <c r="E1533" s="1244" t="s">
        <v>3428</v>
      </c>
      <c r="F1533" s="1245"/>
      <c r="G1533" s="1243"/>
      <c r="H1533" s="1243"/>
      <c r="I1533" s="1243"/>
      <c r="J1533" s="1243"/>
      <c r="K1533" s="1247">
        <f t="shared" si="257"/>
        <v>0</v>
      </c>
      <c r="L1533" s="1203"/>
      <c r="X1533" s="768" t="b">
        <f t="shared" si="260"/>
        <v>0</v>
      </c>
    </row>
    <row r="1534" outlineLevel="3" spans="2:24">
      <c r="B1534" s="1207" t="s">
        <v>3412</v>
      </c>
      <c r="C1534" s="693" t="str">
        <f t="shared" si="258"/>
        <v>深圳新阳蓝光能源管理科技股份有限公司</v>
      </c>
      <c r="D1534" s="1210" t="s">
        <v>3413</v>
      </c>
      <c r="E1534" s="1244" t="s">
        <v>3429</v>
      </c>
      <c r="F1534" s="1245"/>
      <c r="G1534" s="1243"/>
      <c r="H1534" s="1243"/>
      <c r="I1534" s="1243"/>
      <c r="J1534" s="1243"/>
      <c r="K1534" s="1247">
        <f t="shared" si="257"/>
        <v>0</v>
      </c>
      <c r="L1534" s="1203"/>
      <c r="X1534" s="768" t="b">
        <f t="shared" si="260"/>
        <v>0</v>
      </c>
    </row>
    <row r="1535" outlineLevel="3" spans="2:24">
      <c r="B1535" s="1207" t="s">
        <v>3412</v>
      </c>
      <c r="C1535" s="693" t="str">
        <f t="shared" si="258"/>
        <v>深圳新阳蓝光能源管理科技股份有限公司</v>
      </c>
      <c r="D1535" s="1210" t="s">
        <v>3413</v>
      </c>
      <c r="E1535" s="1244" t="s">
        <v>3430</v>
      </c>
      <c r="F1535" s="1245"/>
      <c r="G1535" s="1243"/>
      <c r="H1535" s="1243"/>
      <c r="I1535" s="1243"/>
      <c r="J1535" s="1243"/>
      <c r="K1535" s="1247">
        <f t="shared" si="257"/>
        <v>0</v>
      </c>
      <c r="L1535" s="1203"/>
      <c r="X1535" s="768" t="b">
        <f t="shared" si="260"/>
        <v>0</v>
      </c>
    </row>
    <row r="1536" outlineLevel="3" spans="2:24">
      <c r="B1536" s="1207" t="s">
        <v>3412</v>
      </c>
      <c r="C1536" s="693" t="str">
        <f t="shared" si="258"/>
        <v>深圳新阳蓝光能源管理科技股份有限公司</v>
      </c>
      <c r="D1536" s="1210" t="s">
        <v>3413</v>
      </c>
      <c r="E1536" s="1244" t="s">
        <v>3431</v>
      </c>
      <c r="F1536" s="1245"/>
      <c r="G1536" s="1243"/>
      <c r="H1536" s="1243"/>
      <c r="I1536" s="1243"/>
      <c r="J1536" s="1243"/>
      <c r="K1536" s="1247">
        <f t="shared" si="257"/>
        <v>0</v>
      </c>
      <c r="L1536" s="1203"/>
      <c r="X1536" s="768" t="b">
        <f t="shared" ref="X1536:X1539" si="261">EXACT(A1536,E1536)</f>
        <v>0</v>
      </c>
    </row>
    <row r="1537" hidden="1" outlineLevel="3" spans="2:24">
      <c r="B1537" s="1207" t="s">
        <v>3412</v>
      </c>
      <c r="C1537" s="693" t="str">
        <f t="shared" si="258"/>
        <v>深圳新阳蓝光能源管理科技股份有限公司</v>
      </c>
      <c r="D1537" s="1210" t="s">
        <v>3413</v>
      </c>
      <c r="E1537" s="1244" t="s">
        <v>3432</v>
      </c>
      <c r="F1537" s="1245"/>
      <c r="G1537" s="1243"/>
      <c r="H1537" s="1243"/>
      <c r="I1537" s="1243"/>
      <c r="J1537" s="1243"/>
      <c r="K1537" s="1247">
        <f t="shared" si="257"/>
        <v>0</v>
      </c>
      <c r="L1537" s="1203"/>
      <c r="X1537" s="768" t="b">
        <f t="shared" si="261"/>
        <v>0</v>
      </c>
    </row>
    <row r="1538" hidden="1" outlineLevel="3" spans="2:24">
      <c r="B1538" s="1207" t="s">
        <v>3412</v>
      </c>
      <c r="C1538" s="693" t="str">
        <f t="shared" si="258"/>
        <v>深圳新阳蓝光能源管理科技股份有限公司</v>
      </c>
      <c r="D1538" s="1210" t="s">
        <v>3413</v>
      </c>
      <c r="E1538" s="1244" t="s">
        <v>3433</v>
      </c>
      <c r="F1538" s="1245"/>
      <c r="G1538" s="1243"/>
      <c r="H1538" s="1243"/>
      <c r="I1538" s="1243"/>
      <c r="J1538" s="1243"/>
      <c r="K1538" s="1247">
        <f t="shared" si="257"/>
        <v>0</v>
      </c>
      <c r="L1538" s="1203"/>
      <c r="X1538" s="768" t="b">
        <f t="shared" si="261"/>
        <v>0</v>
      </c>
    </row>
    <row r="1539" hidden="1" outlineLevel="3" spans="2:24">
      <c r="B1539" s="1207" t="s">
        <v>3412</v>
      </c>
      <c r="C1539" s="693" t="str">
        <f t="shared" si="258"/>
        <v>深圳新阳蓝光能源管理科技股份有限公司</v>
      </c>
      <c r="D1539" s="1210" t="s">
        <v>3413</v>
      </c>
      <c r="E1539" s="1244" t="s">
        <v>3434</v>
      </c>
      <c r="F1539" s="1245"/>
      <c r="G1539" s="1243"/>
      <c r="H1539" s="1243"/>
      <c r="I1539" s="1243"/>
      <c r="J1539" s="1243"/>
      <c r="K1539" s="1247">
        <f t="shared" si="257"/>
        <v>0</v>
      </c>
      <c r="L1539" s="1203"/>
      <c r="X1539" s="768" t="b">
        <f t="shared" si="261"/>
        <v>0</v>
      </c>
    </row>
    <row r="1540" hidden="1" outlineLevel="3" spans="2:24">
      <c r="B1540" s="1207" t="s">
        <v>3412</v>
      </c>
      <c r="C1540" s="693" t="str">
        <f t="shared" si="258"/>
        <v>深圳新阳蓝光能源管理科技股份有限公司</v>
      </c>
      <c r="D1540" s="1210" t="s">
        <v>3413</v>
      </c>
      <c r="E1540" s="1244" t="s">
        <v>3435</v>
      </c>
      <c r="F1540" s="1245"/>
      <c r="G1540" s="1243"/>
      <c r="H1540" s="1243"/>
      <c r="I1540" s="1243"/>
      <c r="J1540" s="1243"/>
      <c r="K1540" s="1247">
        <f t="shared" si="257"/>
        <v>0</v>
      </c>
      <c r="L1540" s="1203"/>
      <c r="X1540" s="768" t="b">
        <f t="shared" si="260"/>
        <v>0</v>
      </c>
    </row>
    <row r="1541" hidden="1" outlineLevel="3" spans="2:24">
      <c r="B1541" s="1207" t="s">
        <v>3412</v>
      </c>
      <c r="C1541" s="693" t="str">
        <f t="shared" si="258"/>
        <v>深圳新阳蓝光能源管理科技股份有限公司</v>
      </c>
      <c r="D1541" s="1210" t="s">
        <v>3413</v>
      </c>
      <c r="E1541" s="1244" t="s">
        <v>3436</v>
      </c>
      <c r="F1541" s="1245"/>
      <c r="G1541" s="1243"/>
      <c r="H1541" s="1243"/>
      <c r="I1541" s="1243"/>
      <c r="J1541" s="1243"/>
      <c r="K1541" s="1247">
        <f t="shared" si="257"/>
        <v>0</v>
      </c>
      <c r="L1541" s="1203"/>
      <c r="X1541" s="768" t="b">
        <f t="shared" si="260"/>
        <v>0</v>
      </c>
    </row>
    <row r="1542" hidden="1" outlineLevel="3" spans="2:24">
      <c r="B1542" s="1207" t="s">
        <v>3412</v>
      </c>
      <c r="C1542" s="693" t="str">
        <f t="shared" si="258"/>
        <v>深圳新阳蓝光能源管理科技股份有限公司</v>
      </c>
      <c r="D1542" s="1210" t="s">
        <v>3413</v>
      </c>
      <c r="E1542" s="1244" t="s">
        <v>3437</v>
      </c>
      <c r="F1542" s="1245"/>
      <c r="G1542" s="1243"/>
      <c r="H1542" s="1243"/>
      <c r="I1542" s="1243"/>
      <c r="J1542" s="1243"/>
      <c r="K1542" s="1247">
        <f t="shared" si="257"/>
        <v>0</v>
      </c>
      <c r="L1542" s="1203"/>
      <c r="X1542" s="768" t="b">
        <f t="shared" si="260"/>
        <v>0</v>
      </c>
    </row>
    <row r="1543" hidden="1" outlineLevel="3" spans="2:24">
      <c r="B1543" s="1207" t="s">
        <v>3412</v>
      </c>
      <c r="C1543" s="693" t="str">
        <f t="shared" si="258"/>
        <v>深圳新阳蓝光能源管理科技股份有限公司</v>
      </c>
      <c r="D1543" s="1210" t="s">
        <v>3413</v>
      </c>
      <c r="E1543" s="1244" t="s">
        <v>3438</v>
      </c>
      <c r="F1543" s="1245"/>
      <c r="G1543" s="1243"/>
      <c r="H1543" s="1243"/>
      <c r="I1543" s="1243"/>
      <c r="J1543" s="1243"/>
      <c r="K1543" s="1247">
        <f t="shared" si="257"/>
        <v>0</v>
      </c>
      <c r="L1543" s="1203"/>
      <c r="X1543" s="768" t="b">
        <f t="shared" si="259"/>
        <v>0</v>
      </c>
    </row>
    <row r="1544" hidden="1" outlineLevel="3" spans="2:24">
      <c r="B1544" s="1207" t="s">
        <v>3412</v>
      </c>
      <c r="C1544" s="693" t="str">
        <f t="shared" ref="C1544:C1607" si="262">$G$1</f>
        <v>深圳新阳蓝光能源管理科技股份有限公司</v>
      </c>
      <c r="D1544" s="1186" t="s">
        <v>3413</v>
      </c>
      <c r="E1544" s="1244" t="s">
        <v>3439</v>
      </c>
      <c r="F1544" s="1245"/>
      <c r="G1544" s="1243"/>
      <c r="H1544" s="1243"/>
      <c r="I1544" s="1243"/>
      <c r="J1544" s="1243"/>
      <c r="K1544" s="1247">
        <f t="shared" si="257"/>
        <v>0</v>
      </c>
      <c r="L1544" s="1203"/>
      <c r="X1544" s="768" t="b">
        <f t="shared" ref="X1544:X1607" si="263">EXACT(A1544,E1544)</f>
        <v>0</v>
      </c>
    </row>
    <row r="1545" hidden="1" outlineLevel="3" spans="2:24">
      <c r="B1545" s="1207" t="s">
        <v>3412</v>
      </c>
      <c r="C1545" s="693" t="str">
        <f t="shared" si="262"/>
        <v>深圳新阳蓝光能源管理科技股份有限公司</v>
      </c>
      <c r="D1545" s="1210" t="s">
        <v>3413</v>
      </c>
      <c r="E1545" s="1244" t="s">
        <v>3440</v>
      </c>
      <c r="F1545" s="1245"/>
      <c r="G1545" s="1243"/>
      <c r="H1545" s="1243"/>
      <c r="I1545" s="1243"/>
      <c r="J1545" s="1243"/>
      <c r="K1545" s="1247">
        <f t="shared" si="257"/>
        <v>0</v>
      </c>
      <c r="L1545" s="1203"/>
      <c r="X1545" s="768" t="b">
        <f t="shared" si="263"/>
        <v>0</v>
      </c>
    </row>
    <row r="1546" hidden="1" outlineLevel="3" spans="2:24">
      <c r="B1546" s="1207" t="s">
        <v>3412</v>
      </c>
      <c r="C1546" s="693" t="str">
        <f t="shared" si="262"/>
        <v>深圳新阳蓝光能源管理科技股份有限公司</v>
      </c>
      <c r="D1546" s="1186" t="s">
        <v>3413</v>
      </c>
      <c r="E1546" s="1244" t="s">
        <v>3441</v>
      </c>
      <c r="F1546" s="136"/>
      <c r="G1546" s="136"/>
      <c r="H1546" s="136"/>
      <c r="I1546" s="136"/>
      <c r="J1546" s="815"/>
      <c r="K1546" s="1247">
        <f t="shared" si="257"/>
        <v>0</v>
      </c>
      <c r="L1546" s="1203"/>
      <c r="X1546" s="768" t="b">
        <f t="shared" si="263"/>
        <v>0</v>
      </c>
    </row>
    <row r="1547" hidden="1" outlineLevel="3" spans="2:24">
      <c r="B1547" s="1207" t="s">
        <v>3412</v>
      </c>
      <c r="C1547" s="693" t="str">
        <f t="shared" si="262"/>
        <v>深圳新阳蓝光能源管理科技股份有限公司</v>
      </c>
      <c r="D1547" s="1210" t="s">
        <v>3413</v>
      </c>
      <c r="E1547" s="1244" t="s">
        <v>3442</v>
      </c>
      <c r="F1547" s="136"/>
      <c r="G1547" s="136"/>
      <c r="H1547" s="136"/>
      <c r="I1547" s="136"/>
      <c r="J1547" s="815"/>
      <c r="K1547" s="1247">
        <f t="shared" si="257"/>
        <v>0</v>
      </c>
      <c r="L1547" s="1203"/>
      <c r="X1547" s="768" t="b">
        <f t="shared" si="263"/>
        <v>0</v>
      </c>
    </row>
    <row r="1548" hidden="1" outlineLevel="3" spans="2:24">
      <c r="B1548" s="1207" t="s">
        <v>3412</v>
      </c>
      <c r="C1548" s="693" t="str">
        <f t="shared" si="262"/>
        <v>深圳新阳蓝光能源管理科技股份有限公司</v>
      </c>
      <c r="D1548" s="1186" t="s">
        <v>3413</v>
      </c>
      <c r="E1548" s="1244" t="s">
        <v>3443</v>
      </c>
      <c r="F1548" s="136"/>
      <c r="G1548" s="136"/>
      <c r="H1548" s="136"/>
      <c r="I1548" s="136"/>
      <c r="J1548" s="815"/>
      <c r="K1548" s="1247">
        <f t="shared" si="257"/>
        <v>0</v>
      </c>
      <c r="L1548" s="1203"/>
      <c r="X1548" s="768" t="b">
        <f t="shared" si="263"/>
        <v>0</v>
      </c>
    </row>
    <row r="1549" hidden="1" outlineLevel="3" spans="2:24">
      <c r="B1549" s="1207" t="s">
        <v>3412</v>
      </c>
      <c r="C1549" s="693" t="str">
        <f t="shared" si="262"/>
        <v>深圳新阳蓝光能源管理科技股份有限公司</v>
      </c>
      <c r="D1549" s="1210" t="s">
        <v>3413</v>
      </c>
      <c r="E1549" s="1244" t="s">
        <v>3444</v>
      </c>
      <c r="F1549" s="136"/>
      <c r="G1549" s="136"/>
      <c r="H1549" s="136"/>
      <c r="I1549" s="136"/>
      <c r="J1549" s="815"/>
      <c r="K1549" s="1247">
        <f t="shared" si="257"/>
        <v>0</v>
      </c>
      <c r="L1549" s="1203"/>
      <c r="X1549" s="768" t="b">
        <f t="shared" si="263"/>
        <v>0</v>
      </c>
    </row>
    <row r="1550" hidden="1" outlineLevel="3" spans="2:24">
      <c r="B1550" s="1207" t="s">
        <v>3412</v>
      </c>
      <c r="C1550" s="693" t="str">
        <f t="shared" si="262"/>
        <v>深圳新阳蓝光能源管理科技股份有限公司</v>
      </c>
      <c r="D1550" s="1210" t="s">
        <v>3413</v>
      </c>
      <c r="E1550" s="1244" t="s">
        <v>3445</v>
      </c>
      <c r="F1550" s="136"/>
      <c r="G1550" s="136"/>
      <c r="H1550" s="136"/>
      <c r="I1550" s="136"/>
      <c r="J1550" s="815"/>
      <c r="K1550" s="1247">
        <f t="shared" si="257"/>
        <v>0</v>
      </c>
      <c r="L1550" s="1203"/>
      <c r="X1550" s="768" t="b">
        <f t="shared" si="263"/>
        <v>0</v>
      </c>
    </row>
    <row r="1551" hidden="1" outlineLevel="3" spans="2:24">
      <c r="B1551" s="1207" t="s">
        <v>3412</v>
      </c>
      <c r="C1551" s="693" t="str">
        <f t="shared" si="262"/>
        <v>深圳新阳蓝光能源管理科技股份有限公司</v>
      </c>
      <c r="D1551" s="1186" t="s">
        <v>3413</v>
      </c>
      <c r="E1551" s="1244" t="s">
        <v>3446</v>
      </c>
      <c r="F1551" s="136"/>
      <c r="G1551" s="136"/>
      <c r="H1551" s="136"/>
      <c r="I1551" s="136"/>
      <c r="J1551" s="815"/>
      <c r="K1551" s="1247">
        <f t="shared" si="257"/>
        <v>0</v>
      </c>
      <c r="L1551" s="1203"/>
      <c r="X1551" s="768" t="b">
        <f t="shared" si="263"/>
        <v>0</v>
      </c>
    </row>
    <row r="1552" outlineLevel="2" spans="1:24">
      <c r="A1552" s="152" t="s">
        <v>2021</v>
      </c>
      <c r="B1552" s="1207" t="s">
        <v>3412</v>
      </c>
      <c r="C1552" s="693" t="str">
        <f t="shared" si="262"/>
        <v>深圳新阳蓝光能源管理科技股份有限公司</v>
      </c>
      <c r="D1552" s="1210" t="s">
        <v>3413</v>
      </c>
      <c r="E1552" s="923" t="s">
        <v>2021</v>
      </c>
      <c r="F1552" s="139">
        <f t="shared" ref="F1552:G1552" si="264">ROUND(SUM(F1522:F1551),2)</f>
        <v>0</v>
      </c>
      <c r="G1552" s="139">
        <f t="shared" si="264"/>
        <v>378415.02</v>
      </c>
      <c r="H1552" s="139">
        <f t="shared" ref="H1552:K1552" si="265">ROUND(SUM(H1522:H1551),2)</f>
        <v>0</v>
      </c>
      <c r="I1552" s="139">
        <f t="shared" si="265"/>
        <v>207956.57</v>
      </c>
      <c r="J1552" s="139">
        <f t="shared" si="265"/>
        <v>0</v>
      </c>
      <c r="K1552" s="139">
        <f t="shared" si="265"/>
        <v>170458.45</v>
      </c>
      <c r="L1552" s="1204"/>
      <c r="X1552" s="768" t="b">
        <f t="shared" si="263"/>
        <v>1</v>
      </c>
    </row>
    <row r="1553" outlineLevel="2" spans="1:24">
      <c r="A1553" s="152" t="s">
        <v>1723</v>
      </c>
      <c r="B1553" s="1207" t="s">
        <v>3412</v>
      </c>
      <c r="C1553" s="693" t="str">
        <f t="shared" si="262"/>
        <v>深圳新阳蓝光能源管理科技股份有限公司</v>
      </c>
      <c r="D1553" s="1186" t="s">
        <v>3413</v>
      </c>
      <c r="E1553" s="1113" t="s">
        <v>1723</v>
      </c>
      <c r="F1553" s="145"/>
      <c r="G1553" s="817">
        <f>审定资负表!D36</f>
        <v>378415.02</v>
      </c>
      <c r="H1553" s="145"/>
      <c r="I1553" s="145"/>
      <c r="J1553" s="145"/>
      <c r="K1553" s="817">
        <f>审定资负表!C36</f>
        <v>170458.45</v>
      </c>
      <c r="X1553" s="768" t="b">
        <f t="shared" si="263"/>
        <v>1</v>
      </c>
    </row>
    <row r="1554" outlineLevel="1" collapsed="1" spans="1:24">
      <c r="A1554" s="152" t="s">
        <v>1395</v>
      </c>
      <c r="B1554" s="1207" t="s">
        <v>3412</v>
      </c>
      <c r="C1554" s="693" t="str">
        <f t="shared" si="262"/>
        <v>深圳新阳蓝光能源管理科技股份有限公司</v>
      </c>
      <c r="D1554" s="1210" t="s">
        <v>3413</v>
      </c>
      <c r="E1554" s="1115" t="s">
        <v>1395</v>
      </c>
      <c r="F1554" s="145"/>
      <c r="G1554" s="92">
        <f>ROUND(G1552-G1553,2)</f>
        <v>0</v>
      </c>
      <c r="H1554" s="145"/>
      <c r="I1554" s="145"/>
      <c r="J1554" s="145"/>
      <c r="K1554" s="92">
        <f>ROUND(K1552-K1553,2)</f>
        <v>0</v>
      </c>
      <c r="X1554" s="768" t="b">
        <f t="shared" si="263"/>
        <v>1</v>
      </c>
    </row>
    <row r="1555" hidden="1" outlineLevel="2" spans="2:24">
      <c r="B1555" s="1207" t="s">
        <v>3412</v>
      </c>
      <c r="C1555" s="693" t="str">
        <f t="shared" si="262"/>
        <v>深圳新阳蓝光能源管理科技股份有限公司</v>
      </c>
      <c r="D1555" s="1186" t="s">
        <v>3413</v>
      </c>
      <c r="E1555" s="153"/>
      <c r="F1555" s="145"/>
      <c r="G1555" s="145"/>
      <c r="H1555" s="145"/>
      <c r="I1555" s="145"/>
      <c r="J1555" s="145"/>
      <c r="K1555" s="145"/>
      <c r="X1555" s="768" t="b">
        <f t="shared" si="263"/>
        <v>1</v>
      </c>
    </row>
    <row r="1556" hidden="1" outlineLevel="2" spans="1:24">
      <c r="A1556" s="152" t="s">
        <v>2809</v>
      </c>
      <c r="B1556" s="1207" t="s">
        <v>3412</v>
      </c>
      <c r="C1556" s="693" t="str">
        <f t="shared" si="262"/>
        <v>深圳新阳蓝光能源管理科技股份有限公司</v>
      </c>
      <c r="D1556" s="1210" t="s">
        <v>3413</v>
      </c>
      <c r="E1556" s="153" t="s">
        <v>2829</v>
      </c>
      <c r="F1556" s="1005"/>
      <c r="G1556" s="1005"/>
      <c r="H1556" s="1005"/>
      <c r="I1556" s="145"/>
      <c r="X1556" s="768" t="b">
        <f t="shared" si="263"/>
        <v>1</v>
      </c>
    </row>
    <row r="1557" ht="18" customHeight="1" spans="1:24">
      <c r="A1557" s="152" t="s">
        <v>3447</v>
      </c>
      <c r="B1557" s="1207" t="s">
        <v>3448</v>
      </c>
      <c r="C1557" s="693" t="str">
        <f t="shared" si="262"/>
        <v>深圳新阳蓝光能源管理科技股份有限公司</v>
      </c>
      <c r="D1557" s="1210" t="s">
        <v>3449</v>
      </c>
      <c r="E1557" s="70" t="s">
        <v>3450</v>
      </c>
      <c r="F1557" s="1191" t="s">
        <v>3163</v>
      </c>
      <c r="G1557" s="145"/>
      <c r="H1557" s="145"/>
      <c r="I1557" s="145"/>
      <c r="X1557" s="768" t="b">
        <f t="shared" si="263"/>
        <v>1</v>
      </c>
    </row>
    <row r="1558" outlineLevel="2" spans="1:24">
      <c r="A1558" s="152" t="s">
        <v>3451</v>
      </c>
      <c r="B1558" s="1207" t="s">
        <v>3448</v>
      </c>
      <c r="C1558" s="693" t="str">
        <f t="shared" si="262"/>
        <v>深圳新阳蓝光能源管理科技股份有限公司</v>
      </c>
      <c r="D1558" s="1248" t="s">
        <v>3449</v>
      </c>
      <c r="E1558" s="1249" t="s">
        <v>3452</v>
      </c>
      <c r="F1558" s="1250"/>
      <c r="G1558" s="1250"/>
      <c r="H1558" s="1250"/>
      <c r="I1558" s="1250"/>
      <c r="X1558" s="768" t="b">
        <f t="shared" si="263"/>
        <v>1</v>
      </c>
    </row>
    <row r="1559" outlineLevel="2" spans="1:24">
      <c r="A1559" s="152" t="s">
        <v>669</v>
      </c>
      <c r="B1559" s="1207" t="s">
        <v>3448</v>
      </c>
      <c r="C1559" s="693" t="str">
        <f t="shared" si="262"/>
        <v>深圳新阳蓝光能源管理科技股份有限公司</v>
      </c>
      <c r="D1559" s="1210" t="s">
        <v>3453</v>
      </c>
      <c r="E1559" s="1251" t="s">
        <v>669</v>
      </c>
      <c r="F1559" s="1251" t="s">
        <v>926</v>
      </c>
      <c r="G1559" s="1251" t="s">
        <v>3130</v>
      </c>
      <c r="H1559" s="1251" t="s">
        <v>672</v>
      </c>
      <c r="I1559" s="1251" t="s">
        <v>673</v>
      </c>
      <c r="J1559" s="1251" t="s">
        <v>627</v>
      </c>
      <c r="X1559" s="768" t="b">
        <f t="shared" si="263"/>
        <v>1</v>
      </c>
    </row>
    <row r="1560" outlineLevel="2" spans="2:24">
      <c r="B1560" s="1207" t="s">
        <v>3448</v>
      </c>
      <c r="C1560" s="693" t="str">
        <f t="shared" si="262"/>
        <v>深圳新阳蓝光能源管理科技股份有限公司</v>
      </c>
      <c r="D1560" s="1248" t="s">
        <v>3453</v>
      </c>
      <c r="E1560" s="1252"/>
      <c r="F1560" s="1252"/>
      <c r="G1560" s="1253"/>
      <c r="H1560" s="1253"/>
      <c r="I1560" s="1253"/>
      <c r="J1560" s="1256">
        <f>G1560+H1560-I1560</f>
        <v>0</v>
      </c>
      <c r="X1560" s="768" t="b">
        <f t="shared" si="263"/>
        <v>1</v>
      </c>
    </row>
    <row r="1561" outlineLevel="2" spans="2:24">
      <c r="B1561" s="1207" t="s">
        <v>3448</v>
      </c>
      <c r="C1561" s="693" t="str">
        <f t="shared" si="262"/>
        <v>深圳新阳蓝光能源管理科技股份有限公司</v>
      </c>
      <c r="D1561" s="1210" t="s">
        <v>3453</v>
      </c>
      <c r="E1561" s="1252"/>
      <c r="F1561" s="1252"/>
      <c r="G1561" s="1253"/>
      <c r="H1561" s="1253"/>
      <c r="I1561" s="1253"/>
      <c r="J1561" s="1256">
        <f t="shared" ref="J1561:J1564" si="266">G1561+H1561-I1561</f>
        <v>0</v>
      </c>
      <c r="X1561" s="768" t="b">
        <f t="shared" si="263"/>
        <v>1</v>
      </c>
    </row>
    <row r="1562" outlineLevel="2" spans="2:24">
      <c r="B1562" s="1207" t="s">
        <v>3448</v>
      </c>
      <c r="C1562" s="693" t="str">
        <f t="shared" si="262"/>
        <v>深圳新阳蓝光能源管理科技股份有限公司</v>
      </c>
      <c r="D1562" s="1248" t="s">
        <v>3453</v>
      </c>
      <c r="E1562" s="1252"/>
      <c r="F1562" s="1252"/>
      <c r="G1562" s="1253"/>
      <c r="H1562" s="1253"/>
      <c r="I1562" s="1253"/>
      <c r="J1562" s="1256">
        <f t="shared" si="266"/>
        <v>0</v>
      </c>
      <c r="X1562" s="768" t="b">
        <f t="shared" si="263"/>
        <v>1</v>
      </c>
    </row>
    <row r="1563" outlineLevel="2" spans="2:24">
      <c r="B1563" s="1207" t="s">
        <v>3448</v>
      </c>
      <c r="C1563" s="693" t="str">
        <f t="shared" si="262"/>
        <v>深圳新阳蓝光能源管理科技股份有限公司</v>
      </c>
      <c r="D1563" s="1210" t="s">
        <v>3453</v>
      </c>
      <c r="E1563" s="1252"/>
      <c r="F1563" s="1252"/>
      <c r="G1563" s="1253"/>
      <c r="H1563" s="1253"/>
      <c r="I1563" s="1253"/>
      <c r="J1563" s="1256">
        <f t="shared" si="266"/>
        <v>0</v>
      </c>
      <c r="X1563" s="768" t="b">
        <f t="shared" si="263"/>
        <v>1</v>
      </c>
    </row>
    <row r="1564" outlineLevel="2" spans="2:24">
      <c r="B1564" s="1207" t="s">
        <v>3448</v>
      </c>
      <c r="C1564" s="693" t="str">
        <f t="shared" si="262"/>
        <v>深圳新阳蓝光能源管理科技股份有限公司</v>
      </c>
      <c r="D1564" s="1248" t="s">
        <v>3453</v>
      </c>
      <c r="E1564" s="1252"/>
      <c r="F1564" s="1252"/>
      <c r="G1564" s="1253"/>
      <c r="H1564" s="1253"/>
      <c r="I1564" s="1253"/>
      <c r="J1564" s="1256">
        <f t="shared" si="266"/>
        <v>0</v>
      </c>
      <c r="X1564" s="768" t="b">
        <f t="shared" si="263"/>
        <v>1</v>
      </c>
    </row>
    <row r="1565" outlineLevel="2" spans="2:24">
      <c r="B1565" s="1207" t="s">
        <v>3448</v>
      </c>
      <c r="C1565" s="693" t="str">
        <f t="shared" si="262"/>
        <v>深圳新阳蓝光能源管理科技股份有限公司</v>
      </c>
      <c r="D1565" s="1210" t="s">
        <v>3453</v>
      </c>
      <c r="E1565" s="1254"/>
      <c r="F1565" s="1255" t="s">
        <v>3454</v>
      </c>
      <c r="G1565" s="1256">
        <f>SUM(G1560:G1564)</f>
        <v>0</v>
      </c>
      <c r="H1565" s="1256">
        <f>SUM(H1560:H1564)</f>
        <v>0</v>
      </c>
      <c r="I1565" s="1256">
        <f>SUM(I1560:I1564)</f>
        <v>0</v>
      </c>
      <c r="J1565" s="1256">
        <f>SUM(J1560:J1564)</f>
        <v>0</v>
      </c>
      <c r="X1565" s="768" t="b">
        <f t="shared" si="263"/>
        <v>1</v>
      </c>
    </row>
    <row r="1566" outlineLevel="2" spans="2:24">
      <c r="B1566" s="1207" t="s">
        <v>3448</v>
      </c>
      <c r="C1566" s="693" t="str">
        <f t="shared" si="262"/>
        <v>深圳新阳蓝光能源管理科技股份有限公司</v>
      </c>
      <c r="D1566" s="1248" t="s">
        <v>3453</v>
      </c>
      <c r="E1566" s="1257"/>
      <c r="F1566" s="1250"/>
      <c r="G1566" s="1250"/>
      <c r="H1566" s="1250"/>
      <c r="I1566" s="1250"/>
      <c r="X1566" s="768" t="b">
        <f t="shared" si="263"/>
        <v>1</v>
      </c>
    </row>
    <row r="1567" outlineLevel="2" spans="1:24">
      <c r="A1567" s="152" t="s">
        <v>3455</v>
      </c>
      <c r="B1567" s="1207" t="s">
        <v>3448</v>
      </c>
      <c r="C1567" s="693" t="str">
        <f t="shared" si="262"/>
        <v>深圳新阳蓝光能源管理科技股份有限公司</v>
      </c>
      <c r="D1567" s="1258" t="s">
        <v>3456</v>
      </c>
      <c r="E1567" s="1249" t="s">
        <v>3457</v>
      </c>
      <c r="F1567" s="1250"/>
      <c r="G1567" s="1250"/>
      <c r="H1567" s="1250"/>
      <c r="I1567" s="1250"/>
      <c r="X1567" s="768" t="b">
        <f t="shared" si="263"/>
        <v>1</v>
      </c>
    </row>
    <row r="1568" outlineLevel="2" spans="1:24">
      <c r="A1568" s="152" t="s">
        <v>61</v>
      </c>
      <c r="B1568" s="1207" t="s">
        <v>3448</v>
      </c>
      <c r="C1568" s="693" t="str">
        <f t="shared" si="262"/>
        <v>深圳新阳蓝光能源管理科技股份有限公司</v>
      </c>
      <c r="D1568" s="1258" t="s">
        <v>3456</v>
      </c>
      <c r="E1568" s="1251" t="s">
        <v>61</v>
      </c>
      <c r="F1568" s="1251" t="s">
        <v>2020</v>
      </c>
      <c r="G1568" s="1251" t="s">
        <v>2198</v>
      </c>
      <c r="H1568" s="1251" t="s">
        <v>673</v>
      </c>
      <c r="I1568" s="1251" t="s">
        <v>316</v>
      </c>
      <c r="X1568" s="768" t="b">
        <f t="shared" si="263"/>
        <v>1</v>
      </c>
    </row>
    <row r="1569" outlineLevel="2" spans="2:24">
      <c r="B1569" s="1207" t="s">
        <v>3448</v>
      </c>
      <c r="C1569" s="693" t="str">
        <f t="shared" si="262"/>
        <v>深圳新阳蓝光能源管理科技股份有限公司</v>
      </c>
      <c r="D1569" s="1258" t="s">
        <v>3456</v>
      </c>
      <c r="E1569" s="1259"/>
      <c r="F1569" s="1259"/>
      <c r="G1569" s="1259"/>
      <c r="H1569" s="1259"/>
      <c r="I1569" s="1256">
        <f>F1569+G1569-H1569</f>
        <v>0</v>
      </c>
      <c r="X1569" s="768" t="b">
        <f t="shared" si="263"/>
        <v>1</v>
      </c>
    </row>
    <row r="1570" outlineLevel="2" spans="2:24">
      <c r="B1570" s="1207" t="s">
        <v>3448</v>
      </c>
      <c r="C1570" s="693" t="str">
        <f t="shared" si="262"/>
        <v>深圳新阳蓝光能源管理科技股份有限公司</v>
      </c>
      <c r="D1570" s="1258" t="s">
        <v>3456</v>
      </c>
      <c r="E1570" s="1259"/>
      <c r="F1570" s="1259"/>
      <c r="G1570" s="1259"/>
      <c r="H1570" s="1259"/>
      <c r="I1570" s="1256">
        <f t="shared" ref="I1570:I1572" si="267">F1570+G1570-H1570</f>
        <v>0</v>
      </c>
      <c r="X1570" s="768" t="b">
        <f t="shared" si="263"/>
        <v>1</v>
      </c>
    </row>
    <row r="1571" outlineLevel="2" spans="2:24">
      <c r="B1571" s="1207" t="s">
        <v>3448</v>
      </c>
      <c r="C1571" s="693" t="str">
        <f t="shared" si="262"/>
        <v>深圳新阳蓝光能源管理科技股份有限公司</v>
      </c>
      <c r="D1571" s="1258" t="s">
        <v>3456</v>
      </c>
      <c r="E1571" s="1260"/>
      <c r="F1571" s="1253"/>
      <c r="G1571" s="1253"/>
      <c r="H1571" s="1253"/>
      <c r="I1571" s="1256">
        <f t="shared" si="267"/>
        <v>0</v>
      </c>
      <c r="X1571" s="768" t="b">
        <f t="shared" si="263"/>
        <v>1</v>
      </c>
    </row>
    <row r="1572" outlineLevel="2" spans="2:24">
      <c r="B1572" s="1207" t="s">
        <v>3448</v>
      </c>
      <c r="C1572" s="693" t="str">
        <f t="shared" si="262"/>
        <v>深圳新阳蓝光能源管理科技股份有限公司</v>
      </c>
      <c r="D1572" s="1258" t="s">
        <v>3456</v>
      </c>
      <c r="E1572" s="1260"/>
      <c r="F1572" s="1253"/>
      <c r="G1572" s="1253"/>
      <c r="H1572" s="1253"/>
      <c r="I1572" s="1256">
        <f t="shared" si="267"/>
        <v>0</v>
      </c>
      <c r="X1572" s="768" t="b">
        <f t="shared" si="263"/>
        <v>1</v>
      </c>
    </row>
    <row r="1573" outlineLevel="2" spans="1:24">
      <c r="A1573" s="152" t="s">
        <v>2021</v>
      </c>
      <c r="B1573" s="1207" t="s">
        <v>3448</v>
      </c>
      <c r="C1573" s="693" t="str">
        <f t="shared" si="262"/>
        <v>深圳新阳蓝光能源管理科技股份有限公司</v>
      </c>
      <c r="D1573" s="1258" t="s">
        <v>3456</v>
      </c>
      <c r="E1573" s="1251" t="s">
        <v>2021</v>
      </c>
      <c r="F1573" s="1256">
        <f>SUM(F1569:F1572)</f>
        <v>0</v>
      </c>
      <c r="G1573" s="1256">
        <f t="shared" ref="G1573:I1573" si="268">SUM(G1569:G1572)</f>
        <v>0</v>
      </c>
      <c r="H1573" s="1256">
        <f t="shared" si="268"/>
        <v>0</v>
      </c>
      <c r="I1573" s="1256">
        <f t="shared" si="268"/>
        <v>0</v>
      </c>
      <c r="X1573" s="768" t="b">
        <f t="shared" si="263"/>
        <v>1</v>
      </c>
    </row>
    <row r="1574" outlineLevel="2" spans="1:24">
      <c r="A1574" s="152" t="s">
        <v>1723</v>
      </c>
      <c r="B1574" s="1207" t="s">
        <v>3448</v>
      </c>
      <c r="C1574" s="693" t="str">
        <f t="shared" si="262"/>
        <v>深圳新阳蓝光能源管理科技股份有限公司</v>
      </c>
      <c r="D1574" s="1258" t="s">
        <v>3456</v>
      </c>
      <c r="E1574" s="1113" t="s">
        <v>1723</v>
      </c>
      <c r="F1574" s="817">
        <f>审定资负表!D35</f>
        <v>0</v>
      </c>
      <c r="G1574" s="145"/>
      <c r="H1574" s="145"/>
      <c r="I1574" s="817">
        <f>审定资负表!C35</f>
        <v>0</v>
      </c>
      <c r="X1574" s="768" t="b">
        <f t="shared" si="263"/>
        <v>1</v>
      </c>
    </row>
    <row r="1575" outlineLevel="1" spans="1:24">
      <c r="A1575" s="152" t="s">
        <v>1395</v>
      </c>
      <c r="B1575" s="1207" t="s">
        <v>3448</v>
      </c>
      <c r="C1575" s="693" t="str">
        <f t="shared" si="262"/>
        <v>深圳新阳蓝光能源管理科技股份有限公司</v>
      </c>
      <c r="D1575" s="1258" t="s">
        <v>3456</v>
      </c>
      <c r="E1575" s="1115" t="s">
        <v>1395</v>
      </c>
      <c r="F1575" s="1007">
        <f>ROUND(G1565-F1573-F1574,2)</f>
        <v>0</v>
      </c>
      <c r="G1575" s="145"/>
      <c r="H1575" s="145"/>
      <c r="I1575" s="1007">
        <f>ROUND(J1565-I1573-I1574,2)</f>
        <v>0</v>
      </c>
      <c r="X1575" s="768" t="b">
        <f t="shared" si="263"/>
        <v>1</v>
      </c>
    </row>
    <row r="1576" outlineLevel="2" spans="1:24">
      <c r="A1576" s="152" t="s">
        <v>3458</v>
      </c>
      <c r="B1576" s="1207" t="s">
        <v>3448</v>
      </c>
      <c r="C1576" s="693" t="str">
        <f t="shared" si="262"/>
        <v>深圳新阳蓝光能源管理科技股份有限公司</v>
      </c>
      <c r="D1576" s="1261" t="s">
        <v>3458</v>
      </c>
      <c r="E1576" s="897" t="s">
        <v>3458</v>
      </c>
      <c r="F1576" s="145"/>
      <c r="G1576" s="145"/>
      <c r="H1576" s="145"/>
      <c r="I1576" s="145"/>
      <c r="X1576" s="768" t="b">
        <f t="shared" si="263"/>
        <v>1</v>
      </c>
    </row>
    <row r="1577" outlineLevel="2" spans="1:24">
      <c r="A1577" s="152" t="s">
        <v>2809</v>
      </c>
      <c r="B1577" s="1207" t="s">
        <v>3448</v>
      </c>
      <c r="C1577" s="693" t="str">
        <f t="shared" si="262"/>
        <v>深圳新阳蓝光能源管理科技股份有限公司</v>
      </c>
      <c r="D1577" s="1261" t="s">
        <v>3458</v>
      </c>
      <c r="E1577" s="153" t="s">
        <v>2829</v>
      </c>
      <c r="F1577" s="1005"/>
      <c r="G1577" s="1005"/>
      <c r="H1577" s="1005"/>
      <c r="I1577" s="145"/>
      <c r="X1577" s="768" t="b">
        <f t="shared" si="263"/>
        <v>1</v>
      </c>
    </row>
    <row r="1578" outlineLevel="2" spans="2:24">
      <c r="B1578" s="1207" t="s">
        <v>3448</v>
      </c>
      <c r="C1578" s="693" t="str">
        <f t="shared" si="262"/>
        <v>深圳新阳蓝光能源管理科技股份有限公司</v>
      </c>
      <c r="D1578" s="1261" t="s">
        <v>3458</v>
      </c>
      <c r="E1578" s="153"/>
      <c r="F1578" s="145"/>
      <c r="G1578" s="145"/>
      <c r="H1578" s="145"/>
      <c r="I1578" s="145"/>
      <c r="X1578" s="768" t="b">
        <f t="shared" si="263"/>
        <v>1</v>
      </c>
    </row>
    <row r="1579" outlineLevel="2" spans="2:24">
      <c r="B1579" s="1207" t="s">
        <v>3448</v>
      </c>
      <c r="C1579" s="693" t="str">
        <f t="shared" si="262"/>
        <v>深圳新阳蓝光能源管理科技股份有限公司</v>
      </c>
      <c r="D1579" s="1163"/>
      <c r="E1579" s="153"/>
      <c r="F1579" s="145"/>
      <c r="G1579" s="145"/>
      <c r="H1579" s="145"/>
      <c r="I1579" s="145"/>
      <c r="X1579" s="768" t="b">
        <f t="shared" si="263"/>
        <v>1</v>
      </c>
    </row>
    <row r="1580" outlineLevel="2" spans="1:24">
      <c r="A1580" s="152" t="s">
        <v>2809</v>
      </c>
      <c r="B1580" s="1207" t="s">
        <v>3448</v>
      </c>
      <c r="C1580" s="693" t="str">
        <f t="shared" si="262"/>
        <v>深圳新阳蓝光能源管理科技股份有限公司</v>
      </c>
      <c r="D1580" s="1163"/>
      <c r="E1580" s="153" t="s">
        <v>2829</v>
      </c>
      <c r="F1580" s="1005"/>
      <c r="G1580" s="1005"/>
      <c r="H1580" s="1005"/>
      <c r="I1580" s="145"/>
      <c r="X1580" s="768" t="b">
        <f t="shared" si="263"/>
        <v>1</v>
      </c>
    </row>
    <row r="1581" outlineLevel="2" spans="2:24">
      <c r="B1581" s="1207" t="s">
        <v>3448</v>
      </c>
      <c r="C1581" s="693" t="str">
        <f t="shared" si="262"/>
        <v>深圳新阳蓝光能源管理科技股份有限公司</v>
      </c>
      <c r="D1581" s="1163"/>
      <c r="E1581" s="153"/>
      <c r="F1581" s="145"/>
      <c r="G1581" s="145"/>
      <c r="H1581" s="145"/>
      <c r="I1581" s="145"/>
      <c r="X1581" s="768" t="b">
        <f t="shared" si="263"/>
        <v>1</v>
      </c>
    </row>
    <row r="1582" spans="1:24">
      <c r="A1582" s="152" t="s">
        <v>3459</v>
      </c>
      <c r="B1582" s="1207" t="s">
        <v>3460</v>
      </c>
      <c r="C1582" s="693" t="str">
        <f t="shared" si="262"/>
        <v>深圳新阳蓝光能源管理科技股份有限公司</v>
      </c>
      <c r="D1582" s="1210" t="s">
        <v>3354</v>
      </c>
      <c r="E1582" s="1233" t="s">
        <v>3461</v>
      </c>
      <c r="F1582" s="1191" t="s">
        <v>3163</v>
      </c>
      <c r="G1582" s="145"/>
      <c r="H1582" s="145"/>
      <c r="I1582" s="145"/>
      <c r="X1582" s="768" t="b">
        <f t="shared" si="263"/>
        <v>1</v>
      </c>
    </row>
    <row r="1583" outlineLevel="2" spans="1:24">
      <c r="A1583" s="152" t="s">
        <v>3356</v>
      </c>
      <c r="B1583" s="1207" t="s">
        <v>3460</v>
      </c>
      <c r="C1583" s="693" t="str">
        <f t="shared" si="262"/>
        <v>深圳新阳蓝光能源管理科技股份有限公司</v>
      </c>
      <c r="D1583" s="1210" t="s">
        <v>3354</v>
      </c>
      <c r="E1583" s="153" t="s">
        <v>3357</v>
      </c>
      <c r="F1583" s="145"/>
      <c r="G1583" s="145"/>
      <c r="H1583" s="145"/>
      <c r="I1583" s="145"/>
      <c r="X1583" s="768" t="b">
        <f t="shared" si="263"/>
        <v>1</v>
      </c>
    </row>
    <row r="1584" outlineLevel="2" spans="1:24">
      <c r="A1584" s="152" t="s">
        <v>61</v>
      </c>
      <c r="B1584" s="1207" t="s">
        <v>3460</v>
      </c>
      <c r="C1584" s="693" t="str">
        <f t="shared" si="262"/>
        <v>深圳新阳蓝光能源管理科技股份有限公司</v>
      </c>
      <c r="D1584" s="1210" t="s">
        <v>3358</v>
      </c>
      <c r="E1584" s="1262" t="s">
        <v>61</v>
      </c>
      <c r="F1584" s="1262" t="s">
        <v>573</v>
      </c>
      <c r="G1584" s="1262" t="s">
        <v>516</v>
      </c>
      <c r="H1584" s="1262" t="s">
        <v>671</v>
      </c>
      <c r="I1584" s="145"/>
      <c r="X1584" s="768" t="b">
        <f t="shared" si="263"/>
        <v>1</v>
      </c>
    </row>
    <row r="1585" outlineLevel="2" spans="2:24">
      <c r="B1585" s="1207" t="s">
        <v>3460</v>
      </c>
      <c r="C1585" s="693" t="str">
        <f t="shared" si="262"/>
        <v>深圳新阳蓝光能源管理科技股份有限公司</v>
      </c>
      <c r="D1585" s="1210" t="s">
        <v>3358</v>
      </c>
      <c r="E1585" s="1262" t="s">
        <v>3462</v>
      </c>
      <c r="F1585" s="1263"/>
      <c r="G1585" s="1264"/>
      <c r="H1585" s="136"/>
      <c r="I1585" s="145"/>
      <c r="X1585" s="768" t="b">
        <f t="shared" si="263"/>
        <v>0</v>
      </c>
    </row>
    <row r="1586" outlineLevel="2" collapsed="1" spans="2:24">
      <c r="B1586" s="1207" t="s">
        <v>3460</v>
      </c>
      <c r="C1586" s="693" t="str">
        <f t="shared" si="262"/>
        <v>深圳新阳蓝光能源管理科技股份有限公司</v>
      </c>
      <c r="D1586" s="1210" t="s">
        <v>3358</v>
      </c>
      <c r="E1586" s="1262" t="s">
        <v>3463</v>
      </c>
      <c r="F1586" s="1264"/>
      <c r="G1586" s="1264"/>
      <c r="H1586" s="1264"/>
      <c r="I1586" s="145"/>
      <c r="K1586" s="152">
        <v>1</v>
      </c>
      <c r="X1586" s="768" t="b">
        <f t="shared" si="263"/>
        <v>0</v>
      </c>
    </row>
    <row r="1587" hidden="1" outlineLevel="3" spans="2:24">
      <c r="B1587" s="1207" t="s">
        <v>3460</v>
      </c>
      <c r="C1587" s="693" t="str">
        <f t="shared" si="262"/>
        <v>深圳新阳蓝光能源管理科技股份有限公司</v>
      </c>
      <c r="D1587" s="1210" t="s">
        <v>3358</v>
      </c>
      <c r="E1587" s="1264"/>
      <c r="F1587" s="1264"/>
      <c r="G1587" s="1264"/>
      <c r="H1587" s="136"/>
      <c r="I1587" s="145"/>
      <c r="K1587" s="1271"/>
      <c r="X1587" s="768" t="b">
        <f t="shared" si="263"/>
        <v>1</v>
      </c>
    </row>
    <row r="1588" hidden="1" outlineLevel="3" spans="2:24">
      <c r="B1588" s="1207" t="s">
        <v>3460</v>
      </c>
      <c r="C1588" s="693" t="str">
        <f t="shared" si="262"/>
        <v>深圳新阳蓝光能源管理科技股份有限公司</v>
      </c>
      <c r="D1588" s="1210" t="s">
        <v>3358</v>
      </c>
      <c r="E1588" s="1264"/>
      <c r="F1588" s="1264"/>
      <c r="G1588" s="1264"/>
      <c r="H1588" s="136"/>
      <c r="I1588" s="145"/>
      <c r="K1588" s="838"/>
      <c r="X1588" s="768" t="b">
        <f t="shared" si="263"/>
        <v>1</v>
      </c>
    </row>
    <row r="1589" hidden="1" outlineLevel="3" spans="2:24">
      <c r="B1589" s="1207" t="s">
        <v>3460</v>
      </c>
      <c r="C1589" s="693" t="str">
        <f t="shared" si="262"/>
        <v>深圳新阳蓝光能源管理科技股份有限公司</v>
      </c>
      <c r="D1589" s="1210" t="s">
        <v>3358</v>
      </c>
      <c r="E1589" s="1264"/>
      <c r="F1589" s="1264"/>
      <c r="G1589" s="1264"/>
      <c r="H1589" s="136"/>
      <c r="I1589" s="145"/>
      <c r="K1589" s="1271"/>
      <c r="X1589" s="768" t="b">
        <f t="shared" si="263"/>
        <v>1</v>
      </c>
    </row>
    <row r="1590" hidden="1" outlineLevel="3" spans="2:24">
      <c r="B1590" s="1207" t="s">
        <v>3460</v>
      </c>
      <c r="C1590" s="693" t="str">
        <f t="shared" si="262"/>
        <v>深圳新阳蓝光能源管理科技股份有限公司</v>
      </c>
      <c r="D1590" s="1210" t="s">
        <v>3358</v>
      </c>
      <c r="E1590" s="1264"/>
      <c r="F1590" s="1264"/>
      <c r="G1590" s="1264"/>
      <c r="H1590" s="136"/>
      <c r="I1590" s="145"/>
      <c r="X1590" s="768" t="b">
        <f t="shared" si="263"/>
        <v>1</v>
      </c>
    </row>
    <row r="1591" outlineLevel="2" spans="1:24">
      <c r="A1591" s="152" t="s">
        <v>2021</v>
      </c>
      <c r="B1591" s="1207" t="s">
        <v>3460</v>
      </c>
      <c r="C1591" s="693" t="str">
        <f t="shared" si="262"/>
        <v>深圳新阳蓝光能源管理科技股份有限公司</v>
      </c>
      <c r="D1591" s="1210" t="s">
        <v>3358</v>
      </c>
      <c r="E1591" s="1262" t="s">
        <v>2021</v>
      </c>
      <c r="F1591" s="1265"/>
      <c r="G1591" s="1266">
        <f>SUM(G1585:G1590)</f>
        <v>0</v>
      </c>
      <c r="H1591" s="1266">
        <f>SUM(H1585:H1590)</f>
        <v>0</v>
      </c>
      <c r="I1591" s="145"/>
      <c r="X1591" s="768" t="b">
        <f t="shared" si="263"/>
        <v>1</v>
      </c>
    </row>
    <row r="1592" outlineLevel="2" spans="1:24">
      <c r="A1592" s="152" t="s">
        <v>1723</v>
      </c>
      <c r="B1592" s="1207" t="s">
        <v>3460</v>
      </c>
      <c r="C1592" s="693" t="str">
        <f t="shared" si="262"/>
        <v>深圳新阳蓝光能源管理科技股份有限公司</v>
      </c>
      <c r="D1592" s="1210" t="s">
        <v>3358</v>
      </c>
      <c r="E1592" s="1115" t="s">
        <v>1723</v>
      </c>
      <c r="F1592" s="145"/>
      <c r="G1592" s="817">
        <f>审定资负表!C38</f>
        <v>0</v>
      </c>
      <c r="H1592" s="817">
        <f>审定资负表!D38</f>
        <v>0</v>
      </c>
      <c r="I1592" s="145"/>
      <c r="X1592" s="768" t="b">
        <f t="shared" si="263"/>
        <v>1</v>
      </c>
    </row>
    <row r="1593" outlineLevel="1" collapsed="1" spans="1:24">
      <c r="A1593" s="152" t="s">
        <v>1395</v>
      </c>
      <c r="B1593" s="1207" t="s">
        <v>3460</v>
      </c>
      <c r="C1593" s="693" t="str">
        <f t="shared" si="262"/>
        <v>深圳新阳蓝光能源管理科技股份有限公司</v>
      </c>
      <c r="D1593" s="1210" t="s">
        <v>3358</v>
      </c>
      <c r="E1593" s="1115" t="s">
        <v>1395</v>
      </c>
      <c r="F1593" s="145"/>
      <c r="G1593" s="1007">
        <f>ROUND(G1591-G1592,2)</f>
        <v>0</v>
      </c>
      <c r="H1593" s="1007">
        <f>ROUND(H1591-H1592,2)</f>
        <v>0</v>
      </c>
      <c r="I1593" s="145"/>
      <c r="X1593" s="768" t="b">
        <f t="shared" si="263"/>
        <v>1</v>
      </c>
    </row>
    <row r="1594" hidden="1" outlineLevel="2" spans="2:24">
      <c r="B1594" s="1207" t="s">
        <v>3460</v>
      </c>
      <c r="C1594" s="693" t="str">
        <f t="shared" si="262"/>
        <v>深圳新阳蓝光能源管理科技股份有限公司</v>
      </c>
      <c r="D1594" s="1163"/>
      <c r="E1594" s="153"/>
      <c r="F1594" s="145"/>
      <c r="G1594" s="145"/>
      <c r="H1594" s="145"/>
      <c r="I1594" s="145"/>
      <c r="X1594" s="768" t="b">
        <f t="shared" si="263"/>
        <v>1</v>
      </c>
    </row>
    <row r="1595" hidden="1" outlineLevel="2" spans="1:24">
      <c r="A1595" s="152" t="s">
        <v>2809</v>
      </c>
      <c r="B1595" s="1207" t="s">
        <v>3460</v>
      </c>
      <c r="C1595" s="693" t="str">
        <f t="shared" si="262"/>
        <v>深圳新阳蓝光能源管理科技股份有限公司</v>
      </c>
      <c r="D1595" s="1163"/>
      <c r="E1595" s="153" t="s">
        <v>2829</v>
      </c>
      <c r="F1595" s="1005"/>
      <c r="G1595" s="1005"/>
      <c r="H1595" s="1005"/>
      <c r="I1595" s="145"/>
      <c r="X1595" s="768" t="b">
        <f t="shared" si="263"/>
        <v>1</v>
      </c>
    </row>
    <row r="1596" hidden="1" outlineLevel="2" spans="2:24">
      <c r="B1596" s="1207" t="s">
        <v>3460</v>
      </c>
      <c r="C1596" s="693" t="str">
        <f t="shared" si="262"/>
        <v>深圳新阳蓝光能源管理科技股份有限公司</v>
      </c>
      <c r="D1596" s="1163"/>
      <c r="E1596" s="153"/>
      <c r="F1596" s="145"/>
      <c r="G1596" s="145"/>
      <c r="H1596" s="145"/>
      <c r="I1596" s="145"/>
      <c r="X1596" s="768" t="b">
        <f t="shared" si="263"/>
        <v>1</v>
      </c>
    </row>
    <row r="1597" spans="1:24">
      <c r="A1597" s="152" t="s">
        <v>2149</v>
      </c>
      <c r="B1597" s="1207" t="s">
        <v>3464</v>
      </c>
      <c r="C1597" s="693" t="str">
        <f t="shared" si="262"/>
        <v>深圳新阳蓝光能源管理科技股份有限公司</v>
      </c>
      <c r="D1597" s="1210" t="s">
        <v>3465</v>
      </c>
      <c r="E1597" s="70" t="s">
        <v>3466</v>
      </c>
      <c r="F1597" s="145"/>
      <c r="G1597" s="145"/>
      <c r="H1597" s="145"/>
      <c r="I1597" s="145"/>
      <c r="X1597" s="768" t="b">
        <f t="shared" si="263"/>
        <v>1</v>
      </c>
    </row>
    <row r="1598" outlineLevel="2" spans="1:24">
      <c r="A1598" s="152" t="s">
        <v>3467</v>
      </c>
      <c r="B1598" s="1207" t="s">
        <v>3464</v>
      </c>
      <c r="C1598" s="693" t="str">
        <f t="shared" si="262"/>
        <v>深圳新阳蓝光能源管理科技股份有限公司</v>
      </c>
      <c r="D1598" s="1210" t="s">
        <v>3465</v>
      </c>
      <c r="E1598" s="1106" t="s">
        <v>3468</v>
      </c>
      <c r="F1598" s="145"/>
      <c r="G1598" s="145"/>
      <c r="H1598" s="145"/>
      <c r="I1598" s="145"/>
      <c r="X1598" s="768" t="b">
        <f t="shared" si="263"/>
        <v>1</v>
      </c>
    </row>
    <row r="1599" outlineLevel="2" spans="1:24">
      <c r="A1599" s="152" t="s">
        <v>3469</v>
      </c>
      <c r="B1599" s="1207" t="s">
        <v>3464</v>
      </c>
      <c r="C1599" s="693" t="str">
        <f t="shared" si="262"/>
        <v>深圳新阳蓝光能源管理科技股份有限公司</v>
      </c>
      <c r="D1599" s="1210" t="s">
        <v>3465</v>
      </c>
      <c r="E1599" s="70" t="s">
        <v>3470</v>
      </c>
      <c r="F1599" s="145"/>
      <c r="G1599" s="145"/>
      <c r="H1599" s="1164" t="s">
        <v>3471</v>
      </c>
      <c r="I1599" s="1164" t="s">
        <v>3471</v>
      </c>
      <c r="X1599" s="768" t="b">
        <f t="shared" si="263"/>
        <v>1</v>
      </c>
    </row>
    <row r="1600" outlineLevel="2" spans="1:24">
      <c r="A1600" s="152" t="s">
        <v>3472</v>
      </c>
      <c r="B1600" s="1207" t="s">
        <v>3464</v>
      </c>
      <c r="C1600" s="693" t="str">
        <f t="shared" si="262"/>
        <v>深圳新阳蓝光能源管理科技股份有限公司</v>
      </c>
      <c r="D1600" s="1267" t="s">
        <v>3465</v>
      </c>
      <c r="E1600" s="1268" t="s">
        <v>3473</v>
      </c>
      <c r="F1600" s="1269" t="s">
        <v>3474</v>
      </c>
      <c r="G1600" s="1270">
        <v>0.15</v>
      </c>
      <c r="H1600" s="1269" t="s">
        <v>3475</v>
      </c>
      <c r="I1600" s="1272">
        <v>0.15</v>
      </c>
      <c r="X1600" s="768" t="b">
        <f t="shared" si="263"/>
        <v>1</v>
      </c>
    </row>
    <row r="1601" outlineLevel="2" spans="1:24">
      <c r="A1601" s="152" t="s">
        <v>61</v>
      </c>
      <c r="B1601" s="1207" t="s">
        <v>3464</v>
      </c>
      <c r="C1601" s="693" t="str">
        <f t="shared" si="262"/>
        <v>深圳新阳蓝光能源管理科技股份有限公司</v>
      </c>
      <c r="D1601" s="1210" t="s">
        <v>3476</v>
      </c>
      <c r="E1601" s="1273" t="s">
        <v>61</v>
      </c>
      <c r="F1601" s="1273" t="s">
        <v>316</v>
      </c>
      <c r="G1601" s="1274" t="s">
        <v>3477</v>
      </c>
      <c r="H1601" s="1273" t="s">
        <v>2020</v>
      </c>
      <c r="I1601" s="1273" t="s">
        <v>3477</v>
      </c>
      <c r="J1601" s="1299" t="s">
        <v>3478</v>
      </c>
      <c r="K1601" s="1299" t="s">
        <v>3038</v>
      </c>
      <c r="X1601" s="768" t="b">
        <f t="shared" si="263"/>
        <v>1</v>
      </c>
    </row>
    <row r="1602" outlineLevel="2" spans="1:24">
      <c r="A1602" s="152" t="s">
        <v>935</v>
      </c>
      <c r="B1602" s="1207" t="s">
        <v>3464</v>
      </c>
      <c r="C1602" s="693" t="str">
        <f t="shared" si="262"/>
        <v>深圳新阳蓝光能源管理科技股份有限公司</v>
      </c>
      <c r="D1602" s="1210" t="s">
        <v>3476</v>
      </c>
      <c r="E1602" s="1275" t="s">
        <v>935</v>
      </c>
      <c r="F1602" s="1266">
        <f>ROUND(F1603+SUM(F1611:F1616),2)</f>
        <v>1554610.58</v>
      </c>
      <c r="G1602" s="1266">
        <f t="shared" ref="G1602:I1602" si="269">ROUND(G1603+SUM(G1611:G1616),2)</f>
        <v>10364070.52</v>
      </c>
      <c r="H1602" s="1266">
        <f t="shared" si="269"/>
        <v>810692.23</v>
      </c>
      <c r="I1602" s="1266">
        <f t="shared" si="269"/>
        <v>5404614.87</v>
      </c>
      <c r="J1602" s="1300" t="str">
        <f>IF(ROUND((G1602*$G$1600-F1602),2)=0,"合理","不合理，差异："&amp;ROUND((G1602*$G$1600-F1602),2))</f>
        <v>合理</v>
      </c>
      <c r="K1602" s="1301"/>
      <c r="X1602" s="768" t="b">
        <f t="shared" si="263"/>
        <v>1</v>
      </c>
    </row>
    <row r="1603" outlineLevel="2" spans="1:24">
      <c r="A1603" s="152" t="s">
        <v>2150</v>
      </c>
      <c r="B1603" s="1207" t="s">
        <v>3464</v>
      </c>
      <c r="C1603" s="693" t="str">
        <f t="shared" si="262"/>
        <v>深圳新阳蓝光能源管理科技股份有限公司</v>
      </c>
      <c r="D1603" s="1210" t="s">
        <v>3476</v>
      </c>
      <c r="E1603" s="791" t="s">
        <v>3479</v>
      </c>
      <c r="F1603" s="1266">
        <f>ROUND(SUM(F1604:F1610),2)</f>
        <v>745213.09</v>
      </c>
      <c r="G1603" s="1266">
        <f t="shared" ref="G1603:I1603" si="270">ROUND(SUM(G1604:G1610),2)</f>
        <v>4968087.26</v>
      </c>
      <c r="H1603" s="1266">
        <f t="shared" si="270"/>
        <v>810692.23</v>
      </c>
      <c r="I1603" s="1266">
        <f t="shared" si="270"/>
        <v>5404614.87</v>
      </c>
      <c r="J1603" s="1300" t="str">
        <f t="shared" ref="J1603:J1629" si="271">IF(ROUND((G1603*$G$1600-F1603),2)=0,"合理","不合理，差异："&amp;ROUND((G1603*$G$1600-F1603),2))</f>
        <v>合理</v>
      </c>
      <c r="K1603" s="1301"/>
      <c r="X1603" s="768" t="b">
        <f t="shared" si="263"/>
        <v>0</v>
      </c>
    </row>
    <row r="1604" outlineLevel="2" spans="1:24">
      <c r="A1604" s="152" t="s">
        <v>2151</v>
      </c>
      <c r="B1604" s="1207" t="s">
        <v>3464</v>
      </c>
      <c r="C1604" s="693" t="str">
        <f t="shared" si="262"/>
        <v>深圳新阳蓝光能源管理科技股份有限公司</v>
      </c>
      <c r="D1604" s="1267" t="s">
        <v>3476</v>
      </c>
      <c r="E1604" s="1276" t="s">
        <v>3480</v>
      </c>
      <c r="F1604" s="1264">
        <f>ROUND(G1604*$G$1600,2)</f>
        <v>745213.09</v>
      </c>
      <c r="G1604" s="1264">
        <f>K1730</f>
        <v>4968087.26</v>
      </c>
      <c r="H1604" s="1277">
        <f>报表附注合并期初用!E1259</f>
        <v>542375.04</v>
      </c>
      <c r="I1604" s="1277">
        <f>报表附注合并期初用!E1288</f>
        <v>3615833.59</v>
      </c>
      <c r="J1604" s="1300" t="str">
        <f t="shared" si="271"/>
        <v>合理</v>
      </c>
      <c r="K1604" s="1301"/>
      <c r="X1604" s="768" t="b">
        <f t="shared" si="263"/>
        <v>1</v>
      </c>
    </row>
    <row r="1605" outlineLevel="2" spans="1:24">
      <c r="A1605" s="152" t="s">
        <v>2152</v>
      </c>
      <c r="B1605" s="1207" t="s">
        <v>3464</v>
      </c>
      <c r="C1605" s="693" t="str">
        <f t="shared" si="262"/>
        <v>深圳新阳蓝光能源管理科技股份有限公司</v>
      </c>
      <c r="D1605" s="1210" t="s">
        <v>3476</v>
      </c>
      <c r="E1605" s="1276" t="s">
        <v>3481</v>
      </c>
      <c r="F1605" s="1264"/>
      <c r="G1605" s="1264"/>
      <c r="H1605" s="1277">
        <f>报表附注合并期初用!E1260</f>
        <v>268317.19</v>
      </c>
      <c r="I1605" s="1277">
        <f>报表附注合并期初用!E1289</f>
        <v>1788781.28</v>
      </c>
      <c r="J1605" s="1300" t="str">
        <f t="shared" si="271"/>
        <v>合理</v>
      </c>
      <c r="K1605" s="1301"/>
      <c r="X1605" s="768" t="b">
        <f t="shared" si="263"/>
        <v>1</v>
      </c>
    </row>
    <row r="1606" outlineLevel="2" spans="1:24">
      <c r="A1606" s="152" t="s">
        <v>2153</v>
      </c>
      <c r="B1606" s="1207" t="s">
        <v>3464</v>
      </c>
      <c r="C1606" s="693" t="str">
        <f t="shared" si="262"/>
        <v>深圳新阳蓝光能源管理科技股份有限公司</v>
      </c>
      <c r="D1606" s="1210" t="s">
        <v>3476</v>
      </c>
      <c r="E1606" s="1276" t="s">
        <v>3482</v>
      </c>
      <c r="F1606" s="1278"/>
      <c r="G1606" s="1278"/>
      <c r="H1606" s="1279">
        <f>报表附注合并期初用!E1261</f>
        <v>0</v>
      </c>
      <c r="I1606" s="1277">
        <f>报表附注合并期初用!E1290</f>
        <v>0</v>
      </c>
      <c r="J1606" s="1300" t="str">
        <f t="shared" si="271"/>
        <v>合理</v>
      </c>
      <c r="K1606" s="1301"/>
      <c r="X1606" s="768" t="b">
        <f t="shared" si="263"/>
        <v>1</v>
      </c>
    </row>
    <row r="1607" outlineLevel="2" spans="1:24">
      <c r="A1607" s="152" t="s">
        <v>2154</v>
      </c>
      <c r="B1607" s="1207" t="s">
        <v>3464</v>
      </c>
      <c r="C1607" s="693" t="str">
        <f t="shared" si="262"/>
        <v>深圳新阳蓝光能源管理科技股份有限公司</v>
      </c>
      <c r="D1607" s="1210" t="s">
        <v>3476</v>
      </c>
      <c r="E1607" s="1276" t="s">
        <v>3483</v>
      </c>
      <c r="F1607" s="1278"/>
      <c r="G1607" s="1278"/>
      <c r="H1607" s="1279">
        <f>报表附注合并期初用!E1262</f>
        <v>0</v>
      </c>
      <c r="I1607" s="1277">
        <f>报表附注合并期初用!E1291</f>
        <v>0</v>
      </c>
      <c r="J1607" s="1300" t="str">
        <f t="shared" si="271"/>
        <v>合理</v>
      </c>
      <c r="K1607" s="1301"/>
      <c r="X1607" s="768" t="b">
        <f t="shared" si="263"/>
        <v>1</v>
      </c>
    </row>
    <row r="1608" outlineLevel="2" spans="1:24">
      <c r="A1608" s="152" t="s">
        <v>2155</v>
      </c>
      <c r="B1608" s="1207" t="s">
        <v>3464</v>
      </c>
      <c r="C1608" s="693" t="str">
        <f t="shared" ref="C1608:C1671" si="272">$G$1</f>
        <v>深圳新阳蓝光能源管理科技股份有限公司</v>
      </c>
      <c r="D1608" s="1267" t="s">
        <v>3476</v>
      </c>
      <c r="E1608" s="1276" t="s">
        <v>3484</v>
      </c>
      <c r="F1608" s="1278"/>
      <c r="G1608" s="1278"/>
      <c r="H1608" s="1279">
        <f>报表附注合并期初用!E1263</f>
        <v>0</v>
      </c>
      <c r="I1608" s="1277">
        <f>报表附注合并期初用!E1292</f>
        <v>0</v>
      </c>
      <c r="J1608" s="1300" t="str">
        <f t="shared" si="271"/>
        <v>合理</v>
      </c>
      <c r="K1608" s="1301"/>
      <c r="X1608" s="768" t="b">
        <f t="shared" ref="X1608:X1671" si="273">EXACT(A1608,E1608)</f>
        <v>1</v>
      </c>
    </row>
    <row r="1609" outlineLevel="2" spans="1:24">
      <c r="A1609" s="152" t="s">
        <v>2156</v>
      </c>
      <c r="B1609" s="1207" t="s">
        <v>3464</v>
      </c>
      <c r="C1609" s="693" t="str">
        <f t="shared" si="272"/>
        <v>深圳新阳蓝光能源管理科技股份有限公司</v>
      </c>
      <c r="D1609" s="1210" t="s">
        <v>3476</v>
      </c>
      <c r="E1609" s="1280" t="s">
        <v>3485</v>
      </c>
      <c r="F1609" s="1278"/>
      <c r="G1609" s="1278"/>
      <c r="H1609" s="1279">
        <f>报表附注合并期初用!E1264</f>
        <v>0</v>
      </c>
      <c r="I1609" s="1277">
        <f>报表附注合并期初用!E1293</f>
        <v>0</v>
      </c>
      <c r="J1609" s="1300" t="str">
        <f t="shared" si="271"/>
        <v>合理</v>
      </c>
      <c r="K1609" s="1301"/>
      <c r="X1609" s="768" t="b">
        <f t="shared" si="273"/>
        <v>1</v>
      </c>
    </row>
    <row r="1610" outlineLevel="2" spans="1:24">
      <c r="A1610" s="152" t="s">
        <v>2157</v>
      </c>
      <c r="B1610" s="1207" t="s">
        <v>3464</v>
      </c>
      <c r="C1610" s="693" t="str">
        <f t="shared" si="272"/>
        <v>深圳新阳蓝光能源管理科技股份有限公司</v>
      </c>
      <c r="D1610" s="1210" t="s">
        <v>3476</v>
      </c>
      <c r="E1610" s="1280" t="s">
        <v>3486</v>
      </c>
      <c r="F1610" s="1278"/>
      <c r="G1610" s="1278"/>
      <c r="H1610" s="1279">
        <f>报表附注合并期初用!E1265</f>
        <v>0</v>
      </c>
      <c r="I1610" s="1277">
        <f>报表附注合并期初用!E1294</f>
        <v>0</v>
      </c>
      <c r="J1610" s="1300" t="str">
        <f t="shared" si="271"/>
        <v>合理</v>
      </c>
      <c r="K1610" s="1301"/>
      <c r="X1610" s="768" t="b">
        <f t="shared" si="273"/>
        <v>1</v>
      </c>
    </row>
    <row r="1611" outlineLevel="2" spans="1:24">
      <c r="A1611" s="152" t="s">
        <v>2158</v>
      </c>
      <c r="B1611" s="1207" t="s">
        <v>3464</v>
      </c>
      <c r="C1611" s="693" t="str">
        <f t="shared" si="272"/>
        <v>深圳新阳蓝光能源管理科技股份有限公司</v>
      </c>
      <c r="D1611" s="1210" t="s">
        <v>3476</v>
      </c>
      <c r="E1611" s="1280" t="s">
        <v>3487</v>
      </c>
      <c r="F1611" s="1264"/>
      <c r="G1611" s="1278"/>
      <c r="H1611" s="1279">
        <f>报表附注合并期初用!E1266</f>
        <v>0</v>
      </c>
      <c r="I1611" s="1277">
        <f>报表附注合并期初用!E1295</f>
        <v>0</v>
      </c>
      <c r="J1611" s="1300" t="str">
        <f t="shared" si="271"/>
        <v>合理</v>
      </c>
      <c r="K1611" s="1301"/>
      <c r="X1611" s="768" t="b">
        <f t="shared" si="273"/>
        <v>0</v>
      </c>
    </row>
    <row r="1612" outlineLevel="2" spans="1:24">
      <c r="A1612" s="152" t="s">
        <v>2159</v>
      </c>
      <c r="B1612" s="1207" t="s">
        <v>3464</v>
      </c>
      <c r="C1612" s="693" t="str">
        <f t="shared" si="272"/>
        <v>深圳新阳蓝光能源管理科技股份有限公司</v>
      </c>
      <c r="D1612" s="1267" t="s">
        <v>3476</v>
      </c>
      <c r="E1612" s="1280" t="s">
        <v>3488</v>
      </c>
      <c r="F1612" s="1264">
        <f>ROUND(G1612*$G$1600,2)</f>
        <v>0</v>
      </c>
      <c r="G1612" s="1278">
        <f>I3025</f>
        <v>0</v>
      </c>
      <c r="H1612" s="1279">
        <f>报表附注合并期初用!E1267</f>
        <v>0</v>
      </c>
      <c r="I1612" s="1277">
        <f>报表附注合并期初用!E1296</f>
        <v>0</v>
      </c>
      <c r="J1612" s="1300" t="str">
        <f t="shared" si="271"/>
        <v>合理</v>
      </c>
      <c r="K1612" s="1301"/>
      <c r="X1612" s="768" t="b">
        <f t="shared" si="273"/>
        <v>0</v>
      </c>
    </row>
    <row r="1613" outlineLevel="2" spans="1:24">
      <c r="A1613" s="152" t="s">
        <v>2160</v>
      </c>
      <c r="B1613" s="1207" t="s">
        <v>3464</v>
      </c>
      <c r="C1613" s="693" t="str">
        <f t="shared" si="272"/>
        <v>深圳新阳蓝光能源管理科技股份有限公司</v>
      </c>
      <c r="D1613" s="1210" t="s">
        <v>3476</v>
      </c>
      <c r="E1613" s="1280" t="s">
        <v>3489</v>
      </c>
      <c r="F1613" s="1264"/>
      <c r="G1613" s="1278"/>
      <c r="H1613" s="1279">
        <f>报表附注合并期初用!E1268</f>
        <v>0</v>
      </c>
      <c r="I1613" s="1277">
        <f>报表附注合并期初用!E1297</f>
        <v>0</v>
      </c>
      <c r="J1613" s="1300" t="str">
        <f t="shared" si="271"/>
        <v>合理</v>
      </c>
      <c r="K1613" s="1301"/>
      <c r="X1613" s="768" t="b">
        <f t="shared" si="273"/>
        <v>0</v>
      </c>
    </row>
    <row r="1614" outlineLevel="2" spans="1:24">
      <c r="A1614" s="152" t="s">
        <v>2161</v>
      </c>
      <c r="B1614" s="1207" t="s">
        <v>3464</v>
      </c>
      <c r="C1614" s="693" t="str">
        <f t="shared" si="272"/>
        <v>深圳新阳蓝光能源管理科技股份有限公司</v>
      </c>
      <c r="D1614" s="1210" t="s">
        <v>3476</v>
      </c>
      <c r="E1614" s="1280" t="s">
        <v>3490</v>
      </c>
      <c r="F1614" s="1278"/>
      <c r="G1614" s="1278"/>
      <c r="H1614" s="1279">
        <f>报表附注合并期初用!E1269</f>
        <v>0</v>
      </c>
      <c r="I1614" s="1277">
        <f>报表附注合并期初用!E1298</f>
        <v>0</v>
      </c>
      <c r="J1614" s="1300" t="str">
        <f t="shared" si="271"/>
        <v>合理</v>
      </c>
      <c r="K1614" s="1301"/>
      <c r="X1614" s="768" t="b">
        <f t="shared" si="273"/>
        <v>0</v>
      </c>
    </row>
    <row r="1615" outlineLevel="2" spans="1:24">
      <c r="A1615" s="152" t="s">
        <v>2162</v>
      </c>
      <c r="B1615" s="1207" t="s">
        <v>3464</v>
      </c>
      <c r="C1615" s="693" t="str">
        <f t="shared" si="272"/>
        <v>深圳新阳蓝光能源管理科技股份有限公司</v>
      </c>
      <c r="D1615" s="1210" t="s">
        <v>3476</v>
      </c>
      <c r="E1615" s="1280" t="s">
        <v>3491</v>
      </c>
      <c r="F1615" s="1264">
        <f>ROUND(G1615*$G$1600,2)</f>
        <v>0</v>
      </c>
      <c r="G1615" s="1278"/>
      <c r="H1615" s="1279">
        <f>报表附注合并期初用!E1270</f>
        <v>0</v>
      </c>
      <c r="I1615" s="1277">
        <f>报表附注合并期初用!E1299</f>
        <v>0</v>
      </c>
      <c r="J1615" s="1300" t="str">
        <f t="shared" si="271"/>
        <v>合理</v>
      </c>
      <c r="K1615" s="1301"/>
      <c r="X1615" s="768" t="b">
        <f t="shared" si="273"/>
        <v>0</v>
      </c>
    </row>
    <row r="1616" outlineLevel="2" spans="1:24">
      <c r="A1616" s="152" t="s">
        <v>2163</v>
      </c>
      <c r="B1616" s="1207" t="s">
        <v>3464</v>
      </c>
      <c r="C1616" s="693" t="str">
        <f t="shared" si="272"/>
        <v>深圳新阳蓝光能源管理科技股份有限公司</v>
      </c>
      <c r="D1616" s="1267" t="s">
        <v>3476</v>
      </c>
      <c r="E1616" s="1280" t="s">
        <v>3492</v>
      </c>
      <c r="F1616" s="1278">
        <v>809397.49</v>
      </c>
      <c r="G1616" s="1278">
        <v>5395983.26</v>
      </c>
      <c r="H1616" s="1279">
        <f>报表附注合并期初用!E1271</f>
        <v>0</v>
      </c>
      <c r="I1616" s="1277">
        <f>报表附注合并期初用!E1300</f>
        <v>0</v>
      </c>
      <c r="J1616" s="1300" t="str">
        <f t="shared" si="271"/>
        <v>合理</v>
      </c>
      <c r="K1616" s="1301"/>
      <c r="X1616" s="768" t="b">
        <f t="shared" si="273"/>
        <v>0</v>
      </c>
    </row>
    <row r="1617" outlineLevel="2" spans="1:24">
      <c r="A1617" s="152" t="s">
        <v>937</v>
      </c>
      <c r="B1617" s="1207" t="s">
        <v>3464</v>
      </c>
      <c r="C1617" s="693" t="str">
        <f t="shared" si="272"/>
        <v>深圳新阳蓝光能源管理科技股份有限公司</v>
      </c>
      <c r="D1617" s="1210" t="s">
        <v>3476</v>
      </c>
      <c r="E1617" s="1275" t="s">
        <v>937</v>
      </c>
      <c r="F1617" s="1281">
        <f>ROUND(SUM(F1618:F1629),2)</f>
        <v>0</v>
      </c>
      <c r="G1617" s="1281">
        <f t="shared" ref="G1617:I1617" si="274">ROUND(SUM(G1618:G1629),2)</f>
        <v>0</v>
      </c>
      <c r="H1617" s="1281">
        <f t="shared" si="274"/>
        <v>0</v>
      </c>
      <c r="I1617" s="1281">
        <f t="shared" si="274"/>
        <v>0</v>
      </c>
      <c r="J1617" s="1300" t="str">
        <f t="shared" si="271"/>
        <v>合理</v>
      </c>
      <c r="K1617" s="1301"/>
      <c r="X1617" s="768" t="b">
        <f t="shared" si="273"/>
        <v>1</v>
      </c>
    </row>
    <row r="1618" outlineLevel="2" spans="1:24">
      <c r="A1618" s="152" t="s">
        <v>2164</v>
      </c>
      <c r="B1618" s="1207" t="s">
        <v>3464</v>
      </c>
      <c r="C1618" s="693" t="str">
        <f t="shared" si="272"/>
        <v>深圳新阳蓝光能源管理科技股份有限公司</v>
      </c>
      <c r="D1618" s="1210" t="s">
        <v>3476</v>
      </c>
      <c r="E1618" s="1280" t="s">
        <v>3493</v>
      </c>
      <c r="F1618" s="1278"/>
      <c r="G1618" s="1278"/>
      <c r="H1618" s="1277">
        <f>报表附注合并期初用!E1273</f>
        <v>0</v>
      </c>
      <c r="I1618" s="1277">
        <f>报表附注合并期初用!E1302</f>
        <v>0</v>
      </c>
      <c r="J1618" s="1300" t="str">
        <f t="shared" si="271"/>
        <v>合理</v>
      </c>
      <c r="K1618" s="1301"/>
      <c r="X1618" s="768" t="b">
        <f t="shared" si="273"/>
        <v>0</v>
      </c>
    </row>
    <row r="1619" outlineLevel="2" spans="1:24">
      <c r="A1619" s="152" t="s">
        <v>2165</v>
      </c>
      <c r="B1619" s="1207" t="s">
        <v>3464</v>
      </c>
      <c r="C1619" s="693" t="str">
        <f t="shared" si="272"/>
        <v>深圳新阳蓝光能源管理科技股份有限公司</v>
      </c>
      <c r="D1619" s="1210" t="s">
        <v>3476</v>
      </c>
      <c r="E1619" s="1280" t="s">
        <v>3494</v>
      </c>
      <c r="F1619" s="1278"/>
      <c r="G1619" s="1278"/>
      <c r="H1619" s="1277">
        <f>报表附注合并期初用!E1274</f>
        <v>0</v>
      </c>
      <c r="I1619" s="1277">
        <f>报表附注合并期初用!E1303</f>
        <v>0</v>
      </c>
      <c r="J1619" s="1300" t="str">
        <f t="shared" si="271"/>
        <v>合理</v>
      </c>
      <c r="K1619" s="1301"/>
      <c r="X1619" s="768" t="b">
        <f t="shared" si="273"/>
        <v>0</v>
      </c>
    </row>
    <row r="1620" outlineLevel="2" spans="1:24">
      <c r="A1620" s="152" t="s">
        <v>2162</v>
      </c>
      <c r="B1620" s="1207" t="s">
        <v>3464</v>
      </c>
      <c r="C1620" s="693" t="str">
        <f t="shared" si="272"/>
        <v>深圳新阳蓝光能源管理科技股份有限公司</v>
      </c>
      <c r="D1620" s="1267" t="s">
        <v>3476</v>
      </c>
      <c r="E1620" s="1280" t="s">
        <v>3495</v>
      </c>
      <c r="F1620" s="1278"/>
      <c r="G1620" s="1278"/>
      <c r="H1620" s="1277">
        <f>报表附注合并期初用!E1275</f>
        <v>0</v>
      </c>
      <c r="I1620" s="1277">
        <f>报表附注合并期初用!E1304</f>
        <v>0</v>
      </c>
      <c r="J1620" s="1300" t="str">
        <f t="shared" si="271"/>
        <v>合理</v>
      </c>
      <c r="K1620" s="1301"/>
      <c r="X1620" s="768" t="b">
        <f t="shared" si="273"/>
        <v>0</v>
      </c>
    </row>
    <row r="1621" outlineLevel="2" collapsed="1" spans="1:24">
      <c r="A1621" s="152" t="s">
        <v>2163</v>
      </c>
      <c r="B1621" s="1207" t="s">
        <v>3464</v>
      </c>
      <c r="C1621" s="693" t="str">
        <f t="shared" si="272"/>
        <v>深圳新阳蓝光能源管理科技股份有限公司</v>
      </c>
      <c r="D1621" s="1210" t="s">
        <v>3476</v>
      </c>
      <c r="E1621" s="1280" t="s">
        <v>3496</v>
      </c>
      <c r="F1621" s="1278"/>
      <c r="G1621" s="1278"/>
      <c r="H1621" s="1277">
        <f>报表附注合并期初用!E1276</f>
        <v>0</v>
      </c>
      <c r="I1621" s="1277">
        <f>报表附注合并期初用!E1305</f>
        <v>0</v>
      </c>
      <c r="J1621" s="1300" t="str">
        <f t="shared" si="271"/>
        <v>合理</v>
      </c>
      <c r="K1621" s="1301"/>
      <c r="X1621" s="768" t="b">
        <f t="shared" si="273"/>
        <v>0</v>
      </c>
    </row>
    <row r="1622" hidden="1" outlineLevel="3" spans="1:24">
      <c r="A1622" s="152" t="s">
        <v>2166</v>
      </c>
      <c r="B1622" s="1207" t="s">
        <v>3464</v>
      </c>
      <c r="C1622" s="693" t="str">
        <f t="shared" si="272"/>
        <v>深圳新阳蓝光能源管理科技股份有限公司</v>
      </c>
      <c r="D1622" s="1210" t="s">
        <v>3476</v>
      </c>
      <c r="E1622" s="1280" t="s">
        <v>3497</v>
      </c>
      <c r="F1622" s="1278"/>
      <c r="G1622" s="1278"/>
      <c r="H1622" s="1277">
        <f>报表附注合并期初用!E1277</f>
        <v>0</v>
      </c>
      <c r="I1622" s="1277">
        <f>报表附注合并期初用!E1306</f>
        <v>0</v>
      </c>
      <c r="J1622" s="1300" t="str">
        <f t="shared" si="271"/>
        <v>合理</v>
      </c>
      <c r="K1622" s="1301"/>
      <c r="X1622" s="768" t="b">
        <f t="shared" si="273"/>
        <v>0</v>
      </c>
    </row>
    <row r="1623" hidden="1" outlineLevel="3" spans="1:24">
      <c r="A1623" s="152" t="s">
        <v>2167</v>
      </c>
      <c r="B1623" s="1207" t="s">
        <v>3464</v>
      </c>
      <c r="C1623" s="693" t="str">
        <f t="shared" si="272"/>
        <v>深圳新阳蓝光能源管理科技股份有限公司</v>
      </c>
      <c r="D1623" s="1210" t="s">
        <v>3476</v>
      </c>
      <c r="E1623" s="1282" t="s">
        <v>3498</v>
      </c>
      <c r="F1623" s="1278"/>
      <c r="G1623" s="1278"/>
      <c r="H1623" s="1277">
        <f>报表附注合并期初用!E1278</f>
        <v>0</v>
      </c>
      <c r="I1623" s="1277">
        <f>报表附注合并期初用!E1307</f>
        <v>0</v>
      </c>
      <c r="J1623" s="1300" t="str">
        <f t="shared" si="271"/>
        <v>合理</v>
      </c>
      <c r="K1623" s="1301"/>
      <c r="X1623" s="768" t="b">
        <f t="shared" si="273"/>
        <v>1</v>
      </c>
    </row>
    <row r="1624" hidden="1" outlineLevel="3" spans="1:24">
      <c r="A1624" s="152" t="s">
        <v>2168</v>
      </c>
      <c r="B1624" s="1207" t="s">
        <v>3464</v>
      </c>
      <c r="C1624" s="693" t="str">
        <f t="shared" si="272"/>
        <v>深圳新阳蓝光能源管理科技股份有限公司</v>
      </c>
      <c r="D1624" s="1267" t="s">
        <v>3476</v>
      </c>
      <c r="E1624" s="1282" t="s">
        <v>3499</v>
      </c>
      <c r="F1624" s="1278"/>
      <c r="G1624" s="1278"/>
      <c r="H1624" s="1277">
        <f>报表附注合并期初用!E1279</f>
        <v>0</v>
      </c>
      <c r="I1624" s="1277">
        <f>报表附注合并期初用!E1308</f>
        <v>0</v>
      </c>
      <c r="J1624" s="1300" t="str">
        <f t="shared" si="271"/>
        <v>合理</v>
      </c>
      <c r="K1624" s="1301"/>
      <c r="X1624" s="768" t="b">
        <f t="shared" si="273"/>
        <v>1</v>
      </c>
    </row>
    <row r="1625" hidden="1" outlineLevel="3" spans="1:24">
      <c r="A1625" s="152" t="s">
        <v>2169</v>
      </c>
      <c r="B1625" s="1207" t="s">
        <v>3464</v>
      </c>
      <c r="C1625" s="693" t="str">
        <f t="shared" si="272"/>
        <v>深圳新阳蓝光能源管理科技股份有限公司</v>
      </c>
      <c r="D1625" s="1210" t="s">
        <v>3476</v>
      </c>
      <c r="E1625" s="1282" t="s">
        <v>3500</v>
      </c>
      <c r="F1625" s="1278"/>
      <c r="G1625" s="1278"/>
      <c r="H1625" s="1277">
        <f>报表附注合并期初用!E1280</f>
        <v>0</v>
      </c>
      <c r="I1625" s="1277">
        <f>报表附注合并期初用!E1309</f>
        <v>0</v>
      </c>
      <c r="J1625" s="1300" t="str">
        <f t="shared" si="271"/>
        <v>合理</v>
      </c>
      <c r="K1625" s="1301"/>
      <c r="X1625" s="768" t="b">
        <f t="shared" si="273"/>
        <v>1</v>
      </c>
    </row>
    <row r="1626" hidden="1" outlineLevel="3" spans="1:24">
      <c r="A1626" s="152" t="s">
        <v>2170</v>
      </c>
      <c r="B1626" s="1207" t="s">
        <v>3464</v>
      </c>
      <c r="C1626" s="693" t="str">
        <f t="shared" si="272"/>
        <v>深圳新阳蓝光能源管理科技股份有限公司</v>
      </c>
      <c r="D1626" s="1210" t="s">
        <v>3476</v>
      </c>
      <c r="E1626" s="1282" t="s">
        <v>3501</v>
      </c>
      <c r="F1626" s="1278"/>
      <c r="G1626" s="1278"/>
      <c r="H1626" s="1277">
        <f>报表附注合并期初用!E1281</f>
        <v>0</v>
      </c>
      <c r="I1626" s="1277">
        <f>报表附注合并期初用!E1310</f>
        <v>0</v>
      </c>
      <c r="J1626" s="1300" t="str">
        <f t="shared" si="271"/>
        <v>合理</v>
      </c>
      <c r="K1626" s="1301"/>
      <c r="X1626" s="768" t="b">
        <f t="shared" si="273"/>
        <v>1</v>
      </c>
    </row>
    <row r="1627" hidden="1" outlineLevel="3" spans="1:24">
      <c r="A1627" s="152" t="s">
        <v>2171</v>
      </c>
      <c r="B1627" s="1207" t="s">
        <v>3464</v>
      </c>
      <c r="C1627" s="693" t="str">
        <f t="shared" si="272"/>
        <v>深圳新阳蓝光能源管理科技股份有限公司</v>
      </c>
      <c r="D1627" s="1210" t="s">
        <v>3476</v>
      </c>
      <c r="E1627" s="1282" t="s">
        <v>3502</v>
      </c>
      <c r="F1627" s="136"/>
      <c r="G1627" s="136"/>
      <c r="H1627" s="743">
        <f>报表附注合并期初用!E1282</f>
        <v>0</v>
      </c>
      <c r="I1627" s="743">
        <f>报表附注合并期初用!E1311</f>
        <v>0</v>
      </c>
      <c r="J1627" s="1300" t="str">
        <f t="shared" si="271"/>
        <v>合理</v>
      </c>
      <c r="K1627" s="1301"/>
      <c r="X1627" s="768" t="b">
        <f t="shared" si="273"/>
        <v>1</v>
      </c>
    </row>
    <row r="1628" hidden="1" outlineLevel="3" spans="1:24">
      <c r="A1628" s="152" t="s">
        <v>2172</v>
      </c>
      <c r="B1628" s="1207" t="s">
        <v>3464</v>
      </c>
      <c r="C1628" s="693" t="str">
        <f t="shared" si="272"/>
        <v>深圳新阳蓝光能源管理科技股份有限公司</v>
      </c>
      <c r="D1628" s="1267" t="s">
        <v>3476</v>
      </c>
      <c r="E1628" s="1282" t="s">
        <v>3503</v>
      </c>
      <c r="F1628" s="136"/>
      <c r="G1628" s="136"/>
      <c r="H1628" s="743">
        <f>报表附注合并期初用!E1283</f>
        <v>0</v>
      </c>
      <c r="I1628" s="743">
        <f>报表附注合并期初用!E1312</f>
        <v>0</v>
      </c>
      <c r="J1628" s="1300" t="str">
        <f t="shared" si="271"/>
        <v>合理</v>
      </c>
      <c r="K1628" s="1301"/>
      <c r="X1628" s="768" t="b">
        <f t="shared" si="273"/>
        <v>1</v>
      </c>
    </row>
    <row r="1629" hidden="1" outlineLevel="3" spans="1:24">
      <c r="A1629" s="152" t="s">
        <v>2173</v>
      </c>
      <c r="B1629" s="1207" t="s">
        <v>3464</v>
      </c>
      <c r="C1629" s="693" t="str">
        <f t="shared" si="272"/>
        <v>深圳新阳蓝光能源管理科技股份有限公司</v>
      </c>
      <c r="D1629" s="1210" t="s">
        <v>3476</v>
      </c>
      <c r="E1629" s="1282" t="s">
        <v>3504</v>
      </c>
      <c r="F1629" s="136"/>
      <c r="G1629" s="136"/>
      <c r="H1629" s="743">
        <f>报表附注合并期初用!E1284</f>
        <v>0</v>
      </c>
      <c r="I1629" s="743">
        <f>报表附注合并期初用!E1313</f>
        <v>0</v>
      </c>
      <c r="J1629" s="1300" t="str">
        <f t="shared" si="271"/>
        <v>合理</v>
      </c>
      <c r="K1629" s="1301"/>
      <c r="X1629" s="768" t="b">
        <f t="shared" si="273"/>
        <v>1</v>
      </c>
    </row>
    <row r="1630" outlineLevel="2" spans="1:24">
      <c r="A1630" s="152" t="s">
        <v>3505</v>
      </c>
      <c r="B1630" s="1207" t="s">
        <v>3464</v>
      </c>
      <c r="C1630" s="693" t="str">
        <f t="shared" si="272"/>
        <v>深圳新阳蓝光能源管理科技股份有限公司</v>
      </c>
      <c r="D1630" s="1210" t="s">
        <v>3476</v>
      </c>
      <c r="E1630" s="1113" t="s">
        <v>3506</v>
      </c>
      <c r="F1630" s="817">
        <f>审定资负表!C37</f>
        <v>1554610.58</v>
      </c>
      <c r="G1630" s="145">
        <f>H1630-F1630</f>
        <v>-743918.35</v>
      </c>
      <c r="H1630" s="817">
        <f>审定资负表!D37</f>
        <v>810692.23</v>
      </c>
      <c r="I1630" s="145"/>
      <c r="X1630" s="768" t="b">
        <f t="shared" si="273"/>
        <v>1</v>
      </c>
    </row>
    <row r="1631" outlineLevel="1" collapsed="1" spans="1:24">
      <c r="A1631" s="152" t="s">
        <v>1395</v>
      </c>
      <c r="B1631" s="1207" t="s">
        <v>3464</v>
      </c>
      <c r="C1631" s="693" t="str">
        <f t="shared" si="272"/>
        <v>深圳新阳蓝光能源管理科技股份有限公司</v>
      </c>
      <c r="D1631" s="1210" t="s">
        <v>3476</v>
      </c>
      <c r="E1631" s="1115" t="s">
        <v>1395</v>
      </c>
      <c r="F1631" s="1007">
        <f>ROUND(F1602-F1630,2)</f>
        <v>0</v>
      </c>
      <c r="G1631" s="145"/>
      <c r="H1631" s="1007">
        <f>ROUND(H1602-H1630,2)</f>
        <v>0</v>
      </c>
      <c r="I1631" s="145"/>
      <c r="X1631" s="768" t="b">
        <f t="shared" si="273"/>
        <v>1</v>
      </c>
    </row>
    <row r="1632" hidden="1" outlineLevel="2" spans="1:24">
      <c r="A1632" s="152" t="s">
        <v>3507</v>
      </c>
      <c r="B1632" s="1207" t="s">
        <v>3464</v>
      </c>
      <c r="C1632" s="693" t="str">
        <f t="shared" si="272"/>
        <v>深圳新阳蓝光能源管理科技股份有限公司</v>
      </c>
      <c r="D1632" s="1267" t="s">
        <v>3476</v>
      </c>
      <c r="E1632" s="1115" t="s">
        <v>3508</v>
      </c>
      <c r="F1632" s="817">
        <f>审定资负表!G28</f>
        <v>0</v>
      </c>
      <c r="G1632" s="145"/>
      <c r="H1632" s="817">
        <f>审定资负表!H28</f>
        <v>0</v>
      </c>
      <c r="I1632" s="145"/>
      <c r="X1632" s="768" t="b">
        <f t="shared" si="273"/>
        <v>1</v>
      </c>
    </row>
    <row r="1633" hidden="1" outlineLevel="2" spans="1:24">
      <c r="A1633" s="152" t="s">
        <v>1395</v>
      </c>
      <c r="B1633" s="1207" t="s">
        <v>3464</v>
      </c>
      <c r="C1633" s="693" t="str">
        <f t="shared" si="272"/>
        <v>深圳新阳蓝光能源管理科技股份有限公司</v>
      </c>
      <c r="D1633" s="1210" t="s">
        <v>3476</v>
      </c>
      <c r="E1633" s="1115" t="s">
        <v>1395</v>
      </c>
      <c r="F1633" s="1007">
        <f>ROUND(F1617-F1632,2)</f>
        <v>0</v>
      </c>
      <c r="G1633" s="145"/>
      <c r="H1633" s="1007">
        <f>ROUND(H1617-H1632,2)</f>
        <v>0</v>
      </c>
      <c r="I1633" s="145"/>
      <c r="X1633" s="768" t="b">
        <f t="shared" si="273"/>
        <v>1</v>
      </c>
    </row>
    <row r="1634" hidden="1" outlineLevel="2" spans="2:24">
      <c r="B1634" s="1207" t="s">
        <v>3464</v>
      </c>
      <c r="C1634" s="693" t="str">
        <f t="shared" si="272"/>
        <v>深圳新阳蓝光能源管理科技股份有限公司</v>
      </c>
      <c r="D1634" s="1210" t="s">
        <v>3476</v>
      </c>
      <c r="E1634" s="1115"/>
      <c r="F1634" s="1115"/>
      <c r="G1634" s="1283"/>
      <c r="H1634" s="1115"/>
      <c r="I1634" s="1115"/>
      <c r="X1634" s="768" t="b">
        <f t="shared" si="273"/>
        <v>1</v>
      </c>
    </row>
    <row r="1635" hidden="1" outlineLevel="2" spans="1:24">
      <c r="A1635" s="152" t="s">
        <v>2176</v>
      </c>
      <c r="B1635" s="1207" t="s">
        <v>3464</v>
      </c>
      <c r="C1635" s="693" t="str">
        <f t="shared" si="272"/>
        <v>深圳新阳蓝光能源管理科技股份有限公司</v>
      </c>
      <c r="D1635" s="1210" t="s">
        <v>3509</v>
      </c>
      <c r="E1635" s="153" t="s">
        <v>3510</v>
      </c>
      <c r="F1635" s="1115"/>
      <c r="G1635" s="1115"/>
      <c r="H1635" s="1115"/>
      <c r="I1635" s="1115"/>
      <c r="X1635" s="768" t="b">
        <f t="shared" si="273"/>
        <v>1</v>
      </c>
    </row>
    <row r="1636" hidden="1" outlineLevel="2" spans="1:24">
      <c r="A1636" s="152" t="s">
        <v>61</v>
      </c>
      <c r="B1636" s="1207" t="s">
        <v>3464</v>
      </c>
      <c r="C1636" s="693" t="str">
        <f t="shared" si="272"/>
        <v>深圳新阳蓝光能源管理科技股份有限公司</v>
      </c>
      <c r="D1636" s="1210" t="s">
        <v>3509</v>
      </c>
      <c r="E1636" s="851" t="s">
        <v>61</v>
      </c>
      <c r="F1636" s="851" t="s">
        <v>516</v>
      </c>
      <c r="G1636" s="851" t="s">
        <v>671</v>
      </c>
      <c r="H1636" s="1115"/>
      <c r="I1636" s="1115"/>
      <c r="X1636" s="768" t="b">
        <f t="shared" si="273"/>
        <v>1</v>
      </c>
    </row>
    <row r="1637" hidden="1" outlineLevel="2" spans="1:24">
      <c r="A1637" s="152" t="s">
        <v>2177</v>
      </c>
      <c r="B1637" s="1207" t="s">
        <v>3464</v>
      </c>
      <c r="C1637" s="693" t="str">
        <f t="shared" si="272"/>
        <v>深圳新阳蓝光能源管理科技股份有限公司</v>
      </c>
      <c r="D1637" s="1210" t="s">
        <v>3511</v>
      </c>
      <c r="E1637" s="1235" t="s">
        <v>2177</v>
      </c>
      <c r="F1637" s="1284">
        <f>K1730+K1731-G1604-G1605</f>
        <v>0</v>
      </c>
      <c r="G1637" s="1285">
        <f>F1730+F1731-I1604-I1605</f>
        <v>5573.39000000083</v>
      </c>
      <c r="H1637" s="1283"/>
      <c r="I1637" s="1115"/>
      <c r="X1637" s="768" t="b">
        <f t="shared" si="273"/>
        <v>1</v>
      </c>
    </row>
    <row r="1638" hidden="1" outlineLevel="2" collapsed="1" spans="1:24">
      <c r="A1638" s="152" t="s">
        <v>2161</v>
      </c>
      <c r="B1638" s="1207" t="s">
        <v>3464</v>
      </c>
      <c r="C1638" s="693" t="str">
        <f t="shared" si="272"/>
        <v>深圳新阳蓝光能源管理科技股份有限公司</v>
      </c>
      <c r="D1638" s="1210" t="s">
        <v>3511</v>
      </c>
      <c r="E1638" s="789" t="s">
        <v>2161</v>
      </c>
      <c r="F1638" s="1286">
        <f>O3084+O3085+O3086+O3087+O3088-G1612</f>
        <v>0</v>
      </c>
      <c r="G1638" s="1285">
        <f>O3084+O3085+O3086+O3087-I1612</f>
        <v>0</v>
      </c>
      <c r="H1638" s="1115"/>
      <c r="I1638" s="1115"/>
      <c r="X1638" s="768" t="b">
        <f t="shared" si="273"/>
        <v>1</v>
      </c>
    </row>
    <row r="1639" hidden="1" outlineLevel="3" spans="1:24">
      <c r="A1639" s="152" t="s">
        <v>2162</v>
      </c>
      <c r="B1639" s="1207" t="s">
        <v>3464</v>
      </c>
      <c r="C1639" s="693" t="str">
        <f t="shared" si="272"/>
        <v>深圳新阳蓝光能源管理科技股份有限公司</v>
      </c>
      <c r="D1639" s="1210" t="s">
        <v>3511</v>
      </c>
      <c r="E1639" s="1282" t="s">
        <v>3512</v>
      </c>
      <c r="F1639" s="1287"/>
      <c r="G1639" s="1285">
        <f>报表附注合并期初用!E1328</f>
        <v>0</v>
      </c>
      <c r="H1639" s="1115"/>
      <c r="I1639" s="1115"/>
      <c r="X1639" s="768" t="b">
        <f t="shared" si="273"/>
        <v>1</v>
      </c>
    </row>
    <row r="1640" hidden="1" outlineLevel="3" spans="1:24">
      <c r="A1640" s="152" t="s">
        <v>2163</v>
      </c>
      <c r="B1640" s="1207" t="s">
        <v>3464</v>
      </c>
      <c r="C1640" s="693" t="str">
        <f t="shared" si="272"/>
        <v>深圳新阳蓝光能源管理科技股份有限公司</v>
      </c>
      <c r="D1640" s="1210" t="s">
        <v>3511</v>
      </c>
      <c r="E1640" s="1282" t="s">
        <v>3513</v>
      </c>
      <c r="F1640" s="1287"/>
      <c r="G1640" s="1285">
        <f>报表附注合并期初用!E1329</f>
        <v>0</v>
      </c>
      <c r="H1640" s="1115"/>
      <c r="I1640" s="1115"/>
      <c r="X1640" s="768" t="b">
        <f t="shared" si="273"/>
        <v>1</v>
      </c>
    </row>
    <row r="1641" hidden="1" outlineLevel="3" spans="1:24">
      <c r="A1641" s="152" t="s">
        <v>2166</v>
      </c>
      <c r="B1641" s="1207" t="s">
        <v>3464</v>
      </c>
      <c r="C1641" s="693" t="str">
        <f t="shared" si="272"/>
        <v>深圳新阳蓝光能源管理科技股份有限公司</v>
      </c>
      <c r="D1641" s="1210" t="s">
        <v>3511</v>
      </c>
      <c r="E1641" s="1282" t="s">
        <v>3514</v>
      </c>
      <c r="F1641" s="1287"/>
      <c r="G1641" s="1285">
        <f>报表附注合并期初用!E1330</f>
        <v>0</v>
      </c>
      <c r="H1641" s="1115"/>
      <c r="I1641" s="1115"/>
      <c r="X1641" s="768" t="b">
        <f t="shared" si="273"/>
        <v>1</v>
      </c>
    </row>
    <row r="1642" hidden="1" outlineLevel="3" spans="1:24">
      <c r="A1642" s="152" t="s">
        <v>2167</v>
      </c>
      <c r="B1642" s="1207" t="s">
        <v>3464</v>
      </c>
      <c r="C1642" s="693" t="str">
        <f t="shared" si="272"/>
        <v>深圳新阳蓝光能源管理科技股份有限公司</v>
      </c>
      <c r="D1642" s="1210" t="s">
        <v>3511</v>
      </c>
      <c r="E1642" s="1282" t="s">
        <v>3498</v>
      </c>
      <c r="F1642" s="1287"/>
      <c r="G1642" s="1285">
        <f>报表附注合并期初用!E1331</f>
        <v>0</v>
      </c>
      <c r="H1642" s="1115"/>
      <c r="I1642" s="1115"/>
      <c r="X1642" s="768" t="b">
        <f t="shared" si="273"/>
        <v>1</v>
      </c>
    </row>
    <row r="1643" hidden="1" outlineLevel="3" spans="1:24">
      <c r="A1643" s="152" t="s">
        <v>2168</v>
      </c>
      <c r="B1643" s="1207" t="s">
        <v>3464</v>
      </c>
      <c r="C1643" s="693" t="str">
        <f t="shared" si="272"/>
        <v>深圳新阳蓝光能源管理科技股份有限公司</v>
      </c>
      <c r="D1643" s="1210" t="s">
        <v>3511</v>
      </c>
      <c r="E1643" s="1282" t="s">
        <v>3499</v>
      </c>
      <c r="F1643" s="1288"/>
      <c r="G1643" s="1289">
        <f>报表附注合并期初用!E1332</f>
        <v>0</v>
      </c>
      <c r="H1643" s="1115"/>
      <c r="I1643" s="1115"/>
      <c r="X1643" s="768" t="b">
        <f t="shared" si="273"/>
        <v>1</v>
      </c>
    </row>
    <row r="1644" hidden="1" outlineLevel="2" spans="1:24">
      <c r="A1644" s="152" t="s">
        <v>2021</v>
      </c>
      <c r="B1644" s="1207" t="s">
        <v>3464</v>
      </c>
      <c r="C1644" s="693" t="str">
        <f t="shared" si="272"/>
        <v>深圳新阳蓝光能源管理科技股份有限公司</v>
      </c>
      <c r="D1644" s="1210" t="s">
        <v>3511</v>
      </c>
      <c r="E1644" s="1290" t="s">
        <v>2021</v>
      </c>
      <c r="F1644" s="1286">
        <f>SUM(F1637:F1643)</f>
        <v>0</v>
      </c>
      <c r="G1644" s="1286">
        <f>SUM(G1637:G1643)</f>
        <v>5573.39000000083</v>
      </c>
      <c r="H1644" s="1115"/>
      <c r="I1644" s="1115"/>
      <c r="X1644" s="768" t="b">
        <f t="shared" si="273"/>
        <v>1</v>
      </c>
    </row>
    <row r="1645" hidden="1" outlineLevel="2" spans="2:24">
      <c r="B1645" s="1207" t="s">
        <v>3464</v>
      </c>
      <c r="C1645" s="693" t="str">
        <f t="shared" si="272"/>
        <v>深圳新阳蓝光能源管理科技股份有限公司</v>
      </c>
      <c r="D1645" s="1210" t="s">
        <v>3511</v>
      </c>
      <c r="E1645" s="1291"/>
      <c r="F1645" s="1292"/>
      <c r="G1645" s="1292"/>
      <c r="H1645" s="1115"/>
      <c r="I1645" s="1115"/>
      <c r="X1645" s="768" t="b">
        <f t="shared" si="273"/>
        <v>1</v>
      </c>
    </row>
    <row r="1646" hidden="1" outlineLevel="2" spans="1:24">
      <c r="A1646" s="152" t="s">
        <v>2178</v>
      </c>
      <c r="B1646" s="1207" t="s">
        <v>3464</v>
      </c>
      <c r="C1646" s="693" t="str">
        <f t="shared" si="272"/>
        <v>深圳新阳蓝光能源管理科技股份有限公司</v>
      </c>
      <c r="D1646" s="1163" t="s">
        <v>2178</v>
      </c>
      <c r="E1646" s="153" t="s">
        <v>3515</v>
      </c>
      <c r="F1646" s="1292"/>
      <c r="G1646" s="1292"/>
      <c r="H1646" s="1115"/>
      <c r="I1646" s="1115"/>
      <c r="X1646" s="768" t="b">
        <f t="shared" si="273"/>
        <v>1</v>
      </c>
    </row>
    <row r="1647" hidden="1" outlineLevel="2" spans="1:24">
      <c r="A1647" s="152" t="s">
        <v>3516</v>
      </c>
      <c r="B1647" s="1207" t="s">
        <v>3464</v>
      </c>
      <c r="C1647" s="693" t="str">
        <f t="shared" si="272"/>
        <v>深圳新阳蓝光能源管理科技股份有限公司</v>
      </c>
      <c r="D1647" s="1163" t="s">
        <v>2178</v>
      </c>
      <c r="E1647" s="851" t="s">
        <v>3516</v>
      </c>
      <c r="F1647" s="851" t="s">
        <v>516</v>
      </c>
      <c r="G1647" s="851" t="s">
        <v>671</v>
      </c>
      <c r="H1647" s="851" t="s">
        <v>354</v>
      </c>
      <c r="I1647" s="1115"/>
      <c r="X1647" s="768" t="b">
        <f t="shared" si="273"/>
        <v>1</v>
      </c>
    </row>
    <row r="1648" hidden="1" outlineLevel="2" spans="1:24">
      <c r="A1648" s="152">
        <v>2011</v>
      </c>
      <c r="B1648" s="1207" t="s">
        <v>3464</v>
      </c>
      <c r="C1648" s="693" t="str">
        <f t="shared" si="272"/>
        <v>深圳新阳蓝光能源管理科技股份有限公司</v>
      </c>
      <c r="D1648" s="1163" t="s">
        <v>2178</v>
      </c>
      <c r="E1648" s="1293">
        <v>2016</v>
      </c>
      <c r="F1648" s="1294">
        <f t="shared" ref="F1648:F1652" si="275">O3084</f>
        <v>0</v>
      </c>
      <c r="G1648" s="1295">
        <f>报表附注合并期初用!E1344</f>
        <v>0</v>
      </c>
      <c r="H1648" s="1296"/>
      <c r="I1648" s="1115"/>
      <c r="X1648" s="768" t="b">
        <f t="shared" si="273"/>
        <v>0</v>
      </c>
    </row>
    <row r="1649" hidden="1" outlineLevel="2" spans="1:24">
      <c r="A1649" s="152">
        <v>2012</v>
      </c>
      <c r="B1649" s="1207" t="s">
        <v>3464</v>
      </c>
      <c r="C1649" s="693" t="str">
        <f t="shared" si="272"/>
        <v>深圳新阳蓝光能源管理科技股份有限公司</v>
      </c>
      <c r="D1649" s="1163" t="s">
        <v>2178</v>
      </c>
      <c r="E1649" s="1293">
        <v>2017</v>
      </c>
      <c r="F1649" s="1294">
        <f t="shared" si="275"/>
        <v>0</v>
      </c>
      <c r="G1649" s="1295">
        <f>报表附注合并期初用!E1345</f>
        <v>0</v>
      </c>
      <c r="H1649" s="1296"/>
      <c r="I1649" s="1115"/>
      <c r="X1649" s="768" t="b">
        <f t="shared" si="273"/>
        <v>0</v>
      </c>
    </row>
    <row r="1650" hidden="1" outlineLevel="2" spans="1:24">
      <c r="A1650" s="152">
        <v>2013</v>
      </c>
      <c r="B1650" s="1207" t="s">
        <v>3464</v>
      </c>
      <c r="C1650" s="693" t="str">
        <f t="shared" si="272"/>
        <v>深圳新阳蓝光能源管理科技股份有限公司</v>
      </c>
      <c r="D1650" s="1163" t="s">
        <v>2178</v>
      </c>
      <c r="E1650" s="1293">
        <v>2018</v>
      </c>
      <c r="F1650" s="1294">
        <f t="shared" si="275"/>
        <v>0</v>
      </c>
      <c r="G1650" s="1295">
        <f>报表附注合并期初用!E1346</f>
        <v>0</v>
      </c>
      <c r="H1650" s="1296"/>
      <c r="I1650" s="1115"/>
      <c r="X1650" s="768" t="b">
        <f t="shared" si="273"/>
        <v>0</v>
      </c>
    </row>
    <row r="1651" hidden="1" outlineLevel="2" spans="1:24">
      <c r="A1651" s="152">
        <v>2014</v>
      </c>
      <c r="B1651" s="1207" t="s">
        <v>3464</v>
      </c>
      <c r="C1651" s="693" t="str">
        <f t="shared" si="272"/>
        <v>深圳新阳蓝光能源管理科技股份有限公司</v>
      </c>
      <c r="D1651" s="1163" t="s">
        <v>2178</v>
      </c>
      <c r="E1651" s="1293">
        <v>2019</v>
      </c>
      <c r="F1651" s="1294">
        <f t="shared" si="275"/>
        <v>0</v>
      </c>
      <c r="G1651" s="1295">
        <f>报表附注合并期初用!E1347</f>
        <v>0</v>
      </c>
      <c r="H1651" s="1296"/>
      <c r="I1651" s="1115"/>
      <c r="X1651" s="768" t="b">
        <f t="shared" si="273"/>
        <v>0</v>
      </c>
    </row>
    <row r="1652" hidden="1" outlineLevel="2" spans="1:24">
      <c r="A1652" s="152">
        <v>2015</v>
      </c>
      <c r="B1652" s="1207" t="s">
        <v>3464</v>
      </c>
      <c r="C1652" s="693" t="str">
        <f t="shared" si="272"/>
        <v>深圳新阳蓝光能源管理科技股份有限公司</v>
      </c>
      <c r="D1652" s="1163" t="s">
        <v>2178</v>
      </c>
      <c r="E1652" s="1293">
        <v>2020</v>
      </c>
      <c r="F1652" s="1294">
        <f t="shared" si="275"/>
        <v>0</v>
      </c>
      <c r="G1652" s="1295">
        <f>报表附注合并期初用!E1348</f>
        <v>0</v>
      </c>
      <c r="H1652" s="1296"/>
      <c r="I1652" s="1115"/>
      <c r="X1652" s="768" t="b">
        <f t="shared" si="273"/>
        <v>0</v>
      </c>
    </row>
    <row r="1653" hidden="1" outlineLevel="2" spans="1:24">
      <c r="A1653" s="152" t="s">
        <v>2021</v>
      </c>
      <c r="B1653" s="1207" t="s">
        <v>3464</v>
      </c>
      <c r="C1653" s="693" t="str">
        <f t="shared" si="272"/>
        <v>深圳新阳蓝光能源管理科技股份有限公司</v>
      </c>
      <c r="D1653" s="1163" t="s">
        <v>2178</v>
      </c>
      <c r="E1653" s="1239" t="s">
        <v>2021</v>
      </c>
      <c r="F1653" s="1153">
        <f>SUM(F1648:F1652)</f>
        <v>0</v>
      </c>
      <c r="G1653" s="1153">
        <f>SUM(G1648:G1652)</f>
        <v>0</v>
      </c>
      <c r="H1653" s="155"/>
      <c r="I1653" s="1115"/>
      <c r="X1653" s="768" t="b">
        <f t="shared" si="273"/>
        <v>1</v>
      </c>
    </row>
    <row r="1654" hidden="1" outlineLevel="2" spans="2:24">
      <c r="B1654" s="1207" t="s">
        <v>3464</v>
      </c>
      <c r="C1654" s="693" t="str">
        <f t="shared" si="272"/>
        <v>深圳新阳蓝光能源管理科技股份有限公司</v>
      </c>
      <c r="D1654" s="1163" t="s">
        <v>2178</v>
      </c>
      <c r="E1654" s="1291"/>
      <c r="F1654" s="1292"/>
      <c r="G1654" s="1292"/>
      <c r="H1654" s="1115"/>
      <c r="I1654" s="1115"/>
      <c r="X1654" s="768" t="b">
        <f t="shared" si="273"/>
        <v>1</v>
      </c>
    </row>
    <row r="1655" hidden="1" outlineLevel="2" collapsed="1" spans="1:24">
      <c r="A1655" s="152" t="s">
        <v>3517</v>
      </c>
      <c r="B1655" s="1207" t="s">
        <v>3464</v>
      </c>
      <c r="C1655" s="693" t="str">
        <f t="shared" si="272"/>
        <v>深圳新阳蓝光能源管理科技股份有限公司</v>
      </c>
      <c r="D1655" s="1163" t="s">
        <v>3517</v>
      </c>
      <c r="E1655" s="153" t="s">
        <v>3518</v>
      </c>
      <c r="F1655" s="1292"/>
      <c r="G1655" s="1292"/>
      <c r="H1655" s="1115"/>
      <c r="I1655" s="1115"/>
      <c r="X1655" s="768" t="b">
        <f t="shared" si="273"/>
        <v>1</v>
      </c>
    </row>
    <row r="1656" hidden="1" outlineLevel="3" spans="1:24">
      <c r="A1656" s="152" t="s">
        <v>61</v>
      </c>
      <c r="B1656" s="1207" t="s">
        <v>3464</v>
      </c>
      <c r="C1656" s="693" t="str">
        <f t="shared" si="272"/>
        <v>深圳新阳蓝光能源管理科技股份有限公司</v>
      </c>
      <c r="D1656" s="1163" t="s">
        <v>3517</v>
      </c>
      <c r="E1656" s="1297" t="s">
        <v>61</v>
      </c>
      <c r="F1656" s="1297" t="s">
        <v>3477</v>
      </c>
      <c r="G1656" s="1292"/>
      <c r="H1656" s="1115"/>
      <c r="I1656" s="1115"/>
      <c r="X1656" s="768" t="b">
        <f t="shared" si="273"/>
        <v>1</v>
      </c>
    </row>
    <row r="1657" hidden="1" outlineLevel="3" spans="2:24">
      <c r="B1657" s="1207" t="s">
        <v>3464</v>
      </c>
      <c r="C1657" s="693" t="str">
        <f t="shared" si="272"/>
        <v>深圳新阳蓝光能源管理科技股份有限公司</v>
      </c>
      <c r="D1657" s="1163" t="s">
        <v>3517</v>
      </c>
      <c r="E1657" s="1298" t="s">
        <v>3519</v>
      </c>
      <c r="F1657" s="1240">
        <f>SUM(F1658:F1666)</f>
        <v>0</v>
      </c>
      <c r="G1657" s="1292"/>
      <c r="H1657" s="1115"/>
      <c r="I1657" s="1115"/>
      <c r="X1657" s="768" t="b">
        <f t="shared" si="273"/>
        <v>0</v>
      </c>
    </row>
    <row r="1658" hidden="1" outlineLevel="3" spans="2:24">
      <c r="B1658" s="1207" t="s">
        <v>3464</v>
      </c>
      <c r="C1658" s="693" t="str">
        <f t="shared" si="272"/>
        <v>深圳新阳蓝光能源管理科技股份有限公司</v>
      </c>
      <c r="D1658" s="1163" t="s">
        <v>3517</v>
      </c>
      <c r="E1658" s="1021"/>
      <c r="F1658" s="1288"/>
      <c r="G1658" s="1292"/>
      <c r="H1658" s="1115"/>
      <c r="I1658" s="1115"/>
      <c r="X1658" s="768" t="b">
        <f t="shared" si="273"/>
        <v>1</v>
      </c>
    </row>
    <row r="1659" hidden="1" outlineLevel="3" spans="2:24">
      <c r="B1659" s="1207" t="s">
        <v>3464</v>
      </c>
      <c r="C1659" s="693" t="str">
        <f t="shared" si="272"/>
        <v>深圳新阳蓝光能源管理科技股份有限公司</v>
      </c>
      <c r="D1659" s="1163" t="s">
        <v>3517</v>
      </c>
      <c r="E1659" s="1021"/>
      <c r="F1659" s="1288"/>
      <c r="G1659" s="1292"/>
      <c r="H1659" s="1115"/>
      <c r="I1659" s="1115"/>
      <c r="X1659" s="768" t="b">
        <f t="shared" si="273"/>
        <v>1</v>
      </c>
    </row>
    <row r="1660" hidden="1" outlineLevel="3" spans="2:24">
      <c r="B1660" s="1207" t="s">
        <v>3464</v>
      </c>
      <c r="C1660" s="693" t="str">
        <f t="shared" si="272"/>
        <v>深圳新阳蓝光能源管理科技股份有限公司</v>
      </c>
      <c r="D1660" s="1163" t="s">
        <v>3517</v>
      </c>
      <c r="E1660" s="1021"/>
      <c r="F1660" s="1288"/>
      <c r="G1660" s="1292"/>
      <c r="H1660" s="1115"/>
      <c r="I1660" s="1115"/>
      <c r="X1660" s="768" t="b">
        <f t="shared" si="273"/>
        <v>1</v>
      </c>
    </row>
    <row r="1661" hidden="1" outlineLevel="3" spans="2:24">
      <c r="B1661" s="1207" t="s">
        <v>3464</v>
      </c>
      <c r="C1661" s="693" t="str">
        <f t="shared" si="272"/>
        <v>深圳新阳蓝光能源管理科技股份有限公司</v>
      </c>
      <c r="D1661" s="1163" t="s">
        <v>3517</v>
      </c>
      <c r="E1661" s="1021"/>
      <c r="F1661" s="1288"/>
      <c r="G1661" s="1292"/>
      <c r="H1661" s="1115"/>
      <c r="I1661" s="1115"/>
      <c r="X1661" s="768" t="b">
        <f t="shared" si="273"/>
        <v>1</v>
      </c>
    </row>
    <row r="1662" hidden="1" outlineLevel="3" spans="2:24">
      <c r="B1662" s="1207" t="s">
        <v>3464</v>
      </c>
      <c r="C1662" s="693" t="str">
        <f t="shared" si="272"/>
        <v>深圳新阳蓝光能源管理科技股份有限公司</v>
      </c>
      <c r="D1662" s="1163" t="s">
        <v>3517</v>
      </c>
      <c r="E1662" s="1021"/>
      <c r="F1662" s="1288"/>
      <c r="G1662" s="1292"/>
      <c r="H1662" s="1115"/>
      <c r="I1662" s="1115"/>
      <c r="X1662" s="768" t="b">
        <f t="shared" si="273"/>
        <v>1</v>
      </c>
    </row>
    <row r="1663" hidden="1" outlineLevel="3" spans="2:24">
      <c r="B1663" s="1207" t="s">
        <v>3464</v>
      </c>
      <c r="C1663" s="693" t="str">
        <f t="shared" si="272"/>
        <v>深圳新阳蓝光能源管理科技股份有限公司</v>
      </c>
      <c r="D1663" s="1163" t="s">
        <v>3517</v>
      </c>
      <c r="E1663" s="1021"/>
      <c r="F1663" s="1288"/>
      <c r="G1663" s="1292"/>
      <c r="H1663" s="1115"/>
      <c r="I1663" s="1115"/>
      <c r="X1663" s="768" t="b">
        <f t="shared" si="273"/>
        <v>1</v>
      </c>
    </row>
    <row r="1664" hidden="1" outlineLevel="3" spans="2:24">
      <c r="B1664" s="1207" t="s">
        <v>3464</v>
      </c>
      <c r="C1664" s="693" t="str">
        <f t="shared" si="272"/>
        <v>深圳新阳蓝光能源管理科技股份有限公司</v>
      </c>
      <c r="D1664" s="1163" t="s">
        <v>3517</v>
      </c>
      <c r="E1664" s="1021"/>
      <c r="F1664" s="1288"/>
      <c r="G1664" s="1292"/>
      <c r="H1664" s="1115"/>
      <c r="I1664" s="1115"/>
      <c r="X1664" s="768" t="b">
        <f t="shared" si="273"/>
        <v>1</v>
      </c>
    </row>
    <row r="1665" hidden="1" outlineLevel="3" spans="2:24">
      <c r="B1665" s="1207" t="s">
        <v>3464</v>
      </c>
      <c r="C1665" s="693" t="str">
        <f t="shared" si="272"/>
        <v>深圳新阳蓝光能源管理科技股份有限公司</v>
      </c>
      <c r="D1665" s="1163" t="s">
        <v>3517</v>
      </c>
      <c r="E1665" s="1021"/>
      <c r="F1665" s="1288"/>
      <c r="G1665" s="1292"/>
      <c r="H1665" s="1115"/>
      <c r="I1665" s="1115"/>
      <c r="X1665" s="768" t="b">
        <f t="shared" si="273"/>
        <v>1</v>
      </c>
    </row>
    <row r="1666" hidden="1" outlineLevel="3" spans="2:24">
      <c r="B1666" s="1207" t="s">
        <v>3464</v>
      </c>
      <c r="C1666" s="693" t="str">
        <f t="shared" si="272"/>
        <v>深圳新阳蓝光能源管理科技股份有限公司</v>
      </c>
      <c r="D1666" s="1163" t="s">
        <v>3517</v>
      </c>
      <c r="E1666" s="1021"/>
      <c r="F1666" s="1288"/>
      <c r="G1666" s="1292"/>
      <c r="H1666" s="1115"/>
      <c r="I1666" s="1115"/>
      <c r="X1666" s="768" t="b">
        <f t="shared" si="273"/>
        <v>1</v>
      </c>
    </row>
    <row r="1667" hidden="1" outlineLevel="3" spans="2:24">
      <c r="B1667" s="1207" t="s">
        <v>3464</v>
      </c>
      <c r="C1667" s="693" t="str">
        <f t="shared" si="272"/>
        <v>深圳新阳蓝光能源管理科技股份有限公司</v>
      </c>
      <c r="D1667" s="1163" t="s">
        <v>3517</v>
      </c>
      <c r="E1667" s="1298" t="s">
        <v>3520</v>
      </c>
      <c r="F1667" s="1240">
        <f>SUM(F1668:F1678)</f>
        <v>0</v>
      </c>
      <c r="G1667" s="1292"/>
      <c r="H1667" s="1115"/>
      <c r="I1667" s="1115"/>
      <c r="X1667" s="768" t="b">
        <f t="shared" si="273"/>
        <v>0</v>
      </c>
    </row>
    <row r="1668" hidden="1" outlineLevel="3" spans="2:24">
      <c r="B1668" s="1207" t="s">
        <v>3464</v>
      </c>
      <c r="C1668" s="693" t="str">
        <f t="shared" si="272"/>
        <v>深圳新阳蓝光能源管理科技股份有限公司</v>
      </c>
      <c r="D1668" s="1163" t="s">
        <v>3517</v>
      </c>
      <c r="E1668" s="1021"/>
      <c r="F1668" s="1288"/>
      <c r="G1668" s="1292"/>
      <c r="H1668" s="1115"/>
      <c r="I1668" s="1115"/>
      <c r="X1668" s="768" t="b">
        <f t="shared" si="273"/>
        <v>1</v>
      </c>
    </row>
    <row r="1669" hidden="1" outlineLevel="3" spans="2:24">
      <c r="B1669" s="1207" t="s">
        <v>3464</v>
      </c>
      <c r="C1669" s="693" t="str">
        <f t="shared" si="272"/>
        <v>深圳新阳蓝光能源管理科技股份有限公司</v>
      </c>
      <c r="D1669" s="1163" t="s">
        <v>3517</v>
      </c>
      <c r="E1669" s="1021"/>
      <c r="F1669" s="1288"/>
      <c r="G1669" s="1292"/>
      <c r="H1669" s="1115"/>
      <c r="I1669" s="1115"/>
      <c r="X1669" s="768" t="b">
        <f t="shared" si="273"/>
        <v>1</v>
      </c>
    </row>
    <row r="1670" hidden="1" outlineLevel="3" spans="2:24">
      <c r="B1670" s="1207" t="s">
        <v>3464</v>
      </c>
      <c r="C1670" s="693" t="str">
        <f t="shared" si="272"/>
        <v>深圳新阳蓝光能源管理科技股份有限公司</v>
      </c>
      <c r="D1670" s="1163" t="s">
        <v>3517</v>
      </c>
      <c r="E1670" s="1021"/>
      <c r="F1670" s="1288"/>
      <c r="G1670" s="1292"/>
      <c r="H1670" s="1115"/>
      <c r="I1670" s="1115"/>
      <c r="X1670" s="768" t="b">
        <f t="shared" si="273"/>
        <v>1</v>
      </c>
    </row>
    <row r="1671" hidden="1" outlineLevel="3" spans="2:24">
      <c r="B1671" s="1207" t="s">
        <v>3464</v>
      </c>
      <c r="C1671" s="693" t="str">
        <f t="shared" si="272"/>
        <v>深圳新阳蓝光能源管理科技股份有限公司</v>
      </c>
      <c r="D1671" s="1163" t="s">
        <v>3517</v>
      </c>
      <c r="E1671" s="1021"/>
      <c r="F1671" s="1288"/>
      <c r="G1671" s="1292"/>
      <c r="H1671" s="1115"/>
      <c r="I1671" s="1115"/>
      <c r="X1671" s="768" t="b">
        <f t="shared" si="273"/>
        <v>1</v>
      </c>
    </row>
    <row r="1672" hidden="1" outlineLevel="3" spans="2:24">
      <c r="B1672" s="1207" t="s">
        <v>3464</v>
      </c>
      <c r="C1672" s="693" t="str">
        <f t="shared" ref="C1672:C1735" si="276">$G$1</f>
        <v>深圳新阳蓝光能源管理科技股份有限公司</v>
      </c>
      <c r="D1672" s="1163" t="s">
        <v>3517</v>
      </c>
      <c r="E1672" s="1021"/>
      <c r="F1672" s="1288"/>
      <c r="G1672" s="1292"/>
      <c r="H1672" s="1115"/>
      <c r="I1672" s="1115"/>
      <c r="X1672" s="768" t="b">
        <f t="shared" ref="X1672:X1735" si="277">EXACT(A1672,E1672)</f>
        <v>1</v>
      </c>
    </row>
    <row r="1673" hidden="1" outlineLevel="3" spans="2:24">
      <c r="B1673" s="1207" t="s">
        <v>3464</v>
      </c>
      <c r="C1673" s="693" t="str">
        <f t="shared" si="276"/>
        <v>深圳新阳蓝光能源管理科技股份有限公司</v>
      </c>
      <c r="D1673" s="1163" t="s">
        <v>3517</v>
      </c>
      <c r="E1673" s="1021"/>
      <c r="F1673" s="1288"/>
      <c r="G1673" s="1292"/>
      <c r="H1673" s="1115"/>
      <c r="I1673" s="1115"/>
      <c r="X1673" s="768" t="b">
        <f t="shared" si="277"/>
        <v>1</v>
      </c>
    </row>
    <row r="1674" hidden="1" outlineLevel="3" spans="2:24">
      <c r="B1674" s="1207" t="s">
        <v>3464</v>
      </c>
      <c r="C1674" s="693" t="str">
        <f t="shared" si="276"/>
        <v>深圳新阳蓝光能源管理科技股份有限公司</v>
      </c>
      <c r="D1674" s="1163" t="s">
        <v>3517</v>
      </c>
      <c r="E1674" s="1021"/>
      <c r="F1674" s="1288"/>
      <c r="G1674" s="1292"/>
      <c r="H1674" s="1115"/>
      <c r="I1674" s="1115"/>
      <c r="X1674" s="768" t="b">
        <f t="shared" si="277"/>
        <v>1</v>
      </c>
    </row>
    <row r="1675" hidden="1" outlineLevel="3" spans="2:24">
      <c r="B1675" s="1207" t="s">
        <v>3464</v>
      </c>
      <c r="C1675" s="693" t="str">
        <f t="shared" si="276"/>
        <v>深圳新阳蓝光能源管理科技股份有限公司</v>
      </c>
      <c r="D1675" s="1163" t="s">
        <v>3517</v>
      </c>
      <c r="E1675" s="1021"/>
      <c r="F1675" s="1288"/>
      <c r="G1675" s="1292"/>
      <c r="H1675" s="1115"/>
      <c r="I1675" s="1115"/>
      <c r="X1675" s="768" t="b">
        <f t="shared" si="277"/>
        <v>1</v>
      </c>
    </row>
    <row r="1676" hidden="1" outlineLevel="3" spans="2:24">
      <c r="B1676" s="1207" t="s">
        <v>3464</v>
      </c>
      <c r="C1676" s="693" t="str">
        <f t="shared" si="276"/>
        <v>深圳新阳蓝光能源管理科技股份有限公司</v>
      </c>
      <c r="D1676" s="1163" t="s">
        <v>3517</v>
      </c>
      <c r="E1676" s="1021"/>
      <c r="F1676" s="1288"/>
      <c r="G1676" s="1292"/>
      <c r="H1676" s="1115"/>
      <c r="I1676" s="1115"/>
      <c r="X1676" s="768" t="b">
        <f t="shared" si="277"/>
        <v>1</v>
      </c>
    </row>
    <row r="1677" hidden="1" outlineLevel="3" spans="2:24">
      <c r="B1677" s="1207" t="s">
        <v>3464</v>
      </c>
      <c r="C1677" s="693" t="str">
        <f t="shared" si="276"/>
        <v>深圳新阳蓝光能源管理科技股份有限公司</v>
      </c>
      <c r="D1677" s="1163" t="s">
        <v>3517</v>
      </c>
      <c r="E1677" s="1021"/>
      <c r="F1677" s="1288"/>
      <c r="G1677" s="1292"/>
      <c r="H1677" s="1115"/>
      <c r="I1677" s="1115"/>
      <c r="X1677" s="768" t="b">
        <f t="shared" si="277"/>
        <v>1</v>
      </c>
    </row>
    <row r="1678" hidden="1" outlineLevel="3" spans="2:24">
      <c r="B1678" s="1207" t="s">
        <v>3464</v>
      </c>
      <c r="C1678" s="693" t="str">
        <f t="shared" si="276"/>
        <v>深圳新阳蓝光能源管理科技股份有限公司</v>
      </c>
      <c r="D1678" s="1163" t="s">
        <v>3517</v>
      </c>
      <c r="E1678" s="1021"/>
      <c r="F1678" s="1288"/>
      <c r="G1678" s="1292"/>
      <c r="H1678" s="1115"/>
      <c r="I1678" s="1115"/>
      <c r="X1678" s="768" t="b">
        <f t="shared" si="277"/>
        <v>1</v>
      </c>
    </row>
    <row r="1679" hidden="1" outlineLevel="2" spans="2:24">
      <c r="B1679" s="1207" t="s">
        <v>3464</v>
      </c>
      <c r="C1679" s="693" t="str">
        <f t="shared" si="276"/>
        <v>深圳新阳蓝光能源管理科技股份有限公司</v>
      </c>
      <c r="D1679" s="1163" t="s">
        <v>3517</v>
      </c>
      <c r="E1679" s="1291"/>
      <c r="F1679" s="1292"/>
      <c r="G1679" s="1292"/>
      <c r="H1679" s="1115"/>
      <c r="I1679" s="1115"/>
      <c r="X1679" s="768" t="b">
        <f t="shared" si="277"/>
        <v>1</v>
      </c>
    </row>
    <row r="1680" hidden="1" outlineLevel="2" spans="1:24">
      <c r="A1680" s="1302" t="s">
        <v>2179</v>
      </c>
      <c r="B1680" s="1207" t="s">
        <v>3464</v>
      </c>
      <c r="C1680" s="693" t="str">
        <f t="shared" si="276"/>
        <v>深圳新阳蓝光能源管理科技股份有限公司</v>
      </c>
      <c r="D1680" s="1163" t="s">
        <v>2180</v>
      </c>
      <c r="E1680" s="1233" t="s">
        <v>2179</v>
      </c>
      <c r="F1680" s="1303"/>
      <c r="G1680" s="1303"/>
      <c r="H1680" s="1304"/>
      <c r="I1680" s="1304"/>
      <c r="X1680" s="768" t="b">
        <f t="shared" si="277"/>
        <v>1</v>
      </c>
    </row>
    <row r="1681" hidden="1" outlineLevel="2" spans="1:24">
      <c r="A1681" s="1302" t="s">
        <v>2180</v>
      </c>
      <c r="B1681" s="1207" t="s">
        <v>3464</v>
      </c>
      <c r="C1681" s="693" t="str">
        <f t="shared" si="276"/>
        <v>深圳新阳蓝光能源管理科技股份有限公司</v>
      </c>
      <c r="D1681" s="1163" t="s">
        <v>2180</v>
      </c>
      <c r="E1681" s="1233" t="s">
        <v>3521</v>
      </c>
      <c r="F1681" s="1303"/>
      <c r="G1681" s="1303"/>
      <c r="H1681" s="1304"/>
      <c r="I1681" s="1304"/>
      <c r="X1681" s="768" t="b">
        <f t="shared" si="277"/>
        <v>1</v>
      </c>
    </row>
    <row r="1682" ht="22.5" hidden="1" outlineLevel="2" spans="1:24">
      <c r="A1682" s="152" t="s">
        <v>61</v>
      </c>
      <c r="B1682" s="1207" t="s">
        <v>3464</v>
      </c>
      <c r="C1682" s="693" t="str">
        <f t="shared" si="276"/>
        <v>深圳新阳蓝光能源管理科技股份有限公司</v>
      </c>
      <c r="D1682" s="1163" t="s">
        <v>2180</v>
      </c>
      <c r="E1682" s="851" t="s">
        <v>61</v>
      </c>
      <c r="F1682" s="1305" t="s">
        <v>2181</v>
      </c>
      <c r="G1682" s="1305" t="s">
        <v>2182</v>
      </c>
      <c r="H1682" s="1305" t="s">
        <v>2183</v>
      </c>
      <c r="I1682" s="1305" t="s">
        <v>2184</v>
      </c>
      <c r="X1682" s="768" t="b">
        <f t="shared" si="277"/>
        <v>1</v>
      </c>
    </row>
    <row r="1683" hidden="1" outlineLevel="2" spans="1:24">
      <c r="A1683" s="152" t="s">
        <v>935</v>
      </c>
      <c r="B1683" s="1207" t="s">
        <v>3464</v>
      </c>
      <c r="C1683" s="693" t="str">
        <f t="shared" si="276"/>
        <v>深圳新阳蓝光能源管理科技股份有限公司</v>
      </c>
      <c r="D1683" s="1163" t="s">
        <v>2180</v>
      </c>
      <c r="E1683" s="1306" t="str">
        <f t="shared" ref="E1683:E1710" si="278">E1602</f>
        <v>一、递延所得税资产</v>
      </c>
      <c r="F1683" s="1266">
        <f>ROUND(F1684+SUM(F1692:F1697),2)</f>
        <v>0</v>
      </c>
      <c r="G1683" s="1266">
        <f t="shared" ref="G1683:I1683" si="279">ROUND(G1684+SUM(G1692:G1697),2)</f>
        <v>0</v>
      </c>
      <c r="H1683" s="1266">
        <f t="shared" si="279"/>
        <v>0</v>
      </c>
      <c r="I1683" s="1266">
        <f t="shared" si="279"/>
        <v>0</v>
      </c>
      <c r="X1683" s="768" t="b">
        <f t="shared" si="277"/>
        <v>1</v>
      </c>
    </row>
    <row r="1684" hidden="1" outlineLevel="2" spans="1:24">
      <c r="A1684" s="152" t="s">
        <v>2150</v>
      </c>
      <c r="B1684" s="1207" t="s">
        <v>3464</v>
      </c>
      <c r="C1684" s="693" t="str">
        <f t="shared" si="276"/>
        <v>深圳新阳蓝光能源管理科技股份有限公司</v>
      </c>
      <c r="D1684" s="1163" t="s">
        <v>2180</v>
      </c>
      <c r="E1684" s="1307" t="str">
        <f t="shared" si="278"/>
        <v>1、资产减值准备：</v>
      </c>
      <c r="F1684" s="1266">
        <f>ROUND(SUM(F1685:F1691),2)</f>
        <v>0</v>
      </c>
      <c r="G1684" s="1266">
        <f t="shared" ref="G1684:I1684" si="280">ROUND(SUM(G1685:G1691),2)</f>
        <v>0</v>
      </c>
      <c r="H1684" s="1266">
        <f t="shared" si="280"/>
        <v>0</v>
      </c>
      <c r="I1684" s="1266">
        <f t="shared" si="280"/>
        <v>0</v>
      </c>
      <c r="X1684" s="768" t="b">
        <f t="shared" si="277"/>
        <v>0</v>
      </c>
    </row>
    <row r="1685" hidden="1" outlineLevel="2" spans="1:24">
      <c r="A1685" s="152" t="s">
        <v>2151</v>
      </c>
      <c r="B1685" s="1207" t="s">
        <v>3464</v>
      </c>
      <c r="C1685" s="693" t="str">
        <f t="shared" si="276"/>
        <v>深圳新阳蓝光能源管理科技股份有限公司</v>
      </c>
      <c r="D1685" s="1163" t="s">
        <v>2180</v>
      </c>
      <c r="E1685" s="1307" t="str">
        <f t="shared" si="278"/>
        <v>      其中：坏账准备</v>
      </c>
      <c r="F1685" s="136"/>
      <c r="G1685" s="136"/>
      <c r="H1685" s="743">
        <f>报表附注合并期初用!E1414</f>
        <v>0</v>
      </c>
      <c r="I1685" s="743">
        <f>报表附注合并期初用!E1443</f>
        <v>0</v>
      </c>
      <c r="X1685" s="768" t="b">
        <f t="shared" si="277"/>
        <v>1</v>
      </c>
    </row>
    <row r="1686" hidden="1" outlineLevel="2" spans="1:24">
      <c r="A1686" s="152" t="s">
        <v>2152</v>
      </c>
      <c r="B1686" s="1207" t="s">
        <v>3464</v>
      </c>
      <c r="C1686" s="693" t="str">
        <f t="shared" si="276"/>
        <v>深圳新阳蓝光能源管理科技股份有限公司</v>
      </c>
      <c r="D1686" s="1163" t="s">
        <v>2180</v>
      </c>
      <c r="E1686" s="1307" t="str">
        <f t="shared" si="278"/>
        <v>           存货减值</v>
      </c>
      <c r="F1686" s="136"/>
      <c r="G1686" s="136"/>
      <c r="H1686" s="743">
        <f>报表附注合并期初用!E1415</f>
        <v>0</v>
      </c>
      <c r="I1686" s="743">
        <f>报表附注合并期初用!E1444</f>
        <v>0</v>
      </c>
      <c r="X1686" s="768" t="b">
        <f t="shared" si="277"/>
        <v>1</v>
      </c>
    </row>
    <row r="1687" hidden="1" outlineLevel="2" spans="1:24">
      <c r="A1687" s="152" t="s">
        <v>2153</v>
      </c>
      <c r="B1687" s="1207" t="s">
        <v>3464</v>
      </c>
      <c r="C1687" s="693" t="str">
        <f t="shared" si="276"/>
        <v>深圳新阳蓝光能源管理科技股份有限公司</v>
      </c>
      <c r="D1687" s="1163" t="s">
        <v>2180</v>
      </c>
      <c r="E1687" s="1307" t="str">
        <f t="shared" si="278"/>
        <v>           在建工程减值</v>
      </c>
      <c r="F1687" s="136"/>
      <c r="G1687" s="136"/>
      <c r="H1687" s="743">
        <f>报表附注合并期初用!E1416</f>
        <v>0</v>
      </c>
      <c r="I1687" s="743">
        <f>报表附注合并期初用!E1445</f>
        <v>0</v>
      </c>
      <c r="X1687" s="768" t="b">
        <f t="shared" si="277"/>
        <v>1</v>
      </c>
    </row>
    <row r="1688" hidden="1" outlineLevel="2" spans="1:24">
      <c r="A1688" s="152" t="s">
        <v>2154</v>
      </c>
      <c r="B1688" s="1207" t="s">
        <v>3464</v>
      </c>
      <c r="C1688" s="693" t="str">
        <f t="shared" si="276"/>
        <v>深圳新阳蓝光能源管理科技股份有限公司</v>
      </c>
      <c r="D1688" s="1163" t="s">
        <v>2180</v>
      </c>
      <c r="E1688" s="1307" t="str">
        <f t="shared" si="278"/>
        <v>           长期股权投资减值</v>
      </c>
      <c r="F1688" s="136"/>
      <c r="G1688" s="136"/>
      <c r="H1688" s="743">
        <f>报表附注合并期初用!E1417</f>
        <v>0</v>
      </c>
      <c r="I1688" s="743">
        <f>报表附注合并期初用!E1446</f>
        <v>0</v>
      </c>
      <c r="X1688" s="768" t="b">
        <f t="shared" si="277"/>
        <v>1</v>
      </c>
    </row>
    <row r="1689" hidden="1" outlineLevel="2" spans="1:24">
      <c r="A1689" s="152" t="s">
        <v>2155</v>
      </c>
      <c r="B1689" s="1207" t="s">
        <v>3464</v>
      </c>
      <c r="C1689" s="693" t="str">
        <f t="shared" si="276"/>
        <v>深圳新阳蓝光能源管理科技股份有限公司</v>
      </c>
      <c r="D1689" s="1163" t="s">
        <v>2180</v>
      </c>
      <c r="E1689" s="1307" t="str">
        <f t="shared" si="278"/>
        <v>           固定资产减值</v>
      </c>
      <c r="F1689" s="136"/>
      <c r="G1689" s="136"/>
      <c r="H1689" s="743">
        <f>报表附注合并期初用!E1418</f>
        <v>0</v>
      </c>
      <c r="I1689" s="743">
        <f>报表附注合并期初用!E1447</f>
        <v>0</v>
      </c>
      <c r="X1689" s="768" t="b">
        <f t="shared" si="277"/>
        <v>1</v>
      </c>
    </row>
    <row r="1690" hidden="1" outlineLevel="2" spans="1:24">
      <c r="A1690" s="152" t="s">
        <v>2156</v>
      </c>
      <c r="B1690" s="1207" t="s">
        <v>3464</v>
      </c>
      <c r="C1690" s="693" t="str">
        <f t="shared" si="276"/>
        <v>深圳新阳蓝光能源管理科技股份有限公司</v>
      </c>
      <c r="D1690" s="1163" t="s">
        <v>2180</v>
      </c>
      <c r="E1690" s="1307" t="str">
        <f t="shared" si="278"/>
        <v>            无形资产减值</v>
      </c>
      <c r="F1690" s="136"/>
      <c r="G1690" s="136"/>
      <c r="H1690" s="743">
        <f>报表附注合并期初用!E1419</f>
        <v>0</v>
      </c>
      <c r="I1690" s="743">
        <f>报表附注合并期初用!E1448</f>
        <v>0</v>
      </c>
      <c r="X1690" s="768" t="b">
        <f t="shared" si="277"/>
        <v>1</v>
      </c>
    </row>
    <row r="1691" hidden="1" outlineLevel="2" spans="1:24">
      <c r="A1691" s="152" t="s">
        <v>2157</v>
      </c>
      <c r="B1691" s="1207" t="s">
        <v>3464</v>
      </c>
      <c r="C1691" s="693" t="str">
        <f t="shared" si="276"/>
        <v>深圳新阳蓝光能源管理科技股份有限公司</v>
      </c>
      <c r="D1691" s="1163" t="s">
        <v>2180</v>
      </c>
      <c r="E1691" s="1307" t="str">
        <f t="shared" si="278"/>
        <v>            商誉减值</v>
      </c>
      <c r="F1691" s="136"/>
      <c r="G1691" s="136"/>
      <c r="H1691" s="743">
        <f>报表附注合并期初用!E1420</f>
        <v>0</v>
      </c>
      <c r="I1691" s="743">
        <f>报表附注合并期初用!E1449</f>
        <v>0</v>
      </c>
      <c r="X1691" s="768" t="b">
        <f t="shared" si="277"/>
        <v>1</v>
      </c>
    </row>
    <row r="1692" hidden="1" outlineLevel="2" spans="1:24">
      <c r="A1692" s="152" t="s">
        <v>2158</v>
      </c>
      <c r="B1692" s="1207" t="s">
        <v>3464</v>
      </c>
      <c r="C1692" s="693" t="str">
        <f t="shared" si="276"/>
        <v>深圳新阳蓝光能源管理科技股份有限公司</v>
      </c>
      <c r="D1692" s="1163" t="s">
        <v>2180</v>
      </c>
      <c r="E1692" s="1307" t="str">
        <f t="shared" si="278"/>
        <v>2、预计后期到票的无票支出</v>
      </c>
      <c r="F1692" s="136"/>
      <c r="G1692" s="136"/>
      <c r="H1692" s="743">
        <f>报表附注合并期初用!E1421</f>
        <v>0</v>
      </c>
      <c r="I1692" s="743">
        <f>报表附注合并期初用!E1450</f>
        <v>0</v>
      </c>
      <c r="X1692" s="768" t="b">
        <f t="shared" si="277"/>
        <v>0</v>
      </c>
    </row>
    <row r="1693" hidden="1" outlineLevel="2" spans="1:24">
      <c r="A1693" s="152" t="s">
        <v>2159</v>
      </c>
      <c r="B1693" s="1207" t="s">
        <v>3464</v>
      </c>
      <c r="C1693" s="693" t="str">
        <f t="shared" si="276"/>
        <v>深圳新阳蓝光能源管理科技股份有限公司</v>
      </c>
      <c r="D1693" s="1163" t="s">
        <v>2180</v>
      </c>
      <c r="E1693" s="1307" t="str">
        <f t="shared" si="278"/>
        <v>3、分期付款购入存货融资费用</v>
      </c>
      <c r="F1693" s="136"/>
      <c r="G1693" s="136"/>
      <c r="H1693" s="743">
        <f>报表附注合并期初用!E1422</f>
        <v>0</v>
      </c>
      <c r="I1693" s="743">
        <f>报表附注合并期初用!E1451</f>
        <v>0</v>
      </c>
      <c r="X1693" s="768" t="b">
        <f t="shared" si="277"/>
        <v>0</v>
      </c>
    </row>
    <row r="1694" hidden="1" outlineLevel="2" spans="1:24">
      <c r="A1694" s="152" t="s">
        <v>2160</v>
      </c>
      <c r="B1694" s="1207" t="s">
        <v>3464</v>
      </c>
      <c r="C1694" s="693" t="str">
        <f t="shared" si="276"/>
        <v>深圳新阳蓝光能源管理科技股份有限公司</v>
      </c>
      <c r="D1694" s="1163" t="s">
        <v>2180</v>
      </c>
      <c r="E1694" s="1307" t="str">
        <f t="shared" si="278"/>
        <v>4、非同一控制下企业合并产生递延所得税资产</v>
      </c>
      <c r="F1694" s="136"/>
      <c r="G1694" s="136"/>
      <c r="H1694" s="743">
        <f>报表附注合并期初用!E1423</f>
        <v>0</v>
      </c>
      <c r="I1694" s="743">
        <f>报表附注合并期初用!E1452</f>
        <v>0</v>
      </c>
      <c r="X1694" s="768" t="b">
        <f t="shared" si="277"/>
        <v>0</v>
      </c>
    </row>
    <row r="1695" hidden="1" outlineLevel="2" spans="1:24">
      <c r="A1695" s="152" t="s">
        <v>2161</v>
      </c>
      <c r="B1695" s="1207" t="s">
        <v>3464</v>
      </c>
      <c r="C1695" s="693" t="str">
        <f t="shared" si="276"/>
        <v>深圳新阳蓝光能源管理科技股份有限公司</v>
      </c>
      <c r="D1695" s="1163" t="s">
        <v>2180</v>
      </c>
      <c r="E1695" s="1307" t="str">
        <f t="shared" si="278"/>
        <v>5、计提未付的工资</v>
      </c>
      <c r="F1695" s="136"/>
      <c r="G1695" s="136"/>
      <c r="H1695" s="743">
        <f>报表附注合并期初用!E1424</f>
        <v>0</v>
      </c>
      <c r="I1695" s="743">
        <f>报表附注合并期初用!E1453</f>
        <v>0</v>
      </c>
      <c r="X1695" s="768" t="b">
        <f t="shared" si="277"/>
        <v>0</v>
      </c>
    </row>
    <row r="1696" hidden="1" outlineLevel="2" spans="1:24">
      <c r="A1696" s="152" t="s">
        <v>2162</v>
      </c>
      <c r="B1696" s="1207" t="s">
        <v>3464</v>
      </c>
      <c r="C1696" s="693" t="str">
        <f t="shared" si="276"/>
        <v>深圳新阳蓝光能源管理科技股份有限公司</v>
      </c>
      <c r="D1696" s="1163" t="s">
        <v>2180</v>
      </c>
      <c r="E1696" s="1307" t="str">
        <f t="shared" si="278"/>
        <v>6、递延收益</v>
      </c>
      <c r="F1696" s="136"/>
      <c r="G1696" s="136"/>
      <c r="H1696" s="743">
        <f>报表附注合并期初用!E1425</f>
        <v>0</v>
      </c>
      <c r="I1696" s="743">
        <f>报表附注合并期初用!E1454</f>
        <v>0</v>
      </c>
      <c r="X1696" s="768" t="b">
        <f t="shared" si="277"/>
        <v>0</v>
      </c>
    </row>
    <row r="1697" hidden="1" outlineLevel="2" spans="1:24">
      <c r="A1697" s="152" t="s">
        <v>2163</v>
      </c>
      <c r="B1697" s="1207" t="s">
        <v>3464</v>
      </c>
      <c r="C1697" s="693" t="str">
        <f t="shared" si="276"/>
        <v>深圳新阳蓝光能源管理科技股份有限公司</v>
      </c>
      <c r="D1697" s="1163" t="s">
        <v>2180</v>
      </c>
      <c r="E1697" s="1307" t="str">
        <f t="shared" si="278"/>
        <v>7、内部交易未实现损益</v>
      </c>
      <c r="F1697" s="136"/>
      <c r="G1697" s="136"/>
      <c r="H1697" s="743">
        <f>报表附注合并期初用!E1426</f>
        <v>0</v>
      </c>
      <c r="I1697" s="743">
        <f>报表附注合并期初用!E1455</f>
        <v>0</v>
      </c>
      <c r="X1697" s="768" t="b">
        <f t="shared" si="277"/>
        <v>0</v>
      </c>
    </row>
    <row r="1698" hidden="1" outlineLevel="2" spans="1:24">
      <c r="A1698" s="152" t="s">
        <v>937</v>
      </c>
      <c r="B1698" s="1207" t="s">
        <v>3464</v>
      </c>
      <c r="C1698" s="693" t="str">
        <f t="shared" si="276"/>
        <v>深圳新阳蓝光能源管理科技股份有限公司</v>
      </c>
      <c r="D1698" s="1163" t="s">
        <v>2180</v>
      </c>
      <c r="E1698" s="1306" t="str">
        <f t="shared" si="278"/>
        <v>二、递延所得税负债</v>
      </c>
      <c r="F1698" s="1281">
        <f>ROUND(SUM(F1699:F1710),2)</f>
        <v>0</v>
      </c>
      <c r="G1698" s="1281">
        <f t="shared" ref="G1698:I1698" si="281">ROUND(SUM(G1699:G1710),2)</f>
        <v>0</v>
      </c>
      <c r="H1698" s="1281">
        <f t="shared" si="281"/>
        <v>0</v>
      </c>
      <c r="I1698" s="1281">
        <f t="shared" si="281"/>
        <v>0</v>
      </c>
      <c r="X1698" s="768" t="b">
        <f t="shared" si="277"/>
        <v>1</v>
      </c>
    </row>
    <row r="1699" hidden="1" outlineLevel="2" spans="1:24">
      <c r="A1699" s="152" t="s">
        <v>2164</v>
      </c>
      <c r="B1699" s="1207" t="s">
        <v>3464</v>
      </c>
      <c r="C1699" s="693" t="str">
        <f t="shared" si="276"/>
        <v>深圳新阳蓝光能源管理科技股份有限公司</v>
      </c>
      <c r="D1699" s="1163" t="s">
        <v>2180</v>
      </c>
      <c r="E1699" s="1307" t="str">
        <f t="shared" si="278"/>
        <v>1、交易性金融工具、衍生金融工具的估值</v>
      </c>
      <c r="F1699" s="1288"/>
      <c r="G1699" s="1288"/>
      <c r="H1699" s="1308">
        <f>报表附注合并期初用!E1428</f>
        <v>0</v>
      </c>
      <c r="I1699" s="1308">
        <f>报表附注合并期初用!E1457</f>
        <v>0</v>
      </c>
      <c r="X1699" s="768" t="b">
        <f t="shared" si="277"/>
        <v>0</v>
      </c>
    </row>
    <row r="1700" hidden="1" outlineLevel="2" spans="1:24">
      <c r="A1700" s="152" t="s">
        <v>2165</v>
      </c>
      <c r="B1700" s="1207" t="s">
        <v>3464</v>
      </c>
      <c r="C1700" s="693" t="str">
        <f t="shared" si="276"/>
        <v>深圳新阳蓝光能源管理科技股份有限公司</v>
      </c>
      <c r="D1700" s="1163" t="s">
        <v>2180</v>
      </c>
      <c r="E1700" s="1307" t="str">
        <f t="shared" si="278"/>
        <v>2、计入资本公积的可供出售金融资产公允价值变动</v>
      </c>
      <c r="F1700" s="1288"/>
      <c r="G1700" s="1288"/>
      <c r="H1700" s="1308">
        <f>报表附注合并期初用!E1429</f>
        <v>0</v>
      </c>
      <c r="I1700" s="1308">
        <f>报表附注合并期初用!E1458</f>
        <v>0</v>
      </c>
      <c r="X1700" s="768" t="b">
        <f t="shared" si="277"/>
        <v>0</v>
      </c>
    </row>
    <row r="1701" hidden="1" outlineLevel="2" spans="1:24">
      <c r="A1701" s="152" t="s">
        <v>2162</v>
      </c>
      <c r="B1701" s="1207" t="s">
        <v>3464</v>
      </c>
      <c r="C1701" s="693" t="str">
        <f t="shared" si="276"/>
        <v>深圳新阳蓝光能源管理科技股份有限公司</v>
      </c>
      <c r="D1701" s="1163" t="s">
        <v>2180</v>
      </c>
      <c r="E1701" s="1307" t="str">
        <f t="shared" si="278"/>
        <v>3、非同一控制下企业合并产生递延所得税负债</v>
      </c>
      <c r="F1701" s="1288"/>
      <c r="G1701" s="1288"/>
      <c r="H1701" s="1308">
        <f>报表附注合并期初用!E1430</f>
        <v>0</v>
      </c>
      <c r="I1701" s="1308">
        <f>报表附注合并期初用!E1459</f>
        <v>0</v>
      </c>
      <c r="X1701" s="768" t="b">
        <f t="shared" si="277"/>
        <v>0</v>
      </c>
    </row>
    <row r="1702" hidden="1" outlineLevel="2" collapsed="1" spans="1:24">
      <c r="A1702" s="152" t="s">
        <v>2163</v>
      </c>
      <c r="B1702" s="1207" t="s">
        <v>3464</v>
      </c>
      <c r="C1702" s="693" t="str">
        <f t="shared" si="276"/>
        <v>深圳新阳蓝光能源管理科技股份有限公司</v>
      </c>
      <c r="D1702" s="1163" t="s">
        <v>2180</v>
      </c>
      <c r="E1702" s="1307" t="str">
        <f t="shared" si="278"/>
        <v>4、内部交易未实现损益</v>
      </c>
      <c r="F1702" s="1288"/>
      <c r="G1702" s="1288"/>
      <c r="H1702" s="1308">
        <f>报表附注合并期初用!E1431</f>
        <v>0</v>
      </c>
      <c r="I1702" s="1308">
        <f>报表附注合并期初用!E1460</f>
        <v>0</v>
      </c>
      <c r="X1702" s="768" t="b">
        <f t="shared" si="277"/>
        <v>0</v>
      </c>
    </row>
    <row r="1703" hidden="1" outlineLevel="3" spans="1:24">
      <c r="A1703" s="152" t="s">
        <v>2166</v>
      </c>
      <c r="B1703" s="1207" t="s">
        <v>3464</v>
      </c>
      <c r="C1703" s="693" t="str">
        <f t="shared" si="276"/>
        <v>深圳新阳蓝光能源管理科技股份有限公司</v>
      </c>
      <c r="D1703" s="1163" t="s">
        <v>2180</v>
      </c>
      <c r="E1703" s="1307" t="str">
        <f t="shared" si="278"/>
        <v>5、固定资产评估增值</v>
      </c>
      <c r="F1703" s="1288"/>
      <c r="G1703" s="1288"/>
      <c r="H1703" s="1308">
        <f>报表附注合并期初用!E1432</f>
        <v>0</v>
      </c>
      <c r="I1703" s="1308">
        <f>报表附注合并期初用!E1461</f>
        <v>0</v>
      </c>
      <c r="X1703" s="768" t="b">
        <f t="shared" si="277"/>
        <v>0</v>
      </c>
    </row>
    <row r="1704" hidden="1" outlineLevel="3" spans="1:24">
      <c r="A1704" s="152" t="s">
        <v>2167</v>
      </c>
      <c r="B1704" s="1207" t="s">
        <v>3464</v>
      </c>
      <c r="C1704" s="693" t="str">
        <f t="shared" si="276"/>
        <v>深圳新阳蓝光能源管理科技股份有限公司</v>
      </c>
      <c r="D1704" s="1163" t="s">
        <v>2180</v>
      </c>
      <c r="E1704" s="1307" t="str">
        <f t="shared" si="278"/>
        <v>新增项目4……</v>
      </c>
      <c r="F1704" s="1288"/>
      <c r="G1704" s="1288"/>
      <c r="H1704" s="1308">
        <f>报表附注合并期初用!E1433</f>
        <v>0</v>
      </c>
      <c r="I1704" s="1308">
        <f>报表附注合并期初用!E1462</f>
        <v>0</v>
      </c>
      <c r="X1704" s="768" t="b">
        <f t="shared" si="277"/>
        <v>1</v>
      </c>
    </row>
    <row r="1705" hidden="1" outlineLevel="3" spans="1:24">
      <c r="A1705" s="152" t="s">
        <v>2168</v>
      </c>
      <c r="B1705" s="1207" t="s">
        <v>3464</v>
      </c>
      <c r="C1705" s="693" t="str">
        <f t="shared" si="276"/>
        <v>深圳新阳蓝光能源管理科技股份有限公司</v>
      </c>
      <c r="D1705" s="1163" t="s">
        <v>2180</v>
      </c>
      <c r="E1705" s="1307" t="str">
        <f t="shared" si="278"/>
        <v>新增项目5……</v>
      </c>
      <c r="F1705" s="1288"/>
      <c r="G1705" s="1288"/>
      <c r="H1705" s="1308">
        <f>报表附注合并期初用!E1434</f>
        <v>0</v>
      </c>
      <c r="I1705" s="1308">
        <f>报表附注合并期初用!E1463</f>
        <v>0</v>
      </c>
      <c r="X1705" s="768" t="b">
        <f t="shared" si="277"/>
        <v>1</v>
      </c>
    </row>
    <row r="1706" hidden="1" outlineLevel="3" spans="1:24">
      <c r="A1706" s="152" t="s">
        <v>2169</v>
      </c>
      <c r="B1706" s="1207" t="s">
        <v>3464</v>
      </c>
      <c r="C1706" s="693" t="str">
        <f t="shared" si="276"/>
        <v>深圳新阳蓝光能源管理科技股份有限公司</v>
      </c>
      <c r="D1706" s="1163" t="s">
        <v>2180</v>
      </c>
      <c r="E1706" s="1307" t="str">
        <f t="shared" si="278"/>
        <v>新增项目6……</v>
      </c>
      <c r="F1706" s="1288"/>
      <c r="G1706" s="1288"/>
      <c r="H1706" s="1308">
        <f>报表附注合并期初用!E1435</f>
        <v>0</v>
      </c>
      <c r="I1706" s="1308">
        <f>报表附注合并期初用!E1464</f>
        <v>0</v>
      </c>
      <c r="X1706" s="768" t="b">
        <f t="shared" si="277"/>
        <v>1</v>
      </c>
    </row>
    <row r="1707" hidden="1" outlineLevel="3" spans="1:24">
      <c r="A1707" s="152" t="s">
        <v>2170</v>
      </c>
      <c r="B1707" s="1207" t="s">
        <v>3464</v>
      </c>
      <c r="C1707" s="693" t="str">
        <f t="shared" si="276"/>
        <v>深圳新阳蓝光能源管理科技股份有限公司</v>
      </c>
      <c r="D1707" s="1163" t="s">
        <v>2180</v>
      </c>
      <c r="E1707" s="1307" t="str">
        <f t="shared" si="278"/>
        <v>新增项目7……</v>
      </c>
      <c r="F1707" s="1288"/>
      <c r="G1707" s="1288"/>
      <c r="H1707" s="1308">
        <f>报表附注合并期初用!E1436</f>
        <v>0</v>
      </c>
      <c r="I1707" s="1308">
        <f>报表附注合并期初用!E1465</f>
        <v>0</v>
      </c>
      <c r="X1707" s="768" t="b">
        <f t="shared" si="277"/>
        <v>1</v>
      </c>
    </row>
    <row r="1708" hidden="1" outlineLevel="3" spans="1:24">
      <c r="A1708" s="152" t="s">
        <v>2171</v>
      </c>
      <c r="B1708" s="1207" t="s">
        <v>3464</v>
      </c>
      <c r="C1708" s="693" t="str">
        <f t="shared" si="276"/>
        <v>深圳新阳蓝光能源管理科技股份有限公司</v>
      </c>
      <c r="D1708" s="1163" t="s">
        <v>2180</v>
      </c>
      <c r="E1708" s="1307" t="str">
        <f t="shared" si="278"/>
        <v>新增项目8……</v>
      </c>
      <c r="F1708" s="1288"/>
      <c r="G1708" s="1288"/>
      <c r="H1708" s="1308">
        <f>报表附注合并期初用!E1437</f>
        <v>0</v>
      </c>
      <c r="I1708" s="1308">
        <f>报表附注合并期初用!E1466</f>
        <v>0</v>
      </c>
      <c r="X1708" s="768" t="b">
        <f t="shared" si="277"/>
        <v>1</v>
      </c>
    </row>
    <row r="1709" hidden="1" outlineLevel="3" spans="1:24">
      <c r="A1709" s="152" t="s">
        <v>2172</v>
      </c>
      <c r="B1709" s="1207" t="s">
        <v>3464</v>
      </c>
      <c r="C1709" s="693" t="str">
        <f t="shared" si="276"/>
        <v>深圳新阳蓝光能源管理科技股份有限公司</v>
      </c>
      <c r="D1709" s="1163" t="s">
        <v>2180</v>
      </c>
      <c r="E1709" s="1307" t="str">
        <f t="shared" si="278"/>
        <v>新增项目9……</v>
      </c>
      <c r="F1709" s="1288"/>
      <c r="G1709" s="1288"/>
      <c r="H1709" s="1308">
        <f>报表附注合并期初用!E1438</f>
        <v>0</v>
      </c>
      <c r="I1709" s="1308">
        <f>报表附注合并期初用!E1467</f>
        <v>0</v>
      </c>
      <c r="X1709" s="768" t="b">
        <f t="shared" si="277"/>
        <v>1</v>
      </c>
    </row>
    <row r="1710" hidden="1" outlineLevel="3" spans="1:24">
      <c r="A1710" s="152" t="s">
        <v>2173</v>
      </c>
      <c r="B1710" s="1207" t="s">
        <v>3464</v>
      </c>
      <c r="C1710" s="693" t="str">
        <f t="shared" si="276"/>
        <v>深圳新阳蓝光能源管理科技股份有限公司</v>
      </c>
      <c r="D1710" s="1163" t="s">
        <v>2180</v>
      </c>
      <c r="E1710" s="1307" t="str">
        <f t="shared" si="278"/>
        <v>新增项目10……</v>
      </c>
      <c r="F1710" s="1288"/>
      <c r="G1710" s="1288"/>
      <c r="H1710" s="1308">
        <f>报表附注合并期初用!E1439</f>
        <v>0</v>
      </c>
      <c r="I1710" s="1308">
        <f>报表附注合并期初用!E1468</f>
        <v>0</v>
      </c>
      <c r="X1710" s="768" t="b">
        <f t="shared" si="277"/>
        <v>1</v>
      </c>
    </row>
    <row r="1711" hidden="1" outlineLevel="2" spans="2:24">
      <c r="B1711" s="1207" t="s">
        <v>3464</v>
      </c>
      <c r="C1711" s="693" t="str">
        <f t="shared" si="276"/>
        <v>深圳新阳蓝光能源管理科技股份有限公司</v>
      </c>
      <c r="D1711" s="1163" t="s">
        <v>2180</v>
      </c>
      <c r="E1711" s="1291"/>
      <c r="F1711" s="1292"/>
      <c r="G1711" s="1292"/>
      <c r="H1711" s="1115"/>
      <c r="I1711" s="1115"/>
      <c r="X1711" s="768" t="b">
        <f t="shared" si="277"/>
        <v>1</v>
      </c>
    </row>
    <row r="1712" hidden="1" outlineLevel="2" spans="1:24">
      <c r="A1712" s="152" t="s">
        <v>3522</v>
      </c>
      <c r="B1712" s="1207" t="s">
        <v>3464</v>
      </c>
      <c r="C1712" s="693" t="str">
        <f t="shared" si="276"/>
        <v>深圳新阳蓝光能源管理科技股份有限公司</v>
      </c>
      <c r="D1712" s="1163" t="s">
        <v>3522</v>
      </c>
      <c r="E1712" s="1037" t="s">
        <v>3523</v>
      </c>
      <c r="F1712" s="1292"/>
      <c r="G1712" s="1292"/>
      <c r="H1712" s="1115"/>
      <c r="I1712" s="1115"/>
      <c r="X1712" s="768" t="b">
        <f t="shared" si="277"/>
        <v>1</v>
      </c>
    </row>
    <row r="1713" hidden="1" outlineLevel="2" spans="1:24">
      <c r="A1713" s="152" t="s">
        <v>61</v>
      </c>
      <c r="B1713" s="1207" t="s">
        <v>3464</v>
      </c>
      <c r="C1713" s="693" t="str">
        <f t="shared" si="276"/>
        <v>深圳新阳蓝光能源管理科技股份有限公司</v>
      </c>
      <c r="D1713" s="1163" t="s">
        <v>3522</v>
      </c>
      <c r="E1713" s="851" t="s">
        <v>61</v>
      </c>
      <c r="F1713" s="851" t="s">
        <v>3524</v>
      </c>
      <c r="G1713" s="1292"/>
      <c r="H1713" s="1115"/>
      <c r="I1713" s="1115"/>
      <c r="X1713" s="768" t="b">
        <f t="shared" si="277"/>
        <v>1</v>
      </c>
    </row>
    <row r="1714" hidden="1" outlineLevel="2" spans="2:24">
      <c r="B1714" s="1207" t="s">
        <v>3464</v>
      </c>
      <c r="C1714" s="693" t="str">
        <f t="shared" si="276"/>
        <v>深圳新阳蓝光能源管理科技股份有限公司</v>
      </c>
      <c r="D1714" s="1163" t="s">
        <v>3522</v>
      </c>
      <c r="E1714" s="1309"/>
      <c r="F1714" s="1288"/>
      <c r="G1714" s="1292"/>
      <c r="H1714" s="1115"/>
      <c r="I1714" s="1115"/>
      <c r="X1714" s="768" t="b">
        <f t="shared" si="277"/>
        <v>1</v>
      </c>
    </row>
    <row r="1715" hidden="1" outlineLevel="2" spans="2:24">
      <c r="B1715" s="1207" t="s">
        <v>3464</v>
      </c>
      <c r="C1715" s="693" t="str">
        <f t="shared" si="276"/>
        <v>深圳新阳蓝光能源管理科技股份有限公司</v>
      </c>
      <c r="D1715" s="1163" t="s">
        <v>3522</v>
      </c>
      <c r="E1715" s="1309"/>
      <c r="F1715" s="1288"/>
      <c r="G1715" s="1292"/>
      <c r="H1715" s="1115"/>
      <c r="I1715" s="1115"/>
      <c r="X1715" s="768" t="b">
        <f t="shared" si="277"/>
        <v>1</v>
      </c>
    </row>
    <row r="1716" hidden="1" outlineLevel="2" spans="2:24">
      <c r="B1716" s="1207" t="s">
        <v>3464</v>
      </c>
      <c r="C1716" s="693" t="str">
        <f t="shared" si="276"/>
        <v>深圳新阳蓝光能源管理科技股份有限公司</v>
      </c>
      <c r="D1716" s="1163" t="s">
        <v>3522</v>
      </c>
      <c r="E1716" s="1309"/>
      <c r="F1716" s="1288"/>
      <c r="G1716" s="1292"/>
      <c r="H1716" s="1115"/>
      <c r="I1716" s="1115"/>
      <c r="X1716" s="768" t="b">
        <f t="shared" si="277"/>
        <v>1</v>
      </c>
    </row>
    <row r="1717" hidden="1" outlineLevel="2" spans="2:24">
      <c r="B1717" s="1207" t="s">
        <v>3464</v>
      </c>
      <c r="C1717" s="693" t="str">
        <f t="shared" si="276"/>
        <v>深圳新阳蓝光能源管理科技股份有限公司</v>
      </c>
      <c r="D1717" s="1163" t="s">
        <v>3522</v>
      </c>
      <c r="E1717" s="1309"/>
      <c r="F1717" s="1288"/>
      <c r="G1717" s="1292"/>
      <c r="H1717" s="1115"/>
      <c r="I1717" s="1115"/>
      <c r="X1717" s="768" t="b">
        <f t="shared" si="277"/>
        <v>1</v>
      </c>
    </row>
    <row r="1718" hidden="1" outlineLevel="2" spans="2:24">
      <c r="B1718" s="1207" t="s">
        <v>3464</v>
      </c>
      <c r="C1718" s="693" t="str">
        <f t="shared" si="276"/>
        <v>深圳新阳蓝光能源管理科技股份有限公司</v>
      </c>
      <c r="D1718" s="1163" t="s">
        <v>3522</v>
      </c>
      <c r="E1718" s="1309"/>
      <c r="F1718" s="1288"/>
      <c r="G1718" s="1292"/>
      <c r="H1718" s="1115"/>
      <c r="I1718" s="1115"/>
      <c r="X1718" s="768" t="b">
        <f t="shared" si="277"/>
        <v>1</v>
      </c>
    </row>
    <row r="1719" hidden="1" outlineLevel="2" spans="2:24">
      <c r="B1719" s="1207" t="s">
        <v>3464</v>
      </c>
      <c r="C1719" s="693" t="str">
        <f t="shared" si="276"/>
        <v>深圳新阳蓝光能源管理科技股份有限公司</v>
      </c>
      <c r="D1719" s="1163" t="s">
        <v>3522</v>
      </c>
      <c r="E1719" s="1309"/>
      <c r="F1719" s="1288"/>
      <c r="G1719" s="1292"/>
      <c r="H1719" s="1115"/>
      <c r="I1719" s="1115"/>
      <c r="X1719" s="768" t="b">
        <f t="shared" si="277"/>
        <v>1</v>
      </c>
    </row>
    <row r="1720" hidden="1" outlineLevel="2" spans="2:24">
      <c r="B1720" s="1207" t="s">
        <v>3464</v>
      </c>
      <c r="C1720" s="693" t="str">
        <f t="shared" si="276"/>
        <v>深圳新阳蓝光能源管理科技股份有限公司</v>
      </c>
      <c r="D1720" s="1163" t="s">
        <v>3522</v>
      </c>
      <c r="E1720" s="1309"/>
      <c r="F1720" s="1288"/>
      <c r="G1720" s="1292"/>
      <c r="H1720" s="1115"/>
      <c r="I1720" s="1115"/>
      <c r="X1720" s="768" t="b">
        <f t="shared" si="277"/>
        <v>1</v>
      </c>
    </row>
    <row r="1721" hidden="1" outlineLevel="2" spans="2:24">
      <c r="B1721" s="1207" t="s">
        <v>3464</v>
      </c>
      <c r="C1721" s="693" t="str">
        <f t="shared" si="276"/>
        <v>深圳新阳蓝光能源管理科技股份有限公司</v>
      </c>
      <c r="D1721" s="1163" t="s">
        <v>3522</v>
      </c>
      <c r="E1721" s="1309"/>
      <c r="F1721" s="1288"/>
      <c r="G1721" s="1292"/>
      <c r="H1721" s="1115"/>
      <c r="I1721" s="1115"/>
      <c r="X1721" s="768" t="b">
        <f t="shared" si="277"/>
        <v>1</v>
      </c>
    </row>
    <row r="1722" hidden="1" outlineLevel="2" spans="2:24">
      <c r="B1722" s="1207" t="s">
        <v>3464</v>
      </c>
      <c r="C1722" s="693" t="str">
        <f t="shared" si="276"/>
        <v>深圳新阳蓝光能源管理科技股份有限公司</v>
      </c>
      <c r="D1722" s="1163" t="s">
        <v>3522</v>
      </c>
      <c r="E1722" s="1309"/>
      <c r="F1722" s="1288"/>
      <c r="G1722" s="1292"/>
      <c r="H1722" s="1115"/>
      <c r="I1722" s="1115"/>
      <c r="X1722" s="768" t="b">
        <f t="shared" si="277"/>
        <v>1</v>
      </c>
    </row>
    <row r="1723" hidden="1" outlineLevel="2" spans="1:24">
      <c r="A1723" s="152" t="s">
        <v>3525</v>
      </c>
      <c r="B1723" s="1207" t="s">
        <v>3464</v>
      </c>
      <c r="C1723" s="693" t="str">
        <f t="shared" si="276"/>
        <v>深圳新阳蓝光能源管理科技股份有限公司</v>
      </c>
      <c r="D1723" s="1163" t="s">
        <v>3522</v>
      </c>
      <c r="E1723" s="1180" t="s">
        <v>3525</v>
      </c>
      <c r="F1723" s="1292"/>
      <c r="G1723" s="1292"/>
      <c r="H1723" s="1115"/>
      <c r="I1723" s="1115"/>
      <c r="X1723" s="768" t="b">
        <f t="shared" si="277"/>
        <v>1</v>
      </c>
    </row>
    <row r="1724" hidden="1" outlineLevel="2" spans="1:24">
      <c r="A1724" s="152" t="s">
        <v>2809</v>
      </c>
      <c r="B1724" s="1207" t="s">
        <v>3464</v>
      </c>
      <c r="C1724" s="693" t="str">
        <f t="shared" si="276"/>
        <v>深圳新阳蓝光能源管理科技股份有限公司</v>
      </c>
      <c r="D1724" s="1163" t="s">
        <v>3522</v>
      </c>
      <c r="E1724" s="1079" t="s">
        <v>2829</v>
      </c>
      <c r="F1724" s="1310"/>
      <c r="G1724" s="1310"/>
      <c r="H1724" s="1115"/>
      <c r="I1724" s="1115"/>
      <c r="X1724" s="768" t="b">
        <f t="shared" si="277"/>
        <v>1</v>
      </c>
    </row>
    <row r="1725" hidden="1" outlineLevel="2" spans="2:24">
      <c r="B1725" s="1207" t="s">
        <v>3464</v>
      </c>
      <c r="C1725" s="693" t="str">
        <f t="shared" si="276"/>
        <v>深圳新阳蓝光能源管理科技股份有限公司</v>
      </c>
      <c r="D1725" s="1163" t="s">
        <v>3522</v>
      </c>
      <c r="E1725" s="1115"/>
      <c r="F1725" s="1115"/>
      <c r="G1725" s="1115"/>
      <c r="H1725" s="1115"/>
      <c r="I1725" s="1115"/>
      <c r="X1725" s="768" t="b">
        <f t="shared" si="277"/>
        <v>1</v>
      </c>
    </row>
    <row r="1726" hidden="1" outlineLevel="2" spans="2:24">
      <c r="B1726" s="1207" t="s">
        <v>3464</v>
      </c>
      <c r="C1726" s="693" t="str">
        <f t="shared" si="276"/>
        <v>深圳新阳蓝光能源管理科技股份有限公司</v>
      </c>
      <c r="D1726" s="1163" t="s">
        <v>3522</v>
      </c>
      <c r="E1726" s="1115"/>
      <c r="F1726" s="1115"/>
      <c r="G1726" s="1115"/>
      <c r="H1726" s="1115"/>
      <c r="I1726" s="1115"/>
      <c r="K1726" s="1205"/>
      <c r="L1726" s="1205"/>
      <c r="X1726" s="768" t="b">
        <f t="shared" si="277"/>
        <v>1</v>
      </c>
    </row>
    <row r="1727" spans="1:24">
      <c r="A1727" s="152" t="s">
        <v>2185</v>
      </c>
      <c r="B1727" s="1207" t="s">
        <v>3526</v>
      </c>
      <c r="C1727" s="693" t="str">
        <f t="shared" si="276"/>
        <v>深圳新阳蓝光能源管理科技股份有限公司</v>
      </c>
      <c r="D1727" s="1163" t="s">
        <v>2185</v>
      </c>
      <c r="E1727" s="1208" t="s">
        <v>3527</v>
      </c>
      <c r="F1727" s="1164" t="s">
        <v>3471</v>
      </c>
      <c r="G1727" s="1292"/>
      <c r="H1727" s="1292"/>
      <c r="I1727" s="1292"/>
      <c r="K1727" s="1311"/>
      <c r="L1727" s="1205"/>
      <c r="X1727" s="768" t="b">
        <f t="shared" si="277"/>
        <v>1</v>
      </c>
    </row>
    <row r="1728" customHeight="1" outlineLevel="2" spans="1:24">
      <c r="A1728" s="152" t="s">
        <v>61</v>
      </c>
      <c r="B1728" s="1207" t="s">
        <v>3526</v>
      </c>
      <c r="C1728" s="693" t="str">
        <f t="shared" si="276"/>
        <v>深圳新阳蓝光能源管理科技股份有限公司</v>
      </c>
      <c r="D1728" s="1163" t="s">
        <v>2185</v>
      </c>
      <c r="E1728" s="1031" t="s">
        <v>61</v>
      </c>
      <c r="F1728" s="1031" t="s">
        <v>671</v>
      </c>
      <c r="G1728" s="1031" t="s">
        <v>2198</v>
      </c>
      <c r="H1728" s="1031" t="s">
        <v>673</v>
      </c>
      <c r="I1728" s="1031"/>
      <c r="J1728" s="1031"/>
      <c r="K1728" s="1031" t="s">
        <v>516</v>
      </c>
      <c r="L1728" s="1312" t="s">
        <v>3528</v>
      </c>
      <c r="M1728" s="1312" t="s">
        <v>3529</v>
      </c>
      <c r="N1728" s="1179" t="s">
        <v>3272</v>
      </c>
      <c r="O1728" s="1179" t="s">
        <v>3273</v>
      </c>
      <c r="P1728" s="1179" t="s">
        <v>3274</v>
      </c>
      <c r="Q1728" s="1179" t="s">
        <v>3275</v>
      </c>
      <c r="R1728" s="1313" t="s">
        <v>3530</v>
      </c>
      <c r="S1728" s="1314" t="s">
        <v>3531</v>
      </c>
      <c r="X1728" s="768" t="b">
        <f t="shared" si="277"/>
        <v>1</v>
      </c>
    </row>
    <row r="1729" ht="20.25" customHeight="1" outlineLevel="2" spans="2:24">
      <c r="B1729" s="1207" t="s">
        <v>3526</v>
      </c>
      <c r="C1729" s="693" t="str">
        <f t="shared" si="276"/>
        <v>深圳新阳蓝光能源管理科技股份有限公司</v>
      </c>
      <c r="D1729" s="1163" t="s">
        <v>2185</v>
      </c>
      <c r="E1729" s="1031"/>
      <c r="F1729" s="1031"/>
      <c r="G1729" s="1031"/>
      <c r="H1729" s="157" t="s">
        <v>612</v>
      </c>
      <c r="I1729" s="157" t="s">
        <v>613</v>
      </c>
      <c r="J1729" s="157" t="s">
        <v>2021</v>
      </c>
      <c r="K1729" s="1031"/>
      <c r="L1729" s="1167"/>
      <c r="M1729" s="1167"/>
      <c r="N1729" s="1179"/>
      <c r="O1729" s="1179"/>
      <c r="P1729" s="1179"/>
      <c r="Q1729" s="1179"/>
      <c r="R1729" s="1352"/>
      <c r="S1729" s="1353"/>
      <c r="X1729" s="768" t="b">
        <f t="shared" si="277"/>
        <v>1</v>
      </c>
    </row>
    <row r="1730" outlineLevel="2" spans="1:24">
      <c r="A1730" s="152" t="s">
        <v>471</v>
      </c>
      <c r="B1730" s="1207" t="s">
        <v>3526</v>
      </c>
      <c r="C1730" s="693" t="str">
        <f t="shared" si="276"/>
        <v>深圳新阳蓝光能源管理科技股份有限公司</v>
      </c>
      <c r="D1730" s="1163" t="s">
        <v>2185</v>
      </c>
      <c r="E1730" s="1053" t="s">
        <v>471</v>
      </c>
      <c r="F1730" s="743">
        <f>报表附注合并期初用!E1473</f>
        <v>3621406.98</v>
      </c>
      <c r="G1730" s="136">
        <f>(H205-L205)+(H571-L571)+445459.79</f>
        <v>1792140.07</v>
      </c>
      <c r="H1730" s="136"/>
      <c r="I1730" s="136">
        <v>445459.79</v>
      </c>
      <c r="J1730" s="139">
        <f>ROUND(H1730+I1730+M1730,2)</f>
        <v>445459.79</v>
      </c>
      <c r="K1730" s="139">
        <f>ROUND(F1730+G1730-J1730,2)</f>
        <v>4968087.26</v>
      </c>
      <c r="L1730" s="139">
        <f>SUM(IF(N1730&gt;0,N1730,0),IF(O1730&gt;0,O1730,0),IF(P1730&gt;0,P1730,0),IF(Q1730&gt;0,Q1730,0))</f>
        <v>0</v>
      </c>
      <c r="M1730" s="139">
        <f>SUM(IF(N1730&gt;0,0,-N1730),IF(O1730&gt;0,0,-O1730),IF(P1730&gt;0,0,-P1730),IF(Q1730&gt;0,0,-Q1730))</f>
        <v>0</v>
      </c>
      <c r="N1730" s="1020"/>
      <c r="O1730" s="1020"/>
      <c r="P1730" s="1020"/>
      <c r="Q1730" s="1020"/>
      <c r="R1730" s="1354" t="str">
        <f>IF(ROUND((报表附注!H205+报表附注!H571-报表附注!K1730),2)=0,"相符","不相符,差异:"&amp;(报表附注!H205+报表附注!H571-报表附注!K1730))</f>
        <v>相符</v>
      </c>
      <c r="S1730" s="1354" t="str">
        <f>IF(ROUND((L571+L205-F1730),2)=0,"相符","不相符，差异："&amp;(L571+L205-F1730))</f>
        <v>相符</v>
      </c>
      <c r="X1730" s="768" t="b">
        <f t="shared" si="277"/>
        <v>1</v>
      </c>
    </row>
    <row r="1731" customHeight="1" outlineLevel="2" spans="1:24">
      <c r="A1731" s="152" t="s">
        <v>2186</v>
      </c>
      <c r="B1731" s="1207" t="s">
        <v>3526</v>
      </c>
      <c r="C1731" s="693" t="str">
        <f t="shared" si="276"/>
        <v>深圳新阳蓝光能源管理科技股份有限公司</v>
      </c>
      <c r="D1731" s="1163" t="s">
        <v>2185</v>
      </c>
      <c r="E1731" s="1053" t="s">
        <v>2186</v>
      </c>
      <c r="F1731" s="743">
        <f>报表附注合并期初用!E1474</f>
        <v>1788781.28</v>
      </c>
      <c r="G1731" s="136"/>
      <c r="H1731" s="136"/>
      <c r="I1731" s="136">
        <v>1788781.28</v>
      </c>
      <c r="J1731" s="139">
        <f t="shared" ref="J1731:J1744" si="282">ROUND(H1731+I1731+M1731,2)</f>
        <v>1788781.28</v>
      </c>
      <c r="K1731" s="139">
        <f t="shared" ref="K1731:K1744" si="283">ROUND(F1731+G1731-J1731,2)</f>
        <v>0</v>
      </c>
      <c r="L1731" s="139">
        <f t="shared" ref="L1731:L1744" si="284">SUM(IF(N1731&gt;0,N1731,0),IF(O1731&gt;0,O1731,0),IF(P1731&gt;0,P1731,0),IF(Q1731&gt;0,Q1731,0))</f>
        <v>0</v>
      </c>
      <c r="M1731" s="139">
        <f t="shared" ref="M1731:M1744" si="285">SUM(IF(N1731&gt;0,0,-N1731),IF(O1731&gt;0,0,-O1731),IF(P1731&gt;0,0,-P1731),IF(Q1731&gt;0,0,-Q1731))</f>
        <v>0</v>
      </c>
      <c r="N1731" s="1020"/>
      <c r="O1731" s="1020"/>
      <c r="P1731" s="1020"/>
      <c r="Q1731" s="1020"/>
      <c r="R1731" s="1354" t="str">
        <f>IF(ROUND((G864-报表附注!K1731),2)=0,"相符","不相符，差异："&amp;(G864-报表附注!K1731))</f>
        <v>相符</v>
      </c>
      <c r="S1731" s="1354" t="str">
        <f>IF(ROUND((F920-F1731),2)=0,"相符","不相符，差异："&amp;(F920-F1731))</f>
        <v>不相符，差异：-1788781.28</v>
      </c>
      <c r="T1731" s="838"/>
      <c r="X1731" s="768" t="b">
        <f t="shared" si="277"/>
        <v>1</v>
      </c>
    </row>
    <row r="1732" outlineLevel="2" spans="1:24">
      <c r="A1732" s="152" t="s">
        <v>2187</v>
      </c>
      <c r="B1732" s="1207" t="s">
        <v>3526</v>
      </c>
      <c r="C1732" s="693" t="str">
        <f t="shared" si="276"/>
        <v>深圳新阳蓝光能源管理科技股份有限公司</v>
      </c>
      <c r="D1732" s="1163" t="s">
        <v>2185</v>
      </c>
      <c r="E1732" s="1315" t="s">
        <v>2187</v>
      </c>
      <c r="F1732" s="743">
        <f>报表附注合并期初用!E1475</f>
        <v>0</v>
      </c>
      <c r="G1732" s="136"/>
      <c r="H1732" s="136"/>
      <c r="I1732" s="136"/>
      <c r="J1732" s="139">
        <f t="shared" si="282"/>
        <v>0</v>
      </c>
      <c r="K1732" s="139">
        <f t="shared" si="283"/>
        <v>0</v>
      </c>
      <c r="L1732" s="139">
        <f t="shared" si="284"/>
        <v>0</v>
      </c>
      <c r="M1732" s="139">
        <f t="shared" si="285"/>
        <v>0</v>
      </c>
      <c r="N1732" s="1020"/>
      <c r="O1732" s="1020"/>
      <c r="P1732" s="1020"/>
      <c r="Q1732" s="1020"/>
      <c r="X1732" s="768" t="b">
        <f t="shared" si="277"/>
        <v>1</v>
      </c>
    </row>
    <row r="1733" outlineLevel="2" spans="1:24">
      <c r="A1733" s="152" t="s">
        <v>2188</v>
      </c>
      <c r="B1733" s="1207" t="s">
        <v>3526</v>
      </c>
      <c r="C1733" s="693" t="str">
        <f t="shared" si="276"/>
        <v>深圳新阳蓝光能源管理科技股份有限公司</v>
      </c>
      <c r="D1733" s="1163" t="s">
        <v>2185</v>
      </c>
      <c r="E1733" s="1315" t="s">
        <v>2188</v>
      </c>
      <c r="F1733" s="743">
        <f>报表附注合并期初用!E1476</f>
        <v>0</v>
      </c>
      <c r="G1733" s="136"/>
      <c r="H1733" s="136"/>
      <c r="I1733" s="136"/>
      <c r="J1733" s="139">
        <f t="shared" si="282"/>
        <v>0</v>
      </c>
      <c r="K1733" s="139">
        <f t="shared" si="283"/>
        <v>0</v>
      </c>
      <c r="L1733" s="139">
        <f t="shared" si="284"/>
        <v>0</v>
      </c>
      <c r="M1733" s="139">
        <f t="shared" si="285"/>
        <v>0</v>
      </c>
      <c r="N1733" s="1020"/>
      <c r="O1733" s="1020"/>
      <c r="P1733" s="1020"/>
      <c r="Q1733" s="1020"/>
      <c r="X1733" s="768" t="b">
        <f t="shared" si="277"/>
        <v>1</v>
      </c>
    </row>
    <row r="1734" outlineLevel="2" spans="1:24">
      <c r="A1734" s="152" t="s">
        <v>2189</v>
      </c>
      <c r="B1734" s="1207" t="s">
        <v>3526</v>
      </c>
      <c r="C1734" s="693" t="str">
        <f t="shared" si="276"/>
        <v>深圳新阳蓝光能源管理科技股份有限公司</v>
      </c>
      <c r="D1734" s="1163" t="s">
        <v>2185</v>
      </c>
      <c r="E1734" s="1053" t="s">
        <v>2189</v>
      </c>
      <c r="F1734" s="743">
        <f>报表附注合并期初用!E1477</f>
        <v>0</v>
      </c>
      <c r="G1734" s="136"/>
      <c r="H1734" s="136"/>
      <c r="I1734" s="136"/>
      <c r="J1734" s="139">
        <f t="shared" si="282"/>
        <v>0</v>
      </c>
      <c r="K1734" s="139">
        <f t="shared" si="283"/>
        <v>0</v>
      </c>
      <c r="L1734" s="139">
        <f t="shared" si="284"/>
        <v>0</v>
      </c>
      <c r="M1734" s="139">
        <f t="shared" si="285"/>
        <v>0</v>
      </c>
      <c r="N1734" s="1020"/>
      <c r="O1734" s="1020"/>
      <c r="P1734" s="1020"/>
      <c r="Q1734" s="1020"/>
      <c r="R1734" s="1354" t="str">
        <f>IF(ROUND((O1081-报表附注!K1734),2)=0,"相符","不相符，差异"&amp;(O1081-报表附注!K1734))</f>
        <v>相符</v>
      </c>
      <c r="S1734" s="1354" t="str">
        <f>IF(ROUND((O1081-P1081-F1734),2)=0,"相符","不相符，差异："&amp;(O1081-P1081-F1734))</f>
        <v>相符</v>
      </c>
      <c r="X1734" s="768" t="b">
        <f t="shared" si="277"/>
        <v>1</v>
      </c>
    </row>
    <row r="1735" outlineLevel="2" spans="1:24">
      <c r="A1735" s="152" t="s">
        <v>2190</v>
      </c>
      <c r="B1735" s="1207" t="s">
        <v>3526</v>
      </c>
      <c r="C1735" s="693" t="str">
        <f t="shared" si="276"/>
        <v>深圳新阳蓝光能源管理科技股份有限公司</v>
      </c>
      <c r="D1735" s="1163" t="s">
        <v>2185</v>
      </c>
      <c r="E1735" s="1053" t="s">
        <v>2190</v>
      </c>
      <c r="F1735" s="743">
        <f>报表附注合并期初用!E1478</f>
        <v>0</v>
      </c>
      <c r="G1735" s="136"/>
      <c r="H1735" s="136"/>
      <c r="I1735" s="136"/>
      <c r="J1735" s="139">
        <f t="shared" si="282"/>
        <v>0</v>
      </c>
      <c r="K1735" s="139">
        <f t="shared" si="283"/>
        <v>0</v>
      </c>
      <c r="L1735" s="139">
        <f t="shared" si="284"/>
        <v>0</v>
      </c>
      <c r="M1735" s="139">
        <f t="shared" si="285"/>
        <v>0</v>
      </c>
      <c r="N1735" s="1020"/>
      <c r="O1735" s="1020"/>
      <c r="P1735" s="1020"/>
      <c r="Q1735" s="1020"/>
      <c r="R1735" s="1354" t="str">
        <f>IF(ROUND((I1110-报表附注!K1735),2)=0,"相符","不相符，差异："&amp;(I1110-报表附注!K1735))</f>
        <v>相符</v>
      </c>
      <c r="S1735" s="1354" t="str">
        <f>IF((F1110-F1735)=0,"相符","不相符，请检查")</f>
        <v>相符</v>
      </c>
      <c r="X1735" s="768" t="b">
        <f t="shared" si="277"/>
        <v>1</v>
      </c>
    </row>
    <row r="1736" outlineLevel="2" spans="1:24">
      <c r="A1736" s="152" t="s">
        <v>2191</v>
      </c>
      <c r="B1736" s="1207" t="s">
        <v>3526</v>
      </c>
      <c r="C1736" s="693" t="str">
        <f t="shared" ref="C1736:C1775" si="286">$G$1</f>
        <v>深圳新阳蓝光能源管理科技股份有限公司</v>
      </c>
      <c r="D1736" s="1163" t="s">
        <v>2185</v>
      </c>
      <c r="E1736" s="1053" t="s">
        <v>2191</v>
      </c>
      <c r="F1736" s="743">
        <f>报表附注合并期初用!E1479</f>
        <v>0</v>
      </c>
      <c r="G1736" s="136"/>
      <c r="H1736" s="136"/>
      <c r="I1736" s="136"/>
      <c r="J1736" s="139">
        <f t="shared" si="282"/>
        <v>0</v>
      </c>
      <c r="K1736" s="139">
        <f t="shared" si="283"/>
        <v>0</v>
      </c>
      <c r="L1736" s="139">
        <f t="shared" si="284"/>
        <v>0</v>
      </c>
      <c r="M1736" s="139">
        <f t="shared" si="285"/>
        <v>0</v>
      </c>
      <c r="N1736" s="1020"/>
      <c r="O1736" s="1020"/>
      <c r="P1736" s="1020"/>
      <c r="Q1736" s="1020"/>
      <c r="R1736" s="1354" t="str">
        <f>IF((J1157-报表附注!K1736)=0,"相符","不相符，请检查")</f>
        <v>相符</v>
      </c>
      <c r="S1736" s="1354" t="str">
        <f>IF((F1157-F1736)=0,"相符","不相符，请检查")</f>
        <v>相符</v>
      </c>
      <c r="X1736" s="768" t="b">
        <f t="shared" ref="X1736:X1775" si="287">EXACT(A1736,E1736)</f>
        <v>1</v>
      </c>
    </row>
    <row r="1737" outlineLevel="2" spans="1:24">
      <c r="A1737" s="152" t="s">
        <v>2192</v>
      </c>
      <c r="B1737" s="1207" t="s">
        <v>3526</v>
      </c>
      <c r="C1737" s="693" t="str">
        <f t="shared" si="286"/>
        <v>深圳新阳蓝光能源管理科技股份有限公司</v>
      </c>
      <c r="D1737" s="1163" t="s">
        <v>2185</v>
      </c>
      <c r="E1737" s="1053" t="s">
        <v>2192</v>
      </c>
      <c r="F1737" s="743">
        <f>报表附注合并期初用!E1480</f>
        <v>0</v>
      </c>
      <c r="G1737" s="136"/>
      <c r="H1737" s="136"/>
      <c r="I1737" s="136"/>
      <c r="J1737" s="139">
        <f t="shared" si="282"/>
        <v>0</v>
      </c>
      <c r="K1737" s="139">
        <f t="shared" si="283"/>
        <v>0</v>
      </c>
      <c r="L1737" s="139">
        <f t="shared" si="284"/>
        <v>0</v>
      </c>
      <c r="M1737" s="139">
        <f t="shared" si="285"/>
        <v>0</v>
      </c>
      <c r="N1737" s="1020"/>
      <c r="O1737" s="1020"/>
      <c r="P1737" s="1020"/>
      <c r="Q1737" s="1020"/>
      <c r="X1737" s="768" t="b">
        <f t="shared" si="287"/>
        <v>1</v>
      </c>
    </row>
    <row r="1738" outlineLevel="2" spans="1:24">
      <c r="A1738" s="152" t="s">
        <v>2193</v>
      </c>
      <c r="B1738" s="1207" t="s">
        <v>3526</v>
      </c>
      <c r="C1738" s="693" t="str">
        <f t="shared" si="286"/>
        <v>深圳新阳蓝光能源管理科技股份有限公司</v>
      </c>
      <c r="D1738" s="1163" t="s">
        <v>2185</v>
      </c>
      <c r="E1738" s="1053" t="s">
        <v>2193</v>
      </c>
      <c r="F1738" s="743">
        <f>报表附注合并期初用!E1481</f>
        <v>0</v>
      </c>
      <c r="G1738" s="136"/>
      <c r="H1738" s="136"/>
      <c r="I1738" s="136"/>
      <c r="J1738" s="139">
        <f t="shared" si="282"/>
        <v>0</v>
      </c>
      <c r="K1738" s="139">
        <f t="shared" si="283"/>
        <v>0</v>
      </c>
      <c r="L1738" s="139">
        <f t="shared" si="284"/>
        <v>0</v>
      </c>
      <c r="M1738" s="139">
        <f t="shared" si="285"/>
        <v>0</v>
      </c>
      <c r="N1738" s="1020"/>
      <c r="O1738" s="1020"/>
      <c r="P1738" s="1020"/>
      <c r="Q1738" s="1020"/>
      <c r="R1738" s="1354" t="str">
        <f>IF((I1319-报表附注!K1738)=0,"相符","不相符，请检查")</f>
        <v>相符</v>
      </c>
      <c r="S1738" s="1354" t="str">
        <f>IF((J1274-F1738)=0,"相符","不相符，请检查")</f>
        <v>相符</v>
      </c>
      <c r="X1738" s="768" t="b">
        <f t="shared" si="287"/>
        <v>1</v>
      </c>
    </row>
    <row r="1739" outlineLevel="2" spans="1:24">
      <c r="A1739" s="152" t="s">
        <v>2194</v>
      </c>
      <c r="B1739" s="1207" t="s">
        <v>3526</v>
      </c>
      <c r="C1739" s="693" t="str">
        <f t="shared" si="286"/>
        <v>深圳新阳蓝光能源管理科技股份有限公司</v>
      </c>
      <c r="D1739" s="1163" t="s">
        <v>2185</v>
      </c>
      <c r="E1739" s="1053" t="s">
        <v>2194</v>
      </c>
      <c r="F1739" s="743">
        <f>报表附注合并期初用!E1482</f>
        <v>0</v>
      </c>
      <c r="G1739" s="136"/>
      <c r="H1739" s="136"/>
      <c r="I1739" s="136"/>
      <c r="J1739" s="139">
        <f t="shared" si="282"/>
        <v>0</v>
      </c>
      <c r="K1739" s="139">
        <f t="shared" si="283"/>
        <v>0</v>
      </c>
      <c r="L1739" s="139">
        <f t="shared" si="284"/>
        <v>0</v>
      </c>
      <c r="M1739" s="139">
        <f t="shared" si="285"/>
        <v>0</v>
      </c>
      <c r="N1739" s="1020"/>
      <c r="O1739" s="1020"/>
      <c r="P1739" s="1020"/>
      <c r="Q1739" s="1020"/>
      <c r="R1739" s="1354" t="str">
        <f>IF((I1378-报表附注!K1739)=0,"相符","不相符，请检查")</f>
        <v>相符</v>
      </c>
      <c r="S1739" s="1354" t="str">
        <f>IF((F1378-F1739)=0,"相符","不相符，请检查")</f>
        <v>相符</v>
      </c>
      <c r="X1739" s="768" t="b">
        <f t="shared" si="287"/>
        <v>1</v>
      </c>
    </row>
    <row r="1740" outlineLevel="2" spans="1:24">
      <c r="A1740" s="152" t="s">
        <v>960</v>
      </c>
      <c r="B1740" s="1207" t="s">
        <v>3526</v>
      </c>
      <c r="C1740" s="693" t="str">
        <f t="shared" si="286"/>
        <v>深圳新阳蓝光能源管理科技股份有限公司</v>
      </c>
      <c r="D1740" s="1163" t="s">
        <v>2185</v>
      </c>
      <c r="E1740" s="1053" t="s">
        <v>960</v>
      </c>
      <c r="F1740" s="743">
        <f>报表附注合并期初用!E1483</f>
        <v>0</v>
      </c>
      <c r="G1740" s="136"/>
      <c r="H1740" s="136"/>
      <c r="I1740" s="136"/>
      <c r="J1740" s="139">
        <f t="shared" si="282"/>
        <v>0</v>
      </c>
      <c r="K1740" s="139">
        <f t="shared" si="283"/>
        <v>0</v>
      </c>
      <c r="L1740" s="139">
        <f t="shared" si="284"/>
        <v>0</v>
      </c>
      <c r="M1740" s="139">
        <f t="shared" si="285"/>
        <v>0</v>
      </c>
      <c r="N1740" s="1020"/>
      <c r="O1740" s="1020"/>
      <c r="P1740" s="1020"/>
      <c r="Q1740" s="1020"/>
      <c r="X1740" s="768" t="b">
        <f t="shared" si="287"/>
        <v>1</v>
      </c>
    </row>
    <row r="1741" outlineLevel="2" spans="1:24">
      <c r="A1741" s="152" t="s">
        <v>2195</v>
      </c>
      <c r="B1741" s="1207" t="s">
        <v>3526</v>
      </c>
      <c r="C1741" s="693" t="str">
        <f t="shared" si="286"/>
        <v>深圳新阳蓝光能源管理科技股份有限公司</v>
      </c>
      <c r="D1741" s="1163" t="s">
        <v>2185</v>
      </c>
      <c r="E1741" s="1053" t="s">
        <v>2195</v>
      </c>
      <c r="F1741" s="743">
        <f>报表附注合并期初用!E1484</f>
        <v>0</v>
      </c>
      <c r="G1741" s="136"/>
      <c r="H1741" s="136"/>
      <c r="I1741" s="136"/>
      <c r="J1741" s="139">
        <f t="shared" si="282"/>
        <v>0</v>
      </c>
      <c r="K1741" s="139">
        <f t="shared" si="283"/>
        <v>0</v>
      </c>
      <c r="L1741" s="139">
        <f t="shared" si="284"/>
        <v>0</v>
      </c>
      <c r="M1741" s="139">
        <f t="shared" si="285"/>
        <v>0</v>
      </c>
      <c r="N1741" s="1020"/>
      <c r="O1741" s="1020"/>
      <c r="P1741" s="1020"/>
      <c r="Q1741" s="1020"/>
      <c r="R1741" s="1354" t="str">
        <f>IF((I1403-报表附注!K1741)=0,"相符","不相符，请检查")</f>
        <v>相符</v>
      </c>
      <c r="S1741" s="1354" t="str">
        <f>IF((F1403-F1741)=0,"相符","不相符，请检查")</f>
        <v>相符</v>
      </c>
      <c r="X1741" s="768" t="b">
        <f t="shared" si="287"/>
        <v>1</v>
      </c>
    </row>
    <row r="1742" outlineLevel="2" spans="1:24">
      <c r="A1742" s="152" t="s">
        <v>2196</v>
      </c>
      <c r="B1742" s="1207" t="s">
        <v>3526</v>
      </c>
      <c r="C1742" s="693" t="str">
        <f t="shared" si="286"/>
        <v>深圳新阳蓝光能源管理科技股份有限公司</v>
      </c>
      <c r="D1742" s="1163" t="s">
        <v>2185</v>
      </c>
      <c r="E1742" s="1053" t="s">
        <v>2196</v>
      </c>
      <c r="F1742" s="743">
        <f>报表附注合并期初用!E1485</f>
        <v>0</v>
      </c>
      <c r="G1742" s="136"/>
      <c r="H1742" s="136"/>
      <c r="I1742" s="136"/>
      <c r="J1742" s="139">
        <f t="shared" si="282"/>
        <v>0</v>
      </c>
      <c r="K1742" s="139">
        <f t="shared" si="283"/>
        <v>0</v>
      </c>
      <c r="L1742" s="139">
        <f t="shared" si="284"/>
        <v>0</v>
      </c>
      <c r="M1742" s="139">
        <f t="shared" si="285"/>
        <v>0</v>
      </c>
      <c r="N1742" s="1020"/>
      <c r="O1742" s="1020"/>
      <c r="P1742" s="1020"/>
      <c r="Q1742" s="1020"/>
      <c r="R1742" s="1354" t="str">
        <f>IF((I1451-报表附注!K1742)=0,"相符","不相符，请检查")</f>
        <v>相符</v>
      </c>
      <c r="S1742" s="1354" t="str">
        <f>IF((F1451-F1742)=0,"相符","不相符，请检查")</f>
        <v>相符</v>
      </c>
      <c r="X1742" s="768" t="b">
        <f t="shared" si="287"/>
        <v>1</v>
      </c>
    </row>
    <row r="1743" outlineLevel="2" spans="1:24">
      <c r="A1743" s="152" t="s">
        <v>2197</v>
      </c>
      <c r="B1743" s="1207" t="s">
        <v>3526</v>
      </c>
      <c r="C1743" s="693" t="str">
        <f t="shared" si="286"/>
        <v>深圳新阳蓝光能源管理科技股份有限公司</v>
      </c>
      <c r="D1743" s="1163" t="s">
        <v>2185</v>
      </c>
      <c r="E1743" s="1053" t="s">
        <v>2197</v>
      </c>
      <c r="F1743" s="743">
        <f>报表附注合并期初用!E1486</f>
        <v>0</v>
      </c>
      <c r="G1743" s="136"/>
      <c r="H1743" s="136"/>
      <c r="I1743" s="136"/>
      <c r="J1743" s="139">
        <f t="shared" si="282"/>
        <v>0</v>
      </c>
      <c r="K1743" s="139">
        <f t="shared" si="283"/>
        <v>0</v>
      </c>
      <c r="L1743" s="139">
        <f t="shared" si="284"/>
        <v>0</v>
      </c>
      <c r="M1743" s="139">
        <f t="shared" si="285"/>
        <v>0</v>
      </c>
      <c r="N1743" s="1020"/>
      <c r="O1743" s="1020"/>
      <c r="P1743" s="1020"/>
      <c r="Q1743" s="1020"/>
      <c r="R1743" s="1354" t="str">
        <f>IF((I1573-报表附注!K1743)=0,"相符","不相符，请检查")</f>
        <v>相符</v>
      </c>
      <c r="S1743" s="1354" t="str">
        <f>IF(ROUND((F1573-F1743),2)=0,"相符","不相符，差异："&amp;(ROUND((F1573-F1743),2)))</f>
        <v>相符</v>
      </c>
      <c r="X1743" s="768" t="b">
        <f t="shared" si="287"/>
        <v>1</v>
      </c>
    </row>
    <row r="1744" outlineLevel="2" spans="1:24">
      <c r="A1744" s="152" t="s">
        <v>280</v>
      </c>
      <c r="B1744" s="1207" t="s">
        <v>3526</v>
      </c>
      <c r="C1744" s="693" t="str">
        <f t="shared" si="286"/>
        <v>深圳新阳蓝光能源管理科技股份有限公司</v>
      </c>
      <c r="D1744" s="1163" t="s">
        <v>2185</v>
      </c>
      <c r="E1744" s="1053" t="s">
        <v>280</v>
      </c>
      <c r="F1744" s="743">
        <f>报表附注合并期初用!E1487</f>
        <v>0</v>
      </c>
      <c r="G1744" s="136"/>
      <c r="H1744" s="136"/>
      <c r="I1744" s="136"/>
      <c r="J1744" s="139">
        <f t="shared" si="282"/>
        <v>0</v>
      </c>
      <c r="K1744" s="139">
        <f t="shared" si="283"/>
        <v>0</v>
      </c>
      <c r="L1744" s="139">
        <f t="shared" si="284"/>
        <v>0</v>
      </c>
      <c r="M1744" s="139">
        <f t="shared" si="285"/>
        <v>0</v>
      </c>
      <c r="N1744" s="1020"/>
      <c r="O1744" s="1020"/>
      <c r="P1744" s="1020"/>
      <c r="Q1744" s="1020"/>
      <c r="X1744" s="768" t="b">
        <f t="shared" si="287"/>
        <v>1</v>
      </c>
    </row>
    <row r="1745" outlineLevel="2" spans="1:24">
      <c r="A1745" s="152" t="s">
        <v>347</v>
      </c>
      <c r="B1745" s="1207" t="s">
        <v>3526</v>
      </c>
      <c r="C1745" s="693" t="str">
        <f t="shared" si="286"/>
        <v>深圳新阳蓝光能源管理科技股份有限公司</v>
      </c>
      <c r="D1745" s="1163" t="s">
        <v>2185</v>
      </c>
      <c r="E1745" s="1053" t="s">
        <v>347</v>
      </c>
      <c r="F1745" s="139">
        <f>SUM(F1730:F1744)-F1740</f>
        <v>5410188.26</v>
      </c>
      <c r="G1745" s="139">
        <f>ROUND(SUM(G1730:G1744)-G1740,2)</f>
        <v>1792140.07</v>
      </c>
      <c r="H1745" s="139">
        <f t="shared" ref="H1745:K1745" si="288">ROUND(SUM(H1730:H1744)-H1740,2)</f>
        <v>0</v>
      </c>
      <c r="I1745" s="139">
        <f t="shared" si="288"/>
        <v>2234241.07</v>
      </c>
      <c r="J1745" s="139">
        <f t="shared" si="288"/>
        <v>2234241.07</v>
      </c>
      <c r="K1745" s="139">
        <f t="shared" si="288"/>
        <v>4968087.26</v>
      </c>
      <c r="L1745" s="139">
        <f t="shared" ref="L1745:Q1745" si="289">SUM(L1730:L1744)-L1740</f>
        <v>0</v>
      </c>
      <c r="M1745" s="139">
        <f t="shared" si="289"/>
        <v>0</v>
      </c>
      <c r="N1745" s="139">
        <f t="shared" si="289"/>
        <v>0</v>
      </c>
      <c r="O1745" s="139">
        <f t="shared" si="289"/>
        <v>0</v>
      </c>
      <c r="P1745" s="139">
        <f t="shared" si="289"/>
        <v>0</v>
      </c>
      <c r="Q1745" s="139">
        <f t="shared" si="289"/>
        <v>0</v>
      </c>
      <c r="X1745" s="768" t="b">
        <f t="shared" si="287"/>
        <v>1</v>
      </c>
    </row>
    <row r="1746" outlineLevel="2" spans="2:24">
      <c r="B1746" s="1207" t="s">
        <v>3526</v>
      </c>
      <c r="C1746" s="693" t="str">
        <f t="shared" si="286"/>
        <v>深圳新阳蓝光能源管理科技股份有限公司</v>
      </c>
      <c r="D1746" s="1163" t="s">
        <v>2185</v>
      </c>
      <c r="E1746" s="1316"/>
      <c r="F1746" s="1115"/>
      <c r="G1746" s="1283"/>
      <c r="H1746" s="1115"/>
      <c r="I1746" s="1115"/>
      <c r="X1746" s="768" t="b">
        <f t="shared" si="287"/>
        <v>1</v>
      </c>
    </row>
    <row r="1747" spans="1:24">
      <c r="A1747" s="152" t="s">
        <v>3532</v>
      </c>
      <c r="B1747" s="1207" t="s">
        <v>3533</v>
      </c>
      <c r="C1747" s="693" t="str">
        <f t="shared" si="286"/>
        <v>深圳新阳蓝光能源管理科技股份有限公司</v>
      </c>
      <c r="D1747" s="1163" t="s">
        <v>3534</v>
      </c>
      <c r="E1747" s="1317" t="s">
        <v>3535</v>
      </c>
      <c r="F1747" s="1115"/>
      <c r="G1747" s="1115"/>
      <c r="H1747" s="1115"/>
      <c r="I1747" s="1115"/>
      <c r="X1747" s="768" t="b">
        <f t="shared" si="287"/>
        <v>1</v>
      </c>
    </row>
    <row r="1748" outlineLevel="2" spans="1:24">
      <c r="A1748" s="152" t="s">
        <v>3534</v>
      </c>
      <c r="B1748" s="1207" t="s">
        <v>3533</v>
      </c>
      <c r="C1748" s="693" t="str">
        <f t="shared" si="286"/>
        <v>深圳新阳蓝光能源管理科技股份有限公司</v>
      </c>
      <c r="D1748" s="1163" t="s">
        <v>3534</v>
      </c>
      <c r="E1748" s="153" t="s">
        <v>3536</v>
      </c>
      <c r="F1748" s="1115"/>
      <c r="G1748" s="1115"/>
      <c r="H1748" s="1115"/>
      <c r="I1748" s="1115"/>
      <c r="X1748" s="768" t="b">
        <f t="shared" si="287"/>
        <v>1</v>
      </c>
    </row>
    <row r="1749" outlineLevel="2" spans="1:24">
      <c r="A1749" s="152" t="s">
        <v>3537</v>
      </c>
      <c r="B1749" s="1207" t="s">
        <v>3533</v>
      </c>
      <c r="C1749" s="693" t="str">
        <f t="shared" si="286"/>
        <v>深圳新阳蓝光能源管理科技股份有限公司</v>
      </c>
      <c r="D1749" s="1163" t="s">
        <v>3534</v>
      </c>
      <c r="E1749" s="1318" t="s">
        <v>3537</v>
      </c>
      <c r="F1749" s="1318" t="s">
        <v>3130</v>
      </c>
      <c r="G1749" s="1318" t="s">
        <v>672</v>
      </c>
      <c r="H1749" s="1318" t="s">
        <v>673</v>
      </c>
      <c r="I1749" s="1318" t="s">
        <v>627</v>
      </c>
      <c r="X1749" s="768" t="b">
        <f t="shared" si="287"/>
        <v>1</v>
      </c>
    </row>
    <row r="1750" outlineLevel="2" spans="1:24">
      <c r="A1750" s="152" t="s">
        <v>974</v>
      </c>
      <c r="B1750" s="1207" t="s">
        <v>3533</v>
      </c>
      <c r="C1750" s="693" t="str">
        <f t="shared" si="286"/>
        <v>深圳新阳蓝光能源管理科技股份有限公司</v>
      </c>
      <c r="D1750" s="1163" t="s">
        <v>3534</v>
      </c>
      <c r="E1750" s="1319" t="s">
        <v>974</v>
      </c>
      <c r="F1750" s="1320">
        <f>SUM(F1751:F1757)</f>
        <v>0</v>
      </c>
      <c r="G1750" s="1320">
        <f t="shared" ref="G1750:H1750" si="290">SUM(G1751:G1757)</f>
        <v>0</v>
      </c>
      <c r="H1750" s="1320">
        <f t="shared" si="290"/>
        <v>0</v>
      </c>
      <c r="I1750" s="1320">
        <f>F1750+G1750-H1750</f>
        <v>0</v>
      </c>
      <c r="X1750" s="768" t="b">
        <f t="shared" si="287"/>
        <v>1</v>
      </c>
    </row>
    <row r="1751" outlineLevel="2" spans="2:24">
      <c r="B1751" s="1207" t="s">
        <v>3533</v>
      </c>
      <c r="C1751" s="693" t="str">
        <f t="shared" si="286"/>
        <v>深圳新阳蓝光能源管理科技股份有限公司</v>
      </c>
      <c r="D1751" s="1163" t="s">
        <v>3534</v>
      </c>
      <c r="E1751" s="1319" t="s">
        <v>3538</v>
      </c>
      <c r="F1751" s="1321"/>
      <c r="G1751" s="1321"/>
      <c r="H1751" s="1321"/>
      <c r="I1751" s="1320">
        <f t="shared" ref="I1751:I1765" si="291">F1751+G1751-H1751</f>
        <v>0</v>
      </c>
      <c r="X1751" s="768" t="b">
        <f t="shared" si="287"/>
        <v>0</v>
      </c>
    </row>
    <row r="1752" outlineLevel="2" spans="2:24">
      <c r="B1752" s="1207" t="s">
        <v>3533</v>
      </c>
      <c r="C1752" s="693" t="str">
        <f t="shared" si="286"/>
        <v>深圳新阳蓝光能源管理科技股份有限公司</v>
      </c>
      <c r="D1752" s="1163" t="s">
        <v>3534</v>
      </c>
      <c r="E1752" s="1319" t="s">
        <v>3539</v>
      </c>
      <c r="F1752" s="1321"/>
      <c r="G1752" s="1321"/>
      <c r="H1752" s="1321"/>
      <c r="I1752" s="1320">
        <f t="shared" si="291"/>
        <v>0</v>
      </c>
      <c r="X1752" s="768" t="b">
        <f t="shared" si="287"/>
        <v>0</v>
      </c>
    </row>
    <row r="1753" outlineLevel="2" spans="2:24">
      <c r="B1753" s="1207" t="s">
        <v>3533</v>
      </c>
      <c r="C1753" s="693" t="str">
        <f t="shared" si="286"/>
        <v>深圳新阳蓝光能源管理科技股份有限公司</v>
      </c>
      <c r="D1753" s="1163" t="s">
        <v>3534</v>
      </c>
      <c r="E1753" s="1319" t="s">
        <v>3540</v>
      </c>
      <c r="F1753" s="1321"/>
      <c r="G1753" s="1321"/>
      <c r="H1753" s="1321"/>
      <c r="I1753" s="1320">
        <f t="shared" si="291"/>
        <v>0</v>
      </c>
      <c r="X1753" s="768" t="b">
        <f t="shared" si="287"/>
        <v>0</v>
      </c>
    </row>
    <row r="1754" outlineLevel="2" spans="2:24">
      <c r="B1754" s="1207" t="s">
        <v>3533</v>
      </c>
      <c r="C1754" s="693" t="str">
        <f t="shared" si="286"/>
        <v>深圳新阳蓝光能源管理科技股份有限公司</v>
      </c>
      <c r="D1754" s="1163" t="s">
        <v>3534</v>
      </c>
      <c r="E1754" s="1319" t="s">
        <v>3541</v>
      </c>
      <c r="F1754" s="1321"/>
      <c r="G1754" s="1321"/>
      <c r="H1754" s="1321"/>
      <c r="I1754" s="1320">
        <f t="shared" si="291"/>
        <v>0</v>
      </c>
      <c r="X1754" s="768" t="b">
        <f t="shared" si="287"/>
        <v>0</v>
      </c>
    </row>
    <row r="1755" outlineLevel="2" spans="2:24">
      <c r="B1755" s="1207" t="s">
        <v>3533</v>
      </c>
      <c r="C1755" s="693" t="str">
        <f t="shared" si="286"/>
        <v>深圳新阳蓝光能源管理科技股份有限公司</v>
      </c>
      <c r="D1755" s="1163" t="s">
        <v>3534</v>
      </c>
      <c r="E1755" s="1322"/>
      <c r="F1755" s="1321"/>
      <c r="G1755" s="1321"/>
      <c r="H1755" s="1321"/>
      <c r="I1755" s="1320">
        <f t="shared" si="291"/>
        <v>0</v>
      </c>
      <c r="X1755" s="768" t="b">
        <f t="shared" si="287"/>
        <v>1</v>
      </c>
    </row>
    <row r="1756" outlineLevel="2" spans="2:24">
      <c r="B1756" s="1207" t="s">
        <v>3533</v>
      </c>
      <c r="C1756" s="693" t="str">
        <f t="shared" si="286"/>
        <v>深圳新阳蓝光能源管理科技股份有限公司</v>
      </c>
      <c r="D1756" s="1163" t="s">
        <v>3534</v>
      </c>
      <c r="E1756" s="1323"/>
      <c r="F1756" s="1324"/>
      <c r="G1756" s="1324"/>
      <c r="H1756" s="1324"/>
      <c r="I1756" s="1320">
        <f t="shared" si="291"/>
        <v>0</v>
      </c>
      <c r="X1756" s="768" t="b">
        <f t="shared" si="287"/>
        <v>1</v>
      </c>
    </row>
    <row r="1757" outlineLevel="2" spans="2:24">
      <c r="B1757" s="1207" t="s">
        <v>3533</v>
      </c>
      <c r="C1757" s="693" t="str">
        <f t="shared" si="286"/>
        <v>深圳新阳蓝光能源管理科技股份有限公司</v>
      </c>
      <c r="D1757" s="1163" t="s">
        <v>3534</v>
      </c>
      <c r="E1757" s="1323"/>
      <c r="F1757" s="1324"/>
      <c r="G1757" s="1324"/>
      <c r="H1757" s="1324"/>
      <c r="I1757" s="1320">
        <f t="shared" si="291"/>
        <v>0</v>
      </c>
      <c r="X1757" s="768" t="b">
        <f t="shared" si="287"/>
        <v>1</v>
      </c>
    </row>
    <row r="1758" outlineLevel="2" spans="1:24">
      <c r="A1758" s="152" t="s">
        <v>977</v>
      </c>
      <c r="B1758" s="1207" t="s">
        <v>3533</v>
      </c>
      <c r="C1758" s="693" t="str">
        <f t="shared" si="286"/>
        <v>深圳新阳蓝光能源管理科技股份有限公司</v>
      </c>
      <c r="D1758" s="1163" t="s">
        <v>3534</v>
      </c>
      <c r="E1758" s="1325" t="s">
        <v>977</v>
      </c>
      <c r="F1758" s="1071">
        <f>SUM(F1759:F1764)</f>
        <v>0</v>
      </c>
      <c r="G1758" s="1071">
        <f t="shared" ref="G1758:H1758" si="292">SUM(G1759:G1764)</f>
        <v>0</v>
      </c>
      <c r="H1758" s="1071">
        <f t="shared" si="292"/>
        <v>0</v>
      </c>
      <c r="I1758" s="1320">
        <f t="shared" si="291"/>
        <v>0</v>
      </c>
      <c r="X1758" s="768" t="b">
        <f t="shared" si="287"/>
        <v>1</v>
      </c>
    </row>
    <row r="1759" outlineLevel="2" spans="2:24">
      <c r="B1759" s="1207" t="s">
        <v>3533</v>
      </c>
      <c r="C1759" s="693" t="str">
        <f t="shared" si="286"/>
        <v>深圳新阳蓝光能源管理科技股份有限公司</v>
      </c>
      <c r="D1759" s="1163" t="s">
        <v>3534</v>
      </c>
      <c r="E1759" s="1325" t="s">
        <v>3542</v>
      </c>
      <c r="F1759" s="1323"/>
      <c r="G1759" s="1323"/>
      <c r="H1759" s="1323"/>
      <c r="I1759" s="1320">
        <f t="shared" si="291"/>
        <v>0</v>
      </c>
      <c r="X1759" s="768" t="b">
        <f t="shared" si="287"/>
        <v>0</v>
      </c>
    </row>
    <row r="1760" outlineLevel="2" spans="2:24">
      <c r="B1760" s="1207" t="s">
        <v>3533</v>
      </c>
      <c r="C1760" s="693" t="str">
        <f t="shared" si="286"/>
        <v>深圳新阳蓝光能源管理科技股份有限公司</v>
      </c>
      <c r="D1760" s="1163" t="s">
        <v>3534</v>
      </c>
      <c r="E1760" s="1325" t="s">
        <v>3543</v>
      </c>
      <c r="F1760" s="1323"/>
      <c r="G1760" s="1323"/>
      <c r="H1760" s="1323"/>
      <c r="I1760" s="1320">
        <f t="shared" si="291"/>
        <v>0</v>
      </c>
      <c r="X1760" s="768" t="b">
        <f t="shared" si="287"/>
        <v>0</v>
      </c>
    </row>
    <row r="1761" outlineLevel="2" spans="2:24">
      <c r="B1761" s="1207" t="s">
        <v>3533</v>
      </c>
      <c r="C1761" s="693" t="str">
        <f t="shared" si="286"/>
        <v>深圳新阳蓝光能源管理科技股份有限公司</v>
      </c>
      <c r="D1761" s="1163" t="s">
        <v>3534</v>
      </c>
      <c r="E1761" s="1325" t="s">
        <v>3544</v>
      </c>
      <c r="F1761" s="1323"/>
      <c r="G1761" s="1323"/>
      <c r="H1761" s="1323"/>
      <c r="I1761" s="1320">
        <f t="shared" si="291"/>
        <v>0</v>
      </c>
      <c r="X1761" s="768" t="b">
        <f t="shared" si="287"/>
        <v>0</v>
      </c>
    </row>
    <row r="1762" outlineLevel="2" spans="2:24">
      <c r="B1762" s="1207" t="s">
        <v>3533</v>
      </c>
      <c r="C1762" s="693" t="str">
        <f t="shared" si="286"/>
        <v>深圳新阳蓝光能源管理科技股份有限公司</v>
      </c>
      <c r="D1762" s="1163" t="s">
        <v>3534</v>
      </c>
      <c r="E1762" s="1323"/>
      <c r="F1762" s="1323"/>
      <c r="G1762" s="1323"/>
      <c r="H1762" s="1323"/>
      <c r="I1762" s="1320">
        <f t="shared" si="291"/>
        <v>0</v>
      </c>
      <c r="X1762" s="768" t="b">
        <f t="shared" si="287"/>
        <v>1</v>
      </c>
    </row>
    <row r="1763" outlineLevel="2" spans="2:24">
      <c r="B1763" s="1207" t="s">
        <v>3533</v>
      </c>
      <c r="C1763" s="693" t="str">
        <f t="shared" si="286"/>
        <v>深圳新阳蓝光能源管理科技股份有限公司</v>
      </c>
      <c r="D1763" s="1163" t="s">
        <v>3534</v>
      </c>
      <c r="E1763" s="1323"/>
      <c r="F1763" s="1323"/>
      <c r="G1763" s="1323"/>
      <c r="H1763" s="1323"/>
      <c r="I1763" s="1320">
        <f t="shared" si="291"/>
        <v>0</v>
      </c>
      <c r="X1763" s="768" t="b">
        <f t="shared" si="287"/>
        <v>1</v>
      </c>
    </row>
    <row r="1764" outlineLevel="2" spans="2:24">
      <c r="B1764" s="1207" t="s">
        <v>3533</v>
      </c>
      <c r="C1764" s="693" t="str">
        <f t="shared" si="286"/>
        <v>深圳新阳蓝光能源管理科技股份有限公司</v>
      </c>
      <c r="D1764" s="1163" t="s">
        <v>3534</v>
      </c>
      <c r="E1764" s="1323"/>
      <c r="F1764" s="1323"/>
      <c r="G1764" s="1323"/>
      <c r="H1764" s="1323"/>
      <c r="I1764" s="1320">
        <f t="shared" si="291"/>
        <v>0</v>
      </c>
      <c r="X1764" s="768" t="b">
        <f t="shared" si="287"/>
        <v>1</v>
      </c>
    </row>
    <row r="1765" outlineLevel="2" spans="1:24">
      <c r="A1765" s="152" t="s">
        <v>2018</v>
      </c>
      <c r="B1765" s="1207" t="s">
        <v>3533</v>
      </c>
      <c r="C1765" s="693" t="str">
        <f t="shared" si="286"/>
        <v>深圳新阳蓝光能源管理科技股份有限公司</v>
      </c>
      <c r="D1765" s="1163" t="s">
        <v>3534</v>
      </c>
      <c r="E1765" s="1326" t="s">
        <v>3545</v>
      </c>
      <c r="F1765" s="1320">
        <f>F1750+F1758</f>
        <v>0</v>
      </c>
      <c r="G1765" s="1320">
        <f t="shared" ref="G1765:H1765" si="293">G1750+G1758</f>
        <v>0</v>
      </c>
      <c r="H1765" s="1320">
        <f t="shared" si="293"/>
        <v>0</v>
      </c>
      <c r="I1765" s="1320">
        <f t="shared" si="291"/>
        <v>0</v>
      </c>
      <c r="X1765" s="768" t="b">
        <f t="shared" si="287"/>
        <v>1</v>
      </c>
    </row>
    <row r="1766" outlineLevel="2" spans="2:24">
      <c r="B1766" s="1207" t="s">
        <v>3533</v>
      </c>
      <c r="C1766" s="693" t="str">
        <f t="shared" si="286"/>
        <v>深圳新阳蓝光能源管理科技股份有限公司</v>
      </c>
      <c r="D1766" s="1163" t="s">
        <v>3534</v>
      </c>
      <c r="E1766" s="1316"/>
      <c r="F1766" s="1115"/>
      <c r="G1766" s="1115"/>
      <c r="H1766" s="1115"/>
      <c r="I1766" s="1115"/>
      <c r="X1766" s="768" t="b">
        <f t="shared" si="287"/>
        <v>1</v>
      </c>
    </row>
    <row r="1767" outlineLevel="2" spans="1:24">
      <c r="A1767" s="152" t="s">
        <v>3546</v>
      </c>
      <c r="B1767" s="1207" t="s">
        <v>3533</v>
      </c>
      <c r="C1767" s="693" t="str">
        <f t="shared" si="286"/>
        <v>深圳新阳蓝光能源管理科技股份有限公司</v>
      </c>
      <c r="D1767" s="1163" t="s">
        <v>3546</v>
      </c>
      <c r="E1767" s="751" t="s">
        <v>3547</v>
      </c>
      <c r="I1767" s="1115"/>
      <c r="X1767" s="768" t="b">
        <f t="shared" si="287"/>
        <v>0</v>
      </c>
    </row>
    <row r="1768" outlineLevel="2" spans="1:24">
      <c r="A1768" s="152" t="s">
        <v>2809</v>
      </c>
      <c r="B1768" s="1207" t="s">
        <v>3533</v>
      </c>
      <c r="C1768" s="693" t="str">
        <f t="shared" si="286"/>
        <v>深圳新阳蓝光能源管理科技股份有限公司</v>
      </c>
      <c r="D1768" s="1163" t="s">
        <v>3546</v>
      </c>
      <c r="E1768" s="1316" t="s">
        <v>2829</v>
      </c>
      <c r="F1768" s="1327"/>
      <c r="G1768" s="1327"/>
      <c r="H1768" s="1327"/>
      <c r="I1768" s="1115"/>
      <c r="X1768" s="768" t="b">
        <f t="shared" si="287"/>
        <v>1</v>
      </c>
    </row>
    <row r="1769" outlineLevel="2" spans="2:24">
      <c r="B1769" s="1207" t="s">
        <v>3533</v>
      </c>
      <c r="C1769" s="693" t="str">
        <f t="shared" si="286"/>
        <v>深圳新阳蓝光能源管理科技股份有限公司</v>
      </c>
      <c r="D1769" s="1163" t="s">
        <v>3546</v>
      </c>
      <c r="E1769" s="1115"/>
      <c r="F1769" s="1115"/>
      <c r="G1769" s="1115"/>
      <c r="H1769" s="1115"/>
      <c r="I1769" s="1115"/>
      <c r="X1769" s="768" t="b">
        <f t="shared" si="287"/>
        <v>1</v>
      </c>
    </row>
    <row r="1770" spans="1:24">
      <c r="A1770" s="1328" t="s">
        <v>2202</v>
      </c>
      <c r="B1770" s="692" t="s">
        <v>3548</v>
      </c>
      <c r="C1770" s="693" t="str">
        <f t="shared" si="286"/>
        <v>深圳新阳蓝光能源管理科技股份有限公司</v>
      </c>
      <c r="D1770" s="1329" t="s">
        <v>3549</v>
      </c>
      <c r="E1770" s="70" t="s">
        <v>3550</v>
      </c>
      <c r="F1770" s="1330"/>
      <c r="G1770" s="1164" t="s">
        <v>3471</v>
      </c>
      <c r="H1770" s="1331"/>
      <c r="I1770" s="1331"/>
      <c r="J1770" s="1331"/>
      <c r="K1770" s="1331"/>
      <c r="X1770" s="768" t="b">
        <f t="shared" si="287"/>
        <v>1</v>
      </c>
    </row>
    <row r="1771" ht="15" customHeight="1" outlineLevel="2" spans="1:24">
      <c r="A1771" s="1328" t="s">
        <v>3551</v>
      </c>
      <c r="B1771" s="692" t="s">
        <v>3548</v>
      </c>
      <c r="C1771" s="693" t="str">
        <f t="shared" si="286"/>
        <v>深圳新阳蓝光能源管理科技股份有限公司</v>
      </c>
      <c r="D1771" s="1329" t="s">
        <v>3549</v>
      </c>
      <c r="E1771" s="1332" t="s">
        <v>3551</v>
      </c>
      <c r="F1771" s="1332" t="s">
        <v>316</v>
      </c>
      <c r="G1771" s="1332" t="s">
        <v>2020</v>
      </c>
      <c r="H1771" s="1331"/>
      <c r="I1771" s="1331"/>
      <c r="J1771" s="1331"/>
      <c r="K1771" s="1331"/>
      <c r="X1771" s="768" t="b">
        <f t="shared" si="287"/>
        <v>1</v>
      </c>
    </row>
    <row r="1772" ht="15" customHeight="1" outlineLevel="2" spans="1:24">
      <c r="A1772" s="1328" t="s">
        <v>983</v>
      </c>
      <c r="B1772" s="692" t="s">
        <v>3548</v>
      </c>
      <c r="C1772" s="693" t="str">
        <f t="shared" si="286"/>
        <v>深圳新阳蓝光能源管理科技股份有限公司</v>
      </c>
      <c r="D1772" s="1329" t="s">
        <v>3549</v>
      </c>
      <c r="E1772" s="1333" t="s">
        <v>989</v>
      </c>
      <c r="F1772" s="136"/>
      <c r="G1772" s="743">
        <f>报表附注合并期初用!E1570</f>
        <v>0</v>
      </c>
      <c r="H1772" s="1334"/>
      <c r="I1772" s="1334"/>
      <c r="J1772" s="1334"/>
      <c r="K1772" s="1331"/>
      <c r="X1772" s="768" t="b">
        <f t="shared" si="287"/>
        <v>0</v>
      </c>
    </row>
    <row r="1773" ht="15" customHeight="1" outlineLevel="2" spans="1:24">
      <c r="A1773" s="1328" t="s">
        <v>985</v>
      </c>
      <c r="B1773" s="692" t="s">
        <v>3548</v>
      </c>
      <c r="C1773" s="693" t="str">
        <f t="shared" si="286"/>
        <v>深圳新阳蓝光能源管理科技股份有限公司</v>
      </c>
      <c r="D1773" s="1329" t="s">
        <v>3549</v>
      </c>
      <c r="E1773" s="1333" t="s">
        <v>985</v>
      </c>
      <c r="F1773" s="136"/>
      <c r="G1773" s="743">
        <f>报表附注合并期初用!E1571</f>
        <v>0</v>
      </c>
      <c r="H1773" s="1335"/>
      <c r="I1773" s="1335"/>
      <c r="J1773" s="1335"/>
      <c r="K1773" s="1331"/>
      <c r="X1773" s="768" t="b">
        <f t="shared" si="287"/>
        <v>1</v>
      </c>
    </row>
    <row r="1774" ht="15" customHeight="1" outlineLevel="2" spans="1:24">
      <c r="A1774" s="1328" t="s">
        <v>987</v>
      </c>
      <c r="B1774" s="692" t="s">
        <v>3548</v>
      </c>
      <c r="C1774" s="693" t="str">
        <f t="shared" si="286"/>
        <v>深圳新阳蓝光能源管理科技股份有限公司</v>
      </c>
      <c r="D1774" s="1329" t="s">
        <v>3549</v>
      </c>
      <c r="E1774" s="1333" t="s">
        <v>987</v>
      </c>
      <c r="F1774" s="136">
        <v>4850000</v>
      </c>
      <c r="G1774" s="743">
        <f>报表附注合并期初用!E1572</f>
        <v>0</v>
      </c>
      <c r="H1774" s="1334"/>
      <c r="I1774" s="1334"/>
      <c r="J1774" s="1334"/>
      <c r="K1774" s="1331"/>
      <c r="X1774" s="768" t="b">
        <f t="shared" si="287"/>
        <v>1</v>
      </c>
    </row>
    <row r="1775" ht="15" customHeight="1" outlineLevel="2" spans="1:24">
      <c r="A1775" s="1328" t="s">
        <v>989</v>
      </c>
      <c r="B1775" s="692" t="s">
        <v>3548</v>
      </c>
      <c r="C1775" s="693" t="str">
        <f t="shared" si="286"/>
        <v>深圳新阳蓝光能源管理科技股份有限公司</v>
      </c>
      <c r="D1775" s="1329" t="s">
        <v>3549</v>
      </c>
      <c r="E1775" s="1333" t="s">
        <v>983</v>
      </c>
      <c r="F1775" s="136"/>
      <c r="G1775" s="743">
        <f>报表附注合并期初用!E1573</f>
        <v>0</v>
      </c>
      <c r="H1775" s="1330"/>
      <c r="I1775" s="1330"/>
      <c r="J1775" s="1330"/>
      <c r="K1775" s="1330"/>
      <c r="X1775" s="768" t="b">
        <f t="shared" si="287"/>
        <v>0</v>
      </c>
    </row>
    <row r="1776" ht="15" customHeight="1" outlineLevel="2" spans="2:24">
      <c r="B1776" s="692"/>
      <c r="C1776" s="693"/>
      <c r="D1776" s="1329"/>
      <c r="E1776" s="1333" t="s">
        <v>3552</v>
      </c>
      <c r="F1776" s="136"/>
      <c r="G1776" s="743"/>
      <c r="H1776" s="1330"/>
      <c r="I1776" s="1330"/>
      <c r="J1776" s="1330"/>
      <c r="K1776" s="1330"/>
      <c r="X1776" s="768"/>
    </row>
    <row r="1777" ht="15" customHeight="1" outlineLevel="2" spans="2:24">
      <c r="B1777" s="692"/>
      <c r="C1777" s="693"/>
      <c r="D1777" s="1329"/>
      <c r="E1777" s="1333" t="s">
        <v>3553</v>
      </c>
      <c r="F1777" s="136"/>
      <c r="G1777" s="743"/>
      <c r="H1777" s="1330"/>
      <c r="I1777" s="1330"/>
      <c r="J1777" s="1330"/>
      <c r="K1777" s="1330"/>
      <c r="X1777" s="768"/>
    </row>
    <row r="1778" ht="15" customHeight="1" outlineLevel="2" spans="1:24">
      <c r="A1778" s="1328" t="s">
        <v>2203</v>
      </c>
      <c r="B1778" s="692" t="s">
        <v>3548</v>
      </c>
      <c r="C1778" s="693" t="str">
        <f t="shared" ref="C1778:C1812" si="294">$G$1</f>
        <v>深圳新阳蓝光能源管理科技股份有限公司</v>
      </c>
      <c r="D1778" s="1329" t="s">
        <v>3549</v>
      </c>
      <c r="E1778" s="1332" t="s">
        <v>3554</v>
      </c>
      <c r="F1778" s="834">
        <f>SUM(F1772:F1777)</f>
        <v>4850000</v>
      </c>
      <c r="G1778" s="834">
        <f>SUM(G1772:G1777)</f>
        <v>0</v>
      </c>
      <c r="H1778" s="1330"/>
      <c r="I1778" s="1330"/>
      <c r="J1778" s="1330"/>
      <c r="K1778" s="1330"/>
      <c r="X1778" s="768" t="b">
        <f t="shared" ref="X1778:X1812" si="295">EXACT(A1778,E1778)</f>
        <v>1</v>
      </c>
    </row>
    <row r="1779" ht="15" customHeight="1" outlineLevel="2" spans="1:24">
      <c r="A1779" s="1328" t="s">
        <v>1723</v>
      </c>
      <c r="B1779" s="692" t="s">
        <v>3548</v>
      </c>
      <c r="C1779" s="693" t="str">
        <f t="shared" si="294"/>
        <v>深圳新阳蓝光能源管理科技股份有限公司</v>
      </c>
      <c r="D1779" s="1329" t="s">
        <v>3549</v>
      </c>
      <c r="E1779" s="1316" t="s">
        <v>1723</v>
      </c>
      <c r="F1779" s="835">
        <f>审定资负表!G7</f>
        <v>4850000</v>
      </c>
      <c r="G1779" s="835">
        <f>审定资负表!H7</f>
        <v>0</v>
      </c>
      <c r="H1779" s="1330"/>
      <c r="I1779" s="1330"/>
      <c r="J1779" s="1330"/>
      <c r="K1779" s="1330"/>
      <c r="X1779" s="768" t="b">
        <f t="shared" si="295"/>
        <v>1</v>
      </c>
    </row>
    <row r="1780" ht="15" customHeight="1" outlineLevel="1" spans="1:24">
      <c r="A1780" s="1328" t="s">
        <v>1395</v>
      </c>
      <c r="B1780" s="692" t="s">
        <v>3548</v>
      </c>
      <c r="C1780" s="693" t="str">
        <f t="shared" si="294"/>
        <v>深圳新阳蓝光能源管理科技股份有限公司</v>
      </c>
      <c r="D1780" s="1329" t="s">
        <v>3549</v>
      </c>
      <c r="E1780" s="1316" t="s">
        <v>1395</v>
      </c>
      <c r="F1780" s="92">
        <f>ROUND(F1778-F1779,2)</f>
        <v>0</v>
      </c>
      <c r="G1780" s="92">
        <f>ROUND(G1778-G1779,2)</f>
        <v>0</v>
      </c>
      <c r="H1780" s="1330"/>
      <c r="I1780" s="1330"/>
      <c r="J1780" s="1330"/>
      <c r="K1780" s="1330"/>
      <c r="X1780" s="768" t="b">
        <f t="shared" si="295"/>
        <v>1</v>
      </c>
    </row>
    <row r="1781" ht="15" customHeight="1" outlineLevel="2" spans="1:24">
      <c r="A1781" s="1328" t="s">
        <v>3555</v>
      </c>
      <c r="B1781" s="692" t="s">
        <v>3548</v>
      </c>
      <c r="C1781" s="693" t="str">
        <f t="shared" si="294"/>
        <v>深圳新阳蓝光能源管理科技股份有限公司</v>
      </c>
      <c r="D1781" s="1329" t="s">
        <v>3555</v>
      </c>
      <c r="E1781" s="1336" t="s">
        <v>3556</v>
      </c>
      <c r="F1781" s="1330"/>
      <c r="G1781" s="1330"/>
      <c r="H1781" s="1330"/>
      <c r="I1781" s="1330"/>
      <c r="J1781" s="1330"/>
      <c r="K1781" s="1330"/>
      <c r="L1781" s="919" t="s">
        <v>2966</v>
      </c>
      <c r="X1781" s="768" t="b">
        <f t="shared" si="295"/>
        <v>1</v>
      </c>
    </row>
    <row r="1782" ht="15" customHeight="1" outlineLevel="2" spans="1:24">
      <c r="A1782" s="1328" t="s">
        <v>993</v>
      </c>
      <c r="B1782" s="692" t="s">
        <v>3548</v>
      </c>
      <c r="C1782" s="693" t="str">
        <f t="shared" si="294"/>
        <v>深圳新阳蓝光能源管理科技股份有限公司</v>
      </c>
      <c r="D1782" s="1329" t="s">
        <v>3555</v>
      </c>
      <c r="E1782" s="1332" t="s">
        <v>993</v>
      </c>
      <c r="F1782" s="1332" t="s">
        <v>3557</v>
      </c>
      <c r="G1782" s="1332" t="s">
        <v>642</v>
      </c>
      <c r="H1782" s="1332" t="s">
        <v>3558</v>
      </c>
      <c r="I1782" s="1332" t="s">
        <v>1028</v>
      </c>
      <c r="J1782" s="1332" t="s">
        <v>998</v>
      </c>
      <c r="K1782" s="1332" t="s">
        <v>3559</v>
      </c>
      <c r="L1782" s="900" t="s">
        <v>3101</v>
      </c>
      <c r="X1782" s="768" t="b">
        <f t="shared" si="295"/>
        <v>1</v>
      </c>
    </row>
    <row r="1783" ht="15" customHeight="1" outlineLevel="2" spans="2:24">
      <c r="B1783" s="692" t="s">
        <v>3548</v>
      </c>
      <c r="C1783" s="693" t="str">
        <f t="shared" si="294"/>
        <v>深圳新阳蓝光能源管理科技股份有限公司</v>
      </c>
      <c r="D1783" s="1329" t="s">
        <v>3555</v>
      </c>
      <c r="E1783" s="1337"/>
      <c r="F1783" s="1338"/>
      <c r="G1783" s="1339"/>
      <c r="H1783" s="1337"/>
      <c r="I1783" s="1337"/>
      <c r="J1783" s="1349"/>
      <c r="K1783" s="1337"/>
      <c r="X1783" s="768" t="b">
        <f t="shared" si="295"/>
        <v>1</v>
      </c>
    </row>
    <row r="1784" ht="15" customHeight="1" outlineLevel="2" spans="2:24">
      <c r="B1784" s="692" t="s">
        <v>3548</v>
      </c>
      <c r="C1784" s="693" t="str">
        <f t="shared" si="294"/>
        <v>深圳新阳蓝光能源管理科技股份有限公司</v>
      </c>
      <c r="D1784" s="1329" t="s">
        <v>3555</v>
      </c>
      <c r="E1784" s="1337"/>
      <c r="F1784" s="1338"/>
      <c r="G1784" s="1339"/>
      <c r="H1784" s="1337"/>
      <c r="I1784" s="1337"/>
      <c r="J1784" s="1349"/>
      <c r="K1784" s="1337"/>
      <c r="X1784" s="768" t="b">
        <f t="shared" si="295"/>
        <v>1</v>
      </c>
    </row>
    <row r="1785" ht="15" customHeight="1" outlineLevel="2" spans="2:24">
      <c r="B1785" s="692" t="s">
        <v>3548</v>
      </c>
      <c r="C1785" s="693" t="str">
        <f t="shared" si="294"/>
        <v>深圳新阳蓝光能源管理科技股份有限公司</v>
      </c>
      <c r="D1785" s="1329" t="s">
        <v>3555</v>
      </c>
      <c r="E1785" s="1337"/>
      <c r="F1785" s="1338"/>
      <c r="G1785" s="1339"/>
      <c r="H1785" s="1337"/>
      <c r="I1785" s="1337"/>
      <c r="J1785" s="1349"/>
      <c r="K1785" s="1337"/>
      <c r="X1785" s="768" t="b">
        <f t="shared" si="295"/>
        <v>1</v>
      </c>
    </row>
    <row r="1786" ht="15" customHeight="1" outlineLevel="2" spans="2:24">
      <c r="B1786" s="692" t="s">
        <v>3548</v>
      </c>
      <c r="C1786" s="693" t="str">
        <f t="shared" si="294"/>
        <v>深圳新阳蓝光能源管理科技股份有限公司</v>
      </c>
      <c r="D1786" s="1329" t="s">
        <v>3555</v>
      </c>
      <c r="E1786" s="1337"/>
      <c r="F1786" s="1338"/>
      <c r="G1786" s="1339"/>
      <c r="H1786" s="1337"/>
      <c r="I1786" s="1337"/>
      <c r="J1786" s="1349"/>
      <c r="K1786" s="1337"/>
      <c r="X1786" s="768" t="b">
        <f t="shared" si="295"/>
        <v>1</v>
      </c>
    </row>
    <row r="1787" ht="15" customHeight="1" outlineLevel="2" spans="2:24">
      <c r="B1787" s="692" t="s">
        <v>3548</v>
      </c>
      <c r="C1787" s="693" t="str">
        <f t="shared" si="294"/>
        <v>深圳新阳蓝光能源管理科技股份有限公司</v>
      </c>
      <c r="D1787" s="1329" t="s">
        <v>3555</v>
      </c>
      <c r="E1787" s="1337"/>
      <c r="F1787" s="1338"/>
      <c r="G1787" s="1339"/>
      <c r="H1787" s="1337"/>
      <c r="I1787" s="1337"/>
      <c r="J1787" s="1349"/>
      <c r="K1787" s="1337"/>
      <c r="X1787" s="768" t="b">
        <f t="shared" si="295"/>
        <v>1</v>
      </c>
    </row>
    <row r="1788" ht="15" customHeight="1" outlineLevel="2" spans="2:24">
      <c r="B1788" s="692" t="s">
        <v>3548</v>
      </c>
      <c r="C1788" s="693" t="str">
        <f t="shared" si="294"/>
        <v>深圳新阳蓝光能源管理科技股份有限公司</v>
      </c>
      <c r="D1788" s="1329" t="s">
        <v>3555</v>
      </c>
      <c r="E1788" s="1337"/>
      <c r="F1788" s="1338"/>
      <c r="G1788" s="1339"/>
      <c r="H1788" s="1337"/>
      <c r="I1788" s="1337"/>
      <c r="J1788" s="1349"/>
      <c r="K1788" s="1337"/>
      <c r="X1788" s="768" t="b">
        <f t="shared" si="295"/>
        <v>1</v>
      </c>
    </row>
    <row r="1789" ht="15" customHeight="1" outlineLevel="2" spans="1:24">
      <c r="A1789" s="1328" t="s">
        <v>2021</v>
      </c>
      <c r="B1789" s="692" t="s">
        <v>3548</v>
      </c>
      <c r="C1789" s="693" t="str">
        <f t="shared" si="294"/>
        <v>深圳新阳蓝光能源管理科技股份有限公司</v>
      </c>
      <c r="D1789" s="1329" t="s">
        <v>3555</v>
      </c>
      <c r="E1789" s="1340" t="s">
        <v>2021</v>
      </c>
      <c r="F1789" s="1341">
        <f>SUM(F1783:F1788)</f>
        <v>0</v>
      </c>
      <c r="G1789" s="1342"/>
      <c r="H1789" s="1333"/>
      <c r="I1789" s="1333"/>
      <c r="J1789" s="1350"/>
      <c r="K1789" s="1333"/>
      <c r="X1789" s="768" t="b">
        <f t="shared" si="295"/>
        <v>1</v>
      </c>
    </row>
    <row r="1790" ht="15" customHeight="1" outlineLevel="2" spans="2:24">
      <c r="B1790" s="692" t="s">
        <v>3548</v>
      </c>
      <c r="C1790" s="693" t="str">
        <f t="shared" si="294"/>
        <v>深圳新阳蓝光能源管理科技股份有限公司</v>
      </c>
      <c r="D1790" s="1329" t="s">
        <v>3555</v>
      </c>
      <c r="E1790" s="1343"/>
      <c r="F1790" s="1344"/>
      <c r="G1790" s="1345"/>
      <c r="H1790" s="1343"/>
      <c r="I1790" s="1343"/>
      <c r="J1790" s="1351"/>
      <c r="K1790" s="1343"/>
      <c r="X1790" s="768" t="b">
        <f t="shared" si="295"/>
        <v>1</v>
      </c>
    </row>
    <row r="1791" ht="15" customHeight="1" outlineLevel="2" spans="1:24">
      <c r="A1791" s="1328" t="s">
        <v>3560</v>
      </c>
      <c r="B1791" s="692" t="s">
        <v>3548</v>
      </c>
      <c r="C1791" s="693" t="str">
        <f t="shared" si="294"/>
        <v>深圳新阳蓝光能源管理科技股份有限公司</v>
      </c>
      <c r="D1791" s="1329" t="s">
        <v>3560</v>
      </c>
      <c r="E1791" s="1037" t="s">
        <v>3561</v>
      </c>
      <c r="F1791" s="1344"/>
      <c r="G1791" s="1345"/>
      <c r="H1791" s="1343"/>
      <c r="I1791" s="1343"/>
      <c r="J1791" s="1351"/>
      <c r="K1791" s="1343"/>
      <c r="X1791" s="768" t="b">
        <f t="shared" si="295"/>
        <v>1</v>
      </c>
    </row>
    <row r="1792" ht="15" customHeight="1" outlineLevel="2" spans="1:24">
      <c r="A1792" s="1328" t="s">
        <v>2809</v>
      </c>
      <c r="B1792" s="692" t="s">
        <v>3548</v>
      </c>
      <c r="C1792" s="693" t="str">
        <f t="shared" si="294"/>
        <v>深圳新阳蓝光能源管理科技股份有限公司</v>
      </c>
      <c r="D1792" s="1329" t="s">
        <v>3560</v>
      </c>
      <c r="E1792" s="1037" t="s">
        <v>2829</v>
      </c>
      <c r="F1792" s="1346"/>
      <c r="G1792" s="1347"/>
      <c r="H1792" s="1348"/>
      <c r="I1792" s="1343"/>
      <c r="J1792" s="1351"/>
      <c r="K1792" s="1343"/>
      <c r="X1792" s="768" t="b">
        <f t="shared" si="295"/>
        <v>1</v>
      </c>
    </row>
    <row r="1793" ht="15" customHeight="1" outlineLevel="2" spans="2:24">
      <c r="B1793" s="692" t="s">
        <v>3548</v>
      </c>
      <c r="C1793" s="693" t="str">
        <f t="shared" si="294"/>
        <v>深圳新阳蓝光能源管理科技股份有限公司</v>
      </c>
      <c r="D1793" s="1329"/>
      <c r="E1793" s="1037"/>
      <c r="F1793" s="715"/>
      <c r="G1793" s="715"/>
      <c r="H1793" s="1330"/>
      <c r="I1793" s="1330"/>
      <c r="J1793" s="1330"/>
      <c r="K1793" s="1330"/>
      <c r="X1793" s="768" t="b">
        <f t="shared" si="295"/>
        <v>1</v>
      </c>
    </row>
    <row r="1794" ht="15" customHeight="1" outlineLevel="2" spans="1:24">
      <c r="A1794" s="1328" t="s">
        <v>2809</v>
      </c>
      <c r="B1794" s="692" t="s">
        <v>3548</v>
      </c>
      <c r="C1794" s="693" t="str">
        <f t="shared" si="294"/>
        <v>深圳新阳蓝光能源管理科技股份有限公司</v>
      </c>
      <c r="D1794" s="1329"/>
      <c r="E1794" s="1037" t="s">
        <v>2829</v>
      </c>
      <c r="F1794" s="736"/>
      <c r="G1794" s="736"/>
      <c r="H1794" s="1355"/>
      <c r="I1794" s="1330"/>
      <c r="J1794" s="1330"/>
      <c r="K1794" s="1330"/>
      <c r="X1794" s="768" t="b">
        <f t="shared" si="295"/>
        <v>1</v>
      </c>
    </row>
    <row r="1795" ht="15" customHeight="1" outlineLevel="2" spans="2:24">
      <c r="B1795" s="692" t="s">
        <v>3548</v>
      </c>
      <c r="C1795" s="693" t="str">
        <f t="shared" si="294"/>
        <v>深圳新阳蓝光能源管理科技股份有限公司</v>
      </c>
      <c r="D1795" s="1329"/>
      <c r="E1795" s="1037"/>
      <c r="F1795" s="715"/>
      <c r="G1795" s="715"/>
      <c r="H1795" s="1330"/>
      <c r="I1795" s="1330"/>
      <c r="J1795" s="1330"/>
      <c r="K1795" s="1330"/>
      <c r="X1795" s="768" t="b">
        <f t="shared" si="295"/>
        <v>1</v>
      </c>
    </row>
    <row r="1796" spans="1:24">
      <c r="A1796" s="1356" t="s">
        <v>2204</v>
      </c>
      <c r="B1796" s="692" t="s">
        <v>3562</v>
      </c>
      <c r="C1796" s="693" t="str">
        <f t="shared" si="294"/>
        <v>深圳新阳蓝光能源管理科技股份有限公司</v>
      </c>
      <c r="D1796" s="1357" t="s">
        <v>2204</v>
      </c>
      <c r="E1796" s="70" t="s">
        <v>3563</v>
      </c>
      <c r="F1796" s="1358"/>
      <c r="G1796" s="1358"/>
      <c r="X1796" s="768" t="b">
        <f t="shared" si="295"/>
        <v>1</v>
      </c>
    </row>
    <row r="1797" outlineLevel="2" spans="1:24">
      <c r="A1797" s="1356" t="s">
        <v>315</v>
      </c>
      <c r="B1797" s="692" t="s">
        <v>3562</v>
      </c>
      <c r="C1797" s="693" t="str">
        <f t="shared" si="294"/>
        <v>深圳新阳蓝光能源管理科技股份有限公司</v>
      </c>
      <c r="D1797" s="1357" t="s">
        <v>2204</v>
      </c>
      <c r="E1797" s="1359" t="s">
        <v>3564</v>
      </c>
      <c r="F1797" s="1359" t="s">
        <v>374</v>
      </c>
      <c r="G1797" s="1359" t="s">
        <v>2011</v>
      </c>
      <c r="X1797" s="768" t="b">
        <f t="shared" si="295"/>
        <v>1</v>
      </c>
    </row>
    <row r="1798" outlineLevel="2" spans="1:24">
      <c r="A1798" s="1356" t="s">
        <v>1007</v>
      </c>
      <c r="B1798" s="692" t="s">
        <v>3562</v>
      </c>
      <c r="C1798" s="693" t="str">
        <f t="shared" si="294"/>
        <v>深圳新阳蓝光能源管理科技股份有限公司</v>
      </c>
      <c r="D1798" s="1357" t="s">
        <v>2204</v>
      </c>
      <c r="E1798" s="1360" t="s">
        <v>1007</v>
      </c>
      <c r="F1798" s="136"/>
      <c r="G1798" s="743">
        <f>报表附注合并期初用!E1586</f>
        <v>0</v>
      </c>
      <c r="X1798" s="768" t="b">
        <f t="shared" si="295"/>
        <v>1</v>
      </c>
    </row>
    <row r="1799" ht="22.5" outlineLevel="2" spans="1:24">
      <c r="A1799" s="1356" t="s">
        <v>1009</v>
      </c>
      <c r="B1799" s="692" t="s">
        <v>3562</v>
      </c>
      <c r="C1799" s="693" t="str">
        <f t="shared" si="294"/>
        <v>深圳新阳蓝光能源管理科技股份有限公司</v>
      </c>
      <c r="D1799" s="1357" t="s">
        <v>2204</v>
      </c>
      <c r="E1799" s="1360" t="s">
        <v>1009</v>
      </c>
      <c r="F1799" s="136"/>
      <c r="G1799" s="743">
        <f>报表附注合并期初用!E1587</f>
        <v>0</v>
      </c>
      <c r="X1799" s="768" t="b">
        <f t="shared" si="295"/>
        <v>1</v>
      </c>
    </row>
    <row r="1800" outlineLevel="2" spans="1:24">
      <c r="A1800" s="1356" t="s">
        <v>1011</v>
      </c>
      <c r="B1800" s="692" t="s">
        <v>3562</v>
      </c>
      <c r="C1800" s="693" t="str">
        <f t="shared" si="294"/>
        <v>深圳新阳蓝光能源管理科技股份有限公司</v>
      </c>
      <c r="D1800" s="1357" t="s">
        <v>2204</v>
      </c>
      <c r="E1800" s="1360" t="s">
        <v>1011</v>
      </c>
      <c r="F1800" s="136"/>
      <c r="G1800" s="743">
        <f>报表附注合并期初用!E1588</f>
        <v>0</v>
      </c>
      <c r="X1800" s="768" t="b">
        <f t="shared" si="295"/>
        <v>1</v>
      </c>
    </row>
    <row r="1801" outlineLevel="2" spans="1:24">
      <c r="A1801" s="1356" t="s">
        <v>280</v>
      </c>
      <c r="B1801" s="692" t="s">
        <v>3562</v>
      </c>
      <c r="C1801" s="693" t="str">
        <f t="shared" si="294"/>
        <v>深圳新阳蓝光能源管理科技股份有限公司</v>
      </c>
      <c r="D1801" s="1357" t="s">
        <v>2204</v>
      </c>
      <c r="E1801" s="1360" t="s">
        <v>280</v>
      </c>
      <c r="F1801" s="136"/>
      <c r="G1801" s="743">
        <f>报表附注合并期初用!E1589</f>
        <v>0</v>
      </c>
      <c r="X1801" s="768" t="b">
        <f t="shared" si="295"/>
        <v>1</v>
      </c>
    </row>
    <row r="1802" outlineLevel="2" spans="1:24">
      <c r="A1802" s="1356" t="s">
        <v>347</v>
      </c>
      <c r="B1802" s="692" t="s">
        <v>3562</v>
      </c>
      <c r="C1802" s="693" t="str">
        <f t="shared" si="294"/>
        <v>深圳新阳蓝光能源管理科技股份有限公司</v>
      </c>
      <c r="D1802" s="1357" t="s">
        <v>2204</v>
      </c>
      <c r="E1802" s="1359" t="s">
        <v>3565</v>
      </c>
      <c r="F1802" s="834">
        <f>SUM(F1798:F1801)</f>
        <v>0</v>
      </c>
      <c r="G1802" s="834">
        <f>SUM(G1798:G1801)</f>
        <v>0</v>
      </c>
      <c r="X1802" s="768" t="b">
        <f t="shared" si="295"/>
        <v>1</v>
      </c>
    </row>
    <row r="1803" outlineLevel="2" spans="1:24">
      <c r="A1803" s="1356" t="s">
        <v>1723</v>
      </c>
      <c r="B1803" s="692" t="s">
        <v>3562</v>
      </c>
      <c r="C1803" s="693" t="str">
        <f t="shared" si="294"/>
        <v>深圳新阳蓝光能源管理科技股份有限公司</v>
      </c>
      <c r="D1803" s="1357" t="s">
        <v>2204</v>
      </c>
      <c r="E1803" s="1361" t="s">
        <v>1723</v>
      </c>
      <c r="F1803" s="93">
        <f>审定资负表!G8</f>
        <v>0</v>
      </c>
      <c r="G1803" s="93">
        <f>审定资负表!H8</f>
        <v>0</v>
      </c>
      <c r="X1803" s="768" t="b">
        <f t="shared" si="295"/>
        <v>1</v>
      </c>
    </row>
    <row r="1804" outlineLevel="1" spans="1:24">
      <c r="A1804" s="1356" t="s">
        <v>1395</v>
      </c>
      <c r="B1804" s="692" t="s">
        <v>3562</v>
      </c>
      <c r="C1804" s="693" t="str">
        <f t="shared" si="294"/>
        <v>深圳新阳蓝光能源管理科技股份有限公司</v>
      </c>
      <c r="D1804" s="1357" t="s">
        <v>2204</v>
      </c>
      <c r="E1804" s="1361" t="s">
        <v>1395</v>
      </c>
      <c r="F1804" s="92">
        <f>ROUND(F1802-F1803,2)</f>
        <v>0</v>
      </c>
      <c r="G1804" s="92">
        <f>ROUND(G1802-G1803,2)</f>
        <v>0</v>
      </c>
      <c r="X1804" s="768" t="b">
        <f t="shared" si="295"/>
        <v>1</v>
      </c>
    </row>
    <row r="1805" outlineLevel="2" spans="2:24">
      <c r="B1805" s="692" t="s">
        <v>3562</v>
      </c>
      <c r="C1805" s="693" t="str">
        <f t="shared" si="294"/>
        <v>深圳新阳蓝光能源管理科技股份有限公司</v>
      </c>
      <c r="D1805" s="1357" t="s">
        <v>2204</v>
      </c>
      <c r="E1805" s="1362"/>
      <c r="X1805" s="768" t="b">
        <f t="shared" si="295"/>
        <v>1</v>
      </c>
    </row>
    <row r="1806" outlineLevel="2" spans="1:24">
      <c r="A1806" s="1356" t="s">
        <v>3566</v>
      </c>
      <c r="B1806" s="692" t="s">
        <v>3562</v>
      </c>
      <c r="C1806" s="693" t="str">
        <f t="shared" si="294"/>
        <v>深圳新阳蓝光能源管理科技股份有限公司</v>
      </c>
      <c r="D1806" s="1357" t="s">
        <v>3566</v>
      </c>
      <c r="E1806" s="153" t="s">
        <v>3567</v>
      </c>
      <c r="G1806" s="715"/>
      <c r="X1806" s="768" t="b">
        <f t="shared" si="295"/>
        <v>1</v>
      </c>
    </row>
    <row r="1807" outlineLevel="2" spans="1:24">
      <c r="A1807" s="1356" t="s">
        <v>2809</v>
      </c>
      <c r="B1807" s="692" t="s">
        <v>3562</v>
      </c>
      <c r="C1807" s="693" t="str">
        <f t="shared" si="294"/>
        <v>深圳新阳蓝光能源管理科技股份有限公司</v>
      </c>
      <c r="D1807" s="1357" t="s">
        <v>3566</v>
      </c>
      <c r="E1807" s="153" t="s">
        <v>2829</v>
      </c>
      <c r="F1807" s="1363"/>
      <c r="G1807" s="1363"/>
      <c r="X1807" s="768" t="b">
        <f t="shared" si="295"/>
        <v>1</v>
      </c>
    </row>
    <row r="1808" outlineLevel="2" spans="2:24">
      <c r="B1808" s="692" t="s">
        <v>3562</v>
      </c>
      <c r="C1808" s="693" t="str">
        <f t="shared" si="294"/>
        <v>深圳新阳蓝光能源管理科技股份有限公司</v>
      </c>
      <c r="D1808" s="1357" t="s">
        <v>3566</v>
      </c>
      <c r="E1808" s="1362"/>
      <c r="G1808" s="715"/>
      <c r="X1808" s="768" t="b">
        <f t="shared" si="295"/>
        <v>1</v>
      </c>
    </row>
    <row r="1809" spans="1:24">
      <c r="A1809" s="1364" t="s">
        <v>2205</v>
      </c>
      <c r="B1809" s="692" t="s">
        <v>3568</v>
      </c>
      <c r="C1809" s="693" t="str">
        <f t="shared" si="294"/>
        <v>深圳新阳蓝光能源管理科技股份有限公司</v>
      </c>
      <c r="D1809" s="1365" t="s">
        <v>2205</v>
      </c>
      <c r="E1809" s="70" t="s">
        <v>3569</v>
      </c>
      <c r="F1809" s="1366"/>
      <c r="G1809" s="1164" t="s">
        <v>3471</v>
      </c>
      <c r="X1809" s="768" t="b">
        <f t="shared" si="295"/>
        <v>1</v>
      </c>
    </row>
    <row r="1810" outlineLevel="2" spans="1:24">
      <c r="A1810" s="1364" t="s">
        <v>391</v>
      </c>
      <c r="B1810" s="692" t="s">
        <v>3568</v>
      </c>
      <c r="C1810" s="693" t="str">
        <f t="shared" si="294"/>
        <v>深圳新阳蓝光能源管理科技股份有限公司</v>
      </c>
      <c r="D1810" s="1365" t="s">
        <v>2205</v>
      </c>
      <c r="E1810" s="1367" t="s">
        <v>391</v>
      </c>
      <c r="F1810" s="1367" t="s">
        <v>316</v>
      </c>
      <c r="G1810" s="1367" t="s">
        <v>2020</v>
      </c>
      <c r="X1810" s="768" t="b">
        <f t="shared" si="295"/>
        <v>1</v>
      </c>
    </row>
    <row r="1811" outlineLevel="2" spans="1:24">
      <c r="A1811" s="1364" t="s">
        <v>392</v>
      </c>
      <c r="B1811" s="692" t="s">
        <v>3568</v>
      </c>
      <c r="C1811" s="693" t="str">
        <f t="shared" si="294"/>
        <v>深圳新阳蓝光能源管理科技股份有限公司</v>
      </c>
      <c r="D1811" s="1365" t="s">
        <v>2205</v>
      </c>
      <c r="E1811" s="1368" t="s">
        <v>392</v>
      </c>
      <c r="F1811" s="136">
        <v>4117111</v>
      </c>
      <c r="G1811" s="743">
        <f>报表附注合并期初用!E1601</f>
        <v>7000000</v>
      </c>
      <c r="X1811" s="768" t="b">
        <f t="shared" si="295"/>
        <v>1</v>
      </c>
    </row>
    <row r="1812" outlineLevel="2" spans="1:24">
      <c r="A1812" s="1364" t="s">
        <v>394</v>
      </c>
      <c r="B1812" s="692" t="s">
        <v>3568</v>
      </c>
      <c r="C1812" s="693" t="str">
        <f t="shared" si="294"/>
        <v>深圳新阳蓝光能源管理科技股份有限公司</v>
      </c>
      <c r="D1812" s="1365" t="s">
        <v>2205</v>
      </c>
      <c r="E1812" s="1368" t="s">
        <v>394</v>
      </c>
      <c r="F1812" s="136"/>
      <c r="G1812" s="743">
        <f>报表附注合并期初用!E1602</f>
        <v>0</v>
      </c>
      <c r="X1812" s="768" t="b">
        <f t="shared" si="295"/>
        <v>1</v>
      </c>
    </row>
    <row r="1813" outlineLevel="2" spans="2:24">
      <c r="B1813" s="692"/>
      <c r="C1813" s="745"/>
      <c r="D1813" s="1365"/>
      <c r="E1813" s="1368" t="s">
        <v>2206</v>
      </c>
      <c r="F1813" s="136"/>
      <c r="G1813" s="743">
        <f>报表附注合并期初用!E1603</f>
        <v>0</v>
      </c>
      <c r="X1813" s="769"/>
    </row>
    <row r="1814" outlineLevel="2" spans="2:24">
      <c r="B1814" s="692"/>
      <c r="C1814" s="745"/>
      <c r="D1814" s="1365"/>
      <c r="E1814" s="1368" t="s">
        <v>2207</v>
      </c>
      <c r="F1814" s="136"/>
      <c r="G1814" s="743">
        <f>报表附注合并期初用!E1604</f>
        <v>0</v>
      </c>
      <c r="X1814" s="769"/>
    </row>
    <row r="1815" outlineLevel="2" spans="2:24">
      <c r="B1815" s="692"/>
      <c r="C1815" s="745"/>
      <c r="D1815" s="1365"/>
      <c r="E1815" s="1368" t="s">
        <v>280</v>
      </c>
      <c r="F1815" s="136"/>
      <c r="G1815" s="743">
        <f>报表附注合并期初用!E1605</f>
        <v>0</v>
      </c>
      <c r="X1815" s="769"/>
    </row>
    <row r="1816" outlineLevel="2" spans="1:24">
      <c r="A1816" s="1364" t="s">
        <v>2021</v>
      </c>
      <c r="B1816" s="692" t="s">
        <v>3568</v>
      </c>
      <c r="C1816" s="693" t="str">
        <f t="shared" ref="C1816:C1879" si="296">$G$1</f>
        <v>深圳新阳蓝光能源管理科技股份有限公司</v>
      </c>
      <c r="D1816" s="1365" t="s">
        <v>2205</v>
      </c>
      <c r="E1816" s="1368" t="s">
        <v>2021</v>
      </c>
      <c r="F1816" s="1369">
        <f>SUM(F1811:F1815)</f>
        <v>4117111</v>
      </c>
      <c r="G1816" s="1369">
        <f>SUM(G1811:G1815)</f>
        <v>7000000</v>
      </c>
      <c r="X1816" s="768" t="b">
        <f t="shared" ref="X1816:X1879" si="297">EXACT(A1816,E1816)</f>
        <v>1</v>
      </c>
    </row>
    <row r="1817" outlineLevel="2" spans="1:24">
      <c r="A1817" s="1364" t="s">
        <v>1723</v>
      </c>
      <c r="B1817" s="692" t="s">
        <v>3568</v>
      </c>
      <c r="C1817" s="693" t="str">
        <f t="shared" si="296"/>
        <v>深圳新阳蓝光能源管理科技股份有限公司</v>
      </c>
      <c r="D1817" s="1365" t="s">
        <v>2205</v>
      </c>
      <c r="E1817" s="1361" t="s">
        <v>1723</v>
      </c>
      <c r="F1817" s="1370">
        <f>审定资负表!G9</f>
        <v>4117111</v>
      </c>
      <c r="G1817" s="1370">
        <f>审定资负表!H9</f>
        <v>7000000</v>
      </c>
      <c r="X1817" s="768" t="b">
        <f t="shared" si="297"/>
        <v>1</v>
      </c>
    </row>
    <row r="1818" outlineLevel="1" collapsed="1" spans="1:24">
      <c r="A1818" s="1364" t="s">
        <v>1395</v>
      </c>
      <c r="B1818" s="692" t="s">
        <v>3568</v>
      </c>
      <c r="C1818" s="693" t="str">
        <f t="shared" si="296"/>
        <v>深圳新阳蓝光能源管理科技股份有限公司</v>
      </c>
      <c r="D1818" s="1365" t="s">
        <v>2205</v>
      </c>
      <c r="E1818" s="1361" t="s">
        <v>1395</v>
      </c>
      <c r="F1818" s="92">
        <f>ROUND(F1816-F1817,2)</f>
        <v>0</v>
      </c>
      <c r="G1818" s="92">
        <f>ROUND(G1816-G1817,2)</f>
        <v>0</v>
      </c>
      <c r="X1818" s="768" t="b">
        <f t="shared" si="297"/>
        <v>1</v>
      </c>
    </row>
    <row r="1819" hidden="1" outlineLevel="2" spans="1:24">
      <c r="A1819" s="1371" t="s">
        <v>3570</v>
      </c>
      <c r="B1819" s="692" t="s">
        <v>3568</v>
      </c>
      <c r="C1819" s="693" t="str">
        <f t="shared" si="296"/>
        <v>深圳新阳蓝光能源管理科技股份有限公司</v>
      </c>
      <c r="D1819" s="1365" t="s">
        <v>2205</v>
      </c>
      <c r="E1819" s="1106" t="s">
        <v>3571</v>
      </c>
      <c r="F1819" s="1372"/>
      <c r="G1819" s="1372"/>
      <c r="X1819" s="768" t="b">
        <f t="shared" si="297"/>
        <v>1</v>
      </c>
    </row>
    <row r="1820" hidden="1" outlineLevel="2" spans="1:24">
      <c r="A1820" s="1371" t="s">
        <v>2809</v>
      </c>
      <c r="B1820" s="692" t="s">
        <v>3568</v>
      </c>
      <c r="C1820" s="693" t="str">
        <f t="shared" si="296"/>
        <v>深圳新阳蓝光能源管理科技股份有限公司</v>
      </c>
      <c r="D1820" s="1365" t="s">
        <v>2205</v>
      </c>
      <c r="E1820" s="1180" t="s">
        <v>3284</v>
      </c>
      <c r="F1820" s="1363"/>
      <c r="G1820" s="1363"/>
      <c r="X1820" s="768" t="b">
        <f t="shared" si="297"/>
        <v>1</v>
      </c>
    </row>
    <row r="1821" hidden="1" outlineLevel="2" spans="2:24">
      <c r="B1821" s="692" t="s">
        <v>3568</v>
      </c>
      <c r="C1821" s="693" t="str">
        <f t="shared" si="296"/>
        <v>深圳新阳蓝光能源管理科技股份有限公司</v>
      </c>
      <c r="D1821" s="1373"/>
      <c r="E1821" s="153"/>
      <c r="F1821" s="1372"/>
      <c r="G1821" s="1372"/>
      <c r="X1821" s="768" t="b">
        <f t="shared" si="297"/>
        <v>1</v>
      </c>
    </row>
    <row r="1822" hidden="1" outlineLevel="2" spans="1:24">
      <c r="A1822" s="1371" t="s">
        <v>2809</v>
      </c>
      <c r="B1822" s="692" t="s">
        <v>3568</v>
      </c>
      <c r="C1822" s="693" t="str">
        <f t="shared" si="296"/>
        <v>深圳新阳蓝光能源管理科技股份有限公司</v>
      </c>
      <c r="D1822" s="1373"/>
      <c r="E1822" s="153" t="s">
        <v>2829</v>
      </c>
      <c r="F1822" s="1363"/>
      <c r="G1822" s="1363"/>
      <c r="X1822" s="768" t="b">
        <f t="shared" si="297"/>
        <v>1</v>
      </c>
    </row>
    <row r="1823" hidden="1" outlineLevel="2" spans="2:24">
      <c r="B1823" s="692" t="s">
        <v>3568</v>
      </c>
      <c r="C1823" s="693" t="str">
        <f t="shared" si="296"/>
        <v>深圳新阳蓝光能源管理科技股份有限公司</v>
      </c>
      <c r="D1823" s="1365"/>
      <c r="E1823" s="1374"/>
      <c r="F1823" s="1375"/>
      <c r="G1823" s="1375"/>
      <c r="X1823" s="768" t="b">
        <f t="shared" si="297"/>
        <v>1</v>
      </c>
    </row>
    <row r="1824" spans="1:24">
      <c r="A1824" s="1364" t="s">
        <v>2208</v>
      </c>
      <c r="B1824" s="692" t="s">
        <v>3572</v>
      </c>
      <c r="C1824" s="693" t="str">
        <f t="shared" si="296"/>
        <v>深圳新阳蓝光能源管理科技股份有限公司</v>
      </c>
      <c r="D1824" s="1365" t="s">
        <v>2208</v>
      </c>
      <c r="E1824" s="70" t="s">
        <v>3573</v>
      </c>
      <c r="F1824" s="1375"/>
      <c r="G1824" s="1164" t="s">
        <v>3471</v>
      </c>
      <c r="X1824" s="768" t="b">
        <f t="shared" si="297"/>
        <v>1</v>
      </c>
    </row>
    <row r="1825" outlineLevel="2" spans="1:24">
      <c r="A1825" s="90" t="s">
        <v>203</v>
      </c>
      <c r="B1825" s="1376" t="s">
        <v>3572</v>
      </c>
      <c r="C1825" s="693" t="str">
        <f t="shared" si="296"/>
        <v>深圳新阳蓝光能源管理科技股份有限公司</v>
      </c>
      <c r="D1825" s="1377" t="s">
        <v>2208</v>
      </c>
      <c r="E1825" s="828" t="s">
        <v>203</v>
      </c>
      <c r="F1825" s="828"/>
      <c r="G1825" s="828"/>
      <c r="X1825" s="768" t="b">
        <f t="shared" si="297"/>
        <v>1</v>
      </c>
    </row>
    <row r="1826" outlineLevel="2" spans="1:24">
      <c r="A1826" s="90" t="s">
        <v>2907</v>
      </c>
      <c r="B1826" s="1376" t="s">
        <v>3572</v>
      </c>
      <c r="C1826" s="693" t="str">
        <f t="shared" si="296"/>
        <v>深圳新阳蓝光能源管理科技股份有限公司</v>
      </c>
      <c r="D1826" s="1377" t="s">
        <v>2208</v>
      </c>
      <c r="E1826" s="830" t="s">
        <v>2907</v>
      </c>
      <c r="F1826" s="830" t="s">
        <v>316</v>
      </c>
      <c r="G1826" s="830" t="s">
        <v>2020</v>
      </c>
      <c r="H1826" s="1378" t="s">
        <v>3574</v>
      </c>
      <c r="I1826" s="1378" t="s">
        <v>3038</v>
      </c>
      <c r="J1826" s="90" t="s">
        <v>496</v>
      </c>
      <c r="K1826" s="1385" t="s">
        <v>516</v>
      </c>
      <c r="L1826" s="1385" t="s">
        <v>1971</v>
      </c>
      <c r="X1826" s="768" t="b">
        <f t="shared" si="297"/>
        <v>1</v>
      </c>
    </row>
    <row r="1827" outlineLevel="2" spans="1:24">
      <c r="A1827" s="90" t="s">
        <v>2026</v>
      </c>
      <c r="B1827" s="1376" t="s">
        <v>3572</v>
      </c>
      <c r="C1827" s="693" t="str">
        <f t="shared" si="296"/>
        <v>深圳新阳蓝光能源管理科技股份有限公司</v>
      </c>
      <c r="D1827" s="1379" t="s">
        <v>2208</v>
      </c>
      <c r="E1827" s="830" t="s">
        <v>2921</v>
      </c>
      <c r="F1827" s="136">
        <v>39978756.83</v>
      </c>
      <c r="G1827" s="743">
        <f>报表附注合并期初用!E1618</f>
        <v>11757403.15</v>
      </c>
      <c r="H1827" s="1380"/>
      <c r="I1827" s="103"/>
      <c r="J1827" s="90" t="s">
        <v>3575</v>
      </c>
      <c r="K1827" s="838">
        <v>26316878.07</v>
      </c>
      <c r="L1827" s="838">
        <v>6232707.05</v>
      </c>
      <c r="X1827" s="768" t="b">
        <f t="shared" si="297"/>
        <v>1</v>
      </c>
    </row>
    <row r="1828" outlineLevel="2" spans="1:24">
      <c r="A1828" s="90" t="s">
        <v>2027</v>
      </c>
      <c r="B1828" s="1376" t="s">
        <v>3572</v>
      </c>
      <c r="C1828" s="693" t="str">
        <f t="shared" si="296"/>
        <v>深圳新阳蓝光能源管理科技股份有限公司</v>
      </c>
      <c r="D1828" s="1379" t="s">
        <v>2208</v>
      </c>
      <c r="E1828" s="830" t="s">
        <v>2923</v>
      </c>
      <c r="F1828" s="136">
        <v>451107.24</v>
      </c>
      <c r="G1828" s="743">
        <f>报表附注合并期初用!E1619</f>
        <v>4531807.69</v>
      </c>
      <c r="H1828" s="957" t="str">
        <f>IF(F1828&lt;=G1827,"合理","1-2年账不合理")</f>
        <v>合理</v>
      </c>
      <c r="I1828" s="103"/>
      <c r="J1828" s="90" t="s">
        <v>3576</v>
      </c>
      <c r="K1828" s="838">
        <v>9212075.28</v>
      </c>
      <c r="L1828" s="838">
        <v>47829.98</v>
      </c>
      <c r="X1828" s="768" t="b">
        <f t="shared" si="297"/>
        <v>1</v>
      </c>
    </row>
    <row r="1829" outlineLevel="2" spans="1:24">
      <c r="A1829" s="90" t="s">
        <v>2028</v>
      </c>
      <c r="B1829" s="1376" t="s">
        <v>3572</v>
      </c>
      <c r="C1829" s="693" t="str">
        <f t="shared" si="296"/>
        <v>深圳新阳蓝光能源管理科技股份有限公司</v>
      </c>
      <c r="D1829" s="1379" t="s">
        <v>2208</v>
      </c>
      <c r="E1829" s="830" t="s">
        <v>2925</v>
      </c>
      <c r="F1829" s="136">
        <v>1277281.15</v>
      </c>
      <c r="G1829" s="743">
        <f>报表附注合并期初用!E1620</f>
        <v>79260.14</v>
      </c>
      <c r="H1829" s="957" t="str">
        <f>IF(F1829&lt;=G1828,"合理","2-3年账不合理")</f>
        <v>合理</v>
      </c>
      <c r="I1829" s="103"/>
      <c r="J1829" s="90" t="s">
        <v>3577</v>
      </c>
      <c r="K1829" s="838">
        <v>1739381.34</v>
      </c>
      <c r="L1829" s="838">
        <v>4331280</v>
      </c>
      <c r="X1829" s="768" t="b">
        <f t="shared" si="297"/>
        <v>1</v>
      </c>
    </row>
    <row r="1830" outlineLevel="2" spans="1:24">
      <c r="A1830" s="90" t="s">
        <v>2029</v>
      </c>
      <c r="B1830" s="1376" t="s">
        <v>3572</v>
      </c>
      <c r="C1830" s="693" t="str">
        <f t="shared" si="296"/>
        <v>深圳新阳蓝光能源管理科技股份有限公司</v>
      </c>
      <c r="D1830" s="1379" t="s">
        <v>2208</v>
      </c>
      <c r="E1830" s="830" t="s">
        <v>2926</v>
      </c>
      <c r="F1830" s="136"/>
      <c r="G1830" s="743">
        <f>报表附注合并期初用!E1621</f>
        <v>0</v>
      </c>
      <c r="H1830" s="957" t="str">
        <f>IF(F1830&lt;=G1829,"合理","3-4年账不合理")</f>
        <v>合理</v>
      </c>
      <c r="I1830" s="103"/>
      <c r="J1830" s="90" t="s">
        <v>3578</v>
      </c>
      <c r="K1830" s="838">
        <v>10214038.55</v>
      </c>
      <c r="L1830" s="838">
        <v>5776653.95</v>
      </c>
      <c r="X1830" s="768" t="b">
        <f t="shared" si="297"/>
        <v>1</v>
      </c>
    </row>
    <row r="1831" outlineLevel="2" spans="1:24">
      <c r="A1831" s="90" t="s">
        <v>2030</v>
      </c>
      <c r="B1831" s="1376" t="s">
        <v>3572</v>
      </c>
      <c r="C1831" s="693" t="str">
        <f t="shared" si="296"/>
        <v>深圳新阳蓝光能源管理科技股份有限公司</v>
      </c>
      <c r="D1831" s="1379" t="s">
        <v>2208</v>
      </c>
      <c r="E1831" s="830" t="s">
        <v>2928</v>
      </c>
      <c r="F1831" s="136">
        <v>0</v>
      </c>
      <c r="G1831" s="743">
        <f>报表附注合并期初用!E1622</f>
        <v>0</v>
      </c>
      <c r="H1831" s="957" t="str">
        <f>IF(F1831&lt;=G1830,"合理","3-4年账龄不合理")</f>
        <v>合理</v>
      </c>
      <c r="I1831" s="103"/>
      <c r="J1831" s="90" t="s">
        <v>1207</v>
      </c>
      <c r="K1831" s="838">
        <f>SUM(K1827:K1830)</f>
        <v>47482373.24</v>
      </c>
      <c r="L1831" s="838">
        <f>SUM(L1827:L1830)</f>
        <v>16388470.98</v>
      </c>
      <c r="X1831" s="768" t="b">
        <f t="shared" si="297"/>
        <v>1</v>
      </c>
    </row>
    <row r="1832" outlineLevel="2" spans="1:24">
      <c r="A1832" s="90" t="s">
        <v>2031</v>
      </c>
      <c r="B1832" s="1376" t="s">
        <v>3572</v>
      </c>
      <c r="C1832" s="693" t="str">
        <f t="shared" si="296"/>
        <v>深圳新阳蓝光能源管理科技股份有限公司</v>
      </c>
      <c r="D1832" s="1379" t="s">
        <v>2208</v>
      </c>
      <c r="E1832" s="830" t="s">
        <v>2929</v>
      </c>
      <c r="F1832" s="136">
        <v>0</v>
      </c>
      <c r="G1832" s="743">
        <f>报表附注合并期初用!E1623</f>
        <v>0</v>
      </c>
      <c r="H1832" s="957" t="str">
        <f>IF(F1832&lt;=(G1832+G1831),"合理","5年以上账龄不合理")</f>
        <v>合理</v>
      </c>
      <c r="I1832" s="103"/>
      <c r="J1832" s="1386" t="s">
        <v>1997</v>
      </c>
      <c r="K1832" s="1387">
        <f>K1831-F1833</f>
        <v>5775228.02000001</v>
      </c>
      <c r="L1832" s="1387">
        <f>L1831-G1833</f>
        <v>20000</v>
      </c>
      <c r="X1832" s="768" t="b">
        <f t="shared" si="297"/>
        <v>1</v>
      </c>
    </row>
    <row r="1833" outlineLevel="2" spans="1:24">
      <c r="A1833" s="90" t="s">
        <v>2021</v>
      </c>
      <c r="B1833" s="1376" t="s">
        <v>3572</v>
      </c>
      <c r="C1833" s="693" t="str">
        <f t="shared" si="296"/>
        <v>深圳新阳蓝光能源管理科技股份有限公司</v>
      </c>
      <c r="D1833" s="1377" t="s">
        <v>2208</v>
      </c>
      <c r="E1833" s="830" t="s">
        <v>2021</v>
      </c>
      <c r="F1833" s="834">
        <f>SUM(F1827:F1832)</f>
        <v>41707145.22</v>
      </c>
      <c r="G1833" s="834">
        <f>SUM(G1827:G1832)</f>
        <v>16368470.98</v>
      </c>
      <c r="J1833" s="1386"/>
      <c r="K1833" s="1387"/>
      <c r="L1833" s="1387"/>
      <c r="X1833" s="768" t="b">
        <f t="shared" si="297"/>
        <v>1</v>
      </c>
    </row>
    <row r="1834" outlineLevel="2" spans="1:24">
      <c r="A1834" s="90" t="s">
        <v>1723</v>
      </c>
      <c r="B1834" s="1376" t="s">
        <v>3572</v>
      </c>
      <c r="C1834" s="693" t="str">
        <f t="shared" si="296"/>
        <v>深圳新阳蓝光能源管理科技股份有限公司</v>
      </c>
      <c r="D1834" s="1377" t="s">
        <v>2208</v>
      </c>
      <c r="E1834" s="1361" t="s">
        <v>1723</v>
      </c>
      <c r="F1834" s="835">
        <f>审定资负表!G10</f>
        <v>41707145.22</v>
      </c>
      <c r="G1834" s="835">
        <f>审定资负表!H10</f>
        <v>16368470.98</v>
      </c>
      <c r="X1834" s="768" t="b">
        <f t="shared" si="297"/>
        <v>1</v>
      </c>
    </row>
    <row r="1835" outlineLevel="1" spans="1:24">
      <c r="A1835" s="90" t="s">
        <v>1395</v>
      </c>
      <c r="B1835" s="1381" t="s">
        <v>3572</v>
      </c>
      <c r="C1835" s="693" t="str">
        <f t="shared" si="296"/>
        <v>深圳新阳蓝光能源管理科技股份有限公司</v>
      </c>
      <c r="D1835" s="1377" t="s">
        <v>2208</v>
      </c>
      <c r="E1835" s="1361" t="s">
        <v>1395</v>
      </c>
      <c r="F1835" s="92">
        <f>ROUND(F1833-F1834,2)</f>
        <v>0</v>
      </c>
      <c r="G1835" s="92">
        <f>ROUND(G1833-G1834,2)</f>
        <v>0</v>
      </c>
      <c r="X1835" s="768" t="b">
        <f t="shared" si="297"/>
        <v>1</v>
      </c>
    </row>
    <row r="1836" outlineLevel="2" spans="2:24">
      <c r="B1836" s="1381" t="s">
        <v>3572</v>
      </c>
      <c r="C1836" s="693" t="str">
        <f t="shared" si="296"/>
        <v>深圳新阳蓝光能源管理科技股份有限公司</v>
      </c>
      <c r="D1836" s="1377" t="s">
        <v>2208</v>
      </c>
      <c r="E1836" s="894"/>
      <c r="F1836" s="715"/>
      <c r="G1836" s="715"/>
      <c r="X1836" s="768" t="b">
        <f t="shared" si="297"/>
        <v>1</v>
      </c>
    </row>
    <row r="1837" ht="13.5" customHeight="1" outlineLevel="2" spans="1:24">
      <c r="A1837" s="90" t="s">
        <v>3579</v>
      </c>
      <c r="B1837" s="1381" t="s">
        <v>3572</v>
      </c>
      <c r="C1837" s="693" t="str">
        <f t="shared" si="296"/>
        <v>深圳新阳蓝光能源管理科技股份有限公司</v>
      </c>
      <c r="D1837" s="1382" t="s">
        <v>3579</v>
      </c>
      <c r="E1837" s="153" t="s">
        <v>3580</v>
      </c>
      <c r="F1837" s="1383"/>
      <c r="G1837" s="1383"/>
      <c r="X1837" s="768" t="b">
        <f t="shared" si="297"/>
        <v>0</v>
      </c>
    </row>
    <row r="1838" ht="13.5" customHeight="1" outlineLevel="2" spans="1:24">
      <c r="A1838" s="90" t="s">
        <v>3581</v>
      </c>
      <c r="B1838" s="1381" t="s">
        <v>3572</v>
      </c>
      <c r="C1838" s="693" t="str">
        <f t="shared" si="296"/>
        <v>深圳新阳蓝光能源管理科技股份有限公司</v>
      </c>
      <c r="D1838" s="1382" t="s">
        <v>3579</v>
      </c>
      <c r="E1838" s="153" t="s">
        <v>3581</v>
      </c>
      <c r="F1838" s="1383"/>
      <c r="G1838" s="1383"/>
      <c r="L1838" s="919" t="s">
        <v>2966</v>
      </c>
      <c r="X1838" s="768" t="b">
        <f t="shared" si="297"/>
        <v>1</v>
      </c>
    </row>
    <row r="1839" ht="24.75" customHeight="1" outlineLevel="2" spans="1:24">
      <c r="A1839" s="90" t="s">
        <v>3046</v>
      </c>
      <c r="B1839" s="1381" t="s">
        <v>3572</v>
      </c>
      <c r="C1839" s="693" t="str">
        <f t="shared" si="296"/>
        <v>深圳新阳蓝光能源管理科技股份有限公司</v>
      </c>
      <c r="D1839" s="1382" t="s">
        <v>3579</v>
      </c>
      <c r="E1839" s="1031" t="s">
        <v>3046</v>
      </c>
      <c r="F1839" s="1031" t="s">
        <v>2944</v>
      </c>
      <c r="G1839" s="1031" t="s">
        <v>366</v>
      </c>
      <c r="H1839" s="1031" t="s">
        <v>3582</v>
      </c>
      <c r="I1839" s="1031" t="s">
        <v>2907</v>
      </c>
      <c r="J1839" s="1076" t="s">
        <v>3047</v>
      </c>
      <c r="K1839" s="1388" t="s">
        <v>3583</v>
      </c>
      <c r="L1839" s="900" t="s">
        <v>3101</v>
      </c>
      <c r="X1839" s="768" t="b">
        <f t="shared" si="297"/>
        <v>1</v>
      </c>
    </row>
    <row r="1840" ht="13.5" customHeight="1" outlineLevel="2" spans="2:24">
      <c r="B1840" s="1381" t="s">
        <v>3572</v>
      </c>
      <c r="C1840" s="693" t="str">
        <f t="shared" si="296"/>
        <v>深圳新阳蓝光能源管理科技股份有限公司</v>
      </c>
      <c r="D1840" s="1382" t="s">
        <v>3579</v>
      </c>
      <c r="E1840" s="148" t="s">
        <v>3584</v>
      </c>
      <c r="F1840" s="718" t="s">
        <v>3585</v>
      </c>
      <c r="G1840" s="136">
        <v>900002</v>
      </c>
      <c r="H1840" s="1384">
        <f>IFERROR(ROUND(G1840/$F$1833,4),0)</f>
        <v>0.0216</v>
      </c>
      <c r="I1840" s="719" t="s">
        <v>3586</v>
      </c>
      <c r="J1840" s="1389"/>
      <c r="K1840" s="136">
        <v>0</v>
      </c>
      <c r="X1840" s="768" t="b">
        <f t="shared" si="297"/>
        <v>0</v>
      </c>
    </row>
    <row r="1841" ht="13.5" customHeight="1" outlineLevel="2" spans="2:24">
      <c r="B1841" s="1381" t="s">
        <v>3572</v>
      </c>
      <c r="C1841" s="693" t="str">
        <f t="shared" si="296"/>
        <v>深圳新阳蓝光能源管理科技股份有限公司</v>
      </c>
      <c r="D1841" s="1382" t="s">
        <v>3579</v>
      </c>
      <c r="E1841" s="136"/>
      <c r="F1841" s="136"/>
      <c r="G1841" s="136"/>
      <c r="H1841" s="1384">
        <f t="shared" ref="H1841:H1862" si="298">IFERROR(ROUND(G1841/$F$1833,4),0)</f>
        <v>0</v>
      </c>
      <c r="I1841" s="136"/>
      <c r="J1841" s="136"/>
      <c r="K1841" s="136"/>
      <c r="X1841" s="768" t="b">
        <f t="shared" si="297"/>
        <v>1</v>
      </c>
    </row>
    <row r="1842" ht="13.5" customHeight="1" outlineLevel="2" spans="2:24">
      <c r="B1842" s="1381" t="s">
        <v>3572</v>
      </c>
      <c r="C1842" s="693" t="str">
        <f t="shared" si="296"/>
        <v>深圳新阳蓝光能源管理科技股份有限公司</v>
      </c>
      <c r="D1842" s="1382" t="s">
        <v>3579</v>
      </c>
      <c r="E1842" s="136"/>
      <c r="F1842" s="136"/>
      <c r="G1842" s="136"/>
      <c r="H1842" s="1384">
        <f t="shared" si="298"/>
        <v>0</v>
      </c>
      <c r="I1842" s="136"/>
      <c r="J1842" s="136"/>
      <c r="K1842" s="136"/>
      <c r="X1842" s="768" t="b">
        <f t="shared" si="297"/>
        <v>1</v>
      </c>
    </row>
    <row r="1843" ht="13.5" customHeight="1" outlineLevel="2" spans="2:24">
      <c r="B1843" s="1381" t="s">
        <v>3572</v>
      </c>
      <c r="C1843" s="693" t="str">
        <f t="shared" si="296"/>
        <v>深圳新阳蓝光能源管理科技股份有限公司</v>
      </c>
      <c r="D1843" s="1382" t="s">
        <v>3579</v>
      </c>
      <c r="E1843" s="136"/>
      <c r="F1843" s="136"/>
      <c r="G1843" s="136"/>
      <c r="H1843" s="1384">
        <f t="shared" si="298"/>
        <v>0</v>
      </c>
      <c r="I1843" s="136"/>
      <c r="J1843" s="136"/>
      <c r="K1843" s="136"/>
      <c r="X1843" s="768" t="b">
        <f t="shared" si="297"/>
        <v>1</v>
      </c>
    </row>
    <row r="1844" ht="13.5" customHeight="1" outlineLevel="2" spans="2:24">
      <c r="B1844" s="1381" t="s">
        <v>3572</v>
      </c>
      <c r="C1844" s="693" t="str">
        <f t="shared" si="296"/>
        <v>深圳新阳蓝光能源管理科技股份有限公司</v>
      </c>
      <c r="D1844" s="1382" t="s">
        <v>3579</v>
      </c>
      <c r="E1844" s="136"/>
      <c r="F1844" s="136"/>
      <c r="G1844" s="136"/>
      <c r="H1844" s="1384">
        <f t="shared" si="298"/>
        <v>0</v>
      </c>
      <c r="I1844" s="136"/>
      <c r="J1844" s="136"/>
      <c r="K1844" s="136"/>
      <c r="X1844" s="768" t="b">
        <f t="shared" si="297"/>
        <v>1</v>
      </c>
    </row>
    <row r="1845" ht="13.5" customHeight="1" outlineLevel="2" spans="2:24">
      <c r="B1845" s="1381" t="s">
        <v>3572</v>
      </c>
      <c r="C1845" s="693" t="str">
        <f t="shared" si="296"/>
        <v>深圳新阳蓝光能源管理科技股份有限公司</v>
      </c>
      <c r="D1845" s="1382" t="s">
        <v>3579</v>
      </c>
      <c r="E1845" s="136"/>
      <c r="F1845" s="136"/>
      <c r="G1845" s="136"/>
      <c r="H1845" s="1384">
        <f t="shared" si="298"/>
        <v>0</v>
      </c>
      <c r="I1845" s="136"/>
      <c r="J1845" s="136"/>
      <c r="K1845" s="136"/>
      <c r="X1845" s="768" t="b">
        <f t="shared" si="297"/>
        <v>1</v>
      </c>
    </row>
    <row r="1846" ht="13.5" customHeight="1" outlineLevel="2" spans="2:24">
      <c r="B1846" s="1381" t="s">
        <v>3572</v>
      </c>
      <c r="C1846" s="693" t="str">
        <f t="shared" si="296"/>
        <v>深圳新阳蓝光能源管理科技股份有限公司</v>
      </c>
      <c r="D1846" s="1382" t="s">
        <v>3579</v>
      </c>
      <c r="E1846" s="136"/>
      <c r="F1846" s="136"/>
      <c r="G1846" s="136"/>
      <c r="H1846" s="1384">
        <f t="shared" si="298"/>
        <v>0</v>
      </c>
      <c r="I1846" s="136"/>
      <c r="J1846" s="136"/>
      <c r="K1846" s="136"/>
      <c r="X1846" s="768" t="b">
        <f t="shared" si="297"/>
        <v>1</v>
      </c>
    </row>
    <row r="1847" ht="13.5" customHeight="1" outlineLevel="2" spans="2:24">
      <c r="B1847" s="1381" t="s">
        <v>3572</v>
      </c>
      <c r="C1847" s="693" t="str">
        <f t="shared" si="296"/>
        <v>深圳新阳蓝光能源管理科技股份有限公司</v>
      </c>
      <c r="D1847" s="1382" t="s">
        <v>3579</v>
      </c>
      <c r="E1847" s="136"/>
      <c r="F1847" s="136"/>
      <c r="G1847" s="136"/>
      <c r="H1847" s="1384">
        <f t="shared" si="298"/>
        <v>0</v>
      </c>
      <c r="I1847" s="136"/>
      <c r="J1847" s="136"/>
      <c r="K1847" s="136"/>
      <c r="X1847" s="768" t="b">
        <f t="shared" si="297"/>
        <v>1</v>
      </c>
    </row>
    <row r="1848" ht="13.5" customHeight="1" outlineLevel="2" spans="2:24">
      <c r="B1848" s="1381" t="s">
        <v>3572</v>
      </c>
      <c r="C1848" s="693" t="str">
        <f t="shared" si="296"/>
        <v>深圳新阳蓝光能源管理科技股份有限公司</v>
      </c>
      <c r="D1848" s="1382" t="s">
        <v>3579</v>
      </c>
      <c r="E1848" s="136"/>
      <c r="F1848" s="136"/>
      <c r="G1848" s="136"/>
      <c r="H1848" s="1384">
        <f t="shared" si="298"/>
        <v>0</v>
      </c>
      <c r="I1848" s="136"/>
      <c r="J1848" s="136"/>
      <c r="K1848" s="136"/>
      <c r="X1848" s="768" t="b">
        <f t="shared" si="297"/>
        <v>1</v>
      </c>
    </row>
    <row r="1849" ht="13.5" customHeight="1" outlineLevel="2" spans="2:24">
      <c r="B1849" s="1381" t="s">
        <v>3572</v>
      </c>
      <c r="C1849" s="693" t="str">
        <f t="shared" si="296"/>
        <v>深圳新阳蓝光能源管理科技股份有限公司</v>
      </c>
      <c r="D1849" s="1382" t="s">
        <v>3579</v>
      </c>
      <c r="E1849" s="136"/>
      <c r="F1849" s="136"/>
      <c r="G1849" s="136"/>
      <c r="H1849" s="1384">
        <f t="shared" si="298"/>
        <v>0</v>
      </c>
      <c r="I1849" s="136"/>
      <c r="J1849" s="136"/>
      <c r="K1849" s="136"/>
      <c r="X1849" s="768" t="b">
        <f t="shared" si="297"/>
        <v>1</v>
      </c>
    </row>
    <row r="1850" ht="13.5" customHeight="1" outlineLevel="2" spans="2:24">
      <c r="B1850" s="1381" t="s">
        <v>3572</v>
      </c>
      <c r="C1850" s="693" t="str">
        <f t="shared" si="296"/>
        <v>深圳新阳蓝光能源管理科技股份有限公司</v>
      </c>
      <c r="D1850" s="1382" t="s">
        <v>3579</v>
      </c>
      <c r="E1850" s="136"/>
      <c r="F1850" s="136"/>
      <c r="G1850" s="136"/>
      <c r="H1850" s="1384">
        <f t="shared" si="298"/>
        <v>0</v>
      </c>
      <c r="I1850" s="136"/>
      <c r="J1850" s="136"/>
      <c r="K1850" s="136"/>
      <c r="X1850" s="768" t="b">
        <f t="shared" si="297"/>
        <v>1</v>
      </c>
    </row>
    <row r="1851" ht="13.5" customHeight="1" outlineLevel="2" spans="2:24">
      <c r="B1851" s="1381" t="s">
        <v>3572</v>
      </c>
      <c r="C1851" s="693" t="str">
        <f t="shared" si="296"/>
        <v>深圳新阳蓝光能源管理科技股份有限公司</v>
      </c>
      <c r="D1851" s="1382" t="s">
        <v>3579</v>
      </c>
      <c r="E1851" s="136"/>
      <c r="F1851" s="136"/>
      <c r="G1851" s="136"/>
      <c r="H1851" s="1384">
        <f t="shared" si="298"/>
        <v>0</v>
      </c>
      <c r="I1851" s="136"/>
      <c r="J1851" s="136"/>
      <c r="K1851" s="136"/>
      <c r="X1851" s="768" t="b">
        <f t="shared" si="297"/>
        <v>1</v>
      </c>
    </row>
    <row r="1852" ht="13.5" customHeight="1" outlineLevel="2" spans="2:24">
      <c r="B1852" s="1381" t="s">
        <v>3572</v>
      </c>
      <c r="C1852" s="693" t="str">
        <f t="shared" si="296"/>
        <v>深圳新阳蓝光能源管理科技股份有限公司</v>
      </c>
      <c r="D1852" s="1382" t="s">
        <v>3579</v>
      </c>
      <c r="E1852" s="136"/>
      <c r="F1852" s="136"/>
      <c r="G1852" s="136"/>
      <c r="H1852" s="1384">
        <f t="shared" si="298"/>
        <v>0</v>
      </c>
      <c r="I1852" s="136"/>
      <c r="J1852" s="136"/>
      <c r="K1852" s="136"/>
      <c r="X1852" s="768" t="b">
        <f t="shared" si="297"/>
        <v>1</v>
      </c>
    </row>
    <row r="1853" ht="13.5" customHeight="1" outlineLevel="2" spans="2:24">
      <c r="B1853" s="1381" t="s">
        <v>3572</v>
      </c>
      <c r="C1853" s="693" t="str">
        <f t="shared" si="296"/>
        <v>深圳新阳蓝光能源管理科技股份有限公司</v>
      </c>
      <c r="D1853" s="1382" t="s">
        <v>3579</v>
      </c>
      <c r="E1853" s="136"/>
      <c r="F1853" s="136"/>
      <c r="G1853" s="136"/>
      <c r="H1853" s="1384">
        <f t="shared" si="298"/>
        <v>0</v>
      </c>
      <c r="I1853" s="136"/>
      <c r="J1853" s="136"/>
      <c r="K1853" s="136"/>
      <c r="X1853" s="768" t="b">
        <f t="shared" si="297"/>
        <v>1</v>
      </c>
    </row>
    <row r="1854" ht="13.5" customHeight="1" outlineLevel="2" spans="2:24">
      <c r="B1854" s="1381" t="s">
        <v>3572</v>
      </c>
      <c r="C1854" s="693" t="str">
        <f t="shared" si="296"/>
        <v>深圳新阳蓝光能源管理科技股份有限公司</v>
      </c>
      <c r="D1854" s="1382" t="s">
        <v>3579</v>
      </c>
      <c r="E1854" s="136"/>
      <c r="F1854" s="136"/>
      <c r="G1854" s="136"/>
      <c r="H1854" s="1384">
        <f t="shared" si="298"/>
        <v>0</v>
      </c>
      <c r="I1854" s="136"/>
      <c r="J1854" s="136"/>
      <c r="K1854" s="136"/>
      <c r="X1854" s="768" t="b">
        <f t="shared" si="297"/>
        <v>1</v>
      </c>
    </row>
    <row r="1855" ht="13.5" customHeight="1" outlineLevel="2" spans="2:24">
      <c r="B1855" s="1381" t="s">
        <v>3572</v>
      </c>
      <c r="C1855" s="693" t="str">
        <f t="shared" si="296"/>
        <v>深圳新阳蓝光能源管理科技股份有限公司</v>
      </c>
      <c r="D1855" s="1382" t="s">
        <v>3579</v>
      </c>
      <c r="E1855" s="136"/>
      <c r="F1855" s="136"/>
      <c r="G1855" s="136"/>
      <c r="H1855" s="1384">
        <f t="shared" si="298"/>
        <v>0</v>
      </c>
      <c r="I1855" s="136"/>
      <c r="J1855" s="136"/>
      <c r="K1855" s="136"/>
      <c r="X1855" s="768" t="b">
        <f t="shared" si="297"/>
        <v>1</v>
      </c>
    </row>
    <row r="1856" ht="13.5" customHeight="1" outlineLevel="2" spans="2:24">
      <c r="B1856" s="1381" t="s">
        <v>3572</v>
      </c>
      <c r="C1856" s="693" t="str">
        <f t="shared" si="296"/>
        <v>深圳新阳蓝光能源管理科技股份有限公司</v>
      </c>
      <c r="D1856" s="1382" t="s">
        <v>3579</v>
      </c>
      <c r="E1856" s="136"/>
      <c r="F1856" s="136"/>
      <c r="G1856" s="136"/>
      <c r="H1856" s="1384">
        <f t="shared" si="298"/>
        <v>0</v>
      </c>
      <c r="I1856" s="136"/>
      <c r="J1856" s="136"/>
      <c r="K1856" s="136"/>
      <c r="X1856" s="768" t="b">
        <f t="shared" si="297"/>
        <v>1</v>
      </c>
    </row>
    <row r="1857" ht="13.5" customHeight="1" outlineLevel="2" spans="2:24">
      <c r="B1857" s="1381" t="s">
        <v>3572</v>
      </c>
      <c r="C1857" s="693" t="str">
        <f t="shared" si="296"/>
        <v>深圳新阳蓝光能源管理科技股份有限公司</v>
      </c>
      <c r="D1857" s="1382" t="s">
        <v>3579</v>
      </c>
      <c r="E1857" s="136"/>
      <c r="F1857" s="136"/>
      <c r="G1857" s="136"/>
      <c r="H1857" s="1384">
        <f t="shared" si="298"/>
        <v>0</v>
      </c>
      <c r="I1857" s="136"/>
      <c r="J1857" s="136"/>
      <c r="K1857" s="136"/>
      <c r="X1857" s="768" t="b">
        <f t="shared" si="297"/>
        <v>1</v>
      </c>
    </row>
    <row r="1858" ht="13.5" customHeight="1" outlineLevel="2" spans="2:24">
      <c r="B1858" s="1381" t="s">
        <v>3572</v>
      </c>
      <c r="C1858" s="693" t="str">
        <f t="shared" si="296"/>
        <v>深圳新阳蓝光能源管理科技股份有限公司</v>
      </c>
      <c r="D1858" s="1382" t="s">
        <v>3579</v>
      </c>
      <c r="E1858" s="136"/>
      <c r="F1858" s="136"/>
      <c r="G1858" s="136"/>
      <c r="H1858" s="1384">
        <f t="shared" si="298"/>
        <v>0</v>
      </c>
      <c r="I1858" s="136"/>
      <c r="J1858" s="136"/>
      <c r="K1858" s="136"/>
      <c r="X1858" s="768" t="b">
        <f t="shared" si="297"/>
        <v>1</v>
      </c>
    </row>
    <row r="1859" ht="13.5" customHeight="1" outlineLevel="2" spans="2:24">
      <c r="B1859" s="1381" t="s">
        <v>3572</v>
      </c>
      <c r="C1859" s="693" t="str">
        <f t="shared" si="296"/>
        <v>深圳新阳蓝光能源管理科技股份有限公司</v>
      </c>
      <c r="D1859" s="1382" t="s">
        <v>3579</v>
      </c>
      <c r="E1859" s="136"/>
      <c r="F1859" s="136"/>
      <c r="G1859" s="136"/>
      <c r="H1859" s="1384">
        <f t="shared" si="298"/>
        <v>0</v>
      </c>
      <c r="I1859" s="136"/>
      <c r="J1859" s="136"/>
      <c r="K1859" s="136"/>
      <c r="X1859" s="768" t="b">
        <f t="shared" si="297"/>
        <v>1</v>
      </c>
    </row>
    <row r="1860" ht="13.5" customHeight="1" outlineLevel="2" spans="2:24">
      <c r="B1860" s="1381" t="s">
        <v>3572</v>
      </c>
      <c r="C1860" s="693" t="str">
        <f t="shared" si="296"/>
        <v>深圳新阳蓝光能源管理科技股份有限公司</v>
      </c>
      <c r="D1860" s="1382" t="s">
        <v>3579</v>
      </c>
      <c r="E1860" s="136"/>
      <c r="F1860" s="136"/>
      <c r="G1860" s="136"/>
      <c r="H1860" s="1384">
        <f t="shared" si="298"/>
        <v>0</v>
      </c>
      <c r="I1860" s="136"/>
      <c r="J1860" s="136"/>
      <c r="K1860" s="136"/>
      <c r="X1860" s="768" t="b">
        <f t="shared" si="297"/>
        <v>1</v>
      </c>
    </row>
    <row r="1861" ht="13.5" customHeight="1" outlineLevel="2" spans="2:24">
      <c r="B1861" s="1381" t="s">
        <v>3572</v>
      </c>
      <c r="C1861" s="693" t="str">
        <f t="shared" si="296"/>
        <v>深圳新阳蓝光能源管理科技股份有限公司</v>
      </c>
      <c r="D1861" s="1382" t="s">
        <v>3579</v>
      </c>
      <c r="E1861" s="136"/>
      <c r="F1861" s="136"/>
      <c r="G1861" s="136"/>
      <c r="H1861" s="1384">
        <f t="shared" si="298"/>
        <v>0</v>
      </c>
      <c r="I1861" s="136"/>
      <c r="J1861" s="136"/>
      <c r="K1861" s="136"/>
      <c r="X1861" s="768" t="b">
        <f t="shared" si="297"/>
        <v>1</v>
      </c>
    </row>
    <row r="1862" ht="13.5" customHeight="1" outlineLevel="2" spans="1:24">
      <c r="A1862" s="90" t="s">
        <v>2021</v>
      </c>
      <c r="B1862" s="1381" t="s">
        <v>3572</v>
      </c>
      <c r="C1862" s="693" t="str">
        <f t="shared" si="296"/>
        <v>深圳新阳蓝光能源管理科技股份有限公司</v>
      </c>
      <c r="D1862" s="1382" t="s">
        <v>3579</v>
      </c>
      <c r="E1862" s="157" t="s">
        <v>3587</v>
      </c>
      <c r="F1862" s="157"/>
      <c r="G1862" s="139">
        <f>SUM(G1840:G1861)</f>
        <v>900002</v>
      </c>
      <c r="H1862" s="1384">
        <f t="shared" si="298"/>
        <v>0.0216</v>
      </c>
      <c r="I1862" s="157"/>
      <c r="J1862" s="157"/>
      <c r="K1862" s="139">
        <f>SUM(K1840:K1861)</f>
        <v>0</v>
      </c>
      <c r="X1862" s="768" t="b">
        <f t="shared" si="297"/>
        <v>1</v>
      </c>
    </row>
    <row r="1863" outlineLevel="2" spans="2:24">
      <c r="B1863" s="1381" t="s">
        <v>3572</v>
      </c>
      <c r="C1863" s="693" t="str">
        <f t="shared" si="296"/>
        <v>深圳新阳蓝光能源管理科技股份有限公司</v>
      </c>
      <c r="D1863" s="1382" t="s">
        <v>3579</v>
      </c>
      <c r="E1863" s="1390"/>
      <c r="F1863" s="1391"/>
      <c r="G1863" s="1391"/>
      <c r="X1863" s="768" t="b">
        <f t="shared" si="297"/>
        <v>1</v>
      </c>
    </row>
    <row r="1864" outlineLevel="2" spans="2:24">
      <c r="B1864" s="1381" t="s">
        <v>3572</v>
      </c>
      <c r="C1864" s="693" t="str">
        <f t="shared" si="296"/>
        <v>深圳新阳蓝光能源管理科技股份有限公司</v>
      </c>
      <c r="D1864" s="1377" t="s">
        <v>3579</v>
      </c>
      <c r="E1864" s="894"/>
      <c r="F1864" s="715"/>
      <c r="G1864" s="715"/>
      <c r="X1864" s="768" t="b">
        <f t="shared" si="297"/>
        <v>1</v>
      </c>
    </row>
    <row r="1865" outlineLevel="2" spans="1:24">
      <c r="A1865" s="90" t="s">
        <v>3588</v>
      </c>
      <c r="B1865" s="1381" t="s">
        <v>3572</v>
      </c>
      <c r="C1865" s="693" t="str">
        <f t="shared" si="296"/>
        <v>深圳新阳蓝光能源管理科技股份有限公司</v>
      </c>
      <c r="D1865" s="1377" t="s">
        <v>3589</v>
      </c>
      <c r="E1865" s="153" t="s">
        <v>3590</v>
      </c>
      <c r="F1865" s="715"/>
      <c r="G1865" s="715"/>
      <c r="X1865" s="768" t="b">
        <f t="shared" si="297"/>
        <v>1</v>
      </c>
    </row>
    <row r="1866" outlineLevel="2" spans="1:24">
      <c r="A1866" s="90" t="s">
        <v>2473</v>
      </c>
      <c r="B1866" s="1381" t="s">
        <v>3572</v>
      </c>
      <c r="C1866" s="693" t="str">
        <f t="shared" si="296"/>
        <v>深圳新阳蓝光能源管理科技股份有限公司</v>
      </c>
      <c r="D1866" s="1377" t="s">
        <v>3589</v>
      </c>
      <c r="E1866" s="851" t="s">
        <v>2473</v>
      </c>
      <c r="F1866" s="851" t="s">
        <v>516</v>
      </c>
      <c r="G1866" s="851" t="s">
        <v>671</v>
      </c>
      <c r="X1866" s="768" t="b">
        <f t="shared" si="297"/>
        <v>1</v>
      </c>
    </row>
    <row r="1867" outlineLevel="2" spans="2:24">
      <c r="B1867" s="1381" t="s">
        <v>3572</v>
      </c>
      <c r="C1867" s="693" t="str">
        <f t="shared" si="296"/>
        <v>深圳新阳蓝光能源管理科技股份有限公司</v>
      </c>
      <c r="D1867" s="1377" t="s">
        <v>3591</v>
      </c>
      <c r="E1867" s="1294"/>
      <c r="F1867" s="1392"/>
      <c r="G1867" s="1392"/>
      <c r="X1867" s="768" t="b">
        <f t="shared" si="297"/>
        <v>1</v>
      </c>
    </row>
    <row r="1868" outlineLevel="2" spans="2:24">
      <c r="B1868" s="1381" t="s">
        <v>3572</v>
      </c>
      <c r="C1868" s="693" t="str">
        <f t="shared" si="296"/>
        <v>深圳新阳蓝光能源管理科技股份有限公司</v>
      </c>
      <c r="D1868" s="1377" t="s">
        <v>3591</v>
      </c>
      <c r="E1868" s="1294"/>
      <c r="F1868" s="1392"/>
      <c r="G1868" s="1392"/>
      <c r="X1868" s="768" t="b">
        <f t="shared" si="297"/>
        <v>1</v>
      </c>
    </row>
    <row r="1869" outlineLevel="2" spans="2:24">
      <c r="B1869" s="1381" t="s">
        <v>3572</v>
      </c>
      <c r="C1869" s="693" t="str">
        <f t="shared" si="296"/>
        <v>深圳新阳蓝光能源管理科技股份有限公司</v>
      </c>
      <c r="D1869" s="1377" t="s">
        <v>3591</v>
      </c>
      <c r="E1869" s="1294"/>
      <c r="F1869" s="1392"/>
      <c r="G1869" s="1392"/>
      <c r="X1869" s="768" t="b">
        <f t="shared" si="297"/>
        <v>1</v>
      </c>
    </row>
    <row r="1870" outlineLevel="2" spans="2:24">
      <c r="B1870" s="1381" t="s">
        <v>3572</v>
      </c>
      <c r="C1870" s="693" t="str">
        <f t="shared" si="296"/>
        <v>深圳新阳蓝光能源管理科技股份有限公司</v>
      </c>
      <c r="D1870" s="1377" t="s">
        <v>3591</v>
      </c>
      <c r="E1870" s="1294"/>
      <c r="F1870" s="1392"/>
      <c r="G1870" s="1392"/>
      <c r="X1870" s="768" t="b">
        <f t="shared" si="297"/>
        <v>1</v>
      </c>
    </row>
    <row r="1871" outlineLevel="2" spans="2:24">
      <c r="B1871" s="1381" t="s">
        <v>3572</v>
      </c>
      <c r="C1871" s="693" t="str">
        <f t="shared" si="296"/>
        <v>深圳新阳蓝光能源管理科技股份有限公司</v>
      </c>
      <c r="D1871" s="1377" t="s">
        <v>3591</v>
      </c>
      <c r="E1871" s="918"/>
      <c r="F1871" s="136"/>
      <c r="G1871" s="136"/>
      <c r="X1871" s="768" t="b">
        <f t="shared" si="297"/>
        <v>1</v>
      </c>
    </row>
    <row r="1872" outlineLevel="2" spans="2:24">
      <c r="B1872" s="1381" t="s">
        <v>3572</v>
      </c>
      <c r="C1872" s="693" t="str">
        <f t="shared" si="296"/>
        <v>深圳新阳蓝光能源管理科技股份有限公司</v>
      </c>
      <c r="D1872" s="1377" t="s">
        <v>3591</v>
      </c>
      <c r="E1872" s="918"/>
      <c r="F1872" s="136"/>
      <c r="G1872" s="136"/>
      <c r="X1872" s="768" t="b">
        <f t="shared" si="297"/>
        <v>1</v>
      </c>
    </row>
    <row r="1873" outlineLevel="2" spans="2:24">
      <c r="B1873" s="1381" t="s">
        <v>3572</v>
      </c>
      <c r="C1873" s="693" t="str">
        <f t="shared" si="296"/>
        <v>深圳新阳蓝光能源管理科技股份有限公司</v>
      </c>
      <c r="D1873" s="1377" t="s">
        <v>3591</v>
      </c>
      <c r="E1873" s="918"/>
      <c r="F1873" s="136"/>
      <c r="G1873" s="136"/>
      <c r="X1873" s="768" t="b">
        <f t="shared" si="297"/>
        <v>1</v>
      </c>
    </row>
    <row r="1874" outlineLevel="2" spans="1:24">
      <c r="A1874" s="90" t="s">
        <v>2021</v>
      </c>
      <c r="B1874" s="1381" t="s">
        <v>3572</v>
      </c>
      <c r="C1874" s="693" t="str">
        <f t="shared" si="296"/>
        <v>深圳新阳蓝光能源管理科技股份有限公司</v>
      </c>
      <c r="D1874" s="1377" t="s">
        <v>3591</v>
      </c>
      <c r="E1874" s="1393" t="s">
        <v>2021</v>
      </c>
      <c r="F1874" s="139">
        <f>SUM(F1867:F1873)</f>
        <v>0</v>
      </c>
      <c r="G1874" s="139">
        <f>SUM(G1867:G1873)</f>
        <v>0</v>
      </c>
      <c r="X1874" s="768" t="b">
        <f t="shared" si="297"/>
        <v>1</v>
      </c>
    </row>
    <row r="1875" outlineLevel="2" spans="1:24">
      <c r="A1875" s="90" t="s">
        <v>3592</v>
      </c>
      <c r="B1875" s="1381" t="s">
        <v>3572</v>
      </c>
      <c r="C1875" s="693" t="str">
        <f t="shared" si="296"/>
        <v>深圳新阳蓝光能源管理科技股份有限公司</v>
      </c>
      <c r="D1875" s="1377" t="s">
        <v>3591</v>
      </c>
      <c r="E1875" s="1106" t="s">
        <v>3592</v>
      </c>
      <c r="F1875" s="715"/>
      <c r="G1875" s="715"/>
      <c r="X1875" s="768" t="b">
        <f t="shared" si="297"/>
        <v>1</v>
      </c>
    </row>
    <row r="1876" outlineLevel="2" spans="2:24">
      <c r="B1876" s="1381" t="s">
        <v>3572</v>
      </c>
      <c r="C1876" s="693" t="str">
        <f t="shared" si="296"/>
        <v>深圳新阳蓝光能源管理科技股份有限公司</v>
      </c>
      <c r="D1876" s="1377" t="s">
        <v>3591</v>
      </c>
      <c r="E1876" s="153"/>
      <c r="F1876" s="715"/>
      <c r="G1876" s="715"/>
      <c r="X1876" s="768" t="b">
        <f t="shared" si="297"/>
        <v>1</v>
      </c>
    </row>
    <row r="1877" outlineLevel="2" spans="2:24">
      <c r="B1877" s="1381" t="s">
        <v>3572</v>
      </c>
      <c r="C1877" s="693" t="str">
        <f t="shared" si="296"/>
        <v>深圳新阳蓝光能源管理科技股份有限公司</v>
      </c>
      <c r="D1877" s="1377" t="s">
        <v>3591</v>
      </c>
      <c r="E1877" s="153"/>
      <c r="F1877" s="715"/>
      <c r="G1877" s="715"/>
      <c r="X1877" s="768" t="b">
        <f t="shared" si="297"/>
        <v>1</v>
      </c>
    </row>
    <row r="1878" outlineLevel="2" spans="2:24">
      <c r="B1878" s="1381" t="s">
        <v>3572</v>
      </c>
      <c r="C1878" s="693" t="str">
        <f t="shared" si="296"/>
        <v>深圳新阳蓝光能源管理科技股份有限公司</v>
      </c>
      <c r="D1878" s="1377"/>
      <c r="E1878" s="153"/>
      <c r="F1878" s="715"/>
      <c r="G1878" s="715"/>
      <c r="X1878" s="768" t="b">
        <f t="shared" si="297"/>
        <v>1</v>
      </c>
    </row>
    <row r="1879" outlineLevel="2" spans="1:24">
      <c r="A1879" s="90" t="s">
        <v>2809</v>
      </c>
      <c r="B1879" s="1381" t="s">
        <v>3572</v>
      </c>
      <c r="C1879" s="693" t="str">
        <f t="shared" si="296"/>
        <v>深圳新阳蓝光能源管理科技股份有限公司</v>
      </c>
      <c r="D1879" s="1377"/>
      <c r="E1879" s="153" t="s">
        <v>2829</v>
      </c>
      <c r="F1879" s="736"/>
      <c r="G1879" s="736"/>
      <c r="H1879" s="107"/>
      <c r="X1879" s="768" t="b">
        <f t="shared" si="297"/>
        <v>1</v>
      </c>
    </row>
    <row r="1880" hidden="1" outlineLevel="2" spans="2:24">
      <c r="B1880" s="1381" t="s">
        <v>3572</v>
      </c>
      <c r="C1880" s="693" t="str">
        <f t="shared" ref="C1880:C1943" si="299">$G$1</f>
        <v>深圳新阳蓝光能源管理科技股份有限公司</v>
      </c>
      <c r="D1880" s="1377"/>
      <c r="E1880" s="153"/>
      <c r="F1880" s="715"/>
      <c r="G1880" s="715"/>
      <c r="X1880" s="768" t="b">
        <f t="shared" ref="X1880:X1943" si="300">EXACT(A1880,E1880)</f>
        <v>1</v>
      </c>
    </row>
    <row r="1881" hidden="1" outlineLevel="2" spans="1:24">
      <c r="A1881" s="90" t="s">
        <v>3593</v>
      </c>
      <c r="B1881" s="1381" t="s">
        <v>3572</v>
      </c>
      <c r="C1881" s="693" t="str">
        <f t="shared" si="299"/>
        <v>深圳新阳蓝光能源管理科技股份有限公司</v>
      </c>
      <c r="D1881" s="1377" t="s">
        <v>3593</v>
      </c>
      <c r="E1881" s="153" t="s">
        <v>3594</v>
      </c>
      <c r="F1881" s="715"/>
      <c r="G1881" s="715"/>
      <c r="I1881" s="919" t="s">
        <v>2966</v>
      </c>
      <c r="X1881" s="768" t="b">
        <f t="shared" si="300"/>
        <v>1</v>
      </c>
    </row>
    <row r="1882" hidden="1" outlineLevel="2" spans="1:24">
      <c r="A1882" s="90" t="s">
        <v>3046</v>
      </c>
      <c r="B1882" s="1381" t="s">
        <v>3572</v>
      </c>
      <c r="C1882" s="693" t="str">
        <f t="shared" si="299"/>
        <v>深圳新阳蓝光能源管理科技股份有限公司</v>
      </c>
      <c r="D1882" s="1377" t="s">
        <v>3593</v>
      </c>
      <c r="E1882" s="1031" t="s">
        <v>3046</v>
      </c>
      <c r="F1882" s="1031" t="s">
        <v>2944</v>
      </c>
      <c r="G1882" s="1031" t="s">
        <v>366</v>
      </c>
      <c r="H1882" s="1031" t="s">
        <v>2907</v>
      </c>
      <c r="I1882" s="1031" t="s">
        <v>3595</v>
      </c>
      <c r="X1882" s="768" t="b">
        <f t="shared" si="300"/>
        <v>1</v>
      </c>
    </row>
    <row r="1883" hidden="1" outlineLevel="2" spans="2:24">
      <c r="B1883" s="1381" t="s">
        <v>3572</v>
      </c>
      <c r="C1883" s="693" t="str">
        <f t="shared" si="299"/>
        <v>深圳新阳蓝光能源管理科技股份有限公司</v>
      </c>
      <c r="D1883" s="1377" t="s">
        <v>3593</v>
      </c>
      <c r="E1883" s="719"/>
      <c r="F1883" s="719"/>
      <c r="G1883" s="719"/>
      <c r="H1883" s="719"/>
      <c r="I1883" s="5">
        <f>IFERROR(ROUND(G1883/$F$1833,4),0)</f>
        <v>0</v>
      </c>
      <c r="X1883" s="768" t="b">
        <f t="shared" si="300"/>
        <v>1</v>
      </c>
    </row>
    <row r="1884" hidden="1" outlineLevel="2" spans="2:24">
      <c r="B1884" s="1381" t="s">
        <v>3572</v>
      </c>
      <c r="C1884" s="693" t="str">
        <f t="shared" si="299"/>
        <v>深圳新阳蓝光能源管理科技股份有限公司</v>
      </c>
      <c r="D1884" s="1377" t="s">
        <v>3593</v>
      </c>
      <c r="E1884" s="719"/>
      <c r="F1884" s="719"/>
      <c r="G1884" s="719"/>
      <c r="H1884" s="719"/>
      <c r="I1884" s="5">
        <f t="shared" ref="I1884:I1888" si="301">IFERROR(ROUND(G1884/$F$1833,4),0)</f>
        <v>0</v>
      </c>
      <c r="X1884" s="768" t="b">
        <f t="shared" si="300"/>
        <v>1</v>
      </c>
    </row>
    <row r="1885" hidden="1" outlineLevel="2" spans="2:24">
      <c r="B1885" s="1381" t="s">
        <v>3572</v>
      </c>
      <c r="C1885" s="693" t="str">
        <f t="shared" si="299"/>
        <v>深圳新阳蓝光能源管理科技股份有限公司</v>
      </c>
      <c r="D1885" s="1377" t="s">
        <v>3593</v>
      </c>
      <c r="E1885" s="719"/>
      <c r="F1885" s="719"/>
      <c r="G1885" s="719"/>
      <c r="H1885" s="719"/>
      <c r="I1885" s="5">
        <f t="shared" si="301"/>
        <v>0</v>
      </c>
      <c r="X1885" s="768" t="b">
        <f t="shared" si="300"/>
        <v>1</v>
      </c>
    </row>
    <row r="1886" hidden="1" outlineLevel="2" spans="2:24">
      <c r="B1886" s="1381" t="s">
        <v>3572</v>
      </c>
      <c r="C1886" s="693" t="str">
        <f t="shared" si="299"/>
        <v>深圳新阳蓝光能源管理科技股份有限公司</v>
      </c>
      <c r="D1886" s="1377" t="s">
        <v>3593</v>
      </c>
      <c r="E1886" s="719"/>
      <c r="F1886" s="719"/>
      <c r="G1886" s="719"/>
      <c r="H1886" s="719"/>
      <c r="I1886" s="5">
        <f t="shared" si="301"/>
        <v>0</v>
      </c>
      <c r="X1886" s="768" t="b">
        <f t="shared" si="300"/>
        <v>1</v>
      </c>
    </row>
    <row r="1887" hidden="1" outlineLevel="2" spans="2:24">
      <c r="B1887" s="1381" t="s">
        <v>3572</v>
      </c>
      <c r="C1887" s="693" t="str">
        <f t="shared" si="299"/>
        <v>深圳新阳蓝光能源管理科技股份有限公司</v>
      </c>
      <c r="D1887" s="1377" t="s">
        <v>3593</v>
      </c>
      <c r="E1887" s="719"/>
      <c r="F1887" s="719"/>
      <c r="G1887" s="719"/>
      <c r="H1887" s="719"/>
      <c r="I1887" s="5">
        <f t="shared" si="301"/>
        <v>0</v>
      </c>
      <c r="X1887" s="768" t="b">
        <f t="shared" si="300"/>
        <v>1</v>
      </c>
    </row>
    <row r="1888" hidden="1" outlineLevel="2" spans="1:24">
      <c r="A1888" s="90" t="s">
        <v>2021</v>
      </c>
      <c r="B1888" s="1381" t="s">
        <v>3572</v>
      </c>
      <c r="C1888" s="693" t="str">
        <f t="shared" si="299"/>
        <v>深圳新阳蓝光能源管理科技股份有限公司</v>
      </c>
      <c r="D1888" s="1377" t="s">
        <v>3593</v>
      </c>
      <c r="E1888" s="1031" t="s">
        <v>2021</v>
      </c>
      <c r="F1888" s="1031"/>
      <c r="G1888" s="1078">
        <f>SUM(G1883:G1887)</f>
        <v>0</v>
      </c>
      <c r="H1888" s="1031"/>
      <c r="I1888" s="5">
        <f t="shared" si="301"/>
        <v>0</v>
      </c>
      <c r="X1888" s="768" t="b">
        <f t="shared" si="300"/>
        <v>1</v>
      </c>
    </row>
    <row r="1889" outlineLevel="2" spans="2:24">
      <c r="B1889" s="1381" t="s">
        <v>3572</v>
      </c>
      <c r="C1889" s="693" t="str">
        <f t="shared" si="299"/>
        <v>深圳新阳蓝光能源管理科技股份有限公司</v>
      </c>
      <c r="D1889" s="1377" t="s">
        <v>3593</v>
      </c>
      <c r="E1889" s="714"/>
      <c r="F1889" s="714"/>
      <c r="G1889" s="714"/>
      <c r="H1889" s="714"/>
      <c r="X1889" s="768" t="b">
        <f t="shared" si="300"/>
        <v>1</v>
      </c>
    </row>
    <row r="1890" spans="1:24">
      <c r="A1890" s="90" t="s">
        <v>2209</v>
      </c>
      <c r="B1890" s="1381" t="s">
        <v>3596</v>
      </c>
      <c r="C1890" s="693" t="str">
        <f t="shared" si="299"/>
        <v>深圳新阳蓝光能源管理科技股份有限公司</v>
      </c>
      <c r="D1890" s="1377" t="s">
        <v>2209</v>
      </c>
      <c r="E1890" s="70" t="s">
        <v>3597</v>
      </c>
      <c r="F1890" s="751"/>
      <c r="G1890" s="1164" t="s">
        <v>3471</v>
      </c>
      <c r="X1890" s="768" t="b">
        <f t="shared" si="300"/>
        <v>1</v>
      </c>
    </row>
    <row r="1891" outlineLevel="2" spans="1:24">
      <c r="A1891" s="90" t="s">
        <v>3598</v>
      </c>
      <c r="B1891" s="1215" t="s">
        <v>3596</v>
      </c>
      <c r="C1891" s="693" t="str">
        <f t="shared" si="299"/>
        <v>深圳新阳蓝光能源管理科技股份有限公司</v>
      </c>
      <c r="D1891" s="750" t="s">
        <v>2209</v>
      </c>
      <c r="E1891" s="894" t="s">
        <v>3598</v>
      </c>
      <c r="F1891" s="751"/>
      <c r="G1891" s="751"/>
      <c r="X1891" s="768" t="b">
        <f t="shared" si="300"/>
        <v>1</v>
      </c>
    </row>
    <row r="1892" outlineLevel="2" spans="1:24">
      <c r="A1892" s="90" t="s">
        <v>2907</v>
      </c>
      <c r="B1892" s="1215" t="s">
        <v>3596</v>
      </c>
      <c r="C1892" s="693" t="str">
        <f t="shared" si="299"/>
        <v>深圳新阳蓝光能源管理科技股份有限公司</v>
      </c>
      <c r="D1892" s="1394" t="s">
        <v>2209</v>
      </c>
      <c r="E1892" s="939" t="s">
        <v>2907</v>
      </c>
      <c r="F1892" s="939" t="s">
        <v>316</v>
      </c>
      <c r="G1892" s="939" t="s">
        <v>2020</v>
      </c>
      <c r="H1892" s="1395" t="s">
        <v>3574</v>
      </c>
      <c r="I1892" s="1395" t="s">
        <v>3038</v>
      </c>
      <c r="X1892" s="768" t="b">
        <f t="shared" si="300"/>
        <v>1</v>
      </c>
    </row>
    <row r="1893" outlineLevel="2" spans="1:24">
      <c r="A1893" s="90" t="s">
        <v>2041</v>
      </c>
      <c r="B1893" s="1215" t="s">
        <v>3596</v>
      </c>
      <c r="C1893" s="693" t="str">
        <f t="shared" si="299"/>
        <v>深圳新阳蓝光能源管理科技股份有限公司</v>
      </c>
      <c r="D1893" s="1379" t="s">
        <v>2209</v>
      </c>
      <c r="E1893" s="940" t="s">
        <v>3039</v>
      </c>
      <c r="F1893" s="136"/>
      <c r="G1893" s="743">
        <f>报表附注合并期初用!E1634</f>
        <v>4711102.57</v>
      </c>
      <c r="H1893" s="1396"/>
      <c r="I1893" s="107"/>
      <c r="X1893" s="768" t="b">
        <f t="shared" si="300"/>
        <v>1</v>
      </c>
    </row>
    <row r="1894" outlineLevel="2" spans="1:24">
      <c r="A1894" s="90" t="s">
        <v>2042</v>
      </c>
      <c r="B1894" s="1215" t="s">
        <v>3596</v>
      </c>
      <c r="C1894" s="693" t="str">
        <f t="shared" si="299"/>
        <v>深圳新阳蓝光能源管理科技股份有限公司</v>
      </c>
      <c r="D1894" s="1379" t="s">
        <v>2209</v>
      </c>
      <c r="E1894" s="940" t="s">
        <v>3040</v>
      </c>
      <c r="F1894" s="136"/>
      <c r="G1894" s="743">
        <f>报表附注合并期初用!E1635</f>
        <v>0</v>
      </c>
      <c r="H1894" s="864" t="str">
        <f>IF(F1894&lt;=G1893,"合理","1-2年账不合理")</f>
        <v>合理</v>
      </c>
      <c r="I1894" s="107"/>
      <c r="X1894" s="768" t="b">
        <f t="shared" si="300"/>
        <v>1</v>
      </c>
    </row>
    <row r="1895" outlineLevel="2" spans="1:24">
      <c r="A1895" s="90" t="s">
        <v>2043</v>
      </c>
      <c r="B1895" s="1215" t="s">
        <v>3596</v>
      </c>
      <c r="C1895" s="693" t="str">
        <f t="shared" si="299"/>
        <v>深圳新阳蓝光能源管理科技股份有限公司</v>
      </c>
      <c r="D1895" s="1379" t="s">
        <v>2209</v>
      </c>
      <c r="E1895" s="940" t="s">
        <v>3041</v>
      </c>
      <c r="F1895" s="136"/>
      <c r="G1895" s="743">
        <f>报表附注合并期初用!E1636</f>
        <v>0</v>
      </c>
      <c r="H1895" s="864" t="str">
        <f>IF(F1895&lt;=G1894,"合理","2-3年账不合理")</f>
        <v>合理</v>
      </c>
      <c r="I1895" s="107"/>
      <c r="X1895" s="768" t="b">
        <f t="shared" si="300"/>
        <v>1</v>
      </c>
    </row>
    <row r="1896" outlineLevel="2" spans="1:24">
      <c r="A1896" s="90" t="s">
        <v>2044</v>
      </c>
      <c r="B1896" s="1215" t="s">
        <v>3596</v>
      </c>
      <c r="C1896" s="693" t="str">
        <f t="shared" si="299"/>
        <v>深圳新阳蓝光能源管理科技股份有限公司</v>
      </c>
      <c r="D1896" s="1379" t="s">
        <v>2209</v>
      </c>
      <c r="E1896" s="940" t="s">
        <v>3042</v>
      </c>
      <c r="F1896" s="136"/>
      <c r="G1896" s="743">
        <f>报表附注合并期初用!E1637</f>
        <v>0</v>
      </c>
      <c r="H1896" s="864" t="str">
        <f>IF(F1896&lt;=(G1896+G1895),"合理","3年以上账不合理")</f>
        <v>合理</v>
      </c>
      <c r="I1896" s="107"/>
      <c r="X1896" s="768" t="b">
        <f t="shared" si="300"/>
        <v>1</v>
      </c>
    </row>
    <row r="1897" outlineLevel="2" spans="1:24">
      <c r="A1897" s="90" t="s">
        <v>2021</v>
      </c>
      <c r="B1897" s="1215" t="s">
        <v>3596</v>
      </c>
      <c r="C1897" s="693" t="str">
        <f t="shared" si="299"/>
        <v>深圳新阳蓝光能源管理科技股份有限公司</v>
      </c>
      <c r="D1897" s="1394" t="s">
        <v>2209</v>
      </c>
      <c r="E1897" s="939" t="s">
        <v>2021</v>
      </c>
      <c r="F1897" s="834">
        <f>SUM(F1891:F1896)</f>
        <v>0</v>
      </c>
      <c r="G1897" s="834">
        <f>SUM(G1891:G1896)</f>
        <v>4711102.57</v>
      </c>
      <c r="X1897" s="768" t="b">
        <f t="shared" si="300"/>
        <v>1</v>
      </c>
    </row>
    <row r="1898" outlineLevel="2" spans="1:24">
      <c r="A1898" s="1364" t="s">
        <v>1723</v>
      </c>
      <c r="B1898" s="692" t="s">
        <v>3596</v>
      </c>
      <c r="C1898" s="693" t="str">
        <f t="shared" si="299"/>
        <v>深圳新阳蓝光能源管理科技股份有限公司</v>
      </c>
      <c r="D1898" s="1365" t="s">
        <v>2209</v>
      </c>
      <c r="E1898" s="1361" t="s">
        <v>1723</v>
      </c>
      <c r="F1898" s="1370">
        <f>审定资负表!G11</f>
        <v>0</v>
      </c>
      <c r="G1898" s="1370">
        <f>审定资负表!H11</f>
        <v>4711102.57</v>
      </c>
      <c r="X1898" s="768" t="b">
        <f t="shared" si="300"/>
        <v>1</v>
      </c>
    </row>
    <row r="1899" outlineLevel="1" spans="1:24">
      <c r="A1899" s="1364" t="s">
        <v>1395</v>
      </c>
      <c r="B1899" s="845" t="s">
        <v>3596</v>
      </c>
      <c r="C1899" s="693" t="str">
        <f t="shared" si="299"/>
        <v>深圳新阳蓝光能源管理科技股份有限公司</v>
      </c>
      <c r="D1899" s="1397" t="s">
        <v>2209</v>
      </c>
      <c r="E1899" s="1361" t="s">
        <v>1395</v>
      </c>
      <c r="F1899" s="92">
        <f>ROUND(F1897-F1898,2)</f>
        <v>0</v>
      </c>
      <c r="G1899" s="92">
        <f>ROUND(G1897-G1898,2)</f>
        <v>0</v>
      </c>
      <c r="X1899" s="768" t="b">
        <f t="shared" si="300"/>
        <v>1</v>
      </c>
    </row>
    <row r="1900" outlineLevel="2" spans="2:24">
      <c r="B1900" s="845" t="s">
        <v>3596</v>
      </c>
      <c r="C1900" s="693" t="str">
        <f t="shared" si="299"/>
        <v>深圳新阳蓝光能源管理科技股份有限公司</v>
      </c>
      <c r="D1900" s="1397" t="s">
        <v>2209</v>
      </c>
      <c r="E1900" s="1374"/>
      <c r="F1900" s="1375"/>
      <c r="G1900" s="1375"/>
      <c r="X1900" s="768" t="b">
        <f t="shared" si="300"/>
        <v>1</v>
      </c>
    </row>
    <row r="1901" outlineLevel="2" spans="1:24">
      <c r="A1901" s="1364" t="s">
        <v>3599</v>
      </c>
      <c r="B1901" s="845" t="s">
        <v>3596</v>
      </c>
      <c r="C1901" s="693" t="str">
        <f t="shared" si="299"/>
        <v>深圳新阳蓝光能源管理科技股份有限公司</v>
      </c>
      <c r="D1901" s="1398" t="s">
        <v>3599</v>
      </c>
      <c r="E1901" s="1399" t="s">
        <v>3600</v>
      </c>
      <c r="F1901" s="1399"/>
      <c r="G1901" s="1399"/>
      <c r="X1901" s="768" t="b">
        <f t="shared" si="300"/>
        <v>1</v>
      </c>
    </row>
    <row r="1902" outlineLevel="2" spans="1:24">
      <c r="A1902" s="1364" t="s">
        <v>3601</v>
      </c>
      <c r="B1902" s="845" t="s">
        <v>3596</v>
      </c>
      <c r="C1902" s="693" t="str">
        <f t="shared" si="299"/>
        <v>深圳新阳蓝光能源管理科技股份有限公司</v>
      </c>
      <c r="D1902" s="1398" t="s">
        <v>3599</v>
      </c>
      <c r="E1902" s="1400" t="s">
        <v>3601</v>
      </c>
      <c r="F1902" s="1399"/>
      <c r="G1902" s="1399"/>
      <c r="K1902" s="919" t="s">
        <v>2966</v>
      </c>
      <c r="X1902" s="768" t="b">
        <f t="shared" si="300"/>
        <v>1</v>
      </c>
    </row>
    <row r="1903" ht="24.75" customHeight="1" outlineLevel="2" spans="1:24">
      <c r="A1903" s="90" t="s">
        <v>3046</v>
      </c>
      <c r="B1903" s="845" t="s">
        <v>3596</v>
      </c>
      <c r="C1903" s="693" t="str">
        <f t="shared" si="299"/>
        <v>深圳新阳蓝光能源管理科技股份有限公司</v>
      </c>
      <c r="D1903" s="1401" t="s">
        <v>3599</v>
      </c>
      <c r="E1903" s="1031" t="s">
        <v>3046</v>
      </c>
      <c r="F1903" s="1031" t="s">
        <v>2944</v>
      </c>
      <c r="G1903" s="1031" t="s">
        <v>366</v>
      </c>
      <c r="H1903" s="1031" t="s">
        <v>3582</v>
      </c>
      <c r="I1903" s="1031" t="s">
        <v>2907</v>
      </c>
      <c r="J1903" s="157" t="s">
        <v>3602</v>
      </c>
      <c r="K1903" s="900" t="s">
        <v>3101</v>
      </c>
      <c r="X1903" s="768" t="b">
        <f t="shared" si="300"/>
        <v>1</v>
      </c>
    </row>
    <row r="1904" ht="13.5" customHeight="1" outlineLevel="2" spans="2:24">
      <c r="B1904" s="845" t="s">
        <v>3596</v>
      </c>
      <c r="C1904" s="693" t="str">
        <f t="shared" si="299"/>
        <v>深圳新阳蓝光能源管理科技股份有限公司</v>
      </c>
      <c r="D1904" s="1401" t="s">
        <v>3599</v>
      </c>
      <c r="E1904" s="136"/>
      <c r="F1904" s="136"/>
      <c r="G1904" s="136"/>
      <c r="H1904" s="1384">
        <f>IFERROR(ROUND(G1904/$F$1897,4),0)</f>
        <v>0</v>
      </c>
      <c r="I1904" s="136"/>
      <c r="J1904" s="136"/>
      <c r="X1904" s="768" t="b">
        <f t="shared" si="300"/>
        <v>1</v>
      </c>
    </row>
    <row r="1905" ht="13.5" customHeight="1" outlineLevel="2" spans="2:24">
      <c r="B1905" s="845" t="s">
        <v>3596</v>
      </c>
      <c r="C1905" s="693" t="str">
        <f t="shared" si="299"/>
        <v>深圳新阳蓝光能源管理科技股份有限公司</v>
      </c>
      <c r="D1905" s="1401" t="s">
        <v>3599</v>
      </c>
      <c r="E1905" s="136"/>
      <c r="F1905" s="136"/>
      <c r="G1905" s="136"/>
      <c r="H1905" s="1384">
        <f t="shared" ref="H1905:H1926" si="302">IFERROR(ROUND(G1905/$F$1897,4),0)</f>
        <v>0</v>
      </c>
      <c r="I1905" s="136"/>
      <c r="J1905" s="136"/>
      <c r="X1905" s="768" t="b">
        <f t="shared" si="300"/>
        <v>1</v>
      </c>
    </row>
    <row r="1906" ht="13.5" customHeight="1" outlineLevel="2" spans="2:24">
      <c r="B1906" s="845" t="s">
        <v>3596</v>
      </c>
      <c r="C1906" s="693" t="str">
        <f t="shared" si="299"/>
        <v>深圳新阳蓝光能源管理科技股份有限公司</v>
      </c>
      <c r="D1906" s="1401" t="s">
        <v>3599</v>
      </c>
      <c r="E1906" s="136"/>
      <c r="F1906" s="136"/>
      <c r="G1906" s="136"/>
      <c r="H1906" s="1384">
        <f t="shared" si="302"/>
        <v>0</v>
      </c>
      <c r="I1906" s="136"/>
      <c r="J1906" s="136"/>
      <c r="X1906" s="768" t="b">
        <f t="shared" si="300"/>
        <v>1</v>
      </c>
    </row>
    <row r="1907" ht="13.5" customHeight="1" outlineLevel="2" spans="2:24">
      <c r="B1907" s="845" t="s">
        <v>3596</v>
      </c>
      <c r="C1907" s="693" t="str">
        <f t="shared" si="299"/>
        <v>深圳新阳蓝光能源管理科技股份有限公司</v>
      </c>
      <c r="D1907" s="1401" t="s">
        <v>3599</v>
      </c>
      <c r="E1907" s="136"/>
      <c r="F1907" s="136"/>
      <c r="G1907" s="136"/>
      <c r="H1907" s="1384">
        <f t="shared" si="302"/>
        <v>0</v>
      </c>
      <c r="I1907" s="136"/>
      <c r="J1907" s="136"/>
      <c r="X1907" s="768" t="b">
        <f t="shared" si="300"/>
        <v>1</v>
      </c>
    </row>
    <row r="1908" ht="13.5" customHeight="1" outlineLevel="2" spans="2:24">
      <c r="B1908" s="845" t="s">
        <v>3596</v>
      </c>
      <c r="C1908" s="693" t="str">
        <f t="shared" si="299"/>
        <v>深圳新阳蓝光能源管理科技股份有限公司</v>
      </c>
      <c r="D1908" s="1401" t="s">
        <v>3599</v>
      </c>
      <c r="E1908" s="136"/>
      <c r="F1908" s="136"/>
      <c r="G1908" s="136"/>
      <c r="H1908" s="1384">
        <f t="shared" si="302"/>
        <v>0</v>
      </c>
      <c r="I1908" s="136"/>
      <c r="J1908" s="136"/>
      <c r="X1908" s="768" t="b">
        <f t="shared" si="300"/>
        <v>1</v>
      </c>
    </row>
    <row r="1909" ht="13.5" customHeight="1" outlineLevel="2" spans="2:24">
      <c r="B1909" s="845" t="s">
        <v>3596</v>
      </c>
      <c r="C1909" s="693" t="str">
        <f t="shared" si="299"/>
        <v>深圳新阳蓝光能源管理科技股份有限公司</v>
      </c>
      <c r="D1909" s="1401" t="s">
        <v>3599</v>
      </c>
      <c r="E1909" s="136"/>
      <c r="F1909" s="136"/>
      <c r="G1909" s="136"/>
      <c r="H1909" s="1384">
        <f t="shared" si="302"/>
        <v>0</v>
      </c>
      <c r="I1909" s="136"/>
      <c r="J1909" s="136"/>
      <c r="X1909" s="768" t="b">
        <f t="shared" si="300"/>
        <v>1</v>
      </c>
    </row>
    <row r="1910" ht="13.5" customHeight="1" outlineLevel="2" spans="2:24">
      <c r="B1910" s="845" t="s">
        <v>3596</v>
      </c>
      <c r="C1910" s="693" t="str">
        <f t="shared" si="299"/>
        <v>深圳新阳蓝光能源管理科技股份有限公司</v>
      </c>
      <c r="D1910" s="1401" t="s">
        <v>3599</v>
      </c>
      <c r="E1910" s="136"/>
      <c r="F1910" s="136"/>
      <c r="G1910" s="136"/>
      <c r="H1910" s="1384">
        <f t="shared" si="302"/>
        <v>0</v>
      </c>
      <c r="I1910" s="136"/>
      <c r="J1910" s="136"/>
      <c r="X1910" s="768" t="b">
        <f t="shared" si="300"/>
        <v>1</v>
      </c>
    </row>
    <row r="1911" ht="13.5" customHeight="1" outlineLevel="2" spans="2:24">
      <c r="B1911" s="845" t="s">
        <v>3596</v>
      </c>
      <c r="C1911" s="693" t="str">
        <f t="shared" si="299"/>
        <v>深圳新阳蓝光能源管理科技股份有限公司</v>
      </c>
      <c r="D1911" s="1401" t="s">
        <v>3599</v>
      </c>
      <c r="E1911" s="136"/>
      <c r="F1911" s="136"/>
      <c r="G1911" s="136"/>
      <c r="H1911" s="1384">
        <f t="shared" si="302"/>
        <v>0</v>
      </c>
      <c r="I1911" s="136"/>
      <c r="J1911" s="136"/>
      <c r="X1911" s="768" t="b">
        <f t="shared" si="300"/>
        <v>1</v>
      </c>
    </row>
    <row r="1912" ht="13.5" customHeight="1" outlineLevel="2" spans="2:24">
      <c r="B1912" s="845" t="s">
        <v>3596</v>
      </c>
      <c r="C1912" s="693" t="str">
        <f t="shared" si="299"/>
        <v>深圳新阳蓝光能源管理科技股份有限公司</v>
      </c>
      <c r="D1912" s="1401" t="s">
        <v>3599</v>
      </c>
      <c r="E1912" s="136"/>
      <c r="F1912" s="136"/>
      <c r="G1912" s="136"/>
      <c r="H1912" s="1384">
        <f t="shared" si="302"/>
        <v>0</v>
      </c>
      <c r="I1912" s="136"/>
      <c r="J1912" s="136"/>
      <c r="X1912" s="768" t="b">
        <f t="shared" si="300"/>
        <v>1</v>
      </c>
    </row>
    <row r="1913" ht="13.5" customHeight="1" outlineLevel="2" spans="2:24">
      <c r="B1913" s="845" t="s">
        <v>3596</v>
      </c>
      <c r="C1913" s="693" t="str">
        <f t="shared" si="299"/>
        <v>深圳新阳蓝光能源管理科技股份有限公司</v>
      </c>
      <c r="D1913" s="1401" t="s">
        <v>3599</v>
      </c>
      <c r="E1913" s="136"/>
      <c r="F1913" s="136"/>
      <c r="G1913" s="136"/>
      <c r="H1913" s="1384">
        <f t="shared" si="302"/>
        <v>0</v>
      </c>
      <c r="I1913" s="136"/>
      <c r="J1913" s="136"/>
      <c r="X1913" s="768" t="b">
        <f t="shared" si="300"/>
        <v>1</v>
      </c>
    </row>
    <row r="1914" ht="13.5" customHeight="1" outlineLevel="2" spans="2:24">
      <c r="B1914" s="845" t="s">
        <v>3596</v>
      </c>
      <c r="C1914" s="693" t="str">
        <f t="shared" si="299"/>
        <v>深圳新阳蓝光能源管理科技股份有限公司</v>
      </c>
      <c r="D1914" s="1401" t="s">
        <v>3599</v>
      </c>
      <c r="E1914" s="136"/>
      <c r="F1914" s="136"/>
      <c r="G1914" s="136"/>
      <c r="H1914" s="1384">
        <f t="shared" si="302"/>
        <v>0</v>
      </c>
      <c r="I1914" s="136"/>
      <c r="J1914" s="136"/>
      <c r="X1914" s="768" t="b">
        <f t="shared" si="300"/>
        <v>1</v>
      </c>
    </row>
    <row r="1915" ht="13.5" customHeight="1" outlineLevel="2" spans="2:24">
      <c r="B1915" s="845" t="s">
        <v>3596</v>
      </c>
      <c r="C1915" s="693" t="str">
        <f t="shared" si="299"/>
        <v>深圳新阳蓝光能源管理科技股份有限公司</v>
      </c>
      <c r="D1915" s="1401" t="s">
        <v>3599</v>
      </c>
      <c r="E1915" s="136"/>
      <c r="F1915" s="136"/>
      <c r="G1915" s="136"/>
      <c r="H1915" s="1384">
        <f t="shared" si="302"/>
        <v>0</v>
      </c>
      <c r="I1915" s="136"/>
      <c r="J1915" s="136"/>
      <c r="X1915" s="768" t="b">
        <f t="shared" si="300"/>
        <v>1</v>
      </c>
    </row>
    <row r="1916" ht="13.5" customHeight="1" outlineLevel="2" spans="2:24">
      <c r="B1916" s="845" t="s">
        <v>3596</v>
      </c>
      <c r="C1916" s="693" t="str">
        <f t="shared" si="299"/>
        <v>深圳新阳蓝光能源管理科技股份有限公司</v>
      </c>
      <c r="D1916" s="1401" t="s">
        <v>3599</v>
      </c>
      <c r="E1916" s="136"/>
      <c r="F1916" s="136"/>
      <c r="G1916" s="136"/>
      <c r="H1916" s="1384">
        <f t="shared" si="302"/>
        <v>0</v>
      </c>
      <c r="I1916" s="136"/>
      <c r="J1916" s="136"/>
      <c r="X1916" s="768" t="b">
        <f t="shared" si="300"/>
        <v>1</v>
      </c>
    </row>
    <row r="1917" ht="13.5" customHeight="1" outlineLevel="2" spans="2:24">
      <c r="B1917" s="845" t="s">
        <v>3596</v>
      </c>
      <c r="C1917" s="693" t="str">
        <f t="shared" si="299"/>
        <v>深圳新阳蓝光能源管理科技股份有限公司</v>
      </c>
      <c r="D1917" s="1401" t="s">
        <v>3599</v>
      </c>
      <c r="E1917" s="136"/>
      <c r="F1917" s="136"/>
      <c r="G1917" s="136"/>
      <c r="H1917" s="1384">
        <f t="shared" si="302"/>
        <v>0</v>
      </c>
      <c r="I1917" s="136"/>
      <c r="J1917" s="136"/>
      <c r="X1917" s="768" t="b">
        <f t="shared" si="300"/>
        <v>1</v>
      </c>
    </row>
    <row r="1918" ht="13.5" customHeight="1" outlineLevel="2" spans="2:24">
      <c r="B1918" s="845" t="s">
        <v>3596</v>
      </c>
      <c r="C1918" s="693" t="str">
        <f t="shared" si="299"/>
        <v>深圳新阳蓝光能源管理科技股份有限公司</v>
      </c>
      <c r="D1918" s="1401" t="s">
        <v>3599</v>
      </c>
      <c r="E1918" s="136"/>
      <c r="F1918" s="136"/>
      <c r="G1918" s="136"/>
      <c r="H1918" s="1384">
        <f t="shared" si="302"/>
        <v>0</v>
      </c>
      <c r="I1918" s="136"/>
      <c r="J1918" s="136"/>
      <c r="X1918" s="768" t="b">
        <f t="shared" si="300"/>
        <v>1</v>
      </c>
    </row>
    <row r="1919" ht="13.5" customHeight="1" outlineLevel="2" spans="2:24">
      <c r="B1919" s="845" t="s">
        <v>3596</v>
      </c>
      <c r="C1919" s="693" t="str">
        <f t="shared" si="299"/>
        <v>深圳新阳蓝光能源管理科技股份有限公司</v>
      </c>
      <c r="D1919" s="1401" t="s">
        <v>3599</v>
      </c>
      <c r="E1919" s="136"/>
      <c r="F1919" s="136"/>
      <c r="G1919" s="136"/>
      <c r="H1919" s="1384">
        <f t="shared" si="302"/>
        <v>0</v>
      </c>
      <c r="I1919" s="136"/>
      <c r="J1919" s="136"/>
      <c r="X1919" s="768" t="b">
        <f t="shared" si="300"/>
        <v>1</v>
      </c>
    </row>
    <row r="1920" ht="13.5" customHeight="1" outlineLevel="2" spans="2:24">
      <c r="B1920" s="845" t="s">
        <v>3596</v>
      </c>
      <c r="C1920" s="693" t="str">
        <f t="shared" si="299"/>
        <v>深圳新阳蓝光能源管理科技股份有限公司</v>
      </c>
      <c r="D1920" s="1401" t="s">
        <v>3599</v>
      </c>
      <c r="E1920" s="136"/>
      <c r="F1920" s="136"/>
      <c r="G1920" s="136"/>
      <c r="H1920" s="1384">
        <f t="shared" si="302"/>
        <v>0</v>
      </c>
      <c r="I1920" s="136"/>
      <c r="J1920" s="136"/>
      <c r="X1920" s="768" t="b">
        <f t="shared" si="300"/>
        <v>1</v>
      </c>
    </row>
    <row r="1921" ht="13.5" customHeight="1" outlineLevel="2" spans="2:24">
      <c r="B1921" s="845" t="s">
        <v>3596</v>
      </c>
      <c r="C1921" s="693" t="str">
        <f t="shared" si="299"/>
        <v>深圳新阳蓝光能源管理科技股份有限公司</v>
      </c>
      <c r="D1921" s="1401" t="s">
        <v>3599</v>
      </c>
      <c r="E1921" s="136"/>
      <c r="F1921" s="136"/>
      <c r="G1921" s="136"/>
      <c r="H1921" s="1384">
        <f t="shared" si="302"/>
        <v>0</v>
      </c>
      <c r="I1921" s="136"/>
      <c r="J1921" s="136"/>
      <c r="X1921" s="768" t="b">
        <f t="shared" si="300"/>
        <v>1</v>
      </c>
    </row>
    <row r="1922" ht="13.5" customHeight="1" outlineLevel="2" spans="2:24">
      <c r="B1922" s="845" t="s">
        <v>3596</v>
      </c>
      <c r="C1922" s="693" t="str">
        <f t="shared" si="299"/>
        <v>深圳新阳蓝光能源管理科技股份有限公司</v>
      </c>
      <c r="D1922" s="1401" t="s">
        <v>3599</v>
      </c>
      <c r="E1922" s="136"/>
      <c r="F1922" s="136"/>
      <c r="G1922" s="136"/>
      <c r="H1922" s="1384">
        <f t="shared" si="302"/>
        <v>0</v>
      </c>
      <c r="I1922" s="136"/>
      <c r="J1922" s="136"/>
      <c r="X1922" s="768" t="b">
        <f t="shared" si="300"/>
        <v>1</v>
      </c>
    </row>
    <row r="1923" ht="13.5" customHeight="1" outlineLevel="2" spans="2:24">
      <c r="B1923" s="845" t="s">
        <v>3596</v>
      </c>
      <c r="C1923" s="693" t="str">
        <f t="shared" si="299"/>
        <v>深圳新阳蓝光能源管理科技股份有限公司</v>
      </c>
      <c r="D1923" s="1401" t="s">
        <v>3599</v>
      </c>
      <c r="E1923" s="136"/>
      <c r="F1923" s="136"/>
      <c r="G1923" s="136"/>
      <c r="H1923" s="1384">
        <f t="shared" si="302"/>
        <v>0</v>
      </c>
      <c r="I1923" s="136"/>
      <c r="J1923" s="136"/>
      <c r="X1923" s="768" t="b">
        <f t="shared" si="300"/>
        <v>1</v>
      </c>
    </row>
    <row r="1924" ht="13.5" customHeight="1" outlineLevel="2" spans="2:24">
      <c r="B1924" s="845" t="s">
        <v>3596</v>
      </c>
      <c r="C1924" s="693" t="str">
        <f t="shared" si="299"/>
        <v>深圳新阳蓝光能源管理科技股份有限公司</v>
      </c>
      <c r="D1924" s="1401" t="s">
        <v>3599</v>
      </c>
      <c r="E1924" s="136"/>
      <c r="F1924" s="136"/>
      <c r="G1924" s="136"/>
      <c r="H1924" s="1384">
        <f t="shared" si="302"/>
        <v>0</v>
      </c>
      <c r="I1924" s="136"/>
      <c r="J1924" s="136"/>
      <c r="X1924" s="768" t="b">
        <f t="shared" si="300"/>
        <v>1</v>
      </c>
    </row>
    <row r="1925" ht="13.5" customHeight="1" outlineLevel="2" spans="2:24">
      <c r="B1925" s="845" t="s">
        <v>3596</v>
      </c>
      <c r="C1925" s="693" t="str">
        <f t="shared" si="299"/>
        <v>深圳新阳蓝光能源管理科技股份有限公司</v>
      </c>
      <c r="D1925" s="1401" t="s">
        <v>3599</v>
      </c>
      <c r="E1925" s="136"/>
      <c r="F1925" s="136"/>
      <c r="G1925" s="136"/>
      <c r="H1925" s="1384">
        <f t="shared" si="302"/>
        <v>0</v>
      </c>
      <c r="I1925" s="136"/>
      <c r="J1925" s="136"/>
      <c r="X1925" s="768" t="b">
        <f t="shared" si="300"/>
        <v>1</v>
      </c>
    </row>
    <row r="1926" ht="13.5" customHeight="1" outlineLevel="2" spans="1:24">
      <c r="A1926" s="90" t="s">
        <v>2021</v>
      </c>
      <c r="B1926" s="845" t="s">
        <v>3596</v>
      </c>
      <c r="C1926" s="693" t="str">
        <f t="shared" si="299"/>
        <v>深圳新阳蓝光能源管理科技股份有限公司</v>
      </c>
      <c r="D1926" s="1401" t="s">
        <v>3599</v>
      </c>
      <c r="E1926" s="1031" t="s">
        <v>2021</v>
      </c>
      <c r="F1926" s="157"/>
      <c r="G1926" s="139">
        <f>SUM(G1904:G1925)</f>
        <v>0</v>
      </c>
      <c r="H1926" s="1384">
        <f t="shared" si="302"/>
        <v>0</v>
      </c>
      <c r="I1926" s="157"/>
      <c r="J1926" s="157"/>
      <c r="X1926" s="768" t="b">
        <f t="shared" si="300"/>
        <v>1</v>
      </c>
    </row>
    <row r="1927" outlineLevel="2" spans="2:24">
      <c r="B1927" s="845" t="s">
        <v>3596</v>
      </c>
      <c r="C1927" s="693" t="str">
        <f t="shared" si="299"/>
        <v>深圳新阳蓝光能源管理科技股份有限公司</v>
      </c>
      <c r="D1927" s="1398" t="s">
        <v>3599</v>
      </c>
      <c r="E1927" s="1399"/>
      <c r="F1927" s="1399"/>
      <c r="G1927" s="1399"/>
      <c r="X1927" s="768" t="b">
        <f t="shared" si="300"/>
        <v>1</v>
      </c>
    </row>
    <row r="1928" outlineLevel="2" spans="2:24">
      <c r="B1928" s="845" t="s">
        <v>3596</v>
      </c>
      <c r="C1928" s="693" t="str">
        <f t="shared" si="299"/>
        <v>深圳新阳蓝光能源管理科技股份有限公司</v>
      </c>
      <c r="D1928" s="1398" t="s">
        <v>3599</v>
      </c>
      <c r="E1928" s="1399"/>
      <c r="F1928" s="1399"/>
      <c r="G1928" s="1399"/>
      <c r="X1928" s="768" t="b">
        <f t="shared" si="300"/>
        <v>1</v>
      </c>
    </row>
    <row r="1929" outlineLevel="2" spans="1:24">
      <c r="A1929" s="1364" t="s">
        <v>3588</v>
      </c>
      <c r="B1929" s="845" t="s">
        <v>3596</v>
      </c>
      <c r="C1929" s="693" t="str">
        <f t="shared" si="299"/>
        <v>深圳新阳蓝光能源管理科技股份有限公司</v>
      </c>
      <c r="D1929" s="1397" t="s">
        <v>3588</v>
      </c>
      <c r="E1929" s="153" t="s">
        <v>3590</v>
      </c>
      <c r="F1929" s="715"/>
      <c r="G1929" s="715"/>
      <c r="X1929" s="768" t="b">
        <f t="shared" si="300"/>
        <v>1</v>
      </c>
    </row>
    <row r="1930" outlineLevel="2" spans="1:24">
      <c r="A1930" s="1364" t="s">
        <v>2473</v>
      </c>
      <c r="B1930" s="845" t="s">
        <v>3596</v>
      </c>
      <c r="C1930" s="693" t="str">
        <f t="shared" si="299"/>
        <v>深圳新阳蓝光能源管理科技股份有限公司</v>
      </c>
      <c r="D1930" s="1397" t="s">
        <v>3588</v>
      </c>
      <c r="E1930" s="851" t="s">
        <v>2473</v>
      </c>
      <c r="F1930" s="851" t="s">
        <v>516</v>
      </c>
      <c r="G1930" s="851" t="s">
        <v>671</v>
      </c>
      <c r="X1930" s="768" t="b">
        <f t="shared" si="300"/>
        <v>1</v>
      </c>
    </row>
    <row r="1931" outlineLevel="2" spans="2:24">
      <c r="B1931" s="845" t="s">
        <v>3596</v>
      </c>
      <c r="C1931" s="693" t="str">
        <f t="shared" si="299"/>
        <v>深圳新阳蓝光能源管理科技股份有限公司</v>
      </c>
      <c r="D1931" s="1397" t="s">
        <v>3588</v>
      </c>
      <c r="E1931" s="1294"/>
      <c r="F1931" s="1392"/>
      <c r="G1931" s="1392"/>
      <c r="X1931" s="768" t="b">
        <f t="shared" si="300"/>
        <v>1</v>
      </c>
    </row>
    <row r="1932" outlineLevel="2" spans="2:24">
      <c r="B1932" s="845" t="s">
        <v>3596</v>
      </c>
      <c r="C1932" s="693" t="str">
        <f t="shared" si="299"/>
        <v>深圳新阳蓝光能源管理科技股份有限公司</v>
      </c>
      <c r="D1932" s="1397" t="s">
        <v>3588</v>
      </c>
      <c r="E1932" s="1294"/>
      <c r="F1932" s="1392"/>
      <c r="G1932" s="1392"/>
      <c r="X1932" s="768" t="b">
        <f t="shared" si="300"/>
        <v>1</v>
      </c>
    </row>
    <row r="1933" outlineLevel="2" spans="2:24">
      <c r="B1933" s="845" t="s">
        <v>3596</v>
      </c>
      <c r="C1933" s="693" t="str">
        <f t="shared" si="299"/>
        <v>深圳新阳蓝光能源管理科技股份有限公司</v>
      </c>
      <c r="D1933" s="1397" t="s">
        <v>3588</v>
      </c>
      <c r="E1933" s="1294"/>
      <c r="F1933" s="1392"/>
      <c r="G1933" s="1392"/>
      <c r="X1933" s="768" t="b">
        <f t="shared" si="300"/>
        <v>1</v>
      </c>
    </row>
    <row r="1934" outlineLevel="2" spans="2:24">
      <c r="B1934" s="845" t="s">
        <v>3596</v>
      </c>
      <c r="C1934" s="693" t="str">
        <f t="shared" si="299"/>
        <v>深圳新阳蓝光能源管理科技股份有限公司</v>
      </c>
      <c r="D1934" s="1397" t="s">
        <v>3588</v>
      </c>
      <c r="E1934" s="1294"/>
      <c r="F1934" s="1392"/>
      <c r="G1934" s="1392"/>
      <c r="X1934" s="768" t="b">
        <f t="shared" si="300"/>
        <v>1</v>
      </c>
    </row>
    <row r="1935" outlineLevel="2" spans="2:24">
      <c r="B1935" s="845" t="s">
        <v>3596</v>
      </c>
      <c r="C1935" s="693" t="str">
        <f t="shared" si="299"/>
        <v>深圳新阳蓝光能源管理科技股份有限公司</v>
      </c>
      <c r="D1935" s="1397" t="s">
        <v>3588</v>
      </c>
      <c r="E1935" s="918"/>
      <c r="F1935" s="136"/>
      <c r="G1935" s="136"/>
      <c r="X1935" s="768" t="b">
        <f t="shared" si="300"/>
        <v>1</v>
      </c>
    </row>
    <row r="1936" outlineLevel="2" spans="2:24">
      <c r="B1936" s="845" t="s">
        <v>3596</v>
      </c>
      <c r="C1936" s="693" t="str">
        <f t="shared" si="299"/>
        <v>深圳新阳蓝光能源管理科技股份有限公司</v>
      </c>
      <c r="D1936" s="1397" t="s">
        <v>3588</v>
      </c>
      <c r="E1936" s="918"/>
      <c r="F1936" s="136"/>
      <c r="G1936" s="136"/>
      <c r="X1936" s="768" t="b">
        <f t="shared" si="300"/>
        <v>1</v>
      </c>
    </row>
    <row r="1937" outlineLevel="2" spans="2:24">
      <c r="B1937" s="845" t="s">
        <v>3596</v>
      </c>
      <c r="C1937" s="693" t="str">
        <f t="shared" si="299"/>
        <v>深圳新阳蓝光能源管理科技股份有限公司</v>
      </c>
      <c r="D1937" s="1397" t="s">
        <v>3588</v>
      </c>
      <c r="E1937" s="918"/>
      <c r="F1937" s="136"/>
      <c r="G1937" s="136"/>
      <c r="X1937" s="768" t="b">
        <f t="shared" si="300"/>
        <v>1</v>
      </c>
    </row>
    <row r="1938" outlineLevel="2" spans="1:24">
      <c r="A1938" s="1364" t="s">
        <v>2021</v>
      </c>
      <c r="B1938" s="845" t="s">
        <v>3596</v>
      </c>
      <c r="C1938" s="693" t="str">
        <f t="shared" si="299"/>
        <v>深圳新阳蓝光能源管理科技股份有限公司</v>
      </c>
      <c r="D1938" s="1397" t="s">
        <v>3588</v>
      </c>
      <c r="E1938" s="1393" t="s">
        <v>2021</v>
      </c>
      <c r="F1938" s="139">
        <f>SUM(F1931:F1937)</f>
        <v>0</v>
      </c>
      <c r="G1938" s="139">
        <f>SUM(G1931:G1937)</f>
        <v>0</v>
      </c>
      <c r="X1938" s="768" t="b">
        <f t="shared" si="300"/>
        <v>1</v>
      </c>
    </row>
    <row r="1939" outlineLevel="2" spans="1:24">
      <c r="A1939" s="1364" t="s">
        <v>3592</v>
      </c>
      <c r="B1939" s="845" t="s">
        <v>3596</v>
      </c>
      <c r="C1939" s="693" t="str">
        <f t="shared" si="299"/>
        <v>深圳新阳蓝光能源管理科技股份有限公司</v>
      </c>
      <c r="D1939" s="1397" t="s">
        <v>3588</v>
      </c>
      <c r="E1939" s="1106" t="s">
        <v>3592</v>
      </c>
      <c r="F1939" s="715"/>
      <c r="G1939" s="715"/>
      <c r="X1939" s="768" t="b">
        <f t="shared" si="300"/>
        <v>1</v>
      </c>
    </row>
    <row r="1940" outlineLevel="2" spans="2:24">
      <c r="B1940" s="845" t="s">
        <v>3596</v>
      </c>
      <c r="C1940" s="693" t="str">
        <f t="shared" si="299"/>
        <v>深圳新阳蓝光能源管理科技股份有限公司</v>
      </c>
      <c r="D1940" s="1397" t="s">
        <v>3588</v>
      </c>
      <c r="E1940" s="153"/>
      <c r="F1940" s="1375"/>
      <c r="G1940" s="1375"/>
      <c r="X1940" s="768" t="b">
        <f t="shared" si="300"/>
        <v>1</v>
      </c>
    </row>
    <row r="1941" outlineLevel="2" spans="2:24">
      <c r="B1941" s="845" t="s">
        <v>3596</v>
      </c>
      <c r="C1941" s="693" t="str">
        <f t="shared" si="299"/>
        <v>深圳新阳蓝光能源管理科技股份有限公司</v>
      </c>
      <c r="D1941" s="1397"/>
      <c r="E1941" s="153"/>
      <c r="F1941" s="1375"/>
      <c r="G1941" s="1375"/>
      <c r="X1941" s="768" t="b">
        <f t="shared" si="300"/>
        <v>1</v>
      </c>
    </row>
    <row r="1942" hidden="1" outlineLevel="2" spans="1:24">
      <c r="A1942" s="1364" t="s">
        <v>2809</v>
      </c>
      <c r="B1942" s="845" t="s">
        <v>3596</v>
      </c>
      <c r="C1942" s="693" t="str">
        <f t="shared" si="299"/>
        <v>深圳新阳蓝光能源管理科技股份有限公司</v>
      </c>
      <c r="D1942" s="1397"/>
      <c r="E1942" s="153" t="s">
        <v>2829</v>
      </c>
      <c r="F1942" s="1402"/>
      <c r="G1942" s="1402"/>
      <c r="H1942" s="1403"/>
      <c r="X1942" s="768" t="b">
        <f t="shared" si="300"/>
        <v>1</v>
      </c>
    </row>
    <row r="1943" hidden="1" outlineLevel="2" spans="1:24">
      <c r="A1943" s="90" t="s">
        <v>3603</v>
      </c>
      <c r="B1943" s="845" t="s">
        <v>3596</v>
      </c>
      <c r="C1943" s="693" t="str">
        <f t="shared" si="299"/>
        <v>深圳新阳蓝光能源管理科技股份有限公司</v>
      </c>
      <c r="D1943" s="1404" t="s">
        <v>3603</v>
      </c>
      <c r="E1943" s="897" t="s">
        <v>3604</v>
      </c>
      <c r="F1943" s="715"/>
      <c r="G1943" s="715"/>
      <c r="I1943" s="919" t="s">
        <v>2966</v>
      </c>
      <c r="X1943" s="768" t="b">
        <f t="shared" si="300"/>
        <v>0</v>
      </c>
    </row>
    <row r="1944" hidden="1" outlineLevel="2" spans="1:24">
      <c r="A1944" s="90" t="s">
        <v>3046</v>
      </c>
      <c r="B1944" s="692" t="s">
        <v>3596</v>
      </c>
      <c r="C1944" s="693" t="str">
        <f t="shared" ref="C1944:C2017" si="303">$G$1</f>
        <v>深圳新阳蓝光能源管理科技股份有限公司</v>
      </c>
      <c r="D1944" s="1377" t="s">
        <v>3603</v>
      </c>
      <c r="E1944" s="1031" t="s">
        <v>3046</v>
      </c>
      <c r="F1944" s="1031" t="s">
        <v>2944</v>
      </c>
      <c r="G1944" s="1031" t="s">
        <v>366</v>
      </c>
      <c r="H1944" s="1031" t="s">
        <v>2907</v>
      </c>
      <c r="I1944" s="900"/>
      <c r="X1944" s="768" t="b">
        <f t="shared" ref="X1944:X2017" si="304">EXACT(A1944,E1944)</f>
        <v>1</v>
      </c>
    </row>
    <row r="1945" hidden="1" outlineLevel="2" spans="2:24">
      <c r="B1945" s="692" t="s">
        <v>3596</v>
      </c>
      <c r="C1945" s="693" t="str">
        <f t="shared" si="303"/>
        <v>深圳新阳蓝光能源管理科技股份有限公司</v>
      </c>
      <c r="D1945" s="1377" t="s">
        <v>3603</v>
      </c>
      <c r="E1945" s="719"/>
      <c r="F1945" s="719"/>
      <c r="G1945" s="719"/>
      <c r="H1945" s="719"/>
      <c r="X1945" s="768" t="b">
        <f t="shared" si="304"/>
        <v>1</v>
      </c>
    </row>
    <row r="1946" hidden="1" outlineLevel="2" spans="2:24">
      <c r="B1946" s="692" t="s">
        <v>3596</v>
      </c>
      <c r="C1946" s="693" t="str">
        <f t="shared" si="303"/>
        <v>深圳新阳蓝光能源管理科技股份有限公司</v>
      </c>
      <c r="D1946" s="1377" t="s">
        <v>3603</v>
      </c>
      <c r="E1946" s="719"/>
      <c r="F1946" s="719"/>
      <c r="G1946" s="719"/>
      <c r="H1946" s="719"/>
      <c r="X1946" s="768" t="b">
        <f t="shared" si="304"/>
        <v>1</v>
      </c>
    </row>
    <row r="1947" hidden="1" outlineLevel="2" spans="2:24">
      <c r="B1947" s="692" t="s">
        <v>3596</v>
      </c>
      <c r="C1947" s="693" t="str">
        <f t="shared" si="303"/>
        <v>深圳新阳蓝光能源管理科技股份有限公司</v>
      </c>
      <c r="D1947" s="1377" t="s">
        <v>3603</v>
      </c>
      <c r="E1947" s="719"/>
      <c r="F1947" s="719"/>
      <c r="G1947" s="719"/>
      <c r="H1947" s="719"/>
      <c r="X1947" s="768" t="b">
        <f t="shared" si="304"/>
        <v>1</v>
      </c>
    </row>
    <row r="1948" hidden="1" outlineLevel="2" spans="2:24">
      <c r="B1948" s="692" t="s">
        <v>3596</v>
      </c>
      <c r="C1948" s="693" t="str">
        <f t="shared" si="303"/>
        <v>深圳新阳蓝光能源管理科技股份有限公司</v>
      </c>
      <c r="D1948" s="1377" t="s">
        <v>3603</v>
      </c>
      <c r="E1948" s="719"/>
      <c r="F1948" s="719"/>
      <c r="G1948" s="719"/>
      <c r="H1948" s="719"/>
      <c r="X1948" s="768" t="b">
        <f t="shared" si="304"/>
        <v>1</v>
      </c>
    </row>
    <row r="1949" hidden="1" outlineLevel="2" spans="2:24">
      <c r="B1949" s="692" t="s">
        <v>3596</v>
      </c>
      <c r="C1949" s="693" t="str">
        <f t="shared" si="303"/>
        <v>深圳新阳蓝光能源管理科技股份有限公司</v>
      </c>
      <c r="D1949" s="1377" t="s">
        <v>3603</v>
      </c>
      <c r="E1949" s="719"/>
      <c r="F1949" s="719"/>
      <c r="G1949" s="719"/>
      <c r="H1949" s="719"/>
      <c r="X1949" s="768" t="b">
        <f t="shared" si="304"/>
        <v>1</v>
      </c>
    </row>
    <row r="1950" hidden="1" outlineLevel="2" spans="1:24">
      <c r="A1950" s="90" t="s">
        <v>2021</v>
      </c>
      <c r="B1950" s="692" t="s">
        <v>3596</v>
      </c>
      <c r="C1950" s="693" t="str">
        <f t="shared" si="303"/>
        <v>深圳新阳蓝光能源管理科技股份有限公司</v>
      </c>
      <c r="D1950" s="1377" t="s">
        <v>3603</v>
      </c>
      <c r="E1950" s="1031" t="s">
        <v>2021</v>
      </c>
      <c r="F1950" s="1031"/>
      <c r="G1950" s="1078">
        <f>SUM(G1945:G1949)</f>
        <v>0</v>
      </c>
      <c r="H1950" s="1031"/>
      <c r="X1950" s="768" t="b">
        <f t="shared" si="304"/>
        <v>1</v>
      </c>
    </row>
    <row r="1951" outlineLevel="2" spans="2:24">
      <c r="B1951" s="692" t="s">
        <v>3596</v>
      </c>
      <c r="C1951" s="693" t="str">
        <f t="shared" si="303"/>
        <v>深圳新阳蓝光能源管理科技股份有限公司</v>
      </c>
      <c r="D1951" s="1365" t="s">
        <v>3603</v>
      </c>
      <c r="E1951" s="1374"/>
      <c r="F1951" s="1375"/>
      <c r="G1951" s="1375"/>
      <c r="X1951" s="768" t="b">
        <f t="shared" si="304"/>
        <v>1</v>
      </c>
    </row>
    <row r="1952" spans="1:24">
      <c r="A1952" s="1405" t="s">
        <v>2210</v>
      </c>
      <c r="B1952" s="692" t="s">
        <v>3605</v>
      </c>
      <c r="C1952" s="693" t="str">
        <f t="shared" si="303"/>
        <v>深圳新阳蓝光能源管理科技股份有限公司</v>
      </c>
      <c r="D1952" s="1406" t="s">
        <v>2210</v>
      </c>
      <c r="E1952" s="70" t="s">
        <v>3606</v>
      </c>
      <c r="F1952" s="1164" t="s">
        <v>3471</v>
      </c>
      <c r="G1952" s="1407"/>
      <c r="H1952" s="1407"/>
      <c r="I1952" s="1407"/>
      <c r="X1952" s="768" t="b">
        <f t="shared" si="304"/>
        <v>1</v>
      </c>
    </row>
    <row r="1953" outlineLevel="2" spans="1:24">
      <c r="A1953" s="1405" t="s">
        <v>2981</v>
      </c>
      <c r="B1953" s="692" t="s">
        <v>3605</v>
      </c>
      <c r="C1953" s="693" t="str">
        <f t="shared" si="303"/>
        <v>深圳新阳蓝光能源管理科技股份有限公司</v>
      </c>
      <c r="D1953" s="1406" t="s">
        <v>2210</v>
      </c>
      <c r="E1953" s="1408" t="s">
        <v>2981</v>
      </c>
      <c r="F1953" s="1408" t="s">
        <v>2020</v>
      </c>
      <c r="G1953" s="1408" t="s">
        <v>672</v>
      </c>
      <c r="H1953" s="1408" t="s">
        <v>2223</v>
      </c>
      <c r="I1953" s="1408" t="s">
        <v>316</v>
      </c>
      <c r="X1953" s="768" t="b">
        <f t="shared" si="304"/>
        <v>1</v>
      </c>
    </row>
    <row r="1954" outlineLevel="2" spans="1:24">
      <c r="A1954" s="1405" t="s">
        <v>1053</v>
      </c>
      <c r="B1954" s="692" t="s">
        <v>3605</v>
      </c>
      <c r="C1954" s="693" t="str">
        <f t="shared" si="303"/>
        <v>深圳新阳蓝光能源管理科技股份有限公司</v>
      </c>
      <c r="D1954" s="1406" t="s">
        <v>2210</v>
      </c>
      <c r="E1954" s="1409" t="s">
        <v>3607</v>
      </c>
      <c r="F1954" s="1410">
        <f>ROUND(SUM(F1955:F1957,F1961:F1966),2)</f>
        <v>1116508.51</v>
      </c>
      <c r="G1954" s="1410">
        <f>ROUND(SUM(G1955:G1957,G1961:G1966),2)</f>
        <v>10103139.59</v>
      </c>
      <c r="H1954" s="1410">
        <f>ROUND(SUM(H1955:H1957,H1961:H1966),2)</f>
        <v>9803629.6</v>
      </c>
      <c r="I1954" s="139">
        <f>ROUND(F1954+G1954-H1954,2)</f>
        <v>1416018.5</v>
      </c>
      <c r="J1954" s="1422"/>
      <c r="X1954" s="768" t="b">
        <f t="shared" si="304"/>
        <v>0</v>
      </c>
    </row>
    <row r="1955" outlineLevel="2" spans="1:24">
      <c r="A1955" s="1405" t="s">
        <v>1055</v>
      </c>
      <c r="B1955" s="692" t="s">
        <v>3605</v>
      </c>
      <c r="C1955" s="693" t="str">
        <f t="shared" si="303"/>
        <v>深圳新阳蓝光能源管理科技股份有限公司</v>
      </c>
      <c r="D1955" s="1406" t="s">
        <v>2210</v>
      </c>
      <c r="E1955" s="1411" t="s">
        <v>3608</v>
      </c>
      <c r="F1955" s="139">
        <f>报表附注合并期初用!E1643</f>
        <v>1116508.51</v>
      </c>
      <c r="G1955" s="721">
        <f>10323947.29-61495-500000</f>
        <v>9762452.29</v>
      </c>
      <c r="H1955" s="721">
        <f>9424351.45+100085.85-61495</f>
        <v>9462942.3</v>
      </c>
      <c r="I1955" s="139">
        <f t="shared" ref="I1955:I1979" si="305">ROUND(F1955+G1955-H1955,2)</f>
        <v>1416018.5</v>
      </c>
      <c r="J1955" s="1422" t="str">
        <f>IF(I1955&lt;0,"期末为负数，请作说明","")</f>
        <v/>
      </c>
      <c r="X1955" s="768" t="b">
        <f t="shared" si="304"/>
        <v>0</v>
      </c>
    </row>
    <row r="1956" outlineLevel="2" spans="1:24">
      <c r="A1956" s="1405" t="s">
        <v>1057</v>
      </c>
      <c r="B1956" s="692" t="s">
        <v>3605</v>
      </c>
      <c r="C1956" s="693" t="str">
        <f t="shared" si="303"/>
        <v>深圳新阳蓝光能源管理科技股份有限公司</v>
      </c>
      <c r="D1956" s="1406" t="s">
        <v>2210</v>
      </c>
      <c r="E1956" s="1411" t="s">
        <v>3609</v>
      </c>
      <c r="F1956" s="139">
        <f>报表附注合并期初用!E1644</f>
        <v>0</v>
      </c>
      <c r="G1956" s="721">
        <v>113783.2</v>
      </c>
      <c r="H1956" s="721">
        <v>113783.2</v>
      </c>
      <c r="I1956" s="139">
        <f t="shared" si="305"/>
        <v>0</v>
      </c>
      <c r="J1956" s="1422" t="str">
        <f t="shared" ref="J1956:J1979" si="306">IF(I1956&lt;0,"期末为负数，请作说明","")</f>
        <v/>
      </c>
      <c r="X1956" s="768" t="b">
        <f t="shared" si="304"/>
        <v>0</v>
      </c>
    </row>
    <row r="1957" outlineLevel="2" spans="1:24">
      <c r="A1957" s="1405" t="s">
        <v>2211</v>
      </c>
      <c r="B1957" s="692" t="s">
        <v>3605</v>
      </c>
      <c r="C1957" s="693" t="str">
        <f t="shared" si="303"/>
        <v>深圳新阳蓝光能源管理科技股份有限公司</v>
      </c>
      <c r="D1957" s="1406" t="s">
        <v>2210</v>
      </c>
      <c r="E1957" s="1411" t="s">
        <v>3610</v>
      </c>
      <c r="F1957" s="1410">
        <f>ROUND(SUM(F1958:F1960),2)</f>
        <v>0</v>
      </c>
      <c r="G1957" s="1410">
        <f>ROUND(SUM(G1958:G1960),2)</f>
        <v>121277.28</v>
      </c>
      <c r="H1957" s="1410">
        <f>ROUND(SUM(H1958:H1960),2)</f>
        <v>121277.28</v>
      </c>
      <c r="I1957" s="139">
        <f t="shared" si="305"/>
        <v>0</v>
      </c>
      <c r="J1957" s="1422"/>
      <c r="X1957" s="768" t="b">
        <f t="shared" si="304"/>
        <v>0</v>
      </c>
    </row>
    <row r="1958" outlineLevel="2" spans="1:24">
      <c r="A1958" s="1405" t="s">
        <v>2212</v>
      </c>
      <c r="B1958" s="692" t="s">
        <v>3605</v>
      </c>
      <c r="C1958" s="693" t="str">
        <f t="shared" si="303"/>
        <v>深圳新阳蓝光能源管理科技股份有限公司</v>
      </c>
      <c r="D1958" s="1406" t="s">
        <v>2210</v>
      </c>
      <c r="E1958" s="1411" t="s">
        <v>3611</v>
      </c>
      <c r="F1958" s="139">
        <f>报表附注合并期初用!E1646</f>
        <v>0</v>
      </c>
      <c r="G1958" s="721">
        <v>88937.27</v>
      </c>
      <c r="H1958" s="721">
        <v>88937.27</v>
      </c>
      <c r="I1958" s="139">
        <f t="shared" si="305"/>
        <v>0</v>
      </c>
      <c r="J1958" s="1422" t="str">
        <f t="shared" si="306"/>
        <v/>
      </c>
      <c r="X1958" s="768" t="b">
        <f t="shared" si="304"/>
        <v>0</v>
      </c>
    </row>
    <row r="1959" outlineLevel="2" spans="1:24">
      <c r="A1959" s="1405" t="s">
        <v>2213</v>
      </c>
      <c r="B1959" s="692" t="s">
        <v>3605</v>
      </c>
      <c r="C1959" s="693" t="str">
        <f t="shared" si="303"/>
        <v>深圳新阳蓝光能源管理科技股份有限公司</v>
      </c>
      <c r="D1959" s="1406" t="s">
        <v>2210</v>
      </c>
      <c r="E1959" s="1411" t="s">
        <v>3612</v>
      </c>
      <c r="F1959" s="139">
        <f>报表附注合并期初用!E1647</f>
        <v>0</v>
      </c>
      <c r="G1959" s="721">
        <v>15389.81</v>
      </c>
      <c r="H1959" s="721">
        <v>15389.81</v>
      </c>
      <c r="I1959" s="139">
        <f t="shared" si="305"/>
        <v>0</v>
      </c>
      <c r="J1959" s="1422" t="str">
        <f t="shared" si="306"/>
        <v/>
      </c>
      <c r="X1959" s="768" t="b">
        <f t="shared" si="304"/>
        <v>0</v>
      </c>
    </row>
    <row r="1960" outlineLevel="2" spans="1:24">
      <c r="A1960" s="1405" t="s">
        <v>2214</v>
      </c>
      <c r="B1960" s="692" t="s">
        <v>3605</v>
      </c>
      <c r="C1960" s="693" t="str">
        <f t="shared" si="303"/>
        <v>深圳新阳蓝光能源管理科技股份有限公司</v>
      </c>
      <c r="D1960" s="1406" t="s">
        <v>2210</v>
      </c>
      <c r="E1960" s="1411" t="s">
        <v>3613</v>
      </c>
      <c r="F1960" s="139">
        <f>报表附注合并期初用!E1648</f>
        <v>0</v>
      </c>
      <c r="G1960" s="721">
        <v>16950.2</v>
      </c>
      <c r="H1960" s="721">
        <v>16950.2</v>
      </c>
      <c r="I1960" s="139">
        <f t="shared" si="305"/>
        <v>0</v>
      </c>
      <c r="J1960" s="1422" t="str">
        <f t="shared" si="306"/>
        <v/>
      </c>
      <c r="X1960" s="768" t="b">
        <f t="shared" si="304"/>
        <v>0</v>
      </c>
    </row>
    <row r="1961" outlineLevel="2" spans="1:24">
      <c r="A1961" s="1405" t="s">
        <v>2215</v>
      </c>
      <c r="B1961" s="692" t="s">
        <v>3605</v>
      </c>
      <c r="C1961" s="693" t="str">
        <f t="shared" si="303"/>
        <v>深圳新阳蓝光能源管理科技股份有限公司</v>
      </c>
      <c r="D1961" s="1406" t="s">
        <v>2210</v>
      </c>
      <c r="E1961" s="1411" t="s">
        <v>3614</v>
      </c>
      <c r="F1961" s="139">
        <f>报表附注合并期初用!E1649</f>
        <v>0</v>
      </c>
      <c r="G1961" s="721">
        <v>93263</v>
      </c>
      <c r="H1961" s="721">
        <v>93263</v>
      </c>
      <c r="I1961" s="139">
        <f t="shared" si="305"/>
        <v>0</v>
      </c>
      <c r="J1961" s="1422" t="str">
        <f t="shared" si="306"/>
        <v/>
      </c>
      <c r="X1961" s="768" t="b">
        <f t="shared" si="304"/>
        <v>0</v>
      </c>
    </row>
    <row r="1962" outlineLevel="2" spans="1:24">
      <c r="A1962" s="1405" t="s">
        <v>2216</v>
      </c>
      <c r="B1962" s="692" t="s">
        <v>3605</v>
      </c>
      <c r="C1962" s="693" t="str">
        <f t="shared" si="303"/>
        <v>深圳新阳蓝光能源管理科技股份有限公司</v>
      </c>
      <c r="D1962" s="1406" t="s">
        <v>2210</v>
      </c>
      <c r="E1962" s="1412" t="s">
        <v>3615</v>
      </c>
      <c r="F1962" s="139">
        <f>报表附注合并期初用!E1650</f>
        <v>0</v>
      </c>
      <c r="G1962" s="721">
        <v>6363.82</v>
      </c>
      <c r="H1962" s="721">
        <v>6363.82</v>
      </c>
      <c r="I1962" s="139">
        <f t="shared" si="305"/>
        <v>0</v>
      </c>
      <c r="J1962" s="1422" t="str">
        <f t="shared" si="306"/>
        <v/>
      </c>
      <c r="X1962" s="768" t="b">
        <f t="shared" si="304"/>
        <v>0</v>
      </c>
    </row>
    <row r="1963" outlineLevel="2" spans="1:24">
      <c r="A1963" s="1405" t="s">
        <v>1071</v>
      </c>
      <c r="B1963" s="692" t="s">
        <v>3605</v>
      </c>
      <c r="C1963" s="693" t="str">
        <f t="shared" si="303"/>
        <v>深圳新阳蓝光能源管理科技股份有限公司</v>
      </c>
      <c r="D1963" s="1406" t="s">
        <v>2210</v>
      </c>
      <c r="E1963" s="1412" t="s">
        <v>3616</v>
      </c>
      <c r="F1963" s="139">
        <f>报表附注合并期初用!E1651</f>
        <v>0</v>
      </c>
      <c r="G1963" s="721"/>
      <c r="H1963" s="721"/>
      <c r="I1963" s="139">
        <f t="shared" si="305"/>
        <v>0</v>
      </c>
      <c r="J1963" s="1422" t="str">
        <f t="shared" si="306"/>
        <v/>
      </c>
      <c r="X1963" s="768" t="b">
        <f t="shared" si="304"/>
        <v>0</v>
      </c>
    </row>
    <row r="1964" outlineLevel="2" spans="1:24">
      <c r="A1964" s="1405" t="s">
        <v>2217</v>
      </c>
      <c r="B1964" s="692" t="s">
        <v>3605</v>
      </c>
      <c r="C1964" s="693" t="str">
        <f t="shared" si="303"/>
        <v>深圳新阳蓝光能源管理科技股份有限公司</v>
      </c>
      <c r="D1964" s="1406" t="s">
        <v>2210</v>
      </c>
      <c r="E1964" s="1412" t="s">
        <v>3617</v>
      </c>
      <c r="F1964" s="139">
        <f>报表附注合并期初用!E1652</f>
        <v>0</v>
      </c>
      <c r="G1964" s="721"/>
      <c r="H1964" s="721"/>
      <c r="I1964" s="139">
        <f t="shared" si="305"/>
        <v>0</v>
      </c>
      <c r="J1964" s="1422" t="str">
        <f t="shared" si="306"/>
        <v/>
      </c>
      <c r="X1964" s="768" t="b">
        <f t="shared" si="304"/>
        <v>0</v>
      </c>
    </row>
    <row r="1965" outlineLevel="2" spans="1:24">
      <c r="A1965" s="1405" t="s">
        <v>2218</v>
      </c>
      <c r="B1965" s="692" t="s">
        <v>3605</v>
      </c>
      <c r="C1965" s="693" t="str">
        <f t="shared" si="303"/>
        <v>深圳新阳蓝光能源管理科技股份有限公司</v>
      </c>
      <c r="D1965" s="1406" t="s">
        <v>2210</v>
      </c>
      <c r="E1965" s="1412" t="s">
        <v>3618</v>
      </c>
      <c r="F1965" s="139">
        <f>报表附注合并期初用!E1653</f>
        <v>0</v>
      </c>
      <c r="G1965" s="721">
        <v>6000</v>
      </c>
      <c r="H1965" s="721">
        <v>6000</v>
      </c>
      <c r="I1965" s="139">
        <f t="shared" si="305"/>
        <v>0</v>
      </c>
      <c r="J1965" s="1422" t="str">
        <f t="shared" si="306"/>
        <v/>
      </c>
      <c r="X1965" s="768" t="b">
        <f t="shared" si="304"/>
        <v>0</v>
      </c>
    </row>
    <row r="1966" outlineLevel="2" spans="1:24">
      <c r="A1966" s="1405" t="s">
        <v>2219</v>
      </c>
      <c r="B1966" s="692" t="s">
        <v>3605</v>
      </c>
      <c r="C1966" s="693" t="str">
        <f t="shared" si="303"/>
        <v>深圳新阳蓝光能源管理科技股份有限公司</v>
      </c>
      <c r="D1966" s="1406" t="s">
        <v>2210</v>
      </c>
      <c r="E1966" s="1412"/>
      <c r="F1966" s="139">
        <f>报表附注合并期初用!E1654</f>
        <v>0</v>
      </c>
      <c r="G1966" s="721"/>
      <c r="H1966" s="721"/>
      <c r="I1966" s="139">
        <f t="shared" si="305"/>
        <v>0</v>
      </c>
      <c r="J1966" s="1422" t="str">
        <f t="shared" si="306"/>
        <v/>
      </c>
      <c r="X1966" s="768" t="b">
        <f t="shared" si="304"/>
        <v>0</v>
      </c>
    </row>
    <row r="1967" outlineLevel="2" spans="1:24">
      <c r="A1967" s="1405" t="s">
        <v>2220</v>
      </c>
      <c r="B1967" s="692" t="s">
        <v>3605</v>
      </c>
      <c r="C1967" s="693" t="str">
        <f t="shared" si="303"/>
        <v>深圳新阳蓝光能源管理科技股份有限公司</v>
      </c>
      <c r="D1967" s="1406" t="s">
        <v>2210</v>
      </c>
      <c r="E1967" s="1409" t="s">
        <v>3619</v>
      </c>
      <c r="F1967" s="1410">
        <f>ROUND(SUM(F1968:F1972),2)</f>
        <v>0</v>
      </c>
      <c r="G1967" s="1410">
        <f>ROUND(SUM(G1968:G1972),2)</f>
        <v>478399.3</v>
      </c>
      <c r="H1967" s="1410">
        <f>ROUND(SUM(H1968:H1972),2)</f>
        <v>478399.3</v>
      </c>
      <c r="I1967" s="139">
        <f t="shared" si="305"/>
        <v>0</v>
      </c>
      <c r="J1967" s="1422"/>
      <c r="X1967" s="768" t="b">
        <f t="shared" si="304"/>
        <v>0</v>
      </c>
    </row>
    <row r="1968" outlineLevel="2" spans="1:24">
      <c r="A1968" s="1405" t="s">
        <v>2221</v>
      </c>
      <c r="B1968" s="692" t="s">
        <v>3605</v>
      </c>
      <c r="C1968" s="693" t="str">
        <f t="shared" si="303"/>
        <v>深圳新阳蓝光能源管理科技股份有限公司</v>
      </c>
      <c r="D1968" s="1406" t="s">
        <v>2210</v>
      </c>
      <c r="E1968" s="1413" t="s">
        <v>3620</v>
      </c>
      <c r="F1968" s="139">
        <f>报表附注合并期初用!E1656</f>
        <v>0</v>
      </c>
      <c r="G1968" s="721">
        <v>465086.4</v>
      </c>
      <c r="H1968" s="721">
        <v>465086.4</v>
      </c>
      <c r="I1968" s="139">
        <f t="shared" si="305"/>
        <v>0</v>
      </c>
      <c r="J1968" s="1422" t="str">
        <f t="shared" si="306"/>
        <v/>
      </c>
      <c r="X1968" s="768" t="b">
        <f t="shared" si="304"/>
        <v>0</v>
      </c>
    </row>
    <row r="1969" outlineLevel="2" spans="1:24">
      <c r="A1969" s="1405" t="s">
        <v>2222</v>
      </c>
      <c r="B1969" s="692" t="s">
        <v>3605</v>
      </c>
      <c r="C1969" s="693" t="str">
        <f t="shared" si="303"/>
        <v>深圳新阳蓝光能源管理科技股份有限公司</v>
      </c>
      <c r="D1969" s="1406" t="s">
        <v>2210</v>
      </c>
      <c r="E1969" s="1412" t="s">
        <v>3621</v>
      </c>
      <c r="F1969" s="139">
        <f>报表附注合并期初用!E1657</f>
        <v>0</v>
      </c>
      <c r="G1969" s="721">
        <v>13312.9</v>
      </c>
      <c r="H1969" s="721">
        <v>13312.9</v>
      </c>
      <c r="I1969" s="139">
        <f t="shared" si="305"/>
        <v>0</v>
      </c>
      <c r="J1969" s="1422" t="str">
        <f t="shared" si="306"/>
        <v/>
      </c>
      <c r="X1969" s="768" t="b">
        <f t="shared" si="304"/>
        <v>0</v>
      </c>
    </row>
    <row r="1970" outlineLevel="2" spans="2:24">
      <c r="B1970" s="692"/>
      <c r="C1970" s="693"/>
      <c r="D1970" s="1406" t="s">
        <v>2210</v>
      </c>
      <c r="E1970" s="1412" t="s">
        <v>3622</v>
      </c>
      <c r="F1970" s="157">
        <f>报表附注合并期初用!E1658</f>
        <v>0</v>
      </c>
      <c r="G1970" s="721"/>
      <c r="H1970" s="721"/>
      <c r="I1970" s="139">
        <f t="shared" si="305"/>
        <v>0</v>
      </c>
      <c r="J1970" s="1422" t="str">
        <f t="shared" si="306"/>
        <v/>
      </c>
      <c r="X1970" s="768"/>
    </row>
    <row r="1971" outlineLevel="2" spans="2:24">
      <c r="B1971" s="692"/>
      <c r="C1971" s="693"/>
      <c r="D1971" s="1406" t="s">
        <v>2210</v>
      </c>
      <c r="E1971" s="1412" t="s">
        <v>3623</v>
      </c>
      <c r="F1971" s="157">
        <f>报表附注合并期初用!E1659</f>
        <v>0</v>
      </c>
      <c r="G1971" s="721"/>
      <c r="H1971" s="721"/>
      <c r="I1971" s="139">
        <f t="shared" si="305"/>
        <v>0</v>
      </c>
      <c r="J1971" s="1422" t="str">
        <f t="shared" si="306"/>
        <v/>
      </c>
      <c r="X1971" s="768"/>
    </row>
    <row r="1972" outlineLevel="2" spans="2:24">
      <c r="B1972" s="692"/>
      <c r="C1972" s="693"/>
      <c r="D1972" s="1406" t="s">
        <v>2210</v>
      </c>
      <c r="E1972" s="1412"/>
      <c r="F1972" s="157"/>
      <c r="G1972" s="721"/>
      <c r="H1972" s="721"/>
      <c r="I1972" s="139">
        <f t="shared" si="305"/>
        <v>0</v>
      </c>
      <c r="J1972" s="1422" t="str">
        <f t="shared" si="306"/>
        <v/>
      </c>
      <c r="X1972" s="768"/>
    </row>
    <row r="1973" outlineLevel="2" spans="2:24">
      <c r="B1973" s="692"/>
      <c r="C1973" s="693"/>
      <c r="D1973" s="1406" t="s">
        <v>2210</v>
      </c>
      <c r="E1973" s="1414" t="s">
        <v>3624</v>
      </c>
      <c r="F1973" s="1410">
        <f>ROUND(SUM(F1974:F1975),2)</f>
        <v>0</v>
      </c>
      <c r="G1973" s="1410">
        <f>ROUND(SUM(G1974:G1975),2)</f>
        <v>0</v>
      </c>
      <c r="H1973" s="1410">
        <f>ROUND(SUM(H1974:H1975),2)</f>
        <v>0</v>
      </c>
      <c r="I1973" s="139">
        <f t="shared" si="305"/>
        <v>0</v>
      </c>
      <c r="J1973" s="1422"/>
      <c r="X1973" s="768"/>
    </row>
    <row r="1974" outlineLevel="2" spans="2:24">
      <c r="B1974" s="692"/>
      <c r="C1974" s="693"/>
      <c r="D1974" s="1406" t="s">
        <v>2210</v>
      </c>
      <c r="E1974" s="1412" t="s">
        <v>3625</v>
      </c>
      <c r="F1974" s="157">
        <f>报表附注合并期初用!E1662</f>
        <v>0</v>
      </c>
      <c r="G1974" s="721"/>
      <c r="H1974" s="721"/>
      <c r="I1974" s="139">
        <f t="shared" si="305"/>
        <v>0</v>
      </c>
      <c r="J1974" s="1422" t="str">
        <f t="shared" si="306"/>
        <v/>
      </c>
      <c r="X1974" s="768"/>
    </row>
    <row r="1975" outlineLevel="2" spans="2:24">
      <c r="B1975" s="692"/>
      <c r="C1975" s="693"/>
      <c r="D1975" s="1406" t="s">
        <v>2210</v>
      </c>
      <c r="E1975" s="1412" t="s">
        <v>3626</v>
      </c>
      <c r="F1975" s="157">
        <f>报表附注合并期初用!E1663</f>
        <v>0</v>
      </c>
      <c r="G1975" s="721"/>
      <c r="H1975" s="721"/>
      <c r="I1975" s="139">
        <f t="shared" si="305"/>
        <v>0</v>
      </c>
      <c r="J1975" s="1423"/>
      <c r="X1975" s="768"/>
    </row>
    <row r="1976" outlineLevel="2" spans="2:24">
      <c r="B1976" s="692"/>
      <c r="C1976" s="693"/>
      <c r="D1976" s="1406" t="s">
        <v>2210</v>
      </c>
      <c r="E1976" s="1412"/>
      <c r="F1976" s="157"/>
      <c r="G1976" s="721"/>
      <c r="H1976" s="721"/>
      <c r="I1976" s="139">
        <f t="shared" si="305"/>
        <v>0</v>
      </c>
      <c r="J1976" s="1423"/>
      <c r="X1976" s="768"/>
    </row>
    <row r="1977" outlineLevel="2" spans="2:24">
      <c r="B1977" s="692"/>
      <c r="C1977" s="693"/>
      <c r="D1977" s="1406" t="s">
        <v>2210</v>
      </c>
      <c r="E1977" s="1415" t="s">
        <v>3627</v>
      </c>
      <c r="F1977" s="1410">
        <f>ROUND(SUM(F1978:F1979),2)</f>
        <v>0</v>
      </c>
      <c r="G1977" s="1410">
        <f>ROUND(SUM(G1978:G1979),2)</f>
        <v>0</v>
      </c>
      <c r="H1977" s="1410">
        <f>ROUND(SUM(H1978:H1979),2)</f>
        <v>0</v>
      </c>
      <c r="I1977" s="139">
        <f t="shared" si="305"/>
        <v>0</v>
      </c>
      <c r="J1977" s="1424"/>
      <c r="X1977" s="768"/>
    </row>
    <row r="1978" outlineLevel="2" spans="2:24">
      <c r="B1978" s="692"/>
      <c r="C1978" s="693"/>
      <c r="D1978" s="1406" t="s">
        <v>2210</v>
      </c>
      <c r="E1978" s="1412" t="s">
        <v>3628</v>
      </c>
      <c r="F1978" s="157">
        <f>报表附注合并期初用!E1666</f>
        <v>0</v>
      </c>
      <c r="G1978" s="721"/>
      <c r="H1978" s="721"/>
      <c r="I1978" s="139">
        <f t="shared" si="305"/>
        <v>0</v>
      </c>
      <c r="J1978" s="1422" t="str">
        <f t="shared" si="306"/>
        <v/>
      </c>
      <c r="X1978" s="768"/>
    </row>
    <row r="1979" outlineLevel="2" spans="2:24">
      <c r="B1979" s="692"/>
      <c r="C1979" s="693"/>
      <c r="D1979" s="1406" t="s">
        <v>2210</v>
      </c>
      <c r="E1979" s="1412" t="s">
        <v>3629</v>
      </c>
      <c r="F1979" s="157">
        <f>报表附注合并期初用!E1667</f>
        <v>0</v>
      </c>
      <c r="G1979" s="721"/>
      <c r="H1979" s="721"/>
      <c r="I1979" s="139">
        <f t="shared" si="305"/>
        <v>0</v>
      </c>
      <c r="J1979" s="1422" t="str">
        <f t="shared" si="306"/>
        <v/>
      </c>
      <c r="X1979" s="768"/>
    </row>
    <row r="1980" outlineLevel="2" spans="1:24">
      <c r="A1980" s="1405" t="s">
        <v>1207</v>
      </c>
      <c r="B1980" s="692" t="s">
        <v>3605</v>
      </c>
      <c r="C1980" s="693" t="str">
        <f t="shared" si="303"/>
        <v>深圳新阳蓝光能源管理科技股份有限公司</v>
      </c>
      <c r="D1980" s="1406" t="s">
        <v>2210</v>
      </c>
      <c r="E1980" s="1412" t="s">
        <v>3630</v>
      </c>
      <c r="F1980" s="1416">
        <f>ROUND(SUM(F1954,F1967,F1973,F1977),2)</f>
        <v>1116508.51</v>
      </c>
      <c r="G1980" s="1416">
        <f>ROUND(SUM(G1954,G1967,G1973,G1977),2)</f>
        <v>10581538.89</v>
      </c>
      <c r="H1980" s="1416">
        <f>ROUND(SUM(H1954,H1967,H1973,H1977),2)</f>
        <v>10282028.9</v>
      </c>
      <c r="I1980" s="1416">
        <f>ROUND(SUM(I1954,I1967,I1973,I1977),2)</f>
        <v>1416018.5</v>
      </c>
      <c r="J1980" s="1422"/>
      <c r="X1980" s="768" t="b">
        <f t="shared" si="304"/>
        <v>1</v>
      </c>
    </row>
    <row r="1981" outlineLevel="2" spans="1:24">
      <c r="A1981" s="1405" t="s">
        <v>1723</v>
      </c>
      <c r="B1981" s="692" t="s">
        <v>3605</v>
      </c>
      <c r="C1981" s="693" t="str">
        <f t="shared" si="303"/>
        <v>深圳新阳蓝光能源管理科技股份有限公司</v>
      </c>
      <c r="D1981" s="1406" t="s">
        <v>2210</v>
      </c>
      <c r="E1981" s="1361" t="s">
        <v>1723</v>
      </c>
      <c r="F1981" s="1417">
        <f>审定资负表!H12</f>
        <v>1116508.51</v>
      </c>
      <c r="G1981" s="1418"/>
      <c r="H1981" s="1418"/>
      <c r="I1981" s="1417">
        <f>审定资负表!G12</f>
        <v>1416018.5</v>
      </c>
      <c r="X1981" s="768" t="b">
        <f t="shared" si="304"/>
        <v>1</v>
      </c>
    </row>
    <row r="1982" outlineLevel="1" spans="1:24">
      <c r="A1982" s="1405" t="s">
        <v>1395</v>
      </c>
      <c r="B1982" s="692" t="s">
        <v>3605</v>
      </c>
      <c r="C1982" s="693" t="str">
        <f t="shared" si="303"/>
        <v>深圳新阳蓝光能源管理科技股份有限公司</v>
      </c>
      <c r="D1982" s="1406" t="s">
        <v>2210</v>
      </c>
      <c r="E1982" s="1361" t="s">
        <v>1395</v>
      </c>
      <c r="F1982" s="92">
        <f>ROUND(F1980-F1981,2)</f>
        <v>0</v>
      </c>
      <c r="G1982" s="1418"/>
      <c r="H1982" s="92">
        <f>H1980-审定现流表!C12</f>
        <v>53068.6400000006</v>
      </c>
      <c r="I1982" s="92">
        <f>ROUND(I1980-I1981,2)</f>
        <v>0</v>
      </c>
      <c r="J1982" s="1425"/>
      <c r="X1982" s="768" t="b">
        <f t="shared" si="304"/>
        <v>1</v>
      </c>
    </row>
    <row r="1983" outlineLevel="2" spans="2:24">
      <c r="B1983" s="1419" t="s">
        <v>3631</v>
      </c>
      <c r="C1983" s="1420" t="str">
        <f t="shared" si="303"/>
        <v>深圳新阳蓝光能源管理科技股份有限公司</v>
      </c>
      <c r="D1983" s="1406" t="s">
        <v>2210</v>
      </c>
      <c r="E1983" s="1421"/>
      <c r="F1983" s="1418"/>
      <c r="G1983" s="1418"/>
      <c r="H1983" s="1418"/>
      <c r="I1983" s="1418"/>
      <c r="X1983" s="768" t="b">
        <f t="shared" si="304"/>
        <v>1</v>
      </c>
    </row>
    <row r="1984" outlineLevel="2" spans="1:24">
      <c r="A1984" s="1405" t="s">
        <v>3632</v>
      </c>
      <c r="B1984" s="692" t="s">
        <v>3605</v>
      </c>
      <c r="C1984" s="693" t="str">
        <f t="shared" si="303"/>
        <v>深圳新阳蓝光能源管理科技股份有限公司</v>
      </c>
      <c r="D1984" s="1406" t="s">
        <v>3632</v>
      </c>
      <c r="E1984" s="806" t="str">
        <f>"（2）应付职工薪酬中属于拖欠性质的金额"&amp;TEXT(F1985,"#,#0.00")&amp;"元。工会经费和职工教育经费金额"&amp;TEXT(G1985,"#,#0.00")&amp;"元，非货币性福利金额"&amp;TEXT(H1985,"#,#0.00")&amp;"元，因解除劳动关系给予补偿"&amp;TEXT(I1985,"#,#0.00")&amp;"元。"</f>
        <v>（2）应付职工薪酬中属于拖欠性质的金额0.00元。工会经费和职工教育经费金额0.00元，非货币性福利金额0.00元，因解除劳动关系给予补偿0.00元。</v>
      </c>
      <c r="F1984" s="1418"/>
      <c r="G1984" s="1418"/>
      <c r="H1984" s="1418"/>
      <c r="I1984" s="1418"/>
      <c r="X1984" s="768" t="b">
        <f t="shared" si="304"/>
        <v>0</v>
      </c>
    </row>
    <row r="1985" outlineLevel="2" spans="1:24">
      <c r="A1985" s="1405" t="s">
        <v>2809</v>
      </c>
      <c r="B1985" s="692" t="s">
        <v>3605</v>
      </c>
      <c r="C1985" s="693" t="str">
        <f t="shared" si="303"/>
        <v>深圳新阳蓝光能源管理科技股份有限公司</v>
      </c>
      <c r="D1985" s="1406" t="s">
        <v>3632</v>
      </c>
      <c r="E1985" s="153" t="s">
        <v>2829</v>
      </c>
      <c r="F1985" s="1426">
        <v>0</v>
      </c>
      <c r="G1985" s="1426">
        <v>0</v>
      </c>
      <c r="H1985" s="1426">
        <v>0</v>
      </c>
      <c r="I1985" s="1426">
        <v>0</v>
      </c>
      <c r="X1985" s="768" t="b">
        <f t="shared" si="304"/>
        <v>1</v>
      </c>
    </row>
    <row r="1986" outlineLevel="2" spans="1:24">
      <c r="A1986" s="1405" t="s">
        <v>3633</v>
      </c>
      <c r="B1986" s="692" t="s">
        <v>3605</v>
      </c>
      <c r="C1986" s="693" t="str">
        <f t="shared" si="303"/>
        <v>深圳新阳蓝光能源管理科技股份有限公司</v>
      </c>
      <c r="D1986" s="1406" t="s">
        <v>3633</v>
      </c>
      <c r="E1986" s="153" t="s">
        <v>3634</v>
      </c>
      <c r="F1986" s="1418"/>
      <c r="G1986" s="1418"/>
      <c r="H1986" s="1418"/>
      <c r="I1986" s="1418"/>
      <c r="X1986" s="768" t="b">
        <f t="shared" si="304"/>
        <v>1</v>
      </c>
    </row>
    <row r="1987" outlineLevel="2" spans="1:24">
      <c r="A1987" s="1405" t="s">
        <v>2809</v>
      </c>
      <c r="B1987" s="692" t="s">
        <v>3605</v>
      </c>
      <c r="C1987" s="693" t="str">
        <f t="shared" si="303"/>
        <v>深圳新阳蓝光能源管理科技股份有限公司</v>
      </c>
      <c r="D1987" s="1406" t="s">
        <v>3633</v>
      </c>
      <c r="E1987" s="153" t="s">
        <v>2829</v>
      </c>
      <c r="F1987" s="1426"/>
      <c r="G1987" s="1426"/>
      <c r="H1987" s="1426"/>
      <c r="I1987" s="1418"/>
      <c r="X1987" s="768" t="b">
        <f t="shared" si="304"/>
        <v>1</v>
      </c>
    </row>
    <row r="1988" outlineLevel="2" spans="2:24">
      <c r="B1988" s="692" t="s">
        <v>3605</v>
      </c>
      <c r="C1988" s="693" t="str">
        <f t="shared" si="303"/>
        <v>深圳新阳蓝光能源管理科技股份有限公司</v>
      </c>
      <c r="D1988" s="1406"/>
      <c r="E1988" s="153"/>
      <c r="F1988" s="1418"/>
      <c r="G1988" s="1418"/>
      <c r="H1988" s="1418"/>
      <c r="I1988" s="1418"/>
      <c r="X1988" s="768" t="b">
        <f t="shared" si="304"/>
        <v>1</v>
      </c>
    </row>
    <row r="1989" outlineLevel="2" spans="1:24">
      <c r="A1989" s="1405" t="s">
        <v>2809</v>
      </c>
      <c r="B1989" s="692" t="s">
        <v>3605</v>
      </c>
      <c r="C1989" s="693" t="str">
        <f t="shared" si="303"/>
        <v>深圳新阳蓝光能源管理科技股份有限公司</v>
      </c>
      <c r="D1989" s="1406"/>
      <c r="E1989" s="153" t="s">
        <v>2829</v>
      </c>
      <c r="F1989" s="1426"/>
      <c r="G1989" s="1426"/>
      <c r="H1989" s="1426"/>
      <c r="I1989" s="1418"/>
      <c r="X1989" s="768" t="b">
        <f t="shared" si="304"/>
        <v>1</v>
      </c>
    </row>
    <row r="1990" outlineLevel="2" spans="2:24">
      <c r="B1990" s="692" t="s">
        <v>3605</v>
      </c>
      <c r="C1990" s="693" t="str">
        <f t="shared" si="303"/>
        <v>深圳新阳蓝光能源管理科技股份有限公司</v>
      </c>
      <c r="D1990" s="1406"/>
      <c r="E1990" s="1421"/>
      <c r="F1990" s="1418"/>
      <c r="G1990" s="1418"/>
      <c r="H1990" s="1418"/>
      <c r="I1990" s="1418"/>
      <c r="X1990" s="768" t="b">
        <f t="shared" si="304"/>
        <v>1</v>
      </c>
    </row>
    <row r="1991" spans="1:24">
      <c r="A1991" s="1427" t="s">
        <v>2224</v>
      </c>
      <c r="B1991" s="692" t="s">
        <v>3635</v>
      </c>
      <c r="C1991" s="693" t="str">
        <f t="shared" si="303"/>
        <v>深圳新阳蓝光能源管理科技股份有限公司</v>
      </c>
      <c r="D1991" s="1428" t="s">
        <v>2224</v>
      </c>
      <c r="E1991" s="70" t="s">
        <v>3636</v>
      </c>
      <c r="F1991" s="1429" t="s">
        <v>3471</v>
      </c>
      <c r="G1991" s="1430"/>
      <c r="X1991" s="768" t="b">
        <f t="shared" si="304"/>
        <v>1</v>
      </c>
    </row>
    <row r="1992" outlineLevel="2" spans="1:24">
      <c r="A1992" s="1427" t="s">
        <v>1085</v>
      </c>
      <c r="B1992" s="692" t="s">
        <v>3635</v>
      </c>
      <c r="C1992" s="693" t="str">
        <f t="shared" si="303"/>
        <v>深圳新阳蓝光能源管理科技股份有限公司</v>
      </c>
      <c r="D1992" s="1428" t="s">
        <v>2224</v>
      </c>
      <c r="E1992" s="1431" t="s">
        <v>1085</v>
      </c>
      <c r="F1992" s="1431" t="s">
        <v>2020</v>
      </c>
      <c r="G1992" s="1431" t="s">
        <v>2249</v>
      </c>
      <c r="H1992" s="1431" t="s">
        <v>2250</v>
      </c>
      <c r="I1992" s="1431" t="s">
        <v>2059</v>
      </c>
      <c r="X1992" s="768" t="b">
        <f t="shared" si="304"/>
        <v>1</v>
      </c>
    </row>
    <row r="1993" outlineLevel="2" spans="1:24">
      <c r="A1993" s="1427" t="s">
        <v>2225</v>
      </c>
      <c r="B1993" s="692" t="s">
        <v>3635</v>
      </c>
      <c r="C1993" s="693" t="str">
        <f t="shared" si="303"/>
        <v>深圳新阳蓝光能源管理科技股份有限公司</v>
      </c>
      <c r="D1993" s="1428" t="s">
        <v>2224</v>
      </c>
      <c r="E1993" s="1432" t="s">
        <v>3637</v>
      </c>
      <c r="F1993" s="743">
        <f>报表附注合并期初用!E1756</f>
        <v>3027757.18</v>
      </c>
      <c r="G1993" s="136">
        <v>469616.21</v>
      </c>
      <c r="H1993" s="136">
        <v>3497373.39</v>
      </c>
      <c r="I1993" s="139">
        <f>F1993+G1993-H1993</f>
        <v>0</v>
      </c>
      <c r="J1993" s="838"/>
      <c r="K1993" s="838"/>
      <c r="L1993" s="838"/>
      <c r="X1993" s="768" t="b">
        <f t="shared" si="304"/>
        <v>0</v>
      </c>
    </row>
    <row r="1994" outlineLevel="2" spans="1:24">
      <c r="A1994" s="1427" t="s">
        <v>2226</v>
      </c>
      <c r="B1994" s="692" t="s">
        <v>3635</v>
      </c>
      <c r="C1994" s="693" t="str">
        <f t="shared" si="303"/>
        <v>深圳新阳蓝光能源管理科技股份有限公司</v>
      </c>
      <c r="D1994" s="1428" t="s">
        <v>2224</v>
      </c>
      <c r="E1994" s="1432" t="s">
        <v>3638</v>
      </c>
      <c r="F1994" s="743">
        <f>报表附注合并期初用!E1757</f>
        <v>2437394.53</v>
      </c>
      <c r="G1994" s="136">
        <f>12521781.08-8418898.64+54240.85</f>
        <v>4157123.29</v>
      </c>
      <c r="H1994" s="136">
        <v>6350573.85</v>
      </c>
      <c r="I1994" s="139">
        <f>F1994+G1994-H1994</f>
        <v>243943.97</v>
      </c>
      <c r="J1994" s="838"/>
      <c r="K1994" s="838"/>
      <c r="L1994" s="838"/>
      <c r="X1994" s="768" t="b">
        <f t="shared" si="304"/>
        <v>0</v>
      </c>
    </row>
    <row r="1995" outlineLevel="2" spans="1:24">
      <c r="A1995" s="1427" t="s">
        <v>2227</v>
      </c>
      <c r="B1995" s="692" t="s">
        <v>3635</v>
      </c>
      <c r="C1995" s="693" t="str">
        <f t="shared" si="303"/>
        <v>深圳新阳蓝光能源管理科技股份有限公司</v>
      </c>
      <c r="D1995" s="1428" t="s">
        <v>2224</v>
      </c>
      <c r="E1995" s="1432" t="s">
        <v>3639</v>
      </c>
      <c r="F1995" s="743">
        <f>报表附注合并期初用!E1758</f>
        <v>0</v>
      </c>
      <c r="G1995" s="136">
        <v>183606.79</v>
      </c>
      <c r="H1995" s="136">
        <v>183606.79</v>
      </c>
      <c r="I1995" s="139">
        <f t="shared" ref="I1995:I2016" si="307">F1995+G1995-H1995</f>
        <v>0</v>
      </c>
      <c r="J1995" s="838"/>
      <c r="K1995" s="838"/>
      <c r="L1995" s="838"/>
      <c r="X1995" s="768" t="b">
        <f t="shared" si="304"/>
        <v>0</v>
      </c>
    </row>
    <row r="1996" outlineLevel="2" spans="1:24">
      <c r="A1996" s="1427" t="s">
        <v>2228</v>
      </c>
      <c r="B1996" s="692" t="s">
        <v>3635</v>
      </c>
      <c r="C1996" s="693" t="str">
        <f t="shared" si="303"/>
        <v>深圳新阳蓝光能源管理科技股份有限公司</v>
      </c>
      <c r="D1996" s="1428" t="s">
        <v>2224</v>
      </c>
      <c r="E1996" s="1432" t="s">
        <v>3640</v>
      </c>
      <c r="F1996" s="743">
        <f>报表附注合并期初用!E1759</f>
        <v>0</v>
      </c>
      <c r="G1996" s="136"/>
      <c r="H1996" s="136"/>
      <c r="I1996" s="139">
        <f t="shared" si="307"/>
        <v>0</v>
      </c>
      <c r="J1996" s="1437"/>
      <c r="K1996" s="838"/>
      <c r="L1996" s="838"/>
      <c r="X1996" s="768" t="b">
        <f t="shared" si="304"/>
        <v>0</v>
      </c>
    </row>
    <row r="1997" outlineLevel="2" spans="1:24">
      <c r="A1997" s="1427" t="s">
        <v>2229</v>
      </c>
      <c r="B1997" s="692" t="s">
        <v>3635</v>
      </c>
      <c r="C1997" s="693" t="str">
        <f t="shared" si="303"/>
        <v>深圳新阳蓝光能源管理科技股份有限公司</v>
      </c>
      <c r="D1997" s="1428" t="s">
        <v>2224</v>
      </c>
      <c r="E1997" s="1432" t="s">
        <v>3641</v>
      </c>
      <c r="F1997" s="743">
        <f>报表附注合并期初用!E1760</f>
        <v>0</v>
      </c>
      <c r="G1997" s="136"/>
      <c r="H1997" s="136"/>
      <c r="I1997" s="139">
        <f t="shared" si="307"/>
        <v>0</v>
      </c>
      <c r="K1997" s="838"/>
      <c r="L1997" s="838"/>
      <c r="X1997" s="768" t="b">
        <f t="shared" si="304"/>
        <v>0</v>
      </c>
    </row>
    <row r="1998" outlineLevel="2" spans="1:24">
      <c r="A1998" s="1427" t="s">
        <v>2230</v>
      </c>
      <c r="B1998" s="692" t="s">
        <v>3635</v>
      </c>
      <c r="C1998" s="693" t="str">
        <f t="shared" si="303"/>
        <v>深圳新阳蓝光能源管理科技股份有限公司</v>
      </c>
      <c r="D1998" s="1428" t="s">
        <v>2224</v>
      </c>
      <c r="E1998" s="1432" t="s">
        <v>3642</v>
      </c>
      <c r="F1998" s="743">
        <f>报表附注合并期初用!E1761</f>
        <v>0</v>
      </c>
      <c r="G1998" s="136"/>
      <c r="H1998" s="136"/>
      <c r="I1998" s="139">
        <f t="shared" si="307"/>
        <v>0</v>
      </c>
      <c r="K1998" s="838"/>
      <c r="L1998" s="838"/>
      <c r="X1998" s="768" t="b">
        <f t="shared" si="304"/>
        <v>0</v>
      </c>
    </row>
    <row r="1999" outlineLevel="2" spans="1:24">
      <c r="A1999" s="1427" t="s">
        <v>2231</v>
      </c>
      <c r="B1999" s="692" t="s">
        <v>3635</v>
      </c>
      <c r="C1999" s="693" t="str">
        <f t="shared" si="303"/>
        <v>深圳新阳蓝光能源管理科技股份有限公司</v>
      </c>
      <c r="D1999" s="1428" t="s">
        <v>2224</v>
      </c>
      <c r="E1999" s="1432" t="s">
        <v>3643</v>
      </c>
      <c r="F1999" s="743">
        <f>报表附注合并期初用!E1762</f>
        <v>0</v>
      </c>
      <c r="G1999" s="136"/>
      <c r="H1999" s="136"/>
      <c r="I1999" s="139">
        <f t="shared" si="307"/>
        <v>0</v>
      </c>
      <c r="J1999" s="838"/>
      <c r="K1999" s="838"/>
      <c r="L1999" s="838"/>
      <c r="X1999" s="768" t="b">
        <f t="shared" si="304"/>
        <v>0</v>
      </c>
    </row>
    <row r="2000" outlineLevel="2" spans="1:24">
      <c r="A2000" s="1427" t="s">
        <v>2232</v>
      </c>
      <c r="B2000" s="692" t="s">
        <v>3635</v>
      </c>
      <c r="C2000" s="693" t="str">
        <f t="shared" si="303"/>
        <v>深圳新阳蓝光能源管理科技股份有限公司</v>
      </c>
      <c r="D2000" s="1428" t="s">
        <v>2224</v>
      </c>
      <c r="E2000" s="1432" t="s">
        <v>3644</v>
      </c>
      <c r="F2000" s="743">
        <f>报表附注合并期初用!E1763</f>
        <v>0</v>
      </c>
      <c r="G2000" s="136"/>
      <c r="H2000" s="136"/>
      <c r="I2000" s="139">
        <f t="shared" si="307"/>
        <v>0</v>
      </c>
      <c r="J2000" s="838"/>
      <c r="K2000" s="838"/>
      <c r="L2000" s="838"/>
      <c r="X2000" s="768" t="b">
        <f t="shared" si="304"/>
        <v>0</v>
      </c>
    </row>
    <row r="2001" outlineLevel="2" spans="1:24">
      <c r="A2001" s="1427" t="s">
        <v>2233</v>
      </c>
      <c r="B2001" s="692" t="s">
        <v>3635</v>
      </c>
      <c r="C2001" s="693" t="str">
        <f t="shared" si="303"/>
        <v>深圳新阳蓝光能源管理科技股份有限公司</v>
      </c>
      <c r="D2001" s="1428" t="s">
        <v>2224</v>
      </c>
      <c r="E2001" s="1432" t="s">
        <v>3645</v>
      </c>
      <c r="F2001" s="743">
        <f>报表附注合并期初用!E1764</f>
        <v>0</v>
      </c>
      <c r="G2001" s="136"/>
      <c r="H2001" s="136"/>
      <c r="I2001" s="139">
        <f t="shared" si="307"/>
        <v>0</v>
      </c>
      <c r="K2001" s="838"/>
      <c r="L2001" s="838"/>
      <c r="X2001" s="768" t="b">
        <f t="shared" si="304"/>
        <v>0</v>
      </c>
    </row>
    <row r="2002" outlineLevel="2" spans="1:24">
      <c r="A2002" s="1427" t="s">
        <v>2234</v>
      </c>
      <c r="B2002" s="692" t="s">
        <v>3635</v>
      </c>
      <c r="C2002" s="693" t="str">
        <f t="shared" si="303"/>
        <v>深圳新阳蓝光能源管理科技股份有限公司</v>
      </c>
      <c r="D2002" s="1428" t="s">
        <v>2224</v>
      </c>
      <c r="E2002" s="1432" t="s">
        <v>3646</v>
      </c>
      <c r="F2002" s="743">
        <f>报表附注合并期初用!E1765</f>
        <v>89833.04</v>
      </c>
      <c r="G2002" s="136">
        <v>75761.56</v>
      </c>
      <c r="H2002" s="136">
        <v>165594.6</v>
      </c>
      <c r="I2002" s="139">
        <f t="shared" si="307"/>
        <v>0</v>
      </c>
      <c r="J2002" s="1437"/>
      <c r="K2002" s="1437"/>
      <c r="L2002" s="1437"/>
      <c r="X2002" s="768" t="b">
        <f t="shared" si="304"/>
        <v>0</v>
      </c>
    </row>
    <row r="2003" outlineLevel="2" spans="1:24">
      <c r="A2003" s="1427" t="s">
        <v>2235</v>
      </c>
      <c r="B2003" s="692" t="s">
        <v>3635</v>
      </c>
      <c r="C2003" s="693" t="str">
        <f t="shared" si="303"/>
        <v>深圳新阳蓝光能源管理科技股份有限公司</v>
      </c>
      <c r="D2003" s="1428" t="s">
        <v>2224</v>
      </c>
      <c r="E2003" s="1432" t="s">
        <v>3647</v>
      </c>
      <c r="F2003" s="743">
        <f>报表附注合并期初用!E1766</f>
        <v>63812.82</v>
      </c>
      <c r="G2003" s="136">
        <f>34290.69+22860.45</f>
        <v>57151.14</v>
      </c>
      <c r="H2003" s="136">
        <f>72578.37+48385.59</f>
        <v>120963.96</v>
      </c>
      <c r="I2003" s="139">
        <f t="shared" si="307"/>
        <v>0</v>
      </c>
      <c r="J2003" s="1437"/>
      <c r="K2003" s="1437"/>
      <c r="X2003" s="768" t="b">
        <f t="shared" si="304"/>
        <v>0</v>
      </c>
    </row>
    <row r="2004" outlineLevel="2" spans="1:24">
      <c r="A2004" s="1427" t="s">
        <v>2236</v>
      </c>
      <c r="B2004" s="692" t="s">
        <v>3635</v>
      </c>
      <c r="C2004" s="693" t="str">
        <f t="shared" si="303"/>
        <v>深圳新阳蓝光能源管理科技股份有限公司</v>
      </c>
      <c r="D2004" s="1428" t="s">
        <v>2224</v>
      </c>
      <c r="E2004" s="1432" t="s">
        <v>3648</v>
      </c>
      <c r="F2004" s="743">
        <f>报表附注合并期初用!E1767</f>
        <v>0</v>
      </c>
      <c r="G2004" s="136"/>
      <c r="H2004" s="136"/>
      <c r="I2004" s="139">
        <f t="shared" si="307"/>
        <v>0</v>
      </c>
      <c r="X2004" s="768" t="b">
        <f t="shared" si="304"/>
        <v>0</v>
      </c>
    </row>
    <row r="2005" outlineLevel="2" spans="1:24">
      <c r="A2005" s="1427" t="s">
        <v>2237</v>
      </c>
      <c r="B2005" s="692" t="s">
        <v>3635</v>
      </c>
      <c r="C2005" s="693" t="str">
        <f t="shared" si="303"/>
        <v>深圳新阳蓝光能源管理科技股份有限公司</v>
      </c>
      <c r="D2005" s="1428" t="s">
        <v>2224</v>
      </c>
      <c r="E2005" s="1432" t="s">
        <v>3649</v>
      </c>
      <c r="F2005" s="743">
        <f>报表附注合并期初用!E1768</f>
        <v>20706.5</v>
      </c>
      <c r="G2005" s="136">
        <v>282991.57</v>
      </c>
      <c r="H2005" s="136">
        <v>229922.93</v>
      </c>
      <c r="I2005" s="139">
        <f t="shared" si="307"/>
        <v>73775.14</v>
      </c>
      <c r="J2005" s="1437"/>
      <c r="X2005" s="768" t="b">
        <f t="shared" si="304"/>
        <v>0</v>
      </c>
    </row>
    <row r="2006" outlineLevel="2" spans="1:24">
      <c r="A2006" s="1427" t="s">
        <v>2238</v>
      </c>
      <c r="B2006" s="692" t="s">
        <v>3635</v>
      </c>
      <c r="C2006" s="693" t="str">
        <f t="shared" si="303"/>
        <v>深圳新阳蓝光能源管理科技股份有限公司</v>
      </c>
      <c r="D2006" s="1428" t="s">
        <v>2224</v>
      </c>
      <c r="E2006" s="1432" t="s">
        <v>3650</v>
      </c>
      <c r="F2006" s="743">
        <f>报表附注合并期初用!E1769</f>
        <v>0</v>
      </c>
      <c r="G2006" s="136">
        <v>154182.78</v>
      </c>
      <c r="H2006" s="136">
        <v>40579.63</v>
      </c>
      <c r="I2006" s="139">
        <f t="shared" si="307"/>
        <v>113603.15</v>
      </c>
      <c r="J2006" s="1437"/>
      <c r="X2006" s="768" t="b">
        <f t="shared" si="304"/>
        <v>0</v>
      </c>
    </row>
    <row r="2007" outlineLevel="2" spans="1:24">
      <c r="A2007" s="1427" t="s">
        <v>2239</v>
      </c>
      <c r="B2007" s="692" t="s">
        <v>3635</v>
      </c>
      <c r="C2007" s="693" t="str">
        <f t="shared" si="303"/>
        <v>深圳新阳蓝光能源管理科技股份有限公司</v>
      </c>
      <c r="D2007" s="1428" t="s">
        <v>2224</v>
      </c>
      <c r="E2007" s="1432" t="s">
        <v>3651</v>
      </c>
      <c r="F2007" s="743">
        <f>报表附注合并期初用!E1770</f>
        <v>0</v>
      </c>
      <c r="G2007" s="136">
        <v>174.72</v>
      </c>
      <c r="H2007" s="136">
        <v>174.72</v>
      </c>
      <c r="I2007" s="139">
        <f t="shared" si="307"/>
        <v>0</v>
      </c>
      <c r="X2007" s="768" t="b">
        <f t="shared" si="304"/>
        <v>0</v>
      </c>
    </row>
    <row r="2008" outlineLevel="2" spans="1:24">
      <c r="A2008" s="1427" t="s">
        <v>2240</v>
      </c>
      <c r="B2008" s="692" t="s">
        <v>3635</v>
      </c>
      <c r="C2008" s="693" t="str">
        <f t="shared" si="303"/>
        <v>深圳新阳蓝光能源管理科技股份有限公司</v>
      </c>
      <c r="D2008" s="1428" t="s">
        <v>2224</v>
      </c>
      <c r="E2008" s="1432" t="s">
        <v>3652</v>
      </c>
      <c r="F2008" s="743">
        <f>报表附注合并期初用!E1771</f>
        <v>0</v>
      </c>
      <c r="G2008" s="136"/>
      <c r="H2008" s="136"/>
      <c r="I2008" s="139">
        <f t="shared" si="307"/>
        <v>0</v>
      </c>
      <c r="X2008" s="768" t="b">
        <f t="shared" si="304"/>
        <v>0</v>
      </c>
    </row>
    <row r="2009" outlineLevel="2" spans="1:24">
      <c r="A2009" s="1427" t="s">
        <v>2241</v>
      </c>
      <c r="B2009" s="692" t="s">
        <v>3635</v>
      </c>
      <c r="C2009" s="693" t="str">
        <f t="shared" si="303"/>
        <v>深圳新阳蓝光能源管理科技股份有限公司</v>
      </c>
      <c r="D2009" s="1428" t="s">
        <v>2224</v>
      </c>
      <c r="E2009" s="1432" t="s">
        <v>3653</v>
      </c>
      <c r="F2009" s="743">
        <f>报表附注合并期初用!E1772</f>
        <v>0</v>
      </c>
      <c r="G2009" s="136"/>
      <c r="H2009" s="136"/>
      <c r="I2009" s="139">
        <f t="shared" si="307"/>
        <v>0</v>
      </c>
      <c r="X2009" s="768" t="b">
        <f t="shared" si="304"/>
        <v>0</v>
      </c>
    </row>
    <row r="2010" outlineLevel="2" spans="1:24">
      <c r="A2010" s="1427" t="s">
        <v>2242</v>
      </c>
      <c r="B2010" s="692" t="s">
        <v>3635</v>
      </c>
      <c r="C2010" s="693" t="str">
        <f t="shared" si="303"/>
        <v>深圳新阳蓝光能源管理科技股份有限公司</v>
      </c>
      <c r="D2010" s="1428" t="s">
        <v>2224</v>
      </c>
      <c r="E2010" s="1432" t="s">
        <v>3654</v>
      </c>
      <c r="F2010" s="743">
        <f>报表附注合并期初用!E1773</f>
        <v>0</v>
      </c>
      <c r="G2010" s="136"/>
      <c r="H2010" s="136"/>
      <c r="I2010" s="139">
        <f t="shared" si="307"/>
        <v>0</v>
      </c>
      <c r="X2010" s="768" t="b">
        <f t="shared" si="304"/>
        <v>0</v>
      </c>
    </row>
    <row r="2011" outlineLevel="2" spans="1:24">
      <c r="A2011" s="1427" t="s">
        <v>2243</v>
      </c>
      <c r="B2011" s="692" t="s">
        <v>3635</v>
      </c>
      <c r="C2011" s="693" t="str">
        <f t="shared" si="303"/>
        <v>深圳新阳蓝光能源管理科技股份有限公司</v>
      </c>
      <c r="D2011" s="1428" t="s">
        <v>2224</v>
      </c>
      <c r="E2011" s="1432" t="s">
        <v>3655</v>
      </c>
      <c r="F2011" s="743">
        <f>报表附注合并期初用!E1774</f>
        <v>0</v>
      </c>
      <c r="G2011" s="136"/>
      <c r="H2011" s="136"/>
      <c r="I2011" s="139">
        <f t="shared" si="307"/>
        <v>0</v>
      </c>
      <c r="X2011" s="768" t="b">
        <f t="shared" si="304"/>
        <v>0</v>
      </c>
    </row>
    <row r="2012" outlineLevel="2" spans="1:24">
      <c r="A2012" s="1427" t="s">
        <v>2244</v>
      </c>
      <c r="B2012" s="692" t="s">
        <v>3635</v>
      </c>
      <c r="C2012" s="693" t="str">
        <f t="shared" si="303"/>
        <v>深圳新阳蓝光能源管理科技股份有限公司</v>
      </c>
      <c r="D2012" s="1428" t="s">
        <v>2224</v>
      </c>
      <c r="E2012" s="1433" t="s">
        <v>3656</v>
      </c>
      <c r="F2012" s="743">
        <f>报表附注合并期初用!E1775</f>
        <v>0</v>
      </c>
      <c r="G2012" s="136">
        <v>3437.03</v>
      </c>
      <c r="H2012" s="136">
        <v>3437.03</v>
      </c>
      <c r="I2012" s="139">
        <f t="shared" si="307"/>
        <v>0</v>
      </c>
      <c r="X2012" s="768" t="b">
        <f t="shared" si="304"/>
        <v>0</v>
      </c>
    </row>
    <row r="2013" outlineLevel="2" spans="1:24">
      <c r="A2013" s="1427" t="s">
        <v>2245</v>
      </c>
      <c r="B2013" s="692" t="s">
        <v>3635</v>
      </c>
      <c r="C2013" s="693" t="str">
        <f t="shared" si="303"/>
        <v>深圳新阳蓝光能源管理科技股份有限公司</v>
      </c>
      <c r="D2013" s="1428" t="s">
        <v>2224</v>
      </c>
      <c r="E2013" s="1433" t="s">
        <v>3657</v>
      </c>
      <c r="F2013" s="743">
        <f>报表附注合并期初用!E1776</f>
        <v>0</v>
      </c>
      <c r="G2013" s="136"/>
      <c r="H2013" s="136"/>
      <c r="I2013" s="139">
        <f t="shared" si="307"/>
        <v>0</v>
      </c>
      <c r="X2013" s="768" t="b">
        <f t="shared" si="304"/>
        <v>0</v>
      </c>
    </row>
    <row r="2014" outlineLevel="2" spans="1:24">
      <c r="A2014" s="1427" t="s">
        <v>2246</v>
      </c>
      <c r="B2014" s="692" t="s">
        <v>3635</v>
      </c>
      <c r="C2014" s="693" t="str">
        <f t="shared" si="303"/>
        <v>深圳新阳蓝光能源管理科技股份有限公司</v>
      </c>
      <c r="D2014" s="1428" t="s">
        <v>2224</v>
      </c>
      <c r="E2014" s="1433" t="s">
        <v>3658</v>
      </c>
      <c r="F2014" s="743">
        <f>报表附注合并期初用!E1777</f>
        <v>0</v>
      </c>
      <c r="G2014" s="136"/>
      <c r="H2014" s="136"/>
      <c r="I2014" s="139">
        <f t="shared" si="307"/>
        <v>0</v>
      </c>
      <c r="X2014" s="768" t="b">
        <f t="shared" si="304"/>
        <v>0</v>
      </c>
    </row>
    <row r="2015" outlineLevel="2" spans="1:24">
      <c r="A2015" s="1427" t="s">
        <v>2247</v>
      </c>
      <c r="B2015" s="692" t="s">
        <v>3635</v>
      </c>
      <c r="C2015" s="693" t="str">
        <f t="shared" si="303"/>
        <v>深圳新阳蓝光能源管理科技股份有限公司</v>
      </c>
      <c r="D2015" s="1428" t="s">
        <v>2224</v>
      </c>
      <c r="E2015" s="1433" t="s">
        <v>3659</v>
      </c>
      <c r="F2015" s="743">
        <f>报表附注合并期初用!E1778</f>
        <v>0</v>
      </c>
      <c r="G2015" s="136"/>
      <c r="H2015" s="136"/>
      <c r="I2015" s="139">
        <f t="shared" si="307"/>
        <v>0</v>
      </c>
      <c r="X2015" s="768" t="b">
        <f t="shared" si="304"/>
        <v>0</v>
      </c>
    </row>
    <row r="2016" outlineLevel="2" spans="1:24">
      <c r="A2016" s="1427" t="s">
        <v>2248</v>
      </c>
      <c r="B2016" s="692" t="s">
        <v>3635</v>
      </c>
      <c r="C2016" s="693" t="str">
        <f t="shared" si="303"/>
        <v>深圳新阳蓝光能源管理科技股份有限公司</v>
      </c>
      <c r="D2016" s="1428" t="s">
        <v>2224</v>
      </c>
      <c r="E2016" s="1433" t="s">
        <v>3660</v>
      </c>
      <c r="F2016" s="743">
        <f>报表附注合并期初用!E1779</f>
        <v>0</v>
      </c>
      <c r="G2016" s="136"/>
      <c r="H2016" s="136"/>
      <c r="I2016" s="139">
        <f t="shared" si="307"/>
        <v>0</v>
      </c>
      <c r="X2016" s="768" t="b">
        <f t="shared" si="304"/>
        <v>0</v>
      </c>
    </row>
    <row r="2017" outlineLevel="2" spans="1:24">
      <c r="A2017" s="1427" t="s">
        <v>2021</v>
      </c>
      <c r="B2017" s="692" t="s">
        <v>3635</v>
      </c>
      <c r="C2017" s="693" t="str">
        <f t="shared" si="303"/>
        <v>深圳新阳蓝光能源管理科技股份有限公司</v>
      </c>
      <c r="D2017" s="1428" t="s">
        <v>2224</v>
      </c>
      <c r="E2017" s="1434" t="s">
        <v>2021</v>
      </c>
      <c r="F2017" s="1435">
        <f>SUM(F1993:F2016)</f>
        <v>5639504.07</v>
      </c>
      <c r="G2017" s="1435">
        <f t="shared" ref="G2017:I2017" si="308">SUM(G1993:G2016)</f>
        <v>5384045.09</v>
      </c>
      <c r="H2017" s="1435">
        <f t="shared" si="308"/>
        <v>10592226.9</v>
      </c>
      <c r="I2017" s="1435">
        <f t="shared" si="308"/>
        <v>431322.26</v>
      </c>
      <c r="X2017" s="768" t="b">
        <f t="shared" si="304"/>
        <v>1</v>
      </c>
    </row>
    <row r="2018" outlineLevel="2" spans="1:24">
      <c r="A2018" s="1427" t="s">
        <v>1723</v>
      </c>
      <c r="B2018" s="692" t="s">
        <v>3635</v>
      </c>
      <c r="C2018" s="693" t="str">
        <f t="shared" ref="C2018:C2081" si="309">$G$1</f>
        <v>深圳新阳蓝光能源管理科技股份有限公司</v>
      </c>
      <c r="D2018" s="1428" t="s">
        <v>2224</v>
      </c>
      <c r="E2018" s="1361" t="s">
        <v>1723</v>
      </c>
      <c r="F2018" s="1436">
        <f>审定资负表!H13</f>
        <v>5639504.07</v>
      </c>
      <c r="H2018" s="1437">
        <f>H2017-H2005+H955</f>
        <v>10362303.97</v>
      </c>
      <c r="I2018" s="1436">
        <f>审定资负表!G13</f>
        <v>431322.26</v>
      </c>
      <c r="X2018" s="768" t="b">
        <f t="shared" ref="X2018:X2081" si="310">EXACT(A2018,E2018)</f>
        <v>1</v>
      </c>
    </row>
    <row r="2019" outlineLevel="1" collapsed="1" spans="1:24">
      <c r="A2019" s="1427" t="s">
        <v>1395</v>
      </c>
      <c r="B2019" s="692" t="s">
        <v>3635</v>
      </c>
      <c r="C2019" s="693" t="str">
        <f t="shared" si="309"/>
        <v>深圳新阳蓝光能源管理科技股份有限公司</v>
      </c>
      <c r="D2019" s="1428" t="s">
        <v>2224</v>
      </c>
      <c r="E2019" s="1361" t="s">
        <v>1395</v>
      </c>
      <c r="F2019" s="92">
        <f>ROUND(F2017-F2018,2)</f>
        <v>0</v>
      </c>
      <c r="I2019" s="92">
        <f>ROUND(I2017-I2018,2)</f>
        <v>0</v>
      </c>
      <c r="J2019" s="1437"/>
      <c r="X2019" s="768" t="b">
        <f t="shared" si="310"/>
        <v>1</v>
      </c>
    </row>
    <row r="2020" hidden="1" outlineLevel="2" spans="2:24">
      <c r="B2020" s="692" t="s">
        <v>3635</v>
      </c>
      <c r="C2020" s="693" t="str">
        <f t="shared" si="309"/>
        <v>深圳新阳蓝光能源管理科技股份有限公司</v>
      </c>
      <c r="D2020" s="1428" t="s">
        <v>2224</v>
      </c>
      <c r="E2020" s="1438"/>
      <c r="F2020" s="1439"/>
      <c r="G2020" s="1439"/>
      <c r="X2020" s="768" t="b">
        <f t="shared" si="310"/>
        <v>1</v>
      </c>
    </row>
    <row r="2021" hidden="1" outlineLevel="2" spans="1:24">
      <c r="A2021" s="1427" t="s">
        <v>3661</v>
      </c>
      <c r="B2021" s="692" t="s">
        <v>3635</v>
      </c>
      <c r="C2021" s="693" t="str">
        <f t="shared" si="309"/>
        <v>深圳新阳蓝光能源管理科技股份有限公司</v>
      </c>
      <c r="D2021" s="1428" t="s">
        <v>3661</v>
      </c>
      <c r="E2021" s="153" t="s">
        <v>3662</v>
      </c>
      <c r="F2021" s="1439"/>
      <c r="G2021" s="1439"/>
      <c r="X2021" s="768" t="b">
        <f t="shared" si="310"/>
        <v>1</v>
      </c>
    </row>
    <row r="2022" hidden="1" outlineLevel="2" spans="1:24">
      <c r="A2022" s="1427" t="s">
        <v>2809</v>
      </c>
      <c r="B2022" s="692" t="s">
        <v>3635</v>
      </c>
      <c r="C2022" s="693" t="str">
        <f t="shared" si="309"/>
        <v>深圳新阳蓝光能源管理科技股份有限公司</v>
      </c>
      <c r="D2022" s="1428" t="s">
        <v>3661</v>
      </c>
      <c r="E2022" s="1440" t="s">
        <v>2829</v>
      </c>
      <c r="F2022" s="1441"/>
      <c r="G2022" s="1441"/>
      <c r="H2022" s="1442"/>
      <c r="X2022" s="768" t="b">
        <f t="shared" si="310"/>
        <v>1</v>
      </c>
    </row>
    <row r="2023" hidden="1" outlineLevel="2" spans="2:24">
      <c r="B2023" s="692" t="s">
        <v>3635</v>
      </c>
      <c r="C2023" s="693" t="str">
        <f t="shared" si="309"/>
        <v>深圳新阳蓝光能源管理科技股份有限公司</v>
      </c>
      <c r="D2023" s="1428"/>
      <c r="E2023" s="153"/>
      <c r="F2023" s="1439"/>
      <c r="G2023" s="1439"/>
      <c r="X2023" s="768" t="b">
        <f t="shared" si="310"/>
        <v>1</v>
      </c>
    </row>
    <row r="2024" hidden="1" outlineLevel="2" spans="1:24">
      <c r="A2024" s="1427" t="s">
        <v>2809</v>
      </c>
      <c r="B2024" s="692" t="s">
        <v>3635</v>
      </c>
      <c r="C2024" s="693" t="str">
        <f t="shared" si="309"/>
        <v>深圳新阳蓝光能源管理科技股份有限公司</v>
      </c>
      <c r="D2024" s="1428"/>
      <c r="E2024" s="1440" t="s">
        <v>2829</v>
      </c>
      <c r="F2024" s="1441"/>
      <c r="G2024" s="1441"/>
      <c r="H2024" s="1442"/>
      <c r="X2024" s="768" t="b">
        <f t="shared" si="310"/>
        <v>1</v>
      </c>
    </row>
    <row r="2025" spans="1:24">
      <c r="A2025" s="1427" t="s">
        <v>2251</v>
      </c>
      <c r="B2025" s="692" t="s">
        <v>3663</v>
      </c>
      <c r="C2025" s="693" t="str">
        <f t="shared" si="309"/>
        <v>深圳新阳蓝光能源管理科技股份有限公司</v>
      </c>
      <c r="D2025" s="1428" t="s">
        <v>3449</v>
      </c>
      <c r="E2025" s="1233" t="s">
        <v>3664</v>
      </c>
      <c r="F2025" s="1439"/>
      <c r="G2025" s="1439"/>
      <c r="I2025" s="838"/>
      <c r="X2025" s="768" t="b">
        <f t="shared" si="310"/>
        <v>1</v>
      </c>
    </row>
    <row r="2026" outlineLevel="2" spans="1:24">
      <c r="A2026" s="1427" t="s">
        <v>3451</v>
      </c>
      <c r="B2026" s="692" t="s">
        <v>3663</v>
      </c>
      <c r="C2026" s="693" t="str">
        <f t="shared" si="309"/>
        <v>深圳新阳蓝光能源管理科技股份有限公司</v>
      </c>
      <c r="D2026" s="1443" t="s">
        <v>3449</v>
      </c>
      <c r="E2026" s="1037" t="s">
        <v>3452</v>
      </c>
      <c r="F2026" s="751"/>
      <c r="G2026" s="751"/>
      <c r="X2026" s="768" t="b">
        <f t="shared" si="310"/>
        <v>1</v>
      </c>
    </row>
    <row r="2027" outlineLevel="2" spans="1:24">
      <c r="A2027" s="1427" t="s">
        <v>61</v>
      </c>
      <c r="B2027" s="692" t="s">
        <v>3663</v>
      </c>
      <c r="C2027" s="693" t="str">
        <f t="shared" si="309"/>
        <v>深圳新阳蓝光能源管理科技股份有限公司</v>
      </c>
      <c r="D2027" s="1428" t="s">
        <v>3453</v>
      </c>
      <c r="E2027" s="851" t="s">
        <v>61</v>
      </c>
      <c r="F2027" s="851" t="s">
        <v>516</v>
      </c>
      <c r="G2027" s="886" t="s">
        <v>671</v>
      </c>
      <c r="X2027" s="768" t="b">
        <f t="shared" si="310"/>
        <v>1</v>
      </c>
    </row>
    <row r="2028" outlineLevel="2" spans="1:24">
      <c r="A2028" s="1427" t="s">
        <v>2252</v>
      </c>
      <c r="B2028" s="692" t="s">
        <v>3663</v>
      </c>
      <c r="C2028" s="693" t="str">
        <f t="shared" si="309"/>
        <v>深圳新阳蓝光能源管理科技股份有限公司</v>
      </c>
      <c r="D2028" s="1443" t="s">
        <v>3453</v>
      </c>
      <c r="E2028" s="1444" t="s">
        <v>2252</v>
      </c>
      <c r="F2028" s="1445">
        <v>120815.96</v>
      </c>
      <c r="G2028" s="4">
        <v>151896.35</v>
      </c>
      <c r="X2028" s="768" t="b">
        <f t="shared" si="310"/>
        <v>1</v>
      </c>
    </row>
    <row r="2029" outlineLevel="2" spans="1:24">
      <c r="A2029" s="1427" t="s">
        <v>2253</v>
      </c>
      <c r="B2029" s="692" t="s">
        <v>3663</v>
      </c>
      <c r="C2029" s="693" t="str">
        <f t="shared" si="309"/>
        <v>深圳新阳蓝光能源管理科技股份有限公司</v>
      </c>
      <c r="D2029" s="1428" t="s">
        <v>3453</v>
      </c>
      <c r="E2029" s="1444" t="s">
        <v>2253</v>
      </c>
      <c r="F2029" s="1445"/>
      <c r="G2029" s="1446"/>
      <c r="X2029" s="768" t="b">
        <f t="shared" si="310"/>
        <v>1</v>
      </c>
    </row>
    <row r="2030" outlineLevel="2" spans="1:24">
      <c r="A2030" s="1427" t="s">
        <v>2254</v>
      </c>
      <c r="B2030" s="692" t="s">
        <v>3663</v>
      </c>
      <c r="C2030" s="693" t="str">
        <f t="shared" si="309"/>
        <v>深圳新阳蓝光能源管理科技股份有限公司</v>
      </c>
      <c r="D2030" s="1443" t="s">
        <v>3453</v>
      </c>
      <c r="E2030" s="1444" t="s">
        <v>2254</v>
      </c>
      <c r="F2030" s="1445"/>
      <c r="G2030" s="1446"/>
      <c r="X2030" s="768" t="b">
        <f t="shared" si="310"/>
        <v>1</v>
      </c>
    </row>
    <row r="2031" outlineLevel="2" spans="1:24">
      <c r="A2031" s="1427" t="s">
        <v>2021</v>
      </c>
      <c r="B2031" s="692" t="s">
        <v>3663</v>
      </c>
      <c r="C2031" s="693" t="str">
        <f t="shared" si="309"/>
        <v>深圳新阳蓝光能源管理科技股份有限公司</v>
      </c>
      <c r="D2031" s="1428" t="s">
        <v>3453</v>
      </c>
      <c r="E2031" s="1447" t="s">
        <v>2021</v>
      </c>
      <c r="F2031" s="1240">
        <f>SUM(F2028:F2030)</f>
        <v>120815.96</v>
      </c>
      <c r="G2031" s="1240">
        <f>SUM(G2028:G2030)</f>
        <v>151896.35</v>
      </c>
      <c r="X2031" s="768" t="b">
        <f t="shared" si="310"/>
        <v>1</v>
      </c>
    </row>
    <row r="2032" outlineLevel="2" spans="1:24">
      <c r="A2032" s="1427" t="s">
        <v>1723</v>
      </c>
      <c r="B2032" s="692" t="s">
        <v>3663</v>
      </c>
      <c r="C2032" s="693" t="str">
        <f t="shared" si="309"/>
        <v>深圳新阳蓝光能源管理科技股份有限公司</v>
      </c>
      <c r="D2032" s="1443" t="s">
        <v>3453</v>
      </c>
      <c r="E2032" s="1361" t="s">
        <v>1723</v>
      </c>
      <c r="F2032" s="1448">
        <f>审定资负表!G14</f>
        <v>120815.96</v>
      </c>
      <c r="G2032" s="1448">
        <f>审定资负表!H14</f>
        <v>151896.35</v>
      </c>
      <c r="X2032" s="768" t="b">
        <f t="shared" si="310"/>
        <v>1</v>
      </c>
    </row>
    <row r="2033" outlineLevel="1" spans="1:24">
      <c r="A2033" s="1427" t="s">
        <v>1395</v>
      </c>
      <c r="B2033" s="692" t="s">
        <v>3663</v>
      </c>
      <c r="C2033" s="693" t="str">
        <f t="shared" si="309"/>
        <v>深圳新阳蓝光能源管理科技股份有限公司</v>
      </c>
      <c r="D2033" s="1428" t="s">
        <v>3453</v>
      </c>
      <c r="E2033" s="1361" t="s">
        <v>1395</v>
      </c>
      <c r="F2033" s="92">
        <f>ROUND(F2031-F2032,2)</f>
        <v>0</v>
      </c>
      <c r="G2033" s="92">
        <f>ROUND(G2031-G2032,2)</f>
        <v>0</v>
      </c>
      <c r="X2033" s="768" t="b">
        <f t="shared" si="310"/>
        <v>1</v>
      </c>
    </row>
    <row r="2034" outlineLevel="2" spans="2:24">
      <c r="B2034" s="692" t="s">
        <v>3663</v>
      </c>
      <c r="C2034" s="693" t="str">
        <f t="shared" si="309"/>
        <v>深圳新阳蓝光能源管理科技股份有限公司</v>
      </c>
      <c r="D2034" s="1428"/>
      <c r="E2034" s="153"/>
      <c r="F2034" s="1439"/>
      <c r="G2034" s="1439"/>
      <c r="X2034" s="768" t="b">
        <f t="shared" si="310"/>
        <v>1</v>
      </c>
    </row>
    <row r="2035" outlineLevel="2" spans="1:24">
      <c r="A2035" s="1427" t="s">
        <v>2809</v>
      </c>
      <c r="B2035" s="692" t="s">
        <v>3663</v>
      </c>
      <c r="C2035" s="693" t="str">
        <f t="shared" si="309"/>
        <v>深圳新阳蓝光能源管理科技股份有限公司</v>
      </c>
      <c r="D2035" s="1428"/>
      <c r="E2035" s="153" t="s">
        <v>2829</v>
      </c>
      <c r="F2035" s="1441"/>
      <c r="G2035" s="1441"/>
      <c r="H2035" s="1442"/>
      <c r="X2035" s="768" t="b">
        <f t="shared" si="310"/>
        <v>1</v>
      </c>
    </row>
    <row r="2036" outlineLevel="2" spans="2:24">
      <c r="B2036" s="692" t="s">
        <v>3663</v>
      </c>
      <c r="C2036" s="693" t="str">
        <f t="shared" si="309"/>
        <v>深圳新阳蓝光能源管理科技股份有限公司</v>
      </c>
      <c r="D2036" s="1428"/>
      <c r="E2036" s="153"/>
      <c r="F2036" s="1439"/>
      <c r="G2036" s="1439"/>
      <c r="X2036" s="768" t="b">
        <f t="shared" si="310"/>
        <v>1</v>
      </c>
    </row>
    <row r="2037" spans="1:24">
      <c r="A2037" s="1427" t="s">
        <v>3665</v>
      </c>
      <c r="B2037" s="692" t="s">
        <v>3666</v>
      </c>
      <c r="C2037" s="693" t="str">
        <f t="shared" si="309"/>
        <v>深圳新阳蓝光能源管理科技股份有限公司</v>
      </c>
      <c r="D2037" s="1428" t="s">
        <v>3449</v>
      </c>
      <c r="E2037" s="70" t="s">
        <v>3667</v>
      </c>
      <c r="F2037" s="1449" t="s">
        <v>3163</v>
      </c>
      <c r="G2037" s="1439"/>
      <c r="X2037" s="768" t="b">
        <f t="shared" si="310"/>
        <v>1</v>
      </c>
    </row>
    <row r="2038" outlineLevel="2" spans="1:24">
      <c r="A2038" s="1427" t="s">
        <v>3451</v>
      </c>
      <c r="B2038" s="692" t="s">
        <v>3666</v>
      </c>
      <c r="C2038" s="693" t="str">
        <f t="shared" si="309"/>
        <v>深圳新阳蓝光能源管理科技股份有限公司</v>
      </c>
      <c r="D2038" s="1450" t="s">
        <v>3449</v>
      </c>
      <c r="E2038" s="1451" t="s">
        <v>3452</v>
      </c>
      <c r="F2038" s="1452"/>
      <c r="G2038" s="1452"/>
      <c r="X2038" s="768" t="b">
        <f t="shared" si="310"/>
        <v>1</v>
      </c>
    </row>
    <row r="2039" outlineLevel="2" spans="1:24">
      <c r="A2039" s="1427" t="s">
        <v>3668</v>
      </c>
      <c r="B2039" s="692" t="s">
        <v>3666</v>
      </c>
      <c r="C2039" s="693" t="str">
        <f t="shared" si="309"/>
        <v>深圳新阳蓝光能源管理科技股份有限公司</v>
      </c>
      <c r="D2039" s="1428" t="s">
        <v>3453</v>
      </c>
      <c r="E2039" s="1453" t="s">
        <v>3668</v>
      </c>
      <c r="F2039" s="1453" t="s">
        <v>316</v>
      </c>
      <c r="G2039" s="1453" t="s">
        <v>2020</v>
      </c>
      <c r="H2039" s="1453" t="s">
        <v>3669</v>
      </c>
      <c r="X2039" s="768" t="b">
        <f t="shared" si="310"/>
        <v>1</v>
      </c>
    </row>
    <row r="2040" outlineLevel="2" spans="2:24">
      <c r="B2040" s="692" t="s">
        <v>3666</v>
      </c>
      <c r="C2040" s="693" t="str">
        <f t="shared" si="309"/>
        <v>深圳新阳蓝光能源管理科技股份有限公司</v>
      </c>
      <c r="D2040" s="1450" t="s">
        <v>3453</v>
      </c>
      <c r="E2040" s="1454"/>
      <c r="F2040" s="1454"/>
      <c r="G2040" s="1454"/>
      <c r="H2040" s="1454"/>
      <c r="X2040" s="768" t="b">
        <f t="shared" si="310"/>
        <v>1</v>
      </c>
    </row>
    <row r="2041" outlineLevel="2" spans="2:24">
      <c r="B2041" s="692" t="s">
        <v>3666</v>
      </c>
      <c r="C2041" s="693" t="str">
        <f t="shared" si="309"/>
        <v>深圳新阳蓝光能源管理科技股份有限公司</v>
      </c>
      <c r="D2041" s="1428" t="s">
        <v>3453</v>
      </c>
      <c r="E2041" s="1454"/>
      <c r="F2041" s="1454"/>
      <c r="G2041" s="1454"/>
      <c r="H2041" s="1454"/>
      <c r="X2041" s="768" t="b">
        <f t="shared" si="310"/>
        <v>1</v>
      </c>
    </row>
    <row r="2042" outlineLevel="2" spans="2:24">
      <c r="B2042" s="692" t="s">
        <v>3666</v>
      </c>
      <c r="C2042" s="693" t="str">
        <f t="shared" si="309"/>
        <v>深圳新阳蓝光能源管理科技股份有限公司</v>
      </c>
      <c r="D2042" s="1450" t="s">
        <v>3453</v>
      </c>
      <c r="E2042" s="1455"/>
      <c r="F2042" s="1454"/>
      <c r="G2042" s="1454"/>
      <c r="H2042" s="1454"/>
      <c r="X2042" s="768" t="b">
        <f t="shared" si="310"/>
        <v>1</v>
      </c>
    </row>
    <row r="2043" outlineLevel="2" spans="2:24">
      <c r="B2043" s="692" t="s">
        <v>3666</v>
      </c>
      <c r="C2043" s="693" t="str">
        <f t="shared" si="309"/>
        <v>深圳新阳蓝光能源管理科技股份有限公司</v>
      </c>
      <c r="D2043" s="1428" t="s">
        <v>3453</v>
      </c>
      <c r="E2043" s="1454"/>
      <c r="F2043" s="1454"/>
      <c r="G2043" s="1454"/>
      <c r="H2043" s="1454"/>
      <c r="X2043" s="768" t="b">
        <f t="shared" si="310"/>
        <v>1</v>
      </c>
    </row>
    <row r="2044" outlineLevel="2" spans="2:24">
      <c r="B2044" s="692" t="s">
        <v>3666</v>
      </c>
      <c r="C2044" s="693" t="str">
        <f t="shared" si="309"/>
        <v>深圳新阳蓝光能源管理科技股份有限公司</v>
      </c>
      <c r="D2044" s="1450" t="s">
        <v>3453</v>
      </c>
      <c r="E2044" s="1454"/>
      <c r="F2044" s="1454"/>
      <c r="G2044" s="1454"/>
      <c r="H2044" s="1454"/>
      <c r="X2044" s="768" t="b">
        <f t="shared" si="310"/>
        <v>1</v>
      </c>
    </row>
    <row r="2045" outlineLevel="2" spans="2:24">
      <c r="B2045" s="692" t="s">
        <v>3666</v>
      </c>
      <c r="C2045" s="693" t="str">
        <f t="shared" si="309"/>
        <v>深圳新阳蓝光能源管理科技股份有限公司</v>
      </c>
      <c r="D2045" s="1428" t="s">
        <v>3453</v>
      </c>
      <c r="E2045" s="1454"/>
      <c r="F2045" s="1454"/>
      <c r="G2045" s="1454"/>
      <c r="H2045" s="1454"/>
      <c r="X2045" s="768" t="b">
        <f t="shared" si="310"/>
        <v>1</v>
      </c>
    </row>
    <row r="2046" outlineLevel="2" spans="2:24">
      <c r="B2046" s="692" t="s">
        <v>3666</v>
      </c>
      <c r="C2046" s="693" t="str">
        <f t="shared" si="309"/>
        <v>深圳新阳蓝光能源管理科技股份有限公司</v>
      </c>
      <c r="D2046" s="1450" t="s">
        <v>3453</v>
      </c>
      <c r="E2046" s="1454"/>
      <c r="F2046" s="1454"/>
      <c r="G2046" s="1454"/>
      <c r="H2046" s="1454"/>
      <c r="X2046" s="768" t="b">
        <f t="shared" si="310"/>
        <v>1</v>
      </c>
    </row>
    <row r="2047" outlineLevel="2" spans="2:24">
      <c r="B2047" s="692" t="s">
        <v>3666</v>
      </c>
      <c r="C2047" s="693" t="str">
        <f t="shared" si="309"/>
        <v>深圳新阳蓝光能源管理科技股份有限公司</v>
      </c>
      <c r="D2047" s="1428" t="s">
        <v>3453</v>
      </c>
      <c r="E2047" s="1454"/>
      <c r="F2047" s="1454"/>
      <c r="G2047" s="1454"/>
      <c r="H2047" s="1454"/>
      <c r="X2047" s="768" t="b">
        <f t="shared" si="310"/>
        <v>1</v>
      </c>
    </row>
    <row r="2048" outlineLevel="2" spans="2:24">
      <c r="B2048" s="692" t="s">
        <v>3666</v>
      </c>
      <c r="C2048" s="693" t="str">
        <f t="shared" si="309"/>
        <v>深圳新阳蓝光能源管理科技股份有限公司</v>
      </c>
      <c r="D2048" s="1450" t="s">
        <v>3453</v>
      </c>
      <c r="E2048" s="1454"/>
      <c r="F2048" s="1454"/>
      <c r="G2048" s="1454"/>
      <c r="H2048" s="1454"/>
      <c r="X2048" s="768" t="b">
        <f t="shared" si="310"/>
        <v>1</v>
      </c>
    </row>
    <row r="2049" outlineLevel="2" spans="2:24">
      <c r="B2049" s="692" t="s">
        <v>3666</v>
      </c>
      <c r="C2049" s="693" t="str">
        <f t="shared" si="309"/>
        <v>深圳新阳蓝光能源管理科技股份有限公司</v>
      </c>
      <c r="D2049" s="1428" t="s">
        <v>3453</v>
      </c>
      <c r="E2049" s="1454"/>
      <c r="F2049" s="1454"/>
      <c r="G2049" s="1454"/>
      <c r="H2049" s="1454"/>
      <c r="X2049" s="768" t="b">
        <f t="shared" si="310"/>
        <v>1</v>
      </c>
    </row>
    <row r="2050" outlineLevel="2" spans="2:24">
      <c r="B2050" s="692" t="s">
        <v>3666</v>
      </c>
      <c r="C2050" s="693" t="str">
        <f t="shared" si="309"/>
        <v>深圳新阳蓝光能源管理科技股份有限公司</v>
      </c>
      <c r="D2050" s="1450" t="s">
        <v>3453</v>
      </c>
      <c r="E2050" s="1456"/>
      <c r="F2050" s="1278"/>
      <c r="G2050" s="1278"/>
      <c r="H2050" s="1456"/>
      <c r="X2050" s="768" t="b">
        <f t="shared" si="310"/>
        <v>1</v>
      </c>
    </row>
    <row r="2051" outlineLevel="2" spans="2:24">
      <c r="B2051" s="692" t="s">
        <v>3666</v>
      </c>
      <c r="C2051" s="693" t="str">
        <f t="shared" si="309"/>
        <v>深圳新阳蓝光能源管理科技股份有限公司</v>
      </c>
      <c r="D2051" s="1428" t="s">
        <v>3453</v>
      </c>
      <c r="E2051" s="1456"/>
      <c r="F2051" s="1278"/>
      <c r="G2051" s="1278"/>
      <c r="H2051" s="1456"/>
      <c r="X2051" s="768" t="b">
        <f t="shared" si="310"/>
        <v>1</v>
      </c>
    </row>
    <row r="2052" outlineLevel="2" spans="2:24">
      <c r="B2052" s="692" t="s">
        <v>3666</v>
      </c>
      <c r="C2052" s="693" t="str">
        <f t="shared" si="309"/>
        <v>深圳新阳蓝光能源管理科技股份有限公司</v>
      </c>
      <c r="D2052" s="1450" t="s">
        <v>3453</v>
      </c>
      <c r="E2052" s="1456"/>
      <c r="F2052" s="1278"/>
      <c r="G2052" s="1278"/>
      <c r="H2052" s="1456"/>
      <c r="X2052" s="768" t="b">
        <f t="shared" si="310"/>
        <v>1</v>
      </c>
    </row>
    <row r="2053" outlineLevel="2" spans="2:24">
      <c r="B2053" s="692" t="s">
        <v>3666</v>
      </c>
      <c r="C2053" s="693" t="str">
        <f t="shared" si="309"/>
        <v>深圳新阳蓝光能源管理科技股份有限公司</v>
      </c>
      <c r="D2053" s="1428" t="s">
        <v>3453</v>
      </c>
      <c r="E2053" s="1456"/>
      <c r="F2053" s="1278"/>
      <c r="G2053" s="1278"/>
      <c r="H2053" s="1456"/>
      <c r="X2053" s="768" t="b">
        <f t="shared" si="310"/>
        <v>1</v>
      </c>
    </row>
    <row r="2054" outlineLevel="2" spans="2:24">
      <c r="B2054" s="692" t="s">
        <v>3666</v>
      </c>
      <c r="C2054" s="693" t="str">
        <f t="shared" si="309"/>
        <v>深圳新阳蓝光能源管理科技股份有限公司</v>
      </c>
      <c r="D2054" s="1450" t="s">
        <v>3453</v>
      </c>
      <c r="E2054" s="1456"/>
      <c r="F2054" s="1278"/>
      <c r="G2054" s="1278"/>
      <c r="H2054" s="1456"/>
      <c r="X2054" s="768" t="b">
        <f t="shared" si="310"/>
        <v>1</v>
      </c>
    </row>
    <row r="2055" outlineLevel="2" spans="2:24">
      <c r="B2055" s="692" t="s">
        <v>3666</v>
      </c>
      <c r="C2055" s="693" t="str">
        <f t="shared" si="309"/>
        <v>深圳新阳蓝光能源管理科技股份有限公司</v>
      </c>
      <c r="D2055" s="1428" t="s">
        <v>3453</v>
      </c>
      <c r="E2055" s="1456"/>
      <c r="F2055" s="1278"/>
      <c r="G2055" s="1278"/>
      <c r="H2055" s="1456"/>
      <c r="X2055" s="768" t="b">
        <f t="shared" si="310"/>
        <v>1</v>
      </c>
    </row>
    <row r="2056" outlineLevel="2" spans="2:24">
      <c r="B2056" s="692" t="s">
        <v>3666</v>
      </c>
      <c r="C2056" s="693" t="str">
        <f t="shared" si="309"/>
        <v>深圳新阳蓝光能源管理科技股份有限公司</v>
      </c>
      <c r="D2056" s="1450" t="s">
        <v>3453</v>
      </c>
      <c r="E2056" s="1456"/>
      <c r="F2056" s="1457"/>
      <c r="G2056" s="1457"/>
      <c r="H2056" s="1456"/>
      <c r="X2056" s="768" t="b">
        <f t="shared" si="310"/>
        <v>1</v>
      </c>
    </row>
    <row r="2057" outlineLevel="2" spans="1:24">
      <c r="A2057" s="1427" t="s">
        <v>2021</v>
      </c>
      <c r="B2057" s="692" t="s">
        <v>3666</v>
      </c>
      <c r="C2057" s="693" t="str">
        <f t="shared" si="309"/>
        <v>深圳新阳蓝光能源管理科技股份有限公司</v>
      </c>
      <c r="D2057" s="1428" t="s">
        <v>3453</v>
      </c>
      <c r="E2057" s="1453" t="s">
        <v>2021</v>
      </c>
      <c r="F2057" s="1458">
        <f>SUM(F2040:F2056)</f>
        <v>0</v>
      </c>
      <c r="G2057" s="1458">
        <f>SUM(G2040:G2056)</f>
        <v>0</v>
      </c>
      <c r="H2057" s="1459"/>
      <c r="X2057" s="768" t="b">
        <f t="shared" si="310"/>
        <v>1</v>
      </c>
    </row>
    <row r="2058" outlineLevel="2" spans="1:24">
      <c r="A2058" s="1427" t="s">
        <v>1723</v>
      </c>
      <c r="B2058" s="692" t="s">
        <v>3666</v>
      </c>
      <c r="C2058" s="693" t="str">
        <f t="shared" si="309"/>
        <v>深圳新阳蓝光能源管理科技股份有限公司</v>
      </c>
      <c r="D2058" s="1450" t="s">
        <v>3453</v>
      </c>
      <c r="E2058" s="1361" t="s">
        <v>1723</v>
      </c>
      <c r="F2058" s="1436">
        <f>审定资负表!G15</f>
        <v>0</v>
      </c>
      <c r="G2058" s="1436">
        <f>审定资负表!H15</f>
        <v>0</v>
      </c>
      <c r="H2058" s="1439"/>
      <c r="X2058" s="768" t="b">
        <f t="shared" si="310"/>
        <v>1</v>
      </c>
    </row>
    <row r="2059" outlineLevel="1" spans="1:24">
      <c r="A2059" s="1427" t="s">
        <v>1395</v>
      </c>
      <c r="B2059" s="692" t="s">
        <v>3666</v>
      </c>
      <c r="C2059" s="693" t="str">
        <f t="shared" si="309"/>
        <v>深圳新阳蓝光能源管理科技股份有限公司</v>
      </c>
      <c r="D2059" s="1428" t="s">
        <v>3453</v>
      </c>
      <c r="E2059" s="1361" t="s">
        <v>1395</v>
      </c>
      <c r="F2059" s="92">
        <f>ROUND(F2057-F2058,2)</f>
        <v>0</v>
      </c>
      <c r="G2059" s="92">
        <f>ROUND(G2057-G2058,2)</f>
        <v>0</v>
      </c>
      <c r="H2059" s="1439"/>
      <c r="X2059" s="768" t="b">
        <f t="shared" si="310"/>
        <v>1</v>
      </c>
    </row>
    <row r="2060" outlineLevel="2" spans="2:24">
      <c r="B2060" s="692" t="s">
        <v>3666</v>
      </c>
      <c r="C2060" s="693" t="str">
        <f t="shared" si="309"/>
        <v>深圳新阳蓝光能源管理科技股份有限公司</v>
      </c>
      <c r="D2060" s="1428"/>
      <c r="E2060" s="153"/>
      <c r="F2060" s="1439"/>
      <c r="G2060" s="1439"/>
      <c r="X2060" s="768" t="b">
        <f t="shared" si="310"/>
        <v>1</v>
      </c>
    </row>
    <row r="2061" outlineLevel="2" spans="1:24">
      <c r="A2061" s="1427" t="s">
        <v>2809</v>
      </c>
      <c r="B2061" s="692" t="s">
        <v>3666</v>
      </c>
      <c r="C2061" s="693" t="str">
        <f t="shared" si="309"/>
        <v>深圳新阳蓝光能源管理科技股份有限公司</v>
      </c>
      <c r="D2061" s="1428"/>
      <c r="E2061" s="1440" t="s">
        <v>2829</v>
      </c>
      <c r="F2061" s="1441"/>
      <c r="G2061" s="1441"/>
      <c r="H2061" s="1442"/>
      <c r="X2061" s="768" t="b">
        <f t="shared" si="310"/>
        <v>1</v>
      </c>
    </row>
    <row r="2062" spans="1:24">
      <c r="A2062" s="1427" t="s">
        <v>2256</v>
      </c>
      <c r="B2062" s="692" t="s">
        <v>3670</v>
      </c>
      <c r="C2062" s="693" t="str">
        <f t="shared" si="309"/>
        <v>深圳新阳蓝光能源管理科技股份有限公司</v>
      </c>
      <c r="D2062" s="1428" t="s">
        <v>3671</v>
      </c>
      <c r="E2062" s="70" t="s">
        <v>3672</v>
      </c>
      <c r="F2062" s="1439"/>
      <c r="G2062" s="1439"/>
      <c r="X2062" s="768" t="b">
        <f t="shared" si="310"/>
        <v>1</v>
      </c>
    </row>
    <row r="2063" outlineLevel="2" spans="1:24">
      <c r="A2063" s="90" t="s">
        <v>215</v>
      </c>
      <c r="B2063" s="1376" t="s">
        <v>3670</v>
      </c>
      <c r="C2063" s="693" t="str">
        <f t="shared" si="309"/>
        <v>深圳新阳蓝光能源管理科技股份有限公司</v>
      </c>
      <c r="D2063" s="1377" t="s">
        <v>3671</v>
      </c>
      <c r="E2063" s="828" t="s">
        <v>215</v>
      </c>
      <c r="F2063" s="828"/>
      <c r="G2063" s="1429" t="s">
        <v>3471</v>
      </c>
      <c r="X2063" s="768" t="b">
        <f t="shared" si="310"/>
        <v>1</v>
      </c>
    </row>
    <row r="2064" outlineLevel="2" spans="1:24">
      <c r="A2064" s="90" t="s">
        <v>2907</v>
      </c>
      <c r="B2064" s="1376" t="s">
        <v>3670</v>
      </c>
      <c r="C2064" s="693" t="str">
        <f t="shared" si="309"/>
        <v>深圳新阳蓝光能源管理科技股份有限公司</v>
      </c>
      <c r="D2064" s="1428" t="s">
        <v>3671</v>
      </c>
      <c r="E2064" s="830" t="s">
        <v>2907</v>
      </c>
      <c r="F2064" s="830" t="s">
        <v>316</v>
      </c>
      <c r="G2064" s="830" t="s">
        <v>2020</v>
      </c>
      <c r="H2064" s="1395" t="s">
        <v>3574</v>
      </c>
      <c r="I2064" s="1395" t="s">
        <v>3038</v>
      </c>
      <c r="X2064" s="768" t="b">
        <f t="shared" si="310"/>
        <v>1</v>
      </c>
    </row>
    <row r="2065" outlineLevel="2" spans="1:24">
      <c r="A2065" s="90" t="s">
        <v>2026</v>
      </c>
      <c r="B2065" s="1376" t="s">
        <v>3670</v>
      </c>
      <c r="C2065" s="693" t="str">
        <f t="shared" si="309"/>
        <v>深圳新阳蓝光能源管理科技股份有限公司</v>
      </c>
      <c r="D2065" s="1377" t="s">
        <v>3671</v>
      </c>
      <c r="E2065" s="830" t="s">
        <v>2921</v>
      </c>
      <c r="F2065" s="136">
        <v>19019503.08</v>
      </c>
      <c r="G2065" s="743">
        <f>报表附注合并期初用!E1880</f>
        <v>6973460.48</v>
      </c>
      <c r="H2065" s="1396"/>
      <c r="I2065" s="107"/>
      <c r="X2065" s="768" t="b">
        <f t="shared" si="310"/>
        <v>1</v>
      </c>
    </row>
    <row r="2066" outlineLevel="2" spans="1:24">
      <c r="A2066" s="90" t="s">
        <v>2027</v>
      </c>
      <c r="B2066" s="1376" t="s">
        <v>3670</v>
      </c>
      <c r="C2066" s="693" t="str">
        <f t="shared" si="309"/>
        <v>深圳新阳蓝光能源管理科技股份有限公司</v>
      </c>
      <c r="D2066" s="1428" t="s">
        <v>3671</v>
      </c>
      <c r="E2066" s="830" t="s">
        <v>2923</v>
      </c>
      <c r="F2066" s="136">
        <v>500236.74</v>
      </c>
      <c r="G2066" s="743">
        <f>报表附注合并期初用!E1881</f>
        <v>0</v>
      </c>
      <c r="H2066" s="864" t="str">
        <f>IF(F2066&lt;=G2065,"合理","1-2年账不合理")</f>
        <v>合理</v>
      </c>
      <c r="I2066" s="107"/>
      <c r="X2066" s="768" t="b">
        <f t="shared" si="310"/>
        <v>1</v>
      </c>
    </row>
    <row r="2067" outlineLevel="2" spans="1:24">
      <c r="A2067" s="90" t="s">
        <v>2028</v>
      </c>
      <c r="B2067" s="1376" t="s">
        <v>3670</v>
      </c>
      <c r="C2067" s="693" t="str">
        <f t="shared" si="309"/>
        <v>深圳新阳蓝光能源管理科技股份有限公司</v>
      </c>
      <c r="D2067" s="1377" t="s">
        <v>3671</v>
      </c>
      <c r="E2067" s="830" t="s">
        <v>2925</v>
      </c>
      <c r="F2067" s="136"/>
      <c r="G2067" s="743">
        <f>报表附注合并期初用!E1882</f>
        <v>150000</v>
      </c>
      <c r="H2067" s="864" t="str">
        <f>IF(F2067&lt;=G2066,"合理","2-3年账不合理")</f>
        <v>合理</v>
      </c>
      <c r="I2067" s="107"/>
      <c r="X2067" s="768" t="b">
        <f t="shared" si="310"/>
        <v>1</v>
      </c>
    </row>
    <row r="2068" outlineLevel="2" spans="1:24">
      <c r="A2068" s="90" t="s">
        <v>2029</v>
      </c>
      <c r="B2068" s="1376" t="s">
        <v>3670</v>
      </c>
      <c r="C2068" s="693" t="str">
        <f t="shared" si="309"/>
        <v>深圳新阳蓝光能源管理科技股份有限公司</v>
      </c>
      <c r="D2068" s="1428" t="s">
        <v>3671</v>
      </c>
      <c r="E2068" s="830" t="s">
        <v>2926</v>
      </c>
      <c r="F2068" s="136">
        <v>150000</v>
      </c>
      <c r="G2068" s="743">
        <f>报表附注合并期初用!E1883</f>
        <v>0</v>
      </c>
      <c r="H2068" s="864" t="str">
        <f>IF(F2068&lt;=G2067,"合理","3-4年账不合理")</f>
        <v>合理</v>
      </c>
      <c r="I2068" s="107"/>
      <c r="X2068" s="768" t="b">
        <f t="shared" si="310"/>
        <v>1</v>
      </c>
    </row>
    <row r="2069" outlineLevel="2" spans="1:24">
      <c r="A2069" s="90" t="s">
        <v>2030</v>
      </c>
      <c r="B2069" s="1376" t="s">
        <v>3670</v>
      </c>
      <c r="C2069" s="693" t="str">
        <f t="shared" si="309"/>
        <v>深圳新阳蓝光能源管理科技股份有限公司</v>
      </c>
      <c r="D2069" s="1377" t="s">
        <v>3671</v>
      </c>
      <c r="E2069" s="830" t="s">
        <v>2928</v>
      </c>
      <c r="F2069" s="136"/>
      <c r="G2069" s="743">
        <f>报表附注合并期初用!E1884</f>
        <v>0</v>
      </c>
      <c r="H2069" s="864" t="str">
        <f>IF(F2069&lt;=G2068,"合理","3-4年账龄不合理")</f>
        <v>合理</v>
      </c>
      <c r="I2069" s="107"/>
      <c r="X2069" s="768" t="b">
        <f t="shared" si="310"/>
        <v>1</v>
      </c>
    </row>
    <row r="2070" outlineLevel="2" spans="1:24">
      <c r="A2070" s="90" t="s">
        <v>2031</v>
      </c>
      <c r="B2070" s="1376" t="s">
        <v>3670</v>
      </c>
      <c r="C2070" s="693" t="str">
        <f t="shared" si="309"/>
        <v>深圳新阳蓝光能源管理科技股份有限公司</v>
      </c>
      <c r="D2070" s="1428" t="s">
        <v>3671</v>
      </c>
      <c r="E2070" s="830" t="s">
        <v>2929</v>
      </c>
      <c r="F2070" s="136"/>
      <c r="G2070" s="743">
        <f>报表附注合并期初用!E1885</f>
        <v>0</v>
      </c>
      <c r="H2070" s="864" t="str">
        <f>IF(F2070&lt;=(G2070+G2069),"合理","5年以上账龄不合理")</f>
        <v>合理</v>
      </c>
      <c r="I2070" s="107"/>
      <c r="X2070" s="768" t="b">
        <f t="shared" si="310"/>
        <v>1</v>
      </c>
    </row>
    <row r="2071" outlineLevel="2" spans="1:24">
      <c r="A2071" s="90" t="s">
        <v>2021</v>
      </c>
      <c r="B2071" s="1376" t="s">
        <v>3670</v>
      </c>
      <c r="C2071" s="693" t="str">
        <f t="shared" si="309"/>
        <v>深圳新阳蓝光能源管理科技股份有限公司</v>
      </c>
      <c r="D2071" s="1377" t="s">
        <v>3671</v>
      </c>
      <c r="E2071" s="830" t="s">
        <v>2021</v>
      </c>
      <c r="F2071" s="834">
        <f>SUM(F2065:F2070)</f>
        <v>19669739.82</v>
      </c>
      <c r="G2071" s="834">
        <f>SUM(G2065:G2070)</f>
        <v>7123460.48</v>
      </c>
      <c r="X2071" s="768" t="b">
        <f t="shared" si="310"/>
        <v>1</v>
      </c>
    </row>
    <row r="2072" outlineLevel="2" spans="1:24">
      <c r="A2072" s="90" t="s">
        <v>1723</v>
      </c>
      <c r="B2072" s="1381" t="s">
        <v>3670</v>
      </c>
      <c r="C2072" s="693" t="str">
        <f t="shared" si="309"/>
        <v>深圳新阳蓝光能源管理科技股份有限公司</v>
      </c>
      <c r="D2072" s="1428" t="s">
        <v>3671</v>
      </c>
      <c r="E2072" s="1361" t="s">
        <v>1723</v>
      </c>
      <c r="F2072" s="835">
        <f>审定资负表!G16</f>
        <v>19669739.82</v>
      </c>
      <c r="G2072" s="835">
        <f>审定资负表!H16</f>
        <v>7123460.48</v>
      </c>
      <c r="X2072" s="768" t="b">
        <f t="shared" si="310"/>
        <v>1</v>
      </c>
    </row>
    <row r="2073" outlineLevel="1" spans="1:24">
      <c r="A2073" s="90" t="s">
        <v>1395</v>
      </c>
      <c r="B2073" s="1381" t="s">
        <v>3670</v>
      </c>
      <c r="C2073" s="693" t="str">
        <f t="shared" si="309"/>
        <v>深圳新阳蓝光能源管理科技股份有限公司</v>
      </c>
      <c r="D2073" s="1377" t="s">
        <v>3671</v>
      </c>
      <c r="E2073" s="1361" t="s">
        <v>1395</v>
      </c>
      <c r="F2073" s="92">
        <f>ROUND(F2071-F2072,2)</f>
        <v>0</v>
      </c>
      <c r="G2073" s="92">
        <f>ROUND(G2071-G2072,2)</f>
        <v>0</v>
      </c>
      <c r="X2073" s="768" t="b">
        <f t="shared" si="310"/>
        <v>1</v>
      </c>
    </row>
    <row r="2074" outlineLevel="2" spans="2:24">
      <c r="B2074" s="1381" t="s">
        <v>3670</v>
      </c>
      <c r="C2074" s="693" t="str">
        <f t="shared" si="309"/>
        <v>深圳新阳蓝光能源管理科技股份有限公司</v>
      </c>
      <c r="D2074" s="1428" t="s">
        <v>3671</v>
      </c>
      <c r="E2074" s="894"/>
      <c r="F2074" s="715"/>
      <c r="G2074" s="715"/>
      <c r="X2074" s="768" t="b">
        <f t="shared" si="310"/>
        <v>1</v>
      </c>
    </row>
    <row r="2075" outlineLevel="2" spans="1:24">
      <c r="A2075" s="90" t="s">
        <v>3673</v>
      </c>
      <c r="B2075" s="1381" t="s">
        <v>3670</v>
      </c>
      <c r="C2075" s="693" t="str">
        <f t="shared" si="309"/>
        <v>深圳新阳蓝光能源管理科技股份有限公司</v>
      </c>
      <c r="D2075" s="1377" t="s">
        <v>3673</v>
      </c>
      <c r="E2075" s="153" t="s">
        <v>3674</v>
      </c>
      <c r="F2075" s="715"/>
      <c r="G2075" s="715"/>
      <c r="X2075" s="768" t="b">
        <f t="shared" si="310"/>
        <v>1</v>
      </c>
    </row>
    <row r="2076" ht="13.5" customHeight="1" outlineLevel="2" spans="1:24">
      <c r="A2076" s="90" t="s">
        <v>3581</v>
      </c>
      <c r="B2076" s="1381" t="s">
        <v>3670</v>
      </c>
      <c r="C2076" s="693" t="str">
        <f t="shared" si="309"/>
        <v>深圳新阳蓝光能源管理科技股份有限公司</v>
      </c>
      <c r="D2076" s="1382" t="s">
        <v>3673</v>
      </c>
      <c r="E2076" s="153" t="s">
        <v>3581</v>
      </c>
      <c r="F2076" s="1383"/>
      <c r="G2076" s="1383"/>
      <c r="L2076" s="919" t="s">
        <v>2966</v>
      </c>
      <c r="X2076" s="768" t="b">
        <f t="shared" si="310"/>
        <v>1</v>
      </c>
    </row>
    <row r="2077" ht="24.75" customHeight="1" outlineLevel="2" spans="1:24">
      <c r="A2077" s="90" t="s">
        <v>3046</v>
      </c>
      <c r="B2077" s="1381" t="s">
        <v>3670</v>
      </c>
      <c r="C2077" s="693" t="str">
        <f t="shared" si="309"/>
        <v>深圳新阳蓝光能源管理科技股份有限公司</v>
      </c>
      <c r="D2077" s="1382" t="s">
        <v>3673</v>
      </c>
      <c r="E2077" s="1031" t="s">
        <v>3046</v>
      </c>
      <c r="F2077" s="1031" t="s">
        <v>2944</v>
      </c>
      <c r="G2077" s="1031" t="s">
        <v>366</v>
      </c>
      <c r="H2077" s="1031" t="s">
        <v>3582</v>
      </c>
      <c r="I2077" s="1031" t="s">
        <v>2907</v>
      </c>
      <c r="J2077" s="157" t="s">
        <v>3047</v>
      </c>
      <c r="K2077" s="1388" t="s">
        <v>3583</v>
      </c>
      <c r="L2077" s="900" t="s">
        <v>3101</v>
      </c>
      <c r="X2077" s="768" t="b">
        <f t="shared" si="310"/>
        <v>1</v>
      </c>
    </row>
    <row r="2078" ht="13.5" customHeight="1" outlineLevel="2" spans="2:24">
      <c r="B2078" s="1381" t="s">
        <v>3670</v>
      </c>
      <c r="C2078" s="693" t="str">
        <f t="shared" si="309"/>
        <v>深圳新阳蓝光能源管理科技股份有限公司</v>
      </c>
      <c r="D2078" s="1382" t="s">
        <v>3673</v>
      </c>
      <c r="E2078" s="136"/>
      <c r="F2078" s="136"/>
      <c r="G2078" s="136"/>
      <c r="H2078" s="1384">
        <f>IFERROR(ROUND(G2078/$F$2071,4),0)</f>
        <v>0</v>
      </c>
      <c r="I2078" s="136"/>
      <c r="J2078" s="136"/>
      <c r="K2078" s="136"/>
      <c r="X2078" s="768" t="b">
        <f t="shared" si="310"/>
        <v>1</v>
      </c>
    </row>
    <row r="2079" ht="13.5" customHeight="1" outlineLevel="2" spans="2:24">
      <c r="B2079" s="1381" t="s">
        <v>3670</v>
      </c>
      <c r="C2079" s="693" t="str">
        <f t="shared" si="309"/>
        <v>深圳新阳蓝光能源管理科技股份有限公司</v>
      </c>
      <c r="D2079" s="1382" t="s">
        <v>3673</v>
      </c>
      <c r="E2079" s="136"/>
      <c r="F2079" s="136"/>
      <c r="G2079" s="136"/>
      <c r="H2079" s="1384">
        <f t="shared" ref="H2079:H2104" si="311">IFERROR(ROUND(G2079/$F$2071,4),0)</f>
        <v>0</v>
      </c>
      <c r="I2079" s="136"/>
      <c r="J2079" s="136"/>
      <c r="K2079" s="136"/>
      <c r="X2079" s="768" t="b">
        <f t="shared" si="310"/>
        <v>1</v>
      </c>
    </row>
    <row r="2080" ht="13.5" customHeight="1" outlineLevel="2" spans="2:24">
      <c r="B2080" s="1381" t="s">
        <v>3670</v>
      </c>
      <c r="C2080" s="693" t="str">
        <f t="shared" si="309"/>
        <v>深圳新阳蓝光能源管理科技股份有限公司</v>
      </c>
      <c r="D2080" s="1382" t="s">
        <v>3673</v>
      </c>
      <c r="E2080" s="136"/>
      <c r="F2080" s="136"/>
      <c r="G2080" s="136"/>
      <c r="H2080" s="1384">
        <f t="shared" si="311"/>
        <v>0</v>
      </c>
      <c r="I2080" s="136"/>
      <c r="J2080" s="136"/>
      <c r="K2080" s="136"/>
      <c r="X2080" s="768" t="b">
        <f t="shared" si="310"/>
        <v>1</v>
      </c>
    </row>
    <row r="2081" ht="13.5" customHeight="1" outlineLevel="2" spans="2:24">
      <c r="B2081" s="1381" t="s">
        <v>3670</v>
      </c>
      <c r="C2081" s="693" t="str">
        <f t="shared" si="309"/>
        <v>深圳新阳蓝光能源管理科技股份有限公司</v>
      </c>
      <c r="D2081" s="1382" t="s">
        <v>3673</v>
      </c>
      <c r="E2081" s="136"/>
      <c r="F2081" s="136"/>
      <c r="G2081" s="136"/>
      <c r="H2081" s="1384">
        <f t="shared" si="311"/>
        <v>0</v>
      </c>
      <c r="I2081" s="136"/>
      <c r="J2081" s="136"/>
      <c r="K2081" s="136"/>
      <c r="X2081" s="768" t="b">
        <f t="shared" si="310"/>
        <v>1</v>
      </c>
    </row>
    <row r="2082" ht="13.5" customHeight="1" outlineLevel="2" spans="2:24">
      <c r="B2082" s="1381" t="s">
        <v>3670</v>
      </c>
      <c r="C2082" s="693" t="str">
        <f t="shared" ref="C2082:C2145" si="312">$G$1</f>
        <v>深圳新阳蓝光能源管理科技股份有限公司</v>
      </c>
      <c r="D2082" s="1382" t="s">
        <v>3673</v>
      </c>
      <c r="E2082" s="136"/>
      <c r="F2082" s="136"/>
      <c r="G2082" s="136"/>
      <c r="H2082" s="1384">
        <f t="shared" si="311"/>
        <v>0</v>
      </c>
      <c r="I2082" s="136"/>
      <c r="J2082" s="136"/>
      <c r="K2082" s="136"/>
      <c r="X2082" s="768" t="b">
        <f t="shared" ref="X2082:X2145" si="313">EXACT(A2082,E2082)</f>
        <v>1</v>
      </c>
    </row>
    <row r="2083" ht="13.5" customHeight="1" outlineLevel="2" spans="2:24">
      <c r="B2083" s="1381" t="s">
        <v>3670</v>
      </c>
      <c r="C2083" s="693" t="str">
        <f t="shared" si="312"/>
        <v>深圳新阳蓝光能源管理科技股份有限公司</v>
      </c>
      <c r="D2083" s="1382" t="s">
        <v>3673</v>
      </c>
      <c r="E2083" s="136"/>
      <c r="F2083" s="136"/>
      <c r="G2083" s="136"/>
      <c r="H2083" s="1384">
        <f t="shared" si="311"/>
        <v>0</v>
      </c>
      <c r="I2083" s="136"/>
      <c r="J2083" s="136"/>
      <c r="K2083" s="136"/>
      <c r="X2083" s="768" t="b">
        <f t="shared" si="313"/>
        <v>1</v>
      </c>
    </row>
    <row r="2084" ht="13.5" customHeight="1" outlineLevel="2" spans="2:24">
      <c r="B2084" s="1381" t="s">
        <v>3670</v>
      </c>
      <c r="C2084" s="693" t="str">
        <f t="shared" si="312"/>
        <v>深圳新阳蓝光能源管理科技股份有限公司</v>
      </c>
      <c r="D2084" s="1382" t="s">
        <v>3673</v>
      </c>
      <c r="E2084" s="136"/>
      <c r="F2084" s="136"/>
      <c r="G2084" s="136"/>
      <c r="H2084" s="1384">
        <f t="shared" si="311"/>
        <v>0</v>
      </c>
      <c r="I2084" s="136"/>
      <c r="J2084" s="136"/>
      <c r="K2084" s="136"/>
      <c r="X2084" s="768" t="b">
        <f t="shared" si="313"/>
        <v>1</v>
      </c>
    </row>
    <row r="2085" ht="13.5" customHeight="1" outlineLevel="2" spans="2:24">
      <c r="B2085" s="1381" t="s">
        <v>3670</v>
      </c>
      <c r="C2085" s="693" t="str">
        <f t="shared" si="312"/>
        <v>深圳新阳蓝光能源管理科技股份有限公司</v>
      </c>
      <c r="D2085" s="1382" t="s">
        <v>3673</v>
      </c>
      <c r="E2085" s="136"/>
      <c r="F2085" s="136"/>
      <c r="G2085" s="136"/>
      <c r="H2085" s="1384">
        <f t="shared" si="311"/>
        <v>0</v>
      </c>
      <c r="I2085" s="136"/>
      <c r="J2085" s="136"/>
      <c r="K2085" s="136"/>
      <c r="X2085" s="768" t="b">
        <f t="shared" si="313"/>
        <v>1</v>
      </c>
    </row>
    <row r="2086" ht="13.5" customHeight="1" outlineLevel="2" spans="2:24">
      <c r="B2086" s="1381" t="s">
        <v>3670</v>
      </c>
      <c r="C2086" s="693" t="str">
        <f t="shared" si="312"/>
        <v>深圳新阳蓝光能源管理科技股份有限公司</v>
      </c>
      <c r="D2086" s="1382" t="s">
        <v>3673</v>
      </c>
      <c r="E2086" s="136"/>
      <c r="F2086" s="136"/>
      <c r="G2086" s="136"/>
      <c r="H2086" s="1384">
        <f t="shared" si="311"/>
        <v>0</v>
      </c>
      <c r="I2086" s="136"/>
      <c r="J2086" s="136"/>
      <c r="K2086" s="136"/>
      <c r="X2086" s="768" t="b">
        <f t="shared" si="313"/>
        <v>1</v>
      </c>
    </row>
    <row r="2087" ht="13.5" customHeight="1" outlineLevel="2" spans="2:24">
      <c r="B2087" s="1381" t="s">
        <v>3670</v>
      </c>
      <c r="C2087" s="693" t="str">
        <f t="shared" si="312"/>
        <v>深圳新阳蓝光能源管理科技股份有限公司</v>
      </c>
      <c r="D2087" s="1382" t="s">
        <v>3673</v>
      </c>
      <c r="E2087" s="136"/>
      <c r="F2087" s="136"/>
      <c r="G2087" s="136"/>
      <c r="H2087" s="1384">
        <f t="shared" si="311"/>
        <v>0</v>
      </c>
      <c r="I2087" s="136"/>
      <c r="J2087" s="136"/>
      <c r="K2087" s="136"/>
      <c r="X2087" s="768" t="b">
        <f t="shared" si="313"/>
        <v>1</v>
      </c>
    </row>
    <row r="2088" ht="13.5" customHeight="1" outlineLevel="2" spans="2:24">
      <c r="B2088" s="1381" t="s">
        <v>3670</v>
      </c>
      <c r="C2088" s="693" t="str">
        <f t="shared" si="312"/>
        <v>深圳新阳蓝光能源管理科技股份有限公司</v>
      </c>
      <c r="D2088" s="1382" t="s">
        <v>3673</v>
      </c>
      <c r="E2088" s="136"/>
      <c r="F2088" s="136"/>
      <c r="G2088" s="136"/>
      <c r="H2088" s="1384">
        <f t="shared" si="311"/>
        <v>0</v>
      </c>
      <c r="I2088" s="136"/>
      <c r="J2088" s="136"/>
      <c r="K2088" s="136"/>
      <c r="X2088" s="768" t="b">
        <f t="shared" si="313"/>
        <v>1</v>
      </c>
    </row>
    <row r="2089" ht="13.5" customHeight="1" outlineLevel="2" spans="2:24">
      <c r="B2089" s="1381" t="s">
        <v>3670</v>
      </c>
      <c r="C2089" s="693" t="str">
        <f t="shared" si="312"/>
        <v>深圳新阳蓝光能源管理科技股份有限公司</v>
      </c>
      <c r="D2089" s="1382" t="s">
        <v>3673</v>
      </c>
      <c r="E2089" s="136"/>
      <c r="F2089" s="136"/>
      <c r="G2089" s="136"/>
      <c r="H2089" s="1384">
        <f t="shared" si="311"/>
        <v>0</v>
      </c>
      <c r="I2089" s="136"/>
      <c r="J2089" s="136"/>
      <c r="K2089" s="136"/>
      <c r="X2089" s="768" t="b">
        <f t="shared" si="313"/>
        <v>1</v>
      </c>
    </row>
    <row r="2090" ht="13.5" customHeight="1" outlineLevel="2" spans="2:24">
      <c r="B2090" s="1381" t="s">
        <v>3670</v>
      </c>
      <c r="C2090" s="693" t="str">
        <f t="shared" si="312"/>
        <v>深圳新阳蓝光能源管理科技股份有限公司</v>
      </c>
      <c r="D2090" s="1382" t="s">
        <v>3673</v>
      </c>
      <c r="E2090" s="136"/>
      <c r="F2090" s="136"/>
      <c r="G2090" s="136"/>
      <c r="H2090" s="1384">
        <f t="shared" si="311"/>
        <v>0</v>
      </c>
      <c r="I2090" s="136"/>
      <c r="J2090" s="136"/>
      <c r="K2090" s="136"/>
      <c r="X2090" s="768" t="b">
        <f t="shared" si="313"/>
        <v>1</v>
      </c>
    </row>
    <row r="2091" ht="13.5" customHeight="1" outlineLevel="2" spans="2:24">
      <c r="B2091" s="1381" t="s">
        <v>3670</v>
      </c>
      <c r="C2091" s="693" t="str">
        <f t="shared" si="312"/>
        <v>深圳新阳蓝光能源管理科技股份有限公司</v>
      </c>
      <c r="D2091" s="1382" t="s">
        <v>3673</v>
      </c>
      <c r="E2091" s="136"/>
      <c r="F2091" s="136"/>
      <c r="G2091" s="136"/>
      <c r="H2091" s="1384">
        <f t="shared" si="311"/>
        <v>0</v>
      </c>
      <c r="I2091" s="136"/>
      <c r="J2091" s="136"/>
      <c r="K2091" s="136"/>
      <c r="X2091" s="768" t="b">
        <f t="shared" si="313"/>
        <v>1</v>
      </c>
    </row>
    <row r="2092" ht="13.5" customHeight="1" outlineLevel="2" spans="2:24">
      <c r="B2092" s="1381" t="s">
        <v>3670</v>
      </c>
      <c r="C2092" s="693" t="str">
        <f t="shared" si="312"/>
        <v>深圳新阳蓝光能源管理科技股份有限公司</v>
      </c>
      <c r="D2092" s="1382" t="s">
        <v>3673</v>
      </c>
      <c r="E2092" s="136"/>
      <c r="F2092" s="136"/>
      <c r="G2092" s="136"/>
      <c r="H2092" s="1384">
        <f t="shared" si="311"/>
        <v>0</v>
      </c>
      <c r="I2092" s="136"/>
      <c r="J2092" s="136"/>
      <c r="K2092" s="136"/>
      <c r="X2092" s="768" t="b">
        <f t="shared" si="313"/>
        <v>1</v>
      </c>
    </row>
    <row r="2093" ht="13.5" customHeight="1" outlineLevel="2" spans="2:24">
      <c r="B2093" s="1381" t="s">
        <v>3670</v>
      </c>
      <c r="C2093" s="693" t="str">
        <f t="shared" si="312"/>
        <v>深圳新阳蓝光能源管理科技股份有限公司</v>
      </c>
      <c r="D2093" s="1382" t="s">
        <v>3673</v>
      </c>
      <c r="E2093" s="136"/>
      <c r="F2093" s="136"/>
      <c r="G2093" s="136"/>
      <c r="H2093" s="1384">
        <f t="shared" si="311"/>
        <v>0</v>
      </c>
      <c r="I2093" s="136"/>
      <c r="J2093" s="136"/>
      <c r="K2093" s="136"/>
      <c r="X2093" s="768" t="b">
        <f t="shared" si="313"/>
        <v>1</v>
      </c>
    </row>
    <row r="2094" ht="13.5" customHeight="1" outlineLevel="2" spans="2:24">
      <c r="B2094" s="1381" t="s">
        <v>3670</v>
      </c>
      <c r="C2094" s="693" t="str">
        <f t="shared" si="312"/>
        <v>深圳新阳蓝光能源管理科技股份有限公司</v>
      </c>
      <c r="D2094" s="1382" t="s">
        <v>3673</v>
      </c>
      <c r="E2094" s="136"/>
      <c r="F2094" s="136"/>
      <c r="G2094" s="136"/>
      <c r="H2094" s="1384">
        <f t="shared" si="311"/>
        <v>0</v>
      </c>
      <c r="I2094" s="136"/>
      <c r="J2094" s="136"/>
      <c r="K2094" s="136"/>
      <c r="X2094" s="768" t="b">
        <f t="shared" si="313"/>
        <v>1</v>
      </c>
    </row>
    <row r="2095" ht="13.5" customHeight="1" outlineLevel="2" spans="2:24">
      <c r="B2095" s="1381" t="s">
        <v>3670</v>
      </c>
      <c r="C2095" s="693" t="str">
        <f t="shared" si="312"/>
        <v>深圳新阳蓝光能源管理科技股份有限公司</v>
      </c>
      <c r="D2095" s="1382" t="s">
        <v>3673</v>
      </c>
      <c r="E2095" s="136"/>
      <c r="F2095" s="136"/>
      <c r="G2095" s="136"/>
      <c r="H2095" s="1384">
        <f t="shared" si="311"/>
        <v>0</v>
      </c>
      <c r="I2095" s="136"/>
      <c r="J2095" s="136"/>
      <c r="K2095" s="136"/>
      <c r="X2095" s="768" t="b">
        <f t="shared" si="313"/>
        <v>1</v>
      </c>
    </row>
    <row r="2096" ht="13.5" customHeight="1" outlineLevel="2" spans="2:24">
      <c r="B2096" s="1381" t="s">
        <v>3670</v>
      </c>
      <c r="C2096" s="693" t="str">
        <f t="shared" si="312"/>
        <v>深圳新阳蓝光能源管理科技股份有限公司</v>
      </c>
      <c r="D2096" s="1382" t="s">
        <v>3673</v>
      </c>
      <c r="E2096" s="136"/>
      <c r="F2096" s="136"/>
      <c r="G2096" s="136"/>
      <c r="H2096" s="1384">
        <f t="shared" si="311"/>
        <v>0</v>
      </c>
      <c r="I2096" s="136"/>
      <c r="J2096" s="136"/>
      <c r="K2096" s="136"/>
      <c r="X2096" s="768" t="b">
        <f t="shared" si="313"/>
        <v>1</v>
      </c>
    </row>
    <row r="2097" ht="13.5" customHeight="1" outlineLevel="2" spans="2:24">
      <c r="B2097" s="1381" t="s">
        <v>3670</v>
      </c>
      <c r="C2097" s="693" t="str">
        <f t="shared" si="312"/>
        <v>深圳新阳蓝光能源管理科技股份有限公司</v>
      </c>
      <c r="D2097" s="1382" t="s">
        <v>3673</v>
      </c>
      <c r="E2097" s="136"/>
      <c r="F2097" s="136"/>
      <c r="G2097" s="136"/>
      <c r="H2097" s="1384">
        <f t="shared" si="311"/>
        <v>0</v>
      </c>
      <c r="I2097" s="136"/>
      <c r="J2097" s="136"/>
      <c r="K2097" s="136"/>
      <c r="X2097" s="768" t="b">
        <f t="shared" si="313"/>
        <v>1</v>
      </c>
    </row>
    <row r="2098" ht="13.5" customHeight="1" outlineLevel="2" spans="2:24">
      <c r="B2098" s="1381" t="s">
        <v>3670</v>
      </c>
      <c r="C2098" s="693" t="str">
        <f t="shared" si="312"/>
        <v>深圳新阳蓝光能源管理科技股份有限公司</v>
      </c>
      <c r="D2098" s="1382" t="s">
        <v>3673</v>
      </c>
      <c r="E2098" s="136"/>
      <c r="F2098" s="136"/>
      <c r="G2098" s="136"/>
      <c r="H2098" s="1384">
        <f t="shared" si="311"/>
        <v>0</v>
      </c>
      <c r="I2098" s="136"/>
      <c r="J2098" s="136"/>
      <c r="K2098" s="136"/>
      <c r="X2098" s="768" t="b">
        <f t="shared" si="313"/>
        <v>1</v>
      </c>
    </row>
    <row r="2099" ht="13.5" customHeight="1" outlineLevel="2" spans="2:24">
      <c r="B2099" s="1381" t="s">
        <v>3670</v>
      </c>
      <c r="C2099" s="693" t="str">
        <f t="shared" si="312"/>
        <v>深圳新阳蓝光能源管理科技股份有限公司</v>
      </c>
      <c r="D2099" s="1382" t="s">
        <v>3673</v>
      </c>
      <c r="E2099" s="136"/>
      <c r="F2099" s="136"/>
      <c r="G2099" s="136"/>
      <c r="H2099" s="1384">
        <f t="shared" si="311"/>
        <v>0</v>
      </c>
      <c r="I2099" s="136"/>
      <c r="J2099" s="136"/>
      <c r="K2099" s="136"/>
      <c r="X2099" s="768" t="b">
        <f t="shared" si="313"/>
        <v>1</v>
      </c>
    </row>
    <row r="2100" ht="13.5" customHeight="1" outlineLevel="2" spans="2:24">
      <c r="B2100" s="1381" t="s">
        <v>3670</v>
      </c>
      <c r="C2100" s="693" t="str">
        <f t="shared" si="312"/>
        <v>深圳新阳蓝光能源管理科技股份有限公司</v>
      </c>
      <c r="D2100" s="1382" t="s">
        <v>3673</v>
      </c>
      <c r="E2100" s="136"/>
      <c r="F2100" s="136"/>
      <c r="G2100" s="136"/>
      <c r="H2100" s="1384">
        <f t="shared" si="311"/>
        <v>0</v>
      </c>
      <c r="I2100" s="136"/>
      <c r="J2100" s="136"/>
      <c r="K2100" s="136"/>
      <c r="X2100" s="768" t="b">
        <f t="shared" si="313"/>
        <v>1</v>
      </c>
    </row>
    <row r="2101" ht="13.5" customHeight="1" outlineLevel="2" spans="2:24">
      <c r="B2101" s="1381" t="s">
        <v>3670</v>
      </c>
      <c r="C2101" s="693" t="str">
        <f t="shared" si="312"/>
        <v>深圳新阳蓝光能源管理科技股份有限公司</v>
      </c>
      <c r="D2101" s="1382" t="s">
        <v>3673</v>
      </c>
      <c r="E2101" s="136"/>
      <c r="F2101" s="136"/>
      <c r="G2101" s="136"/>
      <c r="H2101" s="1384">
        <f t="shared" si="311"/>
        <v>0</v>
      </c>
      <c r="I2101" s="136"/>
      <c r="J2101" s="136"/>
      <c r="K2101" s="136"/>
      <c r="X2101" s="768" t="b">
        <f t="shared" si="313"/>
        <v>1</v>
      </c>
    </row>
    <row r="2102" ht="13.5" customHeight="1" outlineLevel="2" spans="2:24">
      <c r="B2102" s="1381" t="s">
        <v>3670</v>
      </c>
      <c r="C2102" s="693" t="str">
        <f t="shared" si="312"/>
        <v>深圳新阳蓝光能源管理科技股份有限公司</v>
      </c>
      <c r="D2102" s="1382" t="s">
        <v>3673</v>
      </c>
      <c r="E2102" s="136"/>
      <c r="F2102" s="136"/>
      <c r="G2102" s="136"/>
      <c r="H2102" s="1384">
        <f t="shared" si="311"/>
        <v>0</v>
      </c>
      <c r="I2102" s="136"/>
      <c r="J2102" s="136"/>
      <c r="K2102" s="136"/>
      <c r="X2102" s="768" t="b">
        <f t="shared" si="313"/>
        <v>1</v>
      </c>
    </row>
    <row r="2103" ht="13.5" customHeight="1" outlineLevel="2" spans="2:24">
      <c r="B2103" s="1381" t="s">
        <v>3670</v>
      </c>
      <c r="C2103" s="693" t="str">
        <f t="shared" si="312"/>
        <v>深圳新阳蓝光能源管理科技股份有限公司</v>
      </c>
      <c r="D2103" s="1382" t="s">
        <v>3673</v>
      </c>
      <c r="E2103" s="136"/>
      <c r="F2103" s="136"/>
      <c r="G2103" s="136"/>
      <c r="H2103" s="1384">
        <f t="shared" si="311"/>
        <v>0</v>
      </c>
      <c r="I2103" s="136"/>
      <c r="J2103" s="136"/>
      <c r="K2103" s="136"/>
      <c r="X2103" s="768" t="b">
        <f t="shared" si="313"/>
        <v>1</v>
      </c>
    </row>
    <row r="2104" ht="13.5" customHeight="1" outlineLevel="2" spans="1:24">
      <c r="A2104" s="90" t="s">
        <v>2021</v>
      </c>
      <c r="B2104" s="1381" t="s">
        <v>3670</v>
      </c>
      <c r="C2104" s="693" t="str">
        <f t="shared" si="312"/>
        <v>深圳新阳蓝光能源管理科技股份有限公司</v>
      </c>
      <c r="D2104" s="1382" t="s">
        <v>3673</v>
      </c>
      <c r="E2104" s="157" t="s">
        <v>2021</v>
      </c>
      <c r="F2104" s="157"/>
      <c r="G2104" s="139">
        <f>SUM(G2078:G2103)</f>
        <v>0</v>
      </c>
      <c r="H2104" s="1384">
        <f t="shared" si="311"/>
        <v>0</v>
      </c>
      <c r="I2104" s="157"/>
      <c r="J2104" s="157"/>
      <c r="K2104" s="139">
        <f>SUM(K2078:K2103)</f>
        <v>0</v>
      </c>
      <c r="X2104" s="768" t="b">
        <f t="shared" si="313"/>
        <v>1</v>
      </c>
    </row>
    <row r="2105" outlineLevel="2" spans="2:24">
      <c r="B2105" s="1381" t="s">
        <v>3670</v>
      </c>
      <c r="C2105" s="693" t="str">
        <f t="shared" si="312"/>
        <v>深圳新阳蓝光能源管理科技股份有限公司</v>
      </c>
      <c r="D2105" s="1377" t="s">
        <v>3673</v>
      </c>
      <c r="E2105" s="153"/>
      <c r="F2105" s="715"/>
      <c r="G2105" s="715"/>
      <c r="X2105" s="768" t="b">
        <f t="shared" si="313"/>
        <v>1</v>
      </c>
    </row>
    <row r="2106" outlineLevel="2" spans="1:24">
      <c r="A2106" s="90" t="s">
        <v>3675</v>
      </c>
      <c r="B2106" s="1381" t="s">
        <v>3670</v>
      </c>
      <c r="C2106" s="693" t="str">
        <f t="shared" si="312"/>
        <v>深圳新阳蓝光能源管理科技股份有限公司</v>
      </c>
      <c r="D2106" s="1377" t="s">
        <v>3675</v>
      </c>
      <c r="E2106" s="153" t="s">
        <v>3676</v>
      </c>
      <c r="F2106" s="715"/>
      <c r="G2106" s="715"/>
      <c r="X2106" s="768" t="b">
        <f t="shared" si="313"/>
        <v>1</v>
      </c>
    </row>
    <row r="2107" outlineLevel="2" spans="1:24">
      <c r="A2107" s="90" t="s">
        <v>2473</v>
      </c>
      <c r="B2107" s="1381" t="s">
        <v>3670</v>
      </c>
      <c r="C2107" s="693" t="str">
        <f t="shared" si="312"/>
        <v>深圳新阳蓝光能源管理科技股份有限公司</v>
      </c>
      <c r="D2107" s="1377" t="s">
        <v>3675</v>
      </c>
      <c r="E2107" s="851" t="s">
        <v>2473</v>
      </c>
      <c r="F2107" s="851" t="s">
        <v>516</v>
      </c>
      <c r="G2107" s="851" t="s">
        <v>671</v>
      </c>
      <c r="X2107" s="768" t="b">
        <f t="shared" si="313"/>
        <v>1</v>
      </c>
    </row>
    <row r="2108" outlineLevel="2" spans="2:24">
      <c r="B2108" s="1381" t="s">
        <v>3670</v>
      </c>
      <c r="C2108" s="693" t="str">
        <f t="shared" si="312"/>
        <v>深圳新阳蓝光能源管理科技股份有限公司</v>
      </c>
      <c r="D2108" s="1377" t="s">
        <v>3675</v>
      </c>
      <c r="E2108" s="1294"/>
      <c r="F2108" s="1392"/>
      <c r="G2108" s="1392"/>
      <c r="X2108" s="768" t="b">
        <f t="shared" si="313"/>
        <v>1</v>
      </c>
    </row>
    <row r="2109" outlineLevel="2" spans="2:24">
      <c r="B2109" s="1381" t="s">
        <v>3670</v>
      </c>
      <c r="C2109" s="693" t="str">
        <f t="shared" si="312"/>
        <v>深圳新阳蓝光能源管理科技股份有限公司</v>
      </c>
      <c r="D2109" s="712" t="s">
        <v>3675</v>
      </c>
      <c r="E2109" s="1294"/>
      <c r="F2109" s="1392"/>
      <c r="G2109" s="1392"/>
      <c r="X2109" s="768" t="b">
        <f t="shared" si="313"/>
        <v>1</v>
      </c>
    </row>
    <row r="2110" outlineLevel="2" spans="2:24">
      <c r="B2110" s="1381" t="s">
        <v>3670</v>
      </c>
      <c r="C2110" s="693" t="str">
        <f t="shared" si="312"/>
        <v>深圳新阳蓝光能源管理科技股份有限公司</v>
      </c>
      <c r="D2110" s="712" t="s">
        <v>3675</v>
      </c>
      <c r="E2110" s="1294"/>
      <c r="F2110" s="1392"/>
      <c r="G2110" s="1392"/>
      <c r="X2110" s="768" t="b">
        <f t="shared" si="313"/>
        <v>1</v>
      </c>
    </row>
    <row r="2111" customHeight="1" outlineLevel="2" spans="2:24">
      <c r="B2111" s="1381" t="s">
        <v>3670</v>
      </c>
      <c r="C2111" s="693" t="str">
        <f t="shared" si="312"/>
        <v>深圳新阳蓝光能源管理科技股份有限公司</v>
      </c>
      <c r="D2111" s="712" t="s">
        <v>3675</v>
      </c>
      <c r="E2111" s="1294"/>
      <c r="F2111" s="1392"/>
      <c r="G2111" s="1392"/>
      <c r="X2111" s="768" t="b">
        <f t="shared" si="313"/>
        <v>1</v>
      </c>
    </row>
    <row r="2112" outlineLevel="2" spans="2:24">
      <c r="B2112" s="1381" t="s">
        <v>3670</v>
      </c>
      <c r="C2112" s="693" t="str">
        <f t="shared" si="312"/>
        <v>深圳新阳蓝光能源管理科技股份有限公司</v>
      </c>
      <c r="D2112" s="712" t="s">
        <v>3675</v>
      </c>
      <c r="E2112" s="918"/>
      <c r="F2112" s="136"/>
      <c r="G2112" s="136"/>
      <c r="X2112" s="768" t="b">
        <f t="shared" si="313"/>
        <v>1</v>
      </c>
    </row>
    <row r="2113" outlineLevel="2" spans="2:24">
      <c r="B2113" s="1381" t="s">
        <v>3670</v>
      </c>
      <c r="C2113" s="693" t="str">
        <f t="shared" si="312"/>
        <v>深圳新阳蓝光能源管理科技股份有限公司</v>
      </c>
      <c r="D2113" s="712" t="s">
        <v>3675</v>
      </c>
      <c r="E2113" s="918"/>
      <c r="F2113" s="136"/>
      <c r="G2113" s="136"/>
      <c r="X2113" s="768" t="b">
        <f t="shared" si="313"/>
        <v>1</v>
      </c>
    </row>
    <row r="2114" outlineLevel="2" spans="2:24">
      <c r="B2114" s="1381" t="s">
        <v>3670</v>
      </c>
      <c r="C2114" s="693" t="str">
        <f t="shared" si="312"/>
        <v>深圳新阳蓝光能源管理科技股份有限公司</v>
      </c>
      <c r="D2114" s="712" t="s">
        <v>3675</v>
      </c>
      <c r="E2114" s="918"/>
      <c r="F2114" s="136"/>
      <c r="G2114" s="136"/>
      <c r="X2114" s="768" t="b">
        <f t="shared" si="313"/>
        <v>1</v>
      </c>
    </row>
    <row r="2115" outlineLevel="2" spans="1:24">
      <c r="A2115" s="90" t="s">
        <v>2021</v>
      </c>
      <c r="B2115" s="1381" t="s">
        <v>3670</v>
      </c>
      <c r="C2115" s="693" t="str">
        <f t="shared" si="312"/>
        <v>深圳新阳蓝光能源管理科技股份有限公司</v>
      </c>
      <c r="D2115" s="712" t="s">
        <v>3675</v>
      </c>
      <c r="E2115" s="1393" t="s">
        <v>2021</v>
      </c>
      <c r="F2115" s="139">
        <f>SUM(F2108:F2114)</f>
        <v>0</v>
      </c>
      <c r="G2115" s="139">
        <f>SUM(G2108:G2114)</f>
        <v>0</v>
      </c>
      <c r="X2115" s="768" t="b">
        <f t="shared" si="313"/>
        <v>1</v>
      </c>
    </row>
    <row r="2116" outlineLevel="2" spans="1:24">
      <c r="A2116" s="90" t="s">
        <v>3592</v>
      </c>
      <c r="B2116" s="1381" t="s">
        <v>3670</v>
      </c>
      <c r="C2116" s="693" t="str">
        <f t="shared" si="312"/>
        <v>深圳新阳蓝光能源管理科技股份有限公司</v>
      </c>
      <c r="D2116" s="712" t="s">
        <v>3675</v>
      </c>
      <c r="E2116" s="1106" t="s">
        <v>3592</v>
      </c>
      <c r="F2116" s="715"/>
      <c r="G2116" s="715"/>
      <c r="X2116" s="768" t="b">
        <f t="shared" si="313"/>
        <v>1</v>
      </c>
    </row>
    <row r="2117" outlineLevel="2" spans="1:24">
      <c r="A2117" s="90" t="s">
        <v>2809</v>
      </c>
      <c r="B2117" s="1381" t="s">
        <v>3670</v>
      </c>
      <c r="C2117" s="693" t="str">
        <f t="shared" si="312"/>
        <v>深圳新阳蓝光能源管理科技股份有限公司</v>
      </c>
      <c r="D2117" s="712" t="s">
        <v>3675</v>
      </c>
      <c r="E2117" s="1460" t="s">
        <v>2809</v>
      </c>
      <c r="F2117" s="736"/>
      <c r="G2117" s="736"/>
      <c r="X2117" s="768" t="b">
        <f t="shared" si="313"/>
        <v>1</v>
      </c>
    </row>
    <row r="2118" outlineLevel="2" spans="2:24">
      <c r="B2118" s="1381" t="s">
        <v>3670</v>
      </c>
      <c r="C2118" s="693" t="str">
        <f t="shared" si="312"/>
        <v>深圳新阳蓝光能源管理科技股份有限公司</v>
      </c>
      <c r="D2118" s="712" t="s">
        <v>3675</v>
      </c>
      <c r="E2118" s="1106"/>
      <c r="F2118" s="715"/>
      <c r="G2118" s="715"/>
      <c r="X2118" s="768" t="b">
        <f t="shared" si="313"/>
        <v>1</v>
      </c>
    </row>
    <row r="2119" hidden="1" outlineLevel="2" spans="1:24">
      <c r="A2119" s="90" t="s">
        <v>3677</v>
      </c>
      <c r="B2119" s="1381" t="s">
        <v>3670</v>
      </c>
      <c r="C2119" s="693" t="str">
        <f t="shared" si="312"/>
        <v>深圳新阳蓝光能源管理科技股份有限公司</v>
      </c>
      <c r="D2119" s="712" t="s">
        <v>3678</v>
      </c>
      <c r="E2119" s="1461" t="s">
        <v>3679</v>
      </c>
      <c r="F2119" s="1461"/>
      <c r="G2119" s="1462" t="s">
        <v>3680</v>
      </c>
      <c r="H2119" s="892"/>
      <c r="J2119" s="919" t="s">
        <v>2966</v>
      </c>
      <c r="X2119" s="768" t="b">
        <f t="shared" si="313"/>
        <v>1</v>
      </c>
    </row>
    <row r="2120" hidden="1" outlineLevel="2" spans="1:24">
      <c r="A2120" s="90" t="s">
        <v>3681</v>
      </c>
      <c r="B2120" s="1381" t="s">
        <v>3670</v>
      </c>
      <c r="C2120" s="693" t="str">
        <f t="shared" si="312"/>
        <v>深圳新阳蓝光能源管理科技股份有限公司</v>
      </c>
      <c r="D2120" s="712" t="s">
        <v>3678</v>
      </c>
      <c r="E2120" s="1273" t="s">
        <v>3682</v>
      </c>
      <c r="F2120" s="1273" t="s">
        <v>3683</v>
      </c>
      <c r="G2120" s="716" t="s">
        <v>2907</v>
      </c>
      <c r="H2120" s="98" t="s">
        <v>3124</v>
      </c>
      <c r="I2120" s="98" t="s">
        <v>3684</v>
      </c>
      <c r="J2120" s="900"/>
      <c r="X2120" s="768" t="b">
        <f t="shared" si="313"/>
        <v>1</v>
      </c>
    </row>
    <row r="2121" hidden="1" outlineLevel="2" spans="2:24">
      <c r="B2121" s="1381" t="s">
        <v>3670</v>
      </c>
      <c r="C2121" s="693" t="str">
        <f t="shared" si="312"/>
        <v>深圳新阳蓝光能源管理科技股份有限公司</v>
      </c>
      <c r="D2121" s="712" t="s">
        <v>3685</v>
      </c>
      <c r="E2121" s="1463"/>
      <c r="F2121" s="137"/>
      <c r="G2121" s="1464"/>
      <c r="H2121" s="103"/>
      <c r="I2121" s="103"/>
      <c r="X2121" s="768" t="b">
        <f t="shared" si="313"/>
        <v>1</v>
      </c>
    </row>
    <row r="2122" hidden="1" outlineLevel="2" spans="2:24">
      <c r="B2122" s="1381" t="s">
        <v>3670</v>
      </c>
      <c r="C2122" s="693" t="str">
        <f t="shared" si="312"/>
        <v>深圳新阳蓝光能源管理科技股份有限公司</v>
      </c>
      <c r="D2122" s="712" t="s">
        <v>3685</v>
      </c>
      <c r="E2122" s="1463"/>
      <c r="F2122" s="137"/>
      <c r="G2122" s="1464"/>
      <c r="H2122" s="103"/>
      <c r="I2122" s="103"/>
      <c r="X2122" s="768" t="b">
        <f t="shared" si="313"/>
        <v>1</v>
      </c>
    </row>
    <row r="2123" ht="13.5" hidden="1" customHeight="1" outlineLevel="2" spans="2:24">
      <c r="B2123" s="1381" t="s">
        <v>3670</v>
      </c>
      <c r="C2123" s="693" t="str">
        <f t="shared" si="312"/>
        <v>深圳新阳蓝光能源管理科技股份有限公司</v>
      </c>
      <c r="D2123" s="712" t="s">
        <v>3685</v>
      </c>
      <c r="E2123" s="1463"/>
      <c r="F2123" s="137"/>
      <c r="G2123" s="1464"/>
      <c r="H2123" s="103"/>
      <c r="I2123" s="103"/>
      <c r="X2123" s="768" t="b">
        <f t="shared" si="313"/>
        <v>1</v>
      </c>
    </row>
    <row r="2124" hidden="1" outlineLevel="2" spans="2:24">
      <c r="B2124" s="1381" t="s">
        <v>3670</v>
      </c>
      <c r="C2124" s="693" t="str">
        <f t="shared" si="312"/>
        <v>深圳新阳蓝光能源管理科技股份有限公司</v>
      </c>
      <c r="D2124" s="712" t="s">
        <v>3685</v>
      </c>
      <c r="E2124" s="1463"/>
      <c r="F2124" s="137"/>
      <c r="G2124" s="1464"/>
      <c r="H2124" s="103"/>
      <c r="I2124" s="103"/>
      <c r="X2124" s="768" t="b">
        <f t="shared" si="313"/>
        <v>1</v>
      </c>
    </row>
    <row r="2125" hidden="1" outlineLevel="2" spans="2:24">
      <c r="B2125" s="1381" t="s">
        <v>3670</v>
      </c>
      <c r="C2125" s="693" t="str">
        <f t="shared" si="312"/>
        <v>深圳新阳蓝光能源管理科技股份有限公司</v>
      </c>
      <c r="D2125" s="712" t="s">
        <v>3685</v>
      </c>
      <c r="E2125" s="1463"/>
      <c r="F2125" s="137"/>
      <c r="G2125" s="1464"/>
      <c r="H2125" s="103"/>
      <c r="I2125" s="103"/>
      <c r="X2125" s="768" t="b">
        <f t="shared" si="313"/>
        <v>1</v>
      </c>
    </row>
    <row r="2126" hidden="1" outlineLevel="2" spans="2:24">
      <c r="B2126" s="1381" t="s">
        <v>3670</v>
      </c>
      <c r="C2126" s="693" t="str">
        <f t="shared" si="312"/>
        <v>深圳新阳蓝光能源管理科技股份有限公司</v>
      </c>
      <c r="D2126" s="712" t="s">
        <v>3685</v>
      </c>
      <c r="E2126" s="1463"/>
      <c r="F2126" s="137"/>
      <c r="G2126" s="1464"/>
      <c r="H2126" s="103"/>
      <c r="I2126" s="103"/>
      <c r="X2126" s="768" t="b">
        <f t="shared" si="313"/>
        <v>1</v>
      </c>
    </row>
    <row r="2127" hidden="1" outlineLevel="2" spans="2:24">
      <c r="B2127" s="1381" t="s">
        <v>3670</v>
      </c>
      <c r="C2127" s="693" t="str">
        <f t="shared" si="312"/>
        <v>深圳新阳蓝光能源管理科技股份有限公司</v>
      </c>
      <c r="D2127" s="712" t="s">
        <v>3685</v>
      </c>
      <c r="E2127" s="1463"/>
      <c r="F2127" s="137"/>
      <c r="G2127" s="1464"/>
      <c r="H2127" s="103"/>
      <c r="I2127" s="103"/>
      <c r="X2127" s="768" t="b">
        <f t="shared" si="313"/>
        <v>1</v>
      </c>
    </row>
    <row r="2128" hidden="1" outlineLevel="2" spans="2:24">
      <c r="B2128" s="1381" t="s">
        <v>3670</v>
      </c>
      <c r="C2128" s="693" t="str">
        <f t="shared" si="312"/>
        <v>深圳新阳蓝光能源管理科技股份有限公司</v>
      </c>
      <c r="D2128" s="712" t="s">
        <v>3685</v>
      </c>
      <c r="E2128" s="1463"/>
      <c r="F2128" s="137"/>
      <c r="G2128" s="1464"/>
      <c r="H2128" s="103"/>
      <c r="I2128" s="103"/>
      <c r="X2128" s="768" t="b">
        <f t="shared" si="313"/>
        <v>1</v>
      </c>
    </row>
    <row r="2129" hidden="1" outlineLevel="2" spans="2:24">
      <c r="B2129" s="1381" t="s">
        <v>3670</v>
      </c>
      <c r="C2129" s="693" t="str">
        <f t="shared" si="312"/>
        <v>深圳新阳蓝光能源管理科技股份有限公司</v>
      </c>
      <c r="D2129" s="712" t="s">
        <v>3685</v>
      </c>
      <c r="E2129" s="1463"/>
      <c r="F2129" s="137"/>
      <c r="G2129" s="1464"/>
      <c r="H2129" s="103"/>
      <c r="I2129" s="103"/>
      <c r="X2129" s="768" t="b">
        <f t="shared" si="313"/>
        <v>1</v>
      </c>
    </row>
    <row r="2130" hidden="1" outlineLevel="2" spans="2:24">
      <c r="B2130" s="1381" t="s">
        <v>3670</v>
      </c>
      <c r="C2130" s="693" t="str">
        <f t="shared" si="312"/>
        <v>深圳新阳蓝光能源管理科技股份有限公司</v>
      </c>
      <c r="D2130" s="712" t="s">
        <v>3685</v>
      </c>
      <c r="E2130" s="1463"/>
      <c r="F2130" s="137"/>
      <c r="G2130" s="1464"/>
      <c r="H2130" s="103"/>
      <c r="I2130" s="103"/>
      <c r="X2130" s="768" t="b">
        <f t="shared" si="313"/>
        <v>1</v>
      </c>
    </row>
    <row r="2131" hidden="1" outlineLevel="2" spans="2:24">
      <c r="B2131" s="1381" t="s">
        <v>3670</v>
      </c>
      <c r="C2131" s="693" t="str">
        <f t="shared" si="312"/>
        <v>深圳新阳蓝光能源管理科技股份有限公司</v>
      </c>
      <c r="D2131" s="712" t="s">
        <v>3685</v>
      </c>
      <c r="E2131" s="1463"/>
      <c r="F2131" s="137"/>
      <c r="G2131" s="1464"/>
      <c r="H2131" s="103"/>
      <c r="I2131" s="103"/>
      <c r="X2131" s="768" t="b">
        <f t="shared" si="313"/>
        <v>1</v>
      </c>
    </row>
    <row r="2132" hidden="1" outlineLevel="2" spans="2:24">
      <c r="B2132" s="1381" t="s">
        <v>3670</v>
      </c>
      <c r="C2132" s="693" t="str">
        <f t="shared" si="312"/>
        <v>深圳新阳蓝光能源管理科技股份有限公司</v>
      </c>
      <c r="D2132" s="712" t="s">
        <v>3685</v>
      </c>
      <c r="E2132" s="1463"/>
      <c r="F2132" s="137"/>
      <c r="G2132" s="1464"/>
      <c r="H2132" s="103"/>
      <c r="I2132" s="103"/>
      <c r="X2132" s="768" t="b">
        <f t="shared" si="313"/>
        <v>1</v>
      </c>
    </row>
    <row r="2133" hidden="1" outlineLevel="2" spans="2:24">
      <c r="B2133" s="1381" t="s">
        <v>3670</v>
      </c>
      <c r="C2133" s="693" t="str">
        <f t="shared" si="312"/>
        <v>深圳新阳蓝光能源管理科技股份有限公司</v>
      </c>
      <c r="D2133" s="712" t="s">
        <v>3685</v>
      </c>
      <c r="E2133" s="1463"/>
      <c r="F2133" s="137"/>
      <c r="G2133" s="1464"/>
      <c r="H2133" s="103"/>
      <c r="I2133" s="103"/>
      <c r="X2133" s="768" t="b">
        <f t="shared" si="313"/>
        <v>1</v>
      </c>
    </row>
    <row r="2134" hidden="1" outlineLevel="2" spans="2:24">
      <c r="B2134" s="1381" t="s">
        <v>3670</v>
      </c>
      <c r="C2134" s="693" t="str">
        <f t="shared" si="312"/>
        <v>深圳新阳蓝光能源管理科技股份有限公司</v>
      </c>
      <c r="D2134" s="712" t="s">
        <v>3685</v>
      </c>
      <c r="E2134" s="1463"/>
      <c r="F2134" s="137"/>
      <c r="G2134" s="1464"/>
      <c r="H2134" s="103"/>
      <c r="I2134" s="103"/>
      <c r="X2134" s="768" t="b">
        <f t="shared" si="313"/>
        <v>1</v>
      </c>
    </row>
    <row r="2135" hidden="1" outlineLevel="2" spans="2:24">
      <c r="B2135" s="1381" t="s">
        <v>3670</v>
      </c>
      <c r="C2135" s="693" t="str">
        <f t="shared" si="312"/>
        <v>深圳新阳蓝光能源管理科技股份有限公司</v>
      </c>
      <c r="D2135" s="712" t="s">
        <v>3685</v>
      </c>
      <c r="E2135" s="1463"/>
      <c r="F2135" s="137"/>
      <c r="G2135" s="1464"/>
      <c r="H2135" s="103"/>
      <c r="I2135" s="103"/>
      <c r="X2135" s="768" t="b">
        <f t="shared" si="313"/>
        <v>1</v>
      </c>
    </row>
    <row r="2136" hidden="1" outlineLevel="2" spans="2:24">
      <c r="B2136" s="1381" t="s">
        <v>3670</v>
      </c>
      <c r="C2136" s="693" t="str">
        <f t="shared" si="312"/>
        <v>深圳新阳蓝光能源管理科技股份有限公司</v>
      </c>
      <c r="D2136" s="712" t="s">
        <v>3685</v>
      </c>
      <c r="E2136" s="1463"/>
      <c r="F2136" s="137"/>
      <c r="G2136" s="1464"/>
      <c r="H2136" s="103"/>
      <c r="I2136" s="103"/>
      <c r="X2136" s="768" t="b">
        <f t="shared" si="313"/>
        <v>1</v>
      </c>
    </row>
    <row r="2137" hidden="1" outlineLevel="2" spans="2:24">
      <c r="B2137" s="1381" t="s">
        <v>3670</v>
      </c>
      <c r="C2137" s="693" t="str">
        <f t="shared" si="312"/>
        <v>深圳新阳蓝光能源管理科技股份有限公司</v>
      </c>
      <c r="D2137" s="712" t="s">
        <v>3685</v>
      </c>
      <c r="E2137" s="1463"/>
      <c r="F2137" s="137"/>
      <c r="G2137" s="1464"/>
      <c r="H2137" s="103"/>
      <c r="I2137" s="103"/>
      <c r="X2137" s="768" t="b">
        <f t="shared" si="313"/>
        <v>1</v>
      </c>
    </row>
    <row r="2138" hidden="1" outlineLevel="2" spans="2:24">
      <c r="B2138" s="1381" t="s">
        <v>3670</v>
      </c>
      <c r="C2138" s="693" t="str">
        <f t="shared" si="312"/>
        <v>深圳新阳蓝光能源管理科技股份有限公司</v>
      </c>
      <c r="D2138" s="712" t="s">
        <v>3685</v>
      </c>
      <c r="E2138" s="1463"/>
      <c r="F2138" s="137"/>
      <c r="G2138" s="1464"/>
      <c r="H2138" s="103"/>
      <c r="I2138" s="103"/>
      <c r="X2138" s="768" t="b">
        <f t="shared" si="313"/>
        <v>1</v>
      </c>
    </row>
    <row r="2139" hidden="1" outlineLevel="2" spans="2:24">
      <c r="B2139" s="1381" t="s">
        <v>3670</v>
      </c>
      <c r="C2139" s="693" t="str">
        <f t="shared" si="312"/>
        <v>深圳新阳蓝光能源管理科技股份有限公司</v>
      </c>
      <c r="D2139" s="712" t="s">
        <v>3685</v>
      </c>
      <c r="E2139" s="1463"/>
      <c r="F2139" s="137"/>
      <c r="G2139" s="1464"/>
      <c r="H2139" s="103"/>
      <c r="I2139" s="103"/>
      <c r="X2139" s="768" t="b">
        <f t="shared" si="313"/>
        <v>1</v>
      </c>
    </row>
    <row r="2140" hidden="1" outlineLevel="2" spans="2:24">
      <c r="B2140" s="1381" t="s">
        <v>3670</v>
      </c>
      <c r="C2140" s="693" t="str">
        <f t="shared" si="312"/>
        <v>深圳新阳蓝光能源管理科技股份有限公司</v>
      </c>
      <c r="D2140" s="712" t="s">
        <v>3685</v>
      </c>
      <c r="E2140" s="1463"/>
      <c r="F2140" s="137"/>
      <c r="G2140" s="1464"/>
      <c r="H2140" s="103"/>
      <c r="I2140" s="103"/>
      <c r="X2140" s="768" t="b">
        <f t="shared" si="313"/>
        <v>1</v>
      </c>
    </row>
    <row r="2141" hidden="1" outlineLevel="2" spans="2:24">
      <c r="B2141" s="1381" t="s">
        <v>3670</v>
      </c>
      <c r="C2141" s="693" t="str">
        <f t="shared" si="312"/>
        <v>深圳新阳蓝光能源管理科技股份有限公司</v>
      </c>
      <c r="D2141" s="712" t="s">
        <v>3685</v>
      </c>
      <c r="E2141" s="1463"/>
      <c r="F2141" s="137"/>
      <c r="G2141" s="1464"/>
      <c r="H2141" s="103"/>
      <c r="I2141" s="103"/>
      <c r="X2141" s="768" t="b">
        <f t="shared" si="313"/>
        <v>1</v>
      </c>
    </row>
    <row r="2142" hidden="1" outlineLevel="2" spans="2:24">
      <c r="B2142" s="1381" t="s">
        <v>3670</v>
      </c>
      <c r="C2142" s="693" t="str">
        <f t="shared" si="312"/>
        <v>深圳新阳蓝光能源管理科技股份有限公司</v>
      </c>
      <c r="D2142" s="712" t="s">
        <v>3685</v>
      </c>
      <c r="E2142" s="1463"/>
      <c r="F2142" s="137"/>
      <c r="G2142" s="1464"/>
      <c r="H2142" s="103"/>
      <c r="I2142" s="103"/>
      <c r="X2142" s="768" t="b">
        <f t="shared" si="313"/>
        <v>1</v>
      </c>
    </row>
    <row r="2143" hidden="1" outlineLevel="2" spans="2:24">
      <c r="B2143" s="1381" t="s">
        <v>3670</v>
      </c>
      <c r="C2143" s="693" t="str">
        <f t="shared" si="312"/>
        <v>深圳新阳蓝光能源管理科技股份有限公司</v>
      </c>
      <c r="D2143" s="712" t="s">
        <v>3685</v>
      </c>
      <c r="E2143" s="1463"/>
      <c r="F2143" s="137"/>
      <c r="G2143" s="1464"/>
      <c r="H2143" s="103"/>
      <c r="I2143" s="103"/>
      <c r="X2143" s="768" t="b">
        <f t="shared" si="313"/>
        <v>1</v>
      </c>
    </row>
    <row r="2144" hidden="1" outlineLevel="2" spans="1:24">
      <c r="A2144" s="90" t="s">
        <v>2021</v>
      </c>
      <c r="B2144" s="1381" t="s">
        <v>3670</v>
      </c>
      <c r="C2144" s="693" t="str">
        <f t="shared" si="312"/>
        <v>深圳新阳蓝光能源管理科技股份有限公司</v>
      </c>
      <c r="D2144" s="712" t="s">
        <v>3685</v>
      </c>
      <c r="E2144" s="894" t="s">
        <v>2021</v>
      </c>
      <c r="F2144" s="1465">
        <f>SUM(F2121:F2143)</f>
        <v>0</v>
      </c>
      <c r="G2144" s="894"/>
      <c r="H2144" s="894"/>
      <c r="I2144" s="894"/>
      <c r="X2144" s="768" t="b">
        <f t="shared" si="313"/>
        <v>1</v>
      </c>
    </row>
    <row r="2145" hidden="1" outlineLevel="2" spans="2:24">
      <c r="B2145" s="1381" t="s">
        <v>3670</v>
      </c>
      <c r="C2145" s="693" t="str">
        <f t="shared" si="312"/>
        <v>深圳新阳蓝光能源管理科技股份有限公司</v>
      </c>
      <c r="D2145" s="712" t="s">
        <v>3685</v>
      </c>
      <c r="E2145" s="894"/>
      <c r="F2145" s="715"/>
      <c r="G2145" s="715"/>
      <c r="X2145" s="768" t="b">
        <f t="shared" si="313"/>
        <v>1</v>
      </c>
    </row>
    <row r="2146" hidden="1" outlineLevel="2" spans="2:24">
      <c r="B2146" s="1381" t="s">
        <v>3670</v>
      </c>
      <c r="C2146" s="693" t="str">
        <f t="shared" ref="C2146:C2209" si="314">$G$1</f>
        <v>深圳新阳蓝光能源管理科技股份有限公司</v>
      </c>
      <c r="D2146" s="1377"/>
      <c r="E2146" s="153"/>
      <c r="F2146" s="715"/>
      <c r="G2146" s="715"/>
      <c r="X2146" s="768" t="b">
        <f t="shared" ref="X2146:X2209" si="315">EXACT(A2146,E2146)</f>
        <v>1</v>
      </c>
    </row>
    <row r="2147" hidden="1" outlineLevel="2" spans="1:24">
      <c r="A2147" s="90" t="s">
        <v>2809</v>
      </c>
      <c r="B2147" s="1381" t="s">
        <v>3670</v>
      </c>
      <c r="C2147" s="693" t="str">
        <f t="shared" si="314"/>
        <v>深圳新阳蓝光能源管理科技股份有限公司</v>
      </c>
      <c r="D2147" s="1377"/>
      <c r="E2147" s="153" t="s">
        <v>2829</v>
      </c>
      <c r="F2147" s="736"/>
      <c r="G2147" s="736"/>
      <c r="H2147" s="107"/>
      <c r="X2147" s="768" t="b">
        <f t="shared" si="315"/>
        <v>1</v>
      </c>
    </row>
    <row r="2148" hidden="1" outlineLevel="2" spans="1:24">
      <c r="A2148" s="90" t="s">
        <v>3686</v>
      </c>
      <c r="B2148" s="1381" t="s">
        <v>3670</v>
      </c>
      <c r="C2148" s="693" t="str">
        <f t="shared" si="314"/>
        <v>深圳新阳蓝光能源管理科技股份有限公司</v>
      </c>
      <c r="D2148" s="1377" t="s">
        <v>3686</v>
      </c>
      <c r="E2148" s="153" t="s">
        <v>3687</v>
      </c>
      <c r="F2148" s="715"/>
      <c r="G2148" s="715"/>
      <c r="I2148" s="919" t="s">
        <v>2966</v>
      </c>
      <c r="X2148" s="768" t="b">
        <f t="shared" si="315"/>
        <v>1</v>
      </c>
    </row>
    <row r="2149" hidden="1" outlineLevel="2" spans="1:24">
      <c r="A2149" s="90" t="s">
        <v>3046</v>
      </c>
      <c r="B2149" s="1381" t="s">
        <v>3670</v>
      </c>
      <c r="C2149" s="693" t="str">
        <f t="shared" si="314"/>
        <v>深圳新阳蓝光能源管理科技股份有限公司</v>
      </c>
      <c r="D2149" s="1377" t="s">
        <v>3686</v>
      </c>
      <c r="E2149" s="1031" t="s">
        <v>3046</v>
      </c>
      <c r="F2149" s="1031" t="s">
        <v>2944</v>
      </c>
      <c r="G2149" s="1031" t="s">
        <v>366</v>
      </c>
      <c r="H2149" s="1031" t="s">
        <v>2907</v>
      </c>
      <c r="I2149" s="900"/>
      <c r="X2149" s="768" t="b">
        <f t="shared" si="315"/>
        <v>1</v>
      </c>
    </row>
    <row r="2150" hidden="1" outlineLevel="2" spans="2:24">
      <c r="B2150" s="1381" t="s">
        <v>3670</v>
      </c>
      <c r="C2150" s="693" t="str">
        <f t="shared" si="314"/>
        <v>深圳新阳蓝光能源管理科技股份有限公司</v>
      </c>
      <c r="D2150" s="1377" t="s">
        <v>3686</v>
      </c>
      <c r="E2150" s="719"/>
      <c r="F2150" s="719"/>
      <c r="G2150" s="719"/>
      <c r="H2150" s="719"/>
      <c r="X2150" s="768" t="b">
        <f t="shared" si="315"/>
        <v>1</v>
      </c>
    </row>
    <row r="2151" hidden="1" outlineLevel="2" spans="2:24">
      <c r="B2151" s="1381" t="s">
        <v>3670</v>
      </c>
      <c r="C2151" s="693" t="str">
        <f t="shared" si="314"/>
        <v>深圳新阳蓝光能源管理科技股份有限公司</v>
      </c>
      <c r="D2151" s="1377" t="s">
        <v>3686</v>
      </c>
      <c r="E2151" s="719"/>
      <c r="F2151" s="719"/>
      <c r="G2151" s="719"/>
      <c r="H2151" s="719"/>
      <c r="X2151" s="768" t="b">
        <f t="shared" si="315"/>
        <v>1</v>
      </c>
    </row>
    <row r="2152" hidden="1" outlineLevel="2" spans="2:24">
      <c r="B2152" s="1381" t="s">
        <v>3670</v>
      </c>
      <c r="C2152" s="693" t="str">
        <f t="shared" si="314"/>
        <v>深圳新阳蓝光能源管理科技股份有限公司</v>
      </c>
      <c r="D2152" s="1377" t="s">
        <v>3686</v>
      </c>
      <c r="E2152" s="719"/>
      <c r="F2152" s="719"/>
      <c r="G2152" s="719"/>
      <c r="H2152" s="719"/>
      <c r="X2152" s="768" t="b">
        <f t="shared" si="315"/>
        <v>1</v>
      </c>
    </row>
    <row r="2153" hidden="1" outlineLevel="2" spans="2:24">
      <c r="B2153" s="1381" t="s">
        <v>3670</v>
      </c>
      <c r="C2153" s="693" t="str">
        <f t="shared" si="314"/>
        <v>深圳新阳蓝光能源管理科技股份有限公司</v>
      </c>
      <c r="D2153" s="1377" t="s">
        <v>3686</v>
      </c>
      <c r="E2153" s="719"/>
      <c r="F2153" s="719"/>
      <c r="G2153" s="719"/>
      <c r="H2153" s="719"/>
      <c r="X2153" s="768" t="b">
        <f t="shared" si="315"/>
        <v>1</v>
      </c>
    </row>
    <row r="2154" hidden="1" outlineLevel="2" spans="2:24">
      <c r="B2154" s="1381" t="s">
        <v>3670</v>
      </c>
      <c r="C2154" s="693" t="str">
        <f t="shared" si="314"/>
        <v>深圳新阳蓝光能源管理科技股份有限公司</v>
      </c>
      <c r="D2154" s="1377" t="s">
        <v>3686</v>
      </c>
      <c r="E2154" s="719"/>
      <c r="F2154" s="719"/>
      <c r="G2154" s="719"/>
      <c r="H2154" s="719"/>
      <c r="X2154" s="768" t="b">
        <f t="shared" si="315"/>
        <v>1</v>
      </c>
    </row>
    <row r="2155" hidden="1" outlineLevel="2" spans="1:24">
      <c r="A2155" s="90" t="s">
        <v>2021</v>
      </c>
      <c r="B2155" s="1381" t="s">
        <v>3670</v>
      </c>
      <c r="C2155" s="693" t="str">
        <f t="shared" si="314"/>
        <v>深圳新阳蓝光能源管理科技股份有限公司</v>
      </c>
      <c r="D2155" s="1377" t="s">
        <v>3686</v>
      </c>
      <c r="E2155" s="1031" t="s">
        <v>2021</v>
      </c>
      <c r="F2155" s="1031"/>
      <c r="G2155" s="1078">
        <f>SUM(G2150:G2154)</f>
        <v>0</v>
      </c>
      <c r="H2155" s="1031"/>
      <c r="X2155" s="768" t="b">
        <f t="shared" si="315"/>
        <v>1</v>
      </c>
    </row>
    <row r="2156" outlineLevel="2" spans="2:24">
      <c r="B2156" s="1381" t="s">
        <v>3670</v>
      </c>
      <c r="C2156" s="693" t="str">
        <f t="shared" si="314"/>
        <v>深圳新阳蓝光能源管理科技股份有限公司</v>
      </c>
      <c r="D2156" s="1377" t="s">
        <v>3686</v>
      </c>
      <c r="E2156" s="153"/>
      <c r="F2156" s="715"/>
      <c r="G2156" s="715"/>
      <c r="X2156" s="768" t="b">
        <f t="shared" si="315"/>
        <v>1</v>
      </c>
    </row>
    <row r="2157" spans="1:24">
      <c r="A2157" s="90" t="s">
        <v>2257</v>
      </c>
      <c r="B2157" s="1381" t="s">
        <v>3688</v>
      </c>
      <c r="C2157" s="693" t="str">
        <f t="shared" si="314"/>
        <v>深圳新阳蓝光能源管理科技股份有限公司</v>
      </c>
      <c r="D2157" s="1377" t="s">
        <v>2257</v>
      </c>
      <c r="E2157" s="1233" t="s">
        <v>3689</v>
      </c>
      <c r="F2157" s="715"/>
      <c r="G2157" s="715"/>
      <c r="X2157" s="768" t="b">
        <f t="shared" si="315"/>
        <v>1</v>
      </c>
    </row>
    <row r="2158" outlineLevel="2" spans="1:24">
      <c r="A2158" s="90" t="s">
        <v>3690</v>
      </c>
      <c r="B2158" s="1381" t="s">
        <v>3688</v>
      </c>
      <c r="C2158" s="693" t="str">
        <f t="shared" si="314"/>
        <v>深圳新阳蓝光能源管理科技股份有限公司</v>
      </c>
      <c r="D2158" s="1377" t="s">
        <v>2257</v>
      </c>
      <c r="E2158" s="1037" t="s">
        <v>3691</v>
      </c>
      <c r="F2158" s="1429" t="s">
        <v>3471</v>
      </c>
      <c r="G2158" s="751"/>
      <c r="H2158" s="751"/>
      <c r="I2158" s="751"/>
      <c r="X2158" s="768" t="b">
        <f t="shared" si="315"/>
        <v>1</v>
      </c>
    </row>
    <row r="2159" outlineLevel="2" spans="1:24">
      <c r="A2159" s="90" t="s">
        <v>1149</v>
      </c>
      <c r="B2159" s="1381" t="s">
        <v>3688</v>
      </c>
      <c r="C2159" s="693" t="str">
        <f t="shared" si="314"/>
        <v>深圳新阳蓝光能源管理科技股份有限公司</v>
      </c>
      <c r="D2159" s="1377" t="s">
        <v>2257</v>
      </c>
      <c r="E2159" s="1031" t="s">
        <v>1149</v>
      </c>
      <c r="F2159" s="1031" t="s">
        <v>671</v>
      </c>
      <c r="G2159" s="1031" t="s">
        <v>672</v>
      </c>
      <c r="H2159" s="1031" t="s">
        <v>673</v>
      </c>
      <c r="I2159" s="1031" t="s">
        <v>516</v>
      </c>
      <c r="X2159" s="768" t="b">
        <f t="shared" si="315"/>
        <v>1</v>
      </c>
    </row>
    <row r="2160" outlineLevel="2" spans="1:24">
      <c r="A2160" s="90" t="s">
        <v>2258</v>
      </c>
      <c r="B2160" s="1381" t="s">
        <v>3688</v>
      </c>
      <c r="C2160" s="693" t="str">
        <f t="shared" si="314"/>
        <v>深圳新阳蓝光能源管理科技股份有限公司</v>
      </c>
      <c r="D2160" s="1377" t="s">
        <v>2257</v>
      </c>
      <c r="E2160" s="789" t="s">
        <v>2258</v>
      </c>
      <c r="F2160" s="1238">
        <f>报表附注合并期初用!E1890</f>
        <v>0</v>
      </c>
      <c r="G2160" s="4"/>
      <c r="H2160" s="4"/>
      <c r="I2160" s="1240">
        <f>F2160+G2160-H2160</f>
        <v>0</v>
      </c>
      <c r="X2160" s="768" t="b">
        <f t="shared" si="315"/>
        <v>1</v>
      </c>
    </row>
    <row r="2161" outlineLevel="2" spans="1:24">
      <c r="A2161" s="90" t="s">
        <v>2259</v>
      </c>
      <c r="B2161" s="1381" t="s">
        <v>3688</v>
      </c>
      <c r="C2161" s="693" t="str">
        <f t="shared" si="314"/>
        <v>深圳新阳蓝光能源管理科技股份有限公司</v>
      </c>
      <c r="D2161" s="1377" t="s">
        <v>2257</v>
      </c>
      <c r="E2161" s="789" t="s">
        <v>2259</v>
      </c>
      <c r="F2161" s="1238">
        <f>报表附注合并期初用!E1891</f>
        <v>0</v>
      </c>
      <c r="G2161" s="4"/>
      <c r="H2161" s="4"/>
      <c r="I2161" s="1240">
        <f t="shared" ref="I2161:I2166" si="316">F2161+G2161-H2161</f>
        <v>0</v>
      </c>
      <c r="X2161" s="768" t="b">
        <f t="shared" si="315"/>
        <v>1</v>
      </c>
    </row>
    <row r="2162" outlineLevel="2" spans="1:24">
      <c r="A2162" s="90" t="s">
        <v>2260</v>
      </c>
      <c r="B2162" s="1381" t="s">
        <v>3688</v>
      </c>
      <c r="C2162" s="693" t="str">
        <f t="shared" si="314"/>
        <v>深圳新阳蓝光能源管理科技股份有限公司</v>
      </c>
      <c r="D2162" s="1377" t="s">
        <v>2257</v>
      </c>
      <c r="E2162" s="789" t="s">
        <v>2260</v>
      </c>
      <c r="F2162" s="1238">
        <f>报表附注合并期初用!E1892</f>
        <v>450190.65</v>
      </c>
      <c r="G2162" s="4"/>
      <c r="H2162" s="4">
        <v>450190.65</v>
      </c>
      <c r="I2162" s="1240">
        <f t="shared" si="316"/>
        <v>0</v>
      </c>
      <c r="X2162" s="768" t="b">
        <f t="shared" si="315"/>
        <v>1</v>
      </c>
    </row>
    <row r="2163" outlineLevel="2" spans="1:24">
      <c r="A2163" s="90" t="s">
        <v>2261</v>
      </c>
      <c r="B2163" s="1381" t="s">
        <v>3688</v>
      </c>
      <c r="C2163" s="693" t="str">
        <f t="shared" si="314"/>
        <v>深圳新阳蓝光能源管理科技股份有限公司</v>
      </c>
      <c r="D2163" s="1377" t="s">
        <v>2257</v>
      </c>
      <c r="E2163" s="789" t="s">
        <v>2261</v>
      </c>
      <c r="F2163" s="1238">
        <f>报表附注合并期初用!E1893</f>
        <v>0</v>
      </c>
      <c r="G2163" s="4"/>
      <c r="H2163" s="4"/>
      <c r="I2163" s="1240">
        <f t="shared" si="316"/>
        <v>0</v>
      </c>
      <c r="X2163" s="768" t="b">
        <f t="shared" si="315"/>
        <v>1</v>
      </c>
    </row>
    <row r="2164" outlineLevel="2" spans="1:24">
      <c r="A2164" s="90" t="s">
        <v>2262</v>
      </c>
      <c r="B2164" s="1381" t="s">
        <v>3688</v>
      </c>
      <c r="C2164" s="693" t="str">
        <f t="shared" si="314"/>
        <v>深圳新阳蓝光能源管理科技股份有限公司</v>
      </c>
      <c r="D2164" s="1377" t="s">
        <v>2257</v>
      </c>
      <c r="E2164" s="789" t="s">
        <v>2262</v>
      </c>
      <c r="F2164" s="1238">
        <f>报表附注合并期初用!E1894</f>
        <v>0</v>
      </c>
      <c r="G2164" s="4"/>
      <c r="H2164" s="4"/>
      <c r="I2164" s="1240">
        <f t="shared" si="316"/>
        <v>0</v>
      </c>
      <c r="X2164" s="768" t="b">
        <f t="shared" si="315"/>
        <v>1</v>
      </c>
    </row>
    <row r="2165" outlineLevel="2" spans="1:24">
      <c r="A2165" s="90" t="s">
        <v>2263</v>
      </c>
      <c r="B2165" s="1381" t="s">
        <v>3688</v>
      </c>
      <c r="C2165" s="693" t="str">
        <f t="shared" si="314"/>
        <v>深圳新阳蓝光能源管理科技股份有限公司</v>
      </c>
      <c r="D2165" s="1377" t="s">
        <v>2257</v>
      </c>
      <c r="E2165" s="789" t="s">
        <v>2263</v>
      </c>
      <c r="F2165" s="1238">
        <f>报表附注合并期初用!E1895</f>
        <v>0</v>
      </c>
      <c r="G2165" s="4"/>
      <c r="H2165" s="4"/>
      <c r="I2165" s="1240">
        <f t="shared" si="316"/>
        <v>0</v>
      </c>
      <c r="X2165" s="768" t="b">
        <f t="shared" si="315"/>
        <v>1</v>
      </c>
    </row>
    <row r="2166" outlineLevel="2" spans="1:24">
      <c r="A2166" s="90" t="s">
        <v>280</v>
      </c>
      <c r="B2166" s="1381" t="s">
        <v>3688</v>
      </c>
      <c r="C2166" s="693" t="str">
        <f t="shared" si="314"/>
        <v>深圳新阳蓝光能源管理科技股份有限公司</v>
      </c>
      <c r="D2166" s="1377" t="s">
        <v>2257</v>
      </c>
      <c r="E2166" s="789" t="s">
        <v>280</v>
      </c>
      <c r="F2166" s="1238">
        <f>报表附注合并期初用!E1896</f>
        <v>0</v>
      </c>
      <c r="G2166" s="4">
        <f>资负表及利润表调整分录!H448</f>
        <v>5395983.26</v>
      </c>
      <c r="H2166" s="4"/>
      <c r="I2166" s="1240">
        <f t="shared" si="316"/>
        <v>5395983.26</v>
      </c>
      <c r="X2166" s="768" t="b">
        <f t="shared" si="315"/>
        <v>1</v>
      </c>
    </row>
    <row r="2167" outlineLevel="2" spans="1:24">
      <c r="A2167" s="90" t="s">
        <v>347</v>
      </c>
      <c r="B2167" s="1381" t="s">
        <v>3688</v>
      </c>
      <c r="C2167" s="693" t="str">
        <f t="shared" si="314"/>
        <v>深圳新阳蓝光能源管理科技股份有限公司</v>
      </c>
      <c r="D2167" s="1377" t="s">
        <v>2257</v>
      </c>
      <c r="E2167" s="1239" t="s">
        <v>3692</v>
      </c>
      <c r="F2167" s="1240">
        <f>SUM(F2160:F2166)</f>
        <v>450190.65</v>
      </c>
      <c r="G2167" s="1240">
        <f>SUM(G2160:G2166)</f>
        <v>5395983.26</v>
      </c>
      <c r="H2167" s="1240">
        <f t="shared" ref="H2167:I2167" si="317">SUM(H2160:H2166)</f>
        <v>450190.65</v>
      </c>
      <c r="I2167" s="1240">
        <f t="shared" si="317"/>
        <v>5395983.26</v>
      </c>
      <c r="X2167" s="768" t="b">
        <f t="shared" si="315"/>
        <v>1</v>
      </c>
    </row>
    <row r="2168" outlineLevel="2" spans="1:24">
      <c r="A2168" s="90" t="s">
        <v>1723</v>
      </c>
      <c r="B2168" s="1381" t="s">
        <v>3688</v>
      </c>
      <c r="C2168" s="693" t="str">
        <f t="shared" si="314"/>
        <v>深圳新阳蓝光能源管理科技股份有限公司</v>
      </c>
      <c r="D2168" s="1377" t="s">
        <v>2257</v>
      </c>
      <c r="E2168" s="1361" t="s">
        <v>1723</v>
      </c>
      <c r="F2168" s="835">
        <f>审定资负表!H27</f>
        <v>450190.65</v>
      </c>
      <c r="G2168" s="715"/>
      <c r="I2168" s="93">
        <f>审定资负表!G27</f>
        <v>5395983.26</v>
      </c>
      <c r="X2168" s="768" t="b">
        <f t="shared" si="315"/>
        <v>1</v>
      </c>
    </row>
    <row r="2169" outlineLevel="1" spans="1:24">
      <c r="A2169" s="90" t="s">
        <v>1395</v>
      </c>
      <c r="B2169" s="1381" t="s">
        <v>3688</v>
      </c>
      <c r="C2169" s="693" t="str">
        <f t="shared" si="314"/>
        <v>深圳新阳蓝光能源管理科技股份有限公司</v>
      </c>
      <c r="D2169" s="1377" t="s">
        <v>2257</v>
      </c>
      <c r="E2169" s="1361" t="s">
        <v>1395</v>
      </c>
      <c r="F2169" s="92">
        <f>ROUND(F2167-F2168,2)</f>
        <v>0</v>
      </c>
      <c r="G2169" s="715"/>
      <c r="I2169" s="92">
        <f>ROUND(I2167-I2168,2)</f>
        <v>0</v>
      </c>
      <c r="X2169" s="768" t="b">
        <f t="shared" si="315"/>
        <v>1</v>
      </c>
    </row>
    <row r="2170" outlineLevel="2" spans="2:24">
      <c r="B2170" s="1381" t="s">
        <v>3688</v>
      </c>
      <c r="C2170" s="693" t="str">
        <f t="shared" si="314"/>
        <v>深圳新阳蓝光能源管理科技股份有限公司</v>
      </c>
      <c r="D2170" s="1377"/>
      <c r="E2170" s="153"/>
      <c r="F2170" s="715"/>
      <c r="G2170" s="715"/>
      <c r="X2170" s="768" t="b">
        <f t="shared" si="315"/>
        <v>1</v>
      </c>
    </row>
    <row r="2171" outlineLevel="2" spans="1:24">
      <c r="A2171" s="90" t="s">
        <v>2809</v>
      </c>
      <c r="B2171" s="1381" t="s">
        <v>3688</v>
      </c>
      <c r="C2171" s="693" t="str">
        <f t="shared" si="314"/>
        <v>深圳新阳蓝光能源管理科技股份有限公司</v>
      </c>
      <c r="D2171" s="1377"/>
      <c r="E2171" s="1466" t="s">
        <v>2829</v>
      </c>
      <c r="F2171" s="736"/>
      <c r="G2171" s="736"/>
      <c r="H2171" s="107"/>
      <c r="X2171" s="768" t="b">
        <f t="shared" si="315"/>
        <v>1</v>
      </c>
    </row>
    <row r="2172" outlineLevel="2" spans="2:24">
      <c r="B2172" s="1381" t="s">
        <v>3688</v>
      </c>
      <c r="C2172" s="693" t="str">
        <f t="shared" si="314"/>
        <v>深圳新阳蓝光能源管理科技股份有限公司</v>
      </c>
      <c r="D2172" s="1377"/>
      <c r="E2172" s="894"/>
      <c r="F2172" s="715"/>
      <c r="G2172" s="715"/>
      <c r="X2172" s="768" t="b">
        <f t="shared" si="315"/>
        <v>1</v>
      </c>
    </row>
    <row r="2173" spans="1:24">
      <c r="A2173" s="90" t="s">
        <v>2264</v>
      </c>
      <c r="B2173" s="1381" t="s">
        <v>3693</v>
      </c>
      <c r="C2173" s="693" t="str">
        <f t="shared" si="314"/>
        <v>深圳新阳蓝光能源管理科技股份有限公司</v>
      </c>
      <c r="D2173" s="1377" t="s">
        <v>3694</v>
      </c>
      <c r="E2173" s="70" t="s">
        <v>3695</v>
      </c>
      <c r="F2173" s="715"/>
      <c r="G2173" s="715"/>
      <c r="X2173" s="768" t="b">
        <f t="shared" si="315"/>
        <v>1</v>
      </c>
    </row>
    <row r="2174" outlineLevel="2" spans="1:24">
      <c r="A2174" s="90" t="s">
        <v>2265</v>
      </c>
      <c r="B2174" s="1381" t="s">
        <v>3693</v>
      </c>
      <c r="C2174" s="693" t="str">
        <f t="shared" si="314"/>
        <v>深圳新阳蓝光能源管理科技股份有限公司</v>
      </c>
      <c r="D2174" s="1377" t="s">
        <v>3694</v>
      </c>
      <c r="E2174" s="1037" t="s">
        <v>3696</v>
      </c>
      <c r="F2174" s="751"/>
      <c r="G2174" s="1429" t="s">
        <v>3471</v>
      </c>
      <c r="H2174" s="751"/>
      <c r="I2174" s="751"/>
      <c r="J2174" s="751"/>
      <c r="K2174" s="751"/>
      <c r="X2174" s="768" t="b">
        <f t="shared" si="315"/>
        <v>1</v>
      </c>
    </row>
    <row r="2175" outlineLevel="2" spans="1:24">
      <c r="A2175" s="90" t="s">
        <v>1149</v>
      </c>
      <c r="B2175" s="1381" t="s">
        <v>3693</v>
      </c>
      <c r="C2175" s="693" t="str">
        <f t="shared" si="314"/>
        <v>深圳新阳蓝光能源管理科技股份有限公司</v>
      </c>
      <c r="D2175" s="1377" t="s">
        <v>3697</v>
      </c>
      <c r="E2175" s="132" t="s">
        <v>1149</v>
      </c>
      <c r="F2175" s="132" t="s">
        <v>516</v>
      </c>
      <c r="G2175" s="132" t="s">
        <v>671</v>
      </c>
      <c r="H2175" s="751"/>
      <c r="I2175" s="751"/>
      <c r="J2175" s="751"/>
      <c r="K2175" s="751"/>
      <c r="X2175" s="768" t="b">
        <f t="shared" si="315"/>
        <v>1</v>
      </c>
    </row>
    <row r="2176" outlineLevel="2" spans="1:24">
      <c r="A2176" s="90" t="s">
        <v>2266</v>
      </c>
      <c r="B2176" s="1381" t="s">
        <v>3693</v>
      </c>
      <c r="C2176" s="693" t="str">
        <f t="shared" si="314"/>
        <v>深圳新阳蓝光能源管理科技股份有限公司</v>
      </c>
      <c r="D2176" s="1377" t="s">
        <v>3697</v>
      </c>
      <c r="E2176" s="1235" t="s">
        <v>2266</v>
      </c>
      <c r="F2176" s="1467">
        <v>17334444.44</v>
      </c>
      <c r="G2176" s="1468">
        <f>报表附注合并期初用!E1927</f>
        <v>17624444.44</v>
      </c>
      <c r="H2176" s="1469"/>
      <c r="I2176" s="751"/>
      <c r="J2176" s="751"/>
      <c r="K2176" s="751"/>
      <c r="X2176" s="768" t="b">
        <f t="shared" si="315"/>
        <v>1</v>
      </c>
    </row>
    <row r="2177" outlineLevel="2" spans="1:24">
      <c r="A2177" s="90" t="s">
        <v>2267</v>
      </c>
      <c r="B2177" s="1381" t="s">
        <v>3693</v>
      </c>
      <c r="C2177" s="693" t="str">
        <f t="shared" si="314"/>
        <v>深圳新阳蓝光能源管理科技股份有限公司</v>
      </c>
      <c r="D2177" s="1377" t="s">
        <v>3697</v>
      </c>
      <c r="E2177" s="789" t="s">
        <v>2267</v>
      </c>
      <c r="F2177" s="1467"/>
      <c r="G2177" s="1468">
        <f>报表附注合并期初用!E1928</f>
        <v>0</v>
      </c>
      <c r="H2177" s="751"/>
      <c r="I2177" s="751"/>
      <c r="J2177" s="751"/>
      <c r="K2177" s="751"/>
      <c r="X2177" s="768" t="b">
        <f t="shared" si="315"/>
        <v>1</v>
      </c>
    </row>
    <row r="2178" outlineLevel="2" spans="1:24">
      <c r="A2178" s="90" t="s">
        <v>2268</v>
      </c>
      <c r="B2178" s="1381" t="s">
        <v>3693</v>
      </c>
      <c r="C2178" s="693" t="str">
        <f t="shared" si="314"/>
        <v>深圳新阳蓝光能源管理科技股份有限公司</v>
      </c>
      <c r="D2178" s="1377" t="s">
        <v>3697</v>
      </c>
      <c r="E2178" s="789" t="s">
        <v>2268</v>
      </c>
      <c r="F2178" s="1467">
        <v>6557196.07</v>
      </c>
      <c r="G2178" s="1468">
        <f>报表附注合并期初用!E1929</f>
        <v>6606039.24</v>
      </c>
      <c r="H2178" s="1469"/>
      <c r="I2178" s="751"/>
      <c r="J2178" s="751"/>
      <c r="K2178" s="751"/>
      <c r="X2178" s="768" t="b">
        <f t="shared" si="315"/>
        <v>1</v>
      </c>
    </row>
    <row r="2179" outlineLevel="2" spans="1:24">
      <c r="A2179" s="90" t="s">
        <v>2269</v>
      </c>
      <c r="B2179" s="1381" t="s">
        <v>3693</v>
      </c>
      <c r="C2179" s="693" t="str">
        <f t="shared" si="314"/>
        <v>深圳新阳蓝光能源管理科技股份有限公司</v>
      </c>
      <c r="D2179" s="1377" t="s">
        <v>3697</v>
      </c>
      <c r="E2179" s="789" t="s">
        <v>2269</v>
      </c>
      <c r="F2179" s="1467"/>
      <c r="G2179" s="1468">
        <f>报表附注合并期初用!E1930</f>
        <v>0</v>
      </c>
      <c r="H2179" s="751"/>
      <c r="I2179" s="751"/>
      <c r="J2179" s="751"/>
      <c r="K2179" s="751"/>
      <c r="X2179" s="768" t="b">
        <f t="shared" si="315"/>
        <v>1</v>
      </c>
    </row>
    <row r="2180" outlineLevel="2" spans="1:24">
      <c r="A2180" s="90" t="s">
        <v>2203</v>
      </c>
      <c r="B2180" s="1381" t="s">
        <v>3693</v>
      </c>
      <c r="C2180" s="693" t="str">
        <f t="shared" si="314"/>
        <v>深圳新阳蓝光能源管理科技股份有限公司</v>
      </c>
      <c r="D2180" s="1377" t="s">
        <v>3697</v>
      </c>
      <c r="E2180" s="1470" t="s">
        <v>3698</v>
      </c>
      <c r="F2180" s="1471">
        <f>SUM(F2176:F2179)</f>
        <v>23891640.51</v>
      </c>
      <c r="G2180" s="1471">
        <f>SUM(G2176:G2179)</f>
        <v>24230483.68</v>
      </c>
      <c r="H2180" s="751"/>
      <c r="I2180" s="751"/>
      <c r="J2180" s="751"/>
      <c r="K2180" s="751"/>
      <c r="X2180" s="768" t="b">
        <f t="shared" si="315"/>
        <v>1</v>
      </c>
    </row>
    <row r="2181" outlineLevel="2" spans="1:24">
      <c r="A2181" s="90" t="s">
        <v>1723</v>
      </c>
      <c r="B2181" s="1381" t="s">
        <v>3693</v>
      </c>
      <c r="C2181" s="693" t="str">
        <f t="shared" si="314"/>
        <v>深圳新阳蓝光能源管理科技股份有限公司</v>
      </c>
      <c r="D2181" s="1377" t="s">
        <v>3697</v>
      </c>
      <c r="E2181" s="1361" t="s">
        <v>1723</v>
      </c>
      <c r="F2181" s="1472">
        <f>审定资负表!G17</f>
        <v>23891640.51</v>
      </c>
      <c r="G2181" s="1472">
        <f>审定资负表!H17</f>
        <v>24230483.68</v>
      </c>
      <c r="H2181" s="751"/>
      <c r="I2181" s="751"/>
      <c r="J2181" s="751"/>
      <c r="K2181" s="751"/>
      <c r="X2181" s="768" t="b">
        <f t="shared" si="315"/>
        <v>1</v>
      </c>
    </row>
    <row r="2182" outlineLevel="1" spans="1:24">
      <c r="A2182" s="90" t="s">
        <v>1395</v>
      </c>
      <c r="B2182" s="1381" t="s">
        <v>3693</v>
      </c>
      <c r="C2182" s="693" t="str">
        <f t="shared" si="314"/>
        <v>深圳新阳蓝光能源管理科技股份有限公司</v>
      </c>
      <c r="D2182" s="1377" t="s">
        <v>3697</v>
      </c>
      <c r="E2182" s="1361" t="s">
        <v>1395</v>
      </c>
      <c r="F2182" s="92">
        <f>ROUND(F2180-F2181,2)</f>
        <v>0</v>
      </c>
      <c r="G2182" s="92">
        <f>ROUND(G2180-G2181,2)</f>
        <v>0</v>
      </c>
      <c r="H2182" s="751"/>
      <c r="I2182" s="751"/>
      <c r="J2182" s="751"/>
      <c r="K2182" s="751"/>
      <c r="X2182" s="768" t="b">
        <f t="shared" si="315"/>
        <v>1</v>
      </c>
    </row>
    <row r="2183" outlineLevel="2" spans="1:24">
      <c r="A2183" s="90" t="s">
        <v>2270</v>
      </c>
      <c r="B2183" s="1381" t="s">
        <v>3693</v>
      </c>
      <c r="C2183" s="693" t="str">
        <f t="shared" si="314"/>
        <v>深圳新阳蓝光能源管理科技股份有限公司</v>
      </c>
      <c r="D2183" s="1377" t="s">
        <v>2270</v>
      </c>
      <c r="E2183" s="153" t="s">
        <v>3699</v>
      </c>
      <c r="F2183" s="751"/>
      <c r="G2183" s="751"/>
      <c r="H2183" s="751"/>
      <c r="I2183" s="751"/>
      <c r="J2183" s="751"/>
      <c r="K2183" s="751"/>
      <c r="X2183" s="768" t="b">
        <f t="shared" si="315"/>
        <v>1</v>
      </c>
    </row>
    <row r="2184" outlineLevel="2" spans="1:24">
      <c r="A2184" s="90" t="s">
        <v>217</v>
      </c>
      <c r="B2184" s="685" t="s">
        <v>217</v>
      </c>
      <c r="C2184" s="693" t="str">
        <f t="shared" si="314"/>
        <v>深圳新阳蓝光能源管理科技股份有限公司</v>
      </c>
      <c r="D2184" s="687" t="s">
        <v>2270</v>
      </c>
      <c r="E2184" s="90" t="s">
        <v>217</v>
      </c>
      <c r="X2184" s="768" t="b">
        <f t="shared" si="315"/>
        <v>1</v>
      </c>
    </row>
    <row r="2185" outlineLevel="2" spans="1:24">
      <c r="A2185" s="90" t="s">
        <v>3551</v>
      </c>
      <c r="B2185" s="685" t="s">
        <v>217</v>
      </c>
      <c r="C2185" s="693" t="str">
        <f t="shared" si="314"/>
        <v>深圳新阳蓝光能源管理科技股份有限公司</v>
      </c>
      <c r="D2185" s="1473" t="s">
        <v>2270</v>
      </c>
      <c r="E2185" s="1474" t="s">
        <v>3551</v>
      </c>
      <c r="F2185" s="1474" t="s">
        <v>316</v>
      </c>
      <c r="G2185" s="1474" t="s">
        <v>2020</v>
      </c>
      <c r="X2185" s="768" t="b">
        <f t="shared" si="315"/>
        <v>1</v>
      </c>
    </row>
    <row r="2186" outlineLevel="2" spans="1:24">
      <c r="A2186" s="90" t="s">
        <v>983</v>
      </c>
      <c r="B2186" s="685" t="s">
        <v>217</v>
      </c>
      <c r="C2186" s="693" t="str">
        <f t="shared" si="314"/>
        <v>深圳新阳蓝光能源管理科技股份有限公司</v>
      </c>
      <c r="D2186" s="1473" t="s">
        <v>2270</v>
      </c>
      <c r="E2186" s="1475" t="s">
        <v>983</v>
      </c>
      <c r="F2186" s="136"/>
      <c r="G2186" s="743">
        <f>报表附注合并期初用!E1941</f>
        <v>0</v>
      </c>
      <c r="X2186" s="768" t="b">
        <f t="shared" si="315"/>
        <v>1</v>
      </c>
    </row>
    <row r="2187" outlineLevel="2" spans="1:24">
      <c r="A2187" s="90" t="s">
        <v>985</v>
      </c>
      <c r="B2187" s="685" t="s">
        <v>217</v>
      </c>
      <c r="C2187" s="693" t="str">
        <f t="shared" si="314"/>
        <v>深圳新阳蓝光能源管理科技股份有限公司</v>
      </c>
      <c r="D2187" s="1473" t="s">
        <v>2270</v>
      </c>
      <c r="E2187" s="1475" t="s">
        <v>985</v>
      </c>
      <c r="F2187" s="136"/>
      <c r="G2187" s="743">
        <f>报表附注合并期初用!E1942</f>
        <v>0</v>
      </c>
      <c r="X2187" s="768" t="b">
        <f t="shared" si="315"/>
        <v>1</v>
      </c>
    </row>
    <row r="2188" outlineLevel="2" spans="1:24">
      <c r="A2188" s="90" t="s">
        <v>987</v>
      </c>
      <c r="B2188" s="685" t="s">
        <v>217</v>
      </c>
      <c r="C2188" s="693" t="str">
        <f t="shared" si="314"/>
        <v>深圳新阳蓝光能源管理科技股份有限公司</v>
      </c>
      <c r="D2188" s="1473" t="s">
        <v>2270</v>
      </c>
      <c r="E2188" s="1475" t="s">
        <v>987</v>
      </c>
      <c r="F2188" s="136"/>
      <c r="G2188" s="743">
        <f>报表附注合并期初用!E1943</f>
        <v>0</v>
      </c>
      <c r="X2188" s="768" t="b">
        <f t="shared" si="315"/>
        <v>1</v>
      </c>
    </row>
    <row r="2189" outlineLevel="2" spans="1:24">
      <c r="A2189" s="90" t="s">
        <v>989</v>
      </c>
      <c r="B2189" s="685" t="s">
        <v>217</v>
      </c>
      <c r="C2189" s="693" t="str">
        <f t="shared" si="314"/>
        <v>深圳新阳蓝光能源管理科技股份有限公司</v>
      </c>
      <c r="D2189" s="1473" t="s">
        <v>2270</v>
      </c>
      <c r="E2189" s="1475" t="s">
        <v>989</v>
      </c>
      <c r="F2189" s="136">
        <v>17334444.44</v>
      </c>
      <c r="G2189" s="743">
        <f>报表附注合并期初用!E1944</f>
        <v>17624444.44</v>
      </c>
      <c r="X2189" s="768" t="b">
        <f t="shared" si="315"/>
        <v>1</v>
      </c>
    </row>
    <row r="2190" outlineLevel="2" spans="1:24">
      <c r="A2190" s="90" t="s">
        <v>2203</v>
      </c>
      <c r="B2190" s="685" t="s">
        <v>217</v>
      </c>
      <c r="C2190" s="693" t="str">
        <f t="shared" si="314"/>
        <v>深圳新阳蓝光能源管理科技股份有限公司</v>
      </c>
      <c r="D2190" s="1473" t="s">
        <v>2270</v>
      </c>
      <c r="E2190" s="1475" t="s">
        <v>3554</v>
      </c>
      <c r="F2190" s="139">
        <f>SUM(F2186:F2189)</f>
        <v>17334444.44</v>
      </c>
      <c r="G2190" s="139">
        <f>SUM(G2186:G2189)</f>
        <v>17624444.44</v>
      </c>
      <c r="X2190" s="768" t="b">
        <f t="shared" si="315"/>
        <v>1</v>
      </c>
    </row>
    <row r="2191" outlineLevel="2" spans="1:24">
      <c r="A2191" s="90" t="s">
        <v>3700</v>
      </c>
      <c r="B2191" s="685" t="s">
        <v>217</v>
      </c>
      <c r="C2191" s="693" t="str">
        <f t="shared" si="314"/>
        <v>深圳新阳蓝光能源管理科技股份有限公司</v>
      </c>
      <c r="D2191" s="1473" t="s">
        <v>2270</v>
      </c>
      <c r="E2191" s="1476" t="s">
        <v>3700</v>
      </c>
      <c r="F2191" s="1007">
        <f>ROUND(F2176-F2190,2)</f>
        <v>0</v>
      </c>
      <c r="G2191" s="1007">
        <f>ROUND(G2176-G2190,2)</f>
        <v>0</v>
      </c>
      <c r="X2191" s="768" t="b">
        <f t="shared" si="315"/>
        <v>1</v>
      </c>
    </row>
    <row r="2192" outlineLevel="2" spans="1:24">
      <c r="A2192" s="90" t="s">
        <v>3701</v>
      </c>
      <c r="B2192" s="1381" t="s">
        <v>3693</v>
      </c>
      <c r="C2192" s="693" t="str">
        <f t="shared" si="314"/>
        <v>深圳新阳蓝光能源管理科技股份有限公司</v>
      </c>
      <c r="D2192" s="1377" t="s">
        <v>2270</v>
      </c>
      <c r="E2192" s="1106" t="s">
        <v>3702</v>
      </c>
      <c r="F2192" s="751"/>
      <c r="G2192" s="751"/>
      <c r="H2192" s="751"/>
      <c r="I2192" s="751"/>
      <c r="J2192" s="751"/>
      <c r="K2192" s="751"/>
      <c r="X2192" s="768" t="b">
        <f t="shared" si="315"/>
        <v>1</v>
      </c>
    </row>
    <row r="2193" outlineLevel="2" spans="1:24">
      <c r="A2193" s="90" t="s">
        <v>2809</v>
      </c>
      <c r="B2193" s="1381" t="s">
        <v>3693</v>
      </c>
      <c r="C2193" s="693" t="str">
        <f t="shared" si="314"/>
        <v>深圳新阳蓝光能源管理科技股份有限公司</v>
      </c>
      <c r="D2193" s="1377" t="s">
        <v>2270</v>
      </c>
      <c r="E2193" s="153" t="s">
        <v>2829</v>
      </c>
      <c r="F2193" s="1477"/>
      <c r="G2193" s="1477"/>
      <c r="H2193" s="751"/>
      <c r="I2193" s="751"/>
      <c r="J2193" s="751"/>
      <c r="K2193" s="751"/>
      <c r="X2193" s="768" t="b">
        <f t="shared" si="315"/>
        <v>1</v>
      </c>
    </row>
    <row r="2194" outlineLevel="2" spans="1:24">
      <c r="A2194" s="90" t="s">
        <v>3703</v>
      </c>
      <c r="B2194" s="1381" t="s">
        <v>3693</v>
      </c>
      <c r="C2194" s="693" t="str">
        <f t="shared" si="314"/>
        <v>深圳新阳蓝光能源管理科技股份有限公司</v>
      </c>
      <c r="D2194" s="1377" t="s">
        <v>3703</v>
      </c>
      <c r="E2194" s="153" t="s">
        <v>3704</v>
      </c>
      <c r="F2194" s="1004"/>
      <c r="G2194" s="751"/>
      <c r="H2194" s="751"/>
      <c r="I2194" s="751"/>
      <c r="J2194" s="751"/>
      <c r="K2194" s="751"/>
      <c r="L2194" s="919"/>
      <c r="X2194" s="768" t="b">
        <f t="shared" si="315"/>
        <v>0</v>
      </c>
    </row>
    <row r="2195" ht="11.25" customHeight="1" outlineLevel="2" spans="1:24">
      <c r="A2195" s="90" t="s">
        <v>993</v>
      </c>
      <c r="B2195" s="1381" t="s">
        <v>3693</v>
      </c>
      <c r="C2195" s="693" t="str">
        <f t="shared" si="314"/>
        <v>深圳新阳蓝光能源管理科技股份有限公司</v>
      </c>
      <c r="D2195" s="1377" t="s">
        <v>3703</v>
      </c>
      <c r="E2195" s="851" t="s">
        <v>993</v>
      </c>
      <c r="F2195" s="851" t="s">
        <v>3705</v>
      </c>
      <c r="G2195" s="851" t="s">
        <v>3706</v>
      </c>
      <c r="H2195" s="851" t="s">
        <v>516</v>
      </c>
      <c r="I2195" s="851"/>
      <c r="J2195" s="851"/>
      <c r="K2195" s="851"/>
      <c r="L2195" s="851" t="s">
        <v>671</v>
      </c>
      <c r="M2195" s="851"/>
      <c r="N2195" s="851"/>
      <c r="O2195" s="851"/>
      <c r="X2195" s="768" t="b">
        <f t="shared" si="315"/>
        <v>1</v>
      </c>
    </row>
    <row r="2196" outlineLevel="2" spans="2:24">
      <c r="B2196" s="1381" t="s">
        <v>3693</v>
      </c>
      <c r="C2196" s="693" t="str">
        <f t="shared" si="314"/>
        <v>深圳新阳蓝光能源管理科技股份有限公司</v>
      </c>
      <c r="D2196" s="1377" t="s">
        <v>3703</v>
      </c>
      <c r="E2196" s="851"/>
      <c r="F2196" s="851"/>
      <c r="G2196" s="851"/>
      <c r="H2196" s="851" t="s">
        <v>3707</v>
      </c>
      <c r="I2196" s="851" t="s">
        <v>3708</v>
      </c>
      <c r="J2196" s="851" t="s">
        <v>3709</v>
      </c>
      <c r="K2196" s="851" t="s">
        <v>3710</v>
      </c>
      <c r="L2196" s="851" t="s">
        <v>3707</v>
      </c>
      <c r="M2196" s="851" t="s">
        <v>3708</v>
      </c>
      <c r="N2196" s="851" t="s">
        <v>3709</v>
      </c>
      <c r="O2196" s="851" t="s">
        <v>3710</v>
      </c>
      <c r="X2196" s="768" t="b">
        <f t="shared" si="315"/>
        <v>1</v>
      </c>
    </row>
    <row r="2197" outlineLevel="2" spans="2:24">
      <c r="B2197" s="1381" t="s">
        <v>3693</v>
      </c>
      <c r="C2197" s="693" t="str">
        <f t="shared" si="314"/>
        <v>深圳新阳蓝光能源管理科技股份有限公司</v>
      </c>
      <c r="D2197" s="1377" t="s">
        <v>3703</v>
      </c>
      <c r="E2197" s="1066"/>
      <c r="F2197" s="1066"/>
      <c r="G2197" s="1066"/>
      <c r="H2197" s="1066"/>
      <c r="I2197" s="1066"/>
      <c r="J2197" s="1066"/>
      <c r="K2197" s="1066"/>
      <c r="L2197" s="1066"/>
      <c r="M2197" s="1066"/>
      <c r="N2197" s="1066"/>
      <c r="O2197" s="1066"/>
      <c r="X2197" s="768" t="b">
        <f t="shared" si="315"/>
        <v>1</v>
      </c>
    </row>
    <row r="2198" outlineLevel="2" spans="2:24">
      <c r="B2198" s="1381" t="s">
        <v>3693</v>
      </c>
      <c r="C2198" s="693" t="str">
        <f t="shared" si="314"/>
        <v>深圳新阳蓝光能源管理科技股份有限公司</v>
      </c>
      <c r="D2198" s="1377" t="s">
        <v>3703</v>
      </c>
      <c r="E2198" s="1066"/>
      <c r="F2198" s="1066"/>
      <c r="G2198" s="1066"/>
      <c r="H2198" s="1066"/>
      <c r="I2198" s="1066"/>
      <c r="J2198" s="1066"/>
      <c r="K2198" s="1066"/>
      <c r="L2198" s="1066"/>
      <c r="M2198" s="1066"/>
      <c r="N2198" s="1066"/>
      <c r="O2198" s="1066"/>
      <c r="X2198" s="768" t="b">
        <f t="shared" si="315"/>
        <v>1</v>
      </c>
    </row>
    <row r="2199" outlineLevel="2" spans="2:24">
      <c r="B2199" s="1381" t="s">
        <v>3693</v>
      </c>
      <c r="C2199" s="693" t="str">
        <f t="shared" si="314"/>
        <v>深圳新阳蓝光能源管理科技股份有限公司</v>
      </c>
      <c r="D2199" s="1377" t="s">
        <v>3703</v>
      </c>
      <c r="E2199" s="1066"/>
      <c r="F2199" s="1066"/>
      <c r="G2199" s="1066"/>
      <c r="H2199" s="1066"/>
      <c r="I2199" s="1066"/>
      <c r="J2199" s="1066"/>
      <c r="K2199" s="1066"/>
      <c r="L2199" s="1066"/>
      <c r="M2199" s="1066"/>
      <c r="N2199" s="1066"/>
      <c r="O2199" s="1066"/>
      <c r="X2199" s="768" t="b">
        <f t="shared" si="315"/>
        <v>1</v>
      </c>
    </row>
    <row r="2200" outlineLevel="2" spans="2:24">
      <c r="B2200" s="1381" t="s">
        <v>3693</v>
      </c>
      <c r="C2200" s="693" t="str">
        <f t="shared" si="314"/>
        <v>深圳新阳蓝光能源管理科技股份有限公司</v>
      </c>
      <c r="D2200" s="1377" t="s">
        <v>3703</v>
      </c>
      <c r="E2200" s="1066"/>
      <c r="F2200" s="1066"/>
      <c r="G2200" s="1066"/>
      <c r="H2200" s="1066"/>
      <c r="I2200" s="1066"/>
      <c r="J2200" s="1066"/>
      <c r="K2200" s="1066"/>
      <c r="L2200" s="1066"/>
      <c r="M2200" s="1066"/>
      <c r="N2200" s="1066"/>
      <c r="O2200" s="1066"/>
      <c r="X2200" s="768" t="b">
        <f t="shared" si="315"/>
        <v>1</v>
      </c>
    </row>
    <row r="2201" outlineLevel="2" spans="2:24">
      <c r="B2201" s="1381" t="s">
        <v>3693</v>
      </c>
      <c r="C2201" s="693" t="str">
        <f t="shared" si="314"/>
        <v>深圳新阳蓝光能源管理科技股份有限公司</v>
      </c>
      <c r="D2201" s="1377" t="s">
        <v>3703</v>
      </c>
      <c r="E2201" s="1066"/>
      <c r="F2201" s="1066"/>
      <c r="G2201" s="1066"/>
      <c r="H2201" s="1066"/>
      <c r="I2201" s="1485"/>
      <c r="J2201" s="1066"/>
      <c r="K2201" s="1287"/>
      <c r="L2201" s="1066"/>
      <c r="M2201" s="1485"/>
      <c r="N2201" s="1066"/>
      <c r="O2201" s="1066"/>
      <c r="X2201" s="768" t="b">
        <f t="shared" si="315"/>
        <v>1</v>
      </c>
    </row>
    <row r="2202" outlineLevel="2" spans="2:24">
      <c r="B2202" s="1381" t="s">
        <v>3693</v>
      </c>
      <c r="C2202" s="693" t="str">
        <f t="shared" si="314"/>
        <v>深圳新阳蓝光能源管理科技股份有限公司</v>
      </c>
      <c r="D2202" s="1377" t="s">
        <v>3703</v>
      </c>
      <c r="E2202" s="1066"/>
      <c r="F2202" s="1066"/>
      <c r="G2202" s="1066"/>
      <c r="H2202" s="1066"/>
      <c r="I2202" s="1485"/>
      <c r="J2202" s="1066"/>
      <c r="K2202" s="1287"/>
      <c r="L2202" s="1066"/>
      <c r="M2202" s="1485"/>
      <c r="N2202" s="1066"/>
      <c r="O2202" s="1066"/>
      <c r="X2202" s="768" t="b">
        <f t="shared" si="315"/>
        <v>1</v>
      </c>
    </row>
    <row r="2203" outlineLevel="2" spans="2:24">
      <c r="B2203" s="1381" t="s">
        <v>3693</v>
      </c>
      <c r="C2203" s="693" t="str">
        <f t="shared" si="314"/>
        <v>深圳新阳蓝光能源管理科技股份有限公司</v>
      </c>
      <c r="D2203" s="1377" t="s">
        <v>3703</v>
      </c>
      <c r="E2203" s="1066"/>
      <c r="F2203" s="1066"/>
      <c r="G2203" s="1066"/>
      <c r="H2203" s="1066"/>
      <c r="I2203" s="1485"/>
      <c r="J2203" s="1066"/>
      <c r="K2203" s="1287"/>
      <c r="L2203" s="1066"/>
      <c r="M2203" s="1485"/>
      <c r="N2203" s="1066"/>
      <c r="O2203" s="1066"/>
      <c r="X2203" s="768" t="b">
        <f t="shared" si="315"/>
        <v>1</v>
      </c>
    </row>
    <row r="2204" outlineLevel="2" spans="2:24">
      <c r="B2204" s="1381" t="s">
        <v>3693</v>
      </c>
      <c r="C2204" s="693" t="str">
        <f t="shared" si="314"/>
        <v>深圳新阳蓝光能源管理科技股份有限公司</v>
      </c>
      <c r="D2204" s="1377" t="s">
        <v>3703</v>
      </c>
      <c r="E2204" s="1066"/>
      <c r="F2204" s="1066"/>
      <c r="G2204" s="1066"/>
      <c r="H2204" s="1066"/>
      <c r="I2204" s="1485"/>
      <c r="J2204" s="1066"/>
      <c r="K2204" s="1287"/>
      <c r="L2204" s="1066"/>
      <c r="M2204" s="1485"/>
      <c r="N2204" s="1066"/>
      <c r="O2204" s="1066"/>
      <c r="X2204" s="768" t="b">
        <f t="shared" si="315"/>
        <v>1</v>
      </c>
    </row>
    <row r="2205" outlineLevel="2" spans="2:24">
      <c r="B2205" s="1381" t="s">
        <v>3693</v>
      </c>
      <c r="C2205" s="693" t="str">
        <f t="shared" si="314"/>
        <v>深圳新阳蓝光能源管理科技股份有限公司</v>
      </c>
      <c r="D2205" s="1377" t="s">
        <v>3703</v>
      </c>
      <c r="E2205" s="1066"/>
      <c r="F2205" s="1066"/>
      <c r="G2205" s="1066"/>
      <c r="H2205" s="1066"/>
      <c r="I2205" s="1485"/>
      <c r="J2205" s="1066"/>
      <c r="K2205" s="1287"/>
      <c r="L2205" s="1066"/>
      <c r="M2205" s="1485"/>
      <c r="N2205" s="1066"/>
      <c r="O2205" s="1066"/>
      <c r="X2205" s="768" t="b">
        <f t="shared" si="315"/>
        <v>1</v>
      </c>
    </row>
    <row r="2206" outlineLevel="2" spans="2:24">
      <c r="B2206" s="1381" t="s">
        <v>3693</v>
      </c>
      <c r="C2206" s="693" t="str">
        <f t="shared" si="314"/>
        <v>深圳新阳蓝光能源管理科技股份有限公司</v>
      </c>
      <c r="D2206" s="1377" t="s">
        <v>3703</v>
      </c>
      <c r="E2206" s="1044"/>
      <c r="F2206" s="1478"/>
      <c r="G2206" s="1478"/>
      <c r="H2206" s="1478"/>
      <c r="I2206" s="1478"/>
      <c r="J2206" s="1478"/>
      <c r="K2206" s="1486"/>
      <c r="L2206" s="1487"/>
      <c r="M2206" s="103"/>
      <c r="N2206" s="103"/>
      <c r="O2206" s="103"/>
      <c r="X2206" s="768" t="b">
        <f t="shared" si="315"/>
        <v>1</v>
      </c>
    </row>
    <row r="2207" outlineLevel="2" spans="1:24">
      <c r="A2207" s="90" t="s">
        <v>2021</v>
      </c>
      <c r="B2207" s="1381" t="s">
        <v>3693</v>
      </c>
      <c r="C2207" s="693" t="str">
        <f t="shared" si="314"/>
        <v>深圳新阳蓝光能源管理科技股份有限公司</v>
      </c>
      <c r="D2207" s="1377" t="s">
        <v>3703</v>
      </c>
      <c r="E2207" s="1479" t="s">
        <v>2021</v>
      </c>
      <c r="F2207" s="791"/>
      <c r="G2207" s="791"/>
      <c r="H2207" s="791"/>
      <c r="I2207" s="791"/>
      <c r="J2207" s="791"/>
      <c r="K2207" s="1488">
        <f>SUM(K2201:K2206)</f>
        <v>0</v>
      </c>
      <c r="L2207" s="1489"/>
      <c r="M2207" s="104"/>
      <c r="N2207" s="104"/>
      <c r="O2207" s="1488">
        <f>SUM(O2201:O2206)</f>
        <v>0</v>
      </c>
      <c r="X2207" s="768" t="b">
        <f t="shared" si="315"/>
        <v>1</v>
      </c>
    </row>
    <row r="2208" outlineLevel="2" spans="2:24">
      <c r="B2208" s="1381" t="s">
        <v>3693</v>
      </c>
      <c r="C2208" s="693" t="str">
        <f t="shared" si="314"/>
        <v>深圳新阳蓝光能源管理科技股份有限公司</v>
      </c>
      <c r="D2208" s="1377" t="s">
        <v>3703</v>
      </c>
      <c r="E2208" s="1037"/>
      <c r="F2208" s="751"/>
      <c r="G2208" s="751"/>
      <c r="H2208" s="751"/>
      <c r="I2208" s="751"/>
      <c r="J2208" s="751"/>
      <c r="K2208" s="751"/>
      <c r="L2208" s="919"/>
      <c r="X2208" s="768" t="b">
        <f t="shared" si="315"/>
        <v>1</v>
      </c>
    </row>
    <row r="2209" outlineLevel="2" spans="1:24">
      <c r="A2209" s="90" t="s">
        <v>3711</v>
      </c>
      <c r="B2209" s="1381" t="s">
        <v>3693</v>
      </c>
      <c r="C2209" s="693" t="str">
        <f t="shared" si="314"/>
        <v>深圳新阳蓝光能源管理科技股份有限公司</v>
      </c>
      <c r="D2209" s="1377" t="s">
        <v>3711</v>
      </c>
      <c r="E2209" s="897" t="s">
        <v>3711</v>
      </c>
      <c r="F2209" s="751"/>
      <c r="G2209" s="751"/>
      <c r="H2209" s="751"/>
      <c r="I2209" s="751"/>
      <c r="J2209" s="751"/>
      <c r="K2209" s="751"/>
      <c r="L2209" s="919"/>
      <c r="X2209" s="768" t="b">
        <f t="shared" si="315"/>
        <v>1</v>
      </c>
    </row>
    <row r="2210" outlineLevel="2" spans="2:24">
      <c r="B2210" s="1381" t="s">
        <v>3693</v>
      </c>
      <c r="C2210" s="693" t="str">
        <f t="shared" ref="C2210:C2273" si="318">$G$1</f>
        <v>深圳新阳蓝光能源管理科技股份有限公司</v>
      </c>
      <c r="D2210" s="1377" t="s">
        <v>3711</v>
      </c>
      <c r="E2210" s="1037"/>
      <c r="F2210" s="751"/>
      <c r="G2210" s="751"/>
      <c r="H2210" s="751"/>
      <c r="I2210" s="751"/>
      <c r="J2210" s="751"/>
      <c r="K2210" s="751"/>
      <c r="L2210" s="919"/>
      <c r="X2210" s="768" t="b">
        <f t="shared" ref="X2210:X2273" si="319">EXACT(A2210,E2210)</f>
        <v>1</v>
      </c>
    </row>
    <row r="2211" outlineLevel="2" spans="1:24">
      <c r="A2211" s="90" t="s">
        <v>993</v>
      </c>
      <c r="B2211" s="1381" t="s">
        <v>3693</v>
      </c>
      <c r="C2211" s="693" t="str">
        <f t="shared" si="318"/>
        <v>深圳新阳蓝光能源管理科技股份有限公司</v>
      </c>
      <c r="D2211" s="1377" t="s">
        <v>3711</v>
      </c>
      <c r="E2211" s="851" t="s">
        <v>993</v>
      </c>
      <c r="F2211" s="851" t="s">
        <v>3712</v>
      </c>
      <c r="G2211" s="851" t="s">
        <v>1143</v>
      </c>
      <c r="H2211" s="851" t="s">
        <v>3713</v>
      </c>
      <c r="I2211" s="851" t="s">
        <v>3714</v>
      </c>
      <c r="J2211" s="851" t="s">
        <v>3715</v>
      </c>
      <c r="K2211" s="851" t="s">
        <v>3716</v>
      </c>
      <c r="L2211" s="851" t="s">
        <v>354</v>
      </c>
      <c r="X2211" s="768" t="b">
        <f t="shared" si="319"/>
        <v>1</v>
      </c>
    </row>
    <row r="2212" outlineLevel="2" spans="2:24">
      <c r="B2212" s="1381" t="s">
        <v>3693</v>
      </c>
      <c r="C2212" s="693" t="str">
        <f t="shared" si="318"/>
        <v>深圳新阳蓝光能源管理科技股份有限公司</v>
      </c>
      <c r="D2212" s="1377" t="s">
        <v>3711</v>
      </c>
      <c r="E2212" s="1066"/>
      <c r="F2212" s="1066"/>
      <c r="G2212" s="1066"/>
      <c r="H2212" s="1066"/>
      <c r="I2212" s="1066"/>
      <c r="J2212" s="1066"/>
      <c r="K2212" s="1066"/>
      <c r="L2212" s="103"/>
      <c r="X2212" s="768" t="b">
        <f t="shared" si="319"/>
        <v>1</v>
      </c>
    </row>
    <row r="2213" outlineLevel="2" spans="2:24">
      <c r="B2213" s="1381" t="s">
        <v>3693</v>
      </c>
      <c r="C2213" s="693" t="str">
        <f t="shared" si="318"/>
        <v>深圳新阳蓝光能源管理科技股份有限公司</v>
      </c>
      <c r="D2213" s="1377" t="s">
        <v>3711</v>
      </c>
      <c r="E2213" s="1066"/>
      <c r="F2213" s="1066"/>
      <c r="G2213" s="1066"/>
      <c r="H2213" s="1066"/>
      <c r="I2213" s="1066"/>
      <c r="J2213" s="1066"/>
      <c r="K2213" s="1066"/>
      <c r="L2213" s="103"/>
      <c r="X2213" s="768" t="b">
        <f t="shared" si="319"/>
        <v>1</v>
      </c>
    </row>
    <row r="2214" outlineLevel="2" spans="2:24">
      <c r="B2214" s="1381" t="s">
        <v>3693</v>
      </c>
      <c r="C2214" s="693" t="str">
        <f t="shared" si="318"/>
        <v>深圳新阳蓝光能源管理科技股份有限公司</v>
      </c>
      <c r="D2214" s="1377" t="s">
        <v>3711</v>
      </c>
      <c r="E2214" s="1066"/>
      <c r="F2214" s="1066"/>
      <c r="G2214" s="1066"/>
      <c r="H2214" s="1066"/>
      <c r="I2214" s="1066"/>
      <c r="J2214" s="1066"/>
      <c r="K2214" s="1066"/>
      <c r="L2214" s="103"/>
      <c r="X2214" s="768" t="b">
        <f t="shared" si="319"/>
        <v>1</v>
      </c>
    </row>
    <row r="2215" outlineLevel="2" spans="2:24">
      <c r="B2215" s="1381" t="s">
        <v>3693</v>
      </c>
      <c r="C2215" s="693" t="str">
        <f t="shared" si="318"/>
        <v>深圳新阳蓝光能源管理科技股份有限公司</v>
      </c>
      <c r="D2215" s="1377" t="s">
        <v>3711</v>
      </c>
      <c r="E2215" s="1066"/>
      <c r="F2215" s="1066"/>
      <c r="G2215" s="1066"/>
      <c r="H2215" s="1066"/>
      <c r="I2215" s="1066"/>
      <c r="J2215" s="1066"/>
      <c r="K2215" s="1066"/>
      <c r="L2215" s="103"/>
      <c r="X2215" s="768" t="b">
        <f t="shared" si="319"/>
        <v>1</v>
      </c>
    </row>
    <row r="2216" outlineLevel="2" spans="2:24">
      <c r="B2216" s="1381" t="s">
        <v>3693</v>
      </c>
      <c r="C2216" s="693" t="str">
        <f t="shared" si="318"/>
        <v>深圳新阳蓝光能源管理科技股份有限公司</v>
      </c>
      <c r="D2216" s="1377" t="s">
        <v>3711</v>
      </c>
      <c r="E2216" s="1066"/>
      <c r="F2216" s="1066"/>
      <c r="G2216" s="1066"/>
      <c r="H2216" s="1066"/>
      <c r="I2216" s="1066"/>
      <c r="J2216" s="1066"/>
      <c r="K2216" s="1066"/>
      <c r="L2216" s="103"/>
      <c r="X2216" s="768" t="b">
        <f t="shared" si="319"/>
        <v>1</v>
      </c>
    </row>
    <row r="2217" outlineLevel="2" spans="2:24">
      <c r="B2217" s="1381" t="s">
        <v>3693</v>
      </c>
      <c r="C2217" s="693" t="str">
        <f t="shared" si="318"/>
        <v>深圳新阳蓝光能源管理科技股份有限公司</v>
      </c>
      <c r="D2217" s="1377" t="s">
        <v>3711</v>
      </c>
      <c r="E2217" s="1066"/>
      <c r="F2217" s="1066"/>
      <c r="G2217" s="1066"/>
      <c r="H2217" s="1066"/>
      <c r="I2217" s="1066"/>
      <c r="J2217" s="1066"/>
      <c r="K2217" s="1066"/>
      <c r="L2217" s="103"/>
      <c r="X2217" s="768" t="b">
        <f t="shared" si="319"/>
        <v>1</v>
      </c>
    </row>
    <row r="2218" outlineLevel="2" spans="2:24">
      <c r="B2218" s="1381" t="s">
        <v>3693</v>
      </c>
      <c r="C2218" s="693" t="str">
        <f t="shared" si="318"/>
        <v>深圳新阳蓝光能源管理科技股份有限公司</v>
      </c>
      <c r="D2218" s="1377" t="s">
        <v>3711</v>
      </c>
      <c r="E2218" s="1446"/>
      <c r="F2218" s="1446"/>
      <c r="G2218" s="1446"/>
      <c r="H2218" s="1446"/>
      <c r="I2218" s="1446"/>
      <c r="J2218" s="1446"/>
      <c r="K2218" s="1446"/>
      <c r="L2218" s="103"/>
      <c r="X2218" s="768" t="b">
        <f t="shared" si="319"/>
        <v>1</v>
      </c>
    </row>
    <row r="2219" outlineLevel="2" spans="2:24">
      <c r="B2219" s="1381" t="s">
        <v>3693</v>
      </c>
      <c r="C2219" s="693" t="str">
        <f t="shared" si="318"/>
        <v>深圳新阳蓝光能源管理科技股份有限公司</v>
      </c>
      <c r="D2219" s="1377" t="s">
        <v>3711</v>
      </c>
      <c r="E2219" s="1446"/>
      <c r="F2219" s="1446"/>
      <c r="G2219" s="1446"/>
      <c r="H2219" s="1446"/>
      <c r="I2219" s="1446"/>
      <c r="J2219" s="1446"/>
      <c r="K2219" s="1446"/>
      <c r="L2219" s="103"/>
      <c r="X2219" s="768" t="b">
        <f t="shared" si="319"/>
        <v>1</v>
      </c>
    </row>
    <row r="2220" outlineLevel="2" spans="2:24">
      <c r="B2220" s="1381" t="s">
        <v>3693</v>
      </c>
      <c r="C2220" s="693" t="str">
        <f t="shared" si="318"/>
        <v>深圳新阳蓝光能源管理科技股份有限公司</v>
      </c>
      <c r="D2220" s="1377" t="s">
        <v>3711</v>
      </c>
      <c r="E2220" s="1044"/>
      <c r="F2220" s="1478"/>
      <c r="G2220" s="1478"/>
      <c r="H2220" s="1478"/>
      <c r="I2220" s="1478"/>
      <c r="J2220" s="1478"/>
      <c r="K2220" s="1478"/>
      <c r="L2220" s="103"/>
      <c r="X2220" s="768" t="b">
        <f t="shared" si="319"/>
        <v>1</v>
      </c>
    </row>
    <row r="2221" outlineLevel="2" spans="1:24">
      <c r="A2221" s="90" t="s">
        <v>3717</v>
      </c>
      <c r="B2221" s="1381" t="s">
        <v>3693</v>
      </c>
      <c r="C2221" s="693" t="str">
        <f t="shared" si="318"/>
        <v>深圳新阳蓝光能源管理科技股份有限公司</v>
      </c>
      <c r="D2221" s="1377" t="s">
        <v>3711</v>
      </c>
      <c r="E2221" s="1106" t="s">
        <v>3717</v>
      </c>
      <c r="F2221" s="751"/>
      <c r="G2221" s="751"/>
      <c r="H2221" s="751"/>
      <c r="I2221" s="751"/>
      <c r="J2221" s="751"/>
      <c r="K2221" s="751"/>
      <c r="X2221" s="768" t="b">
        <f t="shared" si="319"/>
        <v>1</v>
      </c>
    </row>
    <row r="2222" outlineLevel="2" spans="1:24">
      <c r="A2222" s="90" t="s">
        <v>2809</v>
      </c>
      <c r="B2222" s="1381" t="s">
        <v>3693</v>
      </c>
      <c r="C2222" s="693" t="str">
        <f t="shared" si="318"/>
        <v>深圳新阳蓝光能源管理科技股份有限公司</v>
      </c>
      <c r="D2222" s="1377" t="s">
        <v>3711</v>
      </c>
      <c r="E2222" s="1480" t="s">
        <v>2809</v>
      </c>
      <c r="F2222" s="1477"/>
      <c r="G2222" s="1477"/>
      <c r="H2222" s="1477"/>
      <c r="I2222" s="1477"/>
      <c r="J2222" s="1477"/>
      <c r="K2222" s="1490"/>
      <c r="L2222" s="107"/>
      <c r="X2222" s="768" t="b">
        <f t="shared" si="319"/>
        <v>1</v>
      </c>
    </row>
    <row r="2223" outlineLevel="2" spans="1:24">
      <c r="A2223" s="90" t="s">
        <v>3718</v>
      </c>
      <c r="B2223" s="1381" t="s">
        <v>3693</v>
      </c>
      <c r="C2223" s="693" t="str">
        <f t="shared" si="318"/>
        <v>深圳新阳蓝光能源管理科技股份有限公司</v>
      </c>
      <c r="D2223" s="1377" t="s">
        <v>3718</v>
      </c>
      <c r="E2223" s="153" t="s">
        <v>3719</v>
      </c>
      <c r="F2223" s="751"/>
      <c r="G2223" s="751"/>
      <c r="H2223" s="751"/>
      <c r="I2223" s="751"/>
      <c r="J2223" s="751"/>
      <c r="K2223" s="900"/>
      <c r="X2223" s="768" t="b">
        <f t="shared" si="319"/>
        <v>1</v>
      </c>
    </row>
    <row r="2224" outlineLevel="2" spans="1:24">
      <c r="A2224" s="90" t="s">
        <v>3720</v>
      </c>
      <c r="B2224" s="1381" t="s">
        <v>3693</v>
      </c>
      <c r="C2224" s="693" t="str">
        <f t="shared" si="318"/>
        <v>深圳新阳蓝光能源管理科技股份有限公司</v>
      </c>
      <c r="D2224" s="1377" t="s">
        <v>3718</v>
      </c>
      <c r="E2224" s="851" t="s">
        <v>3720</v>
      </c>
      <c r="F2224" s="851" t="s">
        <v>1152</v>
      </c>
      <c r="G2224" s="851" t="s">
        <v>1151</v>
      </c>
      <c r="H2224" s="851" t="s">
        <v>3721</v>
      </c>
      <c r="I2224" s="851" t="s">
        <v>3722</v>
      </c>
      <c r="J2224" s="851" t="s">
        <v>3723</v>
      </c>
      <c r="K2224" s="851" t="s">
        <v>3724</v>
      </c>
      <c r="L2224" s="851" t="s">
        <v>3725</v>
      </c>
      <c r="M2224" s="851" t="s">
        <v>3726</v>
      </c>
      <c r="N2224" s="851" t="s">
        <v>516</v>
      </c>
      <c r="X2224" s="768" t="b">
        <f t="shared" si="319"/>
        <v>1</v>
      </c>
    </row>
    <row r="2225" outlineLevel="2" spans="2:24">
      <c r="B2225" s="1381" t="s">
        <v>3693</v>
      </c>
      <c r="C2225" s="693" t="str">
        <f t="shared" si="318"/>
        <v>深圳新阳蓝光能源管理科技股份有限公司</v>
      </c>
      <c r="D2225" s="1377" t="s">
        <v>3718</v>
      </c>
      <c r="E2225" s="1481"/>
      <c r="F2225" s="1481"/>
      <c r="G2225" s="1481"/>
      <c r="H2225" s="1481"/>
      <c r="I2225" s="1481"/>
      <c r="J2225" s="1481"/>
      <c r="K2225" s="1478"/>
      <c r="L2225" s="103"/>
      <c r="M2225" s="802">
        <f>J2225+K2225-L2225</f>
        <v>0</v>
      </c>
      <c r="N2225" s="815"/>
      <c r="X2225" s="768" t="b">
        <f t="shared" si="319"/>
        <v>1</v>
      </c>
    </row>
    <row r="2226" outlineLevel="2" spans="2:24">
      <c r="B2226" s="1381" t="s">
        <v>3693</v>
      </c>
      <c r="C2226" s="693" t="str">
        <f t="shared" si="318"/>
        <v>深圳新阳蓝光能源管理科技股份有限公司</v>
      </c>
      <c r="D2226" s="1377" t="s">
        <v>3718</v>
      </c>
      <c r="E2226" s="1481"/>
      <c r="F2226" s="1481"/>
      <c r="G2226" s="1481"/>
      <c r="H2226" s="1481"/>
      <c r="I2226" s="1481"/>
      <c r="J2226" s="1481"/>
      <c r="K2226" s="1478"/>
      <c r="L2226" s="103"/>
      <c r="M2226" s="802">
        <f t="shared" ref="M2226:M2231" si="320">J2226+K2226-L2226</f>
        <v>0</v>
      </c>
      <c r="N2226" s="815"/>
      <c r="X2226" s="768" t="b">
        <f t="shared" si="319"/>
        <v>1</v>
      </c>
    </row>
    <row r="2227" outlineLevel="2" spans="2:24">
      <c r="B2227" s="1381" t="s">
        <v>3693</v>
      </c>
      <c r="C2227" s="693" t="str">
        <f t="shared" si="318"/>
        <v>深圳新阳蓝光能源管理科技股份有限公司</v>
      </c>
      <c r="D2227" s="1377" t="s">
        <v>3718</v>
      </c>
      <c r="E2227" s="1481"/>
      <c r="F2227" s="1481"/>
      <c r="G2227" s="1481"/>
      <c r="H2227" s="1481"/>
      <c r="I2227" s="1481"/>
      <c r="J2227" s="1481"/>
      <c r="K2227" s="1478"/>
      <c r="L2227" s="103"/>
      <c r="M2227" s="802">
        <f t="shared" si="320"/>
        <v>0</v>
      </c>
      <c r="N2227" s="815"/>
      <c r="X2227" s="768" t="b">
        <f t="shared" si="319"/>
        <v>1</v>
      </c>
    </row>
    <row r="2228" outlineLevel="2" spans="2:24">
      <c r="B2228" s="1381" t="s">
        <v>3693</v>
      </c>
      <c r="C2228" s="693" t="str">
        <f t="shared" si="318"/>
        <v>深圳新阳蓝光能源管理科技股份有限公司</v>
      </c>
      <c r="D2228" s="1377" t="s">
        <v>3718</v>
      </c>
      <c r="E2228" s="1481"/>
      <c r="F2228" s="1481"/>
      <c r="G2228" s="1481"/>
      <c r="H2228" s="1481"/>
      <c r="I2228" s="1481"/>
      <c r="J2228" s="1481"/>
      <c r="K2228" s="1478"/>
      <c r="L2228" s="103"/>
      <c r="M2228" s="802">
        <f t="shared" si="320"/>
        <v>0</v>
      </c>
      <c r="N2228" s="815"/>
      <c r="X2228" s="768" t="b">
        <f t="shared" si="319"/>
        <v>1</v>
      </c>
    </row>
    <row r="2229" outlineLevel="2" spans="2:24">
      <c r="B2229" s="1381" t="s">
        <v>3693</v>
      </c>
      <c r="C2229" s="693" t="str">
        <f t="shared" si="318"/>
        <v>深圳新阳蓝光能源管理科技股份有限公司</v>
      </c>
      <c r="D2229" s="1377" t="s">
        <v>3718</v>
      </c>
      <c r="E2229" s="1481"/>
      <c r="F2229" s="1481"/>
      <c r="G2229" s="1481"/>
      <c r="H2229" s="1481"/>
      <c r="I2229" s="1481"/>
      <c r="J2229" s="1481"/>
      <c r="K2229" s="1478"/>
      <c r="L2229" s="103"/>
      <c r="M2229" s="802">
        <f t="shared" si="320"/>
        <v>0</v>
      </c>
      <c r="N2229" s="815"/>
      <c r="X2229" s="768" t="b">
        <f t="shared" si="319"/>
        <v>1</v>
      </c>
    </row>
    <row r="2230" outlineLevel="2" spans="2:24">
      <c r="B2230" s="1381" t="s">
        <v>3693</v>
      </c>
      <c r="C2230" s="693" t="str">
        <f t="shared" si="318"/>
        <v>深圳新阳蓝光能源管理科技股份有限公司</v>
      </c>
      <c r="D2230" s="1377" t="s">
        <v>3718</v>
      </c>
      <c r="E2230" s="1482"/>
      <c r="F2230" s="1482"/>
      <c r="G2230" s="1482"/>
      <c r="H2230" s="1482"/>
      <c r="I2230" s="1482"/>
      <c r="J2230" s="1482"/>
      <c r="K2230" s="1478"/>
      <c r="L2230" s="103"/>
      <c r="M2230" s="802">
        <f t="shared" si="320"/>
        <v>0</v>
      </c>
      <c r="N2230" s="815"/>
      <c r="X2230" s="768" t="b">
        <f t="shared" si="319"/>
        <v>1</v>
      </c>
    </row>
    <row r="2231" outlineLevel="2" spans="2:24">
      <c r="B2231" s="1381" t="s">
        <v>3693</v>
      </c>
      <c r="C2231" s="693" t="str">
        <f t="shared" si="318"/>
        <v>深圳新阳蓝光能源管理科技股份有限公司</v>
      </c>
      <c r="D2231" s="1377" t="s">
        <v>3718</v>
      </c>
      <c r="E2231" s="1482"/>
      <c r="F2231" s="1482"/>
      <c r="G2231" s="1482"/>
      <c r="H2231" s="1482"/>
      <c r="I2231" s="1482"/>
      <c r="J2231" s="1482"/>
      <c r="K2231" s="1478"/>
      <c r="L2231" s="103"/>
      <c r="M2231" s="802">
        <f t="shared" si="320"/>
        <v>0</v>
      </c>
      <c r="N2231" s="815"/>
      <c r="X2231" s="768" t="b">
        <f t="shared" si="319"/>
        <v>1</v>
      </c>
    </row>
    <row r="2232" outlineLevel="2" spans="1:24">
      <c r="A2232" s="90" t="s">
        <v>2021</v>
      </c>
      <c r="B2232" s="1381" t="s">
        <v>3693</v>
      </c>
      <c r="C2232" s="693" t="str">
        <f t="shared" si="318"/>
        <v>深圳新阳蓝光能源管理科技股份有限公司</v>
      </c>
      <c r="D2232" s="1377" t="s">
        <v>3718</v>
      </c>
      <c r="E2232" s="1483" t="s">
        <v>2021</v>
      </c>
      <c r="F2232" s="1483"/>
      <c r="G2232" s="907"/>
      <c r="H2232" s="907"/>
      <c r="I2232" s="907"/>
      <c r="J2232" s="909">
        <f>SUM(J2225:J2231)</f>
        <v>0</v>
      </c>
      <c r="K2232" s="909">
        <f t="shared" ref="K2232:N2232" si="321">SUM(K2225:K2231)</f>
        <v>0</v>
      </c>
      <c r="L2232" s="909">
        <f t="shared" si="321"/>
        <v>0</v>
      </c>
      <c r="M2232" s="909">
        <f t="shared" si="321"/>
        <v>0</v>
      </c>
      <c r="N2232" s="909">
        <f t="shared" si="321"/>
        <v>0</v>
      </c>
      <c r="X2232" s="768" t="b">
        <f t="shared" si="319"/>
        <v>1</v>
      </c>
    </row>
    <row r="2233" outlineLevel="2" spans="1:24">
      <c r="A2233" s="90" t="s">
        <v>3700</v>
      </c>
      <c r="B2233" s="1381" t="s">
        <v>3693</v>
      </c>
      <c r="C2233" s="693" t="str">
        <f t="shared" si="318"/>
        <v>深圳新阳蓝光能源管理科技股份有限公司</v>
      </c>
      <c r="D2233" s="1377" t="s">
        <v>3718</v>
      </c>
      <c r="E2233" s="1484" t="s">
        <v>3700</v>
      </c>
      <c r="F2233" s="751"/>
      <c r="G2233" s="751"/>
      <c r="I2233" s="751"/>
      <c r="J2233" s="751"/>
      <c r="K2233" s="751"/>
      <c r="N2233" s="1007">
        <f>ROUND(F2177-N2232,2)</f>
        <v>0</v>
      </c>
      <c r="X2233" s="768" t="b">
        <f t="shared" si="319"/>
        <v>1</v>
      </c>
    </row>
    <row r="2234" outlineLevel="2" spans="1:24">
      <c r="A2234" s="90" t="s">
        <v>3727</v>
      </c>
      <c r="B2234" s="1381" t="s">
        <v>3693</v>
      </c>
      <c r="C2234" s="693" t="str">
        <f t="shared" si="318"/>
        <v>深圳新阳蓝光能源管理科技股份有限公司</v>
      </c>
      <c r="D2234" s="1377" t="s">
        <v>3718</v>
      </c>
      <c r="E2234" s="1106" t="s">
        <v>3728</v>
      </c>
      <c r="F2234" s="715"/>
      <c r="G2234" s="715"/>
      <c r="X2234" s="768" t="b">
        <f t="shared" si="319"/>
        <v>1</v>
      </c>
    </row>
    <row r="2235" outlineLevel="2" spans="1:24">
      <c r="A2235" s="90" t="s">
        <v>2809</v>
      </c>
      <c r="B2235" s="1381" t="s">
        <v>3693</v>
      </c>
      <c r="C2235" s="693" t="str">
        <f t="shared" si="318"/>
        <v>深圳新阳蓝光能源管理科技股份有限公司</v>
      </c>
      <c r="D2235" s="1377" t="s">
        <v>3718</v>
      </c>
      <c r="E2235" s="1180" t="s">
        <v>3284</v>
      </c>
      <c r="F2235" s="736"/>
      <c r="G2235" s="736"/>
      <c r="H2235" s="107"/>
      <c r="X2235" s="768" t="b">
        <f t="shared" si="319"/>
        <v>1</v>
      </c>
    </row>
    <row r="2236" outlineLevel="2" spans="1:24">
      <c r="A2236" s="90" t="s">
        <v>3729</v>
      </c>
      <c r="B2236" s="1381" t="s">
        <v>3693</v>
      </c>
      <c r="C2236" s="693" t="str">
        <f t="shared" si="318"/>
        <v>深圳新阳蓝光能源管理科技股份有限公司</v>
      </c>
      <c r="D2236" s="1377" t="s">
        <v>3729</v>
      </c>
      <c r="E2236" s="1037" t="s">
        <v>3730</v>
      </c>
      <c r="F2236" s="1004" t="s">
        <v>3731</v>
      </c>
      <c r="G2236" s="751"/>
      <c r="I2236" s="751"/>
      <c r="J2236" s="751"/>
      <c r="K2236" s="751"/>
      <c r="L2236" s="919" t="s">
        <v>2966</v>
      </c>
      <c r="X2236" s="768" t="b">
        <f t="shared" si="319"/>
        <v>1</v>
      </c>
    </row>
    <row r="2237" outlineLevel="2" spans="1:24">
      <c r="A2237" s="90" t="s">
        <v>3732</v>
      </c>
      <c r="B2237" s="1381" t="s">
        <v>3693</v>
      </c>
      <c r="C2237" s="693" t="str">
        <f t="shared" si="318"/>
        <v>深圳新阳蓝光能源管理科技股份有限公司</v>
      </c>
      <c r="D2237" s="1377" t="s">
        <v>3729</v>
      </c>
      <c r="E2237" s="851" t="s">
        <v>3732</v>
      </c>
      <c r="F2237" s="851" t="s">
        <v>1150</v>
      </c>
      <c r="G2237" s="851" t="s">
        <v>670</v>
      </c>
      <c r="H2237" s="851" t="s">
        <v>3707</v>
      </c>
      <c r="I2237" s="851" t="s">
        <v>3733</v>
      </c>
      <c r="J2237" s="851" t="s">
        <v>516</v>
      </c>
      <c r="K2237" s="851" t="s">
        <v>3734</v>
      </c>
      <c r="L2237" s="900"/>
      <c r="X2237" s="768" t="b">
        <f t="shared" si="319"/>
        <v>1</v>
      </c>
    </row>
    <row r="2238" outlineLevel="2" spans="2:24">
      <c r="B2238" s="1381" t="s">
        <v>3693</v>
      </c>
      <c r="C2238" s="693" t="str">
        <f t="shared" si="318"/>
        <v>深圳新阳蓝光能源管理科技股份有限公司</v>
      </c>
      <c r="D2238" s="1377" t="s">
        <v>3729</v>
      </c>
      <c r="E2238" s="1066"/>
      <c r="F2238" s="1066"/>
      <c r="G2238" s="1066"/>
      <c r="H2238" s="1478"/>
      <c r="I2238" s="1478"/>
      <c r="J2238" s="1478"/>
      <c r="K2238" s="1478"/>
      <c r="X2238" s="768" t="b">
        <f t="shared" si="319"/>
        <v>1</v>
      </c>
    </row>
    <row r="2239" outlineLevel="2" spans="2:24">
      <c r="B2239" s="1381" t="s">
        <v>3693</v>
      </c>
      <c r="C2239" s="693" t="str">
        <f t="shared" si="318"/>
        <v>深圳新阳蓝光能源管理科技股份有限公司</v>
      </c>
      <c r="D2239" s="1377" t="s">
        <v>3729</v>
      </c>
      <c r="E2239" s="1066"/>
      <c r="F2239" s="1066"/>
      <c r="G2239" s="1066"/>
      <c r="H2239" s="1478"/>
      <c r="I2239" s="1478"/>
      <c r="J2239" s="1478"/>
      <c r="K2239" s="1478"/>
      <c r="X2239" s="768" t="b">
        <f t="shared" si="319"/>
        <v>1</v>
      </c>
    </row>
    <row r="2240" outlineLevel="2" spans="2:24">
      <c r="B2240" s="1381" t="s">
        <v>3693</v>
      </c>
      <c r="C2240" s="693" t="str">
        <f t="shared" si="318"/>
        <v>深圳新阳蓝光能源管理科技股份有限公司</v>
      </c>
      <c r="D2240" s="1377" t="s">
        <v>3729</v>
      </c>
      <c r="E2240" s="1066"/>
      <c r="F2240" s="1066"/>
      <c r="G2240" s="1066"/>
      <c r="H2240" s="1478"/>
      <c r="I2240" s="1478"/>
      <c r="J2240" s="1478"/>
      <c r="K2240" s="1478"/>
      <c r="X2240" s="768" t="b">
        <f t="shared" si="319"/>
        <v>1</v>
      </c>
    </row>
    <row r="2241" outlineLevel="2" spans="2:24">
      <c r="B2241" s="1381" t="s">
        <v>3693</v>
      </c>
      <c r="C2241" s="693" t="str">
        <f t="shared" si="318"/>
        <v>深圳新阳蓝光能源管理科技股份有限公司</v>
      </c>
      <c r="D2241" s="1377" t="s">
        <v>3729</v>
      </c>
      <c r="E2241" s="1066"/>
      <c r="F2241" s="1066"/>
      <c r="G2241" s="1066"/>
      <c r="H2241" s="1478"/>
      <c r="I2241" s="1478"/>
      <c r="J2241" s="1478"/>
      <c r="K2241" s="1478"/>
      <c r="X2241" s="768" t="b">
        <f t="shared" si="319"/>
        <v>1</v>
      </c>
    </row>
    <row r="2242" outlineLevel="2" spans="2:24">
      <c r="B2242" s="1381" t="s">
        <v>3693</v>
      </c>
      <c r="C2242" s="693" t="str">
        <f t="shared" si="318"/>
        <v>深圳新阳蓝光能源管理科技股份有限公司</v>
      </c>
      <c r="D2242" s="1377" t="s">
        <v>3729</v>
      </c>
      <c r="E2242" s="1066"/>
      <c r="F2242" s="1066"/>
      <c r="G2242" s="1066"/>
      <c r="H2242" s="1478"/>
      <c r="I2242" s="1478"/>
      <c r="J2242" s="1478"/>
      <c r="K2242" s="1478"/>
      <c r="X2242" s="768" t="b">
        <f t="shared" si="319"/>
        <v>1</v>
      </c>
    </row>
    <row r="2243" outlineLevel="2" spans="2:24">
      <c r="B2243" s="1381" t="s">
        <v>3693</v>
      </c>
      <c r="C2243" s="693" t="str">
        <f t="shared" si="318"/>
        <v>深圳新阳蓝光能源管理科技股份有限公司</v>
      </c>
      <c r="D2243" s="1377" t="s">
        <v>3729</v>
      </c>
      <c r="E2243" s="1066"/>
      <c r="F2243" s="1066"/>
      <c r="G2243" s="1066"/>
      <c r="H2243" s="1478"/>
      <c r="I2243" s="1478"/>
      <c r="J2243" s="1478"/>
      <c r="K2243" s="1478"/>
      <c r="X2243" s="768" t="b">
        <f t="shared" si="319"/>
        <v>1</v>
      </c>
    </row>
    <row r="2244" outlineLevel="2" spans="2:24">
      <c r="B2244" s="1381" t="s">
        <v>3693</v>
      </c>
      <c r="C2244" s="693" t="str">
        <f t="shared" si="318"/>
        <v>深圳新阳蓝光能源管理科技股份有限公司</v>
      </c>
      <c r="D2244" s="1377" t="s">
        <v>3729</v>
      </c>
      <c r="E2244" s="1066"/>
      <c r="F2244" s="1066"/>
      <c r="G2244" s="1066"/>
      <c r="H2244" s="1478"/>
      <c r="I2244" s="1478"/>
      <c r="J2244" s="1478"/>
      <c r="K2244" s="1478"/>
      <c r="X2244" s="768" t="b">
        <f t="shared" si="319"/>
        <v>1</v>
      </c>
    </row>
    <row r="2245" outlineLevel="2" spans="2:24">
      <c r="B2245" s="1381" t="s">
        <v>3693</v>
      </c>
      <c r="C2245" s="693" t="str">
        <f t="shared" si="318"/>
        <v>深圳新阳蓝光能源管理科技股份有限公司</v>
      </c>
      <c r="D2245" s="1377" t="s">
        <v>3729</v>
      </c>
      <c r="E2245" s="1066"/>
      <c r="F2245" s="1066"/>
      <c r="G2245" s="1066"/>
      <c r="H2245" s="1478"/>
      <c r="I2245" s="1478"/>
      <c r="J2245" s="1478"/>
      <c r="K2245" s="1478"/>
      <c r="X2245" s="768" t="b">
        <f t="shared" si="319"/>
        <v>1</v>
      </c>
    </row>
    <row r="2246" outlineLevel="2" spans="2:24">
      <c r="B2246" s="1381" t="s">
        <v>3693</v>
      </c>
      <c r="C2246" s="693" t="str">
        <f t="shared" si="318"/>
        <v>深圳新阳蓝光能源管理科技股份有限公司</v>
      </c>
      <c r="D2246" s="1377" t="s">
        <v>3729</v>
      </c>
      <c r="E2246" s="1446"/>
      <c r="F2246" s="1446"/>
      <c r="G2246" s="1446"/>
      <c r="H2246" s="1478"/>
      <c r="I2246" s="1478"/>
      <c r="J2246" s="1478"/>
      <c r="K2246" s="1478"/>
      <c r="X2246" s="768" t="b">
        <f t="shared" si="319"/>
        <v>1</v>
      </c>
    </row>
    <row r="2247" outlineLevel="2" spans="2:24">
      <c r="B2247" s="1381" t="s">
        <v>3693</v>
      </c>
      <c r="C2247" s="693" t="str">
        <f t="shared" si="318"/>
        <v>深圳新阳蓝光能源管理科技股份有限公司</v>
      </c>
      <c r="D2247" s="1377" t="s">
        <v>3729</v>
      </c>
      <c r="E2247" s="1446"/>
      <c r="F2247" s="1446"/>
      <c r="G2247" s="1446"/>
      <c r="H2247" s="1478"/>
      <c r="I2247" s="1478"/>
      <c r="J2247" s="1478"/>
      <c r="K2247" s="1478"/>
      <c r="X2247" s="768" t="b">
        <f t="shared" si="319"/>
        <v>1</v>
      </c>
    </row>
    <row r="2248" outlineLevel="2" spans="1:24">
      <c r="A2248" s="90" t="s">
        <v>2021</v>
      </c>
      <c r="B2248" s="1381" t="s">
        <v>3693</v>
      </c>
      <c r="C2248" s="693" t="str">
        <f t="shared" si="318"/>
        <v>深圳新阳蓝光能源管理科技股份有限公司</v>
      </c>
      <c r="D2248" s="1377" t="s">
        <v>3729</v>
      </c>
      <c r="E2248" s="1470" t="s">
        <v>2021</v>
      </c>
      <c r="F2248" s="934"/>
      <c r="G2248" s="1240">
        <f>SUM(G2238:G2247)</f>
        <v>0</v>
      </c>
      <c r="H2248" s="791"/>
      <c r="I2248" s="1240">
        <f t="shared" ref="I2248:J2248" si="322">SUM(I2238:I2247)</f>
        <v>0</v>
      </c>
      <c r="J2248" s="1240">
        <f t="shared" si="322"/>
        <v>0</v>
      </c>
      <c r="K2248" s="791"/>
      <c r="X2248" s="768" t="b">
        <f t="shared" si="319"/>
        <v>1</v>
      </c>
    </row>
    <row r="2249" outlineLevel="2" spans="1:24">
      <c r="A2249" s="90" t="s">
        <v>3735</v>
      </c>
      <c r="B2249" s="1381" t="s">
        <v>3693</v>
      </c>
      <c r="C2249" s="693" t="str">
        <f t="shared" si="318"/>
        <v>深圳新阳蓝光能源管理科技股份有限公司</v>
      </c>
      <c r="D2249" s="1377" t="s">
        <v>3729</v>
      </c>
      <c r="E2249" s="1460" t="s">
        <v>3735</v>
      </c>
      <c r="F2249" s="751"/>
      <c r="G2249" s="751"/>
      <c r="H2249" s="751"/>
      <c r="I2249" s="751"/>
      <c r="J2249" s="751"/>
      <c r="K2249" s="751"/>
      <c r="X2249" s="768" t="b">
        <f t="shared" si="319"/>
        <v>1</v>
      </c>
    </row>
    <row r="2250" outlineLevel="2" spans="2:24">
      <c r="B2250" s="1381" t="s">
        <v>3693</v>
      </c>
      <c r="C2250" s="693" t="str">
        <f t="shared" si="318"/>
        <v>深圳新阳蓝光能源管理科技股份有限公司</v>
      </c>
      <c r="D2250" s="1377" t="s">
        <v>3729</v>
      </c>
      <c r="E2250" s="1180" t="s">
        <v>3736</v>
      </c>
      <c r="F2250" s="715"/>
      <c r="G2250" s="715"/>
      <c r="X2250" s="768" t="b">
        <f t="shared" si="319"/>
        <v>0</v>
      </c>
    </row>
    <row r="2251" spans="1:24">
      <c r="A2251" s="90" t="s">
        <v>3737</v>
      </c>
      <c r="B2251" s="1215" t="s">
        <v>3738</v>
      </c>
      <c r="C2251" s="693" t="str">
        <f t="shared" si="318"/>
        <v>深圳新阳蓝光能源管理科技股份有限公司</v>
      </c>
      <c r="D2251" s="1377" t="s">
        <v>3739</v>
      </c>
      <c r="E2251" s="70" t="s">
        <v>3740</v>
      </c>
      <c r="F2251" s="715"/>
      <c r="G2251" s="715"/>
      <c r="X2251" s="768" t="b">
        <f t="shared" si="319"/>
        <v>1</v>
      </c>
    </row>
    <row r="2252" outlineLevel="2" spans="1:24">
      <c r="A2252" s="90" t="s">
        <v>3739</v>
      </c>
      <c r="B2252" s="1215" t="s">
        <v>3738</v>
      </c>
      <c r="C2252" s="693" t="str">
        <f t="shared" si="318"/>
        <v>深圳新阳蓝光能源管理科技股份有限公司</v>
      </c>
      <c r="D2252" s="1377" t="s">
        <v>3739</v>
      </c>
      <c r="E2252" s="1037" t="s">
        <v>3741</v>
      </c>
      <c r="F2252" s="751"/>
      <c r="G2252" s="751"/>
      <c r="X2252" s="768" t="b">
        <f t="shared" si="319"/>
        <v>1</v>
      </c>
    </row>
    <row r="2253" outlineLevel="2" spans="1:24">
      <c r="A2253" s="90" t="s">
        <v>315</v>
      </c>
      <c r="B2253" s="1215" t="s">
        <v>3738</v>
      </c>
      <c r="C2253" s="693" t="str">
        <f t="shared" si="318"/>
        <v>深圳新阳蓝光能源管理科技股份有限公司</v>
      </c>
      <c r="D2253" s="1377" t="s">
        <v>3739</v>
      </c>
      <c r="E2253" s="147" t="s">
        <v>3742</v>
      </c>
      <c r="F2253" s="147" t="s">
        <v>516</v>
      </c>
      <c r="G2253" s="147" t="s">
        <v>671</v>
      </c>
      <c r="X2253" s="768" t="b">
        <f t="shared" si="319"/>
        <v>1</v>
      </c>
    </row>
    <row r="2254" outlineLevel="2" spans="2:24">
      <c r="B2254" s="1215" t="s">
        <v>3738</v>
      </c>
      <c r="C2254" s="693" t="str">
        <f t="shared" si="318"/>
        <v>深圳新阳蓝光能源管理科技股份有限公司</v>
      </c>
      <c r="D2254" s="1377" t="s">
        <v>3739</v>
      </c>
      <c r="E2254" s="1491" t="s">
        <v>3743</v>
      </c>
      <c r="F2254" s="1467">
        <f>8341768.92+资负表及利润表调整分录!H352</f>
        <v>8287528.07</v>
      </c>
      <c r="G2254" s="1492"/>
      <c r="X2254" s="768" t="b">
        <f t="shared" si="319"/>
        <v>0</v>
      </c>
    </row>
    <row r="2255" outlineLevel="2" spans="2:24">
      <c r="B2255" s="1215" t="s">
        <v>3738</v>
      </c>
      <c r="C2255" s="693" t="str">
        <f t="shared" si="318"/>
        <v>深圳新阳蓝光能源管理科技股份有限公司</v>
      </c>
      <c r="D2255" s="1377" t="s">
        <v>3739</v>
      </c>
      <c r="E2255" s="1481"/>
      <c r="F2255" s="1492"/>
      <c r="G2255" s="1492"/>
      <c r="X2255" s="768" t="b">
        <f t="shared" si="319"/>
        <v>1</v>
      </c>
    </row>
    <row r="2256" outlineLevel="2" spans="2:24">
      <c r="B2256" s="1215" t="s">
        <v>3738</v>
      </c>
      <c r="C2256" s="693" t="str">
        <f t="shared" si="318"/>
        <v>深圳新阳蓝光能源管理科技股份有限公司</v>
      </c>
      <c r="D2256" s="1377" t="s">
        <v>3739</v>
      </c>
      <c r="E2256" s="1481"/>
      <c r="F2256" s="1492"/>
      <c r="G2256" s="1492"/>
      <c r="X2256" s="768" t="b">
        <f t="shared" si="319"/>
        <v>1</v>
      </c>
    </row>
    <row r="2257" outlineLevel="2" spans="2:24">
      <c r="B2257" s="1215" t="s">
        <v>3738</v>
      </c>
      <c r="C2257" s="693" t="str">
        <f t="shared" si="318"/>
        <v>深圳新阳蓝光能源管理科技股份有限公司</v>
      </c>
      <c r="D2257" s="1377" t="s">
        <v>3739</v>
      </c>
      <c r="E2257" s="1481"/>
      <c r="F2257" s="1492"/>
      <c r="G2257" s="1492"/>
      <c r="X2257" s="768" t="b">
        <f t="shared" si="319"/>
        <v>1</v>
      </c>
    </row>
    <row r="2258" outlineLevel="2" spans="2:24">
      <c r="B2258" s="1215" t="s">
        <v>3738</v>
      </c>
      <c r="C2258" s="693" t="str">
        <f t="shared" si="318"/>
        <v>深圳新阳蓝光能源管理科技股份有限公司</v>
      </c>
      <c r="D2258" s="1377" t="s">
        <v>3739</v>
      </c>
      <c r="E2258" s="1481"/>
      <c r="F2258" s="1492"/>
      <c r="G2258" s="1492"/>
      <c r="X2258" s="768" t="b">
        <f t="shared" si="319"/>
        <v>1</v>
      </c>
    </row>
    <row r="2259" outlineLevel="2" spans="2:24">
      <c r="B2259" s="1215" t="s">
        <v>3738</v>
      </c>
      <c r="C2259" s="693" t="str">
        <f t="shared" si="318"/>
        <v>深圳新阳蓝光能源管理科技股份有限公司</v>
      </c>
      <c r="D2259" s="1377" t="s">
        <v>3739</v>
      </c>
      <c r="E2259" s="1481"/>
      <c r="F2259" s="1492"/>
      <c r="G2259" s="1492"/>
      <c r="X2259" s="768" t="b">
        <f t="shared" si="319"/>
        <v>1</v>
      </c>
    </row>
    <row r="2260" outlineLevel="2" spans="2:24">
      <c r="B2260" s="1215" t="s">
        <v>3738</v>
      </c>
      <c r="C2260" s="693" t="str">
        <f t="shared" si="318"/>
        <v>深圳新阳蓝光能源管理科技股份有限公司</v>
      </c>
      <c r="D2260" s="1377" t="s">
        <v>3739</v>
      </c>
      <c r="E2260" s="1481"/>
      <c r="F2260" s="1492"/>
      <c r="G2260" s="1492"/>
      <c r="X2260" s="768" t="b">
        <f t="shared" si="319"/>
        <v>1</v>
      </c>
    </row>
    <row r="2261" outlineLevel="2" spans="2:24">
      <c r="B2261" s="1215" t="s">
        <v>3738</v>
      </c>
      <c r="C2261" s="693" t="str">
        <f t="shared" si="318"/>
        <v>深圳新阳蓝光能源管理科技股份有限公司</v>
      </c>
      <c r="D2261" s="1377" t="s">
        <v>3739</v>
      </c>
      <c r="E2261" s="1482"/>
      <c r="F2261" s="1021"/>
      <c r="G2261" s="1021"/>
      <c r="X2261" s="768" t="b">
        <f t="shared" si="319"/>
        <v>1</v>
      </c>
    </row>
    <row r="2262" outlineLevel="2" spans="2:24">
      <c r="B2262" s="1215" t="s">
        <v>3738</v>
      </c>
      <c r="C2262" s="693" t="str">
        <f t="shared" si="318"/>
        <v>深圳新阳蓝光能源管理科技股份有限公司</v>
      </c>
      <c r="D2262" s="1377" t="s">
        <v>3739</v>
      </c>
      <c r="E2262" s="1482"/>
      <c r="F2262" s="1021"/>
      <c r="G2262" s="1021"/>
      <c r="X2262" s="768" t="b">
        <f t="shared" si="319"/>
        <v>1</v>
      </c>
    </row>
    <row r="2263" outlineLevel="2" spans="1:24">
      <c r="A2263" s="90" t="s">
        <v>347</v>
      </c>
      <c r="B2263" s="1215" t="s">
        <v>3738</v>
      </c>
      <c r="C2263" s="693" t="str">
        <f t="shared" si="318"/>
        <v>深圳新阳蓝光能源管理科技股份有限公司</v>
      </c>
      <c r="D2263" s="1377" t="s">
        <v>3739</v>
      </c>
      <c r="E2263" s="1483" t="s">
        <v>3744</v>
      </c>
      <c r="F2263" s="909">
        <f>SUM(F2254:F2262)</f>
        <v>8287528.07</v>
      </c>
      <c r="G2263" s="909">
        <f>SUM(G2254:G2262)</f>
        <v>0</v>
      </c>
      <c r="X2263" s="768" t="b">
        <f t="shared" si="319"/>
        <v>1</v>
      </c>
    </row>
    <row r="2264" outlineLevel="2" spans="1:24">
      <c r="A2264" s="90" t="s">
        <v>1723</v>
      </c>
      <c r="B2264" s="1215" t="s">
        <v>3738</v>
      </c>
      <c r="C2264" s="693" t="str">
        <f t="shared" si="318"/>
        <v>深圳新阳蓝光能源管理科技股份有限公司</v>
      </c>
      <c r="D2264" s="1377" t="s">
        <v>3739</v>
      </c>
      <c r="E2264" s="1361" t="s">
        <v>1723</v>
      </c>
      <c r="F2264" s="1213">
        <f>审定资负表!G18</f>
        <v>8287528.07</v>
      </c>
      <c r="G2264" s="1213">
        <f>审定资负表!H18</f>
        <v>0</v>
      </c>
      <c r="X2264" s="768" t="b">
        <f t="shared" si="319"/>
        <v>1</v>
      </c>
    </row>
    <row r="2265" outlineLevel="1" collapsed="1" spans="1:24">
      <c r="A2265" s="90" t="s">
        <v>1395</v>
      </c>
      <c r="B2265" s="1215" t="s">
        <v>3738</v>
      </c>
      <c r="C2265" s="693" t="str">
        <f t="shared" si="318"/>
        <v>深圳新阳蓝光能源管理科技股份有限公司</v>
      </c>
      <c r="D2265" s="1377" t="s">
        <v>3739</v>
      </c>
      <c r="E2265" s="1361" t="s">
        <v>1395</v>
      </c>
      <c r="F2265" s="92">
        <f>ROUND(F2263-F2264,2)</f>
        <v>0</v>
      </c>
      <c r="G2265" s="92">
        <f>ROUND(G2263-G2264,2)</f>
        <v>0</v>
      </c>
      <c r="X2265" s="768" t="b">
        <f t="shared" si="319"/>
        <v>1</v>
      </c>
    </row>
    <row r="2266" hidden="1" outlineLevel="2" spans="2:24">
      <c r="B2266" s="1215" t="s">
        <v>3738</v>
      </c>
      <c r="C2266" s="693" t="str">
        <f t="shared" si="318"/>
        <v>深圳新阳蓝光能源管理科技股份有限公司</v>
      </c>
      <c r="D2266" s="1377" t="s">
        <v>3739</v>
      </c>
      <c r="E2266" s="1037"/>
      <c r="F2266" s="751"/>
      <c r="G2266" s="751"/>
      <c r="X2266" s="768" t="b">
        <f t="shared" si="319"/>
        <v>1</v>
      </c>
    </row>
    <row r="2267" hidden="1" outlineLevel="2" spans="2:24">
      <c r="B2267" s="1215" t="s">
        <v>3738</v>
      </c>
      <c r="C2267" s="693" t="str">
        <f t="shared" si="318"/>
        <v>深圳新阳蓝光能源管理科技股份有限公司</v>
      </c>
      <c r="D2267" s="1377" t="s">
        <v>3739</v>
      </c>
      <c r="E2267" s="153"/>
      <c r="F2267" s="751"/>
      <c r="G2267" s="751"/>
      <c r="X2267" s="768" t="b">
        <f t="shared" si="319"/>
        <v>1</v>
      </c>
    </row>
    <row r="2268" hidden="1" outlineLevel="2" spans="2:24">
      <c r="B2268" s="1215" t="s">
        <v>3738</v>
      </c>
      <c r="C2268" s="693" t="str">
        <f t="shared" si="318"/>
        <v>深圳新阳蓝光能源管理科技股份有限公司</v>
      </c>
      <c r="D2268" s="1377" t="s">
        <v>3739</v>
      </c>
      <c r="E2268" s="153"/>
      <c r="F2268" s="751"/>
      <c r="G2268" s="751"/>
      <c r="X2268" s="768" t="b">
        <f t="shared" si="319"/>
        <v>1</v>
      </c>
    </row>
    <row r="2269" hidden="1" outlineLevel="2" spans="2:24">
      <c r="B2269" s="1215" t="s">
        <v>3738</v>
      </c>
      <c r="C2269" s="693" t="str">
        <f t="shared" si="318"/>
        <v>深圳新阳蓝光能源管理科技股份有限公司</v>
      </c>
      <c r="D2269" s="1377"/>
      <c r="E2269" s="153"/>
      <c r="F2269" s="751"/>
      <c r="G2269" s="751"/>
      <c r="X2269" s="768" t="b">
        <f t="shared" si="319"/>
        <v>1</v>
      </c>
    </row>
    <row r="2270" hidden="1" outlineLevel="2" spans="1:24">
      <c r="A2270" s="90" t="s">
        <v>2809</v>
      </c>
      <c r="B2270" s="1215" t="s">
        <v>3738</v>
      </c>
      <c r="C2270" s="693" t="str">
        <f t="shared" si="318"/>
        <v>深圳新阳蓝光能源管理科技股份有限公司</v>
      </c>
      <c r="D2270" s="1377"/>
      <c r="E2270" s="1466" t="s">
        <v>2829</v>
      </c>
      <c r="F2270" s="736"/>
      <c r="G2270" s="736"/>
      <c r="H2270" s="107"/>
      <c r="X2270" s="768" t="b">
        <f t="shared" si="319"/>
        <v>1</v>
      </c>
    </row>
    <row r="2271" hidden="1" outlineLevel="2" spans="2:24">
      <c r="B2271" s="1215" t="s">
        <v>3738</v>
      </c>
      <c r="C2271" s="693" t="str">
        <f t="shared" si="318"/>
        <v>深圳新阳蓝光能源管理科技股份有限公司</v>
      </c>
      <c r="D2271" s="1377"/>
      <c r="E2271" s="894"/>
      <c r="F2271" s="715"/>
      <c r="G2271" s="715"/>
      <c r="X2271" s="768" t="b">
        <f t="shared" si="319"/>
        <v>1</v>
      </c>
    </row>
    <row r="2272" spans="1:24">
      <c r="A2272" s="1493" t="s">
        <v>2272</v>
      </c>
      <c r="B2272" s="692" t="s">
        <v>3745</v>
      </c>
      <c r="C2272" s="693" t="str">
        <f t="shared" si="318"/>
        <v>深圳新阳蓝光能源管理科技股份有限公司</v>
      </c>
      <c r="D2272" s="1494" t="s">
        <v>2272</v>
      </c>
      <c r="E2272" s="70" t="s">
        <v>3746</v>
      </c>
      <c r="F2272" s="1495"/>
      <c r="G2272" s="1429" t="s">
        <v>3471</v>
      </c>
      <c r="H2272" s="1495"/>
      <c r="X2272" s="768" t="b">
        <f t="shared" si="319"/>
        <v>1</v>
      </c>
    </row>
    <row r="2273" outlineLevel="2" spans="1:24">
      <c r="A2273" s="1493" t="s">
        <v>3551</v>
      </c>
      <c r="B2273" s="692" t="s">
        <v>3745</v>
      </c>
      <c r="C2273" s="693" t="str">
        <f t="shared" si="318"/>
        <v>深圳新阳蓝光能源管理科技股份有限公司</v>
      </c>
      <c r="D2273" s="1494" t="s">
        <v>2272</v>
      </c>
      <c r="E2273" s="1496" t="s">
        <v>3551</v>
      </c>
      <c r="F2273" s="1496" t="s">
        <v>316</v>
      </c>
      <c r="G2273" s="1496" t="s">
        <v>2020</v>
      </c>
      <c r="X2273" s="768" t="b">
        <f t="shared" si="319"/>
        <v>1</v>
      </c>
    </row>
    <row r="2274" outlineLevel="2" spans="1:24">
      <c r="A2274" s="1493" t="s">
        <v>983</v>
      </c>
      <c r="B2274" s="692" t="s">
        <v>3745</v>
      </c>
      <c r="C2274" s="693" t="str">
        <f t="shared" ref="C2274:C2337" si="323">$G$1</f>
        <v>深圳新阳蓝光能源管理科技股份有限公司</v>
      </c>
      <c r="D2274" s="1494" t="s">
        <v>2272</v>
      </c>
      <c r="E2274" s="1497" t="s">
        <v>983</v>
      </c>
      <c r="F2274" s="136"/>
      <c r="G2274" s="743">
        <f>报表附注合并期初用!E1957</f>
        <v>0</v>
      </c>
      <c r="X2274" s="768" t="b">
        <f t="shared" ref="X2274:X2337" si="324">EXACT(A2274,E2274)</f>
        <v>1</v>
      </c>
    </row>
    <row r="2275" outlineLevel="2" spans="1:24">
      <c r="A2275" s="1493" t="s">
        <v>985</v>
      </c>
      <c r="B2275" s="692" t="s">
        <v>3745</v>
      </c>
      <c r="C2275" s="693" t="str">
        <f t="shared" si="323"/>
        <v>深圳新阳蓝光能源管理科技股份有限公司</v>
      </c>
      <c r="D2275" s="1494" t="s">
        <v>2272</v>
      </c>
      <c r="E2275" s="1497" t="s">
        <v>985</v>
      </c>
      <c r="F2275" s="136"/>
      <c r="G2275" s="743">
        <f>报表附注合并期初用!E1958</f>
        <v>0</v>
      </c>
      <c r="X2275" s="768" t="b">
        <f t="shared" si="324"/>
        <v>1</v>
      </c>
    </row>
    <row r="2276" outlineLevel="2" spans="1:24">
      <c r="A2276" s="1493" t="s">
        <v>987</v>
      </c>
      <c r="B2276" s="692" t="s">
        <v>3745</v>
      </c>
      <c r="C2276" s="693" t="str">
        <f t="shared" si="323"/>
        <v>深圳新阳蓝光能源管理科技股份有限公司</v>
      </c>
      <c r="D2276" s="1494" t="s">
        <v>2272</v>
      </c>
      <c r="E2276" s="1498" t="s">
        <v>987</v>
      </c>
      <c r="F2276" s="136"/>
      <c r="G2276" s="743">
        <f>报表附注合并期初用!E1959</f>
        <v>0</v>
      </c>
      <c r="X2276" s="768" t="b">
        <f t="shared" si="324"/>
        <v>1</v>
      </c>
    </row>
    <row r="2277" outlineLevel="2" spans="1:24">
      <c r="A2277" s="1493" t="s">
        <v>989</v>
      </c>
      <c r="B2277" s="692" t="s">
        <v>3745</v>
      </c>
      <c r="C2277" s="693" t="str">
        <f t="shared" si="323"/>
        <v>深圳新阳蓝光能源管理科技股份有限公司</v>
      </c>
      <c r="D2277" s="1494" t="s">
        <v>2272</v>
      </c>
      <c r="E2277" s="1497" t="s">
        <v>989</v>
      </c>
      <c r="F2277" s="136">
        <f>47832592.6-资负表及利润表调整分录!G331</f>
        <v>30498148.16</v>
      </c>
      <c r="G2277" s="743">
        <f>报表附注合并期初用!E1960</f>
        <v>48202962.97</v>
      </c>
      <c r="X2277" s="768" t="b">
        <f t="shared" si="324"/>
        <v>1</v>
      </c>
    </row>
    <row r="2278" outlineLevel="2" spans="1:24">
      <c r="A2278" s="1493" t="s">
        <v>2203</v>
      </c>
      <c r="B2278" s="692" t="s">
        <v>3745</v>
      </c>
      <c r="C2278" s="693" t="str">
        <f t="shared" si="323"/>
        <v>深圳新阳蓝光能源管理科技股份有限公司</v>
      </c>
      <c r="D2278" s="1494" t="s">
        <v>2272</v>
      </c>
      <c r="E2278" s="1496" t="s">
        <v>3554</v>
      </c>
      <c r="F2278" s="139">
        <f>SUM(F2274:F2277)</f>
        <v>30498148.16</v>
      </c>
      <c r="G2278" s="139">
        <f>SUM(G2274:G2277)</f>
        <v>48202962.97</v>
      </c>
      <c r="X2278" s="768" t="b">
        <f t="shared" si="324"/>
        <v>1</v>
      </c>
    </row>
    <row r="2279" outlineLevel="2" spans="1:24">
      <c r="A2279" s="1493" t="s">
        <v>1723</v>
      </c>
      <c r="B2279" s="692" t="s">
        <v>3745</v>
      </c>
      <c r="C2279" s="693" t="str">
        <f t="shared" si="323"/>
        <v>深圳新阳蓝光能源管理科技股份有限公司</v>
      </c>
      <c r="D2279" s="1494" t="s">
        <v>2272</v>
      </c>
      <c r="E2279" s="1361" t="s">
        <v>1723</v>
      </c>
      <c r="F2279" s="835">
        <f>审定资负表!G23</f>
        <v>30498148.16</v>
      </c>
      <c r="G2279" s="835">
        <f>审定资负表!H23</f>
        <v>48202962.97</v>
      </c>
      <c r="X2279" s="768" t="b">
        <f t="shared" si="324"/>
        <v>1</v>
      </c>
    </row>
    <row r="2280" outlineLevel="1" collapsed="1" spans="1:24">
      <c r="A2280" s="1493" t="s">
        <v>1395</v>
      </c>
      <c r="B2280" s="692" t="s">
        <v>3745</v>
      </c>
      <c r="C2280" s="693" t="str">
        <f t="shared" si="323"/>
        <v>深圳新阳蓝光能源管理科技股份有限公司</v>
      </c>
      <c r="D2280" s="1494" t="s">
        <v>2272</v>
      </c>
      <c r="E2280" s="1361" t="s">
        <v>1395</v>
      </c>
      <c r="F2280" s="92">
        <f>ROUND(F2278-F2279,2)</f>
        <v>0</v>
      </c>
      <c r="G2280" s="92">
        <f>ROUND(G2278-G2279,2)</f>
        <v>0</v>
      </c>
      <c r="X2280" s="768" t="b">
        <f t="shared" si="324"/>
        <v>1</v>
      </c>
    </row>
    <row r="2281" hidden="1" outlineLevel="2" spans="2:24">
      <c r="B2281" s="692" t="s">
        <v>3745</v>
      </c>
      <c r="C2281" s="693" t="str">
        <f t="shared" si="323"/>
        <v>深圳新阳蓝光能源管理科技股份有限公司</v>
      </c>
      <c r="D2281" s="1494" t="s">
        <v>2272</v>
      </c>
      <c r="E2281" s="1499"/>
      <c r="F2281" s="1500"/>
      <c r="G2281" s="1500"/>
      <c r="H2281" s="1500"/>
      <c r="X2281" s="768" t="b">
        <f t="shared" si="324"/>
        <v>1</v>
      </c>
    </row>
    <row r="2282" hidden="1" outlineLevel="2" spans="1:24">
      <c r="A2282" s="1493" t="s">
        <v>3747</v>
      </c>
      <c r="B2282" s="692" t="s">
        <v>3745</v>
      </c>
      <c r="C2282" s="693" t="str">
        <f t="shared" si="323"/>
        <v>深圳新阳蓝光能源管理科技股份有限公司</v>
      </c>
      <c r="D2282" s="1494" t="s">
        <v>3748</v>
      </c>
      <c r="E2282" s="1180" t="s">
        <v>3749</v>
      </c>
      <c r="F2282" s="1500"/>
      <c r="G2282" s="1500"/>
      <c r="H2282" s="1500"/>
      <c r="X2282" s="768" t="b">
        <f t="shared" si="324"/>
        <v>0</v>
      </c>
    </row>
    <row r="2283" hidden="1" outlineLevel="2" spans="1:24">
      <c r="A2283" s="1493" t="s">
        <v>993</v>
      </c>
      <c r="B2283" s="692" t="s">
        <v>3745</v>
      </c>
      <c r="C2283" s="693" t="str">
        <f t="shared" si="323"/>
        <v>深圳新阳蓝光能源管理科技股份有限公司</v>
      </c>
      <c r="D2283" s="1494" t="s">
        <v>3748</v>
      </c>
      <c r="E2283" s="851" t="s">
        <v>993</v>
      </c>
      <c r="F2283" s="886" t="s">
        <v>3551</v>
      </c>
      <c r="G2283" s="886" t="s">
        <v>3750</v>
      </c>
      <c r="H2283" s="886" t="s">
        <v>3751</v>
      </c>
      <c r="I2283" s="851" t="s">
        <v>3705</v>
      </c>
      <c r="J2283" s="851" t="s">
        <v>3706</v>
      </c>
      <c r="K2283" s="1502" t="s">
        <v>516</v>
      </c>
      <c r="L2283" s="1503"/>
      <c r="M2283" s="1503"/>
      <c r="N2283" s="1504"/>
      <c r="O2283" s="1502" t="s">
        <v>671</v>
      </c>
      <c r="P2283" s="1503"/>
      <c r="Q2283" s="1503"/>
      <c r="R2283" s="1504"/>
      <c r="X2283" s="768" t="b">
        <f t="shared" si="324"/>
        <v>1</v>
      </c>
    </row>
    <row r="2284" hidden="1" outlineLevel="2" spans="2:24">
      <c r="B2284" s="692" t="s">
        <v>3745</v>
      </c>
      <c r="C2284" s="693" t="str">
        <f t="shared" si="323"/>
        <v>深圳新阳蓝光能源管理科技股份有限公司</v>
      </c>
      <c r="D2284" s="1494" t="s">
        <v>3752</v>
      </c>
      <c r="E2284" s="851"/>
      <c r="F2284" s="851"/>
      <c r="G2284" s="851"/>
      <c r="H2284" s="851"/>
      <c r="I2284" s="851"/>
      <c r="J2284" s="851"/>
      <c r="K2284" s="851" t="s">
        <v>3707</v>
      </c>
      <c r="L2284" s="851" t="s">
        <v>3708</v>
      </c>
      <c r="M2284" s="851" t="s">
        <v>3709</v>
      </c>
      <c r="N2284" s="851" t="s">
        <v>3710</v>
      </c>
      <c r="O2284" s="851" t="s">
        <v>3707</v>
      </c>
      <c r="P2284" s="851" t="s">
        <v>3708</v>
      </c>
      <c r="Q2284" s="851" t="s">
        <v>3709</v>
      </c>
      <c r="R2284" s="851" t="s">
        <v>3710</v>
      </c>
      <c r="X2284" s="768" t="b">
        <f t="shared" si="324"/>
        <v>1</v>
      </c>
    </row>
    <row r="2285" hidden="1" outlineLevel="2" spans="2:24">
      <c r="B2285" s="692" t="s">
        <v>3745</v>
      </c>
      <c r="C2285" s="693" t="str">
        <f t="shared" si="323"/>
        <v>深圳新阳蓝光能源管理科技股份有限公司</v>
      </c>
      <c r="D2285" s="1494" t="s">
        <v>3752</v>
      </c>
      <c r="E2285" s="1066"/>
      <c r="F2285" s="1066"/>
      <c r="G2285" s="1066"/>
      <c r="H2285" s="1066"/>
      <c r="I2285" s="1066"/>
      <c r="J2285" s="1066"/>
      <c r="K2285" s="1505"/>
      <c r="L2285" s="1287"/>
      <c r="M2285" s="1287"/>
      <c r="N2285" s="1287"/>
      <c r="O2285" s="1505"/>
      <c r="P2285" s="1287"/>
      <c r="Q2285" s="1287"/>
      <c r="R2285" s="1287"/>
      <c r="X2285" s="768" t="b">
        <f t="shared" si="324"/>
        <v>1</v>
      </c>
    </row>
    <row r="2286" hidden="1" outlineLevel="2" spans="2:24">
      <c r="B2286" s="692" t="s">
        <v>3745</v>
      </c>
      <c r="C2286" s="693" t="str">
        <f t="shared" si="323"/>
        <v>深圳新阳蓝光能源管理科技股份有限公司</v>
      </c>
      <c r="D2286" s="1494" t="s">
        <v>3752</v>
      </c>
      <c r="E2286" s="1066"/>
      <c r="F2286" s="1066"/>
      <c r="G2286" s="1066"/>
      <c r="H2286" s="1066"/>
      <c r="I2286" s="1066"/>
      <c r="J2286" s="1066"/>
      <c r="K2286" s="1505"/>
      <c r="L2286" s="1287"/>
      <c r="M2286" s="1287"/>
      <c r="N2286" s="1287"/>
      <c r="O2286" s="1505"/>
      <c r="P2286" s="1287"/>
      <c r="Q2286" s="1287"/>
      <c r="R2286" s="1287"/>
      <c r="X2286" s="768" t="b">
        <f t="shared" si="324"/>
        <v>1</v>
      </c>
    </row>
    <row r="2287" hidden="1" outlineLevel="2" spans="2:24">
      <c r="B2287" s="692" t="s">
        <v>3745</v>
      </c>
      <c r="C2287" s="693" t="str">
        <f t="shared" si="323"/>
        <v>深圳新阳蓝光能源管理科技股份有限公司</v>
      </c>
      <c r="D2287" s="1494" t="s">
        <v>3752</v>
      </c>
      <c r="E2287" s="1066"/>
      <c r="F2287" s="1066"/>
      <c r="G2287" s="1066"/>
      <c r="H2287" s="1066"/>
      <c r="I2287" s="1066"/>
      <c r="J2287" s="1066"/>
      <c r="K2287" s="1505"/>
      <c r="L2287" s="1287"/>
      <c r="M2287" s="1287"/>
      <c r="N2287" s="1287"/>
      <c r="O2287" s="1505"/>
      <c r="P2287" s="1287"/>
      <c r="Q2287" s="1287"/>
      <c r="R2287" s="1287"/>
      <c r="X2287" s="768" t="b">
        <f t="shared" si="324"/>
        <v>1</v>
      </c>
    </row>
    <row r="2288" hidden="1" outlineLevel="2" spans="2:24">
      <c r="B2288" s="692" t="s">
        <v>3745</v>
      </c>
      <c r="C2288" s="693" t="str">
        <f t="shared" si="323"/>
        <v>深圳新阳蓝光能源管理科技股份有限公司</v>
      </c>
      <c r="D2288" s="1494" t="s">
        <v>3752</v>
      </c>
      <c r="E2288" s="1066"/>
      <c r="F2288" s="1066"/>
      <c r="G2288" s="1066"/>
      <c r="H2288" s="1066"/>
      <c r="I2288" s="1066"/>
      <c r="J2288" s="1066"/>
      <c r="K2288" s="1505"/>
      <c r="L2288" s="1287"/>
      <c r="M2288" s="1287"/>
      <c r="N2288" s="1287"/>
      <c r="O2288" s="1505"/>
      <c r="P2288" s="1287"/>
      <c r="Q2288" s="1287"/>
      <c r="R2288" s="1287"/>
      <c r="X2288" s="768" t="b">
        <f t="shared" si="324"/>
        <v>1</v>
      </c>
    </row>
    <row r="2289" hidden="1" outlineLevel="2" spans="2:24">
      <c r="B2289" s="692" t="s">
        <v>3745</v>
      </c>
      <c r="C2289" s="693" t="str">
        <f t="shared" si="323"/>
        <v>深圳新阳蓝光能源管理科技股份有限公司</v>
      </c>
      <c r="D2289" s="1494" t="s">
        <v>3752</v>
      </c>
      <c r="E2289" s="1066"/>
      <c r="F2289" s="1066"/>
      <c r="G2289" s="1066"/>
      <c r="H2289" s="1066"/>
      <c r="I2289" s="1066"/>
      <c r="J2289" s="1066"/>
      <c r="K2289" s="1505"/>
      <c r="L2289" s="1287"/>
      <c r="M2289" s="1287"/>
      <c r="N2289" s="1287"/>
      <c r="O2289" s="1505"/>
      <c r="P2289" s="1287"/>
      <c r="Q2289" s="1287"/>
      <c r="R2289" s="1287"/>
      <c r="X2289" s="768" t="b">
        <f t="shared" si="324"/>
        <v>1</v>
      </c>
    </row>
    <row r="2290" hidden="1" outlineLevel="2" spans="2:24">
      <c r="B2290" s="692" t="s">
        <v>3745</v>
      </c>
      <c r="C2290" s="693" t="str">
        <f t="shared" si="323"/>
        <v>深圳新阳蓝光能源管理科技股份有限公司</v>
      </c>
      <c r="D2290" s="1494" t="s">
        <v>3752</v>
      </c>
      <c r="E2290" s="1066"/>
      <c r="F2290" s="1066"/>
      <c r="G2290" s="1066"/>
      <c r="H2290" s="1066"/>
      <c r="I2290" s="1066"/>
      <c r="J2290" s="1066"/>
      <c r="K2290" s="1505"/>
      <c r="L2290" s="1287"/>
      <c r="M2290" s="1287"/>
      <c r="N2290" s="1287"/>
      <c r="O2290" s="1505"/>
      <c r="P2290" s="1287"/>
      <c r="Q2290" s="1287"/>
      <c r="R2290" s="1287"/>
      <c r="X2290" s="768" t="b">
        <f t="shared" si="324"/>
        <v>1</v>
      </c>
    </row>
    <row r="2291" hidden="1" outlineLevel="2" spans="2:24">
      <c r="B2291" s="692" t="s">
        <v>3745</v>
      </c>
      <c r="C2291" s="693" t="str">
        <f t="shared" si="323"/>
        <v>深圳新阳蓝光能源管理科技股份有限公司</v>
      </c>
      <c r="D2291" s="1494" t="s">
        <v>3752</v>
      </c>
      <c r="E2291" s="1501"/>
      <c r="F2291" s="1501"/>
      <c r="G2291" s="1501"/>
      <c r="H2291" s="1501"/>
      <c r="I2291" s="1066"/>
      <c r="J2291" s="1066"/>
      <c r="K2291" s="1505"/>
      <c r="L2291" s="1287"/>
      <c r="M2291" s="1287"/>
      <c r="N2291" s="1287"/>
      <c r="O2291" s="1505"/>
      <c r="P2291" s="1287"/>
      <c r="Q2291" s="1287"/>
      <c r="R2291" s="1287"/>
      <c r="X2291" s="768" t="b">
        <f t="shared" si="324"/>
        <v>1</v>
      </c>
    </row>
    <row r="2292" hidden="1" outlineLevel="2" spans="2:24">
      <c r="B2292" s="692" t="s">
        <v>3745</v>
      </c>
      <c r="C2292" s="693" t="str">
        <f t="shared" si="323"/>
        <v>深圳新阳蓝光能源管理科技股份有限公司</v>
      </c>
      <c r="D2292" s="1494" t="s">
        <v>3752</v>
      </c>
      <c r="E2292" s="1066"/>
      <c r="F2292" s="1066"/>
      <c r="G2292" s="1066"/>
      <c r="H2292" s="1066"/>
      <c r="I2292" s="1066"/>
      <c r="J2292" s="1066"/>
      <c r="K2292" s="1505"/>
      <c r="L2292" s="1287"/>
      <c r="M2292" s="1287"/>
      <c r="N2292" s="1287"/>
      <c r="O2292" s="1505"/>
      <c r="P2292" s="1287"/>
      <c r="Q2292" s="1287"/>
      <c r="R2292" s="1287"/>
      <c r="X2292" s="768" t="b">
        <f t="shared" si="324"/>
        <v>1</v>
      </c>
    </row>
    <row r="2293" hidden="1" outlineLevel="2" spans="2:24">
      <c r="B2293" s="692" t="s">
        <v>3745</v>
      </c>
      <c r="C2293" s="693" t="str">
        <f t="shared" si="323"/>
        <v>深圳新阳蓝光能源管理科技股份有限公司</v>
      </c>
      <c r="D2293" s="1494" t="s">
        <v>3752</v>
      </c>
      <c r="E2293" s="1066"/>
      <c r="F2293" s="1066"/>
      <c r="G2293" s="1066"/>
      <c r="H2293" s="1066"/>
      <c r="I2293" s="1066"/>
      <c r="J2293" s="1066"/>
      <c r="K2293" s="1505"/>
      <c r="L2293" s="1287"/>
      <c r="M2293" s="1287"/>
      <c r="N2293" s="1287"/>
      <c r="O2293" s="1505"/>
      <c r="P2293" s="1287"/>
      <c r="Q2293" s="1287"/>
      <c r="R2293" s="1287"/>
      <c r="X2293" s="768" t="b">
        <f t="shared" si="324"/>
        <v>1</v>
      </c>
    </row>
    <row r="2294" hidden="1" outlineLevel="2" spans="2:24">
      <c r="B2294" s="692" t="s">
        <v>3745</v>
      </c>
      <c r="C2294" s="693" t="str">
        <f t="shared" si="323"/>
        <v>深圳新阳蓝光能源管理科技股份有限公司</v>
      </c>
      <c r="D2294" s="1494" t="s">
        <v>3752</v>
      </c>
      <c r="E2294" s="1066"/>
      <c r="F2294" s="1066"/>
      <c r="G2294" s="1066"/>
      <c r="H2294" s="1066"/>
      <c r="I2294" s="1066"/>
      <c r="J2294" s="1066"/>
      <c r="K2294" s="1505"/>
      <c r="L2294" s="1287"/>
      <c r="M2294" s="1287"/>
      <c r="N2294" s="1287"/>
      <c r="O2294" s="1505"/>
      <c r="P2294" s="1287"/>
      <c r="Q2294" s="1287"/>
      <c r="R2294" s="1287"/>
      <c r="X2294" s="768" t="b">
        <f t="shared" si="324"/>
        <v>1</v>
      </c>
    </row>
    <row r="2295" hidden="1" outlineLevel="2" spans="2:24">
      <c r="B2295" s="692" t="s">
        <v>3745</v>
      </c>
      <c r="C2295" s="693" t="str">
        <f t="shared" si="323"/>
        <v>深圳新阳蓝光能源管理科技股份有限公司</v>
      </c>
      <c r="D2295" s="1494" t="s">
        <v>3752</v>
      </c>
      <c r="E2295" s="1066"/>
      <c r="F2295" s="1066"/>
      <c r="G2295" s="1066"/>
      <c r="H2295" s="1066"/>
      <c r="I2295" s="1066"/>
      <c r="J2295" s="1066"/>
      <c r="K2295" s="1505"/>
      <c r="L2295" s="1287"/>
      <c r="M2295" s="1287"/>
      <c r="N2295" s="1287"/>
      <c r="O2295" s="1505"/>
      <c r="P2295" s="1287"/>
      <c r="Q2295" s="1287"/>
      <c r="R2295" s="1287"/>
      <c r="X2295" s="768" t="b">
        <f t="shared" si="324"/>
        <v>1</v>
      </c>
    </row>
    <row r="2296" hidden="1" outlineLevel="2" spans="2:24">
      <c r="B2296" s="692" t="s">
        <v>3745</v>
      </c>
      <c r="C2296" s="693" t="str">
        <f t="shared" si="323"/>
        <v>深圳新阳蓝光能源管理科技股份有限公司</v>
      </c>
      <c r="D2296" s="1494" t="s">
        <v>3752</v>
      </c>
      <c r="E2296" s="1066"/>
      <c r="F2296" s="1066"/>
      <c r="G2296" s="1066"/>
      <c r="H2296" s="1066"/>
      <c r="I2296" s="1066"/>
      <c r="J2296" s="1066"/>
      <c r="K2296" s="1505"/>
      <c r="L2296" s="1287"/>
      <c r="M2296" s="1287"/>
      <c r="N2296" s="1287"/>
      <c r="O2296" s="1505"/>
      <c r="P2296" s="1287"/>
      <c r="Q2296" s="1287"/>
      <c r="R2296" s="1287"/>
      <c r="X2296" s="768" t="b">
        <f t="shared" si="324"/>
        <v>1</v>
      </c>
    </row>
    <row r="2297" hidden="1" outlineLevel="2" spans="2:24">
      <c r="B2297" s="692" t="s">
        <v>3745</v>
      </c>
      <c r="C2297" s="693" t="str">
        <f t="shared" si="323"/>
        <v>深圳新阳蓝光能源管理科技股份有限公司</v>
      </c>
      <c r="D2297" s="1494" t="s">
        <v>3752</v>
      </c>
      <c r="E2297" s="1066"/>
      <c r="F2297" s="1066"/>
      <c r="G2297" s="1066"/>
      <c r="H2297" s="1066"/>
      <c r="I2297" s="1066"/>
      <c r="J2297" s="1066"/>
      <c r="K2297" s="1505"/>
      <c r="L2297" s="1287"/>
      <c r="M2297" s="1287"/>
      <c r="N2297" s="1287"/>
      <c r="O2297" s="1505"/>
      <c r="P2297" s="1287"/>
      <c r="Q2297" s="1287"/>
      <c r="R2297" s="1287"/>
      <c r="X2297" s="768" t="b">
        <f t="shared" si="324"/>
        <v>1</v>
      </c>
    </row>
    <row r="2298" hidden="1" outlineLevel="2" spans="2:24">
      <c r="B2298" s="692" t="s">
        <v>3745</v>
      </c>
      <c r="C2298" s="693" t="str">
        <f t="shared" si="323"/>
        <v>深圳新阳蓝光能源管理科技股份有限公司</v>
      </c>
      <c r="D2298" s="1494" t="s">
        <v>3752</v>
      </c>
      <c r="E2298" s="1066"/>
      <c r="F2298" s="1066"/>
      <c r="G2298" s="1066"/>
      <c r="H2298" s="1066"/>
      <c r="I2298" s="1066"/>
      <c r="J2298" s="1066"/>
      <c r="K2298" s="1505"/>
      <c r="L2298" s="1287"/>
      <c r="M2298" s="1287"/>
      <c r="N2298" s="1287"/>
      <c r="O2298" s="1505"/>
      <c r="P2298" s="1287"/>
      <c r="Q2298" s="1287"/>
      <c r="R2298" s="1287"/>
      <c r="X2298" s="768" t="b">
        <f t="shared" si="324"/>
        <v>1</v>
      </c>
    </row>
    <row r="2299" hidden="1" outlineLevel="2" spans="2:24">
      <c r="B2299" s="692" t="s">
        <v>3745</v>
      </c>
      <c r="C2299" s="693" t="str">
        <f t="shared" si="323"/>
        <v>深圳新阳蓝光能源管理科技股份有限公司</v>
      </c>
      <c r="D2299" s="1494" t="s">
        <v>3752</v>
      </c>
      <c r="E2299" s="1066"/>
      <c r="F2299" s="1066"/>
      <c r="G2299" s="1066"/>
      <c r="H2299" s="1066"/>
      <c r="I2299" s="1066"/>
      <c r="J2299" s="1066"/>
      <c r="K2299" s="1505"/>
      <c r="L2299" s="1287"/>
      <c r="M2299" s="1287"/>
      <c r="N2299" s="1287"/>
      <c r="O2299" s="1505"/>
      <c r="P2299" s="1287"/>
      <c r="Q2299" s="1287"/>
      <c r="R2299" s="1287"/>
      <c r="X2299" s="768" t="b">
        <f t="shared" si="324"/>
        <v>1</v>
      </c>
    </row>
    <row r="2300" hidden="1" outlineLevel="2" spans="2:24">
      <c r="B2300" s="692" t="s">
        <v>3745</v>
      </c>
      <c r="C2300" s="693" t="str">
        <f t="shared" si="323"/>
        <v>深圳新阳蓝光能源管理科技股份有限公司</v>
      </c>
      <c r="D2300" s="1494" t="s">
        <v>3752</v>
      </c>
      <c r="E2300" s="3"/>
      <c r="F2300" s="3"/>
      <c r="G2300" s="3"/>
      <c r="H2300" s="3"/>
      <c r="I2300" s="1506"/>
      <c r="J2300" s="1506"/>
      <c r="K2300" s="869"/>
      <c r="L2300" s="815"/>
      <c r="M2300" s="815"/>
      <c r="N2300" s="815"/>
      <c r="O2300" s="869"/>
      <c r="P2300" s="815"/>
      <c r="Q2300" s="815"/>
      <c r="R2300" s="815"/>
      <c r="X2300" s="768" t="b">
        <f t="shared" si="324"/>
        <v>1</v>
      </c>
    </row>
    <row r="2301" hidden="1" outlineLevel="2" spans="2:24">
      <c r="B2301" s="692" t="s">
        <v>3745</v>
      </c>
      <c r="C2301" s="693" t="str">
        <f t="shared" si="323"/>
        <v>深圳新阳蓝光能源管理科技股份有限公司</v>
      </c>
      <c r="D2301" s="1494" t="s">
        <v>3752</v>
      </c>
      <c r="E2301" s="3"/>
      <c r="F2301" s="3"/>
      <c r="G2301" s="3"/>
      <c r="H2301" s="3"/>
      <c r="I2301" s="1506"/>
      <c r="J2301" s="1506"/>
      <c r="K2301" s="869"/>
      <c r="L2301" s="815"/>
      <c r="M2301" s="815"/>
      <c r="N2301" s="815"/>
      <c r="O2301" s="869"/>
      <c r="P2301" s="815"/>
      <c r="Q2301" s="815"/>
      <c r="R2301" s="815"/>
      <c r="X2301" s="768" t="b">
        <f t="shared" si="324"/>
        <v>1</v>
      </c>
    </row>
    <row r="2302" hidden="1" outlineLevel="2" spans="2:24">
      <c r="B2302" s="692" t="s">
        <v>3745</v>
      </c>
      <c r="C2302" s="693" t="str">
        <f t="shared" si="323"/>
        <v>深圳新阳蓝光能源管理科技股份有限公司</v>
      </c>
      <c r="D2302" s="1494" t="s">
        <v>3752</v>
      </c>
      <c r="E2302" s="3"/>
      <c r="F2302" s="3"/>
      <c r="G2302" s="3"/>
      <c r="H2302" s="3"/>
      <c r="I2302" s="1506"/>
      <c r="J2302" s="1506"/>
      <c r="K2302" s="869"/>
      <c r="L2302" s="815"/>
      <c r="M2302" s="815"/>
      <c r="N2302" s="815"/>
      <c r="O2302" s="869"/>
      <c r="P2302" s="815"/>
      <c r="Q2302" s="815"/>
      <c r="R2302" s="815"/>
      <c r="X2302" s="768" t="b">
        <f t="shared" si="324"/>
        <v>1</v>
      </c>
    </row>
    <row r="2303" hidden="1" outlineLevel="2" spans="2:24">
      <c r="B2303" s="692" t="s">
        <v>3745</v>
      </c>
      <c r="C2303" s="693" t="str">
        <f t="shared" si="323"/>
        <v>深圳新阳蓝光能源管理科技股份有限公司</v>
      </c>
      <c r="D2303" s="1494" t="s">
        <v>3752</v>
      </c>
      <c r="E2303" s="3"/>
      <c r="F2303" s="3"/>
      <c r="G2303" s="3"/>
      <c r="H2303" s="3"/>
      <c r="I2303" s="1506"/>
      <c r="J2303" s="1506"/>
      <c r="K2303" s="869"/>
      <c r="L2303" s="815"/>
      <c r="M2303" s="815"/>
      <c r="N2303" s="815"/>
      <c r="O2303" s="869"/>
      <c r="P2303" s="815"/>
      <c r="Q2303" s="815"/>
      <c r="R2303" s="815"/>
      <c r="X2303" s="768" t="b">
        <f t="shared" si="324"/>
        <v>1</v>
      </c>
    </row>
    <row r="2304" hidden="1" outlineLevel="2" spans="2:24">
      <c r="B2304" s="692" t="s">
        <v>3745</v>
      </c>
      <c r="C2304" s="693" t="str">
        <f t="shared" si="323"/>
        <v>深圳新阳蓝光能源管理科技股份有限公司</v>
      </c>
      <c r="D2304" s="1494" t="s">
        <v>3752</v>
      </c>
      <c r="E2304" s="3"/>
      <c r="F2304" s="3"/>
      <c r="G2304" s="3"/>
      <c r="H2304" s="3"/>
      <c r="I2304" s="1506"/>
      <c r="J2304" s="136"/>
      <c r="K2304" s="869"/>
      <c r="L2304" s="815"/>
      <c r="M2304" s="815"/>
      <c r="N2304" s="815"/>
      <c r="O2304" s="869"/>
      <c r="P2304" s="815"/>
      <c r="Q2304" s="815"/>
      <c r="R2304" s="815"/>
      <c r="X2304" s="768" t="b">
        <f t="shared" si="324"/>
        <v>1</v>
      </c>
    </row>
    <row r="2305" hidden="1" outlineLevel="2" spans="1:24">
      <c r="A2305" s="1493" t="s">
        <v>2021</v>
      </c>
      <c r="B2305" s="692" t="s">
        <v>3745</v>
      </c>
      <c r="C2305" s="693" t="str">
        <f t="shared" si="323"/>
        <v>深圳新阳蓝光能源管理科技股份有限公司</v>
      </c>
      <c r="D2305" s="1494" t="s">
        <v>3752</v>
      </c>
      <c r="E2305" s="1" t="s">
        <v>2021</v>
      </c>
      <c r="F2305" s="1"/>
      <c r="G2305" s="1"/>
      <c r="H2305" s="1"/>
      <c r="I2305" s="1529"/>
      <c r="J2305" s="157"/>
      <c r="K2305" s="157"/>
      <c r="L2305" s="1531"/>
      <c r="M2305" s="1531"/>
      <c r="N2305" s="802">
        <f>SUM(N2300:N2304)</f>
        <v>0</v>
      </c>
      <c r="O2305" s="1531"/>
      <c r="P2305" s="1531"/>
      <c r="Q2305" s="1531"/>
      <c r="R2305" s="802">
        <f>SUM(R2300:R2304)</f>
        <v>0</v>
      </c>
      <c r="X2305" s="768" t="b">
        <f t="shared" si="324"/>
        <v>1</v>
      </c>
    </row>
    <row r="2306" hidden="1" outlineLevel="2" spans="2:24">
      <c r="B2306" s="692" t="s">
        <v>3745</v>
      </c>
      <c r="C2306" s="693" t="str">
        <f t="shared" si="323"/>
        <v>深圳新阳蓝光能源管理科技股份有限公司</v>
      </c>
      <c r="D2306" s="1494" t="s">
        <v>3752</v>
      </c>
      <c r="F2306" s="1500"/>
      <c r="G2306" s="715"/>
      <c r="H2306" s="715"/>
      <c r="X2306" s="768" t="b">
        <f t="shared" si="324"/>
        <v>1</v>
      </c>
    </row>
    <row r="2307" hidden="1" outlineLevel="2" spans="1:24">
      <c r="A2307" s="1493" t="s">
        <v>3753</v>
      </c>
      <c r="B2307" s="692" t="s">
        <v>3745</v>
      </c>
      <c r="C2307" s="693" t="str">
        <f t="shared" si="323"/>
        <v>深圳新阳蓝光能源管理科技股份有限公司</v>
      </c>
      <c r="D2307" s="1494" t="s">
        <v>3753</v>
      </c>
      <c r="E2307" s="897" t="s">
        <v>3753</v>
      </c>
      <c r="F2307" s="1500"/>
      <c r="G2307" s="715"/>
      <c r="H2307" s="715"/>
      <c r="X2307" s="768" t="b">
        <f t="shared" si="324"/>
        <v>1</v>
      </c>
    </row>
    <row r="2308" hidden="1" outlineLevel="2" spans="1:24">
      <c r="A2308" s="1493" t="s">
        <v>2809</v>
      </c>
      <c r="B2308" s="692" t="s">
        <v>3745</v>
      </c>
      <c r="C2308" s="693" t="str">
        <f t="shared" si="323"/>
        <v>深圳新阳蓝光能源管理科技股份有限公司</v>
      </c>
      <c r="D2308" s="1494" t="s">
        <v>3753</v>
      </c>
      <c r="E2308" s="153" t="s">
        <v>2829</v>
      </c>
      <c r="F2308" s="1507"/>
      <c r="G2308" s="736"/>
      <c r="H2308" s="736"/>
      <c r="X2308" s="768" t="b">
        <f t="shared" si="324"/>
        <v>1</v>
      </c>
    </row>
    <row r="2309" hidden="1" outlineLevel="2" spans="2:24">
      <c r="B2309" s="692" t="s">
        <v>3745</v>
      </c>
      <c r="C2309" s="693" t="str">
        <f t="shared" si="323"/>
        <v>深圳新阳蓝光能源管理科技股份有限公司</v>
      </c>
      <c r="D2309" s="1494"/>
      <c r="E2309" s="153"/>
      <c r="F2309" s="1500"/>
      <c r="G2309" s="715"/>
      <c r="H2309" s="715"/>
      <c r="X2309" s="768" t="b">
        <f t="shared" si="324"/>
        <v>1</v>
      </c>
    </row>
    <row r="2310" hidden="1" outlineLevel="2" spans="1:24">
      <c r="A2310" s="1493" t="s">
        <v>2809</v>
      </c>
      <c r="B2310" s="692" t="s">
        <v>3745</v>
      </c>
      <c r="C2310" s="693" t="str">
        <f t="shared" si="323"/>
        <v>深圳新阳蓝光能源管理科技股份有限公司</v>
      </c>
      <c r="D2310" s="1494"/>
      <c r="E2310" s="153" t="s">
        <v>2829</v>
      </c>
      <c r="F2310" s="1507"/>
      <c r="G2310" s="736"/>
      <c r="H2310" s="736"/>
      <c r="X2310" s="768" t="b">
        <f t="shared" si="324"/>
        <v>1</v>
      </c>
    </row>
    <row r="2311" hidden="1" outlineLevel="2" spans="2:24">
      <c r="B2311" s="692" t="s">
        <v>3745</v>
      </c>
      <c r="C2311" s="693" t="str">
        <f t="shared" si="323"/>
        <v>深圳新阳蓝光能源管理科技股份有限公司</v>
      </c>
      <c r="D2311" s="1494"/>
      <c r="E2311" s="153"/>
      <c r="F2311" s="1500"/>
      <c r="G2311" s="715"/>
      <c r="H2311" s="715"/>
      <c r="X2311" s="768" t="b">
        <f t="shared" si="324"/>
        <v>1</v>
      </c>
    </row>
    <row r="2312" hidden="1" outlineLevel="2" spans="2:24">
      <c r="B2312" s="692" t="s">
        <v>3745</v>
      </c>
      <c r="C2312" s="693" t="str">
        <f t="shared" si="323"/>
        <v>深圳新阳蓝光能源管理科技股份有限公司</v>
      </c>
      <c r="D2312" s="1494"/>
      <c r="E2312" s="1508"/>
      <c r="F2312" s="1500"/>
      <c r="G2312" s="715"/>
      <c r="H2312" s="715"/>
      <c r="X2312" s="768" t="b">
        <f t="shared" si="324"/>
        <v>1</v>
      </c>
    </row>
    <row r="2313" spans="1:24">
      <c r="A2313" s="1493" t="s">
        <v>3754</v>
      </c>
      <c r="B2313" s="692" t="s">
        <v>3755</v>
      </c>
      <c r="C2313" s="693" t="str">
        <f t="shared" si="323"/>
        <v>深圳新阳蓝光能源管理科技股份有限公司</v>
      </c>
      <c r="D2313" s="1494" t="s">
        <v>3690</v>
      </c>
      <c r="E2313" s="70" t="s">
        <v>3756</v>
      </c>
      <c r="F2313" s="1449" t="s">
        <v>3163</v>
      </c>
      <c r="G2313" s="715"/>
      <c r="H2313" s="715"/>
      <c r="X2313" s="768" t="b">
        <f t="shared" si="324"/>
        <v>1</v>
      </c>
    </row>
    <row r="2314" outlineLevel="2" spans="1:24">
      <c r="A2314" s="1493" t="s">
        <v>3690</v>
      </c>
      <c r="B2314" s="692" t="s">
        <v>3755</v>
      </c>
      <c r="C2314" s="693" t="str">
        <f t="shared" si="323"/>
        <v>深圳新阳蓝光能源管理科技股份有限公司</v>
      </c>
      <c r="D2314" s="1509" t="s">
        <v>3690</v>
      </c>
      <c r="E2314" s="1510" t="s">
        <v>3691</v>
      </c>
      <c r="F2314" s="1510"/>
      <c r="G2314" s="1510"/>
      <c r="H2314" s="1510"/>
      <c r="I2314" s="1510"/>
      <c r="J2314" s="1510"/>
      <c r="K2314" s="1510"/>
      <c r="X2314" s="768" t="b">
        <f t="shared" si="324"/>
        <v>1</v>
      </c>
    </row>
    <row r="2315" outlineLevel="2" spans="1:24">
      <c r="A2315" s="1493" t="s">
        <v>3720</v>
      </c>
      <c r="B2315" s="692" t="s">
        <v>3755</v>
      </c>
      <c r="C2315" s="693" t="str">
        <f t="shared" si="323"/>
        <v>深圳新阳蓝光能源管理科技股份有限公司</v>
      </c>
      <c r="D2315" s="1509" t="s">
        <v>3690</v>
      </c>
      <c r="E2315" s="851" t="s">
        <v>3720</v>
      </c>
      <c r="F2315" s="851" t="s">
        <v>1152</v>
      </c>
      <c r="G2315" s="851" t="s">
        <v>1151</v>
      </c>
      <c r="H2315" s="851" t="s">
        <v>3721</v>
      </c>
      <c r="I2315" s="851" t="s">
        <v>3722</v>
      </c>
      <c r="J2315" s="851" t="s">
        <v>3723</v>
      </c>
      <c r="K2315" s="851" t="s">
        <v>3724</v>
      </c>
      <c r="L2315" s="851" t="s">
        <v>3725</v>
      </c>
      <c r="M2315" s="851" t="s">
        <v>3726</v>
      </c>
      <c r="N2315" s="851" t="s">
        <v>516</v>
      </c>
      <c r="X2315" s="768" t="b">
        <f t="shared" si="324"/>
        <v>1</v>
      </c>
    </row>
    <row r="2316" outlineLevel="2" spans="2:24">
      <c r="B2316" s="692" t="s">
        <v>3755</v>
      </c>
      <c r="C2316" s="693" t="str">
        <f t="shared" si="323"/>
        <v>深圳新阳蓝光能源管理科技股份有限公司</v>
      </c>
      <c r="D2316" s="1509" t="s">
        <v>3690</v>
      </c>
      <c r="E2316" s="1511"/>
      <c r="F2316" s="1511"/>
      <c r="G2316" s="1511"/>
      <c r="H2316" s="1511"/>
      <c r="I2316" s="1511"/>
      <c r="J2316" s="1511"/>
      <c r="K2316" s="1511"/>
      <c r="L2316" s="6"/>
      <c r="M2316" s="6"/>
      <c r="N2316" s="815"/>
      <c r="X2316" s="768" t="b">
        <f t="shared" si="324"/>
        <v>1</v>
      </c>
    </row>
    <row r="2317" outlineLevel="2" spans="2:24">
      <c r="B2317" s="692" t="s">
        <v>3755</v>
      </c>
      <c r="C2317" s="693" t="str">
        <f t="shared" si="323"/>
        <v>深圳新阳蓝光能源管理科技股份有限公司</v>
      </c>
      <c r="D2317" s="1509" t="s">
        <v>3690</v>
      </c>
      <c r="E2317" s="1511"/>
      <c r="F2317" s="1511"/>
      <c r="G2317" s="1511"/>
      <c r="H2317" s="1511"/>
      <c r="I2317" s="1511"/>
      <c r="J2317" s="1511"/>
      <c r="K2317" s="1511"/>
      <c r="L2317" s="6"/>
      <c r="M2317" s="6"/>
      <c r="N2317" s="815"/>
      <c r="X2317" s="768" t="b">
        <f t="shared" si="324"/>
        <v>1</v>
      </c>
    </row>
    <row r="2318" outlineLevel="2" spans="2:24">
      <c r="B2318" s="692" t="s">
        <v>3755</v>
      </c>
      <c r="C2318" s="693" t="str">
        <f t="shared" si="323"/>
        <v>深圳新阳蓝光能源管理科技股份有限公司</v>
      </c>
      <c r="D2318" s="1509" t="s">
        <v>3690</v>
      </c>
      <c r="E2318" s="1511"/>
      <c r="F2318" s="1511"/>
      <c r="G2318" s="1511"/>
      <c r="H2318" s="1511"/>
      <c r="I2318" s="1511"/>
      <c r="J2318" s="1511"/>
      <c r="K2318" s="1511"/>
      <c r="L2318" s="6"/>
      <c r="M2318" s="6"/>
      <c r="N2318" s="815"/>
      <c r="X2318" s="768" t="b">
        <f t="shared" si="324"/>
        <v>1</v>
      </c>
    </row>
    <row r="2319" outlineLevel="2" spans="2:24">
      <c r="B2319" s="692" t="s">
        <v>3755</v>
      </c>
      <c r="C2319" s="693" t="str">
        <f t="shared" si="323"/>
        <v>深圳新阳蓝光能源管理科技股份有限公司</v>
      </c>
      <c r="D2319" s="1509" t="s">
        <v>3690</v>
      </c>
      <c r="E2319" s="1511"/>
      <c r="F2319" s="1511"/>
      <c r="G2319" s="1511"/>
      <c r="H2319" s="1511"/>
      <c r="I2319" s="1511"/>
      <c r="J2319" s="1511"/>
      <c r="K2319" s="1511"/>
      <c r="L2319" s="6"/>
      <c r="M2319" s="6"/>
      <c r="N2319" s="815"/>
      <c r="X2319" s="768" t="b">
        <f t="shared" si="324"/>
        <v>1</v>
      </c>
    </row>
    <row r="2320" outlineLevel="2" spans="2:24">
      <c r="B2320" s="692" t="s">
        <v>3755</v>
      </c>
      <c r="C2320" s="693" t="str">
        <f t="shared" si="323"/>
        <v>深圳新阳蓝光能源管理科技股份有限公司</v>
      </c>
      <c r="D2320" s="1509" t="s">
        <v>3690</v>
      </c>
      <c r="E2320" s="1511"/>
      <c r="F2320" s="1511"/>
      <c r="G2320" s="1511"/>
      <c r="H2320" s="1511"/>
      <c r="I2320" s="1511"/>
      <c r="J2320" s="1511"/>
      <c r="K2320" s="1511"/>
      <c r="L2320" s="6"/>
      <c r="M2320" s="6"/>
      <c r="N2320" s="815"/>
      <c r="X2320" s="768" t="b">
        <f t="shared" si="324"/>
        <v>1</v>
      </c>
    </row>
    <row r="2321" outlineLevel="2" spans="2:24">
      <c r="B2321" s="692" t="s">
        <v>3755</v>
      </c>
      <c r="C2321" s="693" t="str">
        <f t="shared" si="323"/>
        <v>深圳新阳蓝光能源管理科技股份有限公司</v>
      </c>
      <c r="D2321" s="1509" t="s">
        <v>3690</v>
      </c>
      <c r="E2321" s="1512"/>
      <c r="F2321" s="1513"/>
      <c r="G2321" s="1514"/>
      <c r="H2321" s="1515"/>
      <c r="I2321" s="1515"/>
      <c r="J2321" s="1515"/>
      <c r="K2321" s="1515"/>
      <c r="L2321" s="6"/>
      <c r="M2321" s="6"/>
      <c r="N2321" s="815"/>
      <c r="X2321" s="768" t="b">
        <f t="shared" si="324"/>
        <v>1</v>
      </c>
    </row>
    <row r="2322" outlineLevel="2" spans="2:24">
      <c r="B2322" s="692" t="s">
        <v>3755</v>
      </c>
      <c r="C2322" s="693" t="str">
        <f t="shared" si="323"/>
        <v>深圳新阳蓝光能源管理科技股份有限公司</v>
      </c>
      <c r="D2322" s="1509" t="s">
        <v>3690</v>
      </c>
      <c r="E2322" s="1512"/>
      <c r="F2322" s="1513"/>
      <c r="G2322" s="1514"/>
      <c r="H2322" s="1515"/>
      <c r="I2322" s="1515"/>
      <c r="J2322" s="1515"/>
      <c r="K2322" s="1515"/>
      <c r="L2322" s="6"/>
      <c r="M2322" s="6"/>
      <c r="N2322" s="815"/>
      <c r="X2322" s="768" t="b">
        <f t="shared" si="324"/>
        <v>1</v>
      </c>
    </row>
    <row r="2323" outlineLevel="2" spans="2:24">
      <c r="B2323" s="692" t="s">
        <v>3755</v>
      </c>
      <c r="C2323" s="693" t="str">
        <f t="shared" si="323"/>
        <v>深圳新阳蓝光能源管理科技股份有限公司</v>
      </c>
      <c r="D2323" s="1509" t="s">
        <v>3690</v>
      </c>
      <c r="E2323" s="1512"/>
      <c r="F2323" s="1513"/>
      <c r="G2323" s="1514"/>
      <c r="H2323" s="1515"/>
      <c r="I2323" s="1515"/>
      <c r="J2323" s="1515"/>
      <c r="K2323" s="1515"/>
      <c r="L2323" s="6"/>
      <c r="M2323" s="6"/>
      <c r="N2323" s="815"/>
      <c r="X2323" s="768" t="b">
        <f t="shared" si="324"/>
        <v>1</v>
      </c>
    </row>
    <row r="2324" outlineLevel="2" spans="2:24">
      <c r="B2324" s="692" t="s">
        <v>3755</v>
      </c>
      <c r="C2324" s="693" t="str">
        <f t="shared" si="323"/>
        <v>深圳新阳蓝光能源管理科技股份有限公司</v>
      </c>
      <c r="D2324" s="1509" t="s">
        <v>3690</v>
      </c>
      <c r="E2324" s="1512"/>
      <c r="F2324" s="1513"/>
      <c r="G2324" s="1514"/>
      <c r="H2324" s="1515"/>
      <c r="I2324" s="1515"/>
      <c r="J2324" s="1515"/>
      <c r="K2324" s="1515"/>
      <c r="L2324" s="6"/>
      <c r="M2324" s="6"/>
      <c r="N2324" s="815"/>
      <c r="X2324" s="768" t="b">
        <f t="shared" si="324"/>
        <v>1</v>
      </c>
    </row>
    <row r="2325" outlineLevel="2" spans="1:24">
      <c r="A2325" s="1493" t="s">
        <v>2021</v>
      </c>
      <c r="B2325" s="692" t="s">
        <v>3755</v>
      </c>
      <c r="C2325" s="693" t="str">
        <f t="shared" si="323"/>
        <v>深圳新阳蓝光能源管理科技股份有限公司</v>
      </c>
      <c r="D2325" s="1509" t="s">
        <v>3690</v>
      </c>
      <c r="E2325" s="1516" t="s">
        <v>2021</v>
      </c>
      <c r="F2325" s="1517">
        <f t="shared" ref="F2325" si="325">SUM(F2316:F2324)</f>
        <v>0</v>
      </c>
      <c r="G2325" s="1518"/>
      <c r="H2325" s="1519"/>
      <c r="I2325" s="1519"/>
      <c r="J2325" s="1517">
        <f t="shared" ref="J2325:K2325" si="326">SUM(J2316:J2324)</f>
        <v>0</v>
      </c>
      <c r="K2325" s="1517">
        <f t="shared" si="326"/>
        <v>0</v>
      </c>
      <c r="L2325" s="1517">
        <f t="shared" ref="L2325:N2325" si="327">SUM(L2316:L2324)</f>
        <v>0</v>
      </c>
      <c r="M2325" s="1517">
        <f t="shared" si="327"/>
        <v>0</v>
      </c>
      <c r="N2325" s="1517">
        <f t="shared" si="327"/>
        <v>0</v>
      </c>
      <c r="X2325" s="768" t="b">
        <f t="shared" si="324"/>
        <v>1</v>
      </c>
    </row>
    <row r="2326" outlineLevel="2" spans="1:24">
      <c r="A2326" s="1493" t="s">
        <v>1723</v>
      </c>
      <c r="B2326" s="692" t="s">
        <v>3755</v>
      </c>
      <c r="C2326" s="693" t="str">
        <f t="shared" si="323"/>
        <v>深圳新阳蓝光能源管理科技股份有限公司</v>
      </c>
      <c r="D2326" s="1494" t="s">
        <v>3690</v>
      </c>
      <c r="E2326" s="1361" t="s">
        <v>1723</v>
      </c>
      <c r="F2326" s="1500"/>
      <c r="G2326" s="715"/>
      <c r="H2326" s="715"/>
      <c r="J2326" s="1532">
        <f>审定资负表!H24</f>
        <v>0</v>
      </c>
      <c r="N2326" s="1532">
        <f>审定资负表!G24</f>
        <v>0</v>
      </c>
      <c r="X2326" s="768" t="b">
        <f t="shared" si="324"/>
        <v>1</v>
      </c>
    </row>
    <row r="2327" outlineLevel="1" spans="1:24">
      <c r="A2327" s="1493" t="s">
        <v>1395</v>
      </c>
      <c r="B2327" s="692" t="s">
        <v>3755</v>
      </c>
      <c r="C2327" s="693" t="str">
        <f t="shared" si="323"/>
        <v>深圳新阳蓝光能源管理科技股份有限公司</v>
      </c>
      <c r="D2327" s="1494" t="s">
        <v>3690</v>
      </c>
      <c r="E2327" s="1361" t="s">
        <v>1395</v>
      </c>
      <c r="F2327" s="1500"/>
      <c r="G2327" s="715"/>
      <c r="H2327" s="715"/>
      <c r="J2327" s="92">
        <f>ROUND(J2325-J2326,2)</f>
        <v>0</v>
      </c>
      <c r="N2327" s="92">
        <f>ROUND(N2325-N2326,2)</f>
        <v>0</v>
      </c>
      <c r="X2327" s="768" t="b">
        <f t="shared" si="324"/>
        <v>1</v>
      </c>
    </row>
    <row r="2328" outlineLevel="2" spans="1:24">
      <c r="A2328" s="1493" t="s">
        <v>3757</v>
      </c>
      <c r="B2328" s="692" t="s">
        <v>3755</v>
      </c>
      <c r="C2328" s="693" t="str">
        <f t="shared" si="323"/>
        <v>深圳新阳蓝光能源管理科技股份有限公司</v>
      </c>
      <c r="D2328" s="1494" t="s">
        <v>3757</v>
      </c>
      <c r="E2328" s="153" t="s">
        <v>3758</v>
      </c>
      <c r="F2328" s="1500"/>
      <c r="G2328" s="715"/>
      <c r="H2328" s="715"/>
      <c r="X2328" s="768" t="b">
        <f t="shared" si="324"/>
        <v>1</v>
      </c>
    </row>
    <row r="2329" outlineLevel="2" spans="1:24">
      <c r="A2329" s="1493" t="s">
        <v>2809</v>
      </c>
      <c r="B2329" s="692" t="s">
        <v>3755</v>
      </c>
      <c r="C2329" s="693" t="str">
        <f t="shared" si="323"/>
        <v>深圳新阳蓝光能源管理科技股份有限公司</v>
      </c>
      <c r="D2329" s="1494" t="s">
        <v>3757</v>
      </c>
      <c r="E2329" s="153" t="s">
        <v>2829</v>
      </c>
      <c r="F2329" s="1507"/>
      <c r="G2329" s="736"/>
      <c r="H2329" s="736"/>
      <c r="X2329" s="768" t="b">
        <f t="shared" si="324"/>
        <v>1</v>
      </c>
    </row>
    <row r="2330" outlineLevel="2" spans="2:24">
      <c r="B2330" s="692" t="s">
        <v>3755</v>
      </c>
      <c r="C2330" s="693" t="str">
        <f t="shared" si="323"/>
        <v>深圳新阳蓝光能源管理科技股份有限公司</v>
      </c>
      <c r="D2330" s="1494"/>
      <c r="E2330" s="153"/>
      <c r="F2330" s="1500"/>
      <c r="G2330" s="715"/>
      <c r="H2330" s="715"/>
      <c r="X2330" s="768" t="b">
        <f t="shared" si="324"/>
        <v>1</v>
      </c>
    </row>
    <row r="2331" outlineLevel="2" spans="1:24">
      <c r="A2331" s="1493" t="s">
        <v>2809</v>
      </c>
      <c r="B2331" s="692" t="s">
        <v>3755</v>
      </c>
      <c r="C2331" s="693" t="str">
        <f t="shared" si="323"/>
        <v>深圳新阳蓝光能源管理科技股份有限公司</v>
      </c>
      <c r="D2331" s="1494"/>
      <c r="E2331" s="153" t="s">
        <v>2829</v>
      </c>
      <c r="F2331" s="1507"/>
      <c r="G2331" s="736"/>
      <c r="H2331" s="736"/>
      <c r="X2331" s="768" t="b">
        <f t="shared" si="324"/>
        <v>1</v>
      </c>
    </row>
    <row r="2332" outlineLevel="2" spans="2:24">
      <c r="B2332" s="692" t="s">
        <v>3755</v>
      </c>
      <c r="C2332" s="693" t="str">
        <f t="shared" si="323"/>
        <v>深圳新阳蓝光能源管理科技股份有限公司</v>
      </c>
      <c r="D2332" s="1494"/>
      <c r="E2332" s="1508"/>
      <c r="F2332" s="1500"/>
      <c r="G2332" s="715"/>
      <c r="H2332" s="715"/>
      <c r="X2332" s="768" t="b">
        <f t="shared" si="324"/>
        <v>1</v>
      </c>
    </row>
    <row r="2333" spans="1:24">
      <c r="A2333" s="1493" t="s">
        <v>3759</v>
      </c>
      <c r="B2333" s="692" t="s">
        <v>3760</v>
      </c>
      <c r="C2333" s="693" t="str">
        <f t="shared" si="323"/>
        <v>深圳新阳蓝光能源管理科技股份有限公司</v>
      </c>
      <c r="D2333" s="1494" t="s">
        <v>3690</v>
      </c>
      <c r="E2333" s="70" t="s">
        <v>3761</v>
      </c>
      <c r="F2333" s="1449" t="s">
        <v>3163</v>
      </c>
      <c r="G2333" s="715"/>
      <c r="H2333" s="715"/>
      <c r="X2333" s="768" t="b">
        <f t="shared" si="324"/>
        <v>1</v>
      </c>
    </row>
    <row r="2334" outlineLevel="2" spans="1:24">
      <c r="A2334" s="1493" t="s">
        <v>3690</v>
      </c>
      <c r="B2334" s="692" t="s">
        <v>3760</v>
      </c>
      <c r="C2334" s="693" t="str">
        <f t="shared" si="323"/>
        <v>深圳新阳蓝光能源管理科技股份有限公司</v>
      </c>
      <c r="D2334" s="1520" t="s">
        <v>3690</v>
      </c>
      <c r="E2334" s="1521" t="s">
        <v>3691</v>
      </c>
      <c r="F2334" s="1521"/>
      <c r="G2334" s="1521"/>
      <c r="H2334" s="1521"/>
      <c r="X2334" s="768" t="b">
        <f t="shared" si="324"/>
        <v>1</v>
      </c>
    </row>
    <row r="2335" outlineLevel="2" spans="1:24">
      <c r="A2335" s="1493" t="s">
        <v>1149</v>
      </c>
      <c r="B2335" s="692" t="s">
        <v>3760</v>
      </c>
      <c r="C2335" s="693" t="str">
        <f t="shared" si="323"/>
        <v>深圳新阳蓝光能源管理科技股份有限公司</v>
      </c>
      <c r="D2335" s="1520" t="s">
        <v>3690</v>
      </c>
      <c r="E2335" s="1522" t="s">
        <v>1149</v>
      </c>
      <c r="F2335" s="1522" t="s">
        <v>1150</v>
      </c>
      <c r="G2335" s="1522" t="s">
        <v>316</v>
      </c>
      <c r="H2335" s="1522" t="s">
        <v>2020</v>
      </c>
      <c r="X2335" s="768" t="b">
        <f t="shared" si="324"/>
        <v>1</v>
      </c>
    </row>
    <row r="2336" outlineLevel="2" spans="2:24">
      <c r="B2336" s="692" t="s">
        <v>3760</v>
      </c>
      <c r="C2336" s="693" t="str">
        <f t="shared" si="323"/>
        <v>深圳新阳蓝光能源管理科技股份有限公司</v>
      </c>
      <c r="D2336" s="1520" t="s">
        <v>3690</v>
      </c>
      <c r="E2336" s="1523" t="s">
        <v>3762</v>
      </c>
      <c r="F2336" s="1524"/>
      <c r="G2336" s="1525">
        <v>13500000</v>
      </c>
      <c r="H2336" s="1021">
        <v>21193151.76</v>
      </c>
      <c r="X2336" s="768" t="b">
        <f t="shared" si="324"/>
        <v>0</v>
      </c>
    </row>
    <row r="2337" outlineLevel="2" spans="2:24">
      <c r="B2337" s="692" t="s">
        <v>3760</v>
      </c>
      <c r="C2337" s="693" t="str">
        <f t="shared" si="323"/>
        <v>深圳新阳蓝光能源管理科技股份有限公司</v>
      </c>
      <c r="D2337" s="1520" t="s">
        <v>3690</v>
      </c>
      <c r="E2337" s="1523" t="s">
        <v>3763</v>
      </c>
      <c r="F2337" s="1524"/>
      <c r="G2337" s="1525">
        <v>-1124601.27</v>
      </c>
      <c r="H2337" s="1021">
        <v>-2260556.96</v>
      </c>
      <c r="X2337" s="768" t="b">
        <f t="shared" si="324"/>
        <v>0</v>
      </c>
    </row>
    <row r="2338" outlineLevel="2" spans="2:24">
      <c r="B2338" s="692" t="s">
        <v>3760</v>
      </c>
      <c r="C2338" s="693" t="str">
        <f t="shared" ref="C2338:C2401" si="328">$G$1</f>
        <v>深圳新阳蓝光能源管理科技股份有限公司</v>
      </c>
      <c r="D2338" s="1520" t="s">
        <v>3690</v>
      </c>
      <c r="E2338" s="1523"/>
      <c r="F2338" s="1524"/>
      <c r="G2338" s="1525"/>
      <c r="H2338" s="1524"/>
      <c r="X2338" s="768" t="b">
        <f t="shared" ref="X2338:X2401" si="329">EXACT(A2338,E2338)</f>
        <v>1</v>
      </c>
    </row>
    <row r="2339" outlineLevel="2" spans="2:24">
      <c r="B2339" s="692" t="s">
        <v>3760</v>
      </c>
      <c r="C2339" s="693" t="str">
        <f t="shared" si="328"/>
        <v>深圳新阳蓝光能源管理科技股份有限公司</v>
      </c>
      <c r="D2339" s="1520" t="s">
        <v>3690</v>
      </c>
      <c r="E2339" s="1524"/>
      <c r="F2339" s="1524"/>
      <c r="G2339" s="1525"/>
      <c r="H2339" s="1524"/>
      <c r="X2339" s="768" t="b">
        <f t="shared" si="329"/>
        <v>1</v>
      </c>
    </row>
    <row r="2340" outlineLevel="2" spans="2:24">
      <c r="B2340" s="692" t="s">
        <v>3760</v>
      </c>
      <c r="C2340" s="693" t="str">
        <f t="shared" si="328"/>
        <v>深圳新阳蓝光能源管理科技股份有限公司</v>
      </c>
      <c r="D2340" s="1520" t="s">
        <v>3690</v>
      </c>
      <c r="E2340" s="1524"/>
      <c r="F2340" s="1526"/>
      <c r="G2340" s="1278"/>
      <c r="H2340" s="1278"/>
      <c r="X2340" s="768" t="b">
        <f t="shared" si="329"/>
        <v>1</v>
      </c>
    </row>
    <row r="2341" outlineLevel="2" spans="2:24">
      <c r="B2341" s="692" t="s">
        <v>3760</v>
      </c>
      <c r="C2341" s="693" t="str">
        <f t="shared" si="328"/>
        <v>深圳新阳蓝光能源管理科技股份有限公司</v>
      </c>
      <c r="D2341" s="1520" t="s">
        <v>3690</v>
      </c>
      <c r="E2341" s="1524"/>
      <c r="F2341" s="1526"/>
      <c r="G2341" s="1278"/>
      <c r="H2341" s="1278"/>
      <c r="X2341" s="768" t="b">
        <f t="shared" si="329"/>
        <v>1</v>
      </c>
    </row>
    <row r="2342" outlineLevel="2" spans="1:24">
      <c r="A2342" s="1493" t="s">
        <v>2021</v>
      </c>
      <c r="B2342" s="692" t="s">
        <v>3760</v>
      </c>
      <c r="C2342" s="693" t="str">
        <f t="shared" si="328"/>
        <v>深圳新阳蓝光能源管理科技股份有限公司</v>
      </c>
      <c r="D2342" s="1520" t="s">
        <v>3690</v>
      </c>
      <c r="E2342" s="1522" t="s">
        <v>2021</v>
      </c>
      <c r="F2342" s="1527"/>
      <c r="G2342" s="1528">
        <f>SUM(G2336:G2341)</f>
        <v>12375398.73</v>
      </c>
      <c r="H2342" s="1528">
        <f>SUM(H2336:H2341)</f>
        <v>18932594.8</v>
      </c>
      <c r="X2342" s="768" t="b">
        <f t="shared" si="329"/>
        <v>1</v>
      </c>
    </row>
    <row r="2343" outlineLevel="2" spans="1:24">
      <c r="A2343" s="1493" t="s">
        <v>1723</v>
      </c>
      <c r="B2343" s="692" t="s">
        <v>3760</v>
      </c>
      <c r="C2343" s="693" t="str">
        <f t="shared" si="328"/>
        <v>深圳新阳蓝光能源管理科技股份有限公司</v>
      </c>
      <c r="D2343" s="1494" t="s">
        <v>3690</v>
      </c>
      <c r="E2343" s="1361" t="s">
        <v>1723</v>
      </c>
      <c r="F2343" s="1500"/>
      <c r="G2343" s="835">
        <f>审定资负表!G25</f>
        <v>12375398.73</v>
      </c>
      <c r="H2343" s="835">
        <f>审定资负表!H25</f>
        <v>18932594.8</v>
      </c>
      <c r="X2343" s="768" t="b">
        <f t="shared" si="329"/>
        <v>1</v>
      </c>
    </row>
    <row r="2344" outlineLevel="1" spans="1:24">
      <c r="A2344" s="1493" t="s">
        <v>1395</v>
      </c>
      <c r="B2344" s="692" t="s">
        <v>3760</v>
      </c>
      <c r="C2344" s="693" t="str">
        <f t="shared" si="328"/>
        <v>深圳新阳蓝光能源管理科技股份有限公司</v>
      </c>
      <c r="D2344" s="1494" t="s">
        <v>3690</v>
      </c>
      <c r="E2344" s="1361" t="s">
        <v>1395</v>
      </c>
      <c r="F2344" s="1500"/>
      <c r="G2344" s="92">
        <f>ROUND(G2342-G2343,2)</f>
        <v>0</v>
      </c>
      <c r="H2344" s="92">
        <f>ROUND(H2342-H2343,2)</f>
        <v>0</v>
      </c>
      <c r="X2344" s="768" t="b">
        <f t="shared" si="329"/>
        <v>1</v>
      </c>
    </row>
    <row r="2345" outlineLevel="2" spans="1:24">
      <c r="A2345" s="1493" t="s">
        <v>3764</v>
      </c>
      <c r="B2345" s="692" t="s">
        <v>3760</v>
      </c>
      <c r="C2345" s="693" t="str">
        <f t="shared" si="328"/>
        <v>深圳新阳蓝光能源管理科技股份有限公司</v>
      </c>
      <c r="D2345" s="1494" t="s">
        <v>3764</v>
      </c>
      <c r="E2345" s="897" t="s">
        <v>3764</v>
      </c>
      <c r="F2345" s="1500"/>
      <c r="G2345" s="715"/>
      <c r="H2345" s="715"/>
      <c r="X2345" s="768" t="b">
        <f t="shared" si="329"/>
        <v>1</v>
      </c>
    </row>
    <row r="2346" outlineLevel="2" spans="1:24">
      <c r="A2346" s="1493" t="s">
        <v>3046</v>
      </c>
      <c r="B2346" s="692" t="s">
        <v>3760</v>
      </c>
      <c r="C2346" s="693" t="str">
        <f t="shared" si="328"/>
        <v>深圳新阳蓝光能源管理科技股份有限公司</v>
      </c>
      <c r="D2346" s="1494" t="s">
        <v>3764</v>
      </c>
      <c r="E2346" s="851" t="s">
        <v>3046</v>
      </c>
      <c r="F2346" s="851" t="s">
        <v>1150</v>
      </c>
      <c r="G2346" s="851" t="s">
        <v>670</v>
      </c>
      <c r="H2346" s="851" t="s">
        <v>3707</v>
      </c>
      <c r="I2346" s="851" t="s">
        <v>3733</v>
      </c>
      <c r="J2346" s="851" t="s">
        <v>516</v>
      </c>
      <c r="K2346" s="851" t="s">
        <v>3734</v>
      </c>
      <c r="X2346" s="768" t="b">
        <f t="shared" si="329"/>
        <v>1</v>
      </c>
    </row>
    <row r="2347" outlineLevel="2" spans="2:24">
      <c r="B2347" s="692" t="s">
        <v>3760</v>
      </c>
      <c r="C2347" s="693" t="str">
        <f t="shared" si="328"/>
        <v>深圳新阳蓝光能源管理科技股份有限公司</v>
      </c>
      <c r="D2347" s="1494" t="s">
        <v>3764</v>
      </c>
      <c r="E2347" s="1044"/>
      <c r="F2347" s="1506"/>
      <c r="G2347" s="721"/>
      <c r="H2347" s="721"/>
      <c r="I2347" s="6"/>
      <c r="J2347" s="6"/>
      <c r="K2347" s="6"/>
      <c r="X2347" s="768" t="b">
        <f t="shared" si="329"/>
        <v>1</v>
      </c>
    </row>
    <row r="2348" outlineLevel="2" spans="2:24">
      <c r="B2348" s="692" t="s">
        <v>3760</v>
      </c>
      <c r="C2348" s="693" t="str">
        <f t="shared" si="328"/>
        <v>深圳新阳蓝光能源管理科技股份有限公司</v>
      </c>
      <c r="D2348" s="1494" t="s">
        <v>3764</v>
      </c>
      <c r="E2348" s="1044"/>
      <c r="F2348" s="1506"/>
      <c r="G2348" s="721"/>
      <c r="H2348" s="721"/>
      <c r="I2348" s="6"/>
      <c r="J2348" s="6"/>
      <c r="K2348" s="6"/>
      <c r="X2348" s="768" t="b">
        <f t="shared" si="329"/>
        <v>1</v>
      </c>
    </row>
    <row r="2349" outlineLevel="2" spans="2:24">
      <c r="B2349" s="692" t="s">
        <v>3760</v>
      </c>
      <c r="C2349" s="693" t="str">
        <f t="shared" si="328"/>
        <v>深圳新阳蓝光能源管理科技股份有限公司</v>
      </c>
      <c r="D2349" s="1494" t="s">
        <v>3764</v>
      </c>
      <c r="E2349" s="1044"/>
      <c r="F2349" s="1506"/>
      <c r="G2349" s="721"/>
      <c r="H2349" s="721"/>
      <c r="I2349" s="6"/>
      <c r="J2349" s="6"/>
      <c r="K2349" s="6"/>
      <c r="X2349" s="768" t="b">
        <f t="shared" si="329"/>
        <v>1</v>
      </c>
    </row>
    <row r="2350" outlineLevel="2" spans="2:24">
      <c r="B2350" s="692" t="s">
        <v>3760</v>
      </c>
      <c r="C2350" s="693" t="str">
        <f t="shared" si="328"/>
        <v>深圳新阳蓝光能源管理科技股份有限公司</v>
      </c>
      <c r="D2350" s="1494" t="s">
        <v>3764</v>
      </c>
      <c r="E2350" s="1044"/>
      <c r="F2350" s="1506"/>
      <c r="G2350" s="721"/>
      <c r="H2350" s="721"/>
      <c r="I2350" s="6"/>
      <c r="J2350" s="6"/>
      <c r="K2350" s="6"/>
      <c r="X2350" s="768" t="b">
        <f t="shared" si="329"/>
        <v>1</v>
      </c>
    </row>
    <row r="2351" outlineLevel="2" spans="2:24">
      <c r="B2351" s="692" t="s">
        <v>3760</v>
      </c>
      <c r="C2351" s="693" t="str">
        <f t="shared" si="328"/>
        <v>深圳新阳蓝光能源管理科技股份有限公司</v>
      </c>
      <c r="D2351" s="1494" t="s">
        <v>3764</v>
      </c>
      <c r="E2351" s="1044"/>
      <c r="F2351" s="1506"/>
      <c r="G2351" s="721"/>
      <c r="H2351" s="721"/>
      <c r="I2351" s="6"/>
      <c r="J2351" s="6"/>
      <c r="K2351" s="6"/>
      <c r="X2351" s="768" t="b">
        <f t="shared" si="329"/>
        <v>1</v>
      </c>
    </row>
    <row r="2352" outlineLevel="2" spans="1:24">
      <c r="A2352" s="1493" t="s">
        <v>2021</v>
      </c>
      <c r="B2352" s="692" t="s">
        <v>3760</v>
      </c>
      <c r="C2352" s="693" t="str">
        <f t="shared" si="328"/>
        <v>深圳新阳蓝光能源管理科技股份有限公司</v>
      </c>
      <c r="D2352" s="1494" t="s">
        <v>3764</v>
      </c>
      <c r="E2352" s="1479" t="s">
        <v>2021</v>
      </c>
      <c r="F2352" s="1529"/>
      <c r="G2352" s="834">
        <f>SUM(G2347:G2351)</f>
        <v>0</v>
      </c>
      <c r="H2352" s="833"/>
      <c r="I2352" s="1531"/>
      <c r="J2352" s="834">
        <f>SUM(J2347:J2351)</f>
        <v>0</v>
      </c>
      <c r="K2352" s="1531"/>
      <c r="X2352" s="768" t="b">
        <f t="shared" si="329"/>
        <v>1</v>
      </c>
    </row>
    <row r="2353" outlineLevel="2" spans="2:24">
      <c r="B2353" s="692" t="s">
        <v>3760</v>
      </c>
      <c r="C2353" s="693" t="str">
        <f t="shared" si="328"/>
        <v>深圳新阳蓝光能源管理科技股份有限公司</v>
      </c>
      <c r="D2353" s="1494" t="s">
        <v>3764</v>
      </c>
      <c r="E2353" s="1037"/>
      <c r="F2353" s="1500"/>
      <c r="G2353" s="715"/>
      <c r="H2353" s="715"/>
      <c r="X2353" s="768" t="b">
        <f t="shared" si="329"/>
        <v>1</v>
      </c>
    </row>
    <row r="2354" outlineLevel="2" spans="1:24">
      <c r="A2354" s="1493" t="s">
        <v>3765</v>
      </c>
      <c r="B2354" s="692" t="s">
        <v>3760</v>
      </c>
      <c r="C2354" s="693" t="str">
        <f t="shared" si="328"/>
        <v>深圳新阳蓝光能源管理科技股份有限公司</v>
      </c>
      <c r="D2354" s="1494" t="s">
        <v>3765</v>
      </c>
      <c r="E2354" s="897" t="s">
        <v>3765</v>
      </c>
      <c r="F2354" s="1500"/>
      <c r="G2354" s="715"/>
      <c r="H2354" s="715"/>
      <c r="X2354" s="768" t="b">
        <f t="shared" si="329"/>
        <v>1</v>
      </c>
    </row>
    <row r="2355" outlineLevel="2" spans="1:24">
      <c r="A2355" s="1493" t="s">
        <v>3046</v>
      </c>
      <c r="B2355" s="692" t="s">
        <v>3760</v>
      </c>
      <c r="C2355" s="693" t="str">
        <f t="shared" si="328"/>
        <v>深圳新阳蓝光能源管理科技股份有限公司</v>
      </c>
      <c r="D2355" s="1494" t="s">
        <v>3765</v>
      </c>
      <c r="E2355" s="132" t="s">
        <v>3046</v>
      </c>
      <c r="F2355" s="132" t="s">
        <v>2902</v>
      </c>
      <c r="G2355" s="132"/>
      <c r="H2355" s="132" t="s">
        <v>3316</v>
      </c>
      <c r="I2355" s="132"/>
      <c r="X2355" s="768" t="b">
        <f t="shared" si="329"/>
        <v>1</v>
      </c>
    </row>
    <row r="2356" outlineLevel="2" spans="2:24">
      <c r="B2356" s="692" t="s">
        <v>3760</v>
      </c>
      <c r="C2356" s="693" t="str">
        <f t="shared" si="328"/>
        <v>深圳新阳蓝光能源管理科技股份有限公司</v>
      </c>
      <c r="D2356" s="1494" t="s">
        <v>3765</v>
      </c>
      <c r="E2356" s="132"/>
      <c r="F2356" s="132" t="s">
        <v>3766</v>
      </c>
      <c r="G2356" s="132" t="s">
        <v>3767</v>
      </c>
      <c r="H2356" s="132" t="s">
        <v>3766</v>
      </c>
      <c r="I2356" s="132" t="s">
        <v>3767</v>
      </c>
      <c r="X2356" s="768" t="b">
        <f t="shared" si="329"/>
        <v>1</v>
      </c>
    </row>
    <row r="2357" outlineLevel="2" spans="2:24">
      <c r="B2357" s="692" t="s">
        <v>3760</v>
      </c>
      <c r="C2357" s="693" t="str">
        <f t="shared" si="328"/>
        <v>深圳新阳蓝光能源管理科技股份有限公司</v>
      </c>
      <c r="D2357" s="1494" t="s">
        <v>3765</v>
      </c>
      <c r="E2357" s="1044"/>
      <c r="F2357" s="1506"/>
      <c r="G2357" s="721"/>
      <c r="H2357" s="721"/>
      <c r="I2357" s="6"/>
      <c r="X2357" s="768" t="b">
        <f t="shared" si="329"/>
        <v>1</v>
      </c>
    </row>
    <row r="2358" outlineLevel="2" spans="2:24">
      <c r="B2358" s="692" t="s">
        <v>3760</v>
      </c>
      <c r="C2358" s="693" t="str">
        <f t="shared" si="328"/>
        <v>深圳新阳蓝光能源管理科技股份有限公司</v>
      </c>
      <c r="D2358" s="1494" t="s">
        <v>3765</v>
      </c>
      <c r="E2358" s="1044"/>
      <c r="F2358" s="1506"/>
      <c r="G2358" s="721"/>
      <c r="H2358" s="721"/>
      <c r="I2358" s="6"/>
      <c r="X2358" s="768" t="b">
        <f t="shared" si="329"/>
        <v>1</v>
      </c>
    </row>
    <row r="2359" outlineLevel="2" spans="2:24">
      <c r="B2359" s="692" t="s">
        <v>3760</v>
      </c>
      <c r="C2359" s="693" t="str">
        <f t="shared" si="328"/>
        <v>深圳新阳蓝光能源管理科技股份有限公司</v>
      </c>
      <c r="D2359" s="1494" t="s">
        <v>3765</v>
      </c>
      <c r="E2359" s="1044"/>
      <c r="F2359" s="1506"/>
      <c r="G2359" s="721"/>
      <c r="H2359" s="721"/>
      <c r="I2359" s="6"/>
      <c r="X2359" s="768" t="b">
        <f t="shared" si="329"/>
        <v>1</v>
      </c>
    </row>
    <row r="2360" outlineLevel="2" spans="2:24">
      <c r="B2360" s="692" t="s">
        <v>3760</v>
      </c>
      <c r="C2360" s="693" t="str">
        <f t="shared" si="328"/>
        <v>深圳新阳蓝光能源管理科技股份有限公司</v>
      </c>
      <c r="D2360" s="1494" t="s">
        <v>3765</v>
      </c>
      <c r="E2360" s="1044"/>
      <c r="F2360" s="1506"/>
      <c r="G2360" s="721"/>
      <c r="H2360" s="721"/>
      <c r="I2360" s="6"/>
      <c r="X2360" s="768" t="b">
        <f t="shared" si="329"/>
        <v>1</v>
      </c>
    </row>
    <row r="2361" outlineLevel="2" spans="2:24">
      <c r="B2361" s="692" t="s">
        <v>3760</v>
      </c>
      <c r="C2361" s="693" t="str">
        <f t="shared" si="328"/>
        <v>深圳新阳蓝光能源管理科技股份有限公司</v>
      </c>
      <c r="D2361" s="1494" t="s">
        <v>3765</v>
      </c>
      <c r="E2361" s="1044"/>
      <c r="F2361" s="1506"/>
      <c r="G2361" s="721"/>
      <c r="H2361" s="721"/>
      <c r="I2361" s="6"/>
      <c r="X2361" s="768" t="b">
        <f t="shared" si="329"/>
        <v>1</v>
      </c>
    </row>
    <row r="2362" outlineLevel="2" spans="2:24">
      <c r="B2362" s="692" t="s">
        <v>3760</v>
      </c>
      <c r="C2362" s="693" t="str">
        <f t="shared" si="328"/>
        <v>深圳新阳蓝光能源管理科技股份有限公司</v>
      </c>
      <c r="D2362" s="1494" t="s">
        <v>3765</v>
      </c>
      <c r="E2362" s="1044"/>
      <c r="F2362" s="1506"/>
      <c r="G2362" s="721"/>
      <c r="H2362" s="721"/>
      <c r="I2362" s="6"/>
      <c r="X2362" s="768" t="b">
        <f t="shared" si="329"/>
        <v>1</v>
      </c>
    </row>
    <row r="2363" outlineLevel="2" spans="1:24">
      <c r="A2363" s="1493" t="s">
        <v>3768</v>
      </c>
      <c r="B2363" s="692" t="s">
        <v>3760</v>
      </c>
      <c r="C2363" s="693" t="str">
        <f t="shared" si="328"/>
        <v>深圳新阳蓝光能源管理科技股份有限公司</v>
      </c>
      <c r="D2363" s="1494" t="s">
        <v>3765</v>
      </c>
      <c r="E2363" s="1106" t="s">
        <v>3769</v>
      </c>
      <c r="F2363" s="1500"/>
      <c r="G2363" s="715"/>
      <c r="H2363" s="715"/>
      <c r="I2363" s="1533"/>
      <c r="X2363" s="768" t="b">
        <f t="shared" si="329"/>
        <v>1</v>
      </c>
    </row>
    <row r="2364" outlineLevel="2" spans="1:24">
      <c r="A2364" s="1493" t="s">
        <v>2809</v>
      </c>
      <c r="B2364" s="692" t="s">
        <v>3760</v>
      </c>
      <c r="C2364" s="693" t="str">
        <f t="shared" si="328"/>
        <v>深圳新阳蓝光能源管理科技股份有限公司</v>
      </c>
      <c r="D2364" s="1494" t="s">
        <v>3765</v>
      </c>
      <c r="E2364" s="932" t="s">
        <v>2829</v>
      </c>
      <c r="F2364" s="1507"/>
      <c r="G2364" s="736"/>
      <c r="H2364" s="736"/>
      <c r="I2364" s="1534"/>
      <c r="X2364" s="768" t="b">
        <f t="shared" si="329"/>
        <v>1</v>
      </c>
    </row>
    <row r="2365" outlineLevel="2" spans="2:24">
      <c r="B2365" s="692" t="s">
        <v>3760</v>
      </c>
      <c r="C2365" s="693" t="str">
        <f t="shared" si="328"/>
        <v>深圳新阳蓝光能源管理科技股份有限公司</v>
      </c>
      <c r="D2365" s="1494"/>
      <c r="E2365" s="153"/>
      <c r="F2365" s="1500"/>
      <c r="G2365" s="715"/>
      <c r="H2365" s="715"/>
      <c r="X2365" s="768" t="b">
        <f t="shared" si="329"/>
        <v>1</v>
      </c>
    </row>
    <row r="2366" outlineLevel="2" spans="1:24">
      <c r="A2366" s="1493" t="s">
        <v>2809</v>
      </c>
      <c r="B2366" s="692" t="s">
        <v>3760</v>
      </c>
      <c r="C2366" s="693" t="str">
        <f t="shared" si="328"/>
        <v>深圳新阳蓝光能源管理科技股份有限公司</v>
      </c>
      <c r="D2366" s="1494"/>
      <c r="E2366" s="1530" t="s">
        <v>2829</v>
      </c>
      <c r="F2366" s="1507"/>
      <c r="G2366" s="736"/>
      <c r="H2366" s="736"/>
      <c r="I2366" s="1535"/>
      <c r="X2366" s="768" t="b">
        <f t="shared" si="329"/>
        <v>1</v>
      </c>
    </row>
    <row r="2367" outlineLevel="2" spans="2:24">
      <c r="B2367" s="692" t="s">
        <v>3760</v>
      </c>
      <c r="C2367" s="693" t="str">
        <f t="shared" si="328"/>
        <v>深圳新阳蓝光能源管理科技股份有限公司</v>
      </c>
      <c r="D2367" s="1494"/>
      <c r="E2367" s="1508"/>
      <c r="F2367" s="1500"/>
      <c r="G2367" s="715"/>
      <c r="H2367" s="715"/>
      <c r="X2367" s="768" t="b">
        <f t="shared" si="329"/>
        <v>1</v>
      </c>
    </row>
    <row r="2368" spans="1:24">
      <c r="A2368" s="1493" t="s">
        <v>3770</v>
      </c>
      <c r="B2368" s="692" t="s">
        <v>3771</v>
      </c>
      <c r="C2368" s="693" t="str">
        <f t="shared" si="328"/>
        <v>深圳新阳蓝光能源管理科技股份有限公司</v>
      </c>
      <c r="D2368" s="1494" t="s">
        <v>3690</v>
      </c>
      <c r="E2368" s="70" t="s">
        <v>3772</v>
      </c>
      <c r="F2368" s="1449" t="s">
        <v>3163</v>
      </c>
      <c r="G2368" s="715"/>
      <c r="H2368" s="715"/>
      <c r="X2368" s="768" t="b">
        <f t="shared" si="329"/>
        <v>1</v>
      </c>
    </row>
    <row r="2369" outlineLevel="2" spans="1:24">
      <c r="A2369" s="1493" t="s">
        <v>3690</v>
      </c>
      <c r="B2369" s="692" t="s">
        <v>3771</v>
      </c>
      <c r="C2369" s="693" t="str">
        <f t="shared" si="328"/>
        <v>深圳新阳蓝光能源管理科技股份有限公司</v>
      </c>
      <c r="D2369" s="1536" t="s">
        <v>3690</v>
      </c>
      <c r="E2369" s="1537" t="s">
        <v>3690</v>
      </c>
      <c r="F2369" s="1537"/>
      <c r="G2369" s="1537"/>
      <c r="H2369" s="1537"/>
      <c r="I2369" s="1537"/>
      <c r="X2369" s="768" t="b">
        <f t="shared" si="329"/>
        <v>1</v>
      </c>
    </row>
    <row r="2370" outlineLevel="2" spans="1:24">
      <c r="A2370" s="1493" t="s">
        <v>1149</v>
      </c>
      <c r="B2370" s="692" t="s">
        <v>3771</v>
      </c>
      <c r="C2370" s="693" t="str">
        <f t="shared" si="328"/>
        <v>深圳新阳蓝光能源管理科技股份有限公司</v>
      </c>
      <c r="D2370" s="1536" t="s">
        <v>3690</v>
      </c>
      <c r="E2370" s="1538" t="s">
        <v>1149</v>
      </c>
      <c r="F2370" s="1538" t="s">
        <v>2020</v>
      </c>
      <c r="G2370" s="1538" t="s">
        <v>672</v>
      </c>
      <c r="H2370" s="1538" t="s">
        <v>673</v>
      </c>
      <c r="I2370" s="1538" t="s">
        <v>316</v>
      </c>
      <c r="J2370" s="1538" t="s">
        <v>354</v>
      </c>
      <c r="X2370" s="768" t="b">
        <f t="shared" si="329"/>
        <v>1</v>
      </c>
    </row>
    <row r="2371" outlineLevel="2" spans="2:24">
      <c r="B2371" s="692" t="s">
        <v>3771</v>
      </c>
      <c r="C2371" s="693" t="str">
        <f t="shared" si="328"/>
        <v>深圳新阳蓝光能源管理科技股份有限公司</v>
      </c>
      <c r="D2371" s="1536" t="s">
        <v>3690</v>
      </c>
      <c r="E2371" s="1539"/>
      <c r="F2371" s="1021"/>
      <c r="G2371" s="1021"/>
      <c r="H2371" s="1021"/>
      <c r="I2371" s="1281">
        <f>F2371+G2371-H2371</f>
        <v>0</v>
      </c>
      <c r="J2371" s="1539"/>
      <c r="X2371" s="768" t="b">
        <f t="shared" si="329"/>
        <v>1</v>
      </c>
    </row>
    <row r="2372" outlineLevel="2" spans="2:24">
      <c r="B2372" s="692" t="s">
        <v>3771</v>
      </c>
      <c r="C2372" s="693" t="str">
        <f t="shared" si="328"/>
        <v>深圳新阳蓝光能源管理科技股份有限公司</v>
      </c>
      <c r="D2372" s="1536" t="s">
        <v>3690</v>
      </c>
      <c r="E2372" s="1539"/>
      <c r="F2372" s="1021"/>
      <c r="G2372" s="1021"/>
      <c r="H2372" s="1021"/>
      <c r="I2372" s="1281">
        <f t="shared" ref="I2372:I2376" si="330">F2372+G2372-H2372</f>
        <v>0</v>
      </c>
      <c r="J2372" s="1539"/>
      <c r="X2372" s="768" t="b">
        <f t="shared" si="329"/>
        <v>1</v>
      </c>
    </row>
    <row r="2373" outlineLevel="2" spans="2:24">
      <c r="B2373" s="692" t="s">
        <v>3771</v>
      </c>
      <c r="C2373" s="693" t="str">
        <f t="shared" si="328"/>
        <v>深圳新阳蓝光能源管理科技股份有限公司</v>
      </c>
      <c r="D2373" s="1536" t="s">
        <v>3690</v>
      </c>
      <c r="E2373" s="1539"/>
      <c r="F2373" s="1021"/>
      <c r="G2373" s="1021"/>
      <c r="H2373" s="1021"/>
      <c r="I2373" s="1281">
        <f t="shared" si="330"/>
        <v>0</v>
      </c>
      <c r="J2373" s="1539"/>
      <c r="X2373" s="768" t="b">
        <f t="shared" si="329"/>
        <v>1</v>
      </c>
    </row>
    <row r="2374" outlineLevel="2" spans="2:24">
      <c r="B2374" s="692" t="s">
        <v>3771</v>
      </c>
      <c r="C2374" s="693" t="str">
        <f t="shared" si="328"/>
        <v>深圳新阳蓝光能源管理科技股份有限公司</v>
      </c>
      <c r="D2374" s="1536" t="s">
        <v>3690</v>
      </c>
      <c r="E2374" s="1539"/>
      <c r="F2374" s="1021"/>
      <c r="G2374" s="1021"/>
      <c r="H2374" s="1021"/>
      <c r="I2374" s="1281">
        <f t="shared" si="330"/>
        <v>0</v>
      </c>
      <c r="J2374" s="1539"/>
      <c r="X2374" s="768" t="b">
        <f t="shared" si="329"/>
        <v>1</v>
      </c>
    </row>
    <row r="2375" outlineLevel="2" spans="2:24">
      <c r="B2375" s="692" t="s">
        <v>3771</v>
      </c>
      <c r="C2375" s="693" t="str">
        <f t="shared" si="328"/>
        <v>深圳新阳蓝光能源管理科技股份有限公司</v>
      </c>
      <c r="D2375" s="1536" t="s">
        <v>3690</v>
      </c>
      <c r="E2375" s="1540"/>
      <c r="F2375" s="136"/>
      <c r="G2375" s="136"/>
      <c r="H2375" s="136"/>
      <c r="I2375" s="1281">
        <f t="shared" si="330"/>
        <v>0</v>
      </c>
      <c r="J2375" s="1539"/>
      <c r="X2375" s="768" t="b">
        <f t="shared" si="329"/>
        <v>1</v>
      </c>
    </row>
    <row r="2376" outlineLevel="2" spans="2:24">
      <c r="B2376" s="692" t="s">
        <v>3771</v>
      </c>
      <c r="C2376" s="693" t="str">
        <f t="shared" si="328"/>
        <v>深圳新阳蓝光能源管理科技股份有限公司</v>
      </c>
      <c r="D2376" s="1536" t="s">
        <v>3690</v>
      </c>
      <c r="E2376" s="1540"/>
      <c r="F2376" s="136"/>
      <c r="G2376" s="136"/>
      <c r="H2376" s="136"/>
      <c r="I2376" s="1281">
        <f t="shared" si="330"/>
        <v>0</v>
      </c>
      <c r="J2376" s="1539"/>
      <c r="X2376" s="768" t="b">
        <f t="shared" si="329"/>
        <v>1</v>
      </c>
    </row>
    <row r="2377" outlineLevel="2" spans="1:24">
      <c r="A2377" s="1493" t="s">
        <v>2021</v>
      </c>
      <c r="B2377" s="692" t="s">
        <v>3771</v>
      </c>
      <c r="C2377" s="693" t="str">
        <f t="shared" si="328"/>
        <v>深圳新阳蓝光能源管理科技股份有限公司</v>
      </c>
      <c r="D2377" s="1536" t="s">
        <v>3690</v>
      </c>
      <c r="E2377" s="1538" t="s">
        <v>2021</v>
      </c>
      <c r="F2377" s="1281">
        <f>SUM(F2371:F2376)</f>
        <v>0</v>
      </c>
      <c r="G2377" s="1281">
        <f t="shared" ref="G2377:I2377" si="331">SUM(G2371:G2376)</f>
        <v>0</v>
      </c>
      <c r="H2377" s="1281">
        <f t="shared" si="331"/>
        <v>0</v>
      </c>
      <c r="I2377" s="1281">
        <f t="shared" si="331"/>
        <v>0</v>
      </c>
      <c r="J2377" s="1552"/>
      <c r="X2377" s="768" t="b">
        <f t="shared" si="329"/>
        <v>1</v>
      </c>
    </row>
    <row r="2378" outlineLevel="2" spans="1:24">
      <c r="A2378" s="1493" t="s">
        <v>1723</v>
      </c>
      <c r="B2378" s="692" t="s">
        <v>3771</v>
      </c>
      <c r="C2378" s="693" t="str">
        <f t="shared" si="328"/>
        <v>深圳新阳蓝光能源管理科技股份有限公司</v>
      </c>
      <c r="D2378" s="1536" t="s">
        <v>3690</v>
      </c>
      <c r="E2378" s="1316" t="s">
        <v>1723</v>
      </c>
      <c r="F2378" s="1541">
        <f>审定资负表!H26</f>
        <v>0</v>
      </c>
      <c r="G2378" s="1537"/>
      <c r="H2378" s="1537"/>
      <c r="I2378" s="1541">
        <f>审定资负表!G26</f>
        <v>0</v>
      </c>
      <c r="X2378" s="768" t="b">
        <f t="shared" si="329"/>
        <v>1</v>
      </c>
    </row>
    <row r="2379" outlineLevel="1" spans="1:24">
      <c r="A2379" s="1493" t="s">
        <v>1395</v>
      </c>
      <c r="B2379" s="692" t="s">
        <v>3771</v>
      </c>
      <c r="C2379" s="693" t="str">
        <f t="shared" si="328"/>
        <v>深圳新阳蓝光能源管理科技股份有限公司</v>
      </c>
      <c r="D2379" s="1536" t="s">
        <v>3690</v>
      </c>
      <c r="E2379" s="1316" t="s">
        <v>1395</v>
      </c>
      <c r="F2379" s="92">
        <f>ROUND(F2377-F2378,2)</f>
        <v>0</v>
      </c>
      <c r="G2379" s="1537"/>
      <c r="H2379" s="1537"/>
      <c r="I2379" s="92">
        <f>ROUND(I2377-I2378,2)</f>
        <v>0</v>
      </c>
      <c r="X2379" s="768" t="b">
        <f t="shared" si="329"/>
        <v>1</v>
      </c>
    </row>
    <row r="2380" outlineLevel="2" spans="2:24">
      <c r="B2380" s="692" t="s">
        <v>3771</v>
      </c>
      <c r="C2380" s="693" t="str">
        <f t="shared" si="328"/>
        <v>深圳新阳蓝光能源管理科技股份有限公司</v>
      </c>
      <c r="D2380" s="1494" t="s">
        <v>3690</v>
      </c>
      <c r="E2380" s="1530"/>
      <c r="F2380" s="1500"/>
      <c r="G2380" s="715"/>
      <c r="H2380" s="715"/>
      <c r="X2380" s="768" t="b">
        <f t="shared" si="329"/>
        <v>1</v>
      </c>
    </row>
    <row r="2381" outlineLevel="2" spans="2:24">
      <c r="B2381" s="692" t="s">
        <v>3771</v>
      </c>
      <c r="C2381" s="693" t="str">
        <f t="shared" si="328"/>
        <v>深圳新阳蓝光能源管理科技股份有限公司</v>
      </c>
      <c r="D2381" s="1494"/>
      <c r="E2381" s="153"/>
      <c r="F2381" s="1500"/>
      <c r="G2381" s="715"/>
      <c r="H2381" s="715"/>
      <c r="X2381" s="768" t="b">
        <f t="shared" si="329"/>
        <v>1</v>
      </c>
    </row>
    <row r="2382" outlineLevel="2" spans="1:24">
      <c r="A2382" s="1493" t="s">
        <v>2809</v>
      </c>
      <c r="B2382" s="692" t="s">
        <v>3771</v>
      </c>
      <c r="C2382" s="693" t="str">
        <f t="shared" si="328"/>
        <v>深圳新阳蓝光能源管理科技股份有限公司</v>
      </c>
      <c r="D2382" s="1494"/>
      <c r="E2382" s="1530" t="s">
        <v>2829</v>
      </c>
      <c r="F2382" s="1507"/>
      <c r="G2382" s="736"/>
      <c r="H2382" s="736"/>
      <c r="I2382" s="1535"/>
      <c r="X2382" s="768" t="b">
        <f t="shared" si="329"/>
        <v>1</v>
      </c>
    </row>
    <row r="2383" outlineLevel="2" spans="1:24">
      <c r="A2383" s="1493" t="s">
        <v>3773</v>
      </c>
      <c r="B2383" s="692" t="s">
        <v>3771</v>
      </c>
      <c r="C2383" s="693" t="str">
        <f t="shared" si="328"/>
        <v>深圳新阳蓝光能源管理科技股份有限公司</v>
      </c>
      <c r="D2383" s="1494" t="s">
        <v>3773</v>
      </c>
      <c r="E2383" s="1530" t="s">
        <v>3774</v>
      </c>
      <c r="F2383" s="1500"/>
      <c r="G2383" s="715"/>
      <c r="H2383" s="715"/>
      <c r="X2383" s="768" t="b">
        <f t="shared" si="329"/>
        <v>1</v>
      </c>
    </row>
    <row r="2384" outlineLevel="2" spans="1:24">
      <c r="A2384" s="1493" t="s">
        <v>2809</v>
      </c>
      <c r="B2384" s="692" t="s">
        <v>3771</v>
      </c>
      <c r="C2384" s="693" t="str">
        <f t="shared" si="328"/>
        <v>深圳新阳蓝光能源管理科技股份有限公司</v>
      </c>
      <c r="D2384" s="1494" t="s">
        <v>3773</v>
      </c>
      <c r="E2384" s="1530" t="s">
        <v>2829</v>
      </c>
      <c r="F2384" s="1507"/>
      <c r="G2384" s="736"/>
      <c r="H2384" s="736"/>
      <c r="I2384" s="1535"/>
      <c r="X2384" s="768" t="b">
        <f t="shared" si="329"/>
        <v>1</v>
      </c>
    </row>
    <row r="2385" spans="1:24">
      <c r="A2385" s="1493" t="s">
        <v>3775</v>
      </c>
      <c r="B2385" s="1542" t="s">
        <v>3776</v>
      </c>
      <c r="C2385" s="693" t="str">
        <f t="shared" si="328"/>
        <v>深圳新阳蓝光能源管理科技股份有限公司</v>
      </c>
      <c r="D2385" s="1494" t="s">
        <v>3365</v>
      </c>
      <c r="E2385" s="1543" t="s">
        <v>3777</v>
      </c>
      <c r="F2385" s="1449" t="s">
        <v>3163</v>
      </c>
      <c r="G2385" s="715"/>
      <c r="H2385" s="715"/>
      <c r="X2385" s="768" t="b">
        <f t="shared" si="329"/>
        <v>1</v>
      </c>
    </row>
    <row r="2386" outlineLevel="2" spans="1:24">
      <c r="A2386" s="1493" t="s">
        <v>3365</v>
      </c>
      <c r="B2386" s="1542" t="s">
        <v>3776</v>
      </c>
      <c r="C2386" s="693" t="str">
        <f t="shared" si="328"/>
        <v>深圳新阳蓝光能源管理科技股份有限公司</v>
      </c>
      <c r="D2386" s="1494" t="s">
        <v>3365</v>
      </c>
      <c r="E2386" s="1521" t="s">
        <v>3366</v>
      </c>
      <c r="F2386" s="1521"/>
      <c r="G2386" s="1521"/>
      <c r="H2386" s="1544"/>
      <c r="X2386" s="768" t="b">
        <f t="shared" si="329"/>
        <v>1</v>
      </c>
    </row>
    <row r="2387" outlineLevel="2" spans="1:24">
      <c r="A2387" s="1493" t="s">
        <v>1149</v>
      </c>
      <c r="B2387" s="1542" t="s">
        <v>3776</v>
      </c>
      <c r="C2387" s="693" t="str">
        <f t="shared" si="328"/>
        <v>深圳新阳蓝光能源管理科技股份有限公司</v>
      </c>
      <c r="D2387" s="1494" t="s">
        <v>3365</v>
      </c>
      <c r="E2387" s="1522" t="s">
        <v>1149</v>
      </c>
      <c r="F2387" s="1522" t="s">
        <v>316</v>
      </c>
      <c r="G2387" s="1522" t="s">
        <v>2020</v>
      </c>
      <c r="X2387" s="768" t="b">
        <f t="shared" si="329"/>
        <v>1</v>
      </c>
    </row>
    <row r="2388" outlineLevel="2" spans="2:24">
      <c r="B2388" s="1542" t="s">
        <v>3776</v>
      </c>
      <c r="C2388" s="693" t="str">
        <f t="shared" si="328"/>
        <v>深圳新阳蓝光能源管理科技股份有限公司</v>
      </c>
      <c r="D2388" s="1494" t="s">
        <v>3365</v>
      </c>
      <c r="E2388" s="1524"/>
      <c r="F2388" s="1525"/>
      <c r="G2388" s="1021"/>
      <c r="X2388" s="768" t="b">
        <f t="shared" si="329"/>
        <v>1</v>
      </c>
    </row>
    <row r="2389" outlineLevel="2" spans="2:24">
      <c r="B2389" s="1542" t="s">
        <v>3776</v>
      </c>
      <c r="C2389" s="693" t="str">
        <f t="shared" si="328"/>
        <v>深圳新阳蓝光能源管理科技股份有限公司</v>
      </c>
      <c r="D2389" s="1494" t="s">
        <v>3365</v>
      </c>
      <c r="E2389" s="1524"/>
      <c r="F2389" s="1525"/>
      <c r="G2389" s="1021"/>
      <c r="X2389" s="768" t="b">
        <f t="shared" si="329"/>
        <v>1</v>
      </c>
    </row>
    <row r="2390" outlineLevel="2" spans="2:24">
      <c r="B2390" s="1542" t="s">
        <v>3776</v>
      </c>
      <c r="C2390" s="693" t="str">
        <f t="shared" si="328"/>
        <v>深圳新阳蓝光能源管理科技股份有限公司</v>
      </c>
      <c r="D2390" s="1494" t="s">
        <v>3365</v>
      </c>
      <c r="E2390" s="1524"/>
      <c r="F2390" s="1525"/>
      <c r="G2390" s="1021"/>
      <c r="X2390" s="768" t="b">
        <f t="shared" si="329"/>
        <v>1</v>
      </c>
    </row>
    <row r="2391" outlineLevel="2" spans="2:24">
      <c r="B2391" s="1542" t="s">
        <v>3776</v>
      </c>
      <c r="C2391" s="693" t="str">
        <f t="shared" si="328"/>
        <v>深圳新阳蓝光能源管理科技股份有限公司</v>
      </c>
      <c r="D2391" s="1494" t="s">
        <v>3365</v>
      </c>
      <c r="E2391" s="1524"/>
      <c r="F2391" s="1525"/>
      <c r="G2391" s="1021"/>
      <c r="X2391" s="768" t="b">
        <f t="shared" si="329"/>
        <v>1</v>
      </c>
    </row>
    <row r="2392" outlineLevel="2" spans="2:24">
      <c r="B2392" s="1542" t="s">
        <v>3776</v>
      </c>
      <c r="C2392" s="693" t="str">
        <f t="shared" si="328"/>
        <v>深圳新阳蓝光能源管理科技股份有限公司</v>
      </c>
      <c r="D2392" s="1494" t="s">
        <v>3365</v>
      </c>
      <c r="E2392" s="1524"/>
      <c r="F2392" s="1278"/>
      <c r="G2392" s="136"/>
      <c r="X2392" s="768" t="b">
        <f t="shared" si="329"/>
        <v>1</v>
      </c>
    </row>
    <row r="2393" outlineLevel="2" spans="2:24">
      <c r="B2393" s="1542" t="s">
        <v>3776</v>
      </c>
      <c r="C2393" s="693" t="str">
        <f t="shared" si="328"/>
        <v>深圳新阳蓝光能源管理科技股份有限公司</v>
      </c>
      <c r="D2393" s="1494" t="s">
        <v>3365</v>
      </c>
      <c r="E2393" s="1524"/>
      <c r="F2393" s="1278"/>
      <c r="G2393" s="136"/>
      <c r="X2393" s="768" t="b">
        <f t="shared" si="329"/>
        <v>1</v>
      </c>
    </row>
    <row r="2394" outlineLevel="2" spans="1:24">
      <c r="A2394" s="1493" t="s">
        <v>2021</v>
      </c>
      <c r="B2394" s="1542" t="s">
        <v>3776</v>
      </c>
      <c r="C2394" s="693" t="str">
        <f t="shared" si="328"/>
        <v>深圳新阳蓝光能源管理科技股份有限公司</v>
      </c>
      <c r="D2394" s="1494" t="s">
        <v>3365</v>
      </c>
      <c r="E2394" s="1522" t="s">
        <v>2021</v>
      </c>
      <c r="F2394" s="1528">
        <f>SUM(F2388:F2393)</f>
        <v>0</v>
      </c>
      <c r="G2394" s="1528">
        <f>SUM(G2388:G2393)</f>
        <v>0</v>
      </c>
      <c r="H2394" s="1545"/>
      <c r="X2394" s="768" t="b">
        <f t="shared" si="329"/>
        <v>1</v>
      </c>
    </row>
    <row r="2395" outlineLevel="2" spans="1:24">
      <c r="A2395" s="1493" t="s">
        <v>1723</v>
      </c>
      <c r="B2395" s="1542" t="s">
        <v>3776</v>
      </c>
      <c r="C2395" s="693" t="str">
        <f t="shared" si="328"/>
        <v>深圳新阳蓝光能源管理科技股份有限公司</v>
      </c>
      <c r="D2395" s="1494" t="s">
        <v>3365</v>
      </c>
      <c r="E2395" s="1361" t="s">
        <v>1723</v>
      </c>
      <c r="F2395" s="835">
        <f>审定资负表!G29</f>
        <v>0</v>
      </c>
      <c r="G2395" s="835">
        <f>审定资负表!H18</f>
        <v>0</v>
      </c>
      <c r="X2395" s="768" t="b">
        <f t="shared" si="329"/>
        <v>1</v>
      </c>
    </row>
    <row r="2396" outlineLevel="1" collapsed="1" spans="1:24">
      <c r="A2396" s="1493" t="s">
        <v>1395</v>
      </c>
      <c r="B2396" s="1542" t="s">
        <v>3776</v>
      </c>
      <c r="C2396" s="693" t="str">
        <f t="shared" si="328"/>
        <v>深圳新阳蓝光能源管理科技股份有限公司</v>
      </c>
      <c r="D2396" s="1494" t="s">
        <v>3365</v>
      </c>
      <c r="E2396" s="1361" t="s">
        <v>1395</v>
      </c>
      <c r="F2396" s="92">
        <f>ROUND(F2394-F2395,2)</f>
        <v>0</v>
      </c>
      <c r="G2396" s="92">
        <f>ROUND(G2394-G2395,2)</f>
        <v>0</v>
      </c>
      <c r="X2396" s="768" t="b">
        <f t="shared" si="329"/>
        <v>1</v>
      </c>
    </row>
    <row r="2397" hidden="1" outlineLevel="2" spans="2:24">
      <c r="B2397" s="1542" t="s">
        <v>3776</v>
      </c>
      <c r="C2397" s="693" t="str">
        <f t="shared" si="328"/>
        <v>深圳新阳蓝光能源管理科技股份有限公司</v>
      </c>
      <c r="D2397" s="1494" t="s">
        <v>3365</v>
      </c>
      <c r="E2397" s="1508"/>
      <c r="F2397" s="1500"/>
      <c r="G2397" s="715"/>
      <c r="H2397" s="715"/>
      <c r="X2397" s="768" t="b">
        <f t="shared" si="329"/>
        <v>1</v>
      </c>
    </row>
    <row r="2398" hidden="1" outlineLevel="2" spans="2:24">
      <c r="B2398" s="1542" t="s">
        <v>3776</v>
      </c>
      <c r="C2398" s="693" t="str">
        <f t="shared" si="328"/>
        <v>深圳新阳蓝光能源管理科技股份有限公司</v>
      </c>
      <c r="D2398" s="1494"/>
      <c r="E2398" s="153"/>
      <c r="F2398" s="1500"/>
      <c r="G2398" s="715"/>
      <c r="H2398" s="715"/>
      <c r="X2398" s="768" t="b">
        <f t="shared" si="329"/>
        <v>1</v>
      </c>
    </row>
    <row r="2399" hidden="1" outlineLevel="2" spans="1:24">
      <c r="A2399" s="1493" t="s">
        <v>2809</v>
      </c>
      <c r="B2399" s="1542" t="s">
        <v>3776</v>
      </c>
      <c r="C2399" s="693" t="str">
        <f t="shared" si="328"/>
        <v>深圳新阳蓝光能源管理科技股份有限公司</v>
      </c>
      <c r="D2399" s="1494"/>
      <c r="E2399" s="1530" t="s">
        <v>2829</v>
      </c>
      <c r="F2399" s="1507"/>
      <c r="G2399" s="736"/>
      <c r="H2399" s="715"/>
      <c r="X2399" s="768" t="b">
        <f t="shared" si="329"/>
        <v>1</v>
      </c>
    </row>
    <row r="2400" hidden="1" outlineLevel="2" spans="2:24">
      <c r="B2400" s="1542" t="s">
        <v>3776</v>
      </c>
      <c r="C2400" s="693" t="str">
        <f t="shared" si="328"/>
        <v>深圳新阳蓝光能源管理科技股份有限公司</v>
      </c>
      <c r="D2400" s="1494"/>
      <c r="E2400" s="1508"/>
      <c r="F2400" s="1500"/>
      <c r="G2400" s="715"/>
      <c r="H2400" s="715"/>
      <c r="X2400" s="768" t="b">
        <f t="shared" si="329"/>
        <v>1</v>
      </c>
    </row>
    <row r="2401" spans="1:24">
      <c r="A2401" s="1493" t="s">
        <v>3778</v>
      </c>
      <c r="B2401" s="692" t="s">
        <v>3779</v>
      </c>
      <c r="C2401" s="693" t="str">
        <f t="shared" si="328"/>
        <v>深圳新阳蓝光能源管理科技股份有限公司</v>
      </c>
      <c r="D2401" s="1494" t="s">
        <v>3780</v>
      </c>
      <c r="E2401" s="1543" t="s">
        <v>3781</v>
      </c>
      <c r="F2401" s="1449" t="s">
        <v>3163</v>
      </c>
      <c r="G2401" s="715"/>
      <c r="H2401" s="715"/>
      <c r="X2401" s="768" t="b">
        <f t="shared" si="329"/>
        <v>1</v>
      </c>
    </row>
    <row r="2402" outlineLevel="2" spans="1:24">
      <c r="A2402" s="1493" t="s">
        <v>3780</v>
      </c>
      <c r="B2402" s="692" t="s">
        <v>3779</v>
      </c>
      <c r="C2402" s="693" t="str">
        <f t="shared" ref="C2402:C2465" si="332">$G$1</f>
        <v>深圳新阳蓝光能源管理科技股份有限公司</v>
      </c>
      <c r="D2402" s="1494" t="s">
        <v>3780</v>
      </c>
      <c r="E2402" s="1543" t="s">
        <v>3780</v>
      </c>
      <c r="F2402" s="1449"/>
      <c r="G2402" s="715"/>
      <c r="H2402" s="715"/>
      <c r="X2402" s="768" t="b">
        <f t="shared" ref="X2402:X2465" si="333">EXACT(A2402,E2402)</f>
        <v>1</v>
      </c>
    </row>
    <row r="2403" outlineLevel="2" spans="1:24">
      <c r="A2403" s="1493" t="s">
        <v>61</v>
      </c>
      <c r="B2403" s="692" t="s">
        <v>3779</v>
      </c>
      <c r="C2403" s="693" t="str">
        <f t="shared" si="332"/>
        <v>深圳新阳蓝光能源管理科技股份有限公司</v>
      </c>
      <c r="D2403" s="1494" t="s">
        <v>3780</v>
      </c>
      <c r="E2403" s="1297" t="s">
        <v>61</v>
      </c>
      <c r="F2403" s="1297" t="s">
        <v>671</v>
      </c>
      <c r="G2403" s="1297" t="s">
        <v>3782</v>
      </c>
      <c r="H2403" s="1297"/>
      <c r="I2403" s="1297"/>
      <c r="J2403" s="1297"/>
      <c r="K2403" s="1297"/>
      <c r="L2403" s="1297" t="s">
        <v>516</v>
      </c>
      <c r="X2403" s="768" t="b">
        <f t="shared" si="333"/>
        <v>1</v>
      </c>
    </row>
    <row r="2404" outlineLevel="2" spans="2:24">
      <c r="B2404" s="692" t="s">
        <v>3779</v>
      </c>
      <c r="C2404" s="693" t="str">
        <f t="shared" si="332"/>
        <v>深圳新阳蓝光能源管理科技股份有限公司</v>
      </c>
      <c r="D2404" s="1494" t="s">
        <v>3780</v>
      </c>
      <c r="E2404" s="1297"/>
      <c r="F2404" s="1297"/>
      <c r="G2404" s="1297" t="s">
        <v>3783</v>
      </c>
      <c r="H2404" s="1297" t="s">
        <v>3784</v>
      </c>
      <c r="I2404" s="1297" t="s">
        <v>3785</v>
      </c>
      <c r="J2404" s="1297" t="s">
        <v>280</v>
      </c>
      <c r="K2404" s="1297" t="s">
        <v>2021</v>
      </c>
      <c r="L2404" s="1297"/>
      <c r="X2404" s="768" t="b">
        <f t="shared" si="333"/>
        <v>1</v>
      </c>
    </row>
    <row r="2405" outlineLevel="2" spans="1:24">
      <c r="A2405" s="1493" t="s">
        <v>3786</v>
      </c>
      <c r="B2405" s="692" t="s">
        <v>3779</v>
      </c>
      <c r="C2405" s="693" t="str">
        <f t="shared" si="332"/>
        <v>深圳新阳蓝光能源管理科技股份有限公司</v>
      </c>
      <c r="D2405" s="1494" t="s">
        <v>3780</v>
      </c>
      <c r="E2405" s="1546" t="s">
        <v>3786</v>
      </c>
      <c r="F2405" s="1547">
        <f>F2406+F2407+F2408+F2411</f>
        <v>120000000</v>
      </c>
      <c r="G2405" s="1547">
        <f t="shared" ref="G2405:L2405" si="334">G2406+G2407+G2408+G2411</f>
        <v>0</v>
      </c>
      <c r="H2405" s="1547">
        <f t="shared" si="334"/>
        <v>0</v>
      </c>
      <c r="I2405" s="1547">
        <f t="shared" si="334"/>
        <v>0</v>
      </c>
      <c r="J2405" s="1547">
        <f t="shared" si="334"/>
        <v>17800000</v>
      </c>
      <c r="K2405" s="1547">
        <f t="shared" si="334"/>
        <v>17800000</v>
      </c>
      <c r="L2405" s="1547">
        <f t="shared" si="334"/>
        <v>137800000</v>
      </c>
      <c r="X2405" s="768" t="b">
        <f t="shared" si="333"/>
        <v>1</v>
      </c>
    </row>
    <row r="2406" outlineLevel="2" spans="1:24">
      <c r="A2406" s="1493" t="s">
        <v>3787</v>
      </c>
      <c r="B2406" s="692" t="s">
        <v>3779</v>
      </c>
      <c r="C2406" s="693" t="str">
        <f t="shared" si="332"/>
        <v>深圳新阳蓝光能源管理科技股份有限公司</v>
      </c>
      <c r="D2406" s="1494" t="s">
        <v>3780</v>
      </c>
      <c r="E2406" s="1548" t="s">
        <v>3788</v>
      </c>
      <c r="F2406" s="4"/>
      <c r="G2406" s="4"/>
      <c r="H2406" s="4"/>
      <c r="I2406" s="4"/>
      <c r="J2406" s="4"/>
      <c r="K2406" s="1547">
        <f>G2406+H2406+I2406+J2406</f>
        <v>0</v>
      </c>
      <c r="L2406" s="1240">
        <f>F2406+K2406</f>
        <v>0</v>
      </c>
      <c r="X2406" s="768" t="b">
        <f t="shared" si="333"/>
        <v>1</v>
      </c>
    </row>
    <row r="2407" outlineLevel="2" spans="1:24">
      <c r="A2407" s="1493" t="s">
        <v>3789</v>
      </c>
      <c r="B2407" s="692" t="s">
        <v>3779</v>
      </c>
      <c r="C2407" s="693" t="str">
        <f t="shared" si="332"/>
        <v>深圳新阳蓝光能源管理科技股份有限公司</v>
      </c>
      <c r="D2407" s="1494" t="s">
        <v>3780</v>
      </c>
      <c r="E2407" s="1548" t="s">
        <v>3790</v>
      </c>
      <c r="F2407" s="4"/>
      <c r="G2407" s="4"/>
      <c r="H2407" s="4"/>
      <c r="I2407" s="4"/>
      <c r="J2407" s="4"/>
      <c r="K2407" s="1547">
        <f t="shared" ref="K2407:K2418" si="335">G2407+H2407+I2407+J2407</f>
        <v>0</v>
      </c>
      <c r="L2407" s="1240">
        <f t="shared" ref="L2407:L2418" si="336">F2407+K2407</f>
        <v>0</v>
      </c>
      <c r="X2407" s="768" t="b">
        <f t="shared" si="333"/>
        <v>1</v>
      </c>
    </row>
    <row r="2408" outlineLevel="2" spans="1:24">
      <c r="A2408" s="1493" t="s">
        <v>3791</v>
      </c>
      <c r="B2408" s="692" t="s">
        <v>3779</v>
      </c>
      <c r="C2408" s="693" t="str">
        <f t="shared" si="332"/>
        <v>深圳新阳蓝光能源管理科技股份有限公司</v>
      </c>
      <c r="D2408" s="1494" t="s">
        <v>3780</v>
      </c>
      <c r="E2408" s="1548" t="s">
        <v>3792</v>
      </c>
      <c r="F2408" s="1547">
        <f>SUM(F2409:F2410)</f>
        <v>120000000</v>
      </c>
      <c r="G2408" s="1547">
        <f t="shared" ref="G2408:J2408" si="337">SUM(G2409:G2410)</f>
        <v>0</v>
      </c>
      <c r="H2408" s="1547">
        <f t="shared" si="337"/>
        <v>0</v>
      </c>
      <c r="I2408" s="1547">
        <f t="shared" si="337"/>
        <v>0</v>
      </c>
      <c r="J2408" s="1547">
        <f t="shared" si="337"/>
        <v>17800000</v>
      </c>
      <c r="K2408" s="1547">
        <f t="shared" si="335"/>
        <v>17800000</v>
      </c>
      <c r="L2408" s="1240">
        <f t="shared" si="336"/>
        <v>137800000</v>
      </c>
      <c r="X2408" s="768" t="b">
        <f t="shared" si="333"/>
        <v>1</v>
      </c>
    </row>
    <row r="2409" outlineLevel="2" spans="1:24">
      <c r="A2409" s="1493" t="s">
        <v>3793</v>
      </c>
      <c r="B2409" s="692" t="s">
        <v>3779</v>
      </c>
      <c r="C2409" s="693" t="str">
        <f t="shared" si="332"/>
        <v>深圳新阳蓝光能源管理科技股份有限公司</v>
      </c>
      <c r="D2409" s="1494" t="s">
        <v>3780</v>
      </c>
      <c r="E2409" s="934" t="s">
        <v>3793</v>
      </c>
      <c r="F2409" s="4">
        <v>38400000</v>
      </c>
      <c r="G2409" s="4"/>
      <c r="H2409" s="4"/>
      <c r="I2409" s="4"/>
      <c r="J2409" s="4">
        <v>16300000</v>
      </c>
      <c r="K2409" s="1547">
        <f t="shared" si="335"/>
        <v>16300000</v>
      </c>
      <c r="L2409" s="1240">
        <f t="shared" si="336"/>
        <v>54700000</v>
      </c>
      <c r="X2409" s="768" t="b">
        <f t="shared" si="333"/>
        <v>1</v>
      </c>
    </row>
    <row r="2410" outlineLevel="2" spans="1:24">
      <c r="A2410" s="1493" t="s">
        <v>3794</v>
      </c>
      <c r="B2410" s="692" t="s">
        <v>3779</v>
      </c>
      <c r="C2410" s="693" t="str">
        <f t="shared" si="332"/>
        <v>深圳新阳蓝光能源管理科技股份有限公司</v>
      </c>
      <c r="D2410" s="1494" t="s">
        <v>3780</v>
      </c>
      <c r="E2410" s="934" t="s">
        <v>3794</v>
      </c>
      <c r="F2410" s="4">
        <v>81600000</v>
      </c>
      <c r="G2410" s="4"/>
      <c r="H2410" s="4"/>
      <c r="I2410" s="4"/>
      <c r="J2410" s="4">
        <v>1500000</v>
      </c>
      <c r="K2410" s="1547">
        <f t="shared" si="335"/>
        <v>1500000</v>
      </c>
      <c r="L2410" s="1240">
        <f t="shared" si="336"/>
        <v>83100000</v>
      </c>
      <c r="X2410" s="768" t="b">
        <f t="shared" si="333"/>
        <v>1</v>
      </c>
    </row>
    <row r="2411" outlineLevel="2" spans="1:24">
      <c r="A2411" s="1493" t="s">
        <v>3795</v>
      </c>
      <c r="B2411" s="692" t="s">
        <v>3779</v>
      </c>
      <c r="C2411" s="693" t="str">
        <f t="shared" si="332"/>
        <v>深圳新阳蓝光能源管理科技股份有限公司</v>
      </c>
      <c r="D2411" s="1494" t="s">
        <v>3780</v>
      </c>
      <c r="E2411" s="1548" t="s">
        <v>3796</v>
      </c>
      <c r="F2411" s="1240">
        <f>SUM(F2412:F2413)</f>
        <v>0</v>
      </c>
      <c r="G2411" s="1240">
        <f t="shared" ref="G2411:J2411" si="338">SUM(G2412:G2413)</f>
        <v>0</v>
      </c>
      <c r="H2411" s="1240">
        <f t="shared" si="338"/>
        <v>0</v>
      </c>
      <c r="I2411" s="1240">
        <f t="shared" si="338"/>
        <v>0</v>
      </c>
      <c r="J2411" s="1240">
        <f t="shared" si="338"/>
        <v>0</v>
      </c>
      <c r="K2411" s="1547">
        <f t="shared" si="335"/>
        <v>0</v>
      </c>
      <c r="L2411" s="1240">
        <f t="shared" si="336"/>
        <v>0</v>
      </c>
      <c r="X2411" s="768" t="b">
        <f t="shared" si="333"/>
        <v>1</v>
      </c>
    </row>
    <row r="2412" outlineLevel="2" spans="1:24">
      <c r="A2412" s="1493" t="s">
        <v>3797</v>
      </c>
      <c r="B2412" s="692" t="s">
        <v>3779</v>
      </c>
      <c r="C2412" s="693" t="str">
        <f t="shared" si="332"/>
        <v>深圳新阳蓝光能源管理科技股份有限公司</v>
      </c>
      <c r="D2412" s="1494" t="s">
        <v>3780</v>
      </c>
      <c r="E2412" s="934" t="s">
        <v>3797</v>
      </c>
      <c r="F2412" s="4"/>
      <c r="G2412" s="4"/>
      <c r="H2412" s="4"/>
      <c r="I2412" s="4"/>
      <c r="J2412" s="4"/>
      <c r="K2412" s="1547">
        <f t="shared" si="335"/>
        <v>0</v>
      </c>
      <c r="L2412" s="1240">
        <f t="shared" si="336"/>
        <v>0</v>
      </c>
      <c r="X2412" s="768" t="b">
        <f t="shared" si="333"/>
        <v>1</v>
      </c>
    </row>
    <row r="2413" outlineLevel="2" spans="1:24">
      <c r="A2413" s="1493" t="s">
        <v>3798</v>
      </c>
      <c r="B2413" s="692" t="s">
        <v>3779</v>
      </c>
      <c r="C2413" s="693" t="str">
        <f t="shared" si="332"/>
        <v>深圳新阳蓝光能源管理科技股份有限公司</v>
      </c>
      <c r="D2413" s="1494" t="s">
        <v>3780</v>
      </c>
      <c r="E2413" s="934" t="s">
        <v>3798</v>
      </c>
      <c r="F2413" s="4"/>
      <c r="G2413" s="4"/>
      <c r="H2413" s="4"/>
      <c r="I2413" s="4"/>
      <c r="J2413" s="4"/>
      <c r="K2413" s="1547">
        <f t="shared" si="335"/>
        <v>0</v>
      </c>
      <c r="L2413" s="1240">
        <f t="shared" si="336"/>
        <v>0</v>
      </c>
      <c r="X2413" s="768" t="b">
        <f t="shared" si="333"/>
        <v>1</v>
      </c>
    </row>
    <row r="2414" outlineLevel="2" spans="1:24">
      <c r="A2414" s="1493" t="s">
        <v>3799</v>
      </c>
      <c r="B2414" s="692" t="s">
        <v>3779</v>
      </c>
      <c r="C2414" s="693" t="str">
        <f t="shared" si="332"/>
        <v>深圳新阳蓝光能源管理科技股份有限公司</v>
      </c>
      <c r="D2414" s="1494" t="s">
        <v>3780</v>
      </c>
      <c r="E2414" s="1546" t="s">
        <v>3799</v>
      </c>
      <c r="F2414" s="1547">
        <f>F2415+F2416+F2417+F2418</f>
        <v>0</v>
      </c>
      <c r="G2414" s="1547">
        <f t="shared" ref="G2414:L2414" si="339">G2415+G2416+G2417+G2418</f>
        <v>0</v>
      </c>
      <c r="H2414" s="1547">
        <f t="shared" si="339"/>
        <v>0</v>
      </c>
      <c r="I2414" s="1547">
        <f t="shared" si="339"/>
        <v>0</v>
      </c>
      <c r="J2414" s="1547">
        <f t="shared" si="339"/>
        <v>0</v>
      </c>
      <c r="K2414" s="1547">
        <f t="shared" si="339"/>
        <v>0</v>
      </c>
      <c r="L2414" s="1547">
        <f t="shared" si="339"/>
        <v>0</v>
      </c>
      <c r="X2414" s="768" t="b">
        <f t="shared" si="333"/>
        <v>1</v>
      </c>
    </row>
    <row r="2415" outlineLevel="2" spans="1:24">
      <c r="A2415" s="1493" t="s">
        <v>3800</v>
      </c>
      <c r="B2415" s="692" t="s">
        <v>3779</v>
      </c>
      <c r="C2415" s="693" t="str">
        <f t="shared" si="332"/>
        <v>深圳新阳蓝光能源管理科技股份有限公司</v>
      </c>
      <c r="D2415" s="1494" t="s">
        <v>3780</v>
      </c>
      <c r="E2415" s="1548" t="s">
        <v>3801</v>
      </c>
      <c r="F2415" s="4"/>
      <c r="G2415" s="4"/>
      <c r="H2415" s="4"/>
      <c r="I2415" s="4"/>
      <c r="J2415" s="4"/>
      <c r="K2415" s="1547">
        <f t="shared" si="335"/>
        <v>0</v>
      </c>
      <c r="L2415" s="1240">
        <f t="shared" si="336"/>
        <v>0</v>
      </c>
      <c r="X2415" s="768" t="b">
        <f t="shared" si="333"/>
        <v>1</v>
      </c>
    </row>
    <row r="2416" outlineLevel="2" spans="1:24">
      <c r="A2416" s="1493" t="s">
        <v>3802</v>
      </c>
      <c r="B2416" s="692" t="s">
        <v>3779</v>
      </c>
      <c r="C2416" s="693" t="str">
        <f t="shared" si="332"/>
        <v>深圳新阳蓝光能源管理科技股份有限公司</v>
      </c>
      <c r="D2416" s="1494" t="s">
        <v>3780</v>
      </c>
      <c r="E2416" s="1548" t="s">
        <v>3803</v>
      </c>
      <c r="F2416" s="4"/>
      <c r="G2416" s="4"/>
      <c r="H2416" s="4"/>
      <c r="I2416" s="4"/>
      <c r="J2416" s="4"/>
      <c r="K2416" s="1547">
        <f t="shared" si="335"/>
        <v>0</v>
      </c>
      <c r="L2416" s="1240">
        <f t="shared" si="336"/>
        <v>0</v>
      </c>
      <c r="X2416" s="768" t="b">
        <f t="shared" si="333"/>
        <v>1</v>
      </c>
    </row>
    <row r="2417" outlineLevel="2" spans="1:24">
      <c r="A2417" s="1493" t="s">
        <v>3804</v>
      </c>
      <c r="B2417" s="692" t="s">
        <v>3779</v>
      </c>
      <c r="C2417" s="693" t="str">
        <f t="shared" si="332"/>
        <v>深圳新阳蓝光能源管理科技股份有限公司</v>
      </c>
      <c r="D2417" s="1494" t="s">
        <v>3780</v>
      </c>
      <c r="E2417" s="1548" t="s">
        <v>3805</v>
      </c>
      <c r="F2417" s="4"/>
      <c r="G2417" s="4"/>
      <c r="H2417" s="4"/>
      <c r="I2417" s="4"/>
      <c r="J2417" s="4"/>
      <c r="K2417" s="1547">
        <f t="shared" si="335"/>
        <v>0</v>
      </c>
      <c r="L2417" s="1240">
        <f t="shared" si="336"/>
        <v>0</v>
      </c>
      <c r="X2417" s="768" t="b">
        <f t="shared" si="333"/>
        <v>1</v>
      </c>
    </row>
    <row r="2418" outlineLevel="2" spans="1:24">
      <c r="A2418" s="1493" t="s">
        <v>3806</v>
      </c>
      <c r="B2418" s="692" t="s">
        <v>3779</v>
      </c>
      <c r="C2418" s="693" t="str">
        <f t="shared" si="332"/>
        <v>深圳新阳蓝光能源管理科技股份有限公司</v>
      </c>
      <c r="D2418" s="1494" t="s">
        <v>3780</v>
      </c>
      <c r="E2418" s="1548" t="s">
        <v>3807</v>
      </c>
      <c r="F2418" s="4"/>
      <c r="G2418" s="4"/>
      <c r="H2418" s="4"/>
      <c r="I2418" s="4"/>
      <c r="J2418" s="4"/>
      <c r="K2418" s="1547">
        <f t="shared" si="335"/>
        <v>0</v>
      </c>
      <c r="L2418" s="1240">
        <f t="shared" si="336"/>
        <v>0</v>
      </c>
      <c r="X2418" s="768" t="b">
        <f t="shared" si="333"/>
        <v>1</v>
      </c>
    </row>
    <row r="2419" outlineLevel="2" spans="1:24">
      <c r="A2419" s="1493" t="s">
        <v>3808</v>
      </c>
      <c r="B2419" s="692" t="s">
        <v>3779</v>
      </c>
      <c r="C2419" s="693" t="str">
        <f t="shared" si="332"/>
        <v>深圳新阳蓝光能源管理科技股份有限公司</v>
      </c>
      <c r="D2419" s="1494" t="s">
        <v>3780</v>
      </c>
      <c r="E2419" s="1549" t="s">
        <v>3808</v>
      </c>
      <c r="F2419" s="1240">
        <f>F2405+F2414</f>
        <v>120000000</v>
      </c>
      <c r="G2419" s="1240">
        <f t="shared" ref="G2419:L2419" si="340">G2405+G2414</f>
        <v>0</v>
      </c>
      <c r="H2419" s="1240">
        <f t="shared" si="340"/>
        <v>0</v>
      </c>
      <c r="I2419" s="1240">
        <f t="shared" si="340"/>
        <v>0</v>
      </c>
      <c r="J2419" s="1240">
        <f t="shared" si="340"/>
        <v>17800000</v>
      </c>
      <c r="K2419" s="1240">
        <f t="shared" si="340"/>
        <v>17800000</v>
      </c>
      <c r="L2419" s="1240">
        <f t="shared" si="340"/>
        <v>137800000</v>
      </c>
      <c r="X2419" s="768" t="b">
        <f t="shared" si="333"/>
        <v>1</v>
      </c>
    </row>
    <row r="2420" outlineLevel="2" spans="1:24">
      <c r="A2420" s="1493" t="s">
        <v>1723</v>
      </c>
      <c r="B2420" s="692" t="s">
        <v>3779</v>
      </c>
      <c r="C2420" s="693" t="str">
        <f t="shared" si="332"/>
        <v>深圳新阳蓝光能源管理科技股份有限公司</v>
      </c>
      <c r="D2420" s="1494" t="s">
        <v>3780</v>
      </c>
      <c r="E2420" s="1361" t="s">
        <v>1723</v>
      </c>
      <c r="F2420" s="1550">
        <f>审定资负表!H36</f>
        <v>120000000</v>
      </c>
      <c r="G2420" s="715"/>
      <c r="H2420" s="715"/>
      <c r="L2420" s="1532">
        <f>审定资负表!G36</f>
        <v>137800000</v>
      </c>
      <c r="X2420" s="768" t="b">
        <f t="shared" si="333"/>
        <v>1</v>
      </c>
    </row>
    <row r="2421" outlineLevel="1" spans="1:24">
      <c r="A2421" s="1493" t="s">
        <v>1395</v>
      </c>
      <c r="B2421" s="692" t="s">
        <v>3779</v>
      </c>
      <c r="C2421" s="693" t="str">
        <f t="shared" si="332"/>
        <v>深圳新阳蓝光能源管理科技股份有限公司</v>
      </c>
      <c r="D2421" s="1494" t="s">
        <v>3780</v>
      </c>
      <c r="E2421" s="1361" t="s">
        <v>1395</v>
      </c>
      <c r="F2421" s="92">
        <f>ROUND(F2419-F2420,2)</f>
        <v>0</v>
      </c>
      <c r="G2421" s="715"/>
      <c r="H2421" s="715"/>
      <c r="L2421" s="92">
        <f>ROUND(L2419-L2420,2)</f>
        <v>0</v>
      </c>
      <c r="X2421" s="768" t="b">
        <f t="shared" si="333"/>
        <v>1</v>
      </c>
    </row>
    <row r="2422" outlineLevel="2" spans="1:24">
      <c r="A2422" s="1493" t="s">
        <v>3809</v>
      </c>
      <c r="B2422" s="692" t="s">
        <v>3779</v>
      </c>
      <c r="C2422" s="693" t="str">
        <f t="shared" si="332"/>
        <v>深圳新阳蓝光能源管理科技股份有限公司</v>
      </c>
      <c r="D2422" s="1494" t="s">
        <v>3809</v>
      </c>
      <c r="E2422" s="1543" t="s">
        <v>3809</v>
      </c>
      <c r="F2422" s="1551"/>
      <c r="G2422" s="715"/>
      <c r="H2422" s="715"/>
      <c r="L2422" s="1553"/>
      <c r="X2422" s="768" t="b">
        <f t="shared" si="333"/>
        <v>1</v>
      </c>
    </row>
    <row r="2423" outlineLevel="2" spans="1:24">
      <c r="A2423" s="1493" t="s">
        <v>1114</v>
      </c>
      <c r="B2423" s="692" t="s">
        <v>3779</v>
      </c>
      <c r="C2423" s="693" t="str">
        <f t="shared" si="332"/>
        <v>深圳新阳蓝光能源管理科技股份有限公司</v>
      </c>
      <c r="D2423" s="1494" t="s">
        <v>3809</v>
      </c>
      <c r="E2423" s="1" t="s">
        <v>1114</v>
      </c>
      <c r="F2423" s="2" t="s">
        <v>3810</v>
      </c>
      <c r="G2423" s="2" t="s">
        <v>3811</v>
      </c>
      <c r="H2423" s="2" t="s">
        <v>672</v>
      </c>
      <c r="I2423" s="2" t="s">
        <v>673</v>
      </c>
      <c r="J2423" s="2" t="s">
        <v>3812</v>
      </c>
      <c r="K2423" s="2" t="s">
        <v>3813</v>
      </c>
      <c r="X2423" s="768" t="b">
        <f t="shared" si="333"/>
        <v>1</v>
      </c>
    </row>
    <row r="2424" outlineLevel="2" spans="2:24">
      <c r="B2424" s="692" t="s">
        <v>3779</v>
      </c>
      <c r="C2424" s="693" t="str">
        <f t="shared" si="332"/>
        <v>深圳新阳蓝光能源管理科技股份有限公司</v>
      </c>
      <c r="D2424" s="1494" t="s">
        <v>3809</v>
      </c>
      <c r="E2424" s="3" t="s">
        <v>9</v>
      </c>
      <c r="F2424" s="4">
        <v>81600000</v>
      </c>
      <c r="G2424" s="5">
        <f t="shared" ref="G2424:G2434" si="341">IFERROR(ROUND(F2424/$F$2435,4),0)</f>
        <v>0.68</v>
      </c>
      <c r="H2424" s="6">
        <v>0</v>
      </c>
      <c r="I2424" s="6"/>
      <c r="J2424" s="7">
        <f>F2424+H2424-I2424</f>
        <v>81600000</v>
      </c>
      <c r="K2424" s="5">
        <f t="shared" ref="K2424:K2434" si="342">IFERROR(ROUND(J2424/$J$2435,4),0)</f>
        <v>0.5922</v>
      </c>
      <c r="X2424" s="768" t="b">
        <f t="shared" si="333"/>
        <v>0</v>
      </c>
    </row>
    <row r="2425" outlineLevel="2" spans="2:24">
      <c r="B2425" s="692" t="s">
        <v>3779</v>
      </c>
      <c r="C2425" s="693" t="str">
        <f t="shared" si="332"/>
        <v>深圳新阳蓝光能源管理科技股份有限公司</v>
      </c>
      <c r="D2425" s="1494" t="s">
        <v>3809</v>
      </c>
      <c r="E2425" s="3" t="s">
        <v>3814</v>
      </c>
      <c r="F2425" s="8">
        <v>17658000</v>
      </c>
      <c r="G2425" s="5">
        <f t="shared" si="341"/>
        <v>0.1472</v>
      </c>
      <c r="H2425" s="6">
        <v>0</v>
      </c>
      <c r="I2425" s="6"/>
      <c r="J2425" s="7">
        <f t="shared" ref="J2425:J2434" si="343">F2425+H2425-I2425</f>
        <v>17658000</v>
      </c>
      <c r="K2425" s="5">
        <f t="shared" si="342"/>
        <v>0.1281</v>
      </c>
      <c r="X2425" s="768" t="b">
        <f t="shared" si="333"/>
        <v>0</v>
      </c>
    </row>
    <row r="2426" outlineLevel="2" spans="2:24">
      <c r="B2426" s="692" t="s">
        <v>3779</v>
      </c>
      <c r="C2426" s="693" t="str">
        <f t="shared" si="332"/>
        <v>深圳新阳蓝光能源管理科技股份有限公司</v>
      </c>
      <c r="D2426" s="1494" t="s">
        <v>3809</v>
      </c>
      <c r="E2426" s="9" t="s">
        <v>3815</v>
      </c>
      <c r="F2426" s="8">
        <v>8400000</v>
      </c>
      <c r="G2426" s="5">
        <f t="shared" si="341"/>
        <v>0.07</v>
      </c>
      <c r="H2426" s="6">
        <v>0</v>
      </c>
      <c r="I2426" s="6"/>
      <c r="J2426" s="7">
        <f t="shared" si="343"/>
        <v>8400000</v>
      </c>
      <c r="K2426" s="5">
        <f t="shared" si="342"/>
        <v>0.061</v>
      </c>
      <c r="X2426" s="768" t="b">
        <f t="shared" si="333"/>
        <v>0</v>
      </c>
    </row>
    <row r="2427" outlineLevel="2" spans="2:24">
      <c r="B2427" s="692" t="s">
        <v>3779</v>
      </c>
      <c r="C2427" s="693" t="str">
        <f t="shared" si="332"/>
        <v>深圳新阳蓝光能源管理科技股份有限公司</v>
      </c>
      <c r="D2427" s="1494" t="s">
        <v>3809</v>
      </c>
      <c r="E2427" s="3" t="s">
        <v>3816</v>
      </c>
      <c r="F2427" s="8">
        <v>6000000</v>
      </c>
      <c r="G2427" s="5">
        <f t="shared" si="341"/>
        <v>0.05</v>
      </c>
      <c r="H2427" s="6">
        <v>0</v>
      </c>
      <c r="I2427" s="6"/>
      <c r="J2427" s="7">
        <f t="shared" si="343"/>
        <v>6000000</v>
      </c>
      <c r="K2427" s="5">
        <f t="shared" si="342"/>
        <v>0.0435</v>
      </c>
      <c r="X2427" s="768" t="b">
        <f t="shared" si="333"/>
        <v>0</v>
      </c>
    </row>
    <row r="2428" outlineLevel="2" spans="2:24">
      <c r="B2428" s="692" t="s">
        <v>3779</v>
      </c>
      <c r="C2428" s="693" t="str">
        <f t="shared" si="332"/>
        <v>深圳新阳蓝光能源管理科技股份有限公司</v>
      </c>
      <c r="D2428" s="1494" t="s">
        <v>3809</v>
      </c>
      <c r="E2428" s="3" t="s">
        <v>3817</v>
      </c>
      <c r="F2428" s="8">
        <v>6000000</v>
      </c>
      <c r="G2428" s="5">
        <f t="shared" si="341"/>
        <v>0.05</v>
      </c>
      <c r="H2428" s="6">
        <v>0</v>
      </c>
      <c r="I2428" s="6"/>
      <c r="J2428" s="7">
        <f t="shared" si="343"/>
        <v>6000000</v>
      </c>
      <c r="K2428" s="5">
        <f t="shared" si="342"/>
        <v>0.0435</v>
      </c>
      <c r="X2428" s="768" t="b">
        <f t="shared" si="333"/>
        <v>0</v>
      </c>
    </row>
    <row r="2429" outlineLevel="2" spans="2:24">
      <c r="B2429" s="692" t="s">
        <v>3779</v>
      </c>
      <c r="C2429" s="693" t="str">
        <f t="shared" si="332"/>
        <v>深圳新阳蓝光能源管理科技股份有限公司</v>
      </c>
      <c r="D2429" s="1494" t="s">
        <v>3809</v>
      </c>
      <c r="E2429" s="3" t="s">
        <v>3818</v>
      </c>
      <c r="F2429" s="8">
        <v>192000</v>
      </c>
      <c r="G2429" s="5">
        <f t="shared" si="341"/>
        <v>0.0016</v>
      </c>
      <c r="H2429" s="6">
        <v>500000</v>
      </c>
      <c r="I2429" s="6"/>
      <c r="J2429" s="7">
        <f t="shared" si="343"/>
        <v>692000</v>
      </c>
      <c r="K2429" s="5">
        <f t="shared" si="342"/>
        <v>0.005</v>
      </c>
      <c r="X2429" s="768" t="b">
        <f t="shared" si="333"/>
        <v>0</v>
      </c>
    </row>
    <row r="2430" outlineLevel="2" spans="2:24">
      <c r="B2430" s="692" t="s">
        <v>3779</v>
      </c>
      <c r="C2430" s="693" t="str">
        <f t="shared" si="332"/>
        <v>深圳新阳蓝光能源管理科技股份有限公司</v>
      </c>
      <c r="D2430" s="1494" t="s">
        <v>3809</v>
      </c>
      <c r="E2430" s="3" t="s">
        <v>3819</v>
      </c>
      <c r="F2430" s="8">
        <v>150000</v>
      </c>
      <c r="G2430" s="5">
        <f t="shared" si="341"/>
        <v>0.0013</v>
      </c>
      <c r="H2430" s="6">
        <v>0</v>
      </c>
      <c r="I2430" s="6"/>
      <c r="J2430" s="7">
        <f t="shared" si="343"/>
        <v>150000</v>
      </c>
      <c r="K2430" s="5">
        <f t="shared" si="342"/>
        <v>0.0011</v>
      </c>
      <c r="X2430" s="768" t="b">
        <f t="shared" si="333"/>
        <v>0</v>
      </c>
    </row>
    <row r="2431" outlineLevel="2" spans="2:24">
      <c r="B2431" s="692" t="s">
        <v>3779</v>
      </c>
      <c r="C2431" s="693" t="str">
        <f t="shared" si="332"/>
        <v>深圳新阳蓝光能源管理科技股份有限公司</v>
      </c>
      <c r="D2431" s="1494" t="s">
        <v>3809</v>
      </c>
      <c r="E2431" s="3" t="s">
        <v>3820</v>
      </c>
      <c r="F2431" s="8">
        <v>0</v>
      </c>
      <c r="G2431" s="5">
        <f t="shared" si="341"/>
        <v>0</v>
      </c>
      <c r="H2431" s="6">
        <v>17300000</v>
      </c>
      <c r="I2431" s="6"/>
      <c r="J2431" s="7">
        <f t="shared" si="343"/>
        <v>17300000</v>
      </c>
      <c r="K2431" s="5">
        <f t="shared" si="342"/>
        <v>0.1255</v>
      </c>
      <c r="X2431" s="768" t="b">
        <f t="shared" si="333"/>
        <v>0</v>
      </c>
    </row>
    <row r="2432" outlineLevel="2" spans="2:24">
      <c r="B2432" s="692"/>
      <c r="C2432" s="693"/>
      <c r="D2432" s="1494"/>
      <c r="E2432" s="3"/>
      <c r="F2432" s="8">
        <v>0</v>
      </c>
      <c r="G2432" s="5">
        <f t="shared" si="341"/>
        <v>0</v>
      </c>
      <c r="H2432" s="6"/>
      <c r="I2432" s="6"/>
      <c r="J2432" s="7">
        <f t="shared" si="343"/>
        <v>0</v>
      </c>
      <c r="K2432" s="5">
        <f t="shared" si="342"/>
        <v>0</v>
      </c>
      <c r="X2432" s="768"/>
    </row>
    <row r="2433" outlineLevel="2" spans="2:24">
      <c r="B2433" s="692"/>
      <c r="C2433" s="693"/>
      <c r="D2433" s="1494"/>
      <c r="E2433" s="3"/>
      <c r="F2433" s="8">
        <v>0</v>
      </c>
      <c r="G2433" s="5">
        <f t="shared" si="341"/>
        <v>0</v>
      </c>
      <c r="H2433" s="6"/>
      <c r="I2433" s="6"/>
      <c r="J2433" s="7">
        <f t="shared" si="343"/>
        <v>0</v>
      </c>
      <c r="K2433" s="5">
        <f t="shared" si="342"/>
        <v>0</v>
      </c>
      <c r="X2433" s="768"/>
    </row>
    <row r="2434" outlineLevel="2" spans="2:24">
      <c r="B2434" s="692"/>
      <c r="C2434" s="693"/>
      <c r="D2434" s="1494"/>
      <c r="E2434" s="3"/>
      <c r="F2434" s="8">
        <v>0</v>
      </c>
      <c r="G2434" s="5">
        <f t="shared" si="341"/>
        <v>0</v>
      </c>
      <c r="H2434" s="6"/>
      <c r="I2434" s="6"/>
      <c r="J2434" s="7">
        <f t="shared" si="343"/>
        <v>0</v>
      </c>
      <c r="K2434" s="5">
        <f t="shared" si="342"/>
        <v>0</v>
      </c>
      <c r="X2434" s="768"/>
    </row>
    <row r="2435" outlineLevel="2" spans="1:24">
      <c r="A2435" s="1493" t="s">
        <v>2021</v>
      </c>
      <c r="B2435" s="692" t="s">
        <v>3779</v>
      </c>
      <c r="C2435" s="693" t="str">
        <f t="shared" si="332"/>
        <v>深圳新阳蓝光能源管理科技股份有限公司</v>
      </c>
      <c r="D2435" s="1494" t="s">
        <v>3809</v>
      </c>
      <c r="E2435" s="10" t="s">
        <v>2021</v>
      </c>
      <c r="F2435" s="7">
        <f t="shared" ref="F2435:K2435" si="344">SUM(F2424:F2434)</f>
        <v>120000000</v>
      </c>
      <c r="G2435" s="5">
        <f t="shared" si="344"/>
        <v>1.0001</v>
      </c>
      <c r="H2435" s="7">
        <f t="shared" si="344"/>
        <v>17800000</v>
      </c>
      <c r="I2435" s="7">
        <f t="shared" si="344"/>
        <v>0</v>
      </c>
      <c r="J2435" s="7">
        <f t="shared" si="344"/>
        <v>137800000</v>
      </c>
      <c r="K2435" s="5">
        <f t="shared" si="344"/>
        <v>0.9999</v>
      </c>
      <c r="X2435" s="768" t="b">
        <f t="shared" si="333"/>
        <v>1</v>
      </c>
    </row>
    <row r="2436" outlineLevel="2" spans="1:24">
      <c r="A2436" s="1493" t="s">
        <v>3821</v>
      </c>
      <c r="B2436" s="692" t="s">
        <v>3779</v>
      </c>
      <c r="C2436" s="693" t="str">
        <f t="shared" si="332"/>
        <v>深圳新阳蓝光能源管理科技股份有限公司</v>
      </c>
      <c r="D2436" s="1494" t="s">
        <v>3809</v>
      </c>
      <c r="E2436" s="1554" t="s">
        <v>3821</v>
      </c>
      <c r="F2436" s="1007">
        <f>ROUND(F2435-F2420,2)</f>
        <v>0</v>
      </c>
      <c r="J2436" s="1007">
        <f>ROUND(J2435-L2420,2)</f>
        <v>0</v>
      </c>
      <c r="X2436" s="768" t="b">
        <f t="shared" si="333"/>
        <v>1</v>
      </c>
    </row>
    <row r="2437" outlineLevel="2" spans="1:24">
      <c r="A2437" s="1493" t="s">
        <v>3822</v>
      </c>
      <c r="B2437" s="692" t="s">
        <v>3779</v>
      </c>
      <c r="C2437" s="693" t="str">
        <f t="shared" si="332"/>
        <v>深圳新阳蓝光能源管理科技股份有限公司</v>
      </c>
      <c r="D2437" s="1494" t="s">
        <v>3809</v>
      </c>
      <c r="E2437" s="153" t="s">
        <v>3823</v>
      </c>
      <c r="F2437" s="1500"/>
      <c r="G2437" s="715"/>
      <c r="H2437" s="715"/>
      <c r="X2437" s="768" t="b">
        <f t="shared" si="333"/>
        <v>1</v>
      </c>
    </row>
    <row r="2438" outlineLevel="2" spans="1:24">
      <c r="A2438" s="1493" t="s">
        <v>2809</v>
      </c>
      <c r="B2438" s="692" t="s">
        <v>3779</v>
      </c>
      <c r="C2438" s="693" t="str">
        <f t="shared" si="332"/>
        <v>深圳新阳蓝光能源管理科技股份有限公司</v>
      </c>
      <c r="D2438" s="1494" t="s">
        <v>3809</v>
      </c>
      <c r="E2438" s="153" t="s">
        <v>2829</v>
      </c>
      <c r="F2438" s="1507"/>
      <c r="G2438" s="736"/>
      <c r="H2438" s="736"/>
      <c r="X2438" s="768" t="b">
        <f t="shared" si="333"/>
        <v>1</v>
      </c>
    </row>
    <row r="2439" outlineLevel="2" spans="1:24">
      <c r="A2439" s="1493" t="s">
        <v>3824</v>
      </c>
      <c r="B2439" s="692" t="s">
        <v>3779</v>
      </c>
      <c r="C2439" s="693" t="str">
        <f t="shared" si="332"/>
        <v>深圳新阳蓝光能源管理科技股份有限公司</v>
      </c>
      <c r="D2439" s="1494" t="s">
        <v>3809</v>
      </c>
      <c r="E2439" s="153" t="s">
        <v>3825</v>
      </c>
      <c r="F2439" s="1500"/>
      <c r="G2439" s="715"/>
      <c r="H2439" s="715"/>
      <c r="X2439" s="768" t="b">
        <f t="shared" si="333"/>
        <v>1</v>
      </c>
    </row>
    <row r="2440" outlineLevel="2" spans="1:24">
      <c r="A2440" s="1493" t="s">
        <v>2809</v>
      </c>
      <c r="B2440" s="692" t="s">
        <v>3779</v>
      </c>
      <c r="C2440" s="693" t="str">
        <f t="shared" si="332"/>
        <v>深圳新阳蓝光能源管理科技股份有限公司</v>
      </c>
      <c r="D2440" s="1494" t="s">
        <v>3809</v>
      </c>
      <c r="E2440" s="153" t="s">
        <v>2829</v>
      </c>
      <c r="F2440" s="1507"/>
      <c r="G2440" s="736"/>
      <c r="H2440" s="736"/>
      <c r="X2440" s="768" t="b">
        <f t="shared" si="333"/>
        <v>1</v>
      </c>
    </row>
    <row r="2441" outlineLevel="2" spans="1:24">
      <c r="A2441" s="1493" t="s">
        <v>3826</v>
      </c>
      <c r="B2441" s="692" t="s">
        <v>3779</v>
      </c>
      <c r="C2441" s="693" t="str">
        <f t="shared" si="332"/>
        <v>深圳新阳蓝光能源管理科技股份有限公司</v>
      </c>
      <c r="D2441" s="1494" t="s">
        <v>3809</v>
      </c>
      <c r="E2441" s="153" t="s">
        <v>3827</v>
      </c>
      <c r="F2441" s="1500"/>
      <c r="G2441" s="715"/>
      <c r="H2441" s="715"/>
      <c r="X2441" s="768" t="b">
        <f t="shared" si="333"/>
        <v>1</v>
      </c>
    </row>
    <row r="2442" outlineLevel="2" spans="1:24">
      <c r="A2442" s="1493" t="s">
        <v>2809</v>
      </c>
      <c r="B2442" s="692" t="s">
        <v>3779</v>
      </c>
      <c r="C2442" s="693" t="str">
        <f t="shared" si="332"/>
        <v>深圳新阳蓝光能源管理科技股份有限公司</v>
      </c>
      <c r="D2442" s="1494" t="s">
        <v>3809</v>
      </c>
      <c r="E2442" s="153" t="s">
        <v>2829</v>
      </c>
      <c r="F2442" s="1507"/>
      <c r="G2442" s="736"/>
      <c r="H2442" s="736"/>
      <c r="X2442" s="768" t="b">
        <f t="shared" si="333"/>
        <v>1</v>
      </c>
    </row>
    <row r="2443" outlineLevel="2" spans="2:24">
      <c r="B2443" s="692" t="s">
        <v>3779</v>
      </c>
      <c r="C2443" s="693" t="str">
        <f t="shared" si="332"/>
        <v>深圳新阳蓝光能源管理科技股份有限公司</v>
      </c>
      <c r="D2443" s="1494" t="s">
        <v>3809</v>
      </c>
      <c r="E2443" s="1530"/>
      <c r="F2443" s="1500"/>
      <c r="G2443" s="715"/>
      <c r="H2443" s="715"/>
      <c r="X2443" s="768" t="b">
        <f t="shared" si="333"/>
        <v>1</v>
      </c>
    </row>
    <row r="2444" spans="1:24">
      <c r="A2444" s="1493" t="s">
        <v>3828</v>
      </c>
      <c r="B2444" s="692" t="s">
        <v>3779</v>
      </c>
      <c r="C2444" s="693" t="str">
        <f t="shared" si="332"/>
        <v>深圳新阳蓝光能源管理科技股份有限公司</v>
      </c>
      <c r="D2444" s="1494" t="s">
        <v>3829</v>
      </c>
      <c r="E2444" s="1233" t="s">
        <v>3830</v>
      </c>
      <c r="F2444" s="1500"/>
      <c r="G2444" s="715"/>
      <c r="H2444" s="715"/>
      <c r="X2444" s="768" t="b">
        <f t="shared" si="333"/>
        <v>1</v>
      </c>
    </row>
    <row r="2445" outlineLevel="2" spans="1:24">
      <c r="A2445" s="1493" t="s">
        <v>3829</v>
      </c>
      <c r="B2445" s="692" t="s">
        <v>3779</v>
      </c>
      <c r="C2445" s="693" t="str">
        <f t="shared" si="332"/>
        <v>深圳新阳蓝光能源管理科技股份有限公司</v>
      </c>
      <c r="D2445" s="1494" t="s">
        <v>3829</v>
      </c>
      <c r="E2445" s="153" t="s">
        <v>3831</v>
      </c>
      <c r="F2445" s="1500"/>
      <c r="G2445" s="715"/>
      <c r="H2445" s="715"/>
      <c r="X2445" s="768" t="b">
        <f t="shared" si="333"/>
        <v>1</v>
      </c>
    </row>
    <row r="2446" outlineLevel="2" spans="1:24">
      <c r="A2446" s="1493" t="s">
        <v>2809</v>
      </c>
      <c r="B2446" s="692" t="s">
        <v>3779</v>
      </c>
      <c r="C2446" s="693" t="str">
        <f t="shared" si="332"/>
        <v>深圳新阳蓝光能源管理科技股份有限公司</v>
      </c>
      <c r="D2446" s="1494" t="s">
        <v>3829</v>
      </c>
      <c r="E2446" s="153" t="s">
        <v>2829</v>
      </c>
      <c r="F2446" s="1507"/>
      <c r="G2446" s="736"/>
      <c r="H2446" s="736"/>
      <c r="X2446" s="768" t="b">
        <f t="shared" si="333"/>
        <v>1</v>
      </c>
    </row>
    <row r="2447" outlineLevel="2" spans="1:24">
      <c r="A2447" s="1493" t="s">
        <v>3832</v>
      </c>
      <c r="B2447" s="692" t="s">
        <v>3779</v>
      </c>
      <c r="C2447" s="693" t="str">
        <f t="shared" si="332"/>
        <v>深圳新阳蓝光能源管理科技股份有限公司</v>
      </c>
      <c r="D2447" s="1494" t="s">
        <v>3832</v>
      </c>
      <c r="E2447" s="153" t="s">
        <v>3833</v>
      </c>
      <c r="F2447" s="1500"/>
      <c r="G2447" s="715"/>
      <c r="H2447" s="715"/>
      <c r="X2447" s="768" t="b">
        <f t="shared" si="333"/>
        <v>1</v>
      </c>
    </row>
    <row r="2448" outlineLevel="2" spans="1:24">
      <c r="A2448" s="1493" t="s">
        <v>2809</v>
      </c>
      <c r="B2448" s="692" t="s">
        <v>3779</v>
      </c>
      <c r="C2448" s="693" t="str">
        <f t="shared" si="332"/>
        <v>深圳新阳蓝光能源管理科技股份有限公司</v>
      </c>
      <c r="D2448" s="1494" t="s">
        <v>3832</v>
      </c>
      <c r="E2448" s="153" t="s">
        <v>2829</v>
      </c>
      <c r="F2448" s="1507"/>
      <c r="G2448" s="736"/>
      <c r="H2448" s="736"/>
      <c r="X2448" s="768" t="b">
        <f t="shared" si="333"/>
        <v>1</v>
      </c>
    </row>
    <row r="2449" outlineLevel="2" spans="1:24">
      <c r="A2449" s="1493" t="s">
        <v>3834</v>
      </c>
      <c r="B2449" s="692" t="s">
        <v>3779</v>
      </c>
      <c r="C2449" s="693" t="str">
        <f t="shared" si="332"/>
        <v>深圳新阳蓝光能源管理科技股份有限公司</v>
      </c>
      <c r="D2449" s="1494" t="s">
        <v>3834</v>
      </c>
      <c r="E2449" s="153" t="s">
        <v>3835</v>
      </c>
      <c r="F2449" s="1500"/>
      <c r="G2449" s="715"/>
      <c r="H2449" s="715"/>
      <c r="X2449" s="768" t="b">
        <f t="shared" si="333"/>
        <v>1</v>
      </c>
    </row>
    <row r="2450" outlineLevel="2" spans="1:24">
      <c r="A2450" s="1493" t="s">
        <v>2809</v>
      </c>
      <c r="B2450" s="692" t="s">
        <v>3779</v>
      </c>
      <c r="C2450" s="693" t="str">
        <f t="shared" si="332"/>
        <v>深圳新阳蓝光能源管理科技股份有限公司</v>
      </c>
      <c r="D2450" s="1494" t="s">
        <v>3834</v>
      </c>
      <c r="E2450" s="153" t="s">
        <v>2829</v>
      </c>
      <c r="F2450" s="1507"/>
      <c r="G2450" s="736"/>
      <c r="H2450" s="736"/>
      <c r="X2450" s="768" t="b">
        <f t="shared" si="333"/>
        <v>1</v>
      </c>
    </row>
    <row r="2451" outlineLevel="2" spans="1:24">
      <c r="A2451" s="1493" t="s">
        <v>3836</v>
      </c>
      <c r="B2451" s="692" t="s">
        <v>3779</v>
      </c>
      <c r="C2451" s="693" t="str">
        <f t="shared" si="332"/>
        <v>深圳新阳蓝光能源管理科技股份有限公司</v>
      </c>
      <c r="D2451" s="1494" t="s">
        <v>3836</v>
      </c>
      <c r="E2451" s="153" t="s">
        <v>3837</v>
      </c>
      <c r="F2451" s="1500"/>
      <c r="G2451" s="715"/>
      <c r="H2451" s="715"/>
      <c r="X2451" s="768" t="b">
        <f t="shared" si="333"/>
        <v>1</v>
      </c>
    </row>
    <row r="2452" outlineLevel="2" spans="1:24">
      <c r="A2452" s="1493" t="s">
        <v>2809</v>
      </c>
      <c r="B2452" s="692" t="s">
        <v>3779</v>
      </c>
      <c r="C2452" s="693" t="str">
        <f t="shared" si="332"/>
        <v>深圳新阳蓝光能源管理科技股份有限公司</v>
      </c>
      <c r="D2452" s="1494" t="s">
        <v>3836</v>
      </c>
      <c r="E2452" s="153" t="s">
        <v>2829</v>
      </c>
      <c r="F2452" s="1507"/>
      <c r="G2452" s="736"/>
      <c r="H2452" s="736"/>
      <c r="X2452" s="768" t="b">
        <f t="shared" si="333"/>
        <v>1</v>
      </c>
    </row>
    <row r="2453" outlineLevel="2" spans="1:24">
      <c r="A2453" s="1493" t="s">
        <v>3838</v>
      </c>
      <c r="B2453" s="692" t="s">
        <v>3779</v>
      </c>
      <c r="C2453" s="693" t="str">
        <f t="shared" si="332"/>
        <v>深圳新阳蓝光能源管理科技股份有限公司</v>
      </c>
      <c r="D2453" s="1494" t="s">
        <v>3838</v>
      </c>
      <c r="E2453" s="153" t="s">
        <v>3839</v>
      </c>
      <c r="F2453" s="1500"/>
      <c r="G2453" s="715"/>
      <c r="H2453" s="715"/>
      <c r="X2453" s="768" t="b">
        <f t="shared" si="333"/>
        <v>1</v>
      </c>
    </row>
    <row r="2454" outlineLevel="2" spans="1:24">
      <c r="A2454" s="1493" t="s">
        <v>2809</v>
      </c>
      <c r="B2454" s="692" t="s">
        <v>3779</v>
      </c>
      <c r="C2454" s="693" t="str">
        <f t="shared" si="332"/>
        <v>深圳新阳蓝光能源管理科技股份有限公司</v>
      </c>
      <c r="D2454" s="1494" t="s">
        <v>3838</v>
      </c>
      <c r="E2454" s="153" t="s">
        <v>2829</v>
      </c>
      <c r="F2454" s="1507"/>
      <c r="G2454" s="736"/>
      <c r="H2454" s="736"/>
      <c r="X2454" s="768" t="b">
        <f t="shared" si="333"/>
        <v>1</v>
      </c>
    </row>
    <row r="2455" outlineLevel="2" spans="2:24">
      <c r="B2455" s="692" t="s">
        <v>3779</v>
      </c>
      <c r="C2455" s="693" t="str">
        <f t="shared" si="332"/>
        <v>深圳新阳蓝光能源管理科技股份有限公司</v>
      </c>
      <c r="D2455" s="1494" t="s">
        <v>3838</v>
      </c>
      <c r="E2455" s="1530"/>
      <c r="F2455" s="1500"/>
      <c r="G2455" s="715"/>
      <c r="H2455" s="715"/>
      <c r="X2455" s="768" t="b">
        <f t="shared" si="333"/>
        <v>1</v>
      </c>
    </row>
    <row r="2456" collapsed="1" spans="1:24">
      <c r="A2456" s="1493" t="s">
        <v>3840</v>
      </c>
      <c r="B2456" s="692" t="s">
        <v>3779</v>
      </c>
      <c r="C2456" s="693" t="str">
        <f t="shared" si="332"/>
        <v>深圳新阳蓝光能源管理科技股份有限公司</v>
      </c>
      <c r="D2456" s="1494" t="s">
        <v>3840</v>
      </c>
      <c r="E2456" s="1233" t="s">
        <v>3841</v>
      </c>
      <c r="F2456" s="1449" t="s">
        <v>3163</v>
      </c>
      <c r="G2456" s="715"/>
      <c r="H2456" s="715"/>
      <c r="X2456" s="768" t="b">
        <f t="shared" si="333"/>
        <v>1</v>
      </c>
    </row>
    <row r="2457" hidden="1" outlineLevel="2" spans="1:24">
      <c r="A2457" s="1493" t="s">
        <v>61</v>
      </c>
      <c r="B2457" s="692" t="s">
        <v>3779</v>
      </c>
      <c r="C2457" s="693" t="str">
        <f t="shared" si="332"/>
        <v>深圳新阳蓝光能源管理科技股份有限公司</v>
      </c>
      <c r="D2457" s="1494" t="s">
        <v>3840</v>
      </c>
      <c r="E2457" s="851" t="s">
        <v>61</v>
      </c>
      <c r="F2457" s="851" t="s">
        <v>671</v>
      </c>
      <c r="G2457" s="851" t="s">
        <v>672</v>
      </c>
      <c r="H2457" s="851" t="s">
        <v>673</v>
      </c>
      <c r="I2457" s="851" t="s">
        <v>516</v>
      </c>
      <c r="X2457" s="768" t="b">
        <f t="shared" si="333"/>
        <v>1</v>
      </c>
    </row>
    <row r="2458" hidden="1" outlineLevel="2" spans="2:24">
      <c r="B2458" s="692" t="s">
        <v>3779</v>
      </c>
      <c r="C2458" s="693" t="str">
        <f t="shared" si="332"/>
        <v>深圳新阳蓝光能源管理科技股份有限公司</v>
      </c>
      <c r="D2458" s="1494" t="s">
        <v>3840</v>
      </c>
      <c r="E2458" s="1244"/>
      <c r="F2458" s="4"/>
      <c r="G2458" s="4"/>
      <c r="H2458" s="4"/>
      <c r="I2458" s="1240">
        <f>F2458+G2458-H2458</f>
        <v>0</v>
      </c>
      <c r="X2458" s="768" t="b">
        <f t="shared" si="333"/>
        <v>1</v>
      </c>
    </row>
    <row r="2459" hidden="1" outlineLevel="2" spans="2:24">
      <c r="B2459" s="692" t="s">
        <v>3779</v>
      </c>
      <c r="C2459" s="693" t="str">
        <f t="shared" si="332"/>
        <v>深圳新阳蓝光能源管理科技股份有限公司</v>
      </c>
      <c r="D2459" s="1494" t="s">
        <v>3840</v>
      </c>
      <c r="E2459" s="1244"/>
      <c r="F2459" s="4"/>
      <c r="G2459" s="4"/>
      <c r="H2459" s="4"/>
      <c r="I2459" s="1240">
        <f t="shared" ref="I2459:I2464" si="345">F2459+G2459-H2459</f>
        <v>0</v>
      </c>
      <c r="X2459" s="768" t="b">
        <f t="shared" si="333"/>
        <v>1</v>
      </c>
    </row>
    <row r="2460" hidden="1" outlineLevel="2" spans="2:24">
      <c r="B2460" s="692" t="s">
        <v>3779</v>
      </c>
      <c r="C2460" s="693" t="str">
        <f t="shared" si="332"/>
        <v>深圳新阳蓝光能源管理科技股份有限公司</v>
      </c>
      <c r="D2460" s="1494" t="s">
        <v>3840</v>
      </c>
      <c r="E2460" s="1244"/>
      <c r="F2460" s="4"/>
      <c r="G2460" s="4"/>
      <c r="H2460" s="4"/>
      <c r="I2460" s="1240">
        <f t="shared" si="345"/>
        <v>0</v>
      </c>
      <c r="X2460" s="768" t="b">
        <f t="shared" si="333"/>
        <v>1</v>
      </c>
    </row>
    <row r="2461" hidden="1" outlineLevel="2" spans="2:24">
      <c r="B2461" s="692" t="s">
        <v>3779</v>
      </c>
      <c r="C2461" s="693" t="str">
        <f t="shared" si="332"/>
        <v>深圳新阳蓝光能源管理科技股份有限公司</v>
      </c>
      <c r="D2461" s="1494" t="s">
        <v>3840</v>
      </c>
      <c r="E2461" s="1244"/>
      <c r="F2461" s="4"/>
      <c r="G2461" s="4"/>
      <c r="H2461" s="4"/>
      <c r="I2461" s="1240">
        <f t="shared" si="345"/>
        <v>0</v>
      </c>
      <c r="X2461" s="768" t="b">
        <f t="shared" si="333"/>
        <v>1</v>
      </c>
    </row>
    <row r="2462" hidden="1" outlineLevel="2" spans="2:24">
      <c r="B2462" s="692" t="s">
        <v>3779</v>
      </c>
      <c r="C2462" s="693" t="str">
        <f t="shared" si="332"/>
        <v>深圳新阳蓝光能源管理科技股份有限公司</v>
      </c>
      <c r="D2462" s="1494" t="s">
        <v>3840</v>
      </c>
      <c r="E2462" s="1244"/>
      <c r="F2462" s="4"/>
      <c r="G2462" s="4"/>
      <c r="H2462" s="4"/>
      <c r="I2462" s="1240">
        <f t="shared" si="345"/>
        <v>0</v>
      </c>
      <c r="X2462" s="768" t="b">
        <f t="shared" si="333"/>
        <v>1</v>
      </c>
    </row>
    <row r="2463" hidden="1" outlineLevel="2" spans="2:24">
      <c r="B2463" s="692" t="s">
        <v>3779</v>
      </c>
      <c r="C2463" s="693" t="str">
        <f t="shared" si="332"/>
        <v>深圳新阳蓝光能源管理科技股份有限公司</v>
      </c>
      <c r="D2463" s="1494" t="s">
        <v>3840</v>
      </c>
      <c r="E2463" s="1555"/>
      <c r="F2463" s="1129"/>
      <c r="G2463" s="136"/>
      <c r="H2463" s="136"/>
      <c r="I2463" s="1240">
        <f t="shared" si="345"/>
        <v>0</v>
      </c>
      <c r="X2463" s="768" t="b">
        <f t="shared" si="333"/>
        <v>1</v>
      </c>
    </row>
    <row r="2464" hidden="1" outlineLevel="2" spans="2:24">
      <c r="B2464" s="692" t="s">
        <v>3779</v>
      </c>
      <c r="C2464" s="693" t="str">
        <f t="shared" si="332"/>
        <v>深圳新阳蓝光能源管理科技股份有限公司</v>
      </c>
      <c r="D2464" s="1494" t="s">
        <v>3840</v>
      </c>
      <c r="E2464" s="1555"/>
      <c r="F2464" s="1129"/>
      <c r="G2464" s="136"/>
      <c r="H2464" s="136"/>
      <c r="I2464" s="1240">
        <f t="shared" si="345"/>
        <v>0</v>
      </c>
      <c r="X2464" s="768" t="b">
        <f t="shared" si="333"/>
        <v>1</v>
      </c>
    </row>
    <row r="2465" hidden="1" outlineLevel="2" spans="1:24">
      <c r="A2465" s="1493" t="s">
        <v>2021</v>
      </c>
      <c r="B2465" s="692" t="s">
        <v>3779</v>
      </c>
      <c r="C2465" s="693" t="str">
        <f t="shared" si="332"/>
        <v>深圳新阳蓝光能源管理科技股份有限公司</v>
      </c>
      <c r="D2465" s="1494" t="s">
        <v>3840</v>
      </c>
      <c r="E2465" s="1498" t="s">
        <v>2021</v>
      </c>
      <c r="F2465" s="1556">
        <f>SUM(F2458:F2464)</f>
        <v>0</v>
      </c>
      <c r="G2465" s="1556">
        <f t="shared" ref="G2465:I2465" si="346">SUM(G2458:G2464)</f>
        <v>0</v>
      </c>
      <c r="H2465" s="1556">
        <f t="shared" si="346"/>
        <v>0</v>
      </c>
      <c r="I2465" s="1556">
        <f t="shared" si="346"/>
        <v>0</v>
      </c>
      <c r="X2465" s="768" t="b">
        <f t="shared" si="333"/>
        <v>1</v>
      </c>
    </row>
    <row r="2466" hidden="1" outlineLevel="2" spans="1:24">
      <c r="A2466" s="1493" t="s">
        <v>1723</v>
      </c>
      <c r="B2466" s="692" t="s">
        <v>3779</v>
      </c>
      <c r="C2466" s="693" t="str">
        <f t="shared" ref="C2466:C2529" si="347">$G$1</f>
        <v>深圳新阳蓝光能源管理科技股份有限公司</v>
      </c>
      <c r="D2466" s="1494" t="s">
        <v>3840</v>
      </c>
      <c r="E2466" s="1361" t="s">
        <v>1723</v>
      </c>
      <c r="F2466" s="715"/>
      <c r="G2466" s="715"/>
      <c r="H2466" s="715"/>
      <c r="I2466" s="715"/>
      <c r="X2466" s="768" t="b">
        <f t="shared" ref="X2466:X2529" si="348">EXACT(A2466,E2466)</f>
        <v>1</v>
      </c>
    </row>
    <row r="2467" hidden="1" outlineLevel="1" spans="1:24">
      <c r="A2467" s="1493" t="s">
        <v>1395</v>
      </c>
      <c r="B2467" s="692" t="s">
        <v>3779</v>
      </c>
      <c r="C2467" s="693" t="str">
        <f t="shared" si="347"/>
        <v>深圳新阳蓝光能源管理科技股份有限公司</v>
      </c>
      <c r="D2467" s="1494" t="s">
        <v>3840</v>
      </c>
      <c r="E2467" s="1361" t="s">
        <v>1395</v>
      </c>
      <c r="F2467" s="1557"/>
      <c r="G2467" s="715"/>
      <c r="H2467" s="715"/>
      <c r="I2467" s="1557"/>
      <c r="X2467" s="768" t="b">
        <f t="shared" si="348"/>
        <v>1</v>
      </c>
    </row>
    <row r="2468" hidden="1" outlineLevel="2" spans="2:24">
      <c r="B2468" s="692" t="s">
        <v>3779</v>
      </c>
      <c r="C2468" s="693" t="str">
        <f t="shared" si="347"/>
        <v>深圳新阳蓝光能源管理科技股份有限公司</v>
      </c>
      <c r="D2468" s="1494" t="s">
        <v>3840</v>
      </c>
      <c r="E2468" s="1361"/>
      <c r="F2468" s="1500"/>
      <c r="G2468" s="715"/>
      <c r="H2468" s="715"/>
      <c r="X2468" s="768" t="b">
        <f t="shared" si="348"/>
        <v>1</v>
      </c>
    </row>
    <row r="2469" hidden="1" outlineLevel="2" spans="2:24">
      <c r="B2469" s="692" t="s">
        <v>3779</v>
      </c>
      <c r="C2469" s="693" t="str">
        <f t="shared" si="347"/>
        <v>深圳新阳蓝光能源管理科技股份有限公司</v>
      </c>
      <c r="D2469" s="1494" t="s">
        <v>3840</v>
      </c>
      <c r="E2469" s="1361"/>
      <c r="F2469" s="1500"/>
      <c r="G2469" s="715"/>
      <c r="H2469" s="715"/>
      <c r="X2469" s="768" t="b">
        <f t="shared" si="348"/>
        <v>1</v>
      </c>
    </row>
    <row r="2470" spans="1:24">
      <c r="A2470" s="1493" t="s">
        <v>2284</v>
      </c>
      <c r="B2470" s="692" t="s">
        <v>3842</v>
      </c>
      <c r="C2470" s="693" t="str">
        <f t="shared" si="347"/>
        <v>深圳新阳蓝光能源管理科技股份有限公司</v>
      </c>
      <c r="D2470" s="1494" t="s">
        <v>2284</v>
      </c>
      <c r="E2470" s="70" t="s">
        <v>3843</v>
      </c>
      <c r="F2470" s="1558" t="s">
        <v>3471</v>
      </c>
      <c r="G2470" s="1495"/>
      <c r="H2470" s="1495"/>
      <c r="X2470" s="768" t="b">
        <f t="shared" si="348"/>
        <v>1</v>
      </c>
    </row>
    <row r="2471" ht="19.5" customHeight="1" outlineLevel="2" spans="1:24">
      <c r="A2471" s="1559" t="s">
        <v>61</v>
      </c>
      <c r="B2471" s="692" t="s">
        <v>3842</v>
      </c>
      <c r="C2471" s="693" t="str">
        <f t="shared" si="347"/>
        <v>深圳新阳蓝光能源管理科技股份有限公司</v>
      </c>
      <c r="D2471" s="1560" t="s">
        <v>2284</v>
      </c>
      <c r="E2471" s="1561" t="s">
        <v>61</v>
      </c>
      <c r="F2471" s="1561" t="s">
        <v>2020</v>
      </c>
      <c r="G2471" s="1561" t="s">
        <v>672</v>
      </c>
      <c r="H2471" s="1561" t="s">
        <v>673</v>
      </c>
      <c r="I2471" s="1561" t="s">
        <v>316</v>
      </c>
      <c r="J2471" s="1561" t="s">
        <v>1197</v>
      </c>
      <c r="X2471" s="768" t="b">
        <f t="shared" si="348"/>
        <v>1</v>
      </c>
    </row>
    <row r="2472" outlineLevel="2" spans="1:24">
      <c r="A2472" s="1559" t="s">
        <v>2285</v>
      </c>
      <c r="B2472" s="692" t="s">
        <v>3842</v>
      </c>
      <c r="C2472" s="693" t="str">
        <f t="shared" si="347"/>
        <v>深圳新阳蓝光能源管理科技股份有限公司</v>
      </c>
      <c r="D2472" s="1560" t="s">
        <v>2284</v>
      </c>
      <c r="E2472" s="1562" t="s">
        <v>3844</v>
      </c>
      <c r="F2472" s="743">
        <f>报表附注合并期初用!E1979</f>
        <v>5756259.26</v>
      </c>
      <c r="G2472" s="136">
        <v>212842672</v>
      </c>
      <c r="H2472" s="136"/>
      <c r="I2472" s="139">
        <f>F2472+G2472-H2472</f>
        <v>218598931.26</v>
      </c>
      <c r="J2472" s="1577"/>
      <c r="X2472" s="768" t="b">
        <f t="shared" si="348"/>
        <v>1</v>
      </c>
    </row>
    <row r="2473" outlineLevel="2" spans="1:24">
      <c r="A2473" s="1559" t="s">
        <v>2286</v>
      </c>
      <c r="B2473" s="692" t="s">
        <v>3842</v>
      </c>
      <c r="C2473" s="693" t="str">
        <f t="shared" si="347"/>
        <v>深圳新阳蓝光能源管理科技股份有限公司</v>
      </c>
      <c r="D2473" s="1560" t="s">
        <v>2284</v>
      </c>
      <c r="E2473" s="1562" t="s">
        <v>3845</v>
      </c>
      <c r="F2473" s="743">
        <f>报表附注合并期初用!E1980</f>
        <v>0</v>
      </c>
      <c r="G2473" s="136"/>
      <c r="H2473" s="136"/>
      <c r="I2473" s="139">
        <f>F2473+G2473-H2473</f>
        <v>0</v>
      </c>
      <c r="J2473" s="1577"/>
      <c r="X2473" s="768" t="b">
        <f t="shared" si="348"/>
        <v>1</v>
      </c>
    </row>
    <row r="2474" outlineLevel="2" spans="1:24">
      <c r="A2474" s="1559" t="s">
        <v>2021</v>
      </c>
      <c r="B2474" s="692" t="s">
        <v>3842</v>
      </c>
      <c r="C2474" s="693" t="str">
        <f t="shared" si="347"/>
        <v>深圳新阳蓝光能源管理科技股份有限公司</v>
      </c>
      <c r="D2474" s="1560" t="s">
        <v>2284</v>
      </c>
      <c r="E2474" s="1561" t="s">
        <v>2021</v>
      </c>
      <c r="F2474" s="834">
        <f>F2472+F2473</f>
        <v>5756259.26</v>
      </c>
      <c r="G2474" s="834">
        <f t="shared" ref="G2474:I2474" si="349">G2472+G2473</f>
        <v>212842672</v>
      </c>
      <c r="H2474" s="834">
        <f t="shared" si="349"/>
        <v>0</v>
      </c>
      <c r="I2474" s="834">
        <f t="shared" si="349"/>
        <v>218598931.26</v>
      </c>
      <c r="J2474" s="1578"/>
      <c r="X2474" s="768" t="b">
        <f t="shared" si="348"/>
        <v>1</v>
      </c>
    </row>
    <row r="2475" outlineLevel="2" spans="1:24">
      <c r="A2475" s="1559" t="s">
        <v>1723</v>
      </c>
      <c r="B2475" s="692" t="s">
        <v>3842</v>
      </c>
      <c r="C2475" s="693" t="str">
        <f t="shared" si="347"/>
        <v>深圳新阳蓝光能源管理科技股份有限公司</v>
      </c>
      <c r="D2475" s="1560" t="s">
        <v>2284</v>
      </c>
      <c r="E2475" s="1361" t="s">
        <v>1723</v>
      </c>
      <c r="F2475" s="835">
        <f>审定资负表!H37</f>
        <v>5756259.26</v>
      </c>
      <c r="G2475" s="715"/>
      <c r="H2475" s="715"/>
      <c r="I2475" s="835">
        <f>审定资负表!G37</f>
        <v>218598931.26</v>
      </c>
      <c r="J2475" s="1579"/>
      <c r="X2475" s="768" t="b">
        <f t="shared" si="348"/>
        <v>1</v>
      </c>
    </row>
    <row r="2476" outlineLevel="1" collapsed="1" spans="1:24">
      <c r="A2476" s="1559" t="s">
        <v>1395</v>
      </c>
      <c r="B2476" s="692" t="s">
        <v>3842</v>
      </c>
      <c r="C2476" s="693" t="str">
        <f t="shared" si="347"/>
        <v>深圳新阳蓝光能源管理科技股份有限公司</v>
      </c>
      <c r="D2476" s="1560" t="s">
        <v>2284</v>
      </c>
      <c r="E2476" s="1361" t="s">
        <v>1395</v>
      </c>
      <c r="F2476" s="92">
        <f>ROUND(F2474-F2475,2)</f>
        <v>0</v>
      </c>
      <c r="G2476" s="715"/>
      <c r="H2476" s="715"/>
      <c r="I2476" s="92">
        <f>ROUND(I2474-I2475,2)</f>
        <v>0</v>
      </c>
      <c r="J2476" s="1579"/>
      <c r="X2476" s="768" t="b">
        <f t="shared" si="348"/>
        <v>1</v>
      </c>
    </row>
    <row r="2477" hidden="1" outlineLevel="2" spans="1:24">
      <c r="A2477" s="1559" t="s">
        <v>3846</v>
      </c>
      <c r="B2477" s="692" t="s">
        <v>3842</v>
      </c>
      <c r="C2477" s="693" t="str">
        <f t="shared" si="347"/>
        <v>深圳新阳蓝光能源管理科技股份有限公司</v>
      </c>
      <c r="D2477" s="1560" t="s">
        <v>2284</v>
      </c>
      <c r="E2477" s="153" t="s">
        <v>3846</v>
      </c>
      <c r="F2477" s="715"/>
      <c r="G2477" s="715"/>
      <c r="H2477" s="715"/>
      <c r="I2477" s="715"/>
      <c r="J2477" s="1579"/>
      <c r="X2477" s="768" t="b">
        <f t="shared" si="348"/>
        <v>1</v>
      </c>
    </row>
    <row r="2478" hidden="1" outlineLevel="2" spans="1:24">
      <c r="A2478" s="1559" t="s">
        <v>2809</v>
      </c>
      <c r="B2478" s="692" t="s">
        <v>3842</v>
      </c>
      <c r="C2478" s="693" t="str">
        <f t="shared" si="347"/>
        <v>深圳新阳蓝光能源管理科技股份有限公司</v>
      </c>
      <c r="D2478" s="1560" t="s">
        <v>2284</v>
      </c>
      <c r="E2478" s="1563" t="s">
        <v>2829</v>
      </c>
      <c r="F2478" s="736"/>
      <c r="G2478" s="736"/>
      <c r="H2478" s="736"/>
      <c r="I2478" s="736"/>
      <c r="J2478" s="1580"/>
      <c r="X2478" s="768" t="b">
        <f t="shared" si="348"/>
        <v>1</v>
      </c>
    </row>
    <row r="2479" hidden="1" outlineLevel="2" spans="2:24">
      <c r="B2479" s="692" t="s">
        <v>3842</v>
      </c>
      <c r="C2479" s="693" t="str">
        <f t="shared" si="347"/>
        <v>深圳新阳蓝光能源管理科技股份有限公司</v>
      </c>
      <c r="D2479" s="1560" t="s">
        <v>2284</v>
      </c>
      <c r="E2479" s="1564"/>
      <c r="F2479" s="715"/>
      <c r="G2479" s="715"/>
      <c r="H2479" s="715"/>
      <c r="I2479" s="715"/>
      <c r="J2479" s="1579"/>
      <c r="X2479" s="768" t="b">
        <f t="shared" si="348"/>
        <v>1</v>
      </c>
    </row>
    <row r="2480" hidden="1" outlineLevel="2" spans="2:24">
      <c r="B2480" s="692" t="s">
        <v>3842</v>
      </c>
      <c r="C2480" s="693" t="str">
        <f t="shared" si="347"/>
        <v>深圳新阳蓝光能源管理科技股份有限公司</v>
      </c>
      <c r="D2480" s="1560" t="s">
        <v>2284</v>
      </c>
      <c r="E2480" s="714"/>
      <c r="F2480" s="714"/>
      <c r="G2480" s="714"/>
      <c r="H2480" s="714"/>
      <c r="I2480" s="714"/>
      <c r="J2480" s="714"/>
      <c r="X2480" s="768" t="b">
        <f t="shared" si="348"/>
        <v>1</v>
      </c>
    </row>
    <row r="2481" spans="1:24">
      <c r="A2481" s="1559" t="s">
        <v>2287</v>
      </c>
      <c r="B2481" s="692" t="s">
        <v>3847</v>
      </c>
      <c r="C2481" s="693" t="str">
        <f t="shared" si="347"/>
        <v>深圳新阳蓝光能源管理科技股份有限公司</v>
      </c>
      <c r="D2481" s="1560" t="s">
        <v>2287</v>
      </c>
      <c r="E2481" s="70" t="s">
        <v>3848</v>
      </c>
      <c r="F2481" s="1558" t="s">
        <v>3471</v>
      </c>
      <c r="G2481" s="715"/>
      <c r="H2481" s="715"/>
      <c r="I2481" s="715"/>
      <c r="J2481" s="1581"/>
      <c r="X2481" s="768" t="b">
        <f t="shared" si="348"/>
        <v>1</v>
      </c>
    </row>
    <row r="2482" outlineLevel="2" spans="1:24">
      <c r="A2482" s="1565" t="s">
        <v>61</v>
      </c>
      <c r="B2482" s="692" t="s">
        <v>3847</v>
      </c>
      <c r="C2482" s="693" t="str">
        <f t="shared" si="347"/>
        <v>深圳新阳蓝光能源管理科技股份有限公司</v>
      </c>
      <c r="D2482" s="1566" t="s">
        <v>2287</v>
      </c>
      <c r="E2482" s="1567" t="s">
        <v>61</v>
      </c>
      <c r="F2482" s="1567" t="s">
        <v>2020</v>
      </c>
      <c r="G2482" s="1567" t="s">
        <v>672</v>
      </c>
      <c r="H2482" s="1567" t="s">
        <v>673</v>
      </c>
      <c r="I2482" s="1567" t="s">
        <v>316</v>
      </c>
      <c r="J2482" s="1567" t="s">
        <v>1197</v>
      </c>
      <c r="X2482" s="768" t="b">
        <f t="shared" si="348"/>
        <v>1</v>
      </c>
    </row>
    <row r="2483" outlineLevel="2" spans="1:24">
      <c r="A2483" s="1565" t="s">
        <v>2288</v>
      </c>
      <c r="B2483" s="692" t="s">
        <v>3847</v>
      </c>
      <c r="C2483" s="693" t="str">
        <f t="shared" si="347"/>
        <v>深圳新阳蓝光能源管理科技股份有限公司</v>
      </c>
      <c r="D2483" s="1566" t="s">
        <v>2287</v>
      </c>
      <c r="E2483" s="1568" t="s">
        <v>2288</v>
      </c>
      <c r="F2483" s="743">
        <f>报表附注合并期初用!E1993</f>
        <v>0</v>
      </c>
      <c r="G2483" s="136"/>
      <c r="H2483" s="136"/>
      <c r="I2483" s="139">
        <f>F2483+G2483-H2483</f>
        <v>0</v>
      </c>
      <c r="J2483" s="1582"/>
      <c r="X2483" s="768" t="b">
        <f t="shared" si="348"/>
        <v>1</v>
      </c>
    </row>
    <row r="2484" outlineLevel="2" spans="1:24">
      <c r="A2484" s="1565" t="s">
        <v>2289</v>
      </c>
      <c r="B2484" s="692" t="s">
        <v>3847</v>
      </c>
      <c r="C2484" s="693" t="str">
        <f t="shared" si="347"/>
        <v>深圳新阳蓝光能源管理科技股份有限公司</v>
      </c>
      <c r="D2484" s="1566" t="s">
        <v>2287</v>
      </c>
      <c r="E2484" s="1568" t="s">
        <v>2289</v>
      </c>
      <c r="F2484" s="743">
        <f>报表附注合并期初用!E1994</f>
        <v>0</v>
      </c>
      <c r="G2484" s="136"/>
      <c r="H2484" s="136"/>
      <c r="I2484" s="139">
        <f t="shared" ref="I2484:I2486" si="350">F2484+G2484-H2484</f>
        <v>0</v>
      </c>
      <c r="J2484" s="1582"/>
      <c r="X2484" s="768" t="b">
        <f t="shared" si="348"/>
        <v>1</v>
      </c>
    </row>
    <row r="2485" outlineLevel="2" spans="1:24">
      <c r="A2485" s="1565" t="s">
        <v>1202</v>
      </c>
      <c r="B2485" s="692" t="s">
        <v>3847</v>
      </c>
      <c r="C2485" s="693" t="str">
        <f t="shared" si="347"/>
        <v>深圳新阳蓝光能源管理科技股份有限公司</v>
      </c>
      <c r="D2485" s="1566" t="s">
        <v>2287</v>
      </c>
      <c r="E2485" s="1568" t="s">
        <v>1202</v>
      </c>
      <c r="F2485" s="743">
        <f>报表附注合并期初用!E1995</f>
        <v>0</v>
      </c>
      <c r="G2485" s="136"/>
      <c r="H2485" s="136"/>
      <c r="I2485" s="139">
        <f t="shared" si="350"/>
        <v>0</v>
      </c>
      <c r="J2485" s="1582"/>
      <c r="X2485" s="768" t="b">
        <f t="shared" si="348"/>
        <v>1</v>
      </c>
    </row>
    <row r="2486" outlineLevel="2" spans="1:24">
      <c r="A2486" s="1565" t="s">
        <v>1204</v>
      </c>
      <c r="B2486" s="692" t="s">
        <v>3847</v>
      </c>
      <c r="C2486" s="693" t="str">
        <f t="shared" si="347"/>
        <v>深圳新阳蓝光能源管理科技股份有限公司</v>
      </c>
      <c r="D2486" s="1566" t="s">
        <v>2287</v>
      </c>
      <c r="E2486" s="1568" t="s">
        <v>1204</v>
      </c>
      <c r="F2486" s="743">
        <f>报表附注合并期初用!E1996</f>
        <v>0</v>
      </c>
      <c r="G2486" s="136"/>
      <c r="H2486" s="136"/>
      <c r="I2486" s="139">
        <f t="shared" si="350"/>
        <v>0</v>
      </c>
      <c r="J2486" s="1582"/>
      <c r="X2486" s="768" t="b">
        <f t="shared" si="348"/>
        <v>1</v>
      </c>
    </row>
    <row r="2487" outlineLevel="2" spans="1:24">
      <c r="A2487" s="1565" t="s">
        <v>2021</v>
      </c>
      <c r="B2487" s="692" t="s">
        <v>3847</v>
      </c>
      <c r="C2487" s="693" t="str">
        <f t="shared" si="347"/>
        <v>深圳新阳蓝光能源管理科技股份有限公司</v>
      </c>
      <c r="D2487" s="1566" t="s">
        <v>2287</v>
      </c>
      <c r="E2487" s="1567" t="s">
        <v>2021</v>
      </c>
      <c r="F2487" s="781">
        <f>SUM(F2483:F2486)</f>
        <v>0</v>
      </c>
      <c r="G2487" s="781">
        <f t="shared" ref="G2487:I2487" si="351">SUM(G2483:G2486)</f>
        <v>0</v>
      </c>
      <c r="H2487" s="781">
        <f t="shared" si="351"/>
        <v>0</v>
      </c>
      <c r="I2487" s="781">
        <f t="shared" si="351"/>
        <v>0</v>
      </c>
      <c r="J2487" s="1583"/>
      <c r="X2487" s="768" t="b">
        <f t="shared" si="348"/>
        <v>1</v>
      </c>
    </row>
    <row r="2488" outlineLevel="2" spans="1:24">
      <c r="A2488" s="1565" t="s">
        <v>1723</v>
      </c>
      <c r="B2488" s="692" t="s">
        <v>3847</v>
      </c>
      <c r="C2488" s="693" t="str">
        <f t="shared" si="347"/>
        <v>深圳新阳蓝光能源管理科技股份有限公司</v>
      </c>
      <c r="D2488" s="1566" t="s">
        <v>2287</v>
      </c>
      <c r="E2488" s="1361" t="s">
        <v>1723</v>
      </c>
      <c r="F2488" s="1569">
        <f>审定资负表!H39</f>
        <v>0</v>
      </c>
      <c r="G2488" s="1570"/>
      <c r="H2488" s="1570"/>
      <c r="I2488" s="1569">
        <f>审定资负表!G39</f>
        <v>0</v>
      </c>
      <c r="J2488" s="1584"/>
      <c r="X2488" s="768" t="b">
        <f t="shared" si="348"/>
        <v>1</v>
      </c>
    </row>
    <row r="2489" outlineLevel="1" spans="1:24">
      <c r="A2489" s="1565" t="s">
        <v>1395</v>
      </c>
      <c r="B2489" s="692" t="s">
        <v>3847</v>
      </c>
      <c r="C2489" s="693" t="str">
        <f t="shared" si="347"/>
        <v>深圳新阳蓝光能源管理科技股份有限公司</v>
      </c>
      <c r="D2489" s="1566" t="s">
        <v>2287</v>
      </c>
      <c r="E2489" s="1361" t="s">
        <v>1395</v>
      </c>
      <c r="F2489" s="92">
        <f>ROUND(F2487-F2488,2)</f>
        <v>0</v>
      </c>
      <c r="G2489" s="1570"/>
      <c r="H2489" s="1570"/>
      <c r="I2489" s="92">
        <f>ROUND(I2487-I2488,2)</f>
        <v>0</v>
      </c>
      <c r="J2489" s="1584"/>
      <c r="X2489" s="768" t="b">
        <f t="shared" si="348"/>
        <v>1</v>
      </c>
    </row>
    <row r="2490" outlineLevel="2" spans="1:24">
      <c r="A2490" s="1565" t="s">
        <v>3849</v>
      </c>
      <c r="B2490" s="692" t="s">
        <v>3847</v>
      </c>
      <c r="C2490" s="693" t="str">
        <f t="shared" si="347"/>
        <v>深圳新阳蓝光能源管理科技股份有限公司</v>
      </c>
      <c r="D2490" s="1566" t="s">
        <v>2287</v>
      </c>
      <c r="E2490" s="153" t="s">
        <v>3849</v>
      </c>
      <c r="F2490" s="1570"/>
      <c r="G2490" s="1570"/>
      <c r="H2490" s="1570"/>
      <c r="I2490" s="1570"/>
      <c r="J2490" s="1584"/>
      <c r="X2490" s="768" t="b">
        <f t="shared" si="348"/>
        <v>1</v>
      </c>
    </row>
    <row r="2491" outlineLevel="2" spans="1:24">
      <c r="A2491" s="1565" t="s">
        <v>2809</v>
      </c>
      <c r="B2491" s="692" t="s">
        <v>3847</v>
      </c>
      <c r="C2491" s="693" t="str">
        <f t="shared" si="347"/>
        <v>深圳新阳蓝光能源管理科技股份有限公司</v>
      </c>
      <c r="D2491" s="1566" t="s">
        <v>2287</v>
      </c>
      <c r="E2491" s="1563" t="s">
        <v>2829</v>
      </c>
      <c r="F2491" s="736"/>
      <c r="G2491" s="736"/>
      <c r="H2491" s="1570"/>
      <c r="I2491" s="1570"/>
      <c r="J2491" s="1584"/>
      <c r="X2491" s="768" t="b">
        <f t="shared" si="348"/>
        <v>1</v>
      </c>
    </row>
    <row r="2492" outlineLevel="2" spans="2:24">
      <c r="B2492" s="692" t="s">
        <v>3847</v>
      </c>
      <c r="C2492" s="693" t="str">
        <f t="shared" si="347"/>
        <v>深圳新阳蓝光能源管理科技股份有限公司</v>
      </c>
      <c r="D2492" s="1566" t="s">
        <v>2287</v>
      </c>
      <c r="E2492" s="153"/>
      <c r="F2492" s="1570"/>
      <c r="G2492" s="1570"/>
      <c r="H2492" s="1570"/>
      <c r="I2492" s="1570"/>
      <c r="J2492" s="1584"/>
      <c r="X2492" s="768" t="b">
        <f t="shared" si="348"/>
        <v>1</v>
      </c>
    </row>
    <row r="2493" spans="1:24">
      <c r="A2493" s="1565" t="s">
        <v>3850</v>
      </c>
      <c r="B2493" s="1571" t="s">
        <v>3851</v>
      </c>
      <c r="C2493" s="693" t="str">
        <f t="shared" si="347"/>
        <v>深圳新阳蓝光能源管理科技股份有限公司</v>
      </c>
      <c r="D2493" s="1566" t="s">
        <v>3850</v>
      </c>
      <c r="E2493" s="70" t="s">
        <v>3852</v>
      </c>
      <c r="F2493" s="1449" t="s">
        <v>3163</v>
      </c>
      <c r="G2493" s="715"/>
      <c r="H2493" s="1570"/>
      <c r="I2493" s="1570"/>
      <c r="J2493" s="1584"/>
      <c r="X2493" s="768" t="b">
        <f t="shared" si="348"/>
        <v>1</v>
      </c>
    </row>
    <row r="2494" outlineLevel="2" spans="1:24">
      <c r="A2494" s="1565" t="s">
        <v>2820</v>
      </c>
      <c r="B2494" s="1571" t="s">
        <v>3851</v>
      </c>
      <c r="C2494" s="693" t="str">
        <f t="shared" si="347"/>
        <v>深圳新阳蓝光能源管理科技股份有限公司</v>
      </c>
      <c r="D2494" s="1572" t="s">
        <v>3850</v>
      </c>
      <c r="E2494" s="1573" t="s">
        <v>2820</v>
      </c>
      <c r="F2494" s="1574" t="s">
        <v>2445</v>
      </c>
      <c r="G2494" s="1574" t="s">
        <v>2441</v>
      </c>
      <c r="H2494" s="1570"/>
      <c r="I2494" s="1570"/>
      <c r="J2494" s="1584"/>
      <c r="X2494" s="768" t="b">
        <f t="shared" si="348"/>
        <v>1</v>
      </c>
    </row>
    <row r="2495" outlineLevel="2" spans="1:24">
      <c r="A2495" s="1565" t="s">
        <v>3853</v>
      </c>
      <c r="B2495" s="1571" t="s">
        <v>3851</v>
      </c>
      <c r="C2495" s="693" t="str">
        <f t="shared" si="347"/>
        <v>深圳新阳蓝光能源管理科技股份有限公司</v>
      </c>
      <c r="D2495" s="1572" t="s">
        <v>3850</v>
      </c>
      <c r="E2495" s="1575" t="s">
        <v>3853</v>
      </c>
      <c r="F2495" s="781">
        <f>G2510</f>
        <v>-36686290.04</v>
      </c>
      <c r="G2495" s="787">
        <f>审定利润表!D37</f>
        <v>-7295558.4</v>
      </c>
      <c r="H2495" s="1570"/>
      <c r="I2495" s="1570"/>
      <c r="J2495" s="1584"/>
      <c r="X2495" s="768" t="b">
        <f t="shared" si="348"/>
        <v>1</v>
      </c>
    </row>
    <row r="2496" outlineLevel="2" spans="1:24">
      <c r="A2496" s="1565" t="s">
        <v>282</v>
      </c>
      <c r="B2496" s="1571" t="s">
        <v>3851</v>
      </c>
      <c r="C2496" s="693" t="str">
        <f t="shared" si="347"/>
        <v>深圳新阳蓝光能源管理科技股份有限公司</v>
      </c>
      <c r="D2496" s="1572" t="s">
        <v>3850</v>
      </c>
      <c r="E2496" s="1575" t="s">
        <v>282</v>
      </c>
      <c r="F2496" s="1576"/>
      <c r="G2496" s="1576"/>
      <c r="H2496" s="1570"/>
      <c r="I2496" s="1570"/>
      <c r="J2496" s="1584"/>
      <c r="X2496" s="768" t="b">
        <f t="shared" si="348"/>
        <v>1</v>
      </c>
    </row>
    <row r="2497" outlineLevel="2" spans="1:24">
      <c r="A2497" s="1565" t="s">
        <v>3854</v>
      </c>
      <c r="B2497" s="1571" t="s">
        <v>3851</v>
      </c>
      <c r="C2497" s="693" t="str">
        <f t="shared" si="347"/>
        <v>深圳新阳蓝光能源管理科技股份有限公司</v>
      </c>
      <c r="D2497" s="1572" t="s">
        <v>3850</v>
      </c>
      <c r="E2497" s="1575" t="s">
        <v>3855</v>
      </c>
      <c r="F2497" s="1576"/>
      <c r="G2497" s="1576"/>
      <c r="H2497" s="1570"/>
      <c r="I2497" s="1570"/>
      <c r="J2497" s="1584"/>
      <c r="X2497" s="768" t="b">
        <f t="shared" si="348"/>
        <v>1</v>
      </c>
    </row>
    <row r="2498" outlineLevel="2" spans="1:24">
      <c r="A2498" s="1565" t="s">
        <v>3856</v>
      </c>
      <c r="B2498" s="1571" t="s">
        <v>3851</v>
      </c>
      <c r="C2498" s="693" t="str">
        <f t="shared" si="347"/>
        <v>深圳新阳蓝光能源管理科技股份有限公司</v>
      </c>
      <c r="D2498" s="1572" t="s">
        <v>3850</v>
      </c>
      <c r="E2498" s="1575" t="s">
        <v>3857</v>
      </c>
      <c r="F2498" s="1576"/>
      <c r="G2498" s="1576"/>
      <c r="H2498" s="1570"/>
      <c r="I2498" s="1570"/>
      <c r="J2498" s="1584"/>
      <c r="X2498" s="768" t="b">
        <f t="shared" si="348"/>
        <v>1</v>
      </c>
    </row>
    <row r="2499" outlineLevel="2" spans="1:24">
      <c r="A2499" s="1565" t="s">
        <v>3858</v>
      </c>
      <c r="B2499" s="1571" t="s">
        <v>3851</v>
      </c>
      <c r="C2499" s="693" t="str">
        <f t="shared" si="347"/>
        <v>深圳新阳蓝光能源管理科技股份有限公司</v>
      </c>
      <c r="D2499" s="1572" t="s">
        <v>3850</v>
      </c>
      <c r="E2499" s="1575" t="s">
        <v>3858</v>
      </c>
      <c r="F2499" s="781">
        <f>F2495+F2496+F2497+F2498</f>
        <v>-36686290.04</v>
      </c>
      <c r="G2499" s="781">
        <f>G2495+G2496+G2497+G2498</f>
        <v>-7295558.4</v>
      </c>
      <c r="H2499" s="1570"/>
      <c r="I2499" s="1570"/>
      <c r="J2499" s="1584"/>
      <c r="X2499" s="768" t="b">
        <f t="shared" si="348"/>
        <v>1</v>
      </c>
    </row>
    <row r="2500" outlineLevel="2" spans="1:24">
      <c r="A2500" s="1565" t="s">
        <v>3859</v>
      </c>
      <c r="B2500" s="1571" t="s">
        <v>3851</v>
      </c>
      <c r="C2500" s="693" t="str">
        <f t="shared" si="347"/>
        <v>深圳新阳蓝光能源管理科技股份有限公司</v>
      </c>
      <c r="D2500" s="1572" t="s">
        <v>3850</v>
      </c>
      <c r="E2500" s="1585" t="s">
        <v>3859</v>
      </c>
      <c r="F2500" s="781">
        <f>F2501+F2502</f>
        <v>8831644.55</v>
      </c>
      <c r="G2500" s="781">
        <f>G2501+G2502</f>
        <v>-10590731.64</v>
      </c>
      <c r="H2500" s="1570"/>
      <c r="I2500" s="1570"/>
      <c r="J2500" s="1584"/>
      <c r="X2500" s="768" t="b">
        <f t="shared" si="348"/>
        <v>1</v>
      </c>
    </row>
    <row r="2501" outlineLevel="2" spans="1:24">
      <c r="A2501" s="1565" t="s">
        <v>3860</v>
      </c>
      <c r="B2501" s="1571" t="s">
        <v>3851</v>
      </c>
      <c r="C2501" s="693" t="str">
        <f t="shared" si="347"/>
        <v>深圳新阳蓝光能源管理科技股份有限公司</v>
      </c>
      <c r="D2501" s="1572" t="s">
        <v>3850</v>
      </c>
      <c r="E2501" s="1575" t="s">
        <v>3861</v>
      </c>
      <c r="F2501" s="781">
        <f>审定利润表!C24</f>
        <v>8831644.55</v>
      </c>
      <c r="G2501" s="781">
        <f>审定利润表!D24</f>
        <v>-10590731.64</v>
      </c>
      <c r="H2501" s="1570"/>
      <c r="I2501" s="1570"/>
      <c r="J2501" s="1584"/>
      <c r="X2501" s="768" t="b">
        <f t="shared" si="348"/>
        <v>1</v>
      </c>
    </row>
    <row r="2502" outlineLevel="2" spans="1:24">
      <c r="A2502" s="1565" t="s">
        <v>3626</v>
      </c>
      <c r="B2502" s="1571" t="s">
        <v>3851</v>
      </c>
      <c r="C2502" s="693" t="str">
        <f t="shared" si="347"/>
        <v>深圳新阳蓝光能源管理科技股份有限公司</v>
      </c>
      <c r="D2502" s="1572" t="s">
        <v>3850</v>
      </c>
      <c r="E2502" s="1575" t="s">
        <v>3862</v>
      </c>
      <c r="F2502" s="1576"/>
      <c r="G2502" s="1576"/>
      <c r="H2502" s="1570"/>
      <c r="I2502" s="1570"/>
      <c r="J2502" s="1584"/>
      <c r="X2502" s="768" t="b">
        <f t="shared" si="348"/>
        <v>1</v>
      </c>
    </row>
    <row r="2503" outlineLevel="2" spans="1:24">
      <c r="A2503" s="1565" t="s">
        <v>3863</v>
      </c>
      <c r="B2503" s="1571" t="s">
        <v>3851</v>
      </c>
      <c r="C2503" s="693" t="str">
        <f t="shared" si="347"/>
        <v>深圳新阳蓝光能源管理科技股份有限公司</v>
      </c>
      <c r="D2503" s="1572" t="s">
        <v>3850</v>
      </c>
      <c r="E2503" s="1575" t="s">
        <v>3863</v>
      </c>
      <c r="F2503" s="781">
        <f>SUM(F2504:F2509)</f>
        <v>0</v>
      </c>
      <c r="G2503" s="781">
        <f>SUM(G2504:G2509)</f>
        <v>18800000</v>
      </c>
      <c r="H2503" s="1570"/>
      <c r="I2503" s="1570"/>
      <c r="J2503" s="1584"/>
      <c r="X2503" s="768" t="b">
        <f t="shared" si="348"/>
        <v>1</v>
      </c>
    </row>
    <row r="2504" outlineLevel="2" spans="1:24">
      <c r="A2504" s="1565" t="s">
        <v>3864</v>
      </c>
      <c r="B2504" s="1571" t="s">
        <v>3851</v>
      </c>
      <c r="C2504" s="693" t="str">
        <f t="shared" si="347"/>
        <v>深圳新阳蓝光能源管理科技股份有限公司</v>
      </c>
      <c r="D2504" s="1572" t="s">
        <v>3850</v>
      </c>
      <c r="E2504" s="1575" t="s">
        <v>3865</v>
      </c>
      <c r="F2504" s="136"/>
      <c r="G2504" s="1576"/>
      <c r="H2504" s="1570"/>
      <c r="I2504" s="1570"/>
      <c r="J2504" s="1584"/>
      <c r="X2504" s="768" t="b">
        <f t="shared" si="348"/>
        <v>1</v>
      </c>
    </row>
    <row r="2505" outlineLevel="2" spans="1:24">
      <c r="A2505" s="1565" t="s">
        <v>3866</v>
      </c>
      <c r="B2505" s="1571" t="s">
        <v>3851</v>
      </c>
      <c r="C2505" s="693" t="str">
        <f t="shared" si="347"/>
        <v>深圳新阳蓝光能源管理科技股份有限公司</v>
      </c>
      <c r="D2505" s="1572" t="s">
        <v>3850</v>
      </c>
      <c r="E2505" s="1575" t="s">
        <v>3867</v>
      </c>
      <c r="F2505" s="1576"/>
      <c r="G2505" s="1576"/>
      <c r="H2505" s="1570"/>
      <c r="I2505" s="1570"/>
      <c r="J2505" s="1584"/>
      <c r="X2505" s="768" t="b">
        <f t="shared" si="348"/>
        <v>1</v>
      </c>
    </row>
    <row r="2506" outlineLevel="2" spans="1:24">
      <c r="A2506" s="1565" t="s">
        <v>3868</v>
      </c>
      <c r="B2506" s="1571" t="s">
        <v>3851</v>
      </c>
      <c r="C2506" s="693" t="str">
        <f t="shared" si="347"/>
        <v>深圳新阳蓝光能源管理科技股份有限公司</v>
      </c>
      <c r="D2506" s="1572" t="s">
        <v>3850</v>
      </c>
      <c r="E2506" s="1575" t="s">
        <v>3869</v>
      </c>
      <c r="F2506" s="1576"/>
      <c r="G2506" s="1576"/>
      <c r="H2506" s="1570"/>
      <c r="I2506" s="1570"/>
      <c r="J2506" s="1584"/>
      <c r="X2506" s="768" t="b">
        <f t="shared" si="348"/>
        <v>1</v>
      </c>
    </row>
    <row r="2507" outlineLevel="2" spans="1:24">
      <c r="A2507" s="1565" t="s">
        <v>3870</v>
      </c>
      <c r="B2507" s="1571" t="s">
        <v>3851</v>
      </c>
      <c r="C2507" s="693" t="str">
        <f t="shared" si="347"/>
        <v>深圳新阳蓝光能源管理科技股份有限公司</v>
      </c>
      <c r="D2507" s="1572" t="s">
        <v>3850</v>
      </c>
      <c r="E2507" s="1575" t="s">
        <v>3871</v>
      </c>
      <c r="F2507" s="1576"/>
      <c r="G2507" s="1576"/>
      <c r="H2507" s="1570"/>
      <c r="I2507" s="1570"/>
      <c r="J2507" s="1584"/>
      <c r="X2507" s="768" t="b">
        <f t="shared" si="348"/>
        <v>1</v>
      </c>
    </row>
    <row r="2508" outlineLevel="2" spans="1:24">
      <c r="A2508" s="1565" t="s">
        <v>3872</v>
      </c>
      <c r="B2508" s="1571" t="s">
        <v>3851</v>
      </c>
      <c r="C2508" s="693" t="str">
        <f t="shared" si="347"/>
        <v>深圳新阳蓝光能源管理科技股份有限公司</v>
      </c>
      <c r="D2508" s="1572" t="s">
        <v>3850</v>
      </c>
      <c r="E2508" s="1575" t="s">
        <v>3873</v>
      </c>
      <c r="F2508" s="1576"/>
      <c r="G2508" s="1576">
        <v>18800000</v>
      </c>
      <c r="H2508" s="1570"/>
      <c r="I2508" s="1570"/>
      <c r="J2508" s="1584"/>
      <c r="X2508" s="768" t="b">
        <f t="shared" si="348"/>
        <v>1</v>
      </c>
    </row>
    <row r="2509" outlineLevel="2" spans="1:24">
      <c r="A2509" s="1565" t="s">
        <v>3874</v>
      </c>
      <c r="B2509" s="1571" t="s">
        <v>3851</v>
      </c>
      <c r="C2509" s="693" t="str">
        <f t="shared" si="347"/>
        <v>深圳新阳蓝光能源管理科技股份有限公司</v>
      </c>
      <c r="D2509" s="1572" t="s">
        <v>3850</v>
      </c>
      <c r="E2509" s="1575" t="s">
        <v>3875</v>
      </c>
      <c r="F2509" s="1576"/>
      <c r="G2509" s="1576"/>
      <c r="H2509" s="1570"/>
      <c r="I2509" s="1570"/>
      <c r="J2509" s="1584"/>
      <c r="X2509" s="768" t="b">
        <f t="shared" si="348"/>
        <v>1</v>
      </c>
    </row>
    <row r="2510" outlineLevel="2" spans="1:24">
      <c r="A2510" s="1565" t="s">
        <v>3876</v>
      </c>
      <c r="B2510" s="1571" t="s">
        <v>3851</v>
      </c>
      <c r="C2510" s="693" t="str">
        <f t="shared" si="347"/>
        <v>深圳新阳蓝光能源管理科技股份有限公司</v>
      </c>
      <c r="D2510" s="1572" t="s">
        <v>3850</v>
      </c>
      <c r="E2510" s="1575" t="s">
        <v>3876</v>
      </c>
      <c r="F2510" s="781">
        <f>F2499+F2500-F2503</f>
        <v>-27854645.49</v>
      </c>
      <c r="G2510" s="781">
        <f>G2499+G2500-G2503</f>
        <v>-36686290.04</v>
      </c>
      <c r="H2510" s="1570"/>
      <c r="I2510" s="1570"/>
      <c r="J2510" s="1584"/>
      <c r="X2510" s="768" t="b">
        <f t="shared" si="348"/>
        <v>1</v>
      </c>
    </row>
    <row r="2511" outlineLevel="2" spans="1:24">
      <c r="A2511" s="1565" t="s">
        <v>1723</v>
      </c>
      <c r="B2511" s="1571" t="s">
        <v>3851</v>
      </c>
      <c r="C2511" s="693" t="str">
        <f t="shared" si="347"/>
        <v>深圳新阳蓝光能源管理科技股份有限公司</v>
      </c>
      <c r="D2511" s="1572" t="s">
        <v>3850</v>
      </c>
      <c r="E2511" s="1361" t="s">
        <v>1723</v>
      </c>
      <c r="F2511" s="1569">
        <f>审定资负表!G40</f>
        <v>-27854645.49</v>
      </c>
      <c r="G2511" s="1569">
        <f>审定资负表!H40</f>
        <v>-36686290.04</v>
      </c>
      <c r="H2511" s="1570"/>
      <c r="I2511" s="1570"/>
      <c r="J2511" s="1584"/>
      <c r="X2511" s="768" t="b">
        <f t="shared" si="348"/>
        <v>1</v>
      </c>
    </row>
    <row r="2512" outlineLevel="1" collapsed="1" spans="1:24">
      <c r="A2512" s="1565" t="s">
        <v>1395</v>
      </c>
      <c r="B2512" s="1571" t="s">
        <v>3851</v>
      </c>
      <c r="C2512" s="693" t="str">
        <f t="shared" si="347"/>
        <v>深圳新阳蓝光能源管理科技股份有限公司</v>
      </c>
      <c r="D2512" s="1572" t="s">
        <v>3850</v>
      </c>
      <c r="E2512" s="1361" t="s">
        <v>1395</v>
      </c>
      <c r="F2512" s="92">
        <f>ROUND(F2510-F2511,2)</f>
        <v>0</v>
      </c>
      <c r="G2512" s="92">
        <f>ROUND(G2510-G2511,2)</f>
        <v>0</v>
      </c>
      <c r="H2512" s="1570"/>
      <c r="I2512" s="1570"/>
      <c r="J2512" s="1584"/>
      <c r="X2512" s="768" t="b">
        <f t="shared" si="348"/>
        <v>1</v>
      </c>
    </row>
    <row r="2513" hidden="1" outlineLevel="2" spans="1:24">
      <c r="A2513" s="1565" t="s">
        <v>3877</v>
      </c>
      <c r="B2513" s="1571" t="s">
        <v>3851</v>
      </c>
      <c r="C2513" s="693" t="str">
        <f t="shared" si="347"/>
        <v>深圳新阳蓝光能源管理科技股份有限公司</v>
      </c>
      <c r="D2513" s="1566" t="s">
        <v>3850</v>
      </c>
      <c r="E2513" s="1586" t="s">
        <v>3877</v>
      </c>
      <c r="F2513" s="1570"/>
      <c r="G2513" s="1570"/>
      <c r="H2513" s="1570"/>
      <c r="I2513" s="1570"/>
      <c r="J2513" s="1584"/>
      <c r="X2513" s="768" t="b">
        <f t="shared" si="348"/>
        <v>1</v>
      </c>
    </row>
    <row r="2514" hidden="1" outlineLevel="2" spans="1:24">
      <c r="A2514" s="1565" t="s">
        <v>3878</v>
      </c>
      <c r="B2514" s="1571" t="s">
        <v>3851</v>
      </c>
      <c r="C2514" s="693" t="str">
        <f t="shared" si="347"/>
        <v>深圳新阳蓝光能源管理科技股份有限公司</v>
      </c>
      <c r="D2514" s="1566" t="s">
        <v>3878</v>
      </c>
      <c r="E2514" s="1586" t="s">
        <v>3879</v>
      </c>
      <c r="F2514" s="1570"/>
      <c r="G2514" s="1570"/>
      <c r="H2514" s="1570"/>
      <c r="I2514" s="1570"/>
      <c r="J2514" s="1584"/>
      <c r="X2514" s="768" t="b">
        <f t="shared" si="348"/>
        <v>1</v>
      </c>
    </row>
    <row r="2515" hidden="1" outlineLevel="2" spans="1:24">
      <c r="A2515" s="1565" t="s">
        <v>2809</v>
      </c>
      <c r="B2515" s="1571" t="s">
        <v>3851</v>
      </c>
      <c r="C2515" s="693" t="str">
        <f t="shared" si="347"/>
        <v>深圳新阳蓝光能源管理科技股份有限公司</v>
      </c>
      <c r="D2515" s="1566" t="s">
        <v>3878</v>
      </c>
      <c r="E2515" s="153" t="s">
        <v>2829</v>
      </c>
      <c r="F2515" s="1587"/>
      <c r="G2515" s="1587"/>
      <c r="H2515" s="1570"/>
      <c r="I2515" s="1570"/>
      <c r="J2515" s="1584"/>
      <c r="X2515" s="768" t="b">
        <f t="shared" si="348"/>
        <v>1</v>
      </c>
    </row>
    <row r="2516" hidden="1" outlineLevel="2" spans="1:24">
      <c r="A2516" s="1565" t="s">
        <v>3880</v>
      </c>
      <c r="B2516" s="1571" t="s">
        <v>3851</v>
      </c>
      <c r="C2516" s="693" t="str">
        <f t="shared" si="347"/>
        <v>深圳新阳蓝光能源管理科技股份有限公司</v>
      </c>
      <c r="D2516" s="1566" t="s">
        <v>3880</v>
      </c>
      <c r="E2516" s="1586" t="s">
        <v>3881</v>
      </c>
      <c r="F2516" s="1570"/>
      <c r="G2516" s="1570"/>
      <c r="H2516" s="1570"/>
      <c r="I2516" s="1570"/>
      <c r="J2516" s="1584"/>
      <c r="X2516" s="768" t="b">
        <f t="shared" si="348"/>
        <v>1</v>
      </c>
    </row>
    <row r="2517" hidden="1" outlineLevel="2" spans="1:24">
      <c r="A2517" s="1565" t="s">
        <v>2809</v>
      </c>
      <c r="B2517" s="1571" t="s">
        <v>3851</v>
      </c>
      <c r="C2517" s="693" t="str">
        <f t="shared" si="347"/>
        <v>深圳新阳蓝光能源管理科技股份有限公司</v>
      </c>
      <c r="D2517" s="1566" t="s">
        <v>3880</v>
      </c>
      <c r="E2517" s="153" t="s">
        <v>2829</v>
      </c>
      <c r="F2517" s="1587"/>
      <c r="G2517" s="1587"/>
      <c r="H2517" s="1570"/>
      <c r="I2517" s="1570"/>
      <c r="J2517" s="1584"/>
      <c r="X2517" s="768" t="b">
        <f t="shared" si="348"/>
        <v>1</v>
      </c>
    </row>
    <row r="2518" hidden="1" outlineLevel="2" spans="1:24">
      <c r="A2518" s="1565" t="s">
        <v>3882</v>
      </c>
      <c r="B2518" s="1571" t="s">
        <v>3851</v>
      </c>
      <c r="C2518" s="693" t="str">
        <f t="shared" si="347"/>
        <v>深圳新阳蓝光能源管理科技股份有限公司</v>
      </c>
      <c r="D2518" s="1566" t="s">
        <v>3882</v>
      </c>
      <c r="E2518" s="1586" t="s">
        <v>3883</v>
      </c>
      <c r="F2518" s="1570"/>
      <c r="G2518" s="1570"/>
      <c r="H2518" s="1570"/>
      <c r="I2518" s="1570"/>
      <c r="J2518" s="1584"/>
      <c r="X2518" s="768" t="b">
        <f t="shared" si="348"/>
        <v>1</v>
      </c>
    </row>
    <row r="2519" hidden="1" outlineLevel="2" spans="1:24">
      <c r="A2519" s="1565" t="s">
        <v>2809</v>
      </c>
      <c r="B2519" s="1571" t="s">
        <v>3851</v>
      </c>
      <c r="C2519" s="693" t="str">
        <f t="shared" si="347"/>
        <v>深圳新阳蓝光能源管理科技股份有限公司</v>
      </c>
      <c r="D2519" s="1566" t="s">
        <v>3882</v>
      </c>
      <c r="E2519" s="153" t="s">
        <v>2829</v>
      </c>
      <c r="F2519" s="1587"/>
      <c r="G2519" s="1587"/>
      <c r="H2519" s="1570"/>
      <c r="I2519" s="1570"/>
      <c r="J2519" s="1584"/>
      <c r="X2519" s="768" t="b">
        <f t="shared" si="348"/>
        <v>1</v>
      </c>
    </row>
    <row r="2520" hidden="1" outlineLevel="2" spans="1:24">
      <c r="A2520" s="1565" t="s">
        <v>3884</v>
      </c>
      <c r="B2520" s="1571" t="s">
        <v>3851</v>
      </c>
      <c r="C2520" s="693" t="str">
        <f t="shared" si="347"/>
        <v>深圳新阳蓝光能源管理科技股份有限公司</v>
      </c>
      <c r="D2520" s="1566" t="s">
        <v>3884</v>
      </c>
      <c r="E2520" s="1586" t="s">
        <v>3885</v>
      </c>
      <c r="F2520" s="1570"/>
      <c r="G2520" s="1570"/>
      <c r="H2520" s="1570"/>
      <c r="I2520" s="1570"/>
      <c r="J2520" s="1584"/>
      <c r="X2520" s="768" t="b">
        <f t="shared" si="348"/>
        <v>1</v>
      </c>
    </row>
    <row r="2521" hidden="1" outlineLevel="2" spans="1:24">
      <c r="A2521" s="1565" t="s">
        <v>2809</v>
      </c>
      <c r="B2521" s="1571" t="s">
        <v>3851</v>
      </c>
      <c r="C2521" s="693" t="str">
        <f t="shared" si="347"/>
        <v>深圳新阳蓝光能源管理科技股份有限公司</v>
      </c>
      <c r="D2521" s="1566" t="s">
        <v>3884</v>
      </c>
      <c r="E2521" s="153" t="s">
        <v>2829</v>
      </c>
      <c r="F2521" s="1587"/>
      <c r="G2521" s="1587"/>
      <c r="H2521" s="1570"/>
      <c r="I2521" s="1570"/>
      <c r="J2521" s="1584"/>
      <c r="X2521" s="768" t="b">
        <f t="shared" si="348"/>
        <v>1</v>
      </c>
    </row>
    <row r="2522" hidden="1" outlineLevel="2" spans="1:24">
      <c r="A2522" s="1565" t="s">
        <v>3886</v>
      </c>
      <c r="B2522" s="1571" t="s">
        <v>3851</v>
      </c>
      <c r="C2522" s="693" t="str">
        <f t="shared" si="347"/>
        <v>深圳新阳蓝光能源管理科技股份有限公司</v>
      </c>
      <c r="D2522" s="1566" t="s">
        <v>3886</v>
      </c>
      <c r="E2522" s="1586" t="s">
        <v>3887</v>
      </c>
      <c r="F2522" s="1570"/>
      <c r="G2522" s="1570"/>
      <c r="H2522" s="1570"/>
      <c r="I2522" s="1570"/>
      <c r="J2522" s="1584"/>
      <c r="X2522" s="768" t="b">
        <f t="shared" si="348"/>
        <v>1</v>
      </c>
    </row>
    <row r="2523" hidden="1" outlineLevel="2" spans="1:24">
      <c r="A2523" s="1565" t="s">
        <v>2809</v>
      </c>
      <c r="B2523" s="1571" t="s">
        <v>3851</v>
      </c>
      <c r="C2523" s="693" t="str">
        <f t="shared" si="347"/>
        <v>深圳新阳蓝光能源管理科技股份有限公司</v>
      </c>
      <c r="D2523" s="1566" t="s">
        <v>3886</v>
      </c>
      <c r="E2523" s="153" t="s">
        <v>2829</v>
      </c>
      <c r="F2523" s="1587"/>
      <c r="G2523" s="1587"/>
      <c r="H2523" s="1570"/>
      <c r="I2523" s="1570"/>
      <c r="J2523" s="1584"/>
      <c r="X2523" s="768" t="b">
        <f t="shared" si="348"/>
        <v>1</v>
      </c>
    </row>
    <row r="2524" hidden="1" outlineLevel="2" spans="1:24">
      <c r="A2524" s="1565" t="s">
        <v>3888</v>
      </c>
      <c r="B2524" s="1571" t="s">
        <v>3851</v>
      </c>
      <c r="C2524" s="693" t="str">
        <f t="shared" si="347"/>
        <v>深圳新阳蓝光能源管理科技股份有限公司</v>
      </c>
      <c r="D2524" s="1566" t="s">
        <v>3886</v>
      </c>
      <c r="E2524" s="1586" t="s">
        <v>3889</v>
      </c>
      <c r="F2524" s="1570"/>
      <c r="G2524" s="1570"/>
      <c r="H2524" s="1570"/>
      <c r="I2524" s="1570"/>
      <c r="J2524" s="1584"/>
      <c r="X2524" s="768" t="b">
        <f t="shared" si="348"/>
        <v>1</v>
      </c>
    </row>
    <row r="2525" hidden="1" outlineLevel="2" spans="1:24">
      <c r="A2525" s="1565" t="s">
        <v>2809</v>
      </c>
      <c r="B2525" s="1571" t="s">
        <v>3851</v>
      </c>
      <c r="C2525" s="693" t="str">
        <f t="shared" si="347"/>
        <v>深圳新阳蓝光能源管理科技股份有限公司</v>
      </c>
      <c r="D2525" s="1566" t="s">
        <v>3886</v>
      </c>
      <c r="E2525" s="153" t="s">
        <v>2829</v>
      </c>
      <c r="F2525" s="1587"/>
      <c r="G2525" s="1587"/>
      <c r="H2525" s="1587"/>
      <c r="I2525" s="1570"/>
      <c r="J2525" s="1584"/>
      <c r="X2525" s="768" t="b">
        <f t="shared" si="348"/>
        <v>1</v>
      </c>
    </row>
    <row r="2526" hidden="1" outlineLevel="2" spans="2:24">
      <c r="B2526" s="1571" t="s">
        <v>3851</v>
      </c>
      <c r="C2526" s="693" t="str">
        <f t="shared" si="347"/>
        <v>深圳新阳蓝光能源管理科技股份有限公司</v>
      </c>
      <c r="D2526" s="1566" t="s">
        <v>3886</v>
      </c>
      <c r="E2526" s="1588"/>
      <c r="F2526" s="1570"/>
      <c r="G2526" s="1570"/>
      <c r="H2526" s="1570"/>
      <c r="I2526" s="1570"/>
      <c r="J2526" s="1584"/>
      <c r="X2526" s="768" t="b">
        <f t="shared" si="348"/>
        <v>1</v>
      </c>
    </row>
    <row r="2527" spans="1:24">
      <c r="A2527" s="1589" t="s">
        <v>2291</v>
      </c>
      <c r="B2527" s="692" t="s">
        <v>3890</v>
      </c>
      <c r="C2527" s="693" t="str">
        <f t="shared" si="347"/>
        <v>深圳新阳蓝光能源管理科技股份有限公司</v>
      </c>
      <c r="D2527" s="1590" t="s">
        <v>2291</v>
      </c>
      <c r="E2527" s="70" t="s">
        <v>3891</v>
      </c>
      <c r="F2527" s="1591" t="s">
        <v>1244</v>
      </c>
      <c r="G2527" s="1429" t="s">
        <v>3892</v>
      </c>
      <c r="H2527" s="1592"/>
      <c r="I2527" s="1429" t="s">
        <v>3892</v>
      </c>
      <c r="J2527" s="1584"/>
      <c r="K2527" s="1609"/>
      <c r="X2527" s="768" t="b">
        <f t="shared" si="348"/>
        <v>1</v>
      </c>
    </row>
    <row r="2528" outlineLevel="2" spans="1:24">
      <c r="A2528" s="1589" t="s">
        <v>315</v>
      </c>
      <c r="B2528" s="692" t="s">
        <v>3890</v>
      </c>
      <c r="C2528" s="693" t="str">
        <f t="shared" si="347"/>
        <v>深圳新阳蓝光能源管理科技股份有限公司</v>
      </c>
      <c r="D2528" s="1590" t="s">
        <v>2291</v>
      </c>
      <c r="E2528" s="1593" t="s">
        <v>3893</v>
      </c>
      <c r="F2528" s="1593" t="s">
        <v>3894</v>
      </c>
      <c r="G2528" s="1593" t="s">
        <v>3895</v>
      </c>
      <c r="H2528" s="1593" t="s">
        <v>3896</v>
      </c>
      <c r="I2528" s="1593" t="s">
        <v>3897</v>
      </c>
      <c r="J2528" s="1584"/>
      <c r="K2528" s="1609"/>
      <c r="X2528" s="768" t="b">
        <f t="shared" si="348"/>
        <v>1</v>
      </c>
    </row>
    <row r="2529" outlineLevel="2" spans="1:24">
      <c r="A2529" s="1589" t="s">
        <v>2293</v>
      </c>
      <c r="B2529" s="692" t="s">
        <v>3890</v>
      </c>
      <c r="C2529" s="693" t="str">
        <f t="shared" si="347"/>
        <v>深圳新阳蓝光能源管理科技股份有限公司</v>
      </c>
      <c r="D2529" s="1590" t="s">
        <v>2291</v>
      </c>
      <c r="E2529" s="1594" t="s">
        <v>2293</v>
      </c>
      <c r="F2529" s="136">
        <v>120055998.09</v>
      </c>
      <c r="G2529" s="743">
        <f>报表附注合并期初用!E2020</f>
        <v>54865717.44</v>
      </c>
      <c r="H2529" s="719">
        <f>60105468.68+资负表及利润表调整分录!G447</f>
        <v>65501451.94</v>
      </c>
      <c r="I2529" s="1212">
        <f>报表附注合并期初用!E2028</f>
        <v>29364509.85</v>
      </c>
      <c r="J2529" s="1609"/>
      <c r="K2529" s="1609"/>
      <c r="X2529" s="768" t="b">
        <f t="shared" si="348"/>
        <v>1</v>
      </c>
    </row>
    <row r="2530" outlineLevel="2" spans="1:24">
      <c r="A2530" s="1589" t="s">
        <v>2294</v>
      </c>
      <c r="B2530" s="692" t="s">
        <v>3890</v>
      </c>
      <c r="C2530" s="693" t="str">
        <f t="shared" ref="C2530:C2593" si="352">$G$1</f>
        <v>深圳新阳蓝光能源管理科技股份有限公司</v>
      </c>
      <c r="D2530" s="1590" t="s">
        <v>2291</v>
      </c>
      <c r="E2530" s="1594" t="s">
        <v>2294</v>
      </c>
      <c r="F2530" s="136">
        <v>41565.87</v>
      </c>
      <c r="G2530" s="743">
        <f>报表附注合并期初用!E2021</f>
        <v>0</v>
      </c>
      <c r="H2530" s="719"/>
      <c r="I2530" s="1212">
        <f>报表附注合并期初用!E2029</f>
        <v>0</v>
      </c>
      <c r="J2530" s="1609"/>
      <c r="K2530" s="1609"/>
      <c r="X2530" s="768" t="b">
        <f t="shared" ref="X2530:X2593" si="353">EXACT(A2530,E2530)</f>
        <v>1</v>
      </c>
    </row>
    <row r="2531" outlineLevel="2" spans="1:24">
      <c r="A2531" s="1589" t="s">
        <v>347</v>
      </c>
      <c r="B2531" s="692" t="s">
        <v>3890</v>
      </c>
      <c r="C2531" s="693" t="str">
        <f t="shared" si="352"/>
        <v>深圳新阳蓝光能源管理科技股份有限公司</v>
      </c>
      <c r="D2531" s="1590" t="s">
        <v>2291</v>
      </c>
      <c r="E2531" s="1593" t="s">
        <v>3744</v>
      </c>
      <c r="F2531" s="1595">
        <f>SUM(F2529:F2530)</f>
        <v>120097563.96</v>
      </c>
      <c r="G2531" s="1595">
        <f>SUM(G2529:G2530)</f>
        <v>54865717.44</v>
      </c>
      <c r="H2531" s="1595">
        <f t="shared" ref="H2531:I2531" si="354">SUM(H2529:H2530)</f>
        <v>65501451.94</v>
      </c>
      <c r="I2531" s="1595">
        <f t="shared" si="354"/>
        <v>29364509.85</v>
      </c>
      <c r="J2531" s="1609"/>
      <c r="K2531" s="1609"/>
      <c r="X2531" s="768" t="b">
        <f t="shared" si="353"/>
        <v>1</v>
      </c>
    </row>
    <row r="2532" outlineLevel="2" spans="1:24">
      <c r="A2532" s="1589" t="s">
        <v>1723</v>
      </c>
      <c r="B2532" s="692" t="s">
        <v>3890</v>
      </c>
      <c r="C2532" s="693" t="str">
        <f t="shared" si="352"/>
        <v>深圳新阳蓝光能源管理科技股份有限公司</v>
      </c>
      <c r="D2532" s="1590" t="s">
        <v>2291</v>
      </c>
      <c r="E2532" s="1361" t="s">
        <v>1723</v>
      </c>
      <c r="F2532" s="1596">
        <f>审定利润表!C6</f>
        <v>120097563.96</v>
      </c>
      <c r="G2532" s="1596">
        <f>审定利润表!D6</f>
        <v>54865717.44</v>
      </c>
      <c r="H2532" s="1596">
        <f>审定利润表!C7</f>
        <v>65501451.94</v>
      </c>
      <c r="I2532" s="1596">
        <f>审定利润表!D7</f>
        <v>29364509.85</v>
      </c>
      <c r="J2532" s="1609"/>
      <c r="K2532" s="1609"/>
      <c r="X2532" s="768" t="b">
        <f t="shared" si="353"/>
        <v>1</v>
      </c>
    </row>
    <row r="2533" outlineLevel="1" spans="1:24">
      <c r="A2533" s="1589" t="s">
        <v>1395</v>
      </c>
      <c r="B2533" s="692" t="s">
        <v>3890</v>
      </c>
      <c r="C2533" s="693" t="str">
        <f t="shared" si="352"/>
        <v>深圳新阳蓝光能源管理科技股份有限公司</v>
      </c>
      <c r="D2533" s="1590" t="s">
        <v>2291</v>
      </c>
      <c r="E2533" s="1361" t="s">
        <v>1395</v>
      </c>
      <c r="F2533" s="1007">
        <f>ROUND(F2531-F2532,2)</f>
        <v>0</v>
      </c>
      <c r="G2533" s="1007">
        <f t="shared" ref="G2533:I2533" si="355">ROUND(G2531-G2532,2)</f>
        <v>0</v>
      </c>
      <c r="H2533" s="1007">
        <f t="shared" si="355"/>
        <v>0</v>
      </c>
      <c r="I2533" s="1007">
        <f t="shared" si="355"/>
        <v>0</v>
      </c>
      <c r="J2533" s="1609"/>
      <c r="K2533" s="1609"/>
      <c r="X2533" s="768" t="b">
        <f t="shared" si="353"/>
        <v>1</v>
      </c>
    </row>
    <row r="2534" outlineLevel="2" spans="2:24">
      <c r="B2534" s="692" t="s">
        <v>3890</v>
      </c>
      <c r="C2534" s="693" t="str">
        <f t="shared" si="352"/>
        <v>深圳新阳蓝光能源管理科技股份有限公司</v>
      </c>
      <c r="D2534" s="1590" t="s">
        <v>2291</v>
      </c>
      <c r="E2534" s="1597"/>
      <c r="F2534" s="1598"/>
      <c r="G2534" s="1598"/>
      <c r="H2534" s="1599"/>
      <c r="I2534" s="1599"/>
      <c r="J2534" s="1609"/>
      <c r="K2534" s="1609"/>
      <c r="X2534" s="768" t="b">
        <f t="shared" si="353"/>
        <v>1</v>
      </c>
    </row>
    <row r="2535" outlineLevel="2" spans="1:24">
      <c r="A2535" s="1589" t="s">
        <v>3898</v>
      </c>
      <c r="B2535" s="692" t="s">
        <v>3890</v>
      </c>
      <c r="C2535" s="693" t="str">
        <f t="shared" si="352"/>
        <v>深圳新阳蓝光能源管理科技股份有限公司</v>
      </c>
      <c r="D2535" s="1590" t="s">
        <v>2298</v>
      </c>
      <c r="E2535" s="1586" t="s">
        <v>3899</v>
      </c>
      <c r="F2535" s="1600"/>
      <c r="G2535" s="1600"/>
      <c r="H2535" s="1600"/>
      <c r="I2535" s="1600"/>
      <c r="J2535" s="1600"/>
      <c r="K2535" s="1600"/>
      <c r="X2535" s="768" t="b">
        <f t="shared" si="353"/>
        <v>1</v>
      </c>
    </row>
    <row r="2536" outlineLevel="2" spans="1:24">
      <c r="A2536" s="1589" t="s">
        <v>3900</v>
      </c>
      <c r="B2536" s="692" t="s">
        <v>3890</v>
      </c>
      <c r="C2536" s="693" t="str">
        <f t="shared" si="352"/>
        <v>深圳新阳蓝光能源管理科技股份有限公司</v>
      </c>
      <c r="D2536" s="1590" t="s">
        <v>2298</v>
      </c>
      <c r="E2536" s="1593" t="s">
        <v>3901</v>
      </c>
      <c r="F2536" s="1593" t="s">
        <v>2293</v>
      </c>
      <c r="G2536" s="1593"/>
      <c r="H2536" s="1593" t="s">
        <v>3902</v>
      </c>
      <c r="I2536" s="1593"/>
      <c r="J2536" s="1593" t="s">
        <v>3903</v>
      </c>
      <c r="K2536" s="1593"/>
      <c r="X2536" s="768" t="b">
        <f t="shared" si="353"/>
        <v>1</v>
      </c>
    </row>
    <row r="2537" outlineLevel="2" spans="2:24">
      <c r="B2537" s="692" t="s">
        <v>3890</v>
      </c>
      <c r="C2537" s="693" t="str">
        <f t="shared" si="352"/>
        <v>深圳新阳蓝光能源管理科技股份有限公司</v>
      </c>
      <c r="D2537" s="1590" t="s">
        <v>2298</v>
      </c>
      <c r="E2537" s="1601"/>
      <c r="F2537" s="1593" t="s">
        <v>2347</v>
      </c>
      <c r="G2537" s="1593" t="s">
        <v>2351</v>
      </c>
      <c r="H2537" s="1593" t="s">
        <v>2347</v>
      </c>
      <c r="I2537" s="1593" t="s">
        <v>2351</v>
      </c>
      <c r="J2537" s="1593" t="s">
        <v>2347</v>
      </c>
      <c r="K2537" s="1593" t="s">
        <v>2351</v>
      </c>
      <c r="X2537" s="768" t="b">
        <f t="shared" si="353"/>
        <v>1</v>
      </c>
    </row>
    <row r="2538" outlineLevel="2" spans="1:24">
      <c r="A2538" s="1589" t="s">
        <v>2300</v>
      </c>
      <c r="B2538" s="692" t="s">
        <v>3890</v>
      </c>
      <c r="C2538" s="693" t="str">
        <f t="shared" si="352"/>
        <v>深圳新阳蓝光能源管理科技股份有限公司</v>
      </c>
      <c r="D2538" s="1590" t="s">
        <v>2298</v>
      </c>
      <c r="E2538" s="1602" t="s">
        <v>3904</v>
      </c>
      <c r="F2538" s="1021">
        <v>11671476.87</v>
      </c>
      <c r="G2538" s="1212">
        <f>报表附注合并期初用!E2050</f>
        <v>1843124.49</v>
      </c>
      <c r="H2538" s="1021">
        <v>10115880.75</v>
      </c>
      <c r="I2538" s="1212">
        <f>报表附注合并期初用!E2082</f>
        <v>3761933.16</v>
      </c>
      <c r="J2538" s="909">
        <f>F2538-H2538</f>
        <v>1555596.12</v>
      </c>
      <c r="K2538" s="909">
        <f>G2538-I2538</f>
        <v>-1918808.67</v>
      </c>
      <c r="L2538" s="1610"/>
      <c r="X2538" s="768" t="b">
        <f t="shared" si="353"/>
        <v>0</v>
      </c>
    </row>
    <row r="2539" outlineLevel="2" spans="1:24">
      <c r="A2539" s="1589" t="s">
        <v>2301</v>
      </c>
      <c r="B2539" s="692" t="s">
        <v>3890</v>
      </c>
      <c r="C2539" s="693" t="str">
        <f t="shared" si="352"/>
        <v>深圳新阳蓝光能源管理科技股份有限公司</v>
      </c>
      <c r="D2539" s="1590" t="s">
        <v>2298</v>
      </c>
      <c r="E2539" s="1602" t="s">
        <v>3905</v>
      </c>
      <c r="F2539" s="1021">
        <v>32487175.15</v>
      </c>
      <c r="G2539" s="1212">
        <f>报表附注合并期初用!E2051</f>
        <v>29916803.07</v>
      </c>
      <c r="H2539" s="1021">
        <v>10677338.52</v>
      </c>
      <c r="I2539" s="1212">
        <f>报表附注合并期初用!E2083</f>
        <v>10326191.08</v>
      </c>
      <c r="J2539" s="909">
        <f t="shared" ref="J2539:K2551" si="356">F2539-H2539</f>
        <v>21809836.63</v>
      </c>
      <c r="K2539" s="909">
        <f t="shared" si="356"/>
        <v>19590611.99</v>
      </c>
      <c r="L2539" s="1610"/>
      <c r="X2539" s="768" t="b">
        <f t="shared" si="353"/>
        <v>0</v>
      </c>
    </row>
    <row r="2540" outlineLevel="2" spans="1:24">
      <c r="A2540" s="1589" t="s">
        <v>2302</v>
      </c>
      <c r="B2540" s="692" t="s">
        <v>3890</v>
      </c>
      <c r="C2540" s="693" t="str">
        <f t="shared" si="352"/>
        <v>深圳新阳蓝光能源管理科技股份有限公司</v>
      </c>
      <c r="D2540" s="1590" t="s">
        <v>2298</v>
      </c>
      <c r="E2540" s="1602" t="s">
        <v>3906</v>
      </c>
      <c r="F2540" s="1021">
        <f>71858997.51-1144512.55</f>
        <v>70714484.96</v>
      </c>
      <c r="G2540" s="1212">
        <f>报表附注合并期初用!E2052</f>
        <v>18149154.14</v>
      </c>
      <c r="H2540" s="1021">
        <f>42616881.83-247952.13</f>
        <v>42368929.7</v>
      </c>
      <c r="I2540" s="1212">
        <f>报表附注合并期初用!E2084</f>
        <v>11750309.19</v>
      </c>
      <c r="J2540" s="909">
        <f t="shared" si="356"/>
        <v>28345555.26</v>
      </c>
      <c r="K2540" s="909">
        <f t="shared" si="356"/>
        <v>6398844.95</v>
      </c>
      <c r="L2540" s="1610"/>
      <c r="X2540" s="768" t="b">
        <f t="shared" si="353"/>
        <v>0</v>
      </c>
    </row>
    <row r="2541" outlineLevel="2" spans="1:24">
      <c r="A2541" s="1589" t="s">
        <v>2303</v>
      </c>
      <c r="B2541" s="692" t="s">
        <v>3890</v>
      </c>
      <c r="C2541" s="693" t="str">
        <f t="shared" si="352"/>
        <v>深圳新阳蓝光能源管理科技股份有限公司</v>
      </c>
      <c r="D2541" s="1590" t="s">
        <v>2298</v>
      </c>
      <c r="E2541" s="1602" t="s">
        <v>3907</v>
      </c>
      <c r="F2541" s="1021">
        <v>13478916.11</v>
      </c>
      <c r="G2541" s="1212">
        <f>报表附注合并期初用!E2053</f>
        <v>1139624</v>
      </c>
      <c r="H2541" s="1021">
        <v>763458.47</v>
      </c>
      <c r="I2541" s="1212">
        <f>报表附注合并期初用!E2085</f>
        <v>1012016.13</v>
      </c>
      <c r="J2541" s="909">
        <f t="shared" si="356"/>
        <v>12715457.64</v>
      </c>
      <c r="K2541" s="909">
        <f t="shared" si="356"/>
        <v>127607.87</v>
      </c>
      <c r="L2541" s="1610"/>
      <c r="X2541" s="768" t="b">
        <f t="shared" si="353"/>
        <v>0</v>
      </c>
    </row>
    <row r="2542" outlineLevel="2" spans="1:24">
      <c r="A2542" s="1589" t="s">
        <v>2304</v>
      </c>
      <c r="B2542" s="692" t="s">
        <v>3890</v>
      </c>
      <c r="C2542" s="693" t="str">
        <f t="shared" si="352"/>
        <v>深圳新阳蓝光能源管理科技股份有限公司</v>
      </c>
      <c r="D2542" s="1590" t="s">
        <v>2298</v>
      </c>
      <c r="E2542" s="1602" t="s">
        <v>3908</v>
      </c>
      <c r="F2542" s="1021"/>
      <c r="G2542" s="1212">
        <f>报表附注合并期初用!E2054</f>
        <v>0</v>
      </c>
      <c r="H2542" s="1021"/>
      <c r="I2542" s="1212">
        <f>报表附注合并期初用!E2086</f>
        <v>0</v>
      </c>
      <c r="J2542" s="909">
        <f t="shared" si="356"/>
        <v>0</v>
      </c>
      <c r="K2542" s="909">
        <f t="shared" si="356"/>
        <v>0</v>
      </c>
      <c r="L2542" s="1610"/>
      <c r="X2542" s="768" t="b">
        <f t="shared" si="353"/>
        <v>0</v>
      </c>
    </row>
    <row r="2543" outlineLevel="2" spans="1:24">
      <c r="A2543" s="1589" t="s">
        <v>2305</v>
      </c>
      <c r="B2543" s="692" t="s">
        <v>3890</v>
      </c>
      <c r="C2543" s="693" t="str">
        <f t="shared" si="352"/>
        <v>深圳新阳蓝光能源管理科技股份有限公司</v>
      </c>
      <c r="D2543" s="1590" t="s">
        <v>2298</v>
      </c>
      <c r="E2543" s="1602" t="s">
        <v>3909</v>
      </c>
      <c r="F2543" s="1021"/>
      <c r="G2543" s="1212">
        <f>报表附注合并期初用!E2055</f>
        <v>0</v>
      </c>
      <c r="H2543" s="1021"/>
      <c r="I2543" s="1212">
        <f>报表附注合并期初用!E2087</f>
        <v>0</v>
      </c>
      <c r="J2543" s="909">
        <f t="shared" si="356"/>
        <v>0</v>
      </c>
      <c r="K2543" s="909">
        <f t="shared" si="356"/>
        <v>0</v>
      </c>
      <c r="L2543" s="1610"/>
      <c r="X2543" s="768" t="b">
        <f t="shared" si="353"/>
        <v>1</v>
      </c>
    </row>
    <row r="2544" outlineLevel="2" spans="1:24">
      <c r="A2544" s="1589" t="s">
        <v>2306</v>
      </c>
      <c r="B2544" s="692" t="s">
        <v>3890</v>
      </c>
      <c r="C2544" s="693" t="str">
        <f t="shared" si="352"/>
        <v>深圳新阳蓝光能源管理科技股份有限公司</v>
      </c>
      <c r="D2544" s="1590" t="s">
        <v>2298</v>
      </c>
      <c r="E2544" s="1602" t="s">
        <v>3910</v>
      </c>
      <c r="F2544" s="1021"/>
      <c r="G2544" s="1212">
        <f>报表附注合并期初用!E2056</f>
        <v>0</v>
      </c>
      <c r="H2544" s="1021"/>
      <c r="I2544" s="1212">
        <f>报表附注合并期初用!E2088</f>
        <v>0</v>
      </c>
      <c r="J2544" s="909">
        <f t="shared" si="356"/>
        <v>0</v>
      </c>
      <c r="K2544" s="909">
        <f t="shared" si="356"/>
        <v>0</v>
      </c>
      <c r="X2544" s="768" t="b">
        <f t="shared" si="353"/>
        <v>0</v>
      </c>
    </row>
    <row r="2545" outlineLevel="2" spans="1:24">
      <c r="A2545" s="1589" t="s">
        <v>2307</v>
      </c>
      <c r="B2545" s="692" t="s">
        <v>3890</v>
      </c>
      <c r="C2545" s="693" t="str">
        <f t="shared" si="352"/>
        <v>深圳新阳蓝光能源管理科技股份有限公司</v>
      </c>
      <c r="D2545" s="1590" t="s">
        <v>2298</v>
      </c>
      <c r="E2545" s="1602" t="s">
        <v>3911</v>
      </c>
      <c r="F2545" s="1021"/>
      <c r="G2545" s="1212">
        <f>报表附注合并期初用!E2057</f>
        <v>0</v>
      </c>
      <c r="H2545" s="1021"/>
      <c r="I2545" s="1212">
        <f>报表附注合并期初用!E2089</f>
        <v>0</v>
      </c>
      <c r="J2545" s="909">
        <f t="shared" si="356"/>
        <v>0</v>
      </c>
      <c r="K2545" s="909">
        <f t="shared" si="356"/>
        <v>0</v>
      </c>
      <c r="X2545" s="768" t="b">
        <f t="shared" si="353"/>
        <v>1</v>
      </c>
    </row>
    <row r="2546" outlineLevel="2" spans="1:24">
      <c r="A2546" s="1589" t="s">
        <v>2308</v>
      </c>
      <c r="B2546" s="692" t="s">
        <v>3890</v>
      </c>
      <c r="C2546" s="693" t="str">
        <f t="shared" si="352"/>
        <v>深圳新阳蓝光能源管理科技股份有限公司</v>
      </c>
      <c r="D2546" s="1590" t="s">
        <v>2298</v>
      </c>
      <c r="E2546" s="1602" t="s">
        <v>3912</v>
      </c>
      <c r="F2546" s="1021"/>
      <c r="G2546" s="1212">
        <f>报表附注合并期初用!E2058</f>
        <v>0</v>
      </c>
      <c r="H2546" s="1021"/>
      <c r="I2546" s="1212">
        <f>报表附注合并期初用!E2090</f>
        <v>0</v>
      </c>
      <c r="J2546" s="909">
        <f t="shared" si="356"/>
        <v>0</v>
      </c>
      <c r="K2546" s="909">
        <f t="shared" si="356"/>
        <v>0</v>
      </c>
      <c r="X2546" s="768" t="b">
        <f t="shared" si="353"/>
        <v>1</v>
      </c>
    </row>
    <row r="2547" outlineLevel="2" spans="1:24">
      <c r="A2547" s="1589" t="s">
        <v>2309</v>
      </c>
      <c r="B2547" s="692" t="s">
        <v>3890</v>
      </c>
      <c r="C2547" s="693" t="str">
        <f t="shared" si="352"/>
        <v>深圳新阳蓝光能源管理科技股份有限公司</v>
      </c>
      <c r="D2547" s="1590" t="s">
        <v>2298</v>
      </c>
      <c r="E2547" s="1603" t="s">
        <v>3913</v>
      </c>
      <c r="F2547" s="1021"/>
      <c r="G2547" s="1212">
        <f>报表附注合并期初用!E2059</f>
        <v>0</v>
      </c>
      <c r="H2547" s="1021"/>
      <c r="I2547" s="1212">
        <f>报表附注合并期初用!E2091</f>
        <v>0</v>
      </c>
      <c r="J2547" s="909">
        <f t="shared" si="356"/>
        <v>0</v>
      </c>
      <c r="K2547" s="909">
        <f t="shared" si="356"/>
        <v>0</v>
      </c>
      <c r="X2547" s="768" t="b">
        <f t="shared" si="353"/>
        <v>1</v>
      </c>
    </row>
    <row r="2548" hidden="1" outlineLevel="2" spans="1:24">
      <c r="A2548" s="1589" t="s">
        <v>2310</v>
      </c>
      <c r="B2548" s="692" t="s">
        <v>3890</v>
      </c>
      <c r="C2548" s="693" t="str">
        <f t="shared" si="352"/>
        <v>深圳新阳蓝光能源管理科技股份有限公司</v>
      </c>
      <c r="D2548" s="1590" t="s">
        <v>2298</v>
      </c>
      <c r="E2548" s="1603" t="s">
        <v>3914</v>
      </c>
      <c r="F2548" s="1021"/>
      <c r="G2548" s="1212">
        <f>报表附注合并期初用!E2060</f>
        <v>0</v>
      </c>
      <c r="H2548" s="1021"/>
      <c r="I2548" s="1212">
        <f>报表附注合并期初用!E2092</f>
        <v>0</v>
      </c>
      <c r="J2548" s="909">
        <f t="shared" si="356"/>
        <v>0</v>
      </c>
      <c r="K2548" s="909">
        <f t="shared" si="356"/>
        <v>0</v>
      </c>
      <c r="X2548" s="768" t="b">
        <f t="shared" si="353"/>
        <v>1</v>
      </c>
    </row>
    <row r="2549" hidden="1" outlineLevel="2" spans="1:24">
      <c r="A2549" s="1589" t="s">
        <v>2311</v>
      </c>
      <c r="B2549" s="692" t="s">
        <v>3890</v>
      </c>
      <c r="C2549" s="693" t="str">
        <f t="shared" si="352"/>
        <v>深圳新阳蓝光能源管理科技股份有限公司</v>
      </c>
      <c r="D2549" s="1590" t="s">
        <v>2298</v>
      </c>
      <c r="E2549" s="1603" t="s">
        <v>3915</v>
      </c>
      <c r="F2549" s="719"/>
      <c r="G2549" s="1604">
        <f>报表附注合并期初用!E2061</f>
        <v>0</v>
      </c>
      <c r="H2549" s="719"/>
      <c r="I2549" s="1604">
        <f>报表附注合并期初用!E2093</f>
        <v>0</v>
      </c>
      <c r="J2549" s="909">
        <f t="shared" si="356"/>
        <v>0</v>
      </c>
      <c r="K2549" s="909">
        <f t="shared" si="356"/>
        <v>0</v>
      </c>
      <c r="X2549" s="768" t="b">
        <f t="shared" si="353"/>
        <v>1</v>
      </c>
    </row>
    <row r="2550" hidden="1" outlineLevel="2" spans="1:24">
      <c r="A2550" s="1589" t="s">
        <v>2312</v>
      </c>
      <c r="B2550" s="692" t="s">
        <v>3890</v>
      </c>
      <c r="C2550" s="693" t="str">
        <f t="shared" si="352"/>
        <v>深圳新阳蓝光能源管理科技股份有限公司</v>
      </c>
      <c r="D2550" s="1590" t="s">
        <v>2298</v>
      </c>
      <c r="E2550" s="1603" t="s">
        <v>3916</v>
      </c>
      <c r="F2550" s="719"/>
      <c r="G2550" s="1604">
        <f>报表附注合并期初用!E2062</f>
        <v>0</v>
      </c>
      <c r="H2550" s="719"/>
      <c r="I2550" s="1604">
        <f>报表附注合并期初用!E2094</f>
        <v>0</v>
      </c>
      <c r="J2550" s="909">
        <f t="shared" si="356"/>
        <v>0</v>
      </c>
      <c r="K2550" s="909">
        <f t="shared" si="356"/>
        <v>0</v>
      </c>
      <c r="X2550" s="768" t="b">
        <f t="shared" si="353"/>
        <v>1</v>
      </c>
    </row>
    <row r="2551" hidden="1" outlineLevel="2" spans="1:24">
      <c r="A2551" s="1589" t="s">
        <v>2313</v>
      </c>
      <c r="B2551" s="692" t="s">
        <v>3890</v>
      </c>
      <c r="C2551" s="693" t="str">
        <f t="shared" si="352"/>
        <v>深圳新阳蓝光能源管理科技股份有限公司</v>
      </c>
      <c r="D2551" s="1590" t="s">
        <v>2298</v>
      </c>
      <c r="E2551" s="1603" t="s">
        <v>3917</v>
      </c>
      <c r="F2551" s="719"/>
      <c r="G2551" s="1604">
        <f>报表附注合并期初用!E2063</f>
        <v>0</v>
      </c>
      <c r="H2551" s="719"/>
      <c r="I2551" s="1604">
        <f>报表附注合并期初用!E2095</f>
        <v>0</v>
      </c>
      <c r="J2551" s="909">
        <f t="shared" si="356"/>
        <v>0</v>
      </c>
      <c r="K2551" s="909">
        <f t="shared" si="356"/>
        <v>0</v>
      </c>
      <c r="X2551" s="768" t="b">
        <f t="shared" si="353"/>
        <v>1</v>
      </c>
    </row>
    <row r="2552" outlineLevel="2" spans="1:24">
      <c r="A2552" s="1589" t="s">
        <v>2021</v>
      </c>
      <c r="B2552" s="692" t="s">
        <v>3890</v>
      </c>
      <c r="C2552" s="693" t="str">
        <f t="shared" si="352"/>
        <v>深圳新阳蓝光能源管理科技股份有限公司</v>
      </c>
      <c r="D2552" s="1590" t="s">
        <v>2298</v>
      </c>
      <c r="E2552" s="1593" t="s">
        <v>2021</v>
      </c>
      <c r="F2552" s="139">
        <f>SUM(F2538:F2551)</f>
        <v>128352053.09</v>
      </c>
      <c r="G2552" s="139">
        <f t="shared" ref="G2552:K2552" si="357">SUM(G2538:G2551)</f>
        <v>51048705.7</v>
      </c>
      <c r="H2552" s="139">
        <f t="shared" si="357"/>
        <v>63925607.44</v>
      </c>
      <c r="I2552" s="139">
        <f t="shared" si="357"/>
        <v>26850449.56</v>
      </c>
      <c r="J2552" s="139">
        <f t="shared" si="357"/>
        <v>64426445.65</v>
      </c>
      <c r="K2552" s="139">
        <f t="shared" si="357"/>
        <v>24198256.14</v>
      </c>
      <c r="X2552" s="768" t="b">
        <f t="shared" si="353"/>
        <v>1</v>
      </c>
    </row>
    <row r="2553" outlineLevel="2" spans="1:24">
      <c r="A2553" s="1589" t="s">
        <v>3918</v>
      </c>
      <c r="B2553" s="692" t="s">
        <v>3890</v>
      </c>
      <c r="C2553" s="693" t="str">
        <f t="shared" si="352"/>
        <v>深圳新阳蓝光能源管理科技股份有限公司</v>
      </c>
      <c r="D2553" s="1590" t="s">
        <v>2298</v>
      </c>
      <c r="E2553" s="1605" t="s">
        <v>3918</v>
      </c>
      <c r="F2553" s="1007">
        <f>F2529-F2552</f>
        <v>-8296055</v>
      </c>
      <c r="G2553" s="1007">
        <f>G2529-G2552</f>
        <v>3817011.73999999</v>
      </c>
      <c r="H2553" s="1007">
        <f>H2529-H2552</f>
        <v>1575844.5</v>
      </c>
      <c r="I2553" s="1007">
        <f>I2529-I2552</f>
        <v>2514060.29</v>
      </c>
      <c r="J2553" s="145"/>
      <c r="K2553" s="145"/>
      <c r="X2553" s="768" t="b">
        <f t="shared" si="353"/>
        <v>1</v>
      </c>
    </row>
    <row r="2554" outlineLevel="2" spans="1:24">
      <c r="A2554" s="1589" t="s">
        <v>3919</v>
      </c>
      <c r="B2554" s="692" t="s">
        <v>3890</v>
      </c>
      <c r="C2554" s="693" t="str">
        <f t="shared" si="352"/>
        <v>深圳新阳蓝光能源管理科技股份有限公司</v>
      </c>
      <c r="D2554" s="1590" t="s">
        <v>2317</v>
      </c>
      <c r="E2554" s="708" t="s">
        <v>3920</v>
      </c>
      <c r="F2554" s="145"/>
      <c r="G2554" s="145"/>
      <c r="H2554" s="145"/>
      <c r="I2554" s="145"/>
      <c r="J2554" s="145"/>
      <c r="K2554" s="145"/>
      <c r="X2554" s="768" t="b">
        <f t="shared" si="353"/>
        <v>1</v>
      </c>
    </row>
    <row r="2555" outlineLevel="2" spans="1:24">
      <c r="A2555" s="1589" t="s">
        <v>3921</v>
      </c>
      <c r="B2555" s="692" t="s">
        <v>3890</v>
      </c>
      <c r="C2555" s="693" t="str">
        <f t="shared" si="352"/>
        <v>深圳新阳蓝光能源管理科技股份有限公司</v>
      </c>
      <c r="D2555" s="1590" t="s">
        <v>2317</v>
      </c>
      <c r="E2555" s="1606" t="s">
        <v>3921</v>
      </c>
      <c r="F2555" s="1606" t="s">
        <v>2293</v>
      </c>
      <c r="G2555" s="1606"/>
      <c r="H2555" s="1606" t="s">
        <v>3902</v>
      </c>
      <c r="I2555" s="1606"/>
      <c r="J2555" s="919" t="s">
        <v>2966</v>
      </c>
      <c r="K2555" s="145"/>
      <c r="X2555" s="768" t="b">
        <f t="shared" si="353"/>
        <v>1</v>
      </c>
    </row>
    <row r="2556" customHeight="1" outlineLevel="2" spans="2:24">
      <c r="B2556" s="692" t="s">
        <v>3890</v>
      </c>
      <c r="C2556" s="693" t="str">
        <f t="shared" si="352"/>
        <v>深圳新阳蓝光能源管理科技股份有限公司</v>
      </c>
      <c r="D2556" s="1590" t="s">
        <v>2317</v>
      </c>
      <c r="E2556" s="1606"/>
      <c r="F2556" s="1606" t="s">
        <v>2347</v>
      </c>
      <c r="G2556" s="1606" t="s">
        <v>2351</v>
      </c>
      <c r="H2556" s="1606" t="s">
        <v>2347</v>
      </c>
      <c r="I2556" s="1606" t="s">
        <v>2351</v>
      </c>
      <c r="J2556" s="900"/>
      <c r="K2556" s="145"/>
      <c r="X2556" s="768" t="b">
        <f t="shared" si="353"/>
        <v>1</v>
      </c>
    </row>
    <row r="2557" outlineLevel="2" spans="1:24">
      <c r="A2557" s="1589" t="s">
        <v>2318</v>
      </c>
      <c r="B2557" s="692" t="s">
        <v>3890</v>
      </c>
      <c r="C2557" s="693" t="str">
        <f t="shared" si="352"/>
        <v>深圳新阳蓝光能源管理科技股份有限公司</v>
      </c>
      <c r="D2557" s="1590" t="s">
        <v>2317</v>
      </c>
      <c r="E2557" s="1602" t="s">
        <v>3922</v>
      </c>
      <c r="F2557" s="1607">
        <f>F2552</f>
        <v>128352053.09</v>
      </c>
      <c r="G2557" s="1608">
        <f>报表附注合并期初用!E2115</f>
        <v>51048705.7</v>
      </c>
      <c r="H2557" s="1607">
        <f>H2552</f>
        <v>63925607.44</v>
      </c>
      <c r="I2557" s="1608">
        <f>报表附注合并期初用!E2145</f>
        <v>0</v>
      </c>
      <c r="J2557" s="145"/>
      <c r="K2557" s="145"/>
      <c r="X2557" s="768" t="b">
        <f t="shared" si="353"/>
        <v>0</v>
      </c>
    </row>
    <row r="2558" outlineLevel="2" spans="1:24">
      <c r="A2558" s="1589" t="s">
        <v>2319</v>
      </c>
      <c r="B2558" s="692" t="s">
        <v>3890</v>
      </c>
      <c r="C2558" s="693" t="str">
        <f t="shared" si="352"/>
        <v>深圳新阳蓝光能源管理科技股份有限公司</v>
      </c>
      <c r="D2558" s="1590" t="s">
        <v>2317</v>
      </c>
      <c r="E2558" s="1602" t="s">
        <v>3923</v>
      </c>
      <c r="F2558" s="1607"/>
      <c r="G2558" s="1608">
        <f>报表附注合并期初用!E2116</f>
        <v>0</v>
      </c>
      <c r="H2558" s="1607"/>
      <c r="I2558" s="1608">
        <f>报表附注合并期初用!E2146</f>
        <v>0</v>
      </c>
      <c r="J2558" s="145"/>
      <c r="K2558" s="145"/>
      <c r="X2558" s="768" t="b">
        <f t="shared" si="353"/>
        <v>0</v>
      </c>
    </row>
    <row r="2559" outlineLevel="2" spans="1:24">
      <c r="A2559" s="1589" t="s">
        <v>2320</v>
      </c>
      <c r="B2559" s="692" t="s">
        <v>3890</v>
      </c>
      <c r="C2559" s="693" t="str">
        <f t="shared" si="352"/>
        <v>深圳新阳蓝光能源管理科技股份有限公司</v>
      </c>
      <c r="D2559" s="1590" t="s">
        <v>2317</v>
      </c>
      <c r="E2559" s="1602" t="s">
        <v>3924</v>
      </c>
      <c r="F2559" s="1607"/>
      <c r="G2559" s="1608">
        <f>报表附注合并期初用!E2117</f>
        <v>0</v>
      </c>
      <c r="H2559" s="1607"/>
      <c r="I2559" s="1608">
        <f>报表附注合并期初用!E2147</f>
        <v>0</v>
      </c>
      <c r="J2559" s="145"/>
      <c r="K2559" s="145"/>
      <c r="X2559" s="768" t="b">
        <f t="shared" si="353"/>
        <v>0</v>
      </c>
    </row>
    <row r="2560" outlineLevel="2" spans="1:24">
      <c r="A2560" s="1589" t="s">
        <v>2321</v>
      </c>
      <c r="B2560" s="692" t="s">
        <v>3890</v>
      </c>
      <c r="C2560" s="693" t="str">
        <f t="shared" si="352"/>
        <v>深圳新阳蓝光能源管理科技股份有限公司</v>
      </c>
      <c r="D2560" s="1590" t="s">
        <v>2317</v>
      </c>
      <c r="E2560" s="1602" t="s">
        <v>3925</v>
      </c>
      <c r="F2560" s="1607"/>
      <c r="G2560" s="1608">
        <f>报表附注合并期初用!E2118</f>
        <v>0</v>
      </c>
      <c r="H2560" s="1607"/>
      <c r="I2560" s="1608">
        <f>报表附注合并期初用!E2148</f>
        <v>0</v>
      </c>
      <c r="J2560" s="145"/>
      <c r="K2560" s="145"/>
      <c r="X2560" s="768" t="b">
        <f t="shared" si="353"/>
        <v>0</v>
      </c>
    </row>
    <row r="2561" outlineLevel="2" spans="1:24">
      <c r="A2561" s="1589" t="s">
        <v>2322</v>
      </c>
      <c r="B2561" s="692" t="s">
        <v>3890</v>
      </c>
      <c r="C2561" s="693" t="str">
        <f t="shared" si="352"/>
        <v>深圳新阳蓝光能源管理科技股份有限公司</v>
      </c>
      <c r="D2561" s="1590" t="s">
        <v>2317</v>
      </c>
      <c r="E2561" s="1602" t="s">
        <v>3908</v>
      </c>
      <c r="F2561" s="1607"/>
      <c r="G2561" s="1608">
        <f>报表附注合并期初用!E2119</f>
        <v>0</v>
      </c>
      <c r="H2561" s="1607"/>
      <c r="I2561" s="1608">
        <f>报表附注合并期初用!E2149</f>
        <v>0</v>
      </c>
      <c r="J2561" s="145"/>
      <c r="K2561" s="145"/>
      <c r="X2561" s="768" t="b">
        <f t="shared" si="353"/>
        <v>0</v>
      </c>
    </row>
    <row r="2562" outlineLevel="2" spans="1:24">
      <c r="A2562" s="1589" t="s">
        <v>2323</v>
      </c>
      <c r="B2562" s="692" t="s">
        <v>3890</v>
      </c>
      <c r="C2562" s="693" t="str">
        <f t="shared" si="352"/>
        <v>深圳新阳蓝光能源管理科技股份有限公司</v>
      </c>
      <c r="D2562" s="1590" t="s">
        <v>2317</v>
      </c>
      <c r="E2562" s="1602" t="s">
        <v>3909</v>
      </c>
      <c r="F2562" s="1607"/>
      <c r="G2562" s="1608">
        <f>报表附注合并期初用!E2120</f>
        <v>0</v>
      </c>
      <c r="H2562" s="1607"/>
      <c r="I2562" s="1608">
        <f>报表附注合并期初用!E2150</f>
        <v>0</v>
      </c>
      <c r="J2562" s="145"/>
      <c r="K2562" s="145"/>
      <c r="X2562" s="768" t="b">
        <f t="shared" si="353"/>
        <v>0</v>
      </c>
    </row>
    <row r="2563" outlineLevel="2" spans="1:24">
      <c r="A2563" s="1589" t="s">
        <v>2324</v>
      </c>
      <c r="B2563" s="692" t="s">
        <v>3890</v>
      </c>
      <c r="C2563" s="693" t="str">
        <f t="shared" si="352"/>
        <v>深圳新阳蓝光能源管理科技股份有限公司</v>
      </c>
      <c r="D2563" s="1590" t="s">
        <v>2317</v>
      </c>
      <c r="E2563" s="1602" t="s">
        <v>3910</v>
      </c>
      <c r="F2563" s="1607"/>
      <c r="G2563" s="1608">
        <f>报表附注合并期初用!E2121</f>
        <v>0</v>
      </c>
      <c r="H2563" s="1607"/>
      <c r="I2563" s="1608">
        <f>报表附注合并期初用!E2151</f>
        <v>0</v>
      </c>
      <c r="J2563" s="145"/>
      <c r="K2563" s="145"/>
      <c r="X2563" s="768" t="b">
        <f t="shared" si="353"/>
        <v>0</v>
      </c>
    </row>
    <row r="2564" outlineLevel="2" spans="1:24">
      <c r="A2564" s="1589" t="s">
        <v>2325</v>
      </c>
      <c r="B2564" s="692" t="s">
        <v>3890</v>
      </c>
      <c r="C2564" s="693" t="str">
        <f t="shared" si="352"/>
        <v>深圳新阳蓝光能源管理科技股份有限公司</v>
      </c>
      <c r="D2564" s="1590" t="s">
        <v>2317</v>
      </c>
      <c r="E2564" s="1602" t="s">
        <v>3911</v>
      </c>
      <c r="F2564" s="1607"/>
      <c r="G2564" s="1608">
        <f>报表附注合并期初用!E2122</f>
        <v>0</v>
      </c>
      <c r="H2564" s="1607"/>
      <c r="I2564" s="1608">
        <f>报表附注合并期初用!E2152</f>
        <v>0</v>
      </c>
      <c r="J2564" s="145"/>
      <c r="K2564" s="145"/>
      <c r="X2564" s="768" t="b">
        <f t="shared" si="353"/>
        <v>0</v>
      </c>
    </row>
    <row r="2565" outlineLevel="2" spans="1:24">
      <c r="A2565" s="1589" t="s">
        <v>2326</v>
      </c>
      <c r="B2565" s="692" t="s">
        <v>3890</v>
      </c>
      <c r="C2565" s="693" t="str">
        <f t="shared" si="352"/>
        <v>深圳新阳蓝光能源管理科技股份有限公司</v>
      </c>
      <c r="D2565" s="1590" t="s">
        <v>2317</v>
      </c>
      <c r="E2565" s="1602" t="s">
        <v>3912</v>
      </c>
      <c r="F2565" s="1607"/>
      <c r="G2565" s="1608">
        <f>报表附注合并期初用!E2123</f>
        <v>0</v>
      </c>
      <c r="H2565" s="1607"/>
      <c r="I2565" s="1608">
        <f>报表附注合并期初用!E2153</f>
        <v>0</v>
      </c>
      <c r="J2565" s="145"/>
      <c r="K2565" s="145"/>
      <c r="X2565" s="768" t="b">
        <f t="shared" si="353"/>
        <v>0</v>
      </c>
    </row>
    <row r="2566" outlineLevel="2" spans="1:24">
      <c r="A2566" s="1589" t="s">
        <v>2327</v>
      </c>
      <c r="B2566" s="692" t="s">
        <v>3890</v>
      </c>
      <c r="C2566" s="693" t="str">
        <f t="shared" si="352"/>
        <v>深圳新阳蓝光能源管理科技股份有限公司</v>
      </c>
      <c r="D2566" s="1590" t="s">
        <v>2317</v>
      </c>
      <c r="E2566" s="1603" t="s">
        <v>3913</v>
      </c>
      <c r="F2566" s="1607"/>
      <c r="G2566" s="1608">
        <f>报表附注合并期初用!E2124</f>
        <v>0</v>
      </c>
      <c r="H2566" s="1607"/>
      <c r="I2566" s="1608">
        <f>报表附注合并期初用!E2154</f>
        <v>0</v>
      </c>
      <c r="J2566" s="145"/>
      <c r="K2566" s="145"/>
      <c r="X2566" s="768" t="b">
        <f t="shared" si="353"/>
        <v>0</v>
      </c>
    </row>
    <row r="2567" hidden="1" outlineLevel="2" spans="1:24">
      <c r="A2567" s="1589" t="s">
        <v>2328</v>
      </c>
      <c r="B2567" s="692" t="s">
        <v>3890</v>
      </c>
      <c r="C2567" s="693" t="str">
        <f t="shared" si="352"/>
        <v>深圳新阳蓝光能源管理科技股份有限公司</v>
      </c>
      <c r="D2567" s="1590" t="s">
        <v>2317</v>
      </c>
      <c r="E2567" s="1611" t="s">
        <v>3926</v>
      </c>
      <c r="F2567" s="1607"/>
      <c r="G2567" s="1608">
        <f>报表附注合并期初用!E2125</f>
        <v>0</v>
      </c>
      <c r="H2567" s="1607"/>
      <c r="I2567" s="1608">
        <f>报表附注合并期初用!E2155</f>
        <v>0</v>
      </c>
      <c r="J2567" s="145"/>
      <c r="K2567" s="145"/>
      <c r="X2567" s="768" t="b">
        <f t="shared" si="353"/>
        <v>1</v>
      </c>
    </row>
    <row r="2568" hidden="1" outlineLevel="2" spans="1:24">
      <c r="A2568" s="1589" t="s">
        <v>2329</v>
      </c>
      <c r="B2568" s="692" t="s">
        <v>3890</v>
      </c>
      <c r="C2568" s="693" t="str">
        <f t="shared" si="352"/>
        <v>深圳新阳蓝光能源管理科技股份有限公司</v>
      </c>
      <c r="D2568" s="1590" t="s">
        <v>2317</v>
      </c>
      <c r="E2568" s="1611" t="s">
        <v>3927</v>
      </c>
      <c r="F2568" s="1607"/>
      <c r="G2568" s="1608">
        <f>报表附注合并期初用!E2126</f>
        <v>0</v>
      </c>
      <c r="H2568" s="1607"/>
      <c r="I2568" s="1608">
        <f>报表附注合并期初用!E2156</f>
        <v>0</v>
      </c>
      <c r="J2568" s="145"/>
      <c r="K2568" s="145"/>
      <c r="X2568" s="768" t="b">
        <f t="shared" si="353"/>
        <v>1</v>
      </c>
    </row>
    <row r="2569" hidden="1" outlineLevel="2" spans="1:24">
      <c r="A2569" s="1589" t="s">
        <v>2330</v>
      </c>
      <c r="B2569" s="692" t="s">
        <v>3890</v>
      </c>
      <c r="C2569" s="693" t="str">
        <f t="shared" si="352"/>
        <v>深圳新阳蓝光能源管理科技股份有限公司</v>
      </c>
      <c r="D2569" s="1590" t="s">
        <v>2317</v>
      </c>
      <c r="E2569" s="1611" t="s">
        <v>3928</v>
      </c>
      <c r="F2569" s="1607"/>
      <c r="G2569" s="1608">
        <f>报表附注合并期初用!E2127</f>
        <v>0</v>
      </c>
      <c r="H2569" s="1607"/>
      <c r="I2569" s="1608">
        <f>报表附注合并期初用!E2157</f>
        <v>0</v>
      </c>
      <c r="J2569" s="145"/>
      <c r="K2569" s="145"/>
      <c r="X2569" s="768" t="b">
        <f t="shared" si="353"/>
        <v>1</v>
      </c>
    </row>
    <row r="2570" outlineLevel="2" spans="1:24">
      <c r="A2570" s="1589" t="s">
        <v>2021</v>
      </c>
      <c r="B2570" s="692" t="s">
        <v>3890</v>
      </c>
      <c r="C2570" s="693" t="str">
        <f t="shared" si="352"/>
        <v>深圳新阳蓝光能源管理科技股份有限公司</v>
      </c>
      <c r="D2570" s="1590" t="s">
        <v>2317</v>
      </c>
      <c r="E2570" s="1606" t="s">
        <v>2021</v>
      </c>
      <c r="F2570" s="909">
        <f>SUM(F2557:F2569)</f>
        <v>128352053.09</v>
      </c>
      <c r="G2570" s="909">
        <f t="shared" ref="G2570:I2570" si="358">SUM(G2557:G2569)</f>
        <v>51048705.7</v>
      </c>
      <c r="H2570" s="909">
        <f t="shared" si="358"/>
        <v>63925607.44</v>
      </c>
      <c r="I2570" s="909">
        <f t="shared" si="358"/>
        <v>0</v>
      </c>
      <c r="J2570" s="145"/>
      <c r="K2570" s="145"/>
      <c r="X2570" s="768" t="b">
        <f t="shared" si="353"/>
        <v>1</v>
      </c>
    </row>
    <row r="2571" outlineLevel="2" spans="1:24">
      <c r="A2571" s="1589" t="s">
        <v>3918</v>
      </c>
      <c r="B2571" s="692" t="s">
        <v>3890</v>
      </c>
      <c r="C2571" s="693" t="str">
        <f t="shared" si="352"/>
        <v>深圳新阳蓝光能源管理科技股份有限公司</v>
      </c>
      <c r="D2571" s="1590" t="s">
        <v>2317</v>
      </c>
      <c r="E2571" s="1605" t="s">
        <v>3918</v>
      </c>
      <c r="F2571" s="1007">
        <f>F2529-F2570</f>
        <v>-8296055</v>
      </c>
      <c r="G2571" s="1007">
        <f t="shared" ref="G2571:I2571" si="359">G2529-G2570</f>
        <v>3817011.73999999</v>
      </c>
      <c r="H2571" s="1007">
        <f t="shared" si="359"/>
        <v>1575844.5</v>
      </c>
      <c r="I2571" s="1007">
        <f t="shared" si="359"/>
        <v>29364509.85</v>
      </c>
      <c r="J2571" s="145"/>
      <c r="K2571" s="145"/>
      <c r="X2571" s="768" t="b">
        <f t="shared" si="353"/>
        <v>1</v>
      </c>
    </row>
    <row r="2572" outlineLevel="2" spans="1:24">
      <c r="A2572" s="1589" t="s">
        <v>3929</v>
      </c>
      <c r="B2572" s="692" t="s">
        <v>3890</v>
      </c>
      <c r="C2572" s="693" t="str">
        <f t="shared" si="352"/>
        <v>深圳新阳蓝光能源管理科技股份有限公司</v>
      </c>
      <c r="D2572" s="1590" t="s">
        <v>2331</v>
      </c>
      <c r="E2572" s="708" t="s">
        <v>3930</v>
      </c>
      <c r="F2572" s="145"/>
      <c r="G2572" s="145"/>
      <c r="H2572" s="145"/>
      <c r="I2572" s="145"/>
      <c r="J2572" s="145"/>
      <c r="K2572" s="145"/>
      <c r="X2572" s="768" t="b">
        <f t="shared" si="353"/>
        <v>1</v>
      </c>
    </row>
    <row r="2573" outlineLevel="2" spans="1:24">
      <c r="A2573" s="1589" t="s">
        <v>3931</v>
      </c>
      <c r="B2573" s="692" t="s">
        <v>3890</v>
      </c>
      <c r="C2573" s="693" t="str">
        <f t="shared" si="352"/>
        <v>深圳新阳蓝光能源管理科技股份有限公司</v>
      </c>
      <c r="D2573" s="1590" t="s">
        <v>2331</v>
      </c>
      <c r="E2573" s="1606" t="s">
        <v>3931</v>
      </c>
      <c r="F2573" s="1606" t="s">
        <v>2293</v>
      </c>
      <c r="G2573" s="1606"/>
      <c r="H2573" s="1606" t="s">
        <v>3902</v>
      </c>
      <c r="I2573" s="1606"/>
      <c r="J2573" s="919" t="s">
        <v>2966</v>
      </c>
      <c r="K2573" s="145"/>
      <c r="X2573" s="768" t="b">
        <f t="shared" si="353"/>
        <v>1</v>
      </c>
    </row>
    <row r="2574" outlineLevel="2" spans="2:24">
      <c r="B2574" s="692" t="s">
        <v>3890</v>
      </c>
      <c r="C2574" s="693" t="str">
        <f t="shared" si="352"/>
        <v>深圳新阳蓝光能源管理科技股份有限公司</v>
      </c>
      <c r="D2574" s="1590" t="s">
        <v>2331</v>
      </c>
      <c r="E2574" s="1606"/>
      <c r="F2574" s="1606" t="s">
        <v>2347</v>
      </c>
      <c r="G2574" s="1606" t="s">
        <v>2351</v>
      </c>
      <c r="H2574" s="1606" t="s">
        <v>2347</v>
      </c>
      <c r="I2574" s="1606" t="s">
        <v>2351</v>
      </c>
      <c r="J2574" s="900"/>
      <c r="K2574" s="145"/>
      <c r="X2574" s="768" t="b">
        <f t="shared" si="353"/>
        <v>1</v>
      </c>
    </row>
    <row r="2575" outlineLevel="2" spans="1:24">
      <c r="A2575" s="1589" t="s">
        <v>2332</v>
      </c>
      <c r="B2575" s="692" t="s">
        <v>3890</v>
      </c>
      <c r="C2575" s="693" t="str">
        <f t="shared" si="352"/>
        <v>深圳新阳蓝光能源管理科技股份有限公司</v>
      </c>
      <c r="D2575" s="1590" t="s">
        <v>2331</v>
      </c>
      <c r="E2575" s="1602" t="s">
        <v>3932</v>
      </c>
      <c r="F2575" s="1607">
        <f>F2557</f>
        <v>128352053.09</v>
      </c>
      <c r="G2575" s="1608">
        <f>报表附注合并期初用!E2177</f>
        <v>51048705.7</v>
      </c>
      <c r="H2575" s="1607">
        <f>H2557</f>
        <v>63925607.44</v>
      </c>
      <c r="I2575" s="1608">
        <f>报表附注合并期初用!E2207</f>
        <v>0</v>
      </c>
      <c r="J2575" s="145"/>
      <c r="K2575" s="145"/>
      <c r="X2575" s="768" t="b">
        <f t="shared" si="353"/>
        <v>0</v>
      </c>
    </row>
    <row r="2576" outlineLevel="2" spans="1:24">
      <c r="A2576" s="1589" t="s">
        <v>2333</v>
      </c>
      <c r="B2576" s="692" t="s">
        <v>3890</v>
      </c>
      <c r="C2576" s="693" t="str">
        <f t="shared" si="352"/>
        <v>深圳新阳蓝光能源管理科技股份有限公司</v>
      </c>
      <c r="D2576" s="1590" t="s">
        <v>2331</v>
      </c>
      <c r="E2576" s="1602" t="s">
        <v>3933</v>
      </c>
      <c r="F2576" s="1607"/>
      <c r="G2576" s="1608">
        <f>报表附注合并期初用!E2178</f>
        <v>0</v>
      </c>
      <c r="H2576" s="1607"/>
      <c r="I2576" s="1608">
        <f>报表附注合并期初用!E2208</f>
        <v>0</v>
      </c>
      <c r="J2576" s="145"/>
      <c r="K2576" s="145"/>
      <c r="X2576" s="768" t="b">
        <f t="shared" si="353"/>
        <v>0</v>
      </c>
    </row>
    <row r="2577" outlineLevel="2" spans="1:24">
      <c r="A2577" s="1589" t="s">
        <v>2334</v>
      </c>
      <c r="B2577" s="692" t="s">
        <v>3890</v>
      </c>
      <c r="C2577" s="693" t="str">
        <f t="shared" si="352"/>
        <v>深圳新阳蓝光能源管理科技股份有限公司</v>
      </c>
      <c r="D2577" s="1590" t="s">
        <v>2331</v>
      </c>
      <c r="E2577" s="1602" t="s">
        <v>3934</v>
      </c>
      <c r="F2577" s="1607"/>
      <c r="G2577" s="1608">
        <f>报表附注合并期初用!E2179</f>
        <v>0</v>
      </c>
      <c r="H2577" s="1607"/>
      <c r="I2577" s="1608">
        <f>报表附注合并期初用!E2209</f>
        <v>0</v>
      </c>
      <c r="J2577" s="145"/>
      <c r="K2577" s="145"/>
      <c r="X2577" s="768" t="b">
        <f t="shared" si="353"/>
        <v>0</v>
      </c>
    </row>
    <row r="2578" hidden="1" outlineLevel="2" spans="1:24">
      <c r="A2578" s="1589" t="s">
        <v>2335</v>
      </c>
      <c r="B2578" s="692" t="s">
        <v>3890</v>
      </c>
      <c r="C2578" s="693" t="str">
        <f t="shared" si="352"/>
        <v>深圳新阳蓝光能源管理科技股份有限公司</v>
      </c>
      <c r="D2578" s="1590" t="s">
        <v>2331</v>
      </c>
      <c r="E2578" s="1611"/>
      <c r="F2578" s="1607"/>
      <c r="G2578" s="1608">
        <f>报表附注合并期初用!E2180</f>
        <v>0</v>
      </c>
      <c r="H2578" s="1607"/>
      <c r="I2578" s="1608">
        <f>报表附注合并期初用!E2210</f>
        <v>0</v>
      </c>
      <c r="J2578" s="145"/>
      <c r="K2578" s="145"/>
      <c r="X2578" s="768" t="b">
        <f t="shared" si="353"/>
        <v>0</v>
      </c>
    </row>
    <row r="2579" hidden="1" outlineLevel="2" spans="1:24">
      <c r="A2579" s="1589" t="s">
        <v>2336</v>
      </c>
      <c r="B2579" s="692" t="s">
        <v>3890</v>
      </c>
      <c r="C2579" s="693" t="str">
        <f t="shared" si="352"/>
        <v>深圳新阳蓝光能源管理科技股份有限公司</v>
      </c>
      <c r="D2579" s="1590" t="s">
        <v>2331</v>
      </c>
      <c r="E2579" s="1611"/>
      <c r="F2579" s="1607"/>
      <c r="G2579" s="1608">
        <f>报表附注合并期初用!E2181</f>
        <v>0</v>
      </c>
      <c r="H2579" s="1607"/>
      <c r="I2579" s="1608">
        <f>报表附注合并期初用!E2211</f>
        <v>0</v>
      </c>
      <c r="J2579" s="145"/>
      <c r="K2579" s="145"/>
      <c r="X2579" s="768" t="b">
        <f t="shared" si="353"/>
        <v>0</v>
      </c>
    </row>
    <row r="2580" hidden="1" outlineLevel="2" spans="1:24">
      <c r="A2580" s="1589" t="s">
        <v>2337</v>
      </c>
      <c r="B2580" s="692" t="s">
        <v>3890</v>
      </c>
      <c r="C2580" s="693" t="str">
        <f t="shared" si="352"/>
        <v>深圳新阳蓝光能源管理科技股份有限公司</v>
      </c>
      <c r="D2580" s="1590" t="s">
        <v>2331</v>
      </c>
      <c r="E2580" s="1611" t="s">
        <v>3935</v>
      </c>
      <c r="F2580" s="1607"/>
      <c r="G2580" s="1608">
        <f>报表附注合并期初用!E2182</f>
        <v>0</v>
      </c>
      <c r="H2580" s="1607"/>
      <c r="I2580" s="1608">
        <f>报表附注合并期初用!E2212</f>
        <v>0</v>
      </c>
      <c r="J2580" s="145"/>
      <c r="K2580" s="145"/>
      <c r="X2580" s="768" t="b">
        <f t="shared" si="353"/>
        <v>1</v>
      </c>
    </row>
    <row r="2581" hidden="1" outlineLevel="2" spans="1:24">
      <c r="A2581" s="1589" t="s">
        <v>2338</v>
      </c>
      <c r="B2581" s="692" t="s">
        <v>3890</v>
      </c>
      <c r="C2581" s="693" t="str">
        <f t="shared" si="352"/>
        <v>深圳新阳蓝光能源管理科技股份有限公司</v>
      </c>
      <c r="D2581" s="1590" t="s">
        <v>2331</v>
      </c>
      <c r="E2581" s="1611" t="s">
        <v>3936</v>
      </c>
      <c r="F2581" s="1607"/>
      <c r="G2581" s="1608">
        <f>报表附注合并期初用!E2183</f>
        <v>0</v>
      </c>
      <c r="H2581" s="1607"/>
      <c r="I2581" s="1608">
        <f>报表附注合并期初用!E2213</f>
        <v>0</v>
      </c>
      <c r="J2581" s="145"/>
      <c r="K2581" s="145"/>
      <c r="X2581" s="768" t="b">
        <f t="shared" si="353"/>
        <v>1</v>
      </c>
    </row>
    <row r="2582" hidden="1" outlineLevel="2" spans="1:24">
      <c r="A2582" s="1589" t="s">
        <v>2339</v>
      </c>
      <c r="B2582" s="692" t="s">
        <v>3890</v>
      </c>
      <c r="C2582" s="693" t="str">
        <f t="shared" si="352"/>
        <v>深圳新阳蓝光能源管理科技股份有限公司</v>
      </c>
      <c r="D2582" s="1590" t="s">
        <v>2331</v>
      </c>
      <c r="E2582" s="1611" t="s">
        <v>3937</v>
      </c>
      <c r="F2582" s="1607"/>
      <c r="G2582" s="1608">
        <f>报表附注合并期初用!E2184</f>
        <v>0</v>
      </c>
      <c r="H2582" s="1607"/>
      <c r="I2582" s="1608">
        <f>报表附注合并期初用!E2214</f>
        <v>0</v>
      </c>
      <c r="J2582" s="145"/>
      <c r="K2582" s="145"/>
      <c r="X2582" s="768" t="b">
        <f t="shared" si="353"/>
        <v>1</v>
      </c>
    </row>
    <row r="2583" hidden="1" outlineLevel="2" spans="1:24">
      <c r="A2583" s="1589" t="s">
        <v>2340</v>
      </c>
      <c r="B2583" s="692" t="s">
        <v>3890</v>
      </c>
      <c r="C2583" s="693" t="str">
        <f t="shared" si="352"/>
        <v>深圳新阳蓝光能源管理科技股份有限公司</v>
      </c>
      <c r="D2583" s="1590" t="s">
        <v>2331</v>
      </c>
      <c r="E2583" s="1611" t="s">
        <v>3938</v>
      </c>
      <c r="F2583" s="1607"/>
      <c r="G2583" s="1608">
        <f>报表附注合并期初用!E2185</f>
        <v>0</v>
      </c>
      <c r="H2583" s="1607"/>
      <c r="I2583" s="1608">
        <f>报表附注合并期初用!E2215</f>
        <v>0</v>
      </c>
      <c r="J2583" s="145"/>
      <c r="K2583" s="145"/>
      <c r="X2583" s="768" t="b">
        <f t="shared" si="353"/>
        <v>1</v>
      </c>
    </row>
    <row r="2584" hidden="1" outlineLevel="2" spans="1:24">
      <c r="A2584" s="1589" t="s">
        <v>2341</v>
      </c>
      <c r="B2584" s="692" t="s">
        <v>3890</v>
      </c>
      <c r="C2584" s="693" t="str">
        <f t="shared" si="352"/>
        <v>深圳新阳蓝光能源管理科技股份有限公司</v>
      </c>
      <c r="D2584" s="1590" t="s">
        <v>2331</v>
      </c>
      <c r="E2584" s="1611" t="s">
        <v>3939</v>
      </c>
      <c r="F2584" s="1607"/>
      <c r="G2584" s="1608">
        <f>报表附注合并期初用!E2186</f>
        <v>0</v>
      </c>
      <c r="H2584" s="1607"/>
      <c r="I2584" s="1608">
        <f>报表附注合并期初用!E2216</f>
        <v>0</v>
      </c>
      <c r="J2584" s="145"/>
      <c r="K2584" s="145"/>
      <c r="X2584" s="768" t="b">
        <f t="shared" si="353"/>
        <v>1</v>
      </c>
    </row>
    <row r="2585" hidden="1" outlineLevel="2" spans="1:24">
      <c r="A2585" s="1589" t="s">
        <v>2342</v>
      </c>
      <c r="B2585" s="692" t="s">
        <v>3890</v>
      </c>
      <c r="C2585" s="693" t="str">
        <f t="shared" si="352"/>
        <v>深圳新阳蓝光能源管理科技股份有限公司</v>
      </c>
      <c r="D2585" s="1590" t="s">
        <v>2331</v>
      </c>
      <c r="E2585" s="1611" t="s">
        <v>3940</v>
      </c>
      <c r="F2585" s="1607"/>
      <c r="G2585" s="1608">
        <f>报表附注合并期初用!E2187</f>
        <v>0</v>
      </c>
      <c r="H2585" s="1607"/>
      <c r="I2585" s="1608">
        <f>报表附注合并期初用!E2217</f>
        <v>0</v>
      </c>
      <c r="J2585" s="145"/>
      <c r="K2585" s="145"/>
      <c r="X2585" s="768" t="b">
        <f t="shared" si="353"/>
        <v>1</v>
      </c>
    </row>
    <row r="2586" hidden="1" outlineLevel="2" spans="1:24">
      <c r="A2586" s="1589" t="s">
        <v>2343</v>
      </c>
      <c r="B2586" s="692" t="s">
        <v>3890</v>
      </c>
      <c r="C2586" s="693" t="str">
        <f t="shared" si="352"/>
        <v>深圳新阳蓝光能源管理科技股份有限公司</v>
      </c>
      <c r="D2586" s="1590" t="s">
        <v>2331</v>
      </c>
      <c r="E2586" s="1611" t="s">
        <v>3941</v>
      </c>
      <c r="F2586" s="1607"/>
      <c r="G2586" s="1608">
        <f>报表附注合并期初用!E2188</f>
        <v>0</v>
      </c>
      <c r="H2586" s="1607"/>
      <c r="I2586" s="1608">
        <f>报表附注合并期初用!E2218</f>
        <v>0</v>
      </c>
      <c r="J2586" s="145"/>
      <c r="K2586" s="145"/>
      <c r="X2586" s="768" t="b">
        <f t="shared" si="353"/>
        <v>1</v>
      </c>
    </row>
    <row r="2587" hidden="1" outlineLevel="2" spans="1:24">
      <c r="A2587" s="1589" t="s">
        <v>2344</v>
      </c>
      <c r="B2587" s="692" t="s">
        <v>3890</v>
      </c>
      <c r="C2587" s="693" t="str">
        <f t="shared" si="352"/>
        <v>深圳新阳蓝光能源管理科技股份有限公司</v>
      </c>
      <c r="D2587" s="1590" t="s">
        <v>2331</v>
      </c>
      <c r="E2587" s="1611" t="s">
        <v>3942</v>
      </c>
      <c r="F2587" s="1607"/>
      <c r="G2587" s="1608">
        <f>报表附注合并期初用!E2189</f>
        <v>0</v>
      </c>
      <c r="H2587" s="1607"/>
      <c r="I2587" s="1608">
        <f>报表附注合并期初用!E2219</f>
        <v>0</v>
      </c>
      <c r="J2587" s="145"/>
      <c r="K2587" s="145"/>
      <c r="X2587" s="768" t="b">
        <f t="shared" si="353"/>
        <v>1</v>
      </c>
    </row>
    <row r="2588" outlineLevel="2" spans="1:24">
      <c r="A2588" s="1589" t="s">
        <v>2021</v>
      </c>
      <c r="B2588" s="692" t="s">
        <v>3890</v>
      </c>
      <c r="C2588" s="693" t="str">
        <f t="shared" si="352"/>
        <v>深圳新阳蓝光能源管理科技股份有限公司</v>
      </c>
      <c r="D2588" s="1590" t="s">
        <v>2331</v>
      </c>
      <c r="E2588" s="1606" t="s">
        <v>2021</v>
      </c>
      <c r="F2588" s="909">
        <f>SUM(F2575:F2587)</f>
        <v>128352053.09</v>
      </c>
      <c r="G2588" s="909">
        <f t="shared" ref="G2588:I2588" si="360">SUM(G2575:G2587)</f>
        <v>51048705.7</v>
      </c>
      <c r="H2588" s="909">
        <f t="shared" si="360"/>
        <v>63925607.44</v>
      </c>
      <c r="I2588" s="909">
        <f t="shared" si="360"/>
        <v>0</v>
      </c>
      <c r="J2588" s="145"/>
      <c r="K2588" s="145"/>
      <c r="X2588" s="768" t="b">
        <f t="shared" si="353"/>
        <v>1</v>
      </c>
    </row>
    <row r="2589" outlineLevel="2" spans="1:24">
      <c r="A2589" s="1589" t="s">
        <v>3918</v>
      </c>
      <c r="B2589" s="692" t="s">
        <v>3890</v>
      </c>
      <c r="C2589" s="693" t="str">
        <f t="shared" si="352"/>
        <v>深圳新阳蓝光能源管理科技股份有限公司</v>
      </c>
      <c r="D2589" s="1590" t="s">
        <v>2331</v>
      </c>
      <c r="E2589" s="1605" t="s">
        <v>3918</v>
      </c>
      <c r="F2589" s="1007">
        <f>F2588-F2529</f>
        <v>8296055</v>
      </c>
      <c r="G2589" s="1007">
        <f t="shared" ref="G2589:I2589" si="361">G2588-G2529</f>
        <v>-3817011.73999999</v>
      </c>
      <c r="H2589" s="1007">
        <f t="shared" si="361"/>
        <v>-1575844.5</v>
      </c>
      <c r="I2589" s="1007">
        <f t="shared" si="361"/>
        <v>-29364509.85</v>
      </c>
      <c r="J2589" s="145"/>
      <c r="K2589" s="145"/>
      <c r="X2589" s="768" t="b">
        <f t="shared" si="353"/>
        <v>1</v>
      </c>
    </row>
    <row r="2590" hidden="1" outlineLevel="2" spans="1:24">
      <c r="A2590" s="1589" t="s">
        <v>3943</v>
      </c>
      <c r="B2590" s="692" t="s">
        <v>3890</v>
      </c>
      <c r="C2590" s="693" t="str">
        <f t="shared" si="352"/>
        <v>深圳新阳蓝光能源管理科技股份有限公司</v>
      </c>
      <c r="D2590" s="1590" t="s">
        <v>3943</v>
      </c>
      <c r="E2590" s="153" t="s">
        <v>3944</v>
      </c>
      <c r="F2590" s="1598"/>
      <c r="G2590" s="1598"/>
      <c r="H2590" s="1599"/>
      <c r="I2590" s="1599"/>
      <c r="J2590" s="1609"/>
      <c r="K2590" s="1609"/>
      <c r="X2590" s="768" t="b">
        <f t="shared" si="353"/>
        <v>1</v>
      </c>
    </row>
    <row r="2591" hidden="1" outlineLevel="2" spans="2:24">
      <c r="B2591" s="692" t="s">
        <v>3890</v>
      </c>
      <c r="C2591" s="693" t="str">
        <f t="shared" si="352"/>
        <v>深圳新阳蓝光能源管理科技股份有限公司</v>
      </c>
      <c r="D2591" s="1590" t="s">
        <v>3943</v>
      </c>
      <c r="E2591" s="153"/>
      <c r="F2591" s="1598"/>
      <c r="G2591" s="1598"/>
      <c r="H2591" s="1599"/>
      <c r="I2591" s="1599"/>
      <c r="J2591" s="1609"/>
      <c r="K2591" s="1609"/>
      <c r="X2591" s="768" t="b">
        <f t="shared" si="353"/>
        <v>1</v>
      </c>
    </row>
    <row r="2592" hidden="1" outlineLevel="2" spans="1:24">
      <c r="A2592" s="1589" t="s">
        <v>470</v>
      </c>
      <c r="B2592" s="692" t="s">
        <v>3890</v>
      </c>
      <c r="C2592" s="693" t="str">
        <f t="shared" si="352"/>
        <v>深圳新阳蓝光能源管理科技股份有限公司</v>
      </c>
      <c r="D2592" s="1590" t="s">
        <v>3943</v>
      </c>
      <c r="E2592" s="1606" t="s">
        <v>470</v>
      </c>
      <c r="F2592" s="1606" t="s">
        <v>3945</v>
      </c>
      <c r="G2592" s="1606" t="s">
        <v>3946</v>
      </c>
      <c r="H2592" s="1599"/>
      <c r="I2592" s="1599"/>
      <c r="J2592" s="1609"/>
      <c r="K2592" s="1609"/>
      <c r="X2592" s="768" t="b">
        <f t="shared" si="353"/>
        <v>1</v>
      </c>
    </row>
    <row r="2593" hidden="1" outlineLevel="2" spans="2:24">
      <c r="B2593" s="692" t="s">
        <v>3890</v>
      </c>
      <c r="C2593" s="693" t="str">
        <f t="shared" si="352"/>
        <v>深圳新阳蓝光能源管理科技股份有限公司</v>
      </c>
      <c r="D2593" s="1590" t="s">
        <v>3943</v>
      </c>
      <c r="E2593" s="1612"/>
      <c r="F2593" s="1612"/>
      <c r="G2593" s="1613">
        <f>IFERROR(ROUND(F2593/$F$2531,4),0)</f>
        <v>0</v>
      </c>
      <c r="H2593" s="1599"/>
      <c r="I2593" s="1599"/>
      <c r="J2593" s="1609"/>
      <c r="K2593" s="1609"/>
      <c r="X2593" s="768" t="b">
        <f t="shared" si="353"/>
        <v>1</v>
      </c>
    </row>
    <row r="2594" hidden="1" outlineLevel="2" spans="2:24">
      <c r="B2594" s="692" t="s">
        <v>3890</v>
      </c>
      <c r="C2594" s="693" t="str">
        <f t="shared" ref="C2594:C2657" si="362">$G$1</f>
        <v>深圳新阳蓝光能源管理科技股份有限公司</v>
      </c>
      <c r="D2594" s="1590" t="s">
        <v>3943</v>
      </c>
      <c r="E2594" s="1612"/>
      <c r="F2594" s="1612"/>
      <c r="G2594" s="1613">
        <f t="shared" ref="G2594:G2597" si="363">IFERROR(ROUND(F2594/$F$2531,4),0)</f>
        <v>0</v>
      </c>
      <c r="H2594" s="1599"/>
      <c r="I2594" s="1599"/>
      <c r="J2594" s="1609"/>
      <c r="K2594" s="1609"/>
      <c r="X2594" s="768" t="b">
        <f t="shared" ref="X2594:X2657" si="364">EXACT(A2594,E2594)</f>
        <v>1</v>
      </c>
    </row>
    <row r="2595" hidden="1" outlineLevel="2" spans="2:24">
      <c r="B2595" s="692" t="s">
        <v>3890</v>
      </c>
      <c r="C2595" s="693" t="str">
        <f t="shared" si="362"/>
        <v>深圳新阳蓝光能源管理科技股份有限公司</v>
      </c>
      <c r="D2595" s="1590" t="s">
        <v>3943</v>
      </c>
      <c r="E2595" s="1612"/>
      <c r="F2595" s="1612"/>
      <c r="G2595" s="1613">
        <f t="shared" si="363"/>
        <v>0</v>
      </c>
      <c r="H2595" s="1599"/>
      <c r="I2595" s="1599"/>
      <c r="J2595" s="1609"/>
      <c r="K2595" s="1609"/>
      <c r="X2595" s="768" t="b">
        <f t="shared" si="364"/>
        <v>1</v>
      </c>
    </row>
    <row r="2596" hidden="1" outlineLevel="2" spans="2:24">
      <c r="B2596" s="692" t="s">
        <v>3890</v>
      </c>
      <c r="C2596" s="693" t="str">
        <f t="shared" si="362"/>
        <v>深圳新阳蓝光能源管理科技股份有限公司</v>
      </c>
      <c r="D2596" s="1590" t="s">
        <v>3943</v>
      </c>
      <c r="E2596" s="1612"/>
      <c r="F2596" s="1612"/>
      <c r="G2596" s="1613">
        <f t="shared" si="363"/>
        <v>0</v>
      </c>
      <c r="H2596" s="1599"/>
      <c r="I2596" s="1599"/>
      <c r="J2596" s="1609"/>
      <c r="K2596" s="1609"/>
      <c r="X2596" s="768" t="b">
        <f t="shared" si="364"/>
        <v>1</v>
      </c>
    </row>
    <row r="2597" hidden="1" outlineLevel="2" spans="2:24">
      <c r="B2597" s="692" t="s">
        <v>3890</v>
      </c>
      <c r="C2597" s="693" t="str">
        <f t="shared" si="362"/>
        <v>深圳新阳蓝光能源管理科技股份有限公司</v>
      </c>
      <c r="D2597" s="1590" t="s">
        <v>3943</v>
      </c>
      <c r="E2597" s="1612"/>
      <c r="F2597" s="1612"/>
      <c r="G2597" s="1613">
        <f t="shared" si="363"/>
        <v>0</v>
      </c>
      <c r="H2597" s="1599"/>
      <c r="I2597" s="1599"/>
      <c r="J2597" s="1609"/>
      <c r="K2597" s="1609"/>
      <c r="X2597" s="768" t="b">
        <f t="shared" si="364"/>
        <v>1</v>
      </c>
    </row>
    <row r="2598" hidden="1" outlineLevel="2" spans="1:24">
      <c r="A2598" s="1589" t="s">
        <v>2021</v>
      </c>
      <c r="B2598" s="692" t="s">
        <v>3890</v>
      </c>
      <c r="C2598" s="693" t="str">
        <f t="shared" si="362"/>
        <v>深圳新阳蓝光能源管理科技股份有限公司</v>
      </c>
      <c r="D2598" s="1590" t="s">
        <v>3943</v>
      </c>
      <c r="E2598" s="1606" t="s">
        <v>2021</v>
      </c>
      <c r="F2598" s="909">
        <f>SUM(F2593:F2597)</f>
        <v>0</v>
      </c>
      <c r="G2598" s="1613">
        <f>SUM(G2593:G2597)</f>
        <v>0</v>
      </c>
      <c r="H2598" s="1599"/>
      <c r="I2598" s="1599"/>
      <c r="J2598" s="1609"/>
      <c r="K2598" s="1609"/>
      <c r="X2598" s="768" t="b">
        <f t="shared" si="364"/>
        <v>1</v>
      </c>
    </row>
    <row r="2599" outlineLevel="2" spans="2:24">
      <c r="B2599" s="692" t="s">
        <v>3890</v>
      </c>
      <c r="C2599" s="693" t="str">
        <f t="shared" si="362"/>
        <v>深圳新阳蓝光能源管理科技股份有限公司</v>
      </c>
      <c r="D2599" s="1590" t="s">
        <v>3943</v>
      </c>
      <c r="E2599" s="1614"/>
      <c r="F2599" s="1599"/>
      <c r="G2599" s="1599"/>
      <c r="H2599" s="1599"/>
      <c r="I2599" s="1599"/>
      <c r="J2599" s="1609"/>
      <c r="K2599" s="1609"/>
      <c r="X2599" s="768" t="b">
        <f t="shared" si="364"/>
        <v>1</v>
      </c>
    </row>
    <row r="2600" outlineLevel="2" spans="2:24">
      <c r="B2600" s="692" t="s">
        <v>3890</v>
      </c>
      <c r="C2600" s="693" t="str">
        <f t="shared" si="362"/>
        <v>深圳新阳蓝光能源管理科技股份有限公司</v>
      </c>
      <c r="D2600" s="1590" t="s">
        <v>3943</v>
      </c>
      <c r="E2600" s="1614"/>
      <c r="F2600" s="1599"/>
      <c r="G2600" s="1599"/>
      <c r="H2600" s="1599"/>
      <c r="I2600" s="1599"/>
      <c r="J2600" s="1609"/>
      <c r="K2600" s="1609"/>
      <c r="X2600" s="768" t="b">
        <f t="shared" si="364"/>
        <v>1</v>
      </c>
    </row>
    <row r="2601" hidden="1" outlineLevel="2" spans="1:24">
      <c r="A2601" s="1589" t="s">
        <v>3947</v>
      </c>
      <c r="B2601" s="692" t="s">
        <v>3890</v>
      </c>
      <c r="C2601" s="693" t="str">
        <f t="shared" si="362"/>
        <v>深圳新阳蓝光能源管理科技股份有限公司</v>
      </c>
      <c r="D2601" s="1590" t="s">
        <v>3947</v>
      </c>
      <c r="E2601" s="153" t="s">
        <v>3948</v>
      </c>
      <c r="F2601" s="1598"/>
      <c r="G2601" s="1598"/>
      <c r="H2601" s="1599"/>
      <c r="I2601" s="1599"/>
      <c r="J2601" s="1609"/>
      <c r="K2601" s="1609"/>
      <c r="X2601" s="768" t="b">
        <f t="shared" si="364"/>
        <v>1</v>
      </c>
    </row>
    <row r="2602" hidden="1" outlineLevel="2" spans="1:24">
      <c r="A2602" s="1589" t="s">
        <v>2809</v>
      </c>
      <c r="B2602" s="692" t="s">
        <v>3890</v>
      </c>
      <c r="C2602" s="693" t="str">
        <f t="shared" si="362"/>
        <v>深圳新阳蓝光能源管理科技股份有限公司</v>
      </c>
      <c r="D2602" s="1590" t="s">
        <v>3947</v>
      </c>
      <c r="E2602" s="153" t="s">
        <v>2829</v>
      </c>
      <c r="F2602" s="1615"/>
      <c r="G2602" s="1615"/>
      <c r="H2602" s="1599"/>
      <c r="I2602" s="1599"/>
      <c r="J2602" s="1609"/>
      <c r="K2602" s="1609"/>
      <c r="X2602" s="768" t="b">
        <f t="shared" si="364"/>
        <v>1</v>
      </c>
    </row>
    <row r="2603" collapsed="1" spans="1:24">
      <c r="A2603" s="1589" t="s">
        <v>3949</v>
      </c>
      <c r="B2603" s="692" t="s">
        <v>3890</v>
      </c>
      <c r="C2603" s="693" t="str">
        <f t="shared" si="362"/>
        <v>深圳新阳蓝光能源管理科技股份有限公司</v>
      </c>
      <c r="D2603" s="1590" t="s">
        <v>3949</v>
      </c>
      <c r="E2603" s="1233" t="s">
        <v>3950</v>
      </c>
      <c r="F2603" s="1598"/>
      <c r="G2603" s="1598"/>
      <c r="H2603" s="1599"/>
      <c r="I2603" s="1599"/>
      <c r="J2603" s="1609"/>
      <c r="K2603" s="1609"/>
      <c r="X2603" s="768" t="b">
        <f t="shared" si="364"/>
        <v>1</v>
      </c>
    </row>
    <row r="2604" hidden="1" customHeight="1" outlineLevel="2" spans="1:24">
      <c r="A2604" s="1589" t="s">
        <v>1266</v>
      </c>
      <c r="B2604" s="692" t="s">
        <v>3890</v>
      </c>
      <c r="C2604" s="693" t="str">
        <f t="shared" si="362"/>
        <v>深圳新阳蓝光能源管理科技股份有限公司</v>
      </c>
      <c r="D2604" s="1590" t="s">
        <v>3949</v>
      </c>
      <c r="E2604" s="1031" t="s">
        <v>1266</v>
      </c>
      <c r="F2604" s="1031"/>
      <c r="G2604" s="1031" t="s">
        <v>1267</v>
      </c>
      <c r="H2604" s="1031" t="s">
        <v>3951</v>
      </c>
      <c r="I2604" s="1031" t="s">
        <v>1269</v>
      </c>
      <c r="J2604" s="1031" t="s">
        <v>3952</v>
      </c>
      <c r="K2604" s="1609"/>
      <c r="X2604" s="768" t="b">
        <f t="shared" si="364"/>
        <v>1</v>
      </c>
    </row>
    <row r="2605" hidden="1" customHeight="1" outlineLevel="2" spans="2:24">
      <c r="B2605" s="692" t="s">
        <v>3890</v>
      </c>
      <c r="C2605" s="693" t="str">
        <f t="shared" si="362"/>
        <v>深圳新阳蓝光能源管理科技股份有限公司</v>
      </c>
      <c r="D2605" s="1590" t="s">
        <v>3949</v>
      </c>
      <c r="E2605" s="1031"/>
      <c r="F2605" s="1031"/>
      <c r="G2605" s="1031"/>
      <c r="H2605" s="1031" t="s">
        <v>1245</v>
      </c>
      <c r="I2605" s="1031" t="s">
        <v>3953</v>
      </c>
      <c r="J2605" s="1031" t="s">
        <v>3954</v>
      </c>
      <c r="K2605" s="1609"/>
      <c r="X2605" s="768" t="b">
        <f t="shared" si="364"/>
        <v>1</v>
      </c>
    </row>
    <row r="2606" hidden="1" outlineLevel="2" spans="1:24">
      <c r="A2606" s="1589" t="s">
        <v>3955</v>
      </c>
      <c r="B2606" s="692" t="s">
        <v>3890</v>
      </c>
      <c r="C2606" s="693" t="str">
        <f t="shared" si="362"/>
        <v>深圳新阳蓝光能源管理科技股份有限公司</v>
      </c>
      <c r="D2606" s="1590" t="s">
        <v>3949</v>
      </c>
      <c r="E2606" s="1053" t="s">
        <v>3955</v>
      </c>
      <c r="F2606" s="1031">
        <v>1</v>
      </c>
      <c r="G2606" s="136"/>
      <c r="H2606" s="136"/>
      <c r="I2606" s="136"/>
      <c r="J2606" s="136"/>
      <c r="K2606" s="1609"/>
      <c r="X2606" s="768" t="b">
        <f t="shared" si="364"/>
        <v>1</v>
      </c>
    </row>
    <row r="2607" hidden="1" outlineLevel="2" spans="1:24">
      <c r="A2607" s="1589" t="s">
        <v>3955</v>
      </c>
      <c r="B2607" s="692" t="s">
        <v>3890</v>
      </c>
      <c r="C2607" s="693" t="str">
        <f t="shared" si="362"/>
        <v>深圳新阳蓝光能源管理科技股份有限公司</v>
      </c>
      <c r="D2607" s="1590" t="s">
        <v>3949</v>
      </c>
      <c r="E2607" s="1053" t="s">
        <v>3955</v>
      </c>
      <c r="F2607" s="1031">
        <v>2</v>
      </c>
      <c r="G2607" s="136"/>
      <c r="H2607" s="136"/>
      <c r="I2607" s="136"/>
      <c r="J2607" s="136"/>
      <c r="K2607" s="1609"/>
      <c r="X2607" s="768" t="b">
        <f t="shared" si="364"/>
        <v>1</v>
      </c>
    </row>
    <row r="2608" hidden="1" outlineLevel="2" spans="1:24">
      <c r="A2608" s="1589" t="s">
        <v>3955</v>
      </c>
      <c r="B2608" s="692" t="s">
        <v>3890</v>
      </c>
      <c r="C2608" s="693" t="str">
        <f t="shared" si="362"/>
        <v>深圳新阳蓝光能源管理科技股份有限公司</v>
      </c>
      <c r="D2608" s="1590" t="s">
        <v>3949</v>
      </c>
      <c r="E2608" s="1053" t="s">
        <v>3955</v>
      </c>
      <c r="F2608" s="1031">
        <v>3</v>
      </c>
      <c r="G2608" s="136"/>
      <c r="H2608" s="136"/>
      <c r="I2608" s="136"/>
      <c r="J2608" s="136"/>
      <c r="K2608" s="1609"/>
      <c r="X2608" s="768" t="b">
        <f t="shared" si="364"/>
        <v>1</v>
      </c>
    </row>
    <row r="2609" hidden="1" outlineLevel="2" spans="1:24">
      <c r="A2609" s="1589" t="s">
        <v>3955</v>
      </c>
      <c r="B2609" s="692" t="s">
        <v>3890</v>
      </c>
      <c r="C2609" s="693" t="str">
        <f t="shared" si="362"/>
        <v>深圳新阳蓝光能源管理科技股份有限公司</v>
      </c>
      <c r="D2609" s="1590" t="s">
        <v>3949</v>
      </c>
      <c r="E2609" s="1053" t="s">
        <v>3955</v>
      </c>
      <c r="F2609" s="1031">
        <v>4</v>
      </c>
      <c r="G2609" s="136"/>
      <c r="H2609" s="136"/>
      <c r="I2609" s="136"/>
      <c r="J2609" s="136"/>
      <c r="K2609" s="1609"/>
      <c r="X2609" s="768" t="b">
        <f t="shared" si="364"/>
        <v>1</v>
      </c>
    </row>
    <row r="2610" hidden="1" outlineLevel="2" spans="1:24">
      <c r="A2610" s="1589" t="s">
        <v>3955</v>
      </c>
      <c r="B2610" s="692" t="s">
        <v>3890</v>
      </c>
      <c r="C2610" s="693" t="str">
        <f t="shared" si="362"/>
        <v>深圳新阳蓝光能源管理科技股份有限公司</v>
      </c>
      <c r="D2610" s="1590" t="s">
        <v>3949</v>
      </c>
      <c r="E2610" s="1053" t="s">
        <v>3955</v>
      </c>
      <c r="F2610" s="1031">
        <v>5</v>
      </c>
      <c r="G2610" s="136"/>
      <c r="H2610" s="136"/>
      <c r="I2610" s="136"/>
      <c r="J2610" s="136"/>
      <c r="K2610" s="1609"/>
      <c r="X2610" s="768" t="b">
        <f t="shared" si="364"/>
        <v>1</v>
      </c>
    </row>
    <row r="2611" hidden="1" outlineLevel="2" spans="1:24">
      <c r="A2611" s="1589" t="s">
        <v>3955</v>
      </c>
      <c r="B2611" s="692" t="s">
        <v>3890</v>
      </c>
      <c r="C2611" s="693" t="str">
        <f t="shared" si="362"/>
        <v>深圳新阳蓝光能源管理科技股份有限公司</v>
      </c>
      <c r="D2611" s="1590" t="s">
        <v>3949</v>
      </c>
      <c r="E2611" s="1053" t="s">
        <v>3955</v>
      </c>
      <c r="F2611" s="1031" t="s">
        <v>2021</v>
      </c>
      <c r="G2611" s="139">
        <f>SUM(G2606:G2610)</f>
        <v>0</v>
      </c>
      <c r="H2611" s="139">
        <f t="shared" ref="H2611:J2611" si="365">SUM(H2606:H2610)</f>
        <v>0</v>
      </c>
      <c r="I2611" s="139">
        <f t="shared" si="365"/>
        <v>0</v>
      </c>
      <c r="J2611" s="139">
        <f t="shared" si="365"/>
        <v>0</v>
      </c>
      <c r="K2611" s="1609"/>
      <c r="X2611" s="768" t="b">
        <f t="shared" si="364"/>
        <v>1</v>
      </c>
    </row>
    <row r="2612" hidden="1" outlineLevel="2" spans="1:24">
      <c r="A2612" s="1589" t="s">
        <v>3956</v>
      </c>
      <c r="B2612" s="692" t="s">
        <v>3890</v>
      </c>
      <c r="C2612" s="693" t="str">
        <f t="shared" si="362"/>
        <v>深圳新阳蓝光能源管理科技股份有限公司</v>
      </c>
      <c r="D2612" s="1590" t="s">
        <v>3949</v>
      </c>
      <c r="E2612" s="1053" t="s">
        <v>3956</v>
      </c>
      <c r="F2612" s="1031">
        <v>1</v>
      </c>
      <c r="G2612" s="136"/>
      <c r="H2612" s="136"/>
      <c r="I2612" s="136"/>
      <c r="J2612" s="136"/>
      <c r="K2612" s="1609"/>
      <c r="X2612" s="768" t="b">
        <f t="shared" si="364"/>
        <v>1</v>
      </c>
    </row>
    <row r="2613" hidden="1" outlineLevel="2" spans="1:24">
      <c r="A2613" s="1589" t="s">
        <v>3956</v>
      </c>
      <c r="B2613" s="692" t="s">
        <v>3890</v>
      </c>
      <c r="C2613" s="693" t="str">
        <f t="shared" si="362"/>
        <v>深圳新阳蓝光能源管理科技股份有限公司</v>
      </c>
      <c r="D2613" s="1590" t="s">
        <v>3949</v>
      </c>
      <c r="E2613" s="1053" t="s">
        <v>3956</v>
      </c>
      <c r="F2613" s="1031">
        <v>2</v>
      </c>
      <c r="G2613" s="136"/>
      <c r="H2613" s="136"/>
      <c r="I2613" s="136"/>
      <c r="J2613" s="136"/>
      <c r="K2613" s="1609"/>
      <c r="X2613" s="768" t="b">
        <f t="shared" si="364"/>
        <v>1</v>
      </c>
    </row>
    <row r="2614" hidden="1" outlineLevel="2" spans="1:24">
      <c r="A2614" s="1589" t="s">
        <v>3956</v>
      </c>
      <c r="B2614" s="692" t="s">
        <v>3890</v>
      </c>
      <c r="C2614" s="693" t="str">
        <f t="shared" si="362"/>
        <v>深圳新阳蓝光能源管理科技股份有限公司</v>
      </c>
      <c r="D2614" s="1590" t="s">
        <v>3949</v>
      </c>
      <c r="E2614" s="1053" t="s">
        <v>3956</v>
      </c>
      <c r="F2614" s="1031">
        <v>3</v>
      </c>
      <c r="G2614" s="136"/>
      <c r="H2614" s="136"/>
      <c r="I2614" s="136"/>
      <c r="J2614" s="136"/>
      <c r="K2614" s="1609"/>
      <c r="X2614" s="768" t="b">
        <f t="shared" si="364"/>
        <v>1</v>
      </c>
    </row>
    <row r="2615" hidden="1" outlineLevel="2" spans="1:24">
      <c r="A2615" s="1589" t="s">
        <v>3956</v>
      </c>
      <c r="B2615" s="692" t="s">
        <v>3890</v>
      </c>
      <c r="C2615" s="693" t="str">
        <f t="shared" si="362"/>
        <v>深圳新阳蓝光能源管理科技股份有限公司</v>
      </c>
      <c r="D2615" s="1590" t="s">
        <v>3949</v>
      </c>
      <c r="E2615" s="1053" t="s">
        <v>3956</v>
      </c>
      <c r="F2615" s="1031">
        <v>4</v>
      </c>
      <c r="G2615" s="136"/>
      <c r="H2615" s="136"/>
      <c r="I2615" s="136"/>
      <c r="J2615" s="136"/>
      <c r="K2615" s="1609"/>
      <c r="X2615" s="768" t="b">
        <f t="shared" si="364"/>
        <v>1</v>
      </c>
    </row>
    <row r="2616" hidden="1" outlineLevel="2" spans="1:24">
      <c r="A2616" s="1589" t="s">
        <v>3956</v>
      </c>
      <c r="B2616" s="692" t="s">
        <v>3890</v>
      </c>
      <c r="C2616" s="693" t="str">
        <f t="shared" si="362"/>
        <v>深圳新阳蓝光能源管理科技股份有限公司</v>
      </c>
      <c r="D2616" s="1590" t="s">
        <v>3949</v>
      </c>
      <c r="E2616" s="1053" t="s">
        <v>3956</v>
      </c>
      <c r="F2616" s="1031">
        <v>5</v>
      </c>
      <c r="G2616" s="136"/>
      <c r="H2616" s="136"/>
      <c r="I2616" s="136"/>
      <c r="J2616" s="136"/>
      <c r="K2616" s="1609"/>
      <c r="X2616" s="768" t="b">
        <f t="shared" si="364"/>
        <v>1</v>
      </c>
    </row>
    <row r="2617" hidden="1" outlineLevel="2" spans="1:24">
      <c r="A2617" s="1589" t="s">
        <v>3956</v>
      </c>
      <c r="B2617" s="692" t="s">
        <v>3890</v>
      </c>
      <c r="C2617" s="693" t="str">
        <f t="shared" si="362"/>
        <v>深圳新阳蓝光能源管理科技股份有限公司</v>
      </c>
      <c r="D2617" s="1590" t="s">
        <v>3949</v>
      </c>
      <c r="E2617" s="1053" t="s">
        <v>3956</v>
      </c>
      <c r="F2617" s="1031">
        <v>6</v>
      </c>
      <c r="G2617" s="136"/>
      <c r="H2617" s="136"/>
      <c r="I2617" s="136"/>
      <c r="J2617" s="136"/>
      <c r="K2617" s="1609"/>
      <c r="X2617" s="768" t="b">
        <f t="shared" si="364"/>
        <v>1</v>
      </c>
    </row>
    <row r="2618" hidden="1" outlineLevel="2" spans="2:24">
      <c r="B2618" s="692" t="s">
        <v>3890</v>
      </c>
      <c r="C2618" s="693" t="str">
        <f t="shared" si="362"/>
        <v>深圳新阳蓝光能源管理科技股份有限公司</v>
      </c>
      <c r="D2618" s="1590" t="s">
        <v>3949</v>
      </c>
      <c r="E2618" s="157"/>
      <c r="F2618" s="1031" t="s">
        <v>2021</v>
      </c>
      <c r="G2618" s="139">
        <f>SUM(G2612:G2617)</f>
        <v>0</v>
      </c>
      <c r="H2618" s="139">
        <f t="shared" ref="H2618:J2618" si="366">SUM(H2612:H2617)</f>
        <v>0</v>
      </c>
      <c r="I2618" s="139">
        <f t="shared" si="366"/>
        <v>0</v>
      </c>
      <c r="J2618" s="139">
        <f t="shared" si="366"/>
        <v>0</v>
      </c>
      <c r="K2618" s="1609"/>
      <c r="X2618" s="768" t="b">
        <f t="shared" si="364"/>
        <v>1</v>
      </c>
    </row>
    <row r="2619" hidden="1" outlineLevel="2" spans="1:24">
      <c r="A2619" s="1589" t="s">
        <v>3957</v>
      </c>
      <c r="B2619" s="692" t="s">
        <v>3890</v>
      </c>
      <c r="C2619" s="693" t="str">
        <f t="shared" si="362"/>
        <v>深圳新阳蓝光能源管理科技股份有限公司</v>
      </c>
      <c r="D2619" s="1590" t="s">
        <v>3949</v>
      </c>
      <c r="E2619" s="1037" t="s">
        <v>3958</v>
      </c>
      <c r="F2619" s="1598"/>
      <c r="G2619" s="1598"/>
      <c r="H2619" s="1599"/>
      <c r="I2619" s="1599"/>
      <c r="J2619" s="1609"/>
      <c r="K2619" s="1609"/>
      <c r="X2619" s="768" t="b">
        <f t="shared" si="364"/>
        <v>1</v>
      </c>
    </row>
    <row r="2620" hidden="1" outlineLevel="2" spans="1:24">
      <c r="A2620" s="1589" t="s">
        <v>2809</v>
      </c>
      <c r="B2620" s="692" t="s">
        <v>3890</v>
      </c>
      <c r="C2620" s="693" t="str">
        <f t="shared" si="362"/>
        <v>深圳新阳蓝光能源管理科技股份有限公司</v>
      </c>
      <c r="D2620" s="1590" t="s">
        <v>3949</v>
      </c>
      <c r="E2620" s="708" t="s">
        <v>2829</v>
      </c>
      <c r="F2620" s="1615"/>
      <c r="G2620" s="1615"/>
      <c r="H2620" s="1616"/>
      <c r="I2620" s="1616"/>
      <c r="J2620" s="1622"/>
      <c r="K2620" s="1609"/>
      <c r="X2620" s="768" t="b">
        <f t="shared" si="364"/>
        <v>1</v>
      </c>
    </row>
    <row r="2621" spans="1:24">
      <c r="A2621" s="1617" t="s">
        <v>2346</v>
      </c>
      <c r="B2621" s="692" t="s">
        <v>3959</v>
      </c>
      <c r="C2621" s="693" t="str">
        <f t="shared" si="362"/>
        <v>深圳新阳蓝光能源管理科技股份有限公司</v>
      </c>
      <c r="D2621" s="1618" t="s">
        <v>2346</v>
      </c>
      <c r="E2621" s="70" t="s">
        <v>3960</v>
      </c>
      <c r="F2621" s="1619"/>
      <c r="G2621" s="1429" t="s">
        <v>3892</v>
      </c>
      <c r="H2621" s="1619"/>
      <c r="I2621" s="1619"/>
      <c r="J2621" s="1619"/>
      <c r="X2621" s="768" t="b">
        <f t="shared" si="364"/>
        <v>1</v>
      </c>
    </row>
    <row r="2622" outlineLevel="2" spans="1:24">
      <c r="A2622" s="1617" t="s">
        <v>61</v>
      </c>
      <c r="B2622" s="692" t="s">
        <v>3959</v>
      </c>
      <c r="C2622" s="693" t="str">
        <f t="shared" si="362"/>
        <v>深圳新阳蓝光能源管理科技股份有限公司</v>
      </c>
      <c r="D2622" s="1618" t="s">
        <v>2346</v>
      </c>
      <c r="E2622" s="1620" t="s">
        <v>61</v>
      </c>
      <c r="F2622" s="1620" t="s">
        <v>2347</v>
      </c>
      <c r="G2622" s="1620" t="s">
        <v>2351</v>
      </c>
      <c r="H2622" s="1619"/>
      <c r="I2622" s="1619"/>
      <c r="J2622" s="1619"/>
      <c r="X2622" s="768" t="b">
        <f t="shared" si="364"/>
        <v>1</v>
      </c>
    </row>
    <row r="2623" outlineLevel="2" spans="1:24">
      <c r="A2623" s="1617" t="s">
        <v>1088</v>
      </c>
      <c r="B2623" s="692" t="s">
        <v>3959</v>
      </c>
      <c r="C2623" s="693" t="str">
        <f t="shared" si="362"/>
        <v>深圳新阳蓝光能源管理科技股份有限公司</v>
      </c>
      <c r="D2623" s="1618" t="s">
        <v>2346</v>
      </c>
      <c r="E2623" s="1621" t="s">
        <v>1088</v>
      </c>
      <c r="F2623" s="136">
        <v>183606.79</v>
      </c>
      <c r="G2623" s="743">
        <f>报表附注合并期初用!E2235</f>
        <v>29310.81</v>
      </c>
      <c r="H2623" s="838"/>
      <c r="I2623" s="1619"/>
      <c r="J2623" s="1619"/>
      <c r="X2623" s="768" t="b">
        <f t="shared" si="364"/>
        <v>1</v>
      </c>
    </row>
    <row r="2624" outlineLevel="2" spans="1:24">
      <c r="A2624" s="1617" t="s">
        <v>1090</v>
      </c>
      <c r="B2624" s="692" t="s">
        <v>3959</v>
      </c>
      <c r="C2624" s="693" t="str">
        <f t="shared" si="362"/>
        <v>深圳新阳蓝光能源管理科技股份有限公司</v>
      </c>
      <c r="D2624" s="1618" t="s">
        <v>2346</v>
      </c>
      <c r="E2624" s="1621" t="s">
        <v>1090</v>
      </c>
      <c r="F2624" s="136"/>
      <c r="G2624" s="743">
        <f>报表附注合并期初用!E2236</f>
        <v>0</v>
      </c>
      <c r="H2624" s="838"/>
      <c r="I2624" s="1619"/>
      <c r="J2624" s="1619"/>
      <c r="X2624" s="768" t="b">
        <f t="shared" si="364"/>
        <v>1</v>
      </c>
    </row>
    <row r="2625" outlineLevel="2" spans="1:24">
      <c r="A2625" s="1617" t="s">
        <v>1104</v>
      </c>
      <c r="B2625" s="692" t="s">
        <v>3959</v>
      </c>
      <c r="C2625" s="693" t="str">
        <f t="shared" si="362"/>
        <v>深圳新阳蓝光能源管理科技股份有限公司</v>
      </c>
      <c r="D2625" s="1618" t="s">
        <v>2346</v>
      </c>
      <c r="E2625" s="1621" t="s">
        <v>1104</v>
      </c>
      <c r="F2625" s="136"/>
      <c r="G2625" s="743">
        <f>报表附注合并期初用!E2237</f>
        <v>0</v>
      </c>
      <c r="H2625" s="838"/>
      <c r="I2625" s="1619"/>
      <c r="J2625" s="1619"/>
      <c r="X2625" s="768" t="b">
        <f t="shared" si="364"/>
        <v>1</v>
      </c>
    </row>
    <row r="2626" outlineLevel="2" spans="1:24">
      <c r="A2626" s="1617" t="s">
        <v>2348</v>
      </c>
      <c r="B2626" s="692" t="s">
        <v>3959</v>
      </c>
      <c r="C2626" s="693" t="str">
        <f t="shared" si="362"/>
        <v>深圳新阳蓝光能源管理科技股份有限公司</v>
      </c>
      <c r="D2626" s="1618" t="s">
        <v>2346</v>
      </c>
      <c r="E2626" s="1621" t="s">
        <v>2348</v>
      </c>
      <c r="F2626" s="136">
        <v>37375.58</v>
      </c>
      <c r="G2626" s="743">
        <f>报表附注合并期初用!E2238</f>
        <v>120706.21</v>
      </c>
      <c r="H2626" s="838"/>
      <c r="I2626" s="1619"/>
      <c r="J2626" s="1619"/>
      <c r="X2626" s="768" t="b">
        <f t="shared" si="364"/>
        <v>1</v>
      </c>
    </row>
    <row r="2627" outlineLevel="2" spans="1:24">
      <c r="A2627" s="1617" t="s">
        <v>2349</v>
      </c>
      <c r="B2627" s="692" t="s">
        <v>3959</v>
      </c>
      <c r="C2627" s="693" t="str">
        <f t="shared" si="362"/>
        <v>深圳新阳蓝光能源管理科技股份有限公司</v>
      </c>
      <c r="D2627" s="1618" t="s">
        <v>2346</v>
      </c>
      <c r="E2627" s="1621" t="s">
        <v>2349</v>
      </c>
      <c r="F2627" s="136">
        <v>16018.11</v>
      </c>
      <c r="G2627" s="743">
        <f>报表附注合并期初用!E2239</f>
        <v>51724.01</v>
      </c>
      <c r="H2627" s="838"/>
      <c r="I2627" s="1619"/>
      <c r="J2627" s="1619"/>
      <c r="X2627" s="768" t="b">
        <f t="shared" si="364"/>
        <v>1</v>
      </c>
    </row>
    <row r="2628" outlineLevel="2" spans="1:24">
      <c r="A2628" s="1617" t="s">
        <v>2350</v>
      </c>
      <c r="B2628" s="692" t="s">
        <v>3959</v>
      </c>
      <c r="C2628" s="693" t="str">
        <f t="shared" si="362"/>
        <v>深圳新阳蓝光能源管理科技股份有限公司</v>
      </c>
      <c r="D2628" s="1618" t="s">
        <v>2346</v>
      </c>
      <c r="E2628" s="1621" t="s">
        <v>2350</v>
      </c>
      <c r="F2628" s="136">
        <v>10678.74</v>
      </c>
      <c r="G2628" s="743">
        <f>报表附注合并期初用!E2240</f>
        <v>34482.68</v>
      </c>
      <c r="H2628" s="1619"/>
      <c r="I2628" s="1619"/>
      <c r="J2628" s="1619"/>
      <c r="X2628" s="768" t="b">
        <f t="shared" si="364"/>
        <v>1</v>
      </c>
    </row>
    <row r="2629" outlineLevel="2" spans="1:24">
      <c r="A2629" s="1617" t="s">
        <v>280</v>
      </c>
      <c r="B2629" s="692" t="s">
        <v>3959</v>
      </c>
      <c r="C2629" s="693" t="str">
        <f t="shared" si="362"/>
        <v>深圳新阳蓝光能源管理科技股份有限公司</v>
      </c>
      <c r="D2629" s="1618" t="s">
        <v>2346</v>
      </c>
      <c r="E2629" s="1621" t="s">
        <v>280</v>
      </c>
      <c r="F2629" s="136">
        <v>125964.61</v>
      </c>
      <c r="G2629" s="743">
        <f>报表附注合并期初用!E2241</f>
        <v>6370.03</v>
      </c>
      <c r="H2629" s="1623"/>
      <c r="I2629" s="838"/>
      <c r="J2629" s="1619"/>
      <c r="X2629" s="768" t="b">
        <f t="shared" si="364"/>
        <v>1</v>
      </c>
    </row>
    <row r="2630" outlineLevel="2" spans="1:24">
      <c r="A2630" s="1617" t="s">
        <v>2021</v>
      </c>
      <c r="B2630" s="692" t="s">
        <v>3959</v>
      </c>
      <c r="C2630" s="693" t="str">
        <f t="shared" si="362"/>
        <v>深圳新阳蓝光能源管理科技股份有限公司</v>
      </c>
      <c r="D2630" s="1618" t="s">
        <v>2346</v>
      </c>
      <c r="E2630" s="1620" t="s">
        <v>2021</v>
      </c>
      <c r="F2630" s="1624">
        <f>SUM(F2623:F2629)</f>
        <v>373643.83</v>
      </c>
      <c r="G2630" s="1624">
        <f>SUM(G2623:G2629)</f>
        <v>242593.74</v>
      </c>
      <c r="H2630" s="1619"/>
      <c r="I2630" s="1437"/>
      <c r="J2630" s="1619"/>
      <c r="X2630" s="768" t="b">
        <f t="shared" si="364"/>
        <v>1</v>
      </c>
    </row>
    <row r="2631" outlineLevel="2" spans="1:24">
      <c r="A2631" s="1617" t="s">
        <v>1723</v>
      </c>
      <c r="B2631" s="692" t="s">
        <v>3959</v>
      </c>
      <c r="C2631" s="693" t="str">
        <f t="shared" si="362"/>
        <v>深圳新阳蓝光能源管理科技股份有限公司</v>
      </c>
      <c r="D2631" s="1618" t="s">
        <v>2346</v>
      </c>
      <c r="E2631" s="1361" t="s">
        <v>1723</v>
      </c>
      <c r="F2631" s="1625">
        <f>审定利润表!C8</f>
        <v>373643.83</v>
      </c>
      <c r="G2631" s="1625">
        <f>审定利润表!D8</f>
        <v>242593.74</v>
      </c>
      <c r="H2631" s="1619"/>
      <c r="I2631" s="1437"/>
      <c r="J2631" s="1619"/>
      <c r="X2631" s="768" t="b">
        <f t="shared" si="364"/>
        <v>1</v>
      </c>
    </row>
    <row r="2632" outlineLevel="1" collapsed="1" spans="1:24">
      <c r="A2632" s="1617" t="s">
        <v>1395</v>
      </c>
      <c r="B2632" s="692" t="s">
        <v>3959</v>
      </c>
      <c r="C2632" s="693" t="str">
        <f t="shared" si="362"/>
        <v>深圳新阳蓝光能源管理科技股份有限公司</v>
      </c>
      <c r="D2632" s="1618" t="s">
        <v>2346</v>
      </c>
      <c r="E2632" s="1361" t="s">
        <v>1395</v>
      </c>
      <c r="F2632" s="1007">
        <f>ROUND(F2630-F2631,2)</f>
        <v>0</v>
      </c>
      <c r="G2632" s="1007">
        <f>ROUND(G2630-G2631,2)</f>
        <v>0</v>
      </c>
      <c r="H2632" s="1619"/>
      <c r="I2632" s="1619"/>
      <c r="J2632" s="1619"/>
      <c r="X2632" s="768" t="b">
        <f t="shared" si="364"/>
        <v>1</v>
      </c>
    </row>
    <row r="2633" hidden="1" outlineLevel="2" spans="2:24">
      <c r="B2633" s="692" t="s">
        <v>3959</v>
      </c>
      <c r="C2633" s="693" t="str">
        <f t="shared" si="362"/>
        <v>深圳新阳蓝光能源管理科技股份有限公司</v>
      </c>
      <c r="D2633" s="1618" t="s">
        <v>2346</v>
      </c>
      <c r="E2633" s="1626"/>
      <c r="F2633" s="1627"/>
      <c r="G2633" s="1627"/>
      <c r="H2633" s="1619"/>
      <c r="I2633" s="1619"/>
      <c r="J2633" s="1619"/>
      <c r="X2633" s="768" t="b">
        <f t="shared" si="364"/>
        <v>1</v>
      </c>
    </row>
    <row r="2634" hidden="1" outlineLevel="2" spans="1:24">
      <c r="A2634" s="1617" t="s">
        <v>3961</v>
      </c>
      <c r="B2634" s="692" t="s">
        <v>3959</v>
      </c>
      <c r="C2634" s="693" t="str">
        <f t="shared" si="362"/>
        <v>深圳新阳蓝光能源管理科技股份有限公司</v>
      </c>
      <c r="D2634" s="1618" t="s">
        <v>3961</v>
      </c>
      <c r="E2634" s="153" t="s">
        <v>3962</v>
      </c>
      <c r="F2634" s="1627"/>
      <c r="G2634" s="1627"/>
      <c r="H2634" s="1619"/>
      <c r="I2634" s="1619"/>
      <c r="J2634" s="1619"/>
      <c r="X2634" s="768" t="b">
        <f t="shared" si="364"/>
        <v>1</v>
      </c>
    </row>
    <row r="2635" hidden="1" outlineLevel="2" spans="2:24">
      <c r="B2635" s="692" t="s">
        <v>3959</v>
      </c>
      <c r="C2635" s="693" t="str">
        <f t="shared" si="362"/>
        <v>深圳新阳蓝光能源管理科技股份有限公司</v>
      </c>
      <c r="D2635" s="1618" t="s">
        <v>3961</v>
      </c>
      <c r="E2635" s="153"/>
      <c r="F2635" s="1615"/>
      <c r="G2635" s="1615"/>
      <c r="H2635" s="1619"/>
      <c r="I2635" s="1619"/>
      <c r="J2635" s="1619"/>
      <c r="X2635" s="768" t="b">
        <f t="shared" si="364"/>
        <v>1</v>
      </c>
    </row>
    <row r="2636" hidden="1" outlineLevel="2" spans="2:24">
      <c r="B2636" s="692" t="s">
        <v>3959</v>
      </c>
      <c r="C2636" s="693" t="str">
        <f t="shared" si="362"/>
        <v>深圳新阳蓝光能源管理科技股份有限公司</v>
      </c>
      <c r="D2636" s="1618" t="s">
        <v>3961</v>
      </c>
      <c r="E2636" s="153"/>
      <c r="F2636" s="1627"/>
      <c r="G2636" s="1627"/>
      <c r="H2636" s="1619"/>
      <c r="I2636" s="1619"/>
      <c r="J2636" s="1619"/>
      <c r="X2636" s="768" t="b">
        <f t="shared" si="364"/>
        <v>1</v>
      </c>
    </row>
    <row r="2637" collapsed="1" spans="1:24">
      <c r="A2637" s="1617" t="s">
        <v>3963</v>
      </c>
      <c r="B2637" s="692" t="s">
        <v>3964</v>
      </c>
      <c r="C2637" s="693" t="str">
        <f t="shared" si="362"/>
        <v>深圳新阳蓝光能源管理科技股份有限公司</v>
      </c>
      <c r="D2637" s="1618" t="s">
        <v>3365</v>
      </c>
      <c r="E2637" s="70" t="s">
        <v>3965</v>
      </c>
      <c r="F2637" s="1628" t="s">
        <v>3163</v>
      </c>
      <c r="G2637" s="1627"/>
      <c r="H2637" s="1619"/>
      <c r="I2637" s="1619"/>
      <c r="J2637" s="1619"/>
      <c r="X2637" s="768" t="b">
        <f t="shared" si="364"/>
        <v>1</v>
      </c>
    </row>
    <row r="2638" hidden="1" outlineLevel="2" spans="1:24">
      <c r="A2638" s="1617" t="s">
        <v>3365</v>
      </c>
      <c r="B2638" s="692" t="s">
        <v>3964</v>
      </c>
      <c r="C2638" s="693" t="str">
        <f t="shared" si="362"/>
        <v>深圳新阳蓝光能源管理科技股份有限公司</v>
      </c>
      <c r="D2638" s="1629" t="s">
        <v>3365</v>
      </c>
      <c r="E2638" s="1630" t="s">
        <v>3366</v>
      </c>
      <c r="F2638" s="1631"/>
      <c r="G2638" s="1631"/>
      <c r="H2638" s="1619"/>
      <c r="I2638" s="1619"/>
      <c r="J2638" s="1619"/>
      <c r="X2638" s="768" t="b">
        <f t="shared" si="364"/>
        <v>1</v>
      </c>
    </row>
    <row r="2639" hidden="1" outlineLevel="2" spans="1:24">
      <c r="A2639" s="1617" t="s">
        <v>573</v>
      </c>
      <c r="B2639" s="692" t="s">
        <v>3964</v>
      </c>
      <c r="C2639" s="693" t="str">
        <f t="shared" si="362"/>
        <v>深圳新阳蓝光能源管理科技股份有限公司</v>
      </c>
      <c r="D2639" s="1629" t="s">
        <v>3365</v>
      </c>
      <c r="E2639" s="1606" t="s">
        <v>573</v>
      </c>
      <c r="F2639" s="1606" t="s">
        <v>2347</v>
      </c>
      <c r="G2639" s="1606" t="s">
        <v>2351</v>
      </c>
      <c r="H2639" s="1619"/>
      <c r="I2639" s="1619"/>
      <c r="J2639" s="1619"/>
      <c r="X2639" s="768" t="b">
        <f t="shared" si="364"/>
        <v>1</v>
      </c>
    </row>
    <row r="2640" hidden="1" outlineLevel="2" spans="1:24">
      <c r="A2640" s="1617" t="s">
        <v>1396</v>
      </c>
      <c r="B2640" s="692" t="s">
        <v>3964</v>
      </c>
      <c r="C2640" s="693" t="str">
        <f t="shared" si="362"/>
        <v>深圳新阳蓝光能源管理科技股份有限公司</v>
      </c>
      <c r="D2640" s="1629" t="s">
        <v>3365</v>
      </c>
      <c r="E2640" s="1602" t="s">
        <v>1396</v>
      </c>
      <c r="F2640" s="1612"/>
      <c r="G2640" s="1612"/>
      <c r="H2640" s="1619"/>
      <c r="I2640" s="1619"/>
      <c r="J2640" s="1619"/>
      <c r="X2640" s="768" t="b">
        <f t="shared" si="364"/>
        <v>1</v>
      </c>
    </row>
    <row r="2641" hidden="1" outlineLevel="2" spans="1:24">
      <c r="A2641" s="1617" t="s">
        <v>3966</v>
      </c>
      <c r="B2641" s="692" t="s">
        <v>3964</v>
      </c>
      <c r="C2641" s="693" t="str">
        <f t="shared" si="362"/>
        <v>深圳新阳蓝光能源管理科技股份有限公司</v>
      </c>
      <c r="D2641" s="1629" t="s">
        <v>3365</v>
      </c>
      <c r="E2641" s="1602" t="s">
        <v>3967</v>
      </c>
      <c r="F2641" s="1612"/>
      <c r="G2641" s="1612"/>
      <c r="H2641" s="1619"/>
      <c r="I2641" s="1619"/>
      <c r="J2641" s="1619"/>
      <c r="X2641" s="768" t="b">
        <f t="shared" si="364"/>
        <v>1</v>
      </c>
    </row>
    <row r="2642" hidden="1" outlineLevel="2" spans="1:24">
      <c r="A2642" s="1617" t="s">
        <v>1398</v>
      </c>
      <c r="B2642" s="692" t="s">
        <v>3964</v>
      </c>
      <c r="C2642" s="693" t="str">
        <f t="shared" si="362"/>
        <v>深圳新阳蓝光能源管理科技股份有限公司</v>
      </c>
      <c r="D2642" s="1629" t="s">
        <v>3365</v>
      </c>
      <c r="E2642" s="1602" t="s">
        <v>1398</v>
      </c>
      <c r="F2642" s="1612"/>
      <c r="G2642" s="1612"/>
      <c r="H2642" s="1619"/>
      <c r="I2642" s="1619"/>
      <c r="J2642" s="1619"/>
      <c r="X2642" s="768" t="b">
        <f t="shared" si="364"/>
        <v>1</v>
      </c>
    </row>
    <row r="2643" hidden="1" outlineLevel="2" spans="1:24">
      <c r="A2643" s="1617" t="s">
        <v>3968</v>
      </c>
      <c r="B2643" s="692" t="s">
        <v>3964</v>
      </c>
      <c r="C2643" s="693" t="str">
        <f t="shared" si="362"/>
        <v>深圳新阳蓝光能源管理科技股份有限公司</v>
      </c>
      <c r="D2643" s="1629" t="s">
        <v>3365</v>
      </c>
      <c r="E2643" s="1602" t="s">
        <v>3968</v>
      </c>
      <c r="F2643" s="1612"/>
      <c r="G2643" s="1612"/>
      <c r="H2643" s="1619"/>
      <c r="I2643" s="1619"/>
      <c r="J2643" s="1619"/>
      <c r="X2643" s="768" t="b">
        <f t="shared" si="364"/>
        <v>1</v>
      </c>
    </row>
    <row r="2644" hidden="1" outlineLevel="2" spans="1:24">
      <c r="A2644" s="1617" t="s">
        <v>280</v>
      </c>
      <c r="B2644" s="692" t="s">
        <v>3964</v>
      </c>
      <c r="C2644" s="693" t="str">
        <f t="shared" si="362"/>
        <v>深圳新阳蓝光能源管理科技股份有限公司</v>
      </c>
      <c r="D2644" s="1629" t="s">
        <v>3365</v>
      </c>
      <c r="E2644" s="1602" t="s">
        <v>280</v>
      </c>
      <c r="F2644" s="1612"/>
      <c r="G2644" s="1612"/>
      <c r="H2644" s="1619"/>
      <c r="I2644" s="1619"/>
      <c r="J2644" s="1619"/>
      <c r="X2644" s="768" t="b">
        <f t="shared" si="364"/>
        <v>1</v>
      </c>
    </row>
    <row r="2645" hidden="1" outlineLevel="2" spans="2:24">
      <c r="B2645" s="692" t="s">
        <v>3964</v>
      </c>
      <c r="C2645" s="693" t="str">
        <f t="shared" si="362"/>
        <v>深圳新阳蓝光能源管理科技股份有限公司</v>
      </c>
      <c r="D2645" s="1629" t="s">
        <v>3365</v>
      </c>
      <c r="E2645" s="1612"/>
      <c r="F2645" s="1612"/>
      <c r="G2645" s="1612"/>
      <c r="H2645" s="1619"/>
      <c r="I2645" s="1619"/>
      <c r="J2645" s="1619"/>
      <c r="X2645" s="768" t="b">
        <f t="shared" si="364"/>
        <v>1</v>
      </c>
    </row>
    <row r="2646" hidden="1" outlineLevel="2" spans="2:24">
      <c r="B2646" s="692" t="s">
        <v>3964</v>
      </c>
      <c r="C2646" s="693" t="str">
        <f t="shared" si="362"/>
        <v>深圳新阳蓝光能源管理科技股份有限公司</v>
      </c>
      <c r="D2646" s="1629" t="s">
        <v>3365</v>
      </c>
      <c r="E2646" s="1612"/>
      <c r="F2646" s="1612"/>
      <c r="G2646" s="1612"/>
      <c r="H2646" s="1619"/>
      <c r="I2646" s="1619"/>
      <c r="J2646" s="1619"/>
      <c r="X2646" s="768" t="b">
        <f t="shared" si="364"/>
        <v>1</v>
      </c>
    </row>
    <row r="2647" hidden="1" outlineLevel="2" spans="2:24">
      <c r="B2647" s="692" t="s">
        <v>3964</v>
      </c>
      <c r="C2647" s="693" t="str">
        <f t="shared" si="362"/>
        <v>深圳新阳蓝光能源管理科技股份有限公司</v>
      </c>
      <c r="D2647" s="1629" t="s">
        <v>3365</v>
      </c>
      <c r="E2647" s="1612"/>
      <c r="F2647" s="1612"/>
      <c r="G2647" s="1612"/>
      <c r="H2647" s="1619"/>
      <c r="I2647" s="1619"/>
      <c r="J2647" s="1619"/>
      <c r="X2647" s="768" t="b">
        <f t="shared" si="364"/>
        <v>1</v>
      </c>
    </row>
    <row r="2648" hidden="1" outlineLevel="2" spans="2:24">
      <c r="B2648" s="692" t="s">
        <v>3964</v>
      </c>
      <c r="C2648" s="693" t="str">
        <f t="shared" si="362"/>
        <v>深圳新阳蓝光能源管理科技股份有限公司</v>
      </c>
      <c r="D2648" s="1629" t="s">
        <v>3365</v>
      </c>
      <c r="E2648" s="1612"/>
      <c r="F2648" s="1612"/>
      <c r="G2648" s="1612"/>
      <c r="H2648" s="1619"/>
      <c r="I2648" s="1619"/>
      <c r="J2648" s="1619"/>
      <c r="X2648" s="768" t="b">
        <f t="shared" si="364"/>
        <v>1</v>
      </c>
    </row>
    <row r="2649" hidden="1" outlineLevel="2" spans="2:24">
      <c r="B2649" s="692" t="s">
        <v>3964</v>
      </c>
      <c r="C2649" s="693" t="str">
        <f t="shared" si="362"/>
        <v>深圳新阳蓝光能源管理科技股份有限公司</v>
      </c>
      <c r="D2649" s="1629" t="s">
        <v>3365</v>
      </c>
      <c r="E2649" s="1632"/>
      <c r="F2649" s="1100"/>
      <c r="G2649" s="1100"/>
      <c r="H2649" s="1619"/>
      <c r="I2649" s="1619"/>
      <c r="J2649" s="1619"/>
      <c r="X2649" s="768" t="b">
        <f t="shared" si="364"/>
        <v>1</v>
      </c>
    </row>
    <row r="2650" hidden="1" outlineLevel="2" spans="2:24">
      <c r="B2650" s="692" t="s">
        <v>3964</v>
      </c>
      <c r="C2650" s="693" t="str">
        <f t="shared" si="362"/>
        <v>深圳新阳蓝光能源管理科技股份有限公司</v>
      </c>
      <c r="D2650" s="1629" t="s">
        <v>3365</v>
      </c>
      <c r="E2650" s="1632"/>
      <c r="F2650" s="1100"/>
      <c r="G2650" s="1100"/>
      <c r="H2650" s="1619"/>
      <c r="I2650" s="1619"/>
      <c r="J2650" s="1619"/>
      <c r="X2650" s="768" t="b">
        <f t="shared" si="364"/>
        <v>1</v>
      </c>
    </row>
    <row r="2651" hidden="1" outlineLevel="2" spans="1:24">
      <c r="A2651" s="1617" t="s">
        <v>347</v>
      </c>
      <c r="B2651" s="692" t="s">
        <v>3964</v>
      </c>
      <c r="C2651" s="693" t="str">
        <f t="shared" si="362"/>
        <v>深圳新阳蓝光能源管理科技股份有限公司</v>
      </c>
      <c r="D2651" s="1629" t="s">
        <v>3365</v>
      </c>
      <c r="E2651" s="1606" t="s">
        <v>3744</v>
      </c>
      <c r="F2651" s="1023">
        <f>SUM(F2640:F2650)</f>
        <v>0</v>
      </c>
      <c r="G2651" s="1023">
        <f>SUM(G2640:G2650)</f>
        <v>0</v>
      </c>
      <c r="H2651" s="1619"/>
      <c r="I2651" s="1619"/>
      <c r="J2651" s="1619"/>
      <c r="X2651" s="768" t="b">
        <f t="shared" si="364"/>
        <v>1</v>
      </c>
    </row>
    <row r="2652" hidden="1" outlineLevel="2" spans="1:24">
      <c r="A2652" s="1617" t="s">
        <v>1723</v>
      </c>
      <c r="B2652" s="692" t="s">
        <v>3964</v>
      </c>
      <c r="C2652" s="693" t="str">
        <f t="shared" si="362"/>
        <v>深圳新阳蓝光能源管理科技股份有限公司</v>
      </c>
      <c r="D2652" s="1629" t="s">
        <v>3365</v>
      </c>
      <c r="E2652" s="1633" t="s">
        <v>1723</v>
      </c>
      <c r="F2652" s="1634">
        <f>审定利润表!C13</f>
        <v>0</v>
      </c>
      <c r="G2652" s="1634">
        <f>本月审定利润表!G13</f>
        <v>0</v>
      </c>
      <c r="H2652" s="1619"/>
      <c r="I2652" s="1619"/>
      <c r="J2652" s="1619"/>
      <c r="X2652" s="768" t="b">
        <f t="shared" si="364"/>
        <v>1</v>
      </c>
    </row>
    <row r="2653" hidden="1" outlineLevel="1" collapsed="1" spans="1:24">
      <c r="A2653" s="1617" t="s">
        <v>1395</v>
      </c>
      <c r="B2653" s="692" t="s">
        <v>3964</v>
      </c>
      <c r="C2653" s="693" t="str">
        <f t="shared" si="362"/>
        <v>深圳新阳蓝光能源管理科技股份有限公司</v>
      </c>
      <c r="D2653" s="1629" t="s">
        <v>3365</v>
      </c>
      <c r="E2653" s="1633" t="s">
        <v>1395</v>
      </c>
      <c r="F2653" s="1007">
        <f>F2651-F2652</f>
        <v>0</v>
      </c>
      <c r="G2653" s="1007">
        <f>G2651-G2652</f>
        <v>0</v>
      </c>
      <c r="H2653" s="1619"/>
      <c r="I2653" s="1619"/>
      <c r="J2653" s="1619"/>
      <c r="X2653" s="768" t="b">
        <f t="shared" si="364"/>
        <v>1</v>
      </c>
    </row>
    <row r="2654" hidden="1" outlineLevel="2" spans="2:24">
      <c r="B2654" s="692" t="s">
        <v>3964</v>
      </c>
      <c r="C2654" s="693" t="str">
        <f t="shared" si="362"/>
        <v>深圳新阳蓝光能源管理科技股份有限公司</v>
      </c>
      <c r="D2654" s="1618" t="s">
        <v>3365</v>
      </c>
      <c r="E2654" s="153"/>
      <c r="F2654" s="1627"/>
      <c r="G2654" s="1627"/>
      <c r="H2654" s="1619"/>
      <c r="I2654" s="1619"/>
      <c r="J2654" s="1619"/>
      <c r="X2654" s="768" t="b">
        <f t="shared" si="364"/>
        <v>1</v>
      </c>
    </row>
    <row r="2655" hidden="1" outlineLevel="2" spans="1:24">
      <c r="A2655" s="1617" t="s">
        <v>3969</v>
      </c>
      <c r="B2655" s="692" t="s">
        <v>3964</v>
      </c>
      <c r="C2655" s="693" t="str">
        <f t="shared" si="362"/>
        <v>深圳新阳蓝光能源管理科技股份有限公司</v>
      </c>
      <c r="D2655" s="1618" t="s">
        <v>3969</v>
      </c>
      <c r="E2655" s="153" t="s">
        <v>3970</v>
      </c>
      <c r="F2655" s="1627"/>
      <c r="G2655" s="1627"/>
      <c r="H2655" s="1619"/>
      <c r="I2655" s="1619"/>
      <c r="J2655" s="1619"/>
      <c r="X2655" s="768" t="b">
        <f t="shared" si="364"/>
        <v>1</v>
      </c>
    </row>
    <row r="2656" hidden="1" outlineLevel="2" spans="1:24">
      <c r="A2656" s="1617" t="s">
        <v>2809</v>
      </c>
      <c r="B2656" s="692" t="s">
        <v>3964</v>
      </c>
      <c r="C2656" s="693" t="str">
        <f t="shared" si="362"/>
        <v>深圳新阳蓝光能源管理科技股份有限公司</v>
      </c>
      <c r="D2656" s="1618" t="s">
        <v>3969</v>
      </c>
      <c r="E2656" s="153" t="s">
        <v>2829</v>
      </c>
      <c r="F2656" s="1635"/>
      <c r="G2656" s="1635"/>
      <c r="H2656" s="1619"/>
      <c r="I2656" s="1619"/>
      <c r="J2656" s="1619"/>
      <c r="X2656" s="768" t="b">
        <f t="shared" si="364"/>
        <v>1</v>
      </c>
    </row>
    <row r="2657" hidden="1" outlineLevel="2" spans="2:24">
      <c r="B2657" s="692" t="s">
        <v>3964</v>
      </c>
      <c r="C2657" s="693" t="str">
        <f t="shared" si="362"/>
        <v>深圳新阳蓝光能源管理科技股份有限公司</v>
      </c>
      <c r="D2657" s="1618" t="s">
        <v>3969</v>
      </c>
      <c r="E2657" s="153"/>
      <c r="F2657" s="1627"/>
      <c r="G2657" s="1627"/>
      <c r="H2657" s="1619"/>
      <c r="I2657" s="1619"/>
      <c r="J2657" s="1619"/>
      <c r="X2657" s="768" t="b">
        <f t="shared" si="364"/>
        <v>1</v>
      </c>
    </row>
    <row r="2658" spans="1:24">
      <c r="A2658" s="1617" t="s">
        <v>2353</v>
      </c>
      <c r="B2658" s="692" t="s">
        <v>3971</v>
      </c>
      <c r="C2658" s="693" t="str">
        <f t="shared" ref="C2658:C2721" si="367">$G$1</f>
        <v>深圳新阳蓝光能源管理科技股份有限公司</v>
      </c>
      <c r="D2658" s="1618" t="s">
        <v>3365</v>
      </c>
      <c r="E2658" s="70" t="s">
        <v>3972</v>
      </c>
      <c r="F2658" s="1627"/>
      <c r="G2658" s="1627"/>
      <c r="H2658" s="1619"/>
      <c r="I2658" s="1619"/>
      <c r="J2658" s="1619"/>
      <c r="X2658" s="768" t="b">
        <f t="shared" ref="X2658:X2721" si="368">EXACT(A2658,E2658)</f>
        <v>1</v>
      </c>
    </row>
    <row r="2659" outlineLevel="2" spans="1:24">
      <c r="A2659" s="1617" t="s">
        <v>3365</v>
      </c>
      <c r="B2659" s="692" t="s">
        <v>3971</v>
      </c>
      <c r="C2659" s="693" t="str">
        <f t="shared" si="367"/>
        <v>深圳新阳蓝光能源管理科技股份有限公司</v>
      </c>
      <c r="D2659" s="1636" t="s">
        <v>3365</v>
      </c>
      <c r="E2659" s="1637" t="s">
        <v>3366</v>
      </c>
      <c r="F2659" s="1638"/>
      <c r="G2659" s="1429" t="s">
        <v>3892</v>
      </c>
      <c r="H2659" s="1638"/>
      <c r="I2659" s="1619"/>
      <c r="J2659" s="1619"/>
      <c r="X2659" s="768" t="b">
        <f t="shared" si="368"/>
        <v>1</v>
      </c>
    </row>
    <row r="2660" outlineLevel="2" spans="1:24">
      <c r="A2660" s="1617" t="s">
        <v>1327</v>
      </c>
      <c r="B2660" s="692" t="s">
        <v>3971</v>
      </c>
      <c r="C2660" s="693" t="str">
        <f t="shared" si="367"/>
        <v>深圳新阳蓝光能源管理科技股份有限公司</v>
      </c>
      <c r="D2660" s="1636" t="s">
        <v>3365</v>
      </c>
      <c r="E2660" s="1639" t="s">
        <v>1327</v>
      </c>
      <c r="F2660" s="1639" t="s">
        <v>3973</v>
      </c>
      <c r="G2660" s="1639" t="s">
        <v>3974</v>
      </c>
      <c r="H2660" s="1639" t="s">
        <v>3975</v>
      </c>
      <c r="I2660" s="1646" t="s">
        <v>3976</v>
      </c>
      <c r="J2660" s="1647"/>
      <c r="X2660" s="768" t="b">
        <f t="shared" si="368"/>
        <v>1</v>
      </c>
    </row>
    <row r="2661" outlineLevel="2" spans="1:24">
      <c r="A2661" s="1617" t="s">
        <v>2354</v>
      </c>
      <c r="B2661" s="692" t="s">
        <v>3971</v>
      </c>
      <c r="C2661" s="693" t="str">
        <f t="shared" si="367"/>
        <v>深圳新阳蓝光能源管理科技股份有限公司</v>
      </c>
      <c r="D2661" s="1636" t="s">
        <v>3365</v>
      </c>
      <c r="E2661" s="1640" t="s">
        <v>2354</v>
      </c>
      <c r="F2661" s="1641">
        <f>F2688</f>
        <v>0</v>
      </c>
      <c r="G2661" s="1641">
        <f>报表附注合并期初用!E2262</f>
        <v>0</v>
      </c>
      <c r="H2661" s="1642"/>
      <c r="I2661" s="1640" t="s">
        <v>3977</v>
      </c>
      <c r="J2661" s="1640" t="s">
        <v>3978</v>
      </c>
      <c r="X2661" s="768" t="b">
        <f t="shared" si="368"/>
        <v>1</v>
      </c>
    </row>
    <row r="2662" outlineLevel="2" spans="1:24">
      <c r="A2662" s="1617" t="s">
        <v>2355</v>
      </c>
      <c r="B2662" s="692" t="s">
        <v>3971</v>
      </c>
      <c r="C2662" s="693" t="str">
        <f t="shared" si="367"/>
        <v>深圳新阳蓝光能源管理科技股份有限公司</v>
      </c>
      <c r="D2662" s="1636" t="s">
        <v>3365</v>
      </c>
      <c r="E2662" s="1640" t="s">
        <v>2355</v>
      </c>
      <c r="F2662" s="1641">
        <f>F2702</f>
        <v>0</v>
      </c>
      <c r="G2662" s="1641">
        <f>报表附注合并期初用!E2263</f>
        <v>0</v>
      </c>
      <c r="H2662" s="1642"/>
      <c r="I2662" s="1640"/>
      <c r="J2662" s="1642"/>
      <c r="X2662" s="768" t="b">
        <f t="shared" si="368"/>
        <v>1</v>
      </c>
    </row>
    <row r="2663" outlineLevel="2" spans="1:24">
      <c r="A2663" s="1617" t="s">
        <v>2356</v>
      </c>
      <c r="B2663" s="692" t="s">
        <v>3971</v>
      </c>
      <c r="C2663" s="693" t="str">
        <f t="shared" si="367"/>
        <v>深圳新阳蓝光能源管理科技股份有限公司</v>
      </c>
      <c r="D2663" s="1636" t="s">
        <v>3365</v>
      </c>
      <c r="E2663" s="1640" t="s">
        <v>2356</v>
      </c>
      <c r="F2663" s="1641">
        <f>J2673</f>
        <v>0</v>
      </c>
      <c r="G2663" s="1641">
        <f>报表附注合并期初用!E2264</f>
        <v>0</v>
      </c>
      <c r="H2663" s="1642"/>
      <c r="I2663" s="1640"/>
      <c r="J2663" s="1642"/>
      <c r="X2663" s="768" t="b">
        <f t="shared" si="368"/>
        <v>1</v>
      </c>
    </row>
    <row r="2664" outlineLevel="2" spans="1:24">
      <c r="A2664" s="1617" t="s">
        <v>2357</v>
      </c>
      <c r="B2664" s="692" t="s">
        <v>3971</v>
      </c>
      <c r="C2664" s="693" t="str">
        <f t="shared" si="367"/>
        <v>深圳新阳蓝光能源管理科技股份有限公司</v>
      </c>
      <c r="D2664" s="1636" t="s">
        <v>3365</v>
      </c>
      <c r="E2664" s="1640" t="s">
        <v>2357</v>
      </c>
      <c r="F2664" s="950"/>
      <c r="G2664" s="1641">
        <f>报表附注合并期初用!E2265</f>
        <v>0</v>
      </c>
      <c r="H2664" s="1642"/>
      <c r="I2664" s="1642"/>
      <c r="J2664" s="1642"/>
      <c r="X2664" s="768" t="b">
        <f t="shared" si="368"/>
        <v>1</v>
      </c>
    </row>
    <row r="2665" outlineLevel="2" spans="1:24">
      <c r="A2665" s="1617" t="s">
        <v>2358</v>
      </c>
      <c r="B2665" s="692" t="s">
        <v>3971</v>
      </c>
      <c r="C2665" s="693" t="str">
        <f t="shared" si="367"/>
        <v>深圳新阳蓝光能源管理科技股份有限公司</v>
      </c>
      <c r="D2665" s="1636" t="s">
        <v>3365</v>
      </c>
      <c r="E2665" s="1640" t="s">
        <v>2358</v>
      </c>
      <c r="F2665" s="950"/>
      <c r="G2665" s="1641">
        <f>报表附注合并期初用!E2266</f>
        <v>0</v>
      </c>
      <c r="H2665" s="1642"/>
      <c r="I2665" s="1642"/>
      <c r="J2665" s="1642"/>
      <c r="X2665" s="768" t="b">
        <f t="shared" si="368"/>
        <v>1</v>
      </c>
    </row>
    <row r="2666" outlineLevel="2" spans="1:24">
      <c r="A2666" s="1617" t="s">
        <v>2359</v>
      </c>
      <c r="B2666" s="692" t="s">
        <v>3971</v>
      </c>
      <c r="C2666" s="693" t="str">
        <f t="shared" si="367"/>
        <v>深圳新阳蓝光能源管理科技股份有限公司</v>
      </c>
      <c r="D2666" s="1636" t="s">
        <v>3365</v>
      </c>
      <c r="E2666" s="1640" t="s">
        <v>2359</v>
      </c>
      <c r="F2666" s="950"/>
      <c r="G2666" s="1641">
        <f>报表附注合并期初用!E2267</f>
        <v>0</v>
      </c>
      <c r="H2666" s="1642"/>
      <c r="I2666" s="1642"/>
      <c r="J2666" s="1642"/>
      <c r="X2666" s="768" t="b">
        <f t="shared" si="368"/>
        <v>1</v>
      </c>
    </row>
    <row r="2667" outlineLevel="2" spans="1:24">
      <c r="A2667" s="1617" t="s">
        <v>2360</v>
      </c>
      <c r="B2667" s="692" t="s">
        <v>3971</v>
      </c>
      <c r="C2667" s="693" t="str">
        <f t="shared" si="367"/>
        <v>深圳新阳蓝光能源管理科技股份有限公司</v>
      </c>
      <c r="D2667" s="1636" t="s">
        <v>3365</v>
      </c>
      <c r="E2667" s="1640" t="s">
        <v>2360</v>
      </c>
      <c r="F2667" s="950"/>
      <c r="G2667" s="1641">
        <f>报表附注合并期初用!E2268</f>
        <v>0</v>
      </c>
      <c r="H2667" s="1642"/>
      <c r="I2667" s="1642"/>
      <c r="J2667" s="1642"/>
      <c r="X2667" s="768" t="b">
        <f t="shared" si="368"/>
        <v>1</v>
      </c>
    </row>
    <row r="2668" outlineLevel="2" spans="1:24">
      <c r="A2668" s="1617" t="s">
        <v>2361</v>
      </c>
      <c r="B2668" s="692" t="s">
        <v>3971</v>
      </c>
      <c r="C2668" s="693" t="str">
        <f t="shared" si="367"/>
        <v>深圳新阳蓝光能源管理科技股份有限公司</v>
      </c>
      <c r="D2668" s="1636" t="s">
        <v>3365</v>
      </c>
      <c r="E2668" s="1640" t="s">
        <v>2361</v>
      </c>
      <c r="F2668" s="950"/>
      <c r="G2668" s="1641">
        <f>报表附注合并期初用!E2269</f>
        <v>0</v>
      </c>
      <c r="H2668" s="1642"/>
      <c r="I2668" s="1642"/>
      <c r="J2668" s="1642"/>
      <c r="X2668" s="768" t="b">
        <f t="shared" si="368"/>
        <v>1</v>
      </c>
    </row>
    <row r="2669" outlineLevel="2" spans="1:24">
      <c r="A2669" s="1617" t="s">
        <v>2362</v>
      </c>
      <c r="B2669" s="692" t="s">
        <v>3971</v>
      </c>
      <c r="C2669" s="693" t="str">
        <f t="shared" si="367"/>
        <v>深圳新阳蓝光能源管理科技股份有限公司</v>
      </c>
      <c r="D2669" s="1636" t="s">
        <v>3365</v>
      </c>
      <c r="E2669" s="1640" t="s">
        <v>3979</v>
      </c>
      <c r="F2669" s="950"/>
      <c r="G2669" s="1641">
        <f>报表附注合并期初用!E2270</f>
        <v>0</v>
      </c>
      <c r="H2669" s="1642"/>
      <c r="I2669" s="1642"/>
      <c r="J2669" s="1642"/>
      <c r="X2669" s="768" t="b">
        <f t="shared" si="368"/>
        <v>0</v>
      </c>
    </row>
    <row r="2670" outlineLevel="2" spans="1:24">
      <c r="A2670" s="1617" t="s">
        <v>280</v>
      </c>
      <c r="B2670" s="692" t="s">
        <v>3971</v>
      </c>
      <c r="C2670" s="693" t="str">
        <f t="shared" si="367"/>
        <v>深圳新阳蓝光能源管理科技股份有限公司</v>
      </c>
      <c r="D2670" s="1636" t="s">
        <v>3365</v>
      </c>
      <c r="E2670" s="1640" t="s">
        <v>280</v>
      </c>
      <c r="F2670" s="950"/>
      <c r="G2670" s="1641">
        <f>报表附注合并期初用!E2271</f>
        <v>0</v>
      </c>
      <c r="H2670" s="1642"/>
      <c r="I2670" s="1642"/>
      <c r="J2670" s="1642"/>
      <c r="X2670" s="768" t="b">
        <f t="shared" si="368"/>
        <v>1</v>
      </c>
    </row>
    <row r="2671" hidden="1" outlineLevel="2" spans="1:24">
      <c r="A2671" s="1617" t="s">
        <v>2363</v>
      </c>
      <c r="B2671" s="692" t="s">
        <v>3971</v>
      </c>
      <c r="C2671" s="693" t="str">
        <f t="shared" si="367"/>
        <v>深圳新阳蓝光能源管理科技股份有限公司</v>
      </c>
      <c r="D2671" s="1636" t="s">
        <v>3365</v>
      </c>
      <c r="E2671" s="1642" t="s">
        <v>2363</v>
      </c>
      <c r="F2671" s="950"/>
      <c r="G2671" s="1641">
        <f>报表附注合并期初用!E2272</f>
        <v>0</v>
      </c>
      <c r="H2671" s="1642"/>
      <c r="I2671" s="1642"/>
      <c r="J2671" s="1642"/>
      <c r="X2671" s="768" t="b">
        <f t="shared" si="368"/>
        <v>1</v>
      </c>
    </row>
    <row r="2672" hidden="1" outlineLevel="2" spans="1:24">
      <c r="A2672" s="1617" t="s">
        <v>2364</v>
      </c>
      <c r="B2672" s="692" t="s">
        <v>3971</v>
      </c>
      <c r="C2672" s="693" t="str">
        <f t="shared" si="367"/>
        <v>深圳新阳蓝光能源管理科技股份有限公司</v>
      </c>
      <c r="D2672" s="1636" t="s">
        <v>3365</v>
      </c>
      <c r="E2672" s="1642" t="s">
        <v>2364</v>
      </c>
      <c r="F2672" s="950"/>
      <c r="G2672" s="1641">
        <f>报表附注合并期初用!E2273</f>
        <v>0</v>
      </c>
      <c r="H2672" s="1642"/>
      <c r="I2672" s="1642"/>
      <c r="J2672" s="1642"/>
      <c r="X2672" s="768" t="b">
        <f t="shared" si="368"/>
        <v>1</v>
      </c>
    </row>
    <row r="2673" outlineLevel="2" spans="1:24">
      <c r="A2673" s="1617" t="s">
        <v>2365</v>
      </c>
      <c r="B2673" s="692" t="s">
        <v>3971</v>
      </c>
      <c r="C2673" s="693" t="str">
        <f t="shared" si="367"/>
        <v>深圳新阳蓝光能源管理科技股份有限公司</v>
      </c>
      <c r="D2673" s="1636" t="s">
        <v>3365</v>
      </c>
      <c r="E2673" s="1643" t="s">
        <v>2365</v>
      </c>
      <c r="F2673" s="1556">
        <f>SUM(F2661:F2672)</f>
        <v>0</v>
      </c>
      <c r="G2673" s="1556">
        <f>SUM(G2661:G2672)</f>
        <v>0</v>
      </c>
      <c r="H2673" s="1644"/>
      <c r="I2673" s="1648" t="s">
        <v>2021</v>
      </c>
      <c r="J2673" s="1649">
        <f>ROUND(SUM(J2662:J2672),2)</f>
        <v>0</v>
      </c>
      <c r="X2673" s="768" t="b">
        <f t="shared" si="368"/>
        <v>1</v>
      </c>
    </row>
    <row r="2674" outlineLevel="2" spans="1:24">
      <c r="A2674" s="1617" t="s">
        <v>1723</v>
      </c>
      <c r="B2674" s="692" t="s">
        <v>3971</v>
      </c>
      <c r="C2674" s="693" t="str">
        <f t="shared" si="367"/>
        <v>深圳新阳蓝光能源管理科技股份有限公司</v>
      </c>
      <c r="D2674" s="1618" t="s">
        <v>3365</v>
      </c>
      <c r="E2674" s="1633" t="s">
        <v>1723</v>
      </c>
      <c r="F2674" s="1625">
        <f>审定利润表!C14</f>
        <v>0</v>
      </c>
      <c r="G2674" s="1625">
        <f>审定利润表!D14</f>
        <v>0</v>
      </c>
      <c r="H2674" s="1619"/>
      <c r="I2674" s="1619"/>
      <c r="J2674" s="1619"/>
      <c r="X2674" s="768" t="b">
        <f t="shared" si="368"/>
        <v>1</v>
      </c>
    </row>
    <row r="2675" outlineLevel="1" spans="1:24">
      <c r="A2675" s="1617" t="s">
        <v>1395</v>
      </c>
      <c r="B2675" s="692" t="s">
        <v>3971</v>
      </c>
      <c r="C2675" s="693" t="str">
        <f t="shared" si="367"/>
        <v>深圳新阳蓝光能源管理科技股份有限公司</v>
      </c>
      <c r="D2675" s="1618" t="s">
        <v>3365</v>
      </c>
      <c r="E2675" s="1633" t="s">
        <v>1395</v>
      </c>
      <c r="F2675" s="1007">
        <f>ROUND(F2673-F2674,2)</f>
        <v>0</v>
      </c>
      <c r="G2675" s="1007">
        <f>ROUND(G2673-G2674,2)</f>
        <v>0</v>
      </c>
      <c r="H2675" s="1619"/>
      <c r="I2675" s="1619"/>
      <c r="J2675" s="1619"/>
      <c r="X2675" s="768" t="b">
        <f t="shared" si="368"/>
        <v>1</v>
      </c>
    </row>
    <row r="2676" outlineLevel="2" spans="2:24">
      <c r="B2676" s="692" t="s">
        <v>3971</v>
      </c>
      <c r="C2676" s="693" t="str">
        <f t="shared" si="367"/>
        <v>深圳新阳蓝光能源管理科技股份有限公司</v>
      </c>
      <c r="D2676" s="1618" t="s">
        <v>3365</v>
      </c>
      <c r="E2676" s="1633"/>
      <c r="F2676" s="1627"/>
      <c r="G2676" s="1627"/>
      <c r="H2676" s="1619"/>
      <c r="I2676" s="1619"/>
      <c r="J2676" s="1619"/>
      <c r="X2676" s="768" t="b">
        <f t="shared" si="368"/>
        <v>1</v>
      </c>
    </row>
    <row r="2677" outlineLevel="2" spans="1:24">
      <c r="A2677" s="1617" t="s">
        <v>3980</v>
      </c>
      <c r="B2677" s="692" t="s">
        <v>3971</v>
      </c>
      <c r="C2677" s="693" t="str">
        <f t="shared" si="367"/>
        <v>深圳新阳蓝光能源管理科技股份有限公司</v>
      </c>
      <c r="D2677" s="1618" t="s">
        <v>3980</v>
      </c>
      <c r="E2677" s="153" t="s">
        <v>3981</v>
      </c>
      <c r="F2677" s="1627"/>
      <c r="G2677" s="1627"/>
      <c r="H2677" s="1619"/>
      <c r="I2677" s="1619"/>
      <c r="J2677" s="1619"/>
      <c r="X2677" s="768" t="b">
        <f t="shared" si="368"/>
        <v>0</v>
      </c>
    </row>
    <row r="2678" outlineLevel="2" spans="1:24">
      <c r="A2678" s="1617" t="s">
        <v>420</v>
      </c>
      <c r="B2678" s="692" t="s">
        <v>3971</v>
      </c>
      <c r="C2678" s="693" t="str">
        <f t="shared" si="367"/>
        <v>深圳新阳蓝光能源管理科技股份有限公司</v>
      </c>
      <c r="D2678" s="1618" t="s">
        <v>3980</v>
      </c>
      <c r="E2678" s="851" t="s">
        <v>420</v>
      </c>
      <c r="F2678" s="851" t="s">
        <v>63</v>
      </c>
      <c r="G2678" s="851" t="s">
        <v>2448</v>
      </c>
      <c r="H2678" s="851" t="s">
        <v>3982</v>
      </c>
      <c r="I2678" s="1619"/>
      <c r="J2678" s="1619"/>
      <c r="X2678" s="768" t="b">
        <f t="shared" si="368"/>
        <v>1</v>
      </c>
    </row>
    <row r="2679" outlineLevel="2" spans="2:24">
      <c r="B2679" s="692" t="s">
        <v>3971</v>
      </c>
      <c r="C2679" s="693" t="str">
        <f t="shared" si="367"/>
        <v>深圳新阳蓝光能源管理科技股份有限公司</v>
      </c>
      <c r="D2679" s="1618" t="s">
        <v>3980</v>
      </c>
      <c r="E2679" s="1296"/>
      <c r="F2679" s="1294"/>
      <c r="G2679" s="1294"/>
      <c r="H2679" s="1296"/>
      <c r="I2679" s="1619"/>
      <c r="J2679" s="1619"/>
      <c r="X2679" s="768" t="b">
        <f t="shared" si="368"/>
        <v>1</v>
      </c>
    </row>
    <row r="2680" outlineLevel="2" spans="2:24">
      <c r="B2680" s="692" t="s">
        <v>3971</v>
      </c>
      <c r="C2680" s="693" t="str">
        <f t="shared" si="367"/>
        <v>深圳新阳蓝光能源管理科技股份有限公司</v>
      </c>
      <c r="D2680" s="1618" t="s">
        <v>3980</v>
      </c>
      <c r="E2680" s="1296"/>
      <c r="F2680" s="1294"/>
      <c r="G2680" s="1294"/>
      <c r="H2680" s="1296"/>
      <c r="I2680" s="1619"/>
      <c r="J2680" s="1619"/>
      <c r="X2680" s="768" t="b">
        <f t="shared" si="368"/>
        <v>1</v>
      </c>
    </row>
    <row r="2681" outlineLevel="2" spans="2:24">
      <c r="B2681" s="692" t="s">
        <v>3971</v>
      </c>
      <c r="C2681" s="693" t="str">
        <f t="shared" si="367"/>
        <v>深圳新阳蓝光能源管理科技股份有限公司</v>
      </c>
      <c r="D2681" s="1618" t="s">
        <v>3980</v>
      </c>
      <c r="E2681" s="1296"/>
      <c r="F2681" s="1294"/>
      <c r="G2681" s="1294"/>
      <c r="H2681" s="1296"/>
      <c r="I2681" s="1619"/>
      <c r="J2681" s="1619"/>
      <c r="X2681" s="768" t="b">
        <f t="shared" si="368"/>
        <v>1</v>
      </c>
    </row>
    <row r="2682" outlineLevel="2" spans="2:24">
      <c r="B2682" s="692" t="s">
        <v>3971</v>
      </c>
      <c r="C2682" s="693" t="str">
        <f t="shared" si="367"/>
        <v>深圳新阳蓝光能源管理科技股份有限公司</v>
      </c>
      <c r="D2682" s="1618" t="s">
        <v>3980</v>
      </c>
      <c r="E2682" s="1296"/>
      <c r="F2682" s="1294"/>
      <c r="G2682" s="1294"/>
      <c r="H2682" s="1296"/>
      <c r="I2682" s="1619"/>
      <c r="J2682" s="1619"/>
      <c r="X2682" s="768" t="b">
        <f t="shared" si="368"/>
        <v>1</v>
      </c>
    </row>
    <row r="2683" outlineLevel="2" spans="2:24">
      <c r="B2683" s="692" t="s">
        <v>3971</v>
      </c>
      <c r="C2683" s="693" t="str">
        <f t="shared" si="367"/>
        <v>深圳新阳蓝光能源管理科技股份有限公司</v>
      </c>
      <c r="D2683" s="1618" t="s">
        <v>3980</v>
      </c>
      <c r="E2683" s="1296"/>
      <c r="F2683" s="1294"/>
      <c r="G2683" s="1294"/>
      <c r="H2683" s="1296"/>
      <c r="I2683" s="1619"/>
      <c r="J2683" s="1619"/>
      <c r="X2683" s="768" t="b">
        <f t="shared" si="368"/>
        <v>1</v>
      </c>
    </row>
    <row r="2684" outlineLevel="2" spans="2:24">
      <c r="B2684" s="692" t="s">
        <v>3971</v>
      </c>
      <c r="C2684" s="693" t="str">
        <f t="shared" si="367"/>
        <v>深圳新阳蓝光能源管理科技股份有限公司</v>
      </c>
      <c r="D2684" s="1618" t="s">
        <v>3980</v>
      </c>
      <c r="E2684" s="1296"/>
      <c r="F2684" s="1294"/>
      <c r="G2684" s="1294"/>
      <c r="H2684" s="1296"/>
      <c r="I2684" s="1619"/>
      <c r="J2684" s="1619"/>
      <c r="X2684" s="768" t="b">
        <f t="shared" si="368"/>
        <v>1</v>
      </c>
    </row>
    <row r="2685" ht="12.75" customHeight="1" outlineLevel="2" spans="2:24">
      <c r="B2685" s="692" t="s">
        <v>3971</v>
      </c>
      <c r="C2685" s="693" t="str">
        <f t="shared" si="367"/>
        <v>深圳新阳蓝光能源管理科技股份有限公司</v>
      </c>
      <c r="D2685" s="1618" t="s">
        <v>3980</v>
      </c>
      <c r="E2685" s="1645"/>
      <c r="F2685" s="1294"/>
      <c r="G2685" s="1294"/>
      <c r="H2685" s="1296"/>
      <c r="I2685" s="1619"/>
      <c r="J2685" s="1619"/>
      <c r="X2685" s="768" t="b">
        <f t="shared" si="368"/>
        <v>1</v>
      </c>
    </row>
    <row r="2686" outlineLevel="2" spans="2:24">
      <c r="B2686" s="692" t="s">
        <v>3971</v>
      </c>
      <c r="C2686" s="693" t="str">
        <f t="shared" si="367"/>
        <v>深圳新阳蓝光能源管理科技股份有限公司</v>
      </c>
      <c r="D2686" s="1618" t="s">
        <v>3980</v>
      </c>
      <c r="E2686" s="1645"/>
      <c r="F2686" s="1294"/>
      <c r="G2686" s="1294"/>
      <c r="H2686" s="1296"/>
      <c r="I2686" s="1619"/>
      <c r="J2686" s="1619"/>
      <c r="X2686" s="768" t="b">
        <f t="shared" si="368"/>
        <v>1</v>
      </c>
    </row>
    <row r="2687" outlineLevel="2" spans="2:24">
      <c r="B2687" s="692" t="s">
        <v>3971</v>
      </c>
      <c r="C2687" s="693" t="str">
        <f t="shared" si="367"/>
        <v>深圳新阳蓝光能源管理科技股份有限公司</v>
      </c>
      <c r="D2687" s="1618" t="s">
        <v>3980</v>
      </c>
      <c r="E2687" s="1645"/>
      <c r="F2687" s="1294"/>
      <c r="G2687" s="1294"/>
      <c r="H2687" s="1296"/>
      <c r="I2687" s="1619"/>
      <c r="J2687" s="1619"/>
      <c r="X2687" s="768" t="b">
        <f t="shared" si="368"/>
        <v>1</v>
      </c>
    </row>
    <row r="2688" outlineLevel="2" spans="1:24">
      <c r="A2688" s="1617" t="s">
        <v>2021</v>
      </c>
      <c r="B2688" s="692" t="s">
        <v>3971</v>
      </c>
      <c r="C2688" s="693" t="str">
        <f t="shared" si="367"/>
        <v>深圳新阳蓝光能源管理科技股份有限公司</v>
      </c>
      <c r="D2688" s="1618" t="s">
        <v>3980</v>
      </c>
      <c r="E2688" s="1239" t="s">
        <v>2021</v>
      </c>
      <c r="F2688" s="1153">
        <f>SUM(F2679:F2687)</f>
        <v>0</v>
      </c>
      <c r="G2688" s="1153">
        <f>SUM(G2679:G2687)</f>
        <v>0</v>
      </c>
      <c r="H2688" s="155"/>
      <c r="I2688" s="1619"/>
      <c r="J2688" s="1619"/>
      <c r="X2688" s="768" t="b">
        <f t="shared" si="368"/>
        <v>1</v>
      </c>
    </row>
    <row r="2689" outlineLevel="2" spans="1:24">
      <c r="A2689" s="1617" t="s">
        <v>3983</v>
      </c>
      <c r="B2689" s="692" t="s">
        <v>3971</v>
      </c>
      <c r="C2689" s="693" t="str">
        <f t="shared" si="367"/>
        <v>深圳新阳蓝光能源管理科技股份有限公司</v>
      </c>
      <c r="D2689" s="1618" t="s">
        <v>3980</v>
      </c>
      <c r="E2689" s="153" t="s">
        <v>3984</v>
      </c>
      <c r="F2689" s="1627"/>
      <c r="G2689" s="1627"/>
      <c r="H2689" s="1619"/>
      <c r="I2689" s="1619"/>
      <c r="J2689" s="1619"/>
      <c r="X2689" s="768" t="b">
        <f t="shared" si="368"/>
        <v>1</v>
      </c>
    </row>
    <row r="2690" outlineLevel="2" spans="1:24">
      <c r="A2690" s="1617" t="s">
        <v>3985</v>
      </c>
      <c r="B2690" s="692" t="s">
        <v>3971</v>
      </c>
      <c r="C2690" s="693" t="str">
        <f t="shared" si="367"/>
        <v>深圳新阳蓝光能源管理科技股份有限公司</v>
      </c>
      <c r="D2690" s="1618" t="s">
        <v>3980</v>
      </c>
      <c r="E2690" s="153" t="s">
        <v>3986</v>
      </c>
      <c r="F2690" s="751"/>
      <c r="G2690" s="751"/>
      <c r="H2690" s="751"/>
      <c r="I2690" s="1619"/>
      <c r="J2690" s="1619"/>
      <c r="X2690" s="768" t="b">
        <f t="shared" si="368"/>
        <v>1</v>
      </c>
    </row>
    <row r="2691" outlineLevel="2" spans="2:24">
      <c r="B2691" s="692" t="s">
        <v>3971</v>
      </c>
      <c r="C2691" s="693" t="str">
        <f t="shared" si="367"/>
        <v>深圳新阳蓝光能源管理科技股份有限公司</v>
      </c>
      <c r="D2691" s="1618" t="s">
        <v>3980</v>
      </c>
      <c r="E2691" s="153"/>
      <c r="F2691" s="751"/>
      <c r="G2691" s="751"/>
      <c r="H2691" s="751"/>
      <c r="I2691" s="1619"/>
      <c r="J2691" s="1619"/>
      <c r="X2691" s="768" t="b">
        <f t="shared" si="368"/>
        <v>1</v>
      </c>
    </row>
    <row r="2692" outlineLevel="2" spans="1:24">
      <c r="A2692" s="1617" t="s">
        <v>3987</v>
      </c>
      <c r="B2692" s="692" t="s">
        <v>3971</v>
      </c>
      <c r="C2692" s="693" t="str">
        <f t="shared" si="367"/>
        <v>深圳新阳蓝光能源管理科技股份有限公司</v>
      </c>
      <c r="D2692" s="1618" t="s">
        <v>3987</v>
      </c>
      <c r="E2692" s="153" t="s">
        <v>3988</v>
      </c>
      <c r="F2692" s="751"/>
      <c r="G2692" s="751"/>
      <c r="H2692" s="751"/>
      <c r="I2692" s="1619"/>
      <c r="J2692" s="1619"/>
      <c r="X2692" s="768" t="b">
        <f t="shared" si="368"/>
        <v>1</v>
      </c>
    </row>
    <row r="2693" outlineLevel="2" spans="1:24">
      <c r="A2693" s="1617" t="s">
        <v>420</v>
      </c>
      <c r="B2693" s="692" t="s">
        <v>3971</v>
      </c>
      <c r="C2693" s="693" t="str">
        <f t="shared" si="367"/>
        <v>深圳新阳蓝光能源管理科技股份有限公司</v>
      </c>
      <c r="D2693" s="1618" t="s">
        <v>3987</v>
      </c>
      <c r="E2693" s="851" t="s">
        <v>420</v>
      </c>
      <c r="F2693" s="851" t="s">
        <v>63</v>
      </c>
      <c r="G2693" s="851" t="s">
        <v>2448</v>
      </c>
      <c r="H2693" s="851" t="s">
        <v>3982</v>
      </c>
      <c r="I2693" s="1619"/>
      <c r="J2693" s="1619"/>
      <c r="X2693" s="768" t="b">
        <f t="shared" si="368"/>
        <v>1</v>
      </c>
    </row>
    <row r="2694" outlineLevel="2" spans="2:24">
      <c r="B2694" s="692" t="s">
        <v>3971</v>
      </c>
      <c r="C2694" s="693" t="str">
        <f t="shared" si="367"/>
        <v>深圳新阳蓝光能源管理科技股份有限公司</v>
      </c>
      <c r="D2694" s="1618" t="s">
        <v>3987</v>
      </c>
      <c r="E2694" s="1640"/>
      <c r="F2694" s="1294"/>
      <c r="G2694" s="1294"/>
      <c r="H2694" s="1296"/>
      <c r="I2694" s="1619"/>
      <c r="J2694" s="1619"/>
      <c r="X2694" s="768" t="b">
        <f t="shared" si="368"/>
        <v>1</v>
      </c>
    </row>
    <row r="2695" outlineLevel="2" spans="2:24">
      <c r="B2695" s="692" t="s">
        <v>3971</v>
      </c>
      <c r="C2695" s="693" t="str">
        <f t="shared" si="367"/>
        <v>深圳新阳蓝光能源管理科技股份有限公司</v>
      </c>
      <c r="D2695" s="1618" t="s">
        <v>3987</v>
      </c>
      <c r="E2695" s="1640"/>
      <c r="F2695" s="1294"/>
      <c r="G2695" s="1294"/>
      <c r="H2695" s="1296"/>
      <c r="I2695" s="1619"/>
      <c r="J2695" s="1619"/>
      <c r="X2695" s="768" t="b">
        <f t="shared" si="368"/>
        <v>1</v>
      </c>
    </row>
    <row r="2696" outlineLevel="2" spans="2:24">
      <c r="B2696" s="692" t="s">
        <v>3971</v>
      </c>
      <c r="C2696" s="693" t="str">
        <f t="shared" si="367"/>
        <v>深圳新阳蓝光能源管理科技股份有限公司</v>
      </c>
      <c r="D2696" s="1618" t="s">
        <v>3987</v>
      </c>
      <c r="E2696" s="1640"/>
      <c r="F2696" s="1294"/>
      <c r="G2696" s="1294"/>
      <c r="H2696" s="1296"/>
      <c r="I2696" s="1619"/>
      <c r="J2696" s="1619"/>
      <c r="X2696" s="768" t="b">
        <f t="shared" si="368"/>
        <v>1</v>
      </c>
    </row>
    <row r="2697" outlineLevel="2" spans="2:24">
      <c r="B2697" s="692" t="s">
        <v>3971</v>
      </c>
      <c r="C2697" s="693" t="str">
        <f t="shared" si="367"/>
        <v>深圳新阳蓝光能源管理科技股份有限公司</v>
      </c>
      <c r="D2697" s="1618" t="s">
        <v>3987</v>
      </c>
      <c r="E2697" s="1640"/>
      <c r="F2697" s="1294"/>
      <c r="G2697" s="1294"/>
      <c r="H2697" s="1296"/>
      <c r="I2697" s="1619"/>
      <c r="J2697" s="1619"/>
      <c r="X2697" s="768" t="b">
        <f t="shared" si="368"/>
        <v>1</v>
      </c>
    </row>
    <row r="2698" outlineLevel="2" spans="2:24">
      <c r="B2698" s="692" t="s">
        <v>3971</v>
      </c>
      <c r="C2698" s="693" t="str">
        <f t="shared" si="367"/>
        <v>深圳新阳蓝光能源管理科技股份有限公司</v>
      </c>
      <c r="D2698" s="1618" t="s">
        <v>3987</v>
      </c>
      <c r="E2698" s="1640"/>
      <c r="F2698" s="1294"/>
      <c r="G2698" s="1294"/>
      <c r="H2698" s="1296"/>
      <c r="I2698" s="1619"/>
      <c r="J2698" s="1619"/>
      <c r="X2698" s="768" t="b">
        <f t="shared" si="368"/>
        <v>1</v>
      </c>
    </row>
    <row r="2699" outlineLevel="2" spans="2:24">
      <c r="B2699" s="692" t="s">
        <v>3971</v>
      </c>
      <c r="C2699" s="693" t="str">
        <f t="shared" si="367"/>
        <v>深圳新阳蓝光能源管理科技股份有限公司</v>
      </c>
      <c r="D2699" s="1618" t="s">
        <v>3987</v>
      </c>
      <c r="E2699" s="1645"/>
      <c r="F2699" s="1294"/>
      <c r="G2699" s="1294"/>
      <c r="H2699" s="1296"/>
      <c r="I2699" s="1619"/>
      <c r="J2699" s="1619"/>
      <c r="X2699" s="768" t="b">
        <f t="shared" si="368"/>
        <v>1</v>
      </c>
    </row>
    <row r="2700" outlineLevel="2" spans="2:24">
      <c r="B2700" s="692" t="s">
        <v>3971</v>
      </c>
      <c r="C2700" s="693" t="str">
        <f t="shared" si="367"/>
        <v>深圳新阳蓝光能源管理科技股份有限公司</v>
      </c>
      <c r="D2700" s="1618" t="s">
        <v>3987</v>
      </c>
      <c r="E2700" s="1645"/>
      <c r="F2700" s="1294"/>
      <c r="G2700" s="1294"/>
      <c r="H2700" s="1296"/>
      <c r="I2700" s="1619"/>
      <c r="J2700" s="1619"/>
      <c r="X2700" s="768" t="b">
        <f t="shared" si="368"/>
        <v>1</v>
      </c>
    </row>
    <row r="2701" outlineLevel="2" spans="2:24">
      <c r="B2701" s="692" t="s">
        <v>3971</v>
      </c>
      <c r="C2701" s="693" t="str">
        <f t="shared" si="367"/>
        <v>深圳新阳蓝光能源管理科技股份有限公司</v>
      </c>
      <c r="D2701" s="1618" t="s">
        <v>3987</v>
      </c>
      <c r="E2701" s="1645"/>
      <c r="F2701" s="1294"/>
      <c r="G2701" s="1294"/>
      <c r="H2701" s="1296"/>
      <c r="I2701" s="1619"/>
      <c r="J2701" s="1619"/>
      <c r="X2701" s="768" t="b">
        <f t="shared" si="368"/>
        <v>1</v>
      </c>
    </row>
    <row r="2702" outlineLevel="2" spans="1:24">
      <c r="A2702" s="1617" t="s">
        <v>2021</v>
      </c>
      <c r="B2702" s="692" t="s">
        <v>3971</v>
      </c>
      <c r="C2702" s="693" t="str">
        <f t="shared" si="367"/>
        <v>深圳新阳蓝光能源管理科技股份有限公司</v>
      </c>
      <c r="D2702" s="1618" t="s">
        <v>3987</v>
      </c>
      <c r="E2702" s="1239" t="s">
        <v>2021</v>
      </c>
      <c r="F2702" s="1153">
        <f>SUM(F2694:F2701)</f>
        <v>0</v>
      </c>
      <c r="G2702" s="1153">
        <f>SUM(G2694:G2701)</f>
        <v>0</v>
      </c>
      <c r="H2702" s="155"/>
      <c r="I2702" s="1619"/>
      <c r="J2702" s="1619"/>
      <c r="X2702" s="768" t="b">
        <f t="shared" si="368"/>
        <v>1</v>
      </c>
    </row>
    <row r="2703" outlineLevel="2" spans="1:24">
      <c r="A2703" s="1617" t="s">
        <v>3983</v>
      </c>
      <c r="B2703" s="692" t="s">
        <v>3971</v>
      </c>
      <c r="C2703" s="693" t="str">
        <f t="shared" si="367"/>
        <v>深圳新阳蓝光能源管理科技股份有限公司</v>
      </c>
      <c r="D2703" s="1618" t="s">
        <v>3987</v>
      </c>
      <c r="E2703" s="153" t="s">
        <v>3984</v>
      </c>
      <c r="F2703" s="1007">
        <f>F2702-F2662</f>
        <v>0</v>
      </c>
      <c r="G2703" s="1007">
        <f>G2702-G2662</f>
        <v>0</v>
      </c>
      <c r="H2703" s="751"/>
      <c r="I2703" s="1619"/>
      <c r="J2703" s="1619"/>
      <c r="X2703" s="768" t="b">
        <f t="shared" si="368"/>
        <v>1</v>
      </c>
    </row>
    <row r="2704" outlineLevel="2" spans="1:24">
      <c r="A2704" s="1617" t="s">
        <v>3989</v>
      </c>
      <c r="B2704" s="692" t="s">
        <v>3971</v>
      </c>
      <c r="C2704" s="693" t="str">
        <f t="shared" si="367"/>
        <v>深圳新阳蓝光能源管理科技股份有限公司</v>
      </c>
      <c r="D2704" s="1618" t="s">
        <v>3987</v>
      </c>
      <c r="E2704" s="153" t="s">
        <v>3990</v>
      </c>
      <c r="F2704" s="751"/>
      <c r="G2704" s="751"/>
      <c r="H2704" s="751"/>
      <c r="I2704" s="1619"/>
      <c r="J2704" s="1619"/>
      <c r="X2704" s="768" t="b">
        <f t="shared" si="368"/>
        <v>1</v>
      </c>
    </row>
    <row r="2705" outlineLevel="2" spans="1:24">
      <c r="A2705" s="1617" t="s">
        <v>3991</v>
      </c>
      <c r="B2705" s="692" t="s">
        <v>3971</v>
      </c>
      <c r="C2705" s="693" t="str">
        <f t="shared" si="367"/>
        <v>深圳新阳蓝光能源管理科技股份有限公司</v>
      </c>
      <c r="D2705" s="1618" t="s">
        <v>3991</v>
      </c>
      <c r="E2705" s="153" t="s">
        <v>3992</v>
      </c>
      <c r="F2705" s="751"/>
      <c r="G2705" s="751"/>
      <c r="H2705" s="751"/>
      <c r="I2705" s="1619"/>
      <c r="J2705" s="1619"/>
      <c r="X2705" s="768" t="b">
        <f t="shared" si="368"/>
        <v>1</v>
      </c>
    </row>
    <row r="2706" outlineLevel="2" spans="1:24">
      <c r="A2706" s="1617" t="s">
        <v>2809</v>
      </c>
      <c r="B2706" s="692" t="s">
        <v>3971</v>
      </c>
      <c r="C2706" s="693" t="str">
        <f t="shared" si="367"/>
        <v>深圳新阳蓝光能源管理科技股份有限公司</v>
      </c>
      <c r="D2706" s="1618" t="s">
        <v>3991</v>
      </c>
      <c r="E2706" s="153" t="s">
        <v>2829</v>
      </c>
      <c r="F2706" s="1477"/>
      <c r="G2706" s="1477"/>
      <c r="H2706" s="1477"/>
      <c r="I2706" s="1619"/>
      <c r="J2706" s="1619"/>
      <c r="X2706" s="768" t="b">
        <f t="shared" si="368"/>
        <v>1</v>
      </c>
    </row>
    <row r="2707" outlineLevel="2" spans="1:24">
      <c r="A2707" s="1617" t="s">
        <v>3993</v>
      </c>
      <c r="B2707" s="692" t="s">
        <v>3971</v>
      </c>
      <c r="C2707" s="693" t="str">
        <f t="shared" si="367"/>
        <v>深圳新阳蓝光能源管理科技股份有限公司</v>
      </c>
      <c r="D2707" s="1618" t="s">
        <v>3993</v>
      </c>
      <c r="E2707" s="153" t="s">
        <v>3994</v>
      </c>
      <c r="F2707" s="751"/>
      <c r="G2707" s="751"/>
      <c r="H2707" s="751"/>
      <c r="I2707" s="1619"/>
      <c r="J2707" s="1619"/>
      <c r="X2707" s="768" t="b">
        <f t="shared" si="368"/>
        <v>1</v>
      </c>
    </row>
    <row r="2708" outlineLevel="2" spans="1:24">
      <c r="A2708" s="1617" t="s">
        <v>2809</v>
      </c>
      <c r="B2708" s="692" t="s">
        <v>3971</v>
      </c>
      <c r="C2708" s="693" t="str">
        <f t="shared" si="367"/>
        <v>深圳新阳蓝光能源管理科技股份有限公司</v>
      </c>
      <c r="D2708" s="1618" t="s">
        <v>3993</v>
      </c>
      <c r="E2708" s="153" t="s">
        <v>2829</v>
      </c>
      <c r="F2708" s="1477"/>
      <c r="G2708" s="1477"/>
      <c r="H2708" s="1477"/>
      <c r="I2708" s="1619"/>
      <c r="J2708" s="1619"/>
      <c r="X2708" s="768" t="b">
        <f t="shared" si="368"/>
        <v>1</v>
      </c>
    </row>
    <row r="2709" outlineLevel="2" spans="2:24">
      <c r="B2709" s="692" t="s">
        <v>3971</v>
      </c>
      <c r="C2709" s="693" t="str">
        <f t="shared" si="367"/>
        <v>深圳新阳蓝光能源管理科技股份有限公司</v>
      </c>
      <c r="D2709" s="1618" t="s">
        <v>3993</v>
      </c>
      <c r="E2709" s="153"/>
      <c r="F2709" s="1627"/>
      <c r="G2709" s="1627"/>
      <c r="H2709" s="1619"/>
      <c r="I2709" s="1668"/>
      <c r="J2709" s="1619"/>
      <c r="X2709" s="768" t="b">
        <f t="shared" si="368"/>
        <v>1</v>
      </c>
    </row>
    <row r="2710" spans="1:24">
      <c r="A2710" s="1650" t="s">
        <v>2366</v>
      </c>
      <c r="B2710" s="692" t="s">
        <v>3995</v>
      </c>
      <c r="C2710" s="693" t="str">
        <f t="shared" si="367"/>
        <v>深圳新阳蓝光能源管理科技股份有限公司</v>
      </c>
      <c r="D2710" s="1651" t="s">
        <v>2366</v>
      </c>
      <c r="E2710" s="70" t="s">
        <v>3996</v>
      </c>
      <c r="F2710" s="1652"/>
      <c r="G2710" s="1429" t="s">
        <v>3892</v>
      </c>
      <c r="H2710" s="1083"/>
      <c r="I2710" s="1669"/>
      <c r="J2710" s="1669"/>
      <c r="K2710" s="1656"/>
      <c r="L2710" s="1656"/>
      <c r="M2710" s="1656"/>
      <c r="N2710" s="1656"/>
      <c r="O2710" s="1656"/>
      <c r="X2710" s="768" t="b">
        <f t="shared" si="368"/>
        <v>1</v>
      </c>
    </row>
    <row r="2711" ht="18" customHeight="1" outlineLevel="2" spans="1:24">
      <c r="A2711" s="1650" t="s">
        <v>315</v>
      </c>
      <c r="B2711" s="692" t="s">
        <v>3995</v>
      </c>
      <c r="C2711" s="693" t="str">
        <f t="shared" si="367"/>
        <v>深圳新阳蓝光能源管理科技股份有限公司</v>
      </c>
      <c r="D2711" s="1651" t="s">
        <v>2366</v>
      </c>
      <c r="E2711" s="1653" t="s">
        <v>3893</v>
      </c>
      <c r="F2711" s="1653" t="s">
        <v>2347</v>
      </c>
      <c r="G2711" s="1653" t="s">
        <v>2351</v>
      </c>
      <c r="H2711" s="1654" t="s">
        <v>3997</v>
      </c>
      <c r="I2711" s="1654" t="s">
        <v>3998</v>
      </c>
      <c r="J2711" s="1656"/>
      <c r="K2711" s="1656"/>
      <c r="L2711" s="1656"/>
      <c r="M2711" s="1656"/>
      <c r="N2711" s="1656"/>
      <c r="O2711" s="1656"/>
      <c r="P2711" s="1656"/>
      <c r="X2711" s="768" t="b">
        <f t="shared" si="368"/>
        <v>1</v>
      </c>
    </row>
    <row r="2712" outlineLevel="2" spans="1:24">
      <c r="A2712" s="1650" t="s">
        <v>2367</v>
      </c>
      <c r="B2712" s="692" t="s">
        <v>3995</v>
      </c>
      <c r="C2712" s="693" t="str">
        <f t="shared" si="367"/>
        <v>深圳新阳蓝光能源管理科技股份有限公司</v>
      </c>
      <c r="D2712" s="1651" t="s">
        <v>2366</v>
      </c>
      <c r="E2712" s="1655" t="s">
        <v>3999</v>
      </c>
      <c r="F2712" s="136">
        <v>1792140.07</v>
      </c>
      <c r="G2712" s="743">
        <f>报表附注合并期初用!E2294</f>
        <v>4558848.14</v>
      </c>
      <c r="H2712" s="1656"/>
      <c r="I2712" s="1657" t="str">
        <f>IF(F2712=G1730-H1730,"相符","不相符,差异："&amp;(F2712-G1730+H1730))</f>
        <v>相符</v>
      </c>
      <c r="J2712" s="1656" t="s">
        <v>471</v>
      </c>
      <c r="K2712" s="1670">
        <f>L205</f>
        <v>2721880.61</v>
      </c>
      <c r="L2712" s="1656"/>
      <c r="M2712" s="1656"/>
      <c r="N2712" s="1656"/>
      <c r="O2712" s="1656"/>
      <c r="P2712" s="1656"/>
      <c r="X2712" s="768" t="b">
        <f t="shared" si="368"/>
        <v>1</v>
      </c>
    </row>
    <row r="2713" outlineLevel="2" spans="1:24">
      <c r="A2713" s="1650" t="s">
        <v>2368</v>
      </c>
      <c r="B2713" s="692" t="s">
        <v>3995</v>
      </c>
      <c r="C2713" s="693" t="str">
        <f t="shared" si="367"/>
        <v>深圳新阳蓝光能源管理科技股份有限公司</v>
      </c>
      <c r="D2713" s="1651" t="s">
        <v>2366</v>
      </c>
      <c r="E2713" s="1655" t="s">
        <v>4000</v>
      </c>
      <c r="F2713" s="136"/>
      <c r="G2713" s="743">
        <f>报表附注合并期初用!E2295</f>
        <v>432021.28</v>
      </c>
      <c r="H2713" s="1657" t="str">
        <f>IF(F2713=G920,"相符","不相符")</f>
        <v>相符</v>
      </c>
      <c r="I2713" s="1657" t="str">
        <f>IF(F2713=G1731+H1731,"相符","不相符,差异："&amp;(F2713-G1731-H1731))</f>
        <v>相符</v>
      </c>
      <c r="J2713" s="1656" t="s">
        <v>2186</v>
      </c>
      <c r="K2713" s="1670">
        <f>L571</f>
        <v>899526.37</v>
      </c>
      <c r="L2713" s="1656"/>
      <c r="M2713" s="1656"/>
      <c r="N2713" s="1656"/>
      <c r="O2713" s="1656"/>
      <c r="P2713" s="1656"/>
      <c r="X2713" s="768" t="b">
        <f t="shared" si="368"/>
        <v>1</v>
      </c>
    </row>
    <row r="2714" outlineLevel="2" spans="1:24">
      <c r="A2714" s="1650" t="s">
        <v>2369</v>
      </c>
      <c r="B2714" s="692" t="s">
        <v>3995</v>
      </c>
      <c r="C2714" s="693" t="str">
        <f t="shared" si="367"/>
        <v>深圳新阳蓝光能源管理科技股份有限公司</v>
      </c>
      <c r="D2714" s="1651" t="s">
        <v>2366</v>
      </c>
      <c r="E2714" s="1655" t="s">
        <v>4001</v>
      </c>
      <c r="F2714" s="136"/>
      <c r="G2714" s="743">
        <f>报表附注合并期初用!E2296</f>
        <v>0</v>
      </c>
      <c r="H2714" s="1656"/>
      <c r="I2714" s="1657" t="str">
        <f>IF(F2714=G1732,"相符","不相符,差异："&amp;(F2714-G1732))</f>
        <v>相符</v>
      </c>
      <c r="J2714" s="1656" t="s">
        <v>2187</v>
      </c>
      <c r="K2714" s="1671">
        <f>K2712+K2713</f>
        <v>3621406.98</v>
      </c>
      <c r="L2714" s="1656"/>
      <c r="M2714" s="1656"/>
      <c r="N2714" s="1656"/>
      <c r="O2714" s="1656"/>
      <c r="P2714" s="1656"/>
      <c r="X2714" s="768" t="b">
        <f t="shared" si="368"/>
        <v>1</v>
      </c>
    </row>
    <row r="2715" outlineLevel="2" spans="1:24">
      <c r="A2715" s="1650" t="s">
        <v>2370</v>
      </c>
      <c r="B2715" s="692" t="s">
        <v>3995</v>
      </c>
      <c r="C2715" s="693" t="str">
        <f t="shared" si="367"/>
        <v>深圳新阳蓝光能源管理科技股份有限公司</v>
      </c>
      <c r="D2715" s="1651" t="s">
        <v>2366</v>
      </c>
      <c r="E2715" s="1655" t="s">
        <v>4002</v>
      </c>
      <c r="F2715" s="136"/>
      <c r="G2715" s="743">
        <f>报表附注合并期初用!E2297</f>
        <v>0</v>
      </c>
      <c r="H2715" s="1656"/>
      <c r="I2715" s="1657" t="str">
        <f t="shared" ref="I2715:I2721" si="369">IF(F2715=G1733,"相符","不相符,差异："&amp;(F2715-G1733))</f>
        <v>相符</v>
      </c>
      <c r="J2715" s="1656" t="s">
        <v>2188</v>
      </c>
      <c r="K2715" s="1670">
        <f>G2726-K2714</f>
        <v>1369462.44</v>
      </c>
      <c r="L2715" s="1656"/>
      <c r="M2715" s="1656"/>
      <c r="N2715" s="1656"/>
      <c r="O2715" s="1656"/>
      <c r="P2715" s="1656"/>
      <c r="X2715" s="768" t="b">
        <f t="shared" si="368"/>
        <v>1</v>
      </c>
    </row>
    <row r="2716" outlineLevel="2" spans="1:24">
      <c r="A2716" s="1650" t="s">
        <v>2371</v>
      </c>
      <c r="B2716" s="692" t="s">
        <v>3995</v>
      </c>
      <c r="C2716" s="693" t="str">
        <f t="shared" si="367"/>
        <v>深圳新阳蓝光能源管理科技股份有限公司</v>
      </c>
      <c r="D2716" s="1651" t="s">
        <v>2366</v>
      </c>
      <c r="E2716" s="1655" t="s">
        <v>4003</v>
      </c>
      <c r="F2716" s="136"/>
      <c r="G2716" s="743">
        <f>报表附注合并期初用!E2298</f>
        <v>0</v>
      </c>
      <c r="H2716" s="1657" t="str">
        <f>IF(F2716=P1081,"相符","不相符")</f>
        <v>相符</v>
      </c>
      <c r="I2716" s="1657" t="str">
        <f t="shared" si="369"/>
        <v>相符</v>
      </c>
      <c r="J2716" s="1656" t="s">
        <v>2189</v>
      </c>
      <c r="K2716" s="1656"/>
      <c r="L2716" s="1656"/>
      <c r="M2716" s="1656"/>
      <c r="N2716" s="1656"/>
      <c r="O2716" s="1656"/>
      <c r="P2716" s="1656"/>
      <c r="X2716" s="768" t="b">
        <f t="shared" si="368"/>
        <v>1</v>
      </c>
    </row>
    <row r="2717" outlineLevel="2" spans="1:24">
      <c r="A2717" s="1650" t="s">
        <v>2372</v>
      </c>
      <c r="B2717" s="692" t="s">
        <v>3995</v>
      </c>
      <c r="C2717" s="693" t="str">
        <f t="shared" si="367"/>
        <v>深圳新阳蓝光能源管理科技股份有限公司</v>
      </c>
      <c r="D2717" s="1651" t="s">
        <v>2366</v>
      </c>
      <c r="E2717" s="1655" t="s">
        <v>4004</v>
      </c>
      <c r="F2717" s="136"/>
      <c r="G2717" s="743">
        <f>报表附注合并期初用!E2299</f>
        <v>0</v>
      </c>
      <c r="H2717" s="1657" t="str">
        <f>IF(F2717=G1110,"相符","不相符")</f>
        <v>相符</v>
      </c>
      <c r="I2717" s="1657" t="str">
        <f t="shared" si="369"/>
        <v>相符</v>
      </c>
      <c r="J2717" s="1656" t="s">
        <v>2190</v>
      </c>
      <c r="K2717" s="1656"/>
      <c r="L2717" s="1656"/>
      <c r="M2717" s="1656"/>
      <c r="N2717" s="1656"/>
      <c r="O2717" s="1656"/>
      <c r="P2717" s="1656"/>
      <c r="X2717" s="768" t="b">
        <f t="shared" si="368"/>
        <v>1</v>
      </c>
    </row>
    <row r="2718" outlineLevel="2" spans="1:24">
      <c r="A2718" s="1650" t="s">
        <v>2373</v>
      </c>
      <c r="B2718" s="692" t="s">
        <v>3995</v>
      </c>
      <c r="C2718" s="693" t="str">
        <f t="shared" si="367"/>
        <v>深圳新阳蓝光能源管理科技股份有限公司</v>
      </c>
      <c r="D2718" s="1651" t="s">
        <v>2366</v>
      </c>
      <c r="E2718" s="1655" t="s">
        <v>4005</v>
      </c>
      <c r="F2718" s="136"/>
      <c r="G2718" s="743">
        <f>报表附注合并期初用!E2300</f>
        <v>0</v>
      </c>
      <c r="H2718" s="1657" t="str">
        <f>IF(F2718=H1157,"相符","不相符")</f>
        <v>相符</v>
      </c>
      <c r="I2718" s="1657" t="str">
        <f t="shared" si="369"/>
        <v>相符</v>
      </c>
      <c r="J2718" s="1656" t="s">
        <v>2191</v>
      </c>
      <c r="K2718" s="1656"/>
      <c r="L2718" s="1656"/>
      <c r="M2718" s="1656"/>
      <c r="N2718" s="1656"/>
      <c r="O2718" s="1656"/>
      <c r="P2718" s="1656"/>
      <c r="X2718" s="768" t="b">
        <f t="shared" si="368"/>
        <v>1</v>
      </c>
    </row>
    <row r="2719" outlineLevel="2" spans="1:24">
      <c r="A2719" s="1650" t="s">
        <v>2374</v>
      </c>
      <c r="B2719" s="692" t="s">
        <v>3995</v>
      </c>
      <c r="C2719" s="693" t="str">
        <f t="shared" si="367"/>
        <v>深圳新阳蓝光能源管理科技股份有限公司</v>
      </c>
      <c r="D2719" s="1651" t="s">
        <v>2366</v>
      </c>
      <c r="E2719" s="1655" t="s">
        <v>4006</v>
      </c>
      <c r="F2719" s="136"/>
      <c r="G2719" s="743">
        <f>报表附注合并期初用!E2301</f>
        <v>0</v>
      </c>
      <c r="H2719" s="1656"/>
      <c r="I2719" s="1657" t="str">
        <f t="shared" si="369"/>
        <v>相符</v>
      </c>
      <c r="J2719" s="1656" t="s">
        <v>2192</v>
      </c>
      <c r="K2719" s="1656"/>
      <c r="L2719" s="1656"/>
      <c r="M2719" s="1656"/>
      <c r="N2719" s="1656"/>
      <c r="O2719" s="1656"/>
      <c r="P2719" s="1656"/>
      <c r="X2719" s="768" t="b">
        <f t="shared" si="368"/>
        <v>1</v>
      </c>
    </row>
    <row r="2720" outlineLevel="2" spans="1:24">
      <c r="A2720" s="1650" t="s">
        <v>2375</v>
      </c>
      <c r="B2720" s="692" t="s">
        <v>3995</v>
      </c>
      <c r="C2720" s="693" t="str">
        <f t="shared" si="367"/>
        <v>深圳新阳蓝光能源管理科技股份有限公司</v>
      </c>
      <c r="D2720" s="1651" t="s">
        <v>2366</v>
      </c>
      <c r="E2720" s="1655" t="s">
        <v>4007</v>
      </c>
      <c r="F2720" s="136"/>
      <c r="G2720" s="743">
        <f>报表附注合并期初用!E2302</f>
        <v>0</v>
      </c>
      <c r="H2720" s="1657" t="str">
        <f>IF(F2720=G1319,"相符","不相符")</f>
        <v>相符</v>
      </c>
      <c r="I2720" s="1657" t="str">
        <f t="shared" si="369"/>
        <v>相符</v>
      </c>
      <c r="J2720" s="1656" t="s">
        <v>2193</v>
      </c>
      <c r="K2720" s="1656"/>
      <c r="L2720" s="1656"/>
      <c r="M2720" s="1656"/>
      <c r="N2720" s="1656"/>
      <c r="O2720" s="1656"/>
      <c r="P2720" s="1656"/>
      <c r="X2720" s="768" t="b">
        <f t="shared" si="368"/>
        <v>1</v>
      </c>
    </row>
    <row r="2721" outlineLevel="2" spans="1:24">
      <c r="A2721" s="1650" t="s">
        <v>2376</v>
      </c>
      <c r="B2721" s="692" t="s">
        <v>3995</v>
      </c>
      <c r="C2721" s="693" t="str">
        <f t="shared" si="367"/>
        <v>深圳新阳蓝光能源管理科技股份有限公司</v>
      </c>
      <c r="D2721" s="1651" t="s">
        <v>2366</v>
      </c>
      <c r="E2721" s="1655" t="s">
        <v>4008</v>
      </c>
      <c r="F2721" s="136"/>
      <c r="G2721" s="743">
        <f>报表附注合并期初用!E2303</f>
        <v>0</v>
      </c>
      <c r="H2721" s="1657" t="str">
        <f>IF(F2721=G1378,"相符","不相符")</f>
        <v>相符</v>
      </c>
      <c r="I2721" s="1657" t="str">
        <f t="shared" si="369"/>
        <v>相符</v>
      </c>
      <c r="J2721" s="1656" t="s">
        <v>2194</v>
      </c>
      <c r="K2721" s="1656"/>
      <c r="L2721" s="1656"/>
      <c r="M2721" s="1656"/>
      <c r="N2721" s="1656"/>
      <c r="O2721" s="1656"/>
      <c r="P2721" s="1656"/>
      <c r="X2721" s="768" t="b">
        <f t="shared" si="368"/>
        <v>1</v>
      </c>
    </row>
    <row r="2722" outlineLevel="2" spans="1:24">
      <c r="A2722" s="1650" t="s">
        <v>2377</v>
      </c>
      <c r="B2722" s="692" t="s">
        <v>3995</v>
      </c>
      <c r="C2722" s="693" t="str">
        <f t="shared" ref="C2722:C2756" si="370">$G$1</f>
        <v>深圳新阳蓝光能源管理科技股份有限公司</v>
      </c>
      <c r="D2722" s="1651" t="s">
        <v>2366</v>
      </c>
      <c r="E2722" s="1655" t="s">
        <v>4009</v>
      </c>
      <c r="F2722" s="136"/>
      <c r="G2722" s="743">
        <f>报表附注合并期初用!E2304</f>
        <v>0</v>
      </c>
      <c r="H2722" s="1657" t="str">
        <f>IF(F2722=G1403,"相符","不相符")</f>
        <v>相符</v>
      </c>
      <c r="I2722" s="1657" t="str">
        <f>IF(F2722=G1741,"相符","不相符,差异："&amp;(F2722-G1741))</f>
        <v>相符</v>
      </c>
      <c r="J2722" s="1656" t="s">
        <v>960</v>
      </c>
      <c r="K2722" s="1656"/>
      <c r="L2722" s="1656"/>
      <c r="M2722" s="1656"/>
      <c r="N2722" s="1656"/>
      <c r="O2722" s="1656"/>
      <c r="P2722" s="1656"/>
      <c r="X2722" s="768" t="b">
        <f t="shared" ref="X2722:X2756" si="371">EXACT(A2722,E2722)</f>
        <v>1</v>
      </c>
    </row>
    <row r="2723" outlineLevel="2" spans="1:24">
      <c r="A2723" s="1650" t="s">
        <v>2378</v>
      </c>
      <c r="B2723" s="692" t="s">
        <v>3995</v>
      </c>
      <c r="C2723" s="693" t="str">
        <f t="shared" si="370"/>
        <v>深圳新阳蓝光能源管理科技股份有限公司</v>
      </c>
      <c r="D2723" s="1651" t="s">
        <v>2366</v>
      </c>
      <c r="E2723" s="1655" t="s">
        <v>4010</v>
      </c>
      <c r="F2723" s="136"/>
      <c r="G2723" s="743">
        <f>报表附注合并期初用!E2305</f>
        <v>0</v>
      </c>
      <c r="H2723" s="1657" t="str">
        <f>IF(F2723=G1451,"相符","不相符")</f>
        <v>相符</v>
      </c>
      <c r="I2723" s="1657" t="str">
        <f>IF(F2723=G1742,"相符","不相符,差异："&amp;(F2723-G1742))</f>
        <v>相符</v>
      </c>
      <c r="J2723" s="1656" t="s">
        <v>2195</v>
      </c>
      <c r="K2723" s="1656"/>
      <c r="L2723" s="1656"/>
      <c r="M2723" s="1656"/>
      <c r="N2723" s="1656"/>
      <c r="O2723" s="1656"/>
      <c r="P2723" s="1656"/>
      <c r="X2723" s="768" t="b">
        <f t="shared" si="371"/>
        <v>1</v>
      </c>
    </row>
    <row r="2724" outlineLevel="2" spans="1:24">
      <c r="A2724" s="1650" t="s">
        <v>2379</v>
      </c>
      <c r="B2724" s="692" t="s">
        <v>3995</v>
      </c>
      <c r="C2724" s="693" t="str">
        <f t="shared" si="370"/>
        <v>深圳新阳蓝光能源管理科技股份有限公司</v>
      </c>
      <c r="D2724" s="1651" t="s">
        <v>2366</v>
      </c>
      <c r="E2724" s="1655" t="s">
        <v>4011</v>
      </c>
      <c r="F2724" s="136"/>
      <c r="G2724" s="743">
        <f>报表附注合并期初用!E2306</f>
        <v>0</v>
      </c>
      <c r="H2724" s="1657" t="str">
        <f>IF(F2724=G1573,"相符","不相符")</f>
        <v>相符</v>
      </c>
      <c r="I2724" s="1657" t="str">
        <f>IF(F2724=G1743,"相符","不相符,差异："&amp;(F2724-G1743))</f>
        <v>相符</v>
      </c>
      <c r="J2724" s="1656" t="s">
        <v>2196</v>
      </c>
      <c r="K2724" s="1656"/>
      <c r="L2724" s="1656"/>
      <c r="M2724" s="1656"/>
      <c r="N2724" s="1656"/>
      <c r="O2724" s="1656"/>
      <c r="P2724" s="1656"/>
      <c r="X2724" s="768" t="b">
        <f t="shared" si="371"/>
        <v>1</v>
      </c>
    </row>
    <row r="2725" outlineLevel="2" spans="1:24">
      <c r="A2725" s="1650" t="s">
        <v>2380</v>
      </c>
      <c r="B2725" s="692" t="s">
        <v>3995</v>
      </c>
      <c r="C2725" s="693" t="str">
        <f t="shared" si="370"/>
        <v>深圳新阳蓝光能源管理科技股份有限公司</v>
      </c>
      <c r="D2725" s="1651" t="s">
        <v>2366</v>
      </c>
      <c r="E2725" s="1655" t="s">
        <v>4012</v>
      </c>
      <c r="F2725" s="136"/>
      <c r="G2725" s="743">
        <f>报表附注合并期初用!E2307</f>
        <v>0</v>
      </c>
      <c r="H2725" s="715"/>
      <c r="I2725" s="1657" t="str">
        <f>IF(F2725=G1744,"相符","不相符,差异："&amp;(F2725-G1744))</f>
        <v>相符</v>
      </c>
      <c r="J2725" s="1656" t="s">
        <v>2197</v>
      </c>
      <c r="K2725" s="1656"/>
      <c r="L2725" s="1656"/>
      <c r="M2725" s="1656"/>
      <c r="N2725" s="1656"/>
      <c r="O2725" s="1656"/>
      <c r="P2725" s="1656"/>
      <c r="X2725" s="768" t="b">
        <f t="shared" si="371"/>
        <v>1</v>
      </c>
    </row>
    <row r="2726" outlineLevel="2" spans="1:24">
      <c r="A2726" s="1650" t="s">
        <v>347</v>
      </c>
      <c r="B2726" s="692" t="s">
        <v>3995</v>
      </c>
      <c r="C2726" s="693" t="str">
        <f t="shared" si="370"/>
        <v>深圳新阳蓝光能源管理科技股份有限公司</v>
      </c>
      <c r="D2726" s="1651" t="s">
        <v>2366</v>
      </c>
      <c r="E2726" s="1653" t="s">
        <v>3744</v>
      </c>
      <c r="F2726" s="834">
        <f>SUM(F2712:F2725)</f>
        <v>1792140.07</v>
      </c>
      <c r="G2726" s="834">
        <f>SUM(G2712:G2725)</f>
        <v>4990869.42</v>
      </c>
      <c r="H2726" s="715"/>
      <c r="I2726" s="1656"/>
      <c r="J2726" s="1656" t="s">
        <v>280</v>
      </c>
      <c r="K2726" s="1656"/>
      <c r="L2726" s="1656"/>
      <c r="M2726" s="1656"/>
      <c r="N2726" s="1656"/>
      <c r="O2726" s="1656"/>
      <c r="P2726" s="1656"/>
      <c r="X2726" s="768" t="b">
        <f t="shared" si="371"/>
        <v>1</v>
      </c>
    </row>
    <row r="2727" outlineLevel="2" spans="1:24">
      <c r="A2727" s="1650" t="s">
        <v>1723</v>
      </c>
      <c r="B2727" s="692" t="s">
        <v>3995</v>
      </c>
      <c r="C2727" s="693" t="str">
        <f t="shared" si="370"/>
        <v>深圳新阳蓝光能源管理科技股份有限公司</v>
      </c>
      <c r="D2727" s="1651" t="s">
        <v>2366</v>
      </c>
      <c r="E2727" s="1633" t="s">
        <v>1723</v>
      </c>
      <c r="F2727" s="835">
        <f>审定利润表!C12</f>
        <v>1792140.07</v>
      </c>
      <c r="G2727" s="835">
        <f>审定利润表!D12</f>
        <v>4990869.42</v>
      </c>
      <c r="H2727" s="1656"/>
      <c r="I2727" s="1656"/>
      <c r="J2727" s="1656"/>
      <c r="K2727" s="1656"/>
      <c r="L2727" s="1656"/>
      <c r="M2727" s="1656"/>
      <c r="N2727" s="1656"/>
      <c r="O2727" s="1656"/>
      <c r="X2727" s="768" t="b">
        <f t="shared" si="371"/>
        <v>1</v>
      </c>
    </row>
    <row r="2728" outlineLevel="1" collapsed="1" spans="1:24">
      <c r="A2728" s="1650" t="s">
        <v>1395</v>
      </c>
      <c r="B2728" s="692" t="s">
        <v>3995</v>
      </c>
      <c r="C2728" s="693" t="str">
        <f t="shared" si="370"/>
        <v>深圳新阳蓝光能源管理科技股份有限公司</v>
      </c>
      <c r="D2728" s="1651" t="s">
        <v>2366</v>
      </c>
      <c r="E2728" s="1633" t="s">
        <v>1395</v>
      </c>
      <c r="F2728" s="1007">
        <f>ROUND(F2726-F2727,2)</f>
        <v>0</v>
      </c>
      <c r="G2728" s="1007">
        <f>ROUND(G2726-G2727,2)</f>
        <v>0</v>
      </c>
      <c r="H2728" s="1656"/>
      <c r="I2728" s="1656"/>
      <c r="J2728" s="1656"/>
      <c r="K2728" s="1656"/>
      <c r="L2728" s="1656"/>
      <c r="M2728" s="1656"/>
      <c r="N2728" s="1656"/>
      <c r="O2728" s="1656"/>
      <c r="X2728" s="768" t="b">
        <f t="shared" si="371"/>
        <v>1</v>
      </c>
    </row>
    <row r="2729" hidden="1" outlineLevel="2" spans="2:24">
      <c r="B2729" s="692" t="s">
        <v>3995</v>
      </c>
      <c r="C2729" s="693" t="str">
        <f t="shared" si="370"/>
        <v>深圳新阳蓝光能源管理科技股份有限公司</v>
      </c>
      <c r="D2729" s="1651" t="s">
        <v>2366</v>
      </c>
      <c r="E2729" s="1658"/>
      <c r="F2729" s="715"/>
      <c r="G2729" s="715"/>
      <c r="H2729" s="1656"/>
      <c r="I2729" s="1656"/>
      <c r="J2729" s="1656"/>
      <c r="K2729" s="1656"/>
      <c r="L2729" s="1656"/>
      <c r="M2729" s="1656"/>
      <c r="N2729" s="1656"/>
      <c r="O2729" s="1656"/>
      <c r="X2729" s="768" t="b">
        <f t="shared" si="371"/>
        <v>1</v>
      </c>
    </row>
    <row r="2730" hidden="1" outlineLevel="2" spans="1:24">
      <c r="A2730" s="1650" t="s">
        <v>4013</v>
      </c>
      <c r="B2730" s="692" t="s">
        <v>3995</v>
      </c>
      <c r="C2730" s="693" t="str">
        <f t="shared" si="370"/>
        <v>深圳新阳蓝光能源管理科技股份有限公司</v>
      </c>
      <c r="D2730" s="1651" t="s">
        <v>4013</v>
      </c>
      <c r="E2730" s="153" t="s">
        <v>4014</v>
      </c>
      <c r="F2730" s="715"/>
      <c r="G2730" s="715"/>
      <c r="H2730" s="1656"/>
      <c r="I2730" s="1656"/>
      <c r="J2730" s="1656"/>
      <c r="K2730" s="1656"/>
      <c r="L2730" s="1656"/>
      <c r="M2730" s="1656"/>
      <c r="N2730" s="1656"/>
      <c r="O2730" s="1656"/>
      <c r="X2730" s="768" t="b">
        <f t="shared" si="371"/>
        <v>1</v>
      </c>
    </row>
    <row r="2731" hidden="1" outlineLevel="2" spans="1:24">
      <c r="A2731" s="1650" t="s">
        <v>2809</v>
      </c>
      <c r="B2731" s="692" t="s">
        <v>3995</v>
      </c>
      <c r="C2731" s="693" t="str">
        <f t="shared" si="370"/>
        <v>深圳新阳蓝光能源管理科技股份有限公司</v>
      </c>
      <c r="D2731" s="1651" t="s">
        <v>4013</v>
      </c>
      <c r="E2731" s="153" t="s">
        <v>2829</v>
      </c>
      <c r="F2731" s="736"/>
      <c r="G2731" s="736"/>
      <c r="H2731" s="1656"/>
      <c r="I2731" s="1656"/>
      <c r="J2731" s="1656"/>
      <c r="K2731" s="1656"/>
      <c r="L2731" s="1656"/>
      <c r="M2731" s="1656"/>
      <c r="N2731" s="1656"/>
      <c r="O2731" s="1656"/>
      <c r="X2731" s="768" t="b">
        <f t="shared" si="371"/>
        <v>1</v>
      </c>
    </row>
    <row r="2732" spans="1:24">
      <c r="A2732" s="90" t="s">
        <v>2381</v>
      </c>
      <c r="B2732" s="685" t="s">
        <v>4015</v>
      </c>
      <c r="C2732" s="693" t="str">
        <f t="shared" si="370"/>
        <v>深圳新阳蓝光能源管理科技股份有限公司</v>
      </c>
      <c r="D2732" s="687" t="s">
        <v>2381</v>
      </c>
      <c r="E2732" s="70" t="s">
        <v>4016</v>
      </c>
      <c r="G2732" s="1429" t="s">
        <v>3892</v>
      </c>
      <c r="X2732" s="768" t="b">
        <f t="shared" si="371"/>
        <v>1</v>
      </c>
    </row>
    <row r="2733" outlineLevel="2" spans="1:24">
      <c r="A2733" s="90" t="s">
        <v>61</v>
      </c>
      <c r="B2733" s="685" t="s">
        <v>4015</v>
      </c>
      <c r="C2733" s="693" t="str">
        <f t="shared" si="370"/>
        <v>深圳新阳蓝光能源管理科技股份有限公司</v>
      </c>
      <c r="D2733" s="750" t="s">
        <v>2381</v>
      </c>
      <c r="E2733" s="1659" t="s">
        <v>61</v>
      </c>
      <c r="F2733" s="1659" t="s">
        <v>2347</v>
      </c>
      <c r="G2733" s="1659" t="s">
        <v>2351</v>
      </c>
      <c r="H2733" s="1659" t="s">
        <v>4017</v>
      </c>
      <c r="I2733" s="1659" t="s">
        <v>4018</v>
      </c>
      <c r="J2733" s="1672" t="s">
        <v>4019</v>
      </c>
      <c r="K2733" s="1659" t="s">
        <v>280</v>
      </c>
      <c r="X2733" s="768" t="b">
        <f t="shared" si="371"/>
        <v>1</v>
      </c>
    </row>
    <row r="2734" outlineLevel="2" spans="1:24">
      <c r="A2734" s="90" t="s">
        <v>1284</v>
      </c>
      <c r="B2734" s="685" t="s">
        <v>4015</v>
      </c>
      <c r="C2734" s="693" t="str">
        <f t="shared" si="370"/>
        <v>深圳新阳蓝光能源管理科技股份有限公司</v>
      </c>
      <c r="D2734" s="750" t="s">
        <v>2381</v>
      </c>
      <c r="E2734" s="1475" t="s">
        <v>1284</v>
      </c>
      <c r="F2734" s="743">
        <f>ROUND(H2734+I2734+J2734+K2734,2)</f>
        <v>6277143.46</v>
      </c>
      <c r="G2734" s="743">
        <f>报表附注合并期初用!E2326</f>
        <v>6623057.53</v>
      </c>
      <c r="H2734" s="762">
        <v>4744825.42</v>
      </c>
      <c r="I2734" s="762"/>
      <c r="J2734" s="935"/>
      <c r="K2734" s="762">
        <v>1532318.04</v>
      </c>
      <c r="X2734" s="768" t="b">
        <f t="shared" si="371"/>
        <v>1</v>
      </c>
    </row>
    <row r="2735" outlineLevel="2" spans="1:24">
      <c r="A2735" s="90" t="s">
        <v>1590</v>
      </c>
      <c r="B2735" s="685" t="s">
        <v>4015</v>
      </c>
      <c r="C2735" s="693" t="str">
        <f t="shared" si="370"/>
        <v>深圳新阳蓝光能源管理科技股份有限公司</v>
      </c>
      <c r="D2735" s="750" t="s">
        <v>2381</v>
      </c>
      <c r="E2735" s="1475" t="s">
        <v>1590</v>
      </c>
      <c r="F2735" s="743">
        <f>ROUND(H2735+I2735+J2735+K2735,2)</f>
        <v>-1112994.49</v>
      </c>
      <c r="G2735" s="743">
        <f>报表附注合并期初用!E2327</f>
        <v>-7053316.31</v>
      </c>
      <c r="H2735" s="762">
        <v>-178943.34</v>
      </c>
      <c r="I2735" s="762"/>
      <c r="J2735" s="815"/>
      <c r="K2735" s="762">
        <v>-934051.15</v>
      </c>
      <c r="M2735" s="1387">
        <v>-1112994.49</v>
      </c>
      <c r="X2735" s="768" t="b">
        <f t="shared" si="371"/>
        <v>1</v>
      </c>
    </row>
    <row r="2736" outlineLevel="2" spans="1:24">
      <c r="A2736" s="90" t="s">
        <v>2382</v>
      </c>
      <c r="B2736" s="685" t="s">
        <v>4015</v>
      </c>
      <c r="C2736" s="693" t="str">
        <f t="shared" si="370"/>
        <v>深圳新阳蓝光能源管理科技股份有限公司</v>
      </c>
      <c r="D2736" s="750" t="s">
        <v>2381</v>
      </c>
      <c r="E2736" s="1475" t="s">
        <v>2382</v>
      </c>
      <c r="F2736" s="1192">
        <f>513102.72-29455.75-0.01</f>
        <v>483646.96</v>
      </c>
      <c r="G2736" s="743">
        <f>报表附注合并期初用!E2328</f>
        <v>315433.67</v>
      </c>
      <c r="H2736" s="1659"/>
      <c r="I2736" s="1659"/>
      <c r="J2736" s="1659"/>
      <c r="K2736" s="1659"/>
      <c r="M2736" s="1387">
        <f>M2735-H2735</f>
        <v>-934051.15</v>
      </c>
      <c r="X2736" s="768" t="b">
        <f t="shared" si="371"/>
        <v>1</v>
      </c>
    </row>
    <row r="2737" outlineLevel="2" spans="1:24">
      <c r="A2737" s="90" t="s">
        <v>2383</v>
      </c>
      <c r="B2737" s="685" t="s">
        <v>4015</v>
      </c>
      <c r="C2737" s="693" t="str">
        <f t="shared" si="370"/>
        <v>深圳新阳蓝光能源管理科技股份有限公司</v>
      </c>
      <c r="D2737" s="750" t="s">
        <v>2381</v>
      </c>
      <c r="E2737" s="1475" t="s">
        <v>2383</v>
      </c>
      <c r="F2737" s="139">
        <f>SUM(F2738:F2744)</f>
        <v>11936131.72</v>
      </c>
      <c r="G2737" s="743">
        <f>SUM(G2738:G2744)</f>
        <v>-59680.03</v>
      </c>
      <c r="H2737" s="1659"/>
      <c r="I2737" s="1659"/>
      <c r="J2737" s="1659"/>
      <c r="K2737" s="1659"/>
      <c r="X2737" s="768" t="b">
        <f t="shared" si="371"/>
        <v>1</v>
      </c>
    </row>
    <row r="2738" outlineLevel="2" spans="1:24">
      <c r="A2738" s="90" t="s">
        <v>2384</v>
      </c>
      <c r="B2738" s="685" t="s">
        <v>4015</v>
      </c>
      <c r="C2738" s="693" t="str">
        <f t="shared" si="370"/>
        <v>深圳新阳蓝光能源管理科技股份有限公司</v>
      </c>
      <c r="D2738" s="750" t="s">
        <v>2381</v>
      </c>
      <c r="E2738" s="1475" t="s">
        <v>4020</v>
      </c>
      <c r="F2738" s="136">
        <v>-32553.99</v>
      </c>
      <c r="G2738" s="743">
        <f>报表附注合并期初用!E2330</f>
        <v>0</v>
      </c>
      <c r="H2738" s="1659"/>
      <c r="I2738" s="1659"/>
      <c r="J2738" s="1659"/>
      <c r="K2738" s="1659"/>
      <c r="X2738" s="768" t="b">
        <f t="shared" si="371"/>
        <v>1</v>
      </c>
    </row>
    <row r="2739" outlineLevel="2" spans="1:24">
      <c r="A2739" s="90" t="s">
        <v>2385</v>
      </c>
      <c r="B2739" s="685" t="s">
        <v>4015</v>
      </c>
      <c r="C2739" s="693" t="str">
        <f t="shared" si="370"/>
        <v>深圳新阳蓝光能源管理科技股份有限公司</v>
      </c>
      <c r="D2739" s="750" t="s">
        <v>2381</v>
      </c>
      <c r="E2739" s="1475" t="s">
        <v>4021</v>
      </c>
      <c r="F2739" s="136">
        <v>-83571.02</v>
      </c>
      <c r="G2739" s="743">
        <f>报表附注合并期初用!E2331</f>
        <v>-59680.03</v>
      </c>
      <c r="H2739" s="1659"/>
      <c r="I2739" s="1659"/>
      <c r="J2739" s="1659"/>
      <c r="K2739" s="1659"/>
      <c r="X2739" s="768" t="b">
        <f t="shared" si="371"/>
        <v>1</v>
      </c>
    </row>
    <row r="2740" outlineLevel="2" spans="1:24">
      <c r="A2740" s="90" t="s">
        <v>2386</v>
      </c>
      <c r="B2740" s="685" t="s">
        <v>4015</v>
      </c>
      <c r="C2740" s="693" t="str">
        <f t="shared" si="370"/>
        <v>深圳新阳蓝光能源管理科技股份有限公司</v>
      </c>
      <c r="D2740" s="750" t="s">
        <v>2381</v>
      </c>
      <c r="E2740" s="1475" t="s">
        <v>4022</v>
      </c>
      <c r="F2740" s="136"/>
      <c r="G2740" s="743">
        <f>报表附注合并期初用!E2332</f>
        <v>0</v>
      </c>
      <c r="H2740" s="1659"/>
      <c r="I2740" s="1659"/>
      <c r="J2740" s="1659"/>
      <c r="K2740" s="1659"/>
      <c r="X2740" s="768" t="b">
        <f t="shared" si="371"/>
        <v>1</v>
      </c>
    </row>
    <row r="2741" outlineLevel="2" spans="1:24">
      <c r="A2741" s="90" t="s">
        <v>2387</v>
      </c>
      <c r="B2741" s="685" t="s">
        <v>4015</v>
      </c>
      <c r="C2741" s="693" t="str">
        <f t="shared" si="370"/>
        <v>深圳新阳蓝光能源管理科技股份有限公司</v>
      </c>
      <c r="D2741" s="750" t="s">
        <v>2381</v>
      </c>
      <c r="E2741" s="1475" t="s">
        <v>4023</v>
      </c>
      <c r="F2741" s="136"/>
      <c r="G2741" s="743">
        <f>报表附注合并期初用!E2333</f>
        <v>0</v>
      </c>
      <c r="H2741" s="1659"/>
      <c r="I2741" s="1659"/>
      <c r="J2741" s="1659"/>
      <c r="K2741" s="1659"/>
      <c r="X2741" s="768" t="b">
        <f t="shared" si="371"/>
        <v>1</v>
      </c>
    </row>
    <row r="2742" outlineLevel="2" spans="1:24">
      <c r="A2742" s="90" t="s">
        <v>2388</v>
      </c>
      <c r="B2742" s="685" t="s">
        <v>4015</v>
      </c>
      <c r="C2742" s="693" t="str">
        <f t="shared" si="370"/>
        <v>深圳新阳蓝光能源管理科技股份有限公司</v>
      </c>
      <c r="D2742" s="750" t="s">
        <v>2381</v>
      </c>
      <c r="E2742" s="1475" t="s">
        <v>4024</v>
      </c>
      <c r="F2742" s="136"/>
      <c r="G2742" s="743">
        <f>报表附注合并期初用!E2334</f>
        <v>0</v>
      </c>
      <c r="H2742" s="1659"/>
      <c r="I2742" s="1659"/>
      <c r="J2742" s="1659"/>
      <c r="K2742" s="1659"/>
      <c r="X2742" s="768" t="b">
        <f t="shared" si="371"/>
        <v>1</v>
      </c>
    </row>
    <row r="2743" outlineLevel="2" spans="1:24">
      <c r="A2743" s="90" t="s">
        <v>2389</v>
      </c>
      <c r="B2743" s="685" t="s">
        <v>4015</v>
      </c>
      <c r="C2743" s="693" t="str">
        <f t="shared" si="370"/>
        <v>深圳新阳蓝光能源管理科技股份有限公司</v>
      </c>
      <c r="D2743" s="750" t="s">
        <v>2381</v>
      </c>
      <c r="E2743" s="1660" t="s">
        <v>4025</v>
      </c>
      <c r="F2743" s="136">
        <v>29455.75</v>
      </c>
      <c r="G2743" s="743">
        <f>报表附注合并期初用!E2335</f>
        <v>0</v>
      </c>
      <c r="H2743" s="1659"/>
      <c r="I2743" s="1659"/>
      <c r="J2743" s="1659"/>
      <c r="K2743" s="1659"/>
      <c r="X2743" s="768" t="b">
        <f t="shared" si="371"/>
        <v>0</v>
      </c>
    </row>
    <row r="2744" outlineLevel="2" spans="1:24">
      <c r="A2744" s="90" t="s">
        <v>2390</v>
      </c>
      <c r="B2744" s="685" t="s">
        <v>4015</v>
      </c>
      <c r="C2744" s="693" t="str">
        <f t="shared" si="370"/>
        <v>深圳新阳蓝光能源管理科技股份有限公司</v>
      </c>
      <c r="D2744" s="750" t="s">
        <v>2381</v>
      </c>
      <c r="E2744" s="1660" t="s">
        <v>2563</v>
      </c>
      <c r="F2744" s="136">
        <v>12022800.98</v>
      </c>
      <c r="G2744" s="743">
        <f>报表附注合并期初用!E2336</f>
        <v>0</v>
      </c>
      <c r="H2744" s="1659"/>
      <c r="I2744" s="1659"/>
      <c r="J2744" s="1659"/>
      <c r="K2744" s="1659"/>
      <c r="X2744" s="768" t="b">
        <f t="shared" si="371"/>
        <v>0</v>
      </c>
    </row>
    <row r="2745" outlineLevel="2" spans="1:24">
      <c r="A2745" s="90" t="s">
        <v>280</v>
      </c>
      <c r="B2745" s="685" t="s">
        <v>4015</v>
      </c>
      <c r="C2745" s="693" t="str">
        <f t="shared" si="370"/>
        <v>深圳新阳蓝光能源管理科技股份有限公司</v>
      </c>
      <c r="D2745" s="750" t="s">
        <v>2381</v>
      </c>
      <c r="E2745" s="1475" t="s">
        <v>280</v>
      </c>
      <c r="F2745" s="743">
        <f>ROUND(H2745+I2745+J2745+K2745,2)</f>
        <v>0</v>
      </c>
      <c r="G2745" s="743">
        <f>报表附注合并期初用!E2337</f>
        <v>0</v>
      </c>
      <c r="H2745" s="1659"/>
      <c r="I2745" s="1659"/>
      <c r="J2745" s="1673"/>
      <c r="K2745" s="1673"/>
      <c r="X2745" s="768" t="b">
        <f t="shared" si="371"/>
        <v>1</v>
      </c>
    </row>
    <row r="2746" outlineLevel="2" spans="1:24">
      <c r="A2746" s="90" t="s">
        <v>2021</v>
      </c>
      <c r="B2746" s="685" t="s">
        <v>4015</v>
      </c>
      <c r="C2746" s="693" t="str">
        <f t="shared" si="370"/>
        <v>深圳新阳蓝光能源管理科技股份有限公司</v>
      </c>
      <c r="D2746" s="750" t="s">
        <v>2381</v>
      </c>
      <c r="E2746" s="1475" t="s">
        <v>2021</v>
      </c>
      <c r="F2746" s="1661">
        <f>SUM(F2734:F2737,F2745)</f>
        <v>17583927.65</v>
      </c>
      <c r="G2746" s="1661">
        <f>SUM(G2734:G2737,G2745)</f>
        <v>-174505.139999999</v>
      </c>
      <c r="H2746" s="1659"/>
      <c r="I2746" s="1659"/>
      <c r="J2746" s="1659"/>
      <c r="K2746" s="1659"/>
      <c r="X2746" s="768" t="b">
        <f t="shared" si="371"/>
        <v>1</v>
      </c>
    </row>
    <row r="2747" outlineLevel="2" spans="1:24">
      <c r="A2747" s="90" t="s">
        <v>1723</v>
      </c>
      <c r="B2747" s="685" t="s">
        <v>4015</v>
      </c>
      <c r="C2747" s="693" t="str">
        <f t="shared" si="370"/>
        <v>深圳新阳蓝光能源管理科技股份有限公司</v>
      </c>
      <c r="D2747" s="750" t="s">
        <v>2381</v>
      </c>
      <c r="E2747" s="1633" t="s">
        <v>1723</v>
      </c>
      <c r="F2747" s="1662">
        <f>审定利润表!C11</f>
        <v>17583927.65</v>
      </c>
      <c r="G2747" s="1662">
        <f>审定利润表!D11</f>
        <v>-174505.14</v>
      </c>
      <c r="X2747" s="768" t="b">
        <f t="shared" si="371"/>
        <v>1</v>
      </c>
    </row>
    <row r="2748" outlineLevel="1" spans="1:24">
      <c r="A2748" s="90" t="s">
        <v>1395</v>
      </c>
      <c r="B2748" s="685" t="s">
        <v>4015</v>
      </c>
      <c r="C2748" s="693" t="str">
        <f t="shared" si="370"/>
        <v>深圳新阳蓝光能源管理科技股份有限公司</v>
      </c>
      <c r="D2748" s="750" t="s">
        <v>2381</v>
      </c>
      <c r="E2748" s="1633" t="s">
        <v>1395</v>
      </c>
      <c r="F2748" s="1007">
        <f>ROUND(F2746-F2747,2)</f>
        <v>0</v>
      </c>
      <c r="G2748" s="1007">
        <f>ROUND(G2746-G2747,2)</f>
        <v>0</v>
      </c>
      <c r="X2748" s="768" t="b">
        <f t="shared" si="371"/>
        <v>1</v>
      </c>
    </row>
    <row r="2749" outlineLevel="2" spans="2:24">
      <c r="B2749" s="685" t="s">
        <v>4015</v>
      </c>
      <c r="C2749" s="693" t="str">
        <f t="shared" si="370"/>
        <v>深圳新阳蓝光能源管理科技股份有限公司</v>
      </c>
      <c r="D2749" s="750" t="s">
        <v>2381</v>
      </c>
      <c r="E2749" s="1663"/>
      <c r="F2749" s="1664"/>
      <c r="G2749" s="1664"/>
      <c r="X2749" s="768" t="b">
        <f t="shared" si="371"/>
        <v>1</v>
      </c>
    </row>
    <row r="2750" outlineLevel="2" spans="1:24">
      <c r="A2750" s="1650" t="s">
        <v>4026</v>
      </c>
      <c r="B2750" s="685" t="s">
        <v>4015</v>
      </c>
      <c r="C2750" s="693" t="str">
        <f t="shared" si="370"/>
        <v>深圳新阳蓝光能源管理科技股份有限公司</v>
      </c>
      <c r="D2750" s="1651" t="s">
        <v>4026</v>
      </c>
      <c r="E2750" s="153" t="s">
        <v>4027</v>
      </c>
      <c r="F2750" s="715"/>
      <c r="G2750" s="715"/>
      <c r="H2750" s="1665"/>
      <c r="I2750" s="1656"/>
      <c r="J2750" s="1656"/>
      <c r="K2750" s="1656"/>
      <c r="L2750" s="1656"/>
      <c r="M2750" s="1656"/>
      <c r="N2750" s="1656"/>
      <c r="O2750" s="1656"/>
      <c r="X2750" s="768" t="b">
        <f t="shared" si="371"/>
        <v>1</v>
      </c>
    </row>
    <row r="2751" outlineLevel="2" spans="1:24">
      <c r="A2751" s="1650" t="s">
        <v>2809</v>
      </c>
      <c r="B2751" s="685" t="s">
        <v>4015</v>
      </c>
      <c r="C2751" s="693" t="str">
        <f t="shared" si="370"/>
        <v>深圳新阳蓝光能源管理科技股份有限公司</v>
      </c>
      <c r="D2751" s="1651" t="s">
        <v>4026</v>
      </c>
      <c r="E2751" s="153" t="s">
        <v>2829</v>
      </c>
      <c r="F2751" s="736"/>
      <c r="G2751" s="736"/>
      <c r="H2751" s="1656"/>
      <c r="I2751" s="1656"/>
      <c r="J2751" s="1656"/>
      <c r="K2751" s="1656"/>
      <c r="L2751" s="1656"/>
      <c r="M2751" s="1656"/>
      <c r="N2751" s="1656"/>
      <c r="O2751" s="1656"/>
      <c r="X2751" s="768" t="b">
        <f t="shared" si="371"/>
        <v>1</v>
      </c>
    </row>
    <row r="2752" outlineLevel="2" spans="1:24">
      <c r="A2752" s="1650" t="s">
        <v>2437</v>
      </c>
      <c r="B2752" s="1666" t="s">
        <v>4028</v>
      </c>
      <c r="C2752" s="693" t="str">
        <f t="shared" si="370"/>
        <v>深圳新阳蓝光能源管理科技股份有限公司</v>
      </c>
      <c r="D2752" s="1651" t="s">
        <v>4029</v>
      </c>
      <c r="E2752" s="1233" t="s">
        <v>4030</v>
      </c>
      <c r="F2752" s="1667" t="s">
        <v>4031</v>
      </c>
      <c r="G2752" s="1233"/>
      <c r="H2752" s="1656"/>
      <c r="I2752" s="1656"/>
      <c r="J2752" s="1656"/>
      <c r="K2752" s="1656"/>
      <c r="L2752" s="1656"/>
      <c r="M2752" s="1656"/>
      <c r="N2752" s="1656"/>
      <c r="O2752" s="1656"/>
      <c r="X2752" s="768" t="b">
        <f t="shared" si="371"/>
        <v>0</v>
      </c>
    </row>
    <row r="2753" outlineLevel="2" spans="1:24">
      <c r="A2753" s="1650" t="s">
        <v>61</v>
      </c>
      <c r="B2753" s="1666" t="s">
        <v>4028</v>
      </c>
      <c r="C2753" s="693" t="str">
        <f t="shared" si="370"/>
        <v>深圳新阳蓝光能源管理科技股份有限公司</v>
      </c>
      <c r="D2753" s="1651" t="s">
        <v>2437</v>
      </c>
      <c r="E2753" s="1659" t="s">
        <v>61</v>
      </c>
      <c r="F2753" s="1659" t="s">
        <v>2347</v>
      </c>
      <c r="G2753" s="1659" t="s">
        <v>2351</v>
      </c>
      <c r="H2753" s="1659" t="s">
        <v>4032</v>
      </c>
      <c r="I2753" s="1659" t="s">
        <v>2727</v>
      </c>
      <c r="J2753" s="1659" t="s">
        <v>3975</v>
      </c>
      <c r="K2753" s="1656"/>
      <c r="L2753" s="1656"/>
      <c r="M2753" s="1656"/>
      <c r="N2753" s="1656"/>
      <c r="O2753" s="1656"/>
      <c r="X2753" s="768" t="b">
        <f t="shared" si="371"/>
        <v>1</v>
      </c>
    </row>
    <row r="2754" outlineLevel="2" spans="1:24">
      <c r="A2754" s="1650" t="s">
        <v>4033</v>
      </c>
      <c r="B2754" s="1666" t="s">
        <v>4028</v>
      </c>
      <c r="C2754" s="693" t="str">
        <f t="shared" si="370"/>
        <v>深圳新阳蓝光能源管理科技股份有限公司</v>
      </c>
      <c r="D2754" s="1651" t="s">
        <v>2437</v>
      </c>
      <c r="E2754" s="1674" t="s">
        <v>207</v>
      </c>
      <c r="F2754" s="1675">
        <f>SUM(F2755:F2764)</f>
        <v>0</v>
      </c>
      <c r="G2754" s="1675">
        <f>SUM(G2755:G2764)</f>
        <v>0</v>
      </c>
      <c r="H2754" s="1676">
        <f>F2754-G2754</f>
        <v>0</v>
      </c>
      <c r="I2754" s="927">
        <f>IFERROR(H2754/G2754,0)</f>
        <v>0</v>
      </c>
      <c r="J2754" s="1681"/>
      <c r="K2754" s="1656"/>
      <c r="L2754" s="1656"/>
      <c r="M2754" s="1656"/>
      <c r="N2754" s="1656"/>
      <c r="O2754" s="1656"/>
      <c r="X2754" s="768" t="b">
        <f t="shared" si="371"/>
        <v>0</v>
      </c>
    </row>
    <row r="2755" outlineLevel="2" spans="1:24">
      <c r="A2755" s="1650" t="s">
        <v>4034</v>
      </c>
      <c r="B2755" s="1666" t="s">
        <v>4028</v>
      </c>
      <c r="C2755" s="693" t="str">
        <f t="shared" si="370"/>
        <v>深圳新阳蓝光能源管理科技股份有限公司</v>
      </c>
      <c r="D2755" s="1651" t="s">
        <v>2437</v>
      </c>
      <c r="E2755" s="1676" t="s">
        <v>4035</v>
      </c>
      <c r="F2755" s="1676">
        <f>'1.管理费用'!H5+'1.管理费用'!H6+'1.管理费用'!H47+'1.管理费用'!H48</f>
        <v>0</v>
      </c>
      <c r="G2755" s="1676">
        <f>'1.管理费用'!I5+'1.管理费用'!I6+'1.管理费用'!I47+'1.管理费用'!I48</f>
        <v>0</v>
      </c>
      <c r="H2755" s="1676">
        <f t="shared" ref="H2755:H2818" si="372">F2755-G2755</f>
        <v>0</v>
      </c>
      <c r="I2755" s="927">
        <f t="shared" ref="I2755:I2818" si="373">IFERROR(H2755/G2755,0)</f>
        <v>0</v>
      </c>
      <c r="J2755" s="1681"/>
      <c r="K2755" s="1682" t="str">
        <f>'1.管理费用'!F4</f>
        <v>  职工薪酬</v>
      </c>
      <c r="L2755" s="1656"/>
      <c r="M2755" s="1656"/>
      <c r="N2755" s="1656"/>
      <c r="O2755" s="1656"/>
      <c r="X2755" s="768" t="b">
        <f t="shared" si="371"/>
        <v>0</v>
      </c>
    </row>
    <row r="2756" outlineLevel="2" spans="1:24">
      <c r="A2756" s="1650" t="s">
        <v>4036</v>
      </c>
      <c r="B2756" s="1666" t="s">
        <v>4028</v>
      </c>
      <c r="C2756" s="693" t="str">
        <f t="shared" si="370"/>
        <v>深圳新阳蓝光能源管理科技股份有限公司</v>
      </c>
      <c r="D2756" s="1651" t="s">
        <v>2437</v>
      </c>
      <c r="E2756" s="1676" t="s">
        <v>4037</v>
      </c>
      <c r="F2756" s="1676">
        <f>'1.管理费用'!H9+'1.管理费用'!H51</f>
        <v>0</v>
      </c>
      <c r="G2756" s="1676">
        <f>'1.管理费用'!I9+'1.管理费用'!I51</f>
        <v>0</v>
      </c>
      <c r="H2756" s="1676">
        <f t="shared" si="372"/>
        <v>0</v>
      </c>
      <c r="I2756" s="927">
        <f t="shared" si="373"/>
        <v>0</v>
      </c>
      <c r="J2756" s="1681"/>
      <c r="K2756" s="1682" t="str">
        <f>'1.管理费用'!F5</f>
        <v>    工资</v>
      </c>
      <c r="L2756" s="1656"/>
      <c r="M2756" s="1656"/>
      <c r="N2756" s="1656"/>
      <c r="O2756" s="1656"/>
      <c r="X2756" s="768" t="b">
        <f t="shared" si="371"/>
        <v>0</v>
      </c>
    </row>
    <row r="2757" outlineLevel="2" spans="2:24">
      <c r="B2757" s="1666"/>
      <c r="C2757" s="745"/>
      <c r="D2757" s="1651"/>
      <c r="E2757" s="1676" t="s">
        <v>4038</v>
      </c>
      <c r="F2757" s="1676">
        <f>'1.管理费用'!H7+'1.管理费用'!H49</f>
        <v>0</v>
      </c>
      <c r="G2757" s="1676">
        <f>'1.管理费用'!I7+'1.管理费用'!I49</f>
        <v>0</v>
      </c>
      <c r="H2757" s="1676">
        <f t="shared" si="372"/>
        <v>0</v>
      </c>
      <c r="I2757" s="927">
        <f t="shared" si="373"/>
        <v>0</v>
      </c>
      <c r="J2757" s="1681"/>
      <c r="K2757" s="1682" t="str">
        <f>'1.管理费用'!F6</f>
        <v>    奖金</v>
      </c>
      <c r="L2757" s="1656"/>
      <c r="M2757" s="1656"/>
      <c r="N2757" s="1656"/>
      <c r="O2757" s="1656"/>
      <c r="X2757" s="769"/>
    </row>
    <row r="2758" outlineLevel="2" spans="2:24">
      <c r="B2758" s="1666"/>
      <c r="C2758" s="745"/>
      <c r="D2758" s="1651"/>
      <c r="E2758" s="1676" t="s">
        <v>4039</v>
      </c>
      <c r="F2758" s="1676">
        <f>'1.管理费用'!H8+'1.管理费用'!H50</f>
        <v>0</v>
      </c>
      <c r="G2758" s="1676">
        <f>'1.管理费用'!I8+'1.管理费用'!I50</f>
        <v>0</v>
      </c>
      <c r="H2758" s="1676">
        <f t="shared" si="372"/>
        <v>0</v>
      </c>
      <c r="I2758" s="927">
        <f t="shared" si="373"/>
        <v>0</v>
      </c>
      <c r="J2758" s="1681"/>
      <c r="K2758" s="1682" t="str">
        <f>'1.管理费用'!F7</f>
        <v>    劳动保险费</v>
      </c>
      <c r="L2758" s="1656"/>
      <c r="M2758" s="1656"/>
      <c r="N2758" s="1656"/>
      <c r="O2758" s="1656"/>
      <c r="X2758" s="769"/>
    </row>
    <row r="2759" outlineLevel="2" spans="2:24">
      <c r="B2759" s="1666"/>
      <c r="C2759" s="745"/>
      <c r="D2759" s="1651"/>
      <c r="E2759" s="1676" t="s">
        <v>4040</v>
      </c>
      <c r="F2759" s="1676">
        <f>'1.管理费用'!H13+'1.管理费用'!H52</f>
        <v>0</v>
      </c>
      <c r="G2759" s="1676">
        <f>'1.管理费用'!I13+'1.管理费用'!I52</f>
        <v>0</v>
      </c>
      <c r="H2759" s="1676">
        <f t="shared" si="372"/>
        <v>0</v>
      </c>
      <c r="I2759" s="927">
        <f t="shared" si="373"/>
        <v>0</v>
      </c>
      <c r="J2759" s="1681"/>
      <c r="K2759" s="1682" t="str">
        <f>'1.管理费用'!F8</f>
        <v>    住房公积金</v>
      </c>
      <c r="L2759" s="1656"/>
      <c r="M2759" s="1656"/>
      <c r="N2759" s="1656"/>
      <c r="O2759" s="1656"/>
      <c r="X2759" s="769"/>
    </row>
    <row r="2760" outlineLevel="2" spans="1:24">
      <c r="A2760" s="1650" t="s">
        <v>4041</v>
      </c>
      <c r="B2760" s="1666" t="s">
        <v>4028</v>
      </c>
      <c r="C2760" s="693" t="str">
        <f t="shared" ref="C2760:C2769" si="374">$G$1</f>
        <v>深圳新阳蓝光能源管理科技股份有限公司</v>
      </c>
      <c r="D2760" s="1651" t="s">
        <v>2437</v>
      </c>
      <c r="E2760" s="1676" t="s">
        <v>4042</v>
      </c>
      <c r="F2760" s="1676">
        <f>'1.管理费用'!H14+'1.管理费用'!H53</f>
        <v>0</v>
      </c>
      <c r="G2760" s="1676">
        <f>'1.管理费用'!I14+'1.管理费用'!I53</f>
        <v>0</v>
      </c>
      <c r="H2760" s="1676">
        <f t="shared" si="372"/>
        <v>0</v>
      </c>
      <c r="I2760" s="927">
        <f t="shared" si="373"/>
        <v>0</v>
      </c>
      <c r="J2760" s="1681"/>
      <c r="K2760" s="1682" t="str">
        <f>'1.管理费用'!F9</f>
        <v>    职工福利费</v>
      </c>
      <c r="L2760" s="1656"/>
      <c r="M2760" s="1656"/>
      <c r="N2760" s="1656"/>
      <c r="O2760" s="1656"/>
      <c r="X2760" s="768" t="b">
        <f t="shared" ref="X2760:X2769" si="375">EXACT(A2760,E2760)</f>
        <v>0</v>
      </c>
    </row>
    <row r="2761" outlineLevel="2" spans="1:24">
      <c r="A2761" s="1650" t="s">
        <v>4043</v>
      </c>
      <c r="B2761" s="1666" t="s">
        <v>4028</v>
      </c>
      <c r="C2761" s="693" t="str">
        <f t="shared" si="374"/>
        <v>深圳新阳蓝光能源管理科技股份有限公司</v>
      </c>
      <c r="D2761" s="1651" t="s">
        <v>2437</v>
      </c>
      <c r="E2761" s="1676" t="s">
        <v>4044</v>
      </c>
      <c r="F2761" s="1676">
        <f>'1.管理费用'!H15</f>
        <v>0</v>
      </c>
      <c r="G2761" s="1676">
        <f>'1.管理费用'!I15</f>
        <v>0</v>
      </c>
      <c r="H2761" s="1676">
        <f t="shared" si="372"/>
        <v>0</v>
      </c>
      <c r="I2761" s="927">
        <f t="shared" si="373"/>
        <v>0</v>
      </c>
      <c r="J2761" s="1681"/>
      <c r="K2761" s="1682" t="str">
        <f>'1.管理费用'!F10</f>
        <v>      医药费</v>
      </c>
      <c r="L2761" s="1656"/>
      <c r="M2761" s="1656"/>
      <c r="N2761" s="1656"/>
      <c r="O2761" s="1656"/>
      <c r="X2761" s="768" t="b">
        <f t="shared" si="375"/>
        <v>0</v>
      </c>
    </row>
    <row r="2762" outlineLevel="2" spans="1:24">
      <c r="A2762" s="1650" t="s">
        <v>4045</v>
      </c>
      <c r="B2762" s="1666" t="s">
        <v>4028</v>
      </c>
      <c r="C2762" s="693" t="str">
        <f t="shared" si="374"/>
        <v>深圳新阳蓝光能源管理科技股份有限公司</v>
      </c>
      <c r="D2762" s="1651" t="s">
        <v>2437</v>
      </c>
      <c r="E2762" s="1676" t="s">
        <v>4046</v>
      </c>
      <c r="F2762" s="1676">
        <f>'1.管理费用'!H16</f>
        <v>0</v>
      </c>
      <c r="G2762" s="1676">
        <f>'1.管理费用'!I16</f>
        <v>0</v>
      </c>
      <c r="H2762" s="1676">
        <f t="shared" si="372"/>
        <v>0</v>
      </c>
      <c r="I2762" s="927">
        <f t="shared" si="373"/>
        <v>0</v>
      </c>
      <c r="J2762" s="1681"/>
      <c r="K2762" s="1682" t="str">
        <f>'1.管理费用'!F11</f>
        <v>      工伤医疗费</v>
      </c>
      <c r="L2762" s="1656"/>
      <c r="M2762" s="1656"/>
      <c r="N2762" s="1656"/>
      <c r="O2762" s="1656"/>
      <c r="X2762" s="768" t="b">
        <f t="shared" si="375"/>
        <v>0</v>
      </c>
    </row>
    <row r="2763" outlineLevel="2" spans="1:24">
      <c r="A2763" s="1650" t="s">
        <v>4047</v>
      </c>
      <c r="B2763" s="1666" t="s">
        <v>4028</v>
      </c>
      <c r="C2763" s="693" t="str">
        <f t="shared" si="374"/>
        <v>深圳新阳蓝光能源管理科技股份有限公司</v>
      </c>
      <c r="D2763" s="1651" t="s">
        <v>2437</v>
      </c>
      <c r="E2763" s="1323" t="s">
        <v>4048</v>
      </c>
      <c r="F2763" s="721"/>
      <c r="G2763" s="721"/>
      <c r="H2763" s="1676">
        <f t="shared" si="372"/>
        <v>0</v>
      </c>
      <c r="I2763" s="927">
        <f t="shared" si="373"/>
        <v>0</v>
      </c>
      <c r="J2763" s="1681"/>
      <c r="K2763" s="1682" t="str">
        <f>'1.管理费用'!F12</f>
        <v>      福利费</v>
      </c>
      <c r="L2763" s="1656"/>
      <c r="M2763" s="1656"/>
      <c r="N2763" s="1656"/>
      <c r="O2763" s="1656"/>
      <c r="X2763" s="768" t="b">
        <f t="shared" si="375"/>
        <v>0</v>
      </c>
    </row>
    <row r="2764" outlineLevel="2" spans="1:24">
      <c r="A2764" s="1650" t="s">
        <v>4049</v>
      </c>
      <c r="B2764" s="1666" t="s">
        <v>4028</v>
      </c>
      <c r="C2764" s="693" t="str">
        <f t="shared" si="374"/>
        <v>深圳新阳蓝光能源管理科技股份有限公司</v>
      </c>
      <c r="D2764" s="1651" t="s">
        <v>2437</v>
      </c>
      <c r="E2764" s="1323" t="s">
        <v>4050</v>
      </c>
      <c r="F2764" s="721"/>
      <c r="G2764" s="721"/>
      <c r="H2764" s="1676">
        <f t="shared" si="372"/>
        <v>0</v>
      </c>
      <c r="I2764" s="927">
        <f t="shared" si="373"/>
        <v>0</v>
      </c>
      <c r="J2764" s="1681"/>
      <c r="K2764" s="1682" t="str">
        <f>'1.管理费用'!F13</f>
        <v>    工会经费</v>
      </c>
      <c r="L2764" s="1656"/>
      <c r="M2764" s="1656"/>
      <c r="N2764" s="1656"/>
      <c r="O2764" s="1656"/>
      <c r="X2764" s="768" t="b">
        <f t="shared" si="375"/>
        <v>0</v>
      </c>
    </row>
    <row r="2765" outlineLevel="2" spans="1:24">
      <c r="A2765" s="1650" t="s">
        <v>4051</v>
      </c>
      <c r="B2765" s="1666" t="s">
        <v>4028</v>
      </c>
      <c r="C2765" s="693" t="str">
        <f t="shared" si="374"/>
        <v>深圳新阳蓝光能源管理科技股份有限公司</v>
      </c>
      <c r="D2765" s="1651" t="s">
        <v>2437</v>
      </c>
      <c r="E2765" s="1674" t="s">
        <v>4051</v>
      </c>
      <c r="F2765" s="1676">
        <f>'1.管理费用'!H21+'1.管理费用'!H58</f>
        <v>0</v>
      </c>
      <c r="G2765" s="1676">
        <f>'1.管理费用'!I21+'1.管理费用'!I58</f>
        <v>0</v>
      </c>
      <c r="H2765" s="1676">
        <f t="shared" si="372"/>
        <v>0</v>
      </c>
      <c r="I2765" s="927">
        <f t="shared" si="373"/>
        <v>0</v>
      </c>
      <c r="J2765" s="1681"/>
      <c r="K2765" s="1682" t="str">
        <f>'1.管理费用'!F14</f>
        <v>    职工教育费</v>
      </c>
      <c r="L2765" s="1656"/>
      <c r="M2765" s="1656"/>
      <c r="N2765" s="1656"/>
      <c r="O2765" s="1656"/>
      <c r="X2765" s="768" t="b">
        <f t="shared" si="375"/>
        <v>1</v>
      </c>
    </row>
    <row r="2766" outlineLevel="2" spans="1:24">
      <c r="A2766" s="1650" t="s">
        <v>1699</v>
      </c>
      <c r="B2766" s="1666" t="s">
        <v>4028</v>
      </c>
      <c r="C2766" s="693" t="str">
        <f t="shared" si="374"/>
        <v>深圳新阳蓝光能源管理科技股份有限公司</v>
      </c>
      <c r="D2766" s="1651" t="s">
        <v>2437</v>
      </c>
      <c r="E2766" s="1674" t="s">
        <v>1699</v>
      </c>
      <c r="F2766" s="1676">
        <f>'1.管理费用'!H34+'1.管理费用'!H64</f>
        <v>0</v>
      </c>
      <c r="G2766" s="1676">
        <f>'1.管理费用'!I34+'1.管理费用'!I64</f>
        <v>0</v>
      </c>
      <c r="H2766" s="1676">
        <f t="shared" si="372"/>
        <v>0</v>
      </c>
      <c r="I2766" s="927">
        <f t="shared" si="373"/>
        <v>0</v>
      </c>
      <c r="J2766" s="1681"/>
      <c r="K2766" s="1682" t="str">
        <f>'1.管理费用'!F15</f>
        <v>    非货币性福利</v>
      </c>
      <c r="L2766" s="1656"/>
      <c r="M2766" s="1656"/>
      <c r="N2766" s="1656"/>
      <c r="O2766" s="1656"/>
      <c r="X2766" s="768" t="b">
        <f t="shared" si="375"/>
        <v>1</v>
      </c>
    </row>
    <row r="2767" outlineLevel="2" spans="1:24">
      <c r="A2767" s="1650" t="s">
        <v>4052</v>
      </c>
      <c r="B2767" s="1666" t="s">
        <v>4028</v>
      </c>
      <c r="C2767" s="693" t="str">
        <f t="shared" si="374"/>
        <v>深圳新阳蓝光能源管理科技股份有限公司</v>
      </c>
      <c r="D2767" s="1651" t="s">
        <v>2437</v>
      </c>
      <c r="E2767" s="1674" t="s">
        <v>4053</v>
      </c>
      <c r="F2767" s="1675">
        <f>SUM(F2768:F2775)</f>
        <v>0</v>
      </c>
      <c r="G2767" s="1675">
        <f>SUM(G2768:G2775)</f>
        <v>0</v>
      </c>
      <c r="H2767" s="1676">
        <f t="shared" si="372"/>
        <v>0</v>
      </c>
      <c r="I2767" s="927">
        <f t="shared" si="373"/>
        <v>0</v>
      </c>
      <c r="J2767" s="1681"/>
      <c r="K2767" s="1682" t="str">
        <f>'1.管理费用'!F16</f>
        <v>    辞退补偿</v>
      </c>
      <c r="L2767" s="1656"/>
      <c r="M2767" s="1656"/>
      <c r="N2767" s="1656"/>
      <c r="O2767" s="1656"/>
      <c r="X2767" s="768" t="b">
        <f t="shared" si="375"/>
        <v>0</v>
      </c>
    </row>
    <row r="2768" outlineLevel="2" spans="1:24">
      <c r="A2768" s="1650" t="s">
        <v>4054</v>
      </c>
      <c r="B2768" s="1666" t="s">
        <v>4028</v>
      </c>
      <c r="C2768" s="693" t="str">
        <f t="shared" si="374"/>
        <v>深圳新阳蓝光能源管理科技股份有限公司</v>
      </c>
      <c r="D2768" s="1651" t="s">
        <v>2437</v>
      </c>
      <c r="E2768" s="1676" t="s">
        <v>4055</v>
      </c>
      <c r="F2768" s="1676">
        <f>'1.管理费用'!H28</f>
        <v>0</v>
      </c>
      <c r="G2768" s="1676">
        <f>'1.管理费用'!I28</f>
        <v>0</v>
      </c>
      <c r="H2768" s="1676">
        <f t="shared" si="372"/>
        <v>0</v>
      </c>
      <c r="I2768" s="927">
        <f t="shared" si="373"/>
        <v>0</v>
      </c>
      <c r="J2768" s="1681"/>
      <c r="K2768" s="1656"/>
      <c r="L2768" s="1656"/>
      <c r="M2768" s="1656"/>
      <c r="N2768" s="1656"/>
      <c r="O2768" s="1656"/>
      <c r="X2768" s="768" t="b">
        <f t="shared" si="375"/>
        <v>0</v>
      </c>
    </row>
    <row r="2769" outlineLevel="2" spans="1:24">
      <c r="A2769" s="1650" t="s">
        <v>4056</v>
      </c>
      <c r="B2769" s="1666" t="s">
        <v>4028</v>
      </c>
      <c r="C2769" s="693" t="str">
        <f t="shared" si="374"/>
        <v>深圳新阳蓝光能源管理科技股份有限公司</v>
      </c>
      <c r="D2769" s="1651" t="s">
        <v>2437</v>
      </c>
      <c r="E2769" s="1676" t="s">
        <v>4057</v>
      </c>
      <c r="F2769" s="1676">
        <f>'1.管理费用'!H25</f>
        <v>0</v>
      </c>
      <c r="G2769" s="1676">
        <f>'1.管理费用'!I25</f>
        <v>0</v>
      </c>
      <c r="H2769" s="1676">
        <f t="shared" si="372"/>
        <v>0</v>
      </c>
      <c r="I2769" s="927">
        <f t="shared" si="373"/>
        <v>0</v>
      </c>
      <c r="J2769" s="1681"/>
      <c r="K2769" s="1656"/>
      <c r="L2769" s="1656"/>
      <c r="M2769" s="1656"/>
      <c r="N2769" s="1656"/>
      <c r="O2769" s="1656"/>
      <c r="X2769" s="768" t="b">
        <f t="shared" si="375"/>
        <v>0</v>
      </c>
    </row>
    <row r="2770" outlineLevel="2" spans="2:24">
      <c r="B2770" s="1666"/>
      <c r="C2770" s="745"/>
      <c r="D2770" s="1651"/>
      <c r="E2770" s="1676" t="s">
        <v>4058</v>
      </c>
      <c r="F2770" s="1676">
        <f>'1.管理费用'!H27</f>
        <v>0</v>
      </c>
      <c r="G2770" s="1676">
        <f>'1.管理费用'!I27</f>
        <v>0</v>
      </c>
      <c r="H2770" s="1676">
        <f t="shared" si="372"/>
        <v>0</v>
      </c>
      <c r="I2770" s="927">
        <f t="shared" si="373"/>
        <v>0</v>
      </c>
      <c r="J2770" s="1681"/>
      <c r="K2770" s="1656"/>
      <c r="L2770" s="1656"/>
      <c r="M2770" s="1656"/>
      <c r="N2770" s="1656"/>
      <c r="O2770" s="1656"/>
      <c r="X2770" s="769"/>
    </row>
    <row r="2771" outlineLevel="2" spans="2:24">
      <c r="B2771" s="1666"/>
      <c r="C2771" s="745"/>
      <c r="D2771" s="1651"/>
      <c r="E2771" s="1676" t="s">
        <v>4059</v>
      </c>
      <c r="F2771" s="1676">
        <f>'1.管理费用'!H26</f>
        <v>0</v>
      </c>
      <c r="G2771" s="1676">
        <f>'1.管理费用'!I26</f>
        <v>0</v>
      </c>
      <c r="H2771" s="1676">
        <f t="shared" si="372"/>
        <v>0</v>
      </c>
      <c r="I2771" s="927">
        <f t="shared" si="373"/>
        <v>0</v>
      </c>
      <c r="J2771" s="1681"/>
      <c r="K2771" s="1656"/>
      <c r="L2771" s="1656"/>
      <c r="M2771" s="1656"/>
      <c r="N2771" s="1656"/>
      <c r="O2771" s="1656"/>
      <c r="X2771" s="769"/>
    </row>
    <row r="2772" outlineLevel="2" spans="2:24">
      <c r="B2772" s="1666"/>
      <c r="C2772" s="745"/>
      <c r="D2772" s="1651"/>
      <c r="E2772" s="1676" t="s">
        <v>4060</v>
      </c>
      <c r="F2772" s="721"/>
      <c r="G2772" s="721"/>
      <c r="H2772" s="1676">
        <f t="shared" si="372"/>
        <v>0</v>
      </c>
      <c r="I2772" s="927">
        <f t="shared" si="373"/>
        <v>0</v>
      </c>
      <c r="J2772" s="1681"/>
      <c r="K2772" s="1656"/>
      <c r="L2772" s="1656"/>
      <c r="M2772" s="1656"/>
      <c r="N2772" s="1656"/>
      <c r="O2772" s="1656"/>
      <c r="X2772" s="769"/>
    </row>
    <row r="2773" outlineLevel="2" spans="1:24">
      <c r="A2773" s="1650" t="s">
        <v>4061</v>
      </c>
      <c r="B2773" s="1666" t="s">
        <v>4028</v>
      </c>
      <c r="C2773" s="693" t="str">
        <f>$G$1</f>
        <v>深圳新阳蓝光能源管理科技股份有限公司</v>
      </c>
      <c r="D2773" s="1651" t="s">
        <v>2437</v>
      </c>
      <c r="E2773" s="1676" t="s">
        <v>4062</v>
      </c>
      <c r="F2773" s="1676">
        <f>'1.管理费用'!H61</f>
        <v>0</v>
      </c>
      <c r="G2773" s="1676">
        <f>'1.管理费用'!I61</f>
        <v>0</v>
      </c>
      <c r="H2773" s="1676">
        <f t="shared" si="372"/>
        <v>0</v>
      </c>
      <c r="I2773" s="927">
        <f t="shared" si="373"/>
        <v>0</v>
      </c>
      <c r="J2773" s="1681"/>
      <c r="K2773" s="1656"/>
      <c r="L2773" s="1656"/>
      <c r="M2773" s="1656"/>
      <c r="N2773" s="1656"/>
      <c r="O2773" s="1656"/>
      <c r="X2773" s="768" t="b">
        <f>EXACT(A2773,E2773)</f>
        <v>0</v>
      </c>
    </row>
    <row r="2774" outlineLevel="2" spans="1:24">
      <c r="A2774" s="1650" t="s">
        <v>4063</v>
      </c>
      <c r="B2774" s="1666" t="s">
        <v>4028</v>
      </c>
      <c r="C2774" s="693" t="str">
        <f>$G$1</f>
        <v>深圳新阳蓝光能源管理科技股份有限公司</v>
      </c>
      <c r="D2774" s="1651" t="s">
        <v>2437</v>
      </c>
      <c r="E2774" s="1677" t="s">
        <v>4064</v>
      </c>
      <c r="F2774" s="721"/>
      <c r="G2774" s="721"/>
      <c r="H2774" s="1676">
        <f t="shared" si="372"/>
        <v>0</v>
      </c>
      <c r="I2774" s="927">
        <f t="shared" si="373"/>
        <v>0</v>
      </c>
      <c r="J2774" s="1681"/>
      <c r="K2774" s="1656"/>
      <c r="L2774" s="1656"/>
      <c r="M2774" s="1656"/>
      <c r="N2774" s="1656"/>
      <c r="O2774" s="1656"/>
      <c r="X2774" s="768" t="b">
        <f>EXACT(A2774,E2774)</f>
        <v>0</v>
      </c>
    </row>
    <row r="2775" outlineLevel="2" spans="1:24">
      <c r="A2775" s="1650" t="s">
        <v>4065</v>
      </c>
      <c r="B2775" s="1666" t="s">
        <v>4028</v>
      </c>
      <c r="C2775" s="693" t="str">
        <f>$G$1</f>
        <v>深圳新阳蓝光能源管理科技股份有限公司</v>
      </c>
      <c r="D2775" s="1651" t="s">
        <v>2437</v>
      </c>
      <c r="E2775" s="1677" t="s">
        <v>4066</v>
      </c>
      <c r="F2775" s="721"/>
      <c r="G2775" s="721"/>
      <c r="H2775" s="1676">
        <f t="shared" si="372"/>
        <v>0</v>
      </c>
      <c r="I2775" s="927">
        <f t="shared" si="373"/>
        <v>0</v>
      </c>
      <c r="J2775" s="1681"/>
      <c r="K2775" s="1656"/>
      <c r="L2775" s="1656"/>
      <c r="M2775" s="1656"/>
      <c r="N2775" s="1656"/>
      <c r="O2775" s="1656"/>
      <c r="X2775" s="768" t="b">
        <f>EXACT(A2775,E2775)</f>
        <v>0</v>
      </c>
    </row>
    <row r="2776" outlineLevel="2" spans="1:24">
      <c r="A2776" s="1650" t="s">
        <v>4067</v>
      </c>
      <c r="B2776" s="1666" t="s">
        <v>4028</v>
      </c>
      <c r="C2776" s="693" t="str">
        <f>$G$1</f>
        <v>深圳新阳蓝光能源管理科技股份有限公司</v>
      </c>
      <c r="D2776" s="1651" t="s">
        <v>2437</v>
      </c>
      <c r="E2776" s="1678" t="s">
        <v>4068</v>
      </c>
      <c r="F2776" s="1675">
        <f>SUM(F2777:F2819)</f>
        <v>0</v>
      </c>
      <c r="G2776" s="1675">
        <f>SUM(G2777:G2819)</f>
        <v>0</v>
      </c>
      <c r="H2776" s="1676">
        <f t="shared" si="372"/>
        <v>0</v>
      </c>
      <c r="I2776" s="927">
        <f t="shared" si="373"/>
        <v>0</v>
      </c>
      <c r="J2776" s="1681"/>
      <c r="K2776" s="1656"/>
      <c r="L2776" s="1656"/>
      <c r="M2776" s="1656"/>
      <c r="N2776" s="1656"/>
      <c r="O2776" s="1656"/>
      <c r="X2776" s="768" t="b">
        <f t="shared" ref="X2776:X2880" si="376">EXACT(A2776,E2776)</f>
        <v>0</v>
      </c>
    </row>
    <row r="2777" outlineLevel="2" spans="2:24">
      <c r="B2777" s="1666" t="s">
        <v>4028</v>
      </c>
      <c r="C2777" s="693" t="str">
        <f>$G$1</f>
        <v>深圳新阳蓝光能源管理科技股份有限公司</v>
      </c>
      <c r="D2777" s="1651" t="s">
        <v>2437</v>
      </c>
      <c r="E2777" s="1676" t="str">
        <f>'1.管理费用'!F17</f>
        <v>  办公费</v>
      </c>
      <c r="F2777" s="1676">
        <f>'1.管理费用'!H17</f>
        <v>0</v>
      </c>
      <c r="G2777" s="1676">
        <f>'1.管理费用'!I17</f>
        <v>0</v>
      </c>
      <c r="H2777" s="1676">
        <f t="shared" si="372"/>
        <v>0</v>
      </c>
      <c r="I2777" s="927">
        <f t="shared" si="373"/>
        <v>0</v>
      </c>
      <c r="J2777" s="1681"/>
      <c r="K2777" s="1656"/>
      <c r="L2777" s="1656"/>
      <c r="M2777" s="1656"/>
      <c r="N2777" s="1656"/>
      <c r="O2777" s="1656"/>
      <c r="X2777" s="768" t="b">
        <f t="shared" si="376"/>
        <v>0</v>
      </c>
    </row>
    <row r="2778" outlineLevel="2" spans="2:24">
      <c r="B2778" s="1666"/>
      <c r="C2778" s="745"/>
      <c r="D2778" s="1651"/>
      <c r="E2778" s="1676" t="str">
        <f>'1.管理费用'!F18</f>
        <v>  通讯费</v>
      </c>
      <c r="F2778" s="1676">
        <f>'1.管理费用'!H18</f>
        <v>0</v>
      </c>
      <c r="G2778" s="1676">
        <f>'1.管理费用'!I18</f>
        <v>0</v>
      </c>
      <c r="H2778" s="1676">
        <f t="shared" si="372"/>
        <v>0</v>
      </c>
      <c r="I2778" s="927">
        <f t="shared" si="373"/>
        <v>0</v>
      </c>
      <c r="J2778" s="1681"/>
      <c r="K2778" s="1656"/>
      <c r="L2778" s="1656"/>
      <c r="M2778" s="1656"/>
      <c r="N2778" s="1656"/>
      <c r="O2778" s="1656"/>
      <c r="X2778" s="769"/>
    </row>
    <row r="2779" outlineLevel="2" spans="2:24">
      <c r="B2779" s="1666"/>
      <c r="C2779" s="745"/>
      <c r="D2779" s="1651"/>
      <c r="E2779" s="1676" t="str">
        <f>'1.管理费用'!F19</f>
        <v>  业务招待费</v>
      </c>
      <c r="F2779" s="1676">
        <f>'1.管理费用'!H19</f>
        <v>0</v>
      </c>
      <c r="G2779" s="1676">
        <f>'1.管理费用'!I19</f>
        <v>0</v>
      </c>
      <c r="H2779" s="1676">
        <f t="shared" si="372"/>
        <v>0</v>
      </c>
      <c r="I2779" s="927">
        <f t="shared" si="373"/>
        <v>0</v>
      </c>
      <c r="J2779" s="1681"/>
      <c r="K2779" s="1656"/>
      <c r="L2779" s="1656"/>
      <c r="M2779" s="1656"/>
      <c r="N2779" s="1656"/>
      <c r="O2779" s="1656"/>
      <c r="X2779" s="769"/>
    </row>
    <row r="2780" outlineLevel="2" spans="2:24">
      <c r="B2780" s="1666"/>
      <c r="C2780" s="745"/>
      <c r="D2780" s="1651"/>
      <c r="E2780" s="1676" t="str">
        <f>'1.管理费用'!F20</f>
        <v>  差旅费</v>
      </c>
      <c r="F2780" s="1676">
        <f>'1.管理费用'!H20</f>
        <v>0</v>
      </c>
      <c r="G2780" s="1676">
        <f>'1.管理费用'!I20</f>
        <v>0</v>
      </c>
      <c r="H2780" s="1676">
        <f t="shared" si="372"/>
        <v>0</v>
      </c>
      <c r="I2780" s="927">
        <f t="shared" si="373"/>
        <v>0</v>
      </c>
      <c r="J2780" s="1681"/>
      <c r="K2780" s="1656"/>
      <c r="L2780" s="1656"/>
      <c r="M2780" s="1656"/>
      <c r="N2780" s="1656"/>
      <c r="O2780" s="1656"/>
      <c r="X2780" s="769"/>
    </row>
    <row r="2781" outlineLevel="2" spans="2:24">
      <c r="B2781" s="1666"/>
      <c r="C2781" s="745"/>
      <c r="D2781" s="1651"/>
      <c r="E2781" s="1676" t="str">
        <f>'1.管理费用'!F22</f>
        <v>  租赁费</v>
      </c>
      <c r="F2781" s="1676">
        <f>'1.管理费用'!H22</f>
        <v>0</v>
      </c>
      <c r="G2781" s="1676">
        <f>'1.管理费用'!I22</f>
        <v>0</v>
      </c>
      <c r="H2781" s="1676">
        <f t="shared" si="372"/>
        <v>0</v>
      </c>
      <c r="I2781" s="927">
        <f t="shared" si="373"/>
        <v>0</v>
      </c>
      <c r="J2781" s="1681"/>
      <c r="K2781" s="1656"/>
      <c r="L2781" s="1656"/>
      <c r="M2781" s="1656"/>
      <c r="N2781" s="1656"/>
      <c r="O2781" s="1656"/>
      <c r="X2781" s="769"/>
    </row>
    <row r="2782" outlineLevel="2" spans="2:24">
      <c r="B2782" s="1666"/>
      <c r="C2782" s="745"/>
      <c r="D2782" s="1651"/>
      <c r="E2782" s="1676" t="str">
        <f>'1.管理费用'!F23</f>
        <v>  保险费</v>
      </c>
      <c r="F2782" s="1676">
        <f>'1.管理费用'!H23</f>
        <v>0</v>
      </c>
      <c r="G2782" s="1676">
        <f>'1.管理费用'!I23</f>
        <v>0</v>
      </c>
      <c r="H2782" s="1676">
        <f t="shared" si="372"/>
        <v>0</v>
      </c>
      <c r="I2782" s="927">
        <f t="shared" si="373"/>
        <v>0</v>
      </c>
      <c r="J2782" s="1681"/>
      <c r="K2782" s="1656"/>
      <c r="L2782" s="1656"/>
      <c r="M2782" s="1656"/>
      <c r="N2782" s="1656"/>
      <c r="O2782" s="1656"/>
      <c r="X2782" s="769"/>
    </row>
    <row r="2783" outlineLevel="2" spans="2:24">
      <c r="B2783" s="1666"/>
      <c r="C2783" s="745"/>
      <c r="D2783" s="1651"/>
      <c r="E2783" s="1676" t="str">
        <f>'1.管理费用'!F32</f>
        <v>  物料消耗</v>
      </c>
      <c r="F2783" s="1676">
        <f>'1.管理费用'!H32</f>
        <v>0</v>
      </c>
      <c r="G2783" s="1676">
        <f>'1.管理费用'!I32</f>
        <v>0</v>
      </c>
      <c r="H2783" s="1676">
        <f t="shared" si="372"/>
        <v>0</v>
      </c>
      <c r="I2783" s="927">
        <f t="shared" si="373"/>
        <v>0</v>
      </c>
      <c r="J2783" s="1681"/>
      <c r="K2783" s="1656"/>
      <c r="L2783" s="1656"/>
      <c r="M2783" s="1656"/>
      <c r="N2783" s="1656"/>
      <c r="O2783" s="1656"/>
      <c r="X2783" s="769"/>
    </row>
    <row r="2784" outlineLevel="2" spans="2:24">
      <c r="B2784" s="1666"/>
      <c r="C2784" s="745"/>
      <c r="D2784" s="1651"/>
      <c r="E2784" s="1676" t="str">
        <f>'1.管理费用'!F33</f>
        <v>  排污费</v>
      </c>
      <c r="F2784" s="1676">
        <f>'1.管理费用'!H33</f>
        <v>0</v>
      </c>
      <c r="G2784" s="1676">
        <f>'1.管理费用'!I33</f>
        <v>0</v>
      </c>
      <c r="H2784" s="1676">
        <f t="shared" si="372"/>
        <v>0</v>
      </c>
      <c r="I2784" s="927">
        <f t="shared" si="373"/>
        <v>0</v>
      </c>
      <c r="J2784" s="1681"/>
      <c r="K2784" s="1656"/>
      <c r="L2784" s="1656"/>
      <c r="M2784" s="1656"/>
      <c r="N2784" s="1656"/>
      <c r="O2784" s="1656"/>
      <c r="X2784" s="769"/>
    </row>
    <row r="2785" outlineLevel="2" spans="2:24">
      <c r="B2785" s="1666"/>
      <c r="C2785" s="745"/>
      <c r="D2785" s="1651"/>
      <c r="E2785" s="1676" t="str">
        <f>'1.管理费用'!F37</f>
        <v>  维修检测费</v>
      </c>
      <c r="F2785" s="1676">
        <f>'1.管理费用'!H37</f>
        <v>0</v>
      </c>
      <c r="G2785" s="1676">
        <f>'1.管理费用'!I37</f>
        <v>0</v>
      </c>
      <c r="H2785" s="1676">
        <f t="shared" si="372"/>
        <v>0</v>
      </c>
      <c r="I2785" s="927">
        <f t="shared" si="373"/>
        <v>0</v>
      </c>
      <c r="J2785" s="1681"/>
      <c r="K2785" s="1656"/>
      <c r="L2785" s="1656"/>
      <c r="M2785" s="1656"/>
      <c r="N2785" s="1656"/>
      <c r="O2785" s="1656"/>
      <c r="X2785" s="769"/>
    </row>
    <row r="2786" outlineLevel="2" spans="2:24">
      <c r="B2786" s="1666"/>
      <c r="C2786" s="745"/>
      <c r="D2786" s="1651"/>
      <c r="E2786" s="1676" t="str">
        <f>'1.管理费用'!F38</f>
        <v>  技术转让费及专利费</v>
      </c>
      <c r="F2786" s="1676">
        <f>'1.管理费用'!H38</f>
        <v>0</v>
      </c>
      <c r="G2786" s="1676">
        <f>'1.管理费用'!I38</f>
        <v>0</v>
      </c>
      <c r="H2786" s="1676">
        <f t="shared" si="372"/>
        <v>0</v>
      </c>
      <c r="I2786" s="927">
        <f t="shared" si="373"/>
        <v>0</v>
      </c>
      <c r="J2786" s="1681"/>
      <c r="K2786" s="1656"/>
      <c r="L2786" s="1656"/>
      <c r="M2786" s="1656"/>
      <c r="N2786" s="1656"/>
      <c r="O2786" s="1656"/>
      <c r="X2786" s="769"/>
    </row>
    <row r="2787" outlineLevel="2" spans="2:24">
      <c r="B2787" s="1666"/>
      <c r="C2787" s="745"/>
      <c r="D2787" s="1651"/>
      <c r="E2787" s="1676" t="str">
        <f>'1.管理费用'!F39</f>
        <v>  中介费用</v>
      </c>
      <c r="F2787" s="1676">
        <f>'1.管理费用'!H39</f>
        <v>0</v>
      </c>
      <c r="G2787" s="1676">
        <f>'1.管理费用'!I39</f>
        <v>0</v>
      </c>
      <c r="H2787" s="1676">
        <f t="shared" si="372"/>
        <v>0</v>
      </c>
      <c r="I2787" s="927">
        <f t="shared" si="373"/>
        <v>0</v>
      </c>
      <c r="J2787" s="1681"/>
      <c r="K2787" s="1656"/>
      <c r="L2787" s="1656"/>
      <c r="M2787" s="1656"/>
      <c r="N2787" s="1656"/>
      <c r="O2787" s="1656"/>
      <c r="X2787" s="769"/>
    </row>
    <row r="2788" outlineLevel="2" spans="2:24">
      <c r="B2788" s="1666"/>
      <c r="C2788" s="745"/>
      <c r="D2788" s="1651"/>
      <c r="E2788" s="1679" t="str">
        <f>'1.管理费用'!$F$45</f>
        <v>  研发费</v>
      </c>
      <c r="F2788" s="1680">
        <f>'1.管理费用'!H45-'1.管理费用'!H46-'1.管理费用'!H58-'1.管理费用'!H61-'1.管理费用'!H64</f>
        <v>0</v>
      </c>
      <c r="G2788" s="1680">
        <f>'1.管理费用'!I45-'1.管理费用'!I46-'1.管理费用'!I58-'1.管理费用'!I61-'1.管理费用'!I64</f>
        <v>0</v>
      </c>
      <c r="H2788" s="1676">
        <f t="shared" si="372"/>
        <v>0</v>
      </c>
      <c r="I2788" s="927">
        <f t="shared" si="373"/>
        <v>0</v>
      </c>
      <c r="J2788" s="1681"/>
      <c r="K2788" s="1656"/>
      <c r="L2788" s="1656"/>
      <c r="M2788" s="1656"/>
      <c r="N2788" s="1656"/>
      <c r="O2788" s="1656"/>
      <c r="X2788" s="769"/>
    </row>
    <row r="2789" outlineLevel="2" spans="2:24">
      <c r="B2789" s="1666"/>
      <c r="C2789" s="745"/>
      <c r="D2789" s="1651"/>
      <c r="E2789" s="1676" t="str">
        <f>'1.管理费用'!F72</f>
        <v>  残疾人保障金</v>
      </c>
      <c r="F2789" s="1676">
        <f>'1.管理费用'!H72</f>
        <v>0</v>
      </c>
      <c r="G2789" s="1676">
        <f>'1.管理费用'!I72</f>
        <v>0</v>
      </c>
      <c r="H2789" s="1676">
        <f t="shared" si="372"/>
        <v>0</v>
      </c>
      <c r="I2789" s="927">
        <f t="shared" si="373"/>
        <v>0</v>
      </c>
      <c r="J2789" s="1681"/>
      <c r="K2789" s="1656"/>
      <c r="L2789" s="1656"/>
      <c r="M2789" s="1656"/>
      <c r="N2789" s="1656"/>
      <c r="O2789" s="1656"/>
      <c r="X2789" s="769"/>
    </row>
    <row r="2790" outlineLevel="2" spans="2:24">
      <c r="B2790" s="1666"/>
      <c r="C2790" s="745"/>
      <c r="D2790" s="1651"/>
      <c r="E2790" s="1676" t="str">
        <f>'1.管理费用'!F73</f>
        <v>  车辆费用</v>
      </c>
      <c r="F2790" s="1676">
        <f>'1.管理费用'!H73</f>
        <v>0</v>
      </c>
      <c r="G2790" s="1676">
        <f>'1.管理费用'!I73</f>
        <v>0</v>
      </c>
      <c r="H2790" s="1676">
        <f t="shared" si="372"/>
        <v>0</v>
      </c>
      <c r="I2790" s="927">
        <f t="shared" si="373"/>
        <v>0</v>
      </c>
      <c r="J2790" s="1681"/>
      <c r="K2790" s="1656"/>
      <c r="L2790" s="1656"/>
      <c r="M2790" s="1656"/>
      <c r="N2790" s="1656"/>
      <c r="O2790" s="1656"/>
      <c r="X2790" s="769"/>
    </row>
    <row r="2791" outlineLevel="2" spans="2:24">
      <c r="B2791" s="1666" t="s">
        <v>4028</v>
      </c>
      <c r="C2791" s="693" t="str">
        <f t="shared" ref="C2791:C2801" si="377">$G$1</f>
        <v>深圳新阳蓝光能源管理科技股份有限公司</v>
      </c>
      <c r="D2791" s="1651" t="s">
        <v>2437</v>
      </c>
      <c r="E2791" s="1676" t="str">
        <f>'1.管理费用'!F74</f>
        <v>  董事会费用</v>
      </c>
      <c r="F2791" s="1676">
        <f>'1.管理费用'!H74</f>
        <v>0</v>
      </c>
      <c r="G2791" s="1676">
        <f>'1.管理费用'!I74</f>
        <v>0</v>
      </c>
      <c r="H2791" s="1676">
        <f t="shared" si="372"/>
        <v>0</v>
      </c>
      <c r="I2791" s="927">
        <f t="shared" si="373"/>
        <v>0</v>
      </c>
      <c r="J2791" s="1681"/>
      <c r="K2791" s="1656"/>
      <c r="L2791" s="1656"/>
      <c r="M2791" s="1656"/>
      <c r="N2791" s="1656"/>
      <c r="O2791" s="1656"/>
      <c r="X2791" s="768" t="b">
        <f t="shared" si="376"/>
        <v>0</v>
      </c>
    </row>
    <row r="2792" outlineLevel="2" spans="2:24">
      <c r="B2792" s="1666" t="s">
        <v>4028</v>
      </c>
      <c r="C2792" s="693" t="str">
        <f t="shared" si="377"/>
        <v>深圳新阳蓝光能源管理科技股份有限公司</v>
      </c>
      <c r="D2792" s="1651" t="s">
        <v>2437</v>
      </c>
      <c r="E2792" s="1676" t="str">
        <f>'1.管理费用'!F75</f>
        <v>  其他管理费用</v>
      </c>
      <c r="F2792" s="1676">
        <f>'1.管理费用'!H75</f>
        <v>0</v>
      </c>
      <c r="G2792" s="1676">
        <f>'1.管理费用'!I75</f>
        <v>0</v>
      </c>
      <c r="H2792" s="1676">
        <f t="shared" si="372"/>
        <v>0</v>
      </c>
      <c r="I2792" s="927">
        <f t="shared" si="373"/>
        <v>0</v>
      </c>
      <c r="J2792" s="1681"/>
      <c r="K2792" s="1656"/>
      <c r="L2792" s="1656"/>
      <c r="M2792" s="1656"/>
      <c r="N2792" s="1656"/>
      <c r="O2792" s="1656"/>
      <c r="X2792" s="768" t="b">
        <f t="shared" si="376"/>
        <v>0</v>
      </c>
    </row>
    <row r="2793" outlineLevel="2" spans="2:24">
      <c r="B2793" s="1666" t="s">
        <v>4028</v>
      </c>
      <c r="C2793" s="693" t="str">
        <f t="shared" si="377"/>
        <v>深圳新阳蓝光能源管理科技股份有限公司</v>
      </c>
      <c r="D2793" s="1651" t="s">
        <v>2437</v>
      </c>
      <c r="E2793" s="1676"/>
      <c r="F2793" s="1676"/>
      <c r="G2793" s="1676"/>
      <c r="H2793" s="1676">
        <f t="shared" si="372"/>
        <v>0</v>
      </c>
      <c r="I2793" s="927">
        <f t="shared" si="373"/>
        <v>0</v>
      </c>
      <c r="J2793" s="1681"/>
      <c r="K2793" s="1656"/>
      <c r="L2793" s="1656"/>
      <c r="M2793" s="1656"/>
      <c r="N2793" s="1656"/>
      <c r="O2793" s="1656"/>
      <c r="X2793" s="768" t="b">
        <f t="shared" si="376"/>
        <v>1</v>
      </c>
    </row>
    <row r="2794" outlineLevel="2" collapsed="1" spans="2:24">
      <c r="B2794" s="1666" t="s">
        <v>4028</v>
      </c>
      <c r="C2794" s="693" t="str">
        <f t="shared" si="377"/>
        <v>深圳新阳蓝光能源管理科技股份有限公司</v>
      </c>
      <c r="D2794" s="1651" t="s">
        <v>2437</v>
      </c>
      <c r="E2794" s="1676"/>
      <c r="F2794" s="1676"/>
      <c r="G2794" s="1676"/>
      <c r="H2794" s="1676">
        <f t="shared" si="372"/>
        <v>0</v>
      </c>
      <c r="I2794" s="927">
        <f t="shared" si="373"/>
        <v>0</v>
      </c>
      <c r="J2794" s="1681"/>
      <c r="K2794" s="1656"/>
      <c r="L2794" s="1656"/>
      <c r="M2794" s="1656"/>
      <c r="N2794" s="1656"/>
      <c r="O2794" s="1656"/>
      <c r="X2794" s="768" t="b">
        <f t="shared" si="376"/>
        <v>1</v>
      </c>
    </row>
    <row r="2795" hidden="1" outlineLevel="3" spans="2:24">
      <c r="B2795" s="1666" t="s">
        <v>4028</v>
      </c>
      <c r="C2795" s="693" t="str">
        <f t="shared" si="377"/>
        <v>深圳新阳蓝光能源管理科技股份有限公司</v>
      </c>
      <c r="D2795" s="1651" t="s">
        <v>2437</v>
      </c>
      <c r="E2795" s="1677"/>
      <c r="F2795" s="721"/>
      <c r="G2795" s="721"/>
      <c r="H2795" s="1676">
        <f t="shared" si="372"/>
        <v>0</v>
      </c>
      <c r="I2795" s="927">
        <f t="shared" si="373"/>
        <v>0</v>
      </c>
      <c r="J2795" s="1681"/>
      <c r="K2795" s="1656"/>
      <c r="L2795" s="1656"/>
      <c r="M2795" s="1656"/>
      <c r="N2795" s="1656"/>
      <c r="O2795" s="1656"/>
      <c r="X2795" s="768" t="b">
        <f t="shared" si="376"/>
        <v>1</v>
      </c>
    </row>
    <row r="2796" hidden="1" outlineLevel="3" spans="2:24">
      <c r="B2796" s="1666" t="s">
        <v>4028</v>
      </c>
      <c r="C2796" s="693" t="str">
        <f t="shared" si="377"/>
        <v>深圳新阳蓝光能源管理科技股份有限公司</v>
      </c>
      <c r="D2796" s="1651" t="s">
        <v>2437</v>
      </c>
      <c r="E2796" s="1677"/>
      <c r="F2796" s="721"/>
      <c r="G2796" s="721"/>
      <c r="H2796" s="1676">
        <f t="shared" si="372"/>
        <v>0</v>
      </c>
      <c r="I2796" s="927">
        <f t="shared" si="373"/>
        <v>0</v>
      </c>
      <c r="J2796" s="1681"/>
      <c r="K2796" s="1656"/>
      <c r="L2796" s="1656"/>
      <c r="M2796" s="1656"/>
      <c r="N2796" s="1656"/>
      <c r="O2796" s="1656"/>
      <c r="X2796" s="768" t="b">
        <f t="shared" si="376"/>
        <v>1</v>
      </c>
    </row>
    <row r="2797" hidden="1" outlineLevel="3" spans="2:24">
      <c r="B2797" s="1666" t="s">
        <v>4028</v>
      </c>
      <c r="C2797" s="693" t="str">
        <f t="shared" si="377"/>
        <v>深圳新阳蓝光能源管理科技股份有限公司</v>
      </c>
      <c r="D2797" s="1651" t="s">
        <v>2437</v>
      </c>
      <c r="E2797" s="1677"/>
      <c r="F2797" s="721"/>
      <c r="G2797" s="721"/>
      <c r="H2797" s="1676">
        <f t="shared" si="372"/>
        <v>0</v>
      </c>
      <c r="I2797" s="927">
        <f t="shared" si="373"/>
        <v>0</v>
      </c>
      <c r="J2797" s="1681"/>
      <c r="K2797" s="1656"/>
      <c r="L2797" s="1656"/>
      <c r="M2797" s="1656"/>
      <c r="N2797" s="1656"/>
      <c r="O2797" s="1656"/>
      <c r="X2797" s="768" t="b">
        <f t="shared" si="376"/>
        <v>1</v>
      </c>
    </row>
    <row r="2798" hidden="1" outlineLevel="3" spans="2:24">
      <c r="B2798" s="1666" t="s">
        <v>4028</v>
      </c>
      <c r="C2798" s="693" t="str">
        <f t="shared" si="377"/>
        <v>深圳新阳蓝光能源管理科技股份有限公司</v>
      </c>
      <c r="D2798" s="1651" t="s">
        <v>2437</v>
      </c>
      <c r="E2798" s="1677"/>
      <c r="F2798" s="721"/>
      <c r="G2798" s="721"/>
      <c r="H2798" s="1676">
        <f t="shared" si="372"/>
        <v>0</v>
      </c>
      <c r="I2798" s="927">
        <f t="shared" si="373"/>
        <v>0</v>
      </c>
      <c r="J2798" s="1681"/>
      <c r="K2798" s="1656"/>
      <c r="L2798" s="1656"/>
      <c r="M2798" s="1656"/>
      <c r="N2798" s="1656"/>
      <c r="O2798" s="1656"/>
      <c r="X2798" s="768" t="b">
        <f t="shared" si="376"/>
        <v>1</v>
      </c>
    </row>
    <row r="2799" hidden="1" outlineLevel="3" spans="2:24">
      <c r="B2799" s="1666" t="s">
        <v>4028</v>
      </c>
      <c r="C2799" s="693" t="str">
        <f t="shared" si="377"/>
        <v>深圳新阳蓝光能源管理科技股份有限公司</v>
      </c>
      <c r="D2799" s="1651" t="s">
        <v>2437</v>
      </c>
      <c r="E2799" s="1677"/>
      <c r="F2799" s="721"/>
      <c r="G2799" s="721"/>
      <c r="H2799" s="1676">
        <f t="shared" si="372"/>
        <v>0</v>
      </c>
      <c r="I2799" s="927">
        <f t="shared" si="373"/>
        <v>0</v>
      </c>
      <c r="J2799" s="1681"/>
      <c r="K2799" s="1656"/>
      <c r="L2799" s="1656"/>
      <c r="M2799" s="1656"/>
      <c r="N2799" s="1656"/>
      <c r="O2799" s="1656"/>
      <c r="X2799" s="768" t="b">
        <f t="shared" si="376"/>
        <v>1</v>
      </c>
    </row>
    <row r="2800" hidden="1" outlineLevel="3" spans="2:24">
      <c r="B2800" s="1666" t="s">
        <v>4028</v>
      </c>
      <c r="C2800" s="693" t="str">
        <f t="shared" si="377"/>
        <v>深圳新阳蓝光能源管理科技股份有限公司</v>
      </c>
      <c r="D2800" s="1651" t="s">
        <v>2437</v>
      </c>
      <c r="E2800" s="1677"/>
      <c r="F2800" s="721"/>
      <c r="G2800" s="721"/>
      <c r="H2800" s="1676">
        <f t="shared" si="372"/>
        <v>0</v>
      </c>
      <c r="I2800" s="927">
        <f t="shared" si="373"/>
        <v>0</v>
      </c>
      <c r="J2800" s="1681"/>
      <c r="K2800" s="1656"/>
      <c r="L2800" s="1656"/>
      <c r="M2800" s="1656"/>
      <c r="N2800" s="1656"/>
      <c r="O2800" s="1656"/>
      <c r="X2800" s="768" t="b">
        <f t="shared" si="376"/>
        <v>1</v>
      </c>
    </row>
    <row r="2801" hidden="1" outlineLevel="3" spans="2:24">
      <c r="B2801" s="1666" t="s">
        <v>4028</v>
      </c>
      <c r="C2801" s="693" t="str">
        <f t="shared" si="377"/>
        <v>深圳新阳蓝光能源管理科技股份有限公司</v>
      </c>
      <c r="D2801" s="1651" t="s">
        <v>2437</v>
      </c>
      <c r="E2801" s="1677"/>
      <c r="F2801" s="721"/>
      <c r="G2801" s="721"/>
      <c r="H2801" s="1676">
        <f t="shared" si="372"/>
        <v>0</v>
      </c>
      <c r="I2801" s="927">
        <f t="shared" si="373"/>
        <v>0</v>
      </c>
      <c r="J2801" s="1681"/>
      <c r="K2801" s="1656"/>
      <c r="L2801" s="1656"/>
      <c r="M2801" s="1656"/>
      <c r="N2801" s="1656"/>
      <c r="O2801" s="1656"/>
      <c r="X2801" s="768" t="b">
        <f t="shared" si="376"/>
        <v>1</v>
      </c>
    </row>
    <row r="2802" hidden="1" outlineLevel="3" spans="2:24">
      <c r="B2802" s="1666"/>
      <c r="C2802" s="745"/>
      <c r="D2802" s="1651"/>
      <c r="E2802" s="1677"/>
      <c r="F2802" s="721"/>
      <c r="G2802" s="721"/>
      <c r="H2802" s="1676">
        <f t="shared" si="372"/>
        <v>0</v>
      </c>
      <c r="I2802" s="927">
        <f t="shared" si="373"/>
        <v>0</v>
      </c>
      <c r="J2802" s="1681"/>
      <c r="K2802" s="1656"/>
      <c r="L2802" s="1656"/>
      <c r="M2802" s="1656"/>
      <c r="N2802" s="1656"/>
      <c r="O2802" s="1656"/>
      <c r="X2802" s="769"/>
    </row>
    <row r="2803" hidden="1" outlineLevel="3" spans="2:24">
      <c r="B2803" s="1666"/>
      <c r="C2803" s="745"/>
      <c r="D2803" s="1651"/>
      <c r="E2803" s="1677"/>
      <c r="F2803" s="721"/>
      <c r="G2803" s="721"/>
      <c r="H2803" s="1676">
        <f t="shared" si="372"/>
        <v>0</v>
      </c>
      <c r="I2803" s="927">
        <f t="shared" si="373"/>
        <v>0</v>
      </c>
      <c r="J2803" s="1681"/>
      <c r="K2803" s="1656"/>
      <c r="L2803" s="1656"/>
      <c r="M2803" s="1656"/>
      <c r="N2803" s="1656"/>
      <c r="O2803" s="1656"/>
      <c r="X2803" s="769"/>
    </row>
    <row r="2804" hidden="1" outlineLevel="3" spans="2:24">
      <c r="B2804" s="1666"/>
      <c r="C2804" s="745"/>
      <c r="D2804" s="1651"/>
      <c r="E2804" s="1677"/>
      <c r="F2804" s="721"/>
      <c r="G2804" s="721"/>
      <c r="H2804" s="1676">
        <f t="shared" si="372"/>
        <v>0</v>
      </c>
      <c r="I2804" s="927">
        <f t="shared" si="373"/>
        <v>0</v>
      </c>
      <c r="J2804" s="1681"/>
      <c r="K2804" s="1656"/>
      <c r="L2804" s="1656"/>
      <c r="M2804" s="1656"/>
      <c r="N2804" s="1656"/>
      <c r="O2804" s="1656"/>
      <c r="X2804" s="769"/>
    </row>
    <row r="2805" hidden="1" outlineLevel="3" spans="2:24">
      <c r="B2805" s="1666"/>
      <c r="C2805" s="745"/>
      <c r="D2805" s="1651"/>
      <c r="E2805" s="1677"/>
      <c r="F2805" s="721"/>
      <c r="G2805" s="721"/>
      <c r="H2805" s="1676">
        <f t="shared" si="372"/>
        <v>0</v>
      </c>
      <c r="I2805" s="927">
        <f t="shared" si="373"/>
        <v>0</v>
      </c>
      <c r="J2805" s="1681"/>
      <c r="K2805" s="1656"/>
      <c r="L2805" s="1656"/>
      <c r="M2805" s="1656"/>
      <c r="N2805" s="1656"/>
      <c r="O2805" s="1656"/>
      <c r="X2805" s="769"/>
    </row>
    <row r="2806" hidden="1" outlineLevel="3" spans="2:24">
      <c r="B2806" s="1666"/>
      <c r="C2806" s="745"/>
      <c r="D2806" s="1651"/>
      <c r="E2806" s="1677"/>
      <c r="F2806" s="721"/>
      <c r="G2806" s="721"/>
      <c r="H2806" s="1676">
        <f t="shared" si="372"/>
        <v>0</v>
      </c>
      <c r="I2806" s="927">
        <f t="shared" si="373"/>
        <v>0</v>
      </c>
      <c r="J2806" s="1681"/>
      <c r="K2806" s="1656"/>
      <c r="L2806" s="1656"/>
      <c r="M2806" s="1656"/>
      <c r="N2806" s="1656"/>
      <c r="O2806" s="1656"/>
      <c r="X2806" s="769"/>
    </row>
    <row r="2807" hidden="1" outlineLevel="3" spans="2:24">
      <c r="B2807" s="1666" t="s">
        <v>4028</v>
      </c>
      <c r="C2807" s="693" t="str">
        <f>$G$1</f>
        <v>深圳新阳蓝光能源管理科技股份有限公司</v>
      </c>
      <c r="D2807" s="1651" t="s">
        <v>2437</v>
      </c>
      <c r="E2807" s="1677"/>
      <c r="F2807" s="721"/>
      <c r="G2807" s="721"/>
      <c r="H2807" s="1676">
        <f t="shared" si="372"/>
        <v>0</v>
      </c>
      <c r="I2807" s="927">
        <f t="shared" si="373"/>
        <v>0</v>
      </c>
      <c r="J2807" s="1681"/>
      <c r="K2807" s="1656"/>
      <c r="L2807" s="1656"/>
      <c r="M2807" s="1656"/>
      <c r="N2807" s="1656"/>
      <c r="O2807" s="1656"/>
      <c r="X2807" s="768" t="b">
        <f t="shared" si="376"/>
        <v>1</v>
      </c>
    </row>
    <row r="2808" hidden="1" outlineLevel="3" spans="2:24">
      <c r="B2808" s="1666"/>
      <c r="C2808" s="745"/>
      <c r="D2808" s="1651"/>
      <c r="E2808" s="1677"/>
      <c r="F2808" s="721"/>
      <c r="G2808" s="721"/>
      <c r="H2808" s="1676">
        <f t="shared" si="372"/>
        <v>0</v>
      </c>
      <c r="I2808" s="927">
        <f t="shared" si="373"/>
        <v>0</v>
      </c>
      <c r="J2808" s="1681"/>
      <c r="K2808" s="1656"/>
      <c r="L2808" s="1656"/>
      <c r="M2808" s="1656"/>
      <c r="N2808" s="1656"/>
      <c r="O2808" s="1656"/>
      <c r="X2808" s="769"/>
    </row>
    <row r="2809" hidden="1" outlineLevel="3" spans="2:24">
      <c r="B2809" s="1666"/>
      <c r="C2809" s="745"/>
      <c r="D2809" s="1651"/>
      <c r="E2809" s="1677"/>
      <c r="F2809" s="721"/>
      <c r="G2809" s="721"/>
      <c r="H2809" s="1676">
        <f t="shared" si="372"/>
        <v>0</v>
      </c>
      <c r="I2809" s="927">
        <f t="shared" si="373"/>
        <v>0</v>
      </c>
      <c r="J2809" s="1681"/>
      <c r="K2809" s="1656"/>
      <c r="L2809" s="1656"/>
      <c r="M2809" s="1656"/>
      <c r="N2809" s="1656"/>
      <c r="O2809" s="1656"/>
      <c r="X2809" s="769"/>
    </row>
    <row r="2810" hidden="1" outlineLevel="3" spans="2:24">
      <c r="B2810" s="1666"/>
      <c r="C2810" s="745"/>
      <c r="D2810" s="1651"/>
      <c r="E2810" s="1677"/>
      <c r="F2810" s="721"/>
      <c r="G2810" s="721"/>
      <c r="H2810" s="1676">
        <f t="shared" si="372"/>
        <v>0</v>
      </c>
      <c r="I2810" s="927">
        <f t="shared" si="373"/>
        <v>0</v>
      </c>
      <c r="J2810" s="1681"/>
      <c r="K2810" s="1656"/>
      <c r="L2810" s="1656"/>
      <c r="M2810" s="1656"/>
      <c r="N2810" s="1656"/>
      <c r="O2810" s="1656"/>
      <c r="X2810" s="769"/>
    </row>
    <row r="2811" hidden="1" outlineLevel="3" spans="2:24">
      <c r="B2811" s="1666"/>
      <c r="C2811" s="745"/>
      <c r="D2811" s="1651"/>
      <c r="E2811" s="1677"/>
      <c r="F2811" s="721"/>
      <c r="G2811" s="721"/>
      <c r="H2811" s="1676">
        <f t="shared" si="372"/>
        <v>0</v>
      </c>
      <c r="I2811" s="927">
        <f t="shared" si="373"/>
        <v>0</v>
      </c>
      <c r="J2811" s="1681"/>
      <c r="K2811" s="1656"/>
      <c r="L2811" s="1656"/>
      <c r="M2811" s="1656"/>
      <c r="N2811" s="1656"/>
      <c r="O2811" s="1656"/>
      <c r="X2811" s="769"/>
    </row>
    <row r="2812" hidden="1" outlineLevel="3" spans="2:24">
      <c r="B2812" s="1666"/>
      <c r="C2812" s="745"/>
      <c r="D2812" s="1651"/>
      <c r="E2812" s="1677"/>
      <c r="F2812" s="721"/>
      <c r="G2812" s="721"/>
      <c r="H2812" s="1676">
        <f t="shared" si="372"/>
        <v>0</v>
      </c>
      <c r="I2812" s="927">
        <f t="shared" si="373"/>
        <v>0</v>
      </c>
      <c r="J2812" s="1681"/>
      <c r="K2812" s="1656"/>
      <c r="L2812" s="1656"/>
      <c r="M2812" s="1656"/>
      <c r="N2812" s="1656"/>
      <c r="O2812" s="1656"/>
      <c r="X2812" s="769"/>
    </row>
    <row r="2813" hidden="1" outlineLevel="3" spans="2:24">
      <c r="B2813" s="1666" t="s">
        <v>4028</v>
      </c>
      <c r="C2813" s="693" t="str">
        <f>$G$1</f>
        <v>深圳新阳蓝光能源管理科技股份有限公司</v>
      </c>
      <c r="D2813" s="1651" t="s">
        <v>2437</v>
      </c>
      <c r="E2813" s="1677"/>
      <c r="F2813" s="721"/>
      <c r="G2813" s="721"/>
      <c r="H2813" s="1676">
        <f t="shared" si="372"/>
        <v>0</v>
      </c>
      <c r="I2813" s="927">
        <f t="shared" si="373"/>
        <v>0</v>
      </c>
      <c r="J2813" s="1681"/>
      <c r="K2813" s="1656"/>
      <c r="L2813" s="1656"/>
      <c r="M2813" s="1656"/>
      <c r="N2813" s="1656"/>
      <c r="O2813" s="1656"/>
      <c r="X2813" s="768" t="b">
        <f t="shared" si="376"/>
        <v>1</v>
      </c>
    </row>
    <row r="2814" hidden="1" outlineLevel="3" spans="2:24">
      <c r="B2814" s="1666" t="s">
        <v>4028</v>
      </c>
      <c r="C2814" s="693" t="str">
        <f>$G$1</f>
        <v>深圳新阳蓝光能源管理科技股份有限公司</v>
      </c>
      <c r="D2814" s="1651" t="s">
        <v>2437</v>
      </c>
      <c r="E2814" s="1677"/>
      <c r="F2814" s="721"/>
      <c r="G2814" s="721"/>
      <c r="H2814" s="1676">
        <f t="shared" si="372"/>
        <v>0</v>
      </c>
      <c r="I2814" s="927">
        <f t="shared" si="373"/>
        <v>0</v>
      </c>
      <c r="J2814" s="1681"/>
      <c r="K2814" s="1656"/>
      <c r="L2814" s="1656"/>
      <c r="M2814" s="1656"/>
      <c r="N2814" s="1656"/>
      <c r="O2814" s="1656"/>
      <c r="X2814" s="768" t="b">
        <f t="shared" si="376"/>
        <v>1</v>
      </c>
    </row>
    <row r="2815" hidden="1" outlineLevel="3" spans="2:24">
      <c r="B2815" s="1666" t="s">
        <v>4028</v>
      </c>
      <c r="C2815" s="693" t="str">
        <f>$G$1</f>
        <v>深圳新阳蓝光能源管理科技股份有限公司</v>
      </c>
      <c r="D2815" s="1651" t="s">
        <v>2437</v>
      </c>
      <c r="E2815" s="1677"/>
      <c r="F2815" s="721"/>
      <c r="G2815" s="721"/>
      <c r="H2815" s="1676">
        <f t="shared" si="372"/>
        <v>0</v>
      </c>
      <c r="I2815" s="927">
        <f t="shared" si="373"/>
        <v>0</v>
      </c>
      <c r="J2815" s="1681"/>
      <c r="K2815" s="1656"/>
      <c r="L2815" s="1656"/>
      <c r="M2815" s="1656"/>
      <c r="N2815" s="1656"/>
      <c r="O2815" s="1656"/>
      <c r="X2815" s="768" t="b">
        <f t="shared" si="376"/>
        <v>1</v>
      </c>
    </row>
    <row r="2816" hidden="1" outlineLevel="3" spans="2:24">
      <c r="B2816" s="1666" t="s">
        <v>4028</v>
      </c>
      <c r="C2816" s="693" t="str">
        <f>$G$1</f>
        <v>深圳新阳蓝光能源管理科技股份有限公司</v>
      </c>
      <c r="D2816" s="1651" t="s">
        <v>2437</v>
      </c>
      <c r="E2816" s="1677"/>
      <c r="F2816" s="721"/>
      <c r="G2816" s="721"/>
      <c r="H2816" s="1676">
        <f t="shared" si="372"/>
        <v>0</v>
      </c>
      <c r="I2816" s="927">
        <f t="shared" si="373"/>
        <v>0</v>
      </c>
      <c r="J2816" s="1681"/>
      <c r="K2816" s="1656"/>
      <c r="L2816" s="1656"/>
      <c r="M2816" s="1656"/>
      <c r="N2816" s="1656"/>
      <c r="O2816" s="1656"/>
      <c r="X2816" s="768" t="b">
        <f t="shared" si="376"/>
        <v>1</v>
      </c>
    </row>
    <row r="2817" hidden="1" outlineLevel="3" spans="2:24">
      <c r="B2817" s="1666"/>
      <c r="C2817" s="745"/>
      <c r="D2817" s="1651"/>
      <c r="E2817" s="1323"/>
      <c r="F2817" s="721"/>
      <c r="G2817" s="721"/>
      <c r="H2817" s="1676">
        <f t="shared" si="372"/>
        <v>0</v>
      </c>
      <c r="I2817" s="927">
        <f t="shared" si="373"/>
        <v>0</v>
      </c>
      <c r="J2817" s="1681"/>
      <c r="K2817" s="1656"/>
      <c r="L2817" s="1656"/>
      <c r="M2817" s="1656"/>
      <c r="N2817" s="1656"/>
      <c r="O2817" s="1656"/>
      <c r="X2817" s="769"/>
    </row>
    <row r="2818" hidden="1" outlineLevel="3" spans="2:24">
      <c r="B2818" s="1666" t="s">
        <v>4028</v>
      </c>
      <c r="C2818" s="693" t="str">
        <f t="shared" ref="C2818:C2828" si="378">$G$1</f>
        <v>深圳新阳蓝光能源管理科技股份有限公司</v>
      </c>
      <c r="D2818" s="1651" t="s">
        <v>2437</v>
      </c>
      <c r="E2818" s="1323"/>
      <c r="F2818" s="721"/>
      <c r="G2818" s="721"/>
      <c r="H2818" s="1676">
        <f t="shared" si="372"/>
        <v>0</v>
      </c>
      <c r="I2818" s="927">
        <f t="shared" si="373"/>
        <v>0</v>
      </c>
      <c r="J2818" s="1681"/>
      <c r="K2818" s="1656"/>
      <c r="L2818" s="1656"/>
      <c r="M2818" s="1656"/>
      <c r="N2818" s="1656"/>
      <c r="O2818" s="1656"/>
      <c r="X2818" s="768" t="b">
        <f t="shared" si="376"/>
        <v>1</v>
      </c>
    </row>
    <row r="2819" hidden="1" outlineLevel="3" spans="2:24">
      <c r="B2819" s="1666" t="s">
        <v>4028</v>
      </c>
      <c r="C2819" s="693" t="str">
        <f t="shared" si="378"/>
        <v>深圳新阳蓝光能源管理科技股份有限公司</v>
      </c>
      <c r="D2819" s="1651" t="s">
        <v>2437</v>
      </c>
      <c r="E2819" s="1323"/>
      <c r="F2819" s="721"/>
      <c r="G2819" s="721"/>
      <c r="H2819" s="1676">
        <f t="shared" ref="H2819:H2820" si="379">F2819-G2819</f>
        <v>0</v>
      </c>
      <c r="I2819" s="927">
        <f t="shared" ref="I2819:I2820" si="380">IFERROR(H2819/G2819,0)</f>
        <v>0</v>
      </c>
      <c r="J2819" s="1681"/>
      <c r="K2819" s="1656"/>
      <c r="L2819" s="1656"/>
      <c r="M2819" s="1656"/>
      <c r="N2819" s="1656"/>
      <c r="O2819" s="1656"/>
      <c r="X2819" s="768" t="b">
        <f t="shared" si="376"/>
        <v>1</v>
      </c>
    </row>
    <row r="2820" outlineLevel="2" spans="1:24">
      <c r="A2820" s="1650" t="s">
        <v>2021</v>
      </c>
      <c r="B2820" s="1666" t="s">
        <v>4028</v>
      </c>
      <c r="C2820" s="693" t="str">
        <f t="shared" si="378"/>
        <v>深圳新阳蓝光能源管理科技股份有限公司</v>
      </c>
      <c r="D2820" s="1651" t="s">
        <v>2437</v>
      </c>
      <c r="E2820" s="1683" t="s">
        <v>2021</v>
      </c>
      <c r="F2820" s="1676">
        <f>F2776+F2767+F2766+F2765+F2754</f>
        <v>0</v>
      </c>
      <c r="G2820" s="1676">
        <f>G2776+G2767+G2766+G2765+G2754</f>
        <v>0</v>
      </c>
      <c r="H2820" s="1676">
        <f t="shared" si="379"/>
        <v>0</v>
      </c>
      <c r="I2820" s="927">
        <f t="shared" si="380"/>
        <v>0</v>
      </c>
      <c r="J2820" s="1692"/>
      <c r="K2820" s="1656"/>
      <c r="L2820" s="1656"/>
      <c r="M2820" s="1656"/>
      <c r="N2820" s="1656"/>
      <c r="O2820" s="1656"/>
      <c r="X2820" s="768" t="b">
        <f t="shared" si="376"/>
        <v>1</v>
      </c>
    </row>
    <row r="2821" outlineLevel="2" spans="1:24">
      <c r="A2821" s="1650" t="s">
        <v>1723</v>
      </c>
      <c r="B2821" s="1666" t="s">
        <v>4028</v>
      </c>
      <c r="C2821" s="693" t="str">
        <f t="shared" si="378"/>
        <v>深圳新阳蓝光能源管理科技股份有限公司</v>
      </c>
      <c r="D2821" s="1651" t="s">
        <v>2437</v>
      </c>
      <c r="E2821" s="1633" t="s">
        <v>1723</v>
      </c>
      <c r="F2821" s="1684">
        <f>审定利润表!C10</f>
        <v>13092697.23</v>
      </c>
      <c r="G2821" s="1684">
        <f>审定利润表!D10</f>
        <v>18616301.28</v>
      </c>
      <c r="H2821" s="1670"/>
      <c r="I2821" s="1693"/>
      <c r="J2821" s="1694"/>
      <c r="K2821" s="1656"/>
      <c r="L2821" s="1656"/>
      <c r="M2821" s="1656"/>
      <c r="N2821" s="1656"/>
      <c r="O2821" s="1656"/>
      <c r="X2821" s="768" t="b">
        <f t="shared" si="376"/>
        <v>1</v>
      </c>
    </row>
    <row r="2822" outlineLevel="2" spans="1:24">
      <c r="A2822" s="1650" t="s">
        <v>1395</v>
      </c>
      <c r="B2822" s="1666" t="s">
        <v>4028</v>
      </c>
      <c r="C2822" s="693" t="str">
        <f t="shared" si="378"/>
        <v>深圳新阳蓝光能源管理科技股份有限公司</v>
      </c>
      <c r="D2822" s="1651" t="s">
        <v>2437</v>
      </c>
      <c r="E2822" s="1633" t="s">
        <v>1395</v>
      </c>
      <c r="F2822" s="1007">
        <f>ROUND(F2820-F2821,2)</f>
        <v>-13092697.23</v>
      </c>
      <c r="G2822" s="1007">
        <f>ROUND(G2820-G2821,2)</f>
        <v>-18616301.28</v>
      </c>
      <c r="H2822" s="1670"/>
      <c r="I2822" s="1693"/>
      <c r="J2822" s="1694"/>
      <c r="K2822" s="1656"/>
      <c r="L2822" s="1656"/>
      <c r="M2822" s="1656"/>
      <c r="N2822" s="1656"/>
      <c r="O2822" s="1656"/>
      <c r="X2822" s="768" t="b">
        <f t="shared" si="376"/>
        <v>1</v>
      </c>
    </row>
    <row r="2823" outlineLevel="2" spans="1:24">
      <c r="A2823" s="1650" t="s">
        <v>2439</v>
      </c>
      <c r="B2823" s="685" t="s">
        <v>4069</v>
      </c>
      <c r="C2823" s="693" t="str">
        <f t="shared" si="378"/>
        <v>深圳新阳蓝光能源管理科技股份有限公司</v>
      </c>
      <c r="D2823" s="1685" t="s">
        <v>4070</v>
      </c>
      <c r="E2823" s="1233" t="s">
        <v>4071</v>
      </c>
      <c r="F2823" s="1686" t="s">
        <v>4072</v>
      </c>
      <c r="G2823" s="1233"/>
      <c r="H2823" s="1656"/>
      <c r="I2823" s="1656"/>
      <c r="J2823" s="1656"/>
      <c r="K2823" s="1656"/>
      <c r="L2823" s="1656"/>
      <c r="M2823" s="1656"/>
      <c r="N2823" s="1656"/>
      <c r="O2823" s="1656"/>
      <c r="X2823" s="768" t="b">
        <f t="shared" si="376"/>
        <v>0</v>
      </c>
    </row>
    <row r="2824" outlineLevel="2" spans="1:24">
      <c r="A2824" s="1650" t="s">
        <v>61</v>
      </c>
      <c r="B2824" s="685" t="s">
        <v>4069</v>
      </c>
      <c r="C2824" s="693" t="str">
        <f t="shared" si="378"/>
        <v>深圳新阳蓝光能源管理科技股份有限公司</v>
      </c>
      <c r="D2824" s="1685" t="s">
        <v>4070</v>
      </c>
      <c r="E2824" s="1659" t="s">
        <v>61</v>
      </c>
      <c r="F2824" s="1659" t="s">
        <v>2347</v>
      </c>
      <c r="G2824" s="1659" t="s">
        <v>2351</v>
      </c>
      <c r="H2824" s="1659" t="s">
        <v>4032</v>
      </c>
      <c r="I2824" s="1659" t="s">
        <v>2727</v>
      </c>
      <c r="J2824" s="1659" t="s">
        <v>3975</v>
      </c>
      <c r="K2824" s="1656"/>
      <c r="L2824" s="1656"/>
      <c r="M2824" s="1656"/>
      <c r="N2824" s="1656"/>
      <c r="O2824" s="1656"/>
      <c r="X2824" s="768" t="b">
        <f t="shared" si="376"/>
        <v>1</v>
      </c>
    </row>
    <row r="2825" outlineLevel="2" spans="1:24">
      <c r="A2825" s="1650" t="s">
        <v>4033</v>
      </c>
      <c r="B2825" s="685" t="s">
        <v>4069</v>
      </c>
      <c r="C2825" s="693" t="str">
        <f t="shared" si="378"/>
        <v>深圳新阳蓝光能源管理科技股份有限公司</v>
      </c>
      <c r="D2825" s="1685" t="s">
        <v>4070</v>
      </c>
      <c r="E2825" s="1674" t="s">
        <v>4033</v>
      </c>
      <c r="F2825" s="1675">
        <f>SUM(F2826:F2835)</f>
        <v>0</v>
      </c>
      <c r="G2825" s="1675">
        <f>SUM(G2826:G2835)</f>
        <v>0</v>
      </c>
      <c r="H2825" s="1676">
        <f>F2825-G2825</f>
        <v>0</v>
      </c>
      <c r="I2825" s="927">
        <f>IFERROR(H2825/G2825,0)</f>
        <v>0</v>
      </c>
      <c r="J2825" s="1681"/>
      <c r="K2825" s="1656"/>
      <c r="L2825" s="1656"/>
      <c r="M2825" s="1656"/>
      <c r="N2825" s="1656"/>
      <c r="O2825" s="1656"/>
      <c r="X2825" s="768" t="b">
        <f t="shared" si="376"/>
        <v>1</v>
      </c>
    </row>
    <row r="2826" outlineLevel="2" spans="1:24">
      <c r="A2826" s="1650" t="s">
        <v>4034</v>
      </c>
      <c r="B2826" s="685" t="s">
        <v>4069</v>
      </c>
      <c r="C2826" s="693" t="str">
        <f t="shared" si="378"/>
        <v>深圳新阳蓝光能源管理科技股份有限公司</v>
      </c>
      <c r="D2826" s="1685" t="s">
        <v>4070</v>
      </c>
      <c r="E2826" s="1687" t="s">
        <v>4073</v>
      </c>
      <c r="F2826" s="1676">
        <f>'2.销售费用'!H5+'2.销售费用'!H6</f>
        <v>0</v>
      </c>
      <c r="G2826" s="1676">
        <f>'2.销售费用'!I5+'2.销售费用'!I6</f>
        <v>0</v>
      </c>
      <c r="H2826" s="1676">
        <f t="shared" ref="H2826:H2884" si="381">F2826-G2826</f>
        <v>0</v>
      </c>
      <c r="I2826" s="927">
        <f t="shared" ref="I2826:I2884" si="382">IFERROR(H2826/G2826,0)</f>
        <v>0</v>
      </c>
      <c r="J2826" s="1681"/>
      <c r="K2826" s="1656"/>
      <c r="L2826" s="1656"/>
      <c r="M2826" s="1656"/>
      <c r="N2826" s="1656"/>
      <c r="O2826" s="1656"/>
      <c r="X2826" s="768" t="b">
        <f t="shared" si="376"/>
        <v>0</v>
      </c>
    </row>
    <row r="2827" outlineLevel="2" spans="1:24">
      <c r="A2827" s="1650" t="s">
        <v>4036</v>
      </c>
      <c r="B2827" s="685" t="s">
        <v>4069</v>
      </c>
      <c r="C2827" s="693" t="str">
        <f t="shared" si="378"/>
        <v>深圳新阳蓝光能源管理科技股份有限公司</v>
      </c>
      <c r="D2827" s="1685" t="s">
        <v>4070</v>
      </c>
      <c r="E2827" s="1687" t="s">
        <v>4074</v>
      </c>
      <c r="F2827" s="1676">
        <f>'2.销售费用'!H9</f>
        <v>0</v>
      </c>
      <c r="G2827" s="1676">
        <f>'2.销售费用'!I9</f>
        <v>0</v>
      </c>
      <c r="H2827" s="1676">
        <f t="shared" si="381"/>
        <v>0</v>
      </c>
      <c r="I2827" s="927">
        <f t="shared" si="382"/>
        <v>0</v>
      </c>
      <c r="J2827" s="1681"/>
      <c r="K2827" s="1656"/>
      <c r="L2827" s="1656"/>
      <c r="M2827" s="1656"/>
      <c r="N2827" s="1656"/>
      <c r="O2827" s="1656"/>
      <c r="X2827" s="768" t="b">
        <f t="shared" si="376"/>
        <v>0</v>
      </c>
    </row>
    <row r="2828" outlineLevel="2" spans="1:24">
      <c r="A2828" s="1650" t="s">
        <v>4041</v>
      </c>
      <c r="B2828" s="685" t="s">
        <v>4069</v>
      </c>
      <c r="C2828" s="693" t="str">
        <f t="shared" si="378"/>
        <v>深圳新阳蓝光能源管理科技股份有限公司</v>
      </c>
      <c r="D2828" s="1685" t="s">
        <v>4070</v>
      </c>
      <c r="E2828" s="1687" t="s">
        <v>4075</v>
      </c>
      <c r="F2828" s="1676">
        <f>'2.销售费用'!H7</f>
        <v>0</v>
      </c>
      <c r="G2828" s="1676">
        <f>'2.销售费用'!I7</f>
        <v>0</v>
      </c>
      <c r="H2828" s="1676">
        <f t="shared" si="381"/>
        <v>0</v>
      </c>
      <c r="I2828" s="927">
        <f t="shared" si="382"/>
        <v>0</v>
      </c>
      <c r="J2828" s="1681"/>
      <c r="K2828" s="1656"/>
      <c r="L2828" s="1656"/>
      <c r="M2828" s="1656"/>
      <c r="N2828" s="1656"/>
      <c r="O2828" s="1656"/>
      <c r="X2828" s="768" t="b">
        <f t="shared" si="376"/>
        <v>0</v>
      </c>
    </row>
    <row r="2829" outlineLevel="2" spans="2:24">
      <c r="B2829" s="685"/>
      <c r="C2829" s="745"/>
      <c r="D2829" s="1685"/>
      <c r="E2829" s="1687" t="s">
        <v>4076</v>
      </c>
      <c r="F2829" s="1676">
        <f>'2.销售费用'!H8</f>
        <v>0</v>
      </c>
      <c r="G2829" s="1676">
        <f>'2.销售费用'!I8</f>
        <v>0</v>
      </c>
      <c r="H2829" s="1676">
        <f t="shared" si="381"/>
        <v>0</v>
      </c>
      <c r="I2829" s="927">
        <f t="shared" si="382"/>
        <v>0</v>
      </c>
      <c r="J2829" s="1681"/>
      <c r="K2829" s="1656"/>
      <c r="L2829" s="1656"/>
      <c r="M2829" s="1656"/>
      <c r="N2829" s="1656"/>
      <c r="O2829" s="1656"/>
      <c r="X2829" s="769"/>
    </row>
    <row r="2830" outlineLevel="2" spans="2:24">
      <c r="B2830" s="685"/>
      <c r="C2830" s="745"/>
      <c r="D2830" s="1685"/>
      <c r="E2830" s="1687" t="s">
        <v>4077</v>
      </c>
      <c r="F2830" s="1676">
        <f>'2.销售费用'!H13</f>
        <v>0</v>
      </c>
      <c r="G2830" s="1676">
        <f>'2.销售费用'!I13</f>
        <v>0</v>
      </c>
      <c r="H2830" s="1676">
        <f t="shared" si="381"/>
        <v>0</v>
      </c>
      <c r="I2830" s="927">
        <f t="shared" si="382"/>
        <v>0</v>
      </c>
      <c r="J2830" s="1681"/>
      <c r="K2830" s="1656"/>
      <c r="L2830" s="1656"/>
      <c r="M2830" s="1656"/>
      <c r="N2830" s="1656"/>
      <c r="O2830" s="1656"/>
      <c r="X2830" s="769"/>
    </row>
    <row r="2831" outlineLevel="2" spans="2:24">
      <c r="B2831" s="685"/>
      <c r="C2831" s="745"/>
      <c r="D2831" s="1685"/>
      <c r="E2831" s="1687" t="s">
        <v>4078</v>
      </c>
      <c r="F2831" s="1676">
        <f>'2.销售费用'!H14</f>
        <v>0</v>
      </c>
      <c r="G2831" s="1676">
        <f>'2.销售费用'!I14</f>
        <v>0</v>
      </c>
      <c r="H2831" s="1676">
        <f t="shared" si="381"/>
        <v>0</v>
      </c>
      <c r="I2831" s="927">
        <f t="shared" si="382"/>
        <v>0</v>
      </c>
      <c r="J2831" s="1681"/>
      <c r="K2831" s="1656"/>
      <c r="L2831" s="1656"/>
      <c r="M2831" s="1656"/>
      <c r="N2831" s="1656"/>
      <c r="O2831" s="1656"/>
      <c r="X2831" s="769"/>
    </row>
    <row r="2832" outlineLevel="2" spans="1:24">
      <c r="A2832" s="1650" t="s">
        <v>4043</v>
      </c>
      <c r="B2832" s="685" t="s">
        <v>4069</v>
      </c>
      <c r="C2832" s="693" t="str">
        <f t="shared" ref="C2832:C2840" si="383">$G$1</f>
        <v>深圳新阳蓝光能源管理科技股份有限公司</v>
      </c>
      <c r="D2832" s="1685" t="s">
        <v>4070</v>
      </c>
      <c r="E2832" s="1325" t="s">
        <v>4079</v>
      </c>
      <c r="F2832" s="1676">
        <f>'2.销售费用'!H15</f>
        <v>0</v>
      </c>
      <c r="G2832" s="1676">
        <f>'2.销售费用'!I15</f>
        <v>0</v>
      </c>
      <c r="H2832" s="1676">
        <f t="shared" si="381"/>
        <v>0</v>
      </c>
      <c r="I2832" s="927">
        <f t="shared" si="382"/>
        <v>0</v>
      </c>
      <c r="J2832" s="1681"/>
      <c r="K2832" s="1656"/>
      <c r="L2832" s="1656"/>
      <c r="M2832" s="1656"/>
      <c r="N2832" s="1656"/>
      <c r="O2832" s="1656"/>
      <c r="X2832" s="768" t="b">
        <f t="shared" si="376"/>
        <v>0</v>
      </c>
    </row>
    <row r="2833" outlineLevel="2" spans="1:24">
      <c r="A2833" s="1650" t="s">
        <v>4045</v>
      </c>
      <c r="B2833" s="685" t="s">
        <v>4069</v>
      </c>
      <c r="C2833" s="693" t="str">
        <f t="shared" si="383"/>
        <v>深圳新阳蓝光能源管理科技股份有限公司</v>
      </c>
      <c r="D2833" s="1685" t="s">
        <v>4070</v>
      </c>
      <c r="E2833" s="1687" t="s">
        <v>4080</v>
      </c>
      <c r="F2833" s="1676">
        <f>'2.销售费用'!H16</f>
        <v>0</v>
      </c>
      <c r="G2833" s="1676">
        <f>'2.销售费用'!I16</f>
        <v>0</v>
      </c>
      <c r="H2833" s="1676">
        <f t="shared" si="381"/>
        <v>0</v>
      </c>
      <c r="I2833" s="927">
        <f t="shared" si="382"/>
        <v>0</v>
      </c>
      <c r="J2833" s="1681"/>
      <c r="K2833" s="1656"/>
      <c r="L2833" s="1656"/>
      <c r="M2833" s="1656"/>
      <c r="N2833" s="1656"/>
      <c r="O2833" s="1656"/>
      <c r="X2833" s="768" t="b">
        <f t="shared" si="376"/>
        <v>0</v>
      </c>
    </row>
    <row r="2834" outlineLevel="2" spans="1:24">
      <c r="A2834" s="1650" t="s">
        <v>4047</v>
      </c>
      <c r="B2834" s="685" t="s">
        <v>4069</v>
      </c>
      <c r="C2834" s="693" t="str">
        <f t="shared" si="383"/>
        <v>深圳新阳蓝光能源管理科技股份有限公司</v>
      </c>
      <c r="D2834" s="1685" t="s">
        <v>4070</v>
      </c>
      <c r="E2834" s="1325" t="s">
        <v>4081</v>
      </c>
      <c r="F2834" s="721"/>
      <c r="G2834" s="721"/>
      <c r="H2834" s="1676">
        <f t="shared" si="381"/>
        <v>0</v>
      </c>
      <c r="I2834" s="927">
        <f t="shared" si="382"/>
        <v>0</v>
      </c>
      <c r="J2834" s="1681"/>
      <c r="K2834" s="1656"/>
      <c r="L2834" s="1656"/>
      <c r="M2834" s="1656"/>
      <c r="N2834" s="1656"/>
      <c r="O2834" s="1656"/>
      <c r="X2834" s="768" t="b">
        <f t="shared" si="376"/>
        <v>0</v>
      </c>
    </row>
    <row r="2835" outlineLevel="2" spans="1:24">
      <c r="A2835" s="1650" t="s">
        <v>4049</v>
      </c>
      <c r="B2835" s="685" t="s">
        <v>4069</v>
      </c>
      <c r="C2835" s="693" t="str">
        <f t="shared" si="383"/>
        <v>深圳新阳蓝光能源管理科技股份有限公司</v>
      </c>
      <c r="D2835" s="1685" t="s">
        <v>4070</v>
      </c>
      <c r="E2835" s="1325" t="s">
        <v>4082</v>
      </c>
      <c r="F2835" s="721"/>
      <c r="G2835" s="721"/>
      <c r="H2835" s="1676">
        <f t="shared" si="381"/>
        <v>0</v>
      </c>
      <c r="I2835" s="927">
        <f t="shared" si="382"/>
        <v>0</v>
      </c>
      <c r="J2835" s="1681"/>
      <c r="K2835" s="1656"/>
      <c r="L2835" s="1656"/>
      <c r="M2835" s="1656"/>
      <c r="N2835" s="1656"/>
      <c r="O2835" s="1656"/>
      <c r="X2835" s="768" t="b">
        <f t="shared" si="376"/>
        <v>0</v>
      </c>
    </row>
    <row r="2836" outlineLevel="2" spans="1:24">
      <c r="A2836" s="1650" t="s">
        <v>4051</v>
      </c>
      <c r="B2836" s="685" t="s">
        <v>4069</v>
      </c>
      <c r="C2836" s="693" t="str">
        <f t="shared" si="383"/>
        <v>深圳新阳蓝光能源管理科技股份有限公司</v>
      </c>
      <c r="D2836" s="1685" t="s">
        <v>4070</v>
      </c>
      <c r="E2836" s="1674" t="s">
        <v>4051</v>
      </c>
      <c r="F2836" s="1676">
        <f>'2.销售费用'!H21</f>
        <v>0</v>
      </c>
      <c r="G2836" s="1676">
        <f>'2.销售费用'!I21</f>
        <v>0</v>
      </c>
      <c r="H2836" s="1676">
        <f t="shared" si="381"/>
        <v>0</v>
      </c>
      <c r="I2836" s="927">
        <f t="shared" si="382"/>
        <v>0</v>
      </c>
      <c r="J2836" s="1681"/>
      <c r="K2836" s="1656"/>
      <c r="L2836" s="1656"/>
      <c r="M2836" s="1656"/>
      <c r="N2836" s="1656"/>
      <c r="O2836" s="1656"/>
      <c r="X2836" s="768" t="b">
        <f t="shared" si="376"/>
        <v>1</v>
      </c>
    </row>
    <row r="2837" outlineLevel="2" spans="1:24">
      <c r="A2837" s="1650" t="s">
        <v>1699</v>
      </c>
      <c r="B2837" s="685" t="s">
        <v>4069</v>
      </c>
      <c r="C2837" s="693" t="str">
        <f t="shared" si="383"/>
        <v>深圳新阳蓝光能源管理科技股份有限公司</v>
      </c>
      <c r="D2837" s="1685" t="s">
        <v>4070</v>
      </c>
      <c r="E2837" s="1674" t="s">
        <v>1699</v>
      </c>
      <c r="F2837" s="721"/>
      <c r="G2837" s="721"/>
      <c r="H2837" s="1676">
        <f t="shared" si="381"/>
        <v>0</v>
      </c>
      <c r="I2837" s="927">
        <f t="shared" si="382"/>
        <v>0</v>
      </c>
      <c r="J2837" s="1681"/>
      <c r="K2837" s="1656"/>
      <c r="L2837" s="1656"/>
      <c r="M2837" s="1656"/>
      <c r="N2837" s="1656"/>
      <c r="O2837" s="1656"/>
      <c r="X2837" s="768" t="b">
        <f t="shared" si="376"/>
        <v>1</v>
      </c>
    </row>
    <row r="2838" outlineLevel="2" spans="1:24">
      <c r="A2838" s="1650" t="s">
        <v>4052</v>
      </c>
      <c r="B2838" s="685" t="s">
        <v>4069</v>
      </c>
      <c r="C2838" s="693" t="str">
        <f t="shared" si="383"/>
        <v>深圳新阳蓝光能源管理科技股份有限公司</v>
      </c>
      <c r="D2838" s="1685" t="s">
        <v>4070</v>
      </c>
      <c r="E2838" s="1674" t="s">
        <v>4052</v>
      </c>
      <c r="F2838" s="1675">
        <f>SUM(F2839:F2846)</f>
        <v>0</v>
      </c>
      <c r="G2838" s="1675">
        <f>SUM(G2839:G2846)</f>
        <v>0</v>
      </c>
      <c r="H2838" s="1676">
        <f t="shared" si="381"/>
        <v>0</v>
      </c>
      <c r="I2838" s="927">
        <f t="shared" si="382"/>
        <v>0</v>
      </c>
      <c r="J2838" s="1681"/>
      <c r="K2838" s="1656"/>
      <c r="L2838" s="1656"/>
      <c r="M2838" s="1656"/>
      <c r="N2838" s="1656"/>
      <c r="O2838" s="1656"/>
      <c r="X2838" s="768" t="b">
        <f t="shared" si="376"/>
        <v>1</v>
      </c>
    </row>
    <row r="2839" outlineLevel="2" spans="1:24">
      <c r="A2839" s="1650" t="s">
        <v>4054</v>
      </c>
      <c r="B2839" s="685" t="s">
        <v>4069</v>
      </c>
      <c r="C2839" s="693" t="str">
        <f t="shared" si="383"/>
        <v>深圳新阳蓝光能源管理科技股份有限公司</v>
      </c>
      <c r="D2839" s="1685" t="s">
        <v>4070</v>
      </c>
      <c r="E2839" s="899" t="s">
        <v>4083</v>
      </c>
      <c r="F2839" s="721"/>
      <c r="G2839" s="721"/>
      <c r="H2839" s="1676">
        <f t="shared" si="381"/>
        <v>0</v>
      </c>
      <c r="I2839" s="927">
        <f t="shared" si="382"/>
        <v>0</v>
      </c>
      <c r="J2839" s="1681"/>
      <c r="K2839" s="1656"/>
      <c r="L2839" s="1656"/>
      <c r="M2839" s="1656"/>
      <c r="N2839" s="1656"/>
      <c r="O2839" s="1656"/>
      <c r="X2839" s="768" t="b">
        <f t="shared" si="376"/>
        <v>0</v>
      </c>
    </row>
    <row r="2840" outlineLevel="2" spans="1:24">
      <c r="A2840" s="1650" t="s">
        <v>4056</v>
      </c>
      <c r="B2840" s="685" t="s">
        <v>4069</v>
      </c>
      <c r="C2840" s="693" t="str">
        <f t="shared" si="383"/>
        <v>深圳新阳蓝光能源管理科技股份有限公司</v>
      </c>
      <c r="D2840" s="1685" t="s">
        <v>4070</v>
      </c>
      <c r="E2840" s="899" t="s">
        <v>4084</v>
      </c>
      <c r="F2840" s="721"/>
      <c r="G2840" s="721"/>
      <c r="H2840" s="1676">
        <f t="shared" si="381"/>
        <v>0</v>
      </c>
      <c r="I2840" s="927">
        <f t="shared" si="382"/>
        <v>0</v>
      </c>
      <c r="J2840" s="1681"/>
      <c r="K2840" s="1656"/>
      <c r="L2840" s="1656"/>
      <c r="M2840" s="1656"/>
      <c r="N2840" s="1656"/>
      <c r="O2840" s="1656"/>
      <c r="X2840" s="768" t="b">
        <f t="shared" si="376"/>
        <v>0</v>
      </c>
    </row>
    <row r="2841" outlineLevel="2" spans="2:24">
      <c r="B2841" s="685"/>
      <c r="C2841" s="745"/>
      <c r="D2841" s="1685"/>
      <c r="E2841" s="899" t="s">
        <v>4085</v>
      </c>
      <c r="F2841" s="1676">
        <f>'2.销售费用'!H24</f>
        <v>0</v>
      </c>
      <c r="G2841" s="1676">
        <f>'2.销售费用'!I24</f>
        <v>0</v>
      </c>
      <c r="H2841" s="1676">
        <f t="shared" si="381"/>
        <v>0</v>
      </c>
      <c r="I2841" s="927">
        <f t="shared" si="382"/>
        <v>0</v>
      </c>
      <c r="J2841" s="1681"/>
      <c r="K2841" s="1656"/>
      <c r="L2841" s="1656"/>
      <c r="M2841" s="1656"/>
      <c r="N2841" s="1656"/>
      <c r="O2841" s="1656"/>
      <c r="X2841" s="769"/>
    </row>
    <row r="2842" outlineLevel="2" spans="2:24">
      <c r="B2842" s="685"/>
      <c r="C2842" s="745"/>
      <c r="D2842" s="1685"/>
      <c r="E2842" s="899" t="s">
        <v>4086</v>
      </c>
      <c r="F2842" s="721"/>
      <c r="G2842" s="721"/>
      <c r="H2842" s="1676">
        <f t="shared" si="381"/>
        <v>0</v>
      </c>
      <c r="I2842" s="927">
        <f t="shared" si="382"/>
        <v>0</v>
      </c>
      <c r="J2842" s="1681"/>
      <c r="K2842" s="1656"/>
      <c r="L2842" s="1656"/>
      <c r="M2842" s="1656"/>
      <c r="N2842" s="1656"/>
      <c r="O2842" s="1656"/>
      <c r="X2842" s="769"/>
    </row>
    <row r="2843" outlineLevel="2" spans="2:24">
      <c r="B2843" s="685"/>
      <c r="C2843" s="745"/>
      <c r="D2843" s="1685"/>
      <c r="E2843" s="899" t="s">
        <v>4087</v>
      </c>
      <c r="F2843" s="721"/>
      <c r="G2843" s="721"/>
      <c r="H2843" s="1676">
        <f t="shared" si="381"/>
        <v>0</v>
      </c>
      <c r="I2843" s="927">
        <f t="shared" si="382"/>
        <v>0</v>
      </c>
      <c r="J2843" s="1681"/>
      <c r="K2843" s="1656"/>
      <c r="L2843" s="1656"/>
      <c r="M2843" s="1656"/>
      <c r="N2843" s="1656"/>
      <c r="O2843" s="1656"/>
      <c r="X2843" s="769"/>
    </row>
    <row r="2844" outlineLevel="2" spans="1:24">
      <c r="A2844" s="1650" t="s">
        <v>4061</v>
      </c>
      <c r="B2844" s="685" t="s">
        <v>4069</v>
      </c>
      <c r="C2844" s="693" t="str">
        <f t="shared" ref="C2844:C2861" si="384">$G$1</f>
        <v>深圳新阳蓝光能源管理科技股份有限公司</v>
      </c>
      <c r="D2844" s="1685" t="s">
        <v>4070</v>
      </c>
      <c r="E2844" s="899" t="s">
        <v>4088</v>
      </c>
      <c r="F2844" s="721"/>
      <c r="G2844" s="721"/>
      <c r="H2844" s="1676">
        <f t="shared" si="381"/>
        <v>0</v>
      </c>
      <c r="I2844" s="927">
        <f t="shared" si="382"/>
        <v>0</v>
      </c>
      <c r="J2844" s="1681"/>
      <c r="K2844" s="1656"/>
      <c r="L2844" s="1656"/>
      <c r="M2844" s="1656"/>
      <c r="N2844" s="1656"/>
      <c r="O2844" s="1656"/>
      <c r="X2844" s="768" t="b">
        <f t="shared" si="376"/>
        <v>0</v>
      </c>
    </row>
    <row r="2845" outlineLevel="2" spans="1:24">
      <c r="A2845" s="1650" t="s">
        <v>4063</v>
      </c>
      <c r="B2845" s="685" t="s">
        <v>4069</v>
      </c>
      <c r="C2845" s="693" t="str">
        <f t="shared" si="384"/>
        <v>深圳新阳蓝光能源管理科技股份有限公司</v>
      </c>
      <c r="D2845" s="1685" t="s">
        <v>4070</v>
      </c>
      <c r="E2845" s="899" t="s">
        <v>4089</v>
      </c>
      <c r="F2845" s="721"/>
      <c r="G2845" s="721"/>
      <c r="H2845" s="1676">
        <f t="shared" si="381"/>
        <v>0</v>
      </c>
      <c r="I2845" s="927">
        <f t="shared" si="382"/>
        <v>0</v>
      </c>
      <c r="J2845" s="1681"/>
      <c r="K2845" s="1656"/>
      <c r="L2845" s="1656"/>
      <c r="M2845" s="1656"/>
      <c r="N2845" s="1656"/>
      <c r="O2845" s="1656"/>
      <c r="X2845" s="768" t="b">
        <f t="shared" si="376"/>
        <v>0</v>
      </c>
    </row>
    <row r="2846" outlineLevel="2" spans="1:24">
      <c r="A2846" s="1650" t="s">
        <v>4065</v>
      </c>
      <c r="B2846" s="685" t="s">
        <v>4069</v>
      </c>
      <c r="C2846" s="693" t="str">
        <f t="shared" si="384"/>
        <v>深圳新阳蓝光能源管理科技股份有限公司</v>
      </c>
      <c r="D2846" s="1685" t="s">
        <v>4070</v>
      </c>
      <c r="E2846" s="899" t="s">
        <v>4090</v>
      </c>
      <c r="F2846" s="721"/>
      <c r="G2846" s="721"/>
      <c r="H2846" s="1676">
        <f t="shared" si="381"/>
        <v>0</v>
      </c>
      <c r="I2846" s="927">
        <f t="shared" si="382"/>
        <v>0</v>
      </c>
      <c r="J2846" s="1681"/>
      <c r="K2846" s="1656"/>
      <c r="L2846" s="1656"/>
      <c r="M2846" s="1656"/>
      <c r="N2846" s="1656"/>
      <c r="O2846" s="1656"/>
      <c r="X2846" s="768" t="b">
        <f t="shared" si="376"/>
        <v>0</v>
      </c>
    </row>
    <row r="2847" outlineLevel="2" spans="1:24">
      <c r="A2847" s="1650" t="s">
        <v>4067</v>
      </c>
      <c r="B2847" s="685" t="s">
        <v>4069</v>
      </c>
      <c r="C2847" s="693" t="str">
        <f t="shared" si="384"/>
        <v>深圳新阳蓝光能源管理科技股份有限公司</v>
      </c>
      <c r="D2847" s="1685" t="s">
        <v>4070</v>
      </c>
      <c r="E2847" s="1688" t="s">
        <v>4067</v>
      </c>
      <c r="F2847" s="1689">
        <f>SUM(F2848:F2883)</f>
        <v>0</v>
      </c>
      <c r="G2847" s="1689">
        <f>SUM(G2848:G2883)</f>
        <v>0</v>
      </c>
      <c r="H2847" s="1676">
        <f t="shared" si="381"/>
        <v>0</v>
      </c>
      <c r="I2847" s="927">
        <f t="shared" si="382"/>
        <v>0</v>
      </c>
      <c r="J2847" s="1681"/>
      <c r="K2847" s="1656"/>
      <c r="L2847" s="1656"/>
      <c r="M2847" s="1656"/>
      <c r="N2847" s="1656"/>
      <c r="O2847" s="1656"/>
      <c r="X2847" s="768" t="b">
        <f t="shared" si="376"/>
        <v>1</v>
      </c>
    </row>
    <row r="2848" outlineLevel="2" spans="2:24">
      <c r="B2848" s="685" t="s">
        <v>4069</v>
      </c>
      <c r="C2848" s="693" t="str">
        <f t="shared" si="384"/>
        <v>深圳新阳蓝光能源管理科技股份有限公司</v>
      </c>
      <c r="D2848" s="1685" t="s">
        <v>4070</v>
      </c>
      <c r="E2848" s="1676" t="str">
        <f>'2.销售费用'!F17</f>
        <v>  办公费</v>
      </c>
      <c r="F2848" s="1676">
        <f>'2.销售费用'!H17</f>
        <v>0</v>
      </c>
      <c r="G2848" s="1676">
        <f>'2.销售费用'!I17</f>
        <v>0</v>
      </c>
      <c r="H2848" s="1676">
        <f t="shared" si="381"/>
        <v>0</v>
      </c>
      <c r="I2848" s="927">
        <f t="shared" si="382"/>
        <v>0</v>
      </c>
      <c r="J2848" s="1681"/>
      <c r="K2848" s="1656"/>
      <c r="L2848" s="1656"/>
      <c r="M2848" s="1656"/>
      <c r="N2848" s="1656"/>
      <c r="O2848" s="1656"/>
      <c r="X2848" s="768" t="b">
        <f t="shared" si="376"/>
        <v>0</v>
      </c>
    </row>
    <row r="2849" outlineLevel="2" spans="2:24">
      <c r="B2849" s="685" t="s">
        <v>4069</v>
      </c>
      <c r="C2849" s="693" t="str">
        <f t="shared" si="384"/>
        <v>深圳新阳蓝光能源管理科技股份有限公司</v>
      </c>
      <c r="D2849" s="1685" t="s">
        <v>4070</v>
      </c>
      <c r="E2849" s="1676" t="str">
        <f>'2.销售费用'!F18</f>
        <v>  通讯费</v>
      </c>
      <c r="F2849" s="1676">
        <f>'2.销售费用'!H18</f>
        <v>0</v>
      </c>
      <c r="G2849" s="1676">
        <f>'2.销售费用'!I18</f>
        <v>0</v>
      </c>
      <c r="H2849" s="1676">
        <f t="shared" si="381"/>
        <v>0</v>
      </c>
      <c r="I2849" s="927">
        <f t="shared" si="382"/>
        <v>0</v>
      </c>
      <c r="J2849" s="1681"/>
      <c r="K2849" s="1656"/>
      <c r="L2849" s="1656"/>
      <c r="M2849" s="1656"/>
      <c r="N2849" s="1656"/>
      <c r="O2849" s="1656"/>
      <c r="X2849" s="768" t="b">
        <f t="shared" si="376"/>
        <v>0</v>
      </c>
    </row>
    <row r="2850" outlineLevel="2" spans="2:24">
      <c r="B2850" s="685" t="s">
        <v>4069</v>
      </c>
      <c r="C2850" s="693" t="str">
        <f t="shared" si="384"/>
        <v>深圳新阳蓝光能源管理科技股份有限公司</v>
      </c>
      <c r="D2850" s="1685" t="s">
        <v>4070</v>
      </c>
      <c r="E2850" s="1676" t="str">
        <f>'2.销售费用'!F19</f>
        <v>  业务招待费</v>
      </c>
      <c r="F2850" s="1676">
        <f>'2.销售费用'!H19</f>
        <v>0</v>
      </c>
      <c r="G2850" s="1676">
        <f>'2.销售费用'!I19</f>
        <v>0</v>
      </c>
      <c r="H2850" s="1676">
        <f t="shared" si="381"/>
        <v>0</v>
      </c>
      <c r="I2850" s="927">
        <f t="shared" si="382"/>
        <v>0</v>
      </c>
      <c r="J2850" s="1681"/>
      <c r="K2850" s="1656"/>
      <c r="L2850" s="1656"/>
      <c r="M2850" s="1656"/>
      <c r="N2850" s="1656"/>
      <c r="O2850" s="1656"/>
      <c r="X2850" s="768" t="b">
        <f t="shared" si="376"/>
        <v>0</v>
      </c>
    </row>
    <row r="2851" outlineLevel="2" spans="2:24">
      <c r="B2851" s="685" t="s">
        <v>4069</v>
      </c>
      <c r="C2851" s="693" t="str">
        <f t="shared" si="384"/>
        <v>深圳新阳蓝光能源管理科技股份有限公司</v>
      </c>
      <c r="D2851" s="1685" t="s">
        <v>4070</v>
      </c>
      <c r="E2851" s="1676" t="str">
        <f>'2.销售费用'!F20</f>
        <v>  差旅费</v>
      </c>
      <c r="F2851" s="1676">
        <f>'2.销售费用'!H20</f>
        <v>0</v>
      </c>
      <c r="G2851" s="1676">
        <f>'2.销售费用'!I20</f>
        <v>0</v>
      </c>
      <c r="H2851" s="1676">
        <f t="shared" si="381"/>
        <v>0</v>
      </c>
      <c r="I2851" s="927">
        <f t="shared" si="382"/>
        <v>0</v>
      </c>
      <c r="J2851" s="1681"/>
      <c r="K2851" s="1656"/>
      <c r="L2851" s="1656"/>
      <c r="M2851" s="1656"/>
      <c r="N2851" s="1656"/>
      <c r="O2851" s="1656"/>
      <c r="X2851" s="768" t="b">
        <f t="shared" si="376"/>
        <v>0</v>
      </c>
    </row>
    <row r="2852" outlineLevel="2" spans="2:24">
      <c r="B2852" s="685" t="s">
        <v>4069</v>
      </c>
      <c r="C2852" s="693" t="str">
        <f t="shared" si="384"/>
        <v>深圳新阳蓝光能源管理科技股份有限公司</v>
      </c>
      <c r="D2852" s="1685" t="s">
        <v>4070</v>
      </c>
      <c r="E2852" s="1676" t="str">
        <f>'2.销售费用'!F22</f>
        <v>  租赁费用</v>
      </c>
      <c r="F2852" s="1676">
        <f>'2.销售费用'!H22</f>
        <v>0</v>
      </c>
      <c r="G2852" s="1676">
        <f>'2.销售费用'!I22</f>
        <v>0</v>
      </c>
      <c r="H2852" s="1676">
        <f t="shared" si="381"/>
        <v>0</v>
      </c>
      <c r="I2852" s="927">
        <f t="shared" si="382"/>
        <v>0</v>
      </c>
      <c r="J2852" s="1681"/>
      <c r="K2852" s="1656"/>
      <c r="L2852" s="1656"/>
      <c r="M2852" s="1656"/>
      <c r="N2852" s="1656"/>
      <c r="O2852" s="1656"/>
      <c r="X2852" s="768" t="b">
        <f t="shared" si="376"/>
        <v>0</v>
      </c>
    </row>
    <row r="2853" outlineLevel="2" spans="2:24">
      <c r="B2853" s="685" t="s">
        <v>4069</v>
      </c>
      <c r="C2853" s="693" t="str">
        <f t="shared" si="384"/>
        <v>深圳新阳蓝光能源管理科技股份有限公司</v>
      </c>
      <c r="D2853" s="1685" t="s">
        <v>4070</v>
      </c>
      <c r="E2853" s="1676" t="str">
        <f>'2.销售费用'!F23</f>
        <v>  保险费</v>
      </c>
      <c r="F2853" s="1676">
        <f>'2.销售费用'!H23</f>
        <v>0</v>
      </c>
      <c r="G2853" s="1676">
        <f>'2.销售费用'!I23</f>
        <v>0</v>
      </c>
      <c r="H2853" s="1676">
        <f t="shared" si="381"/>
        <v>0</v>
      </c>
      <c r="I2853" s="927">
        <f t="shared" si="382"/>
        <v>0</v>
      </c>
      <c r="J2853" s="1681"/>
      <c r="K2853" s="1656"/>
      <c r="L2853" s="1656"/>
      <c r="M2853" s="1656"/>
      <c r="N2853" s="1656"/>
      <c r="O2853" s="1656"/>
      <c r="X2853" s="768" t="b">
        <f t="shared" si="376"/>
        <v>0</v>
      </c>
    </row>
    <row r="2854" outlineLevel="2" spans="2:24">
      <c r="B2854" s="685" t="s">
        <v>4069</v>
      </c>
      <c r="C2854" s="693" t="str">
        <f t="shared" si="384"/>
        <v>深圳新阳蓝光能源管理科技股份有限公司</v>
      </c>
      <c r="D2854" s="1685" t="s">
        <v>4070</v>
      </c>
      <c r="E2854" s="1676" t="str">
        <f>'2.销售费用'!F25</f>
        <v>  物料消耗</v>
      </c>
      <c r="F2854" s="1676">
        <f>'2.销售费用'!H25</f>
        <v>0</v>
      </c>
      <c r="G2854" s="1676">
        <f>'2.销售费用'!I25</f>
        <v>0</v>
      </c>
      <c r="H2854" s="1676">
        <f t="shared" si="381"/>
        <v>0</v>
      </c>
      <c r="I2854" s="927">
        <f t="shared" si="382"/>
        <v>0</v>
      </c>
      <c r="J2854" s="1681"/>
      <c r="K2854" s="1656"/>
      <c r="L2854" s="1656"/>
      <c r="M2854" s="1656"/>
      <c r="N2854" s="1656"/>
      <c r="O2854" s="1656"/>
      <c r="X2854" s="768" t="b">
        <f t="shared" si="376"/>
        <v>0</v>
      </c>
    </row>
    <row r="2855" outlineLevel="2" spans="2:24">
      <c r="B2855" s="685" t="s">
        <v>4069</v>
      </c>
      <c r="C2855" s="693" t="str">
        <f t="shared" si="384"/>
        <v>深圳新阳蓝光能源管理科技股份有限公司</v>
      </c>
      <c r="D2855" s="1685" t="s">
        <v>4070</v>
      </c>
      <c r="E2855" s="1676" t="str">
        <f>'2.销售费用'!F26</f>
        <v>  展览会议费</v>
      </c>
      <c r="F2855" s="1676">
        <f>'2.销售费用'!H26</f>
        <v>0</v>
      </c>
      <c r="G2855" s="1676">
        <f>'2.销售费用'!I26</f>
        <v>0</v>
      </c>
      <c r="H2855" s="1676">
        <f t="shared" si="381"/>
        <v>0</v>
      </c>
      <c r="I2855" s="927">
        <f t="shared" si="382"/>
        <v>0</v>
      </c>
      <c r="J2855" s="1681"/>
      <c r="K2855" s="1656"/>
      <c r="L2855" s="1656"/>
      <c r="M2855" s="1656"/>
      <c r="N2855" s="1656"/>
      <c r="O2855" s="1656"/>
      <c r="X2855" s="768" t="b">
        <f t="shared" si="376"/>
        <v>0</v>
      </c>
    </row>
    <row r="2856" outlineLevel="2" spans="2:24">
      <c r="B2856" s="685" t="s">
        <v>4069</v>
      </c>
      <c r="C2856" s="693" t="str">
        <f t="shared" si="384"/>
        <v>深圳新阳蓝光能源管理科技股份有限公司</v>
      </c>
      <c r="D2856" s="1685" t="s">
        <v>4070</v>
      </c>
      <c r="E2856" s="1676" t="str">
        <f>'2.销售费用'!F27</f>
        <v>  运输费</v>
      </c>
      <c r="F2856" s="1676">
        <f>'2.销售费用'!H27</f>
        <v>0</v>
      </c>
      <c r="G2856" s="1676">
        <f>'2.销售费用'!I27</f>
        <v>0</v>
      </c>
      <c r="H2856" s="1676">
        <f t="shared" si="381"/>
        <v>0</v>
      </c>
      <c r="I2856" s="927">
        <f t="shared" si="382"/>
        <v>0</v>
      </c>
      <c r="J2856" s="1681"/>
      <c r="K2856" s="1656"/>
      <c r="L2856" s="1656"/>
      <c r="M2856" s="1656"/>
      <c r="N2856" s="1656"/>
      <c r="O2856" s="1656"/>
      <c r="X2856" s="768" t="b">
        <f t="shared" si="376"/>
        <v>0</v>
      </c>
    </row>
    <row r="2857" outlineLevel="2" spans="2:24">
      <c r="B2857" s="685" t="s">
        <v>4069</v>
      </c>
      <c r="C2857" s="693" t="str">
        <f t="shared" si="384"/>
        <v>深圳新阳蓝光能源管理科技股份有限公司</v>
      </c>
      <c r="D2857" s="1685" t="s">
        <v>4070</v>
      </c>
      <c r="E2857" s="1676" t="str">
        <f>'2.销售费用'!F28</f>
        <v>  维修检测费</v>
      </c>
      <c r="F2857" s="1676">
        <f>'2.销售费用'!H28</f>
        <v>0</v>
      </c>
      <c r="G2857" s="1676">
        <f>'2.销售费用'!I28</f>
        <v>0</v>
      </c>
      <c r="H2857" s="1676">
        <f t="shared" si="381"/>
        <v>0</v>
      </c>
      <c r="I2857" s="927">
        <f t="shared" si="382"/>
        <v>0</v>
      </c>
      <c r="J2857" s="1681"/>
      <c r="K2857" s="1656"/>
      <c r="L2857" s="1656"/>
      <c r="M2857" s="1656"/>
      <c r="N2857" s="1656"/>
      <c r="O2857" s="1656"/>
      <c r="X2857" s="768" t="b">
        <f t="shared" si="376"/>
        <v>0</v>
      </c>
    </row>
    <row r="2858" outlineLevel="2" spans="2:24">
      <c r="B2858" s="685" t="s">
        <v>4069</v>
      </c>
      <c r="C2858" s="693" t="str">
        <f t="shared" si="384"/>
        <v>深圳新阳蓝光能源管理科技股份有限公司</v>
      </c>
      <c r="D2858" s="1685" t="s">
        <v>4070</v>
      </c>
      <c r="E2858" s="1676" t="str">
        <f>'2.销售费用'!F29</f>
        <v>  服务费及佣金</v>
      </c>
      <c r="F2858" s="1676">
        <f>'2.销售费用'!H29</f>
        <v>0</v>
      </c>
      <c r="G2858" s="1676">
        <f>'2.销售费用'!I29</f>
        <v>0</v>
      </c>
      <c r="H2858" s="1676">
        <f t="shared" si="381"/>
        <v>0</v>
      </c>
      <c r="I2858" s="927">
        <f t="shared" si="382"/>
        <v>0</v>
      </c>
      <c r="J2858" s="1681"/>
      <c r="K2858" s="1656"/>
      <c r="L2858" s="1656"/>
      <c r="M2858" s="1656"/>
      <c r="N2858" s="1656"/>
      <c r="O2858" s="1656"/>
      <c r="X2858" s="768" t="b">
        <f t="shared" si="376"/>
        <v>0</v>
      </c>
    </row>
    <row r="2859" outlineLevel="2" spans="2:24">
      <c r="B2859" s="685" t="s">
        <v>4069</v>
      </c>
      <c r="C2859" s="693" t="str">
        <f t="shared" si="384"/>
        <v>深圳新阳蓝光能源管理科技股份有限公司</v>
      </c>
      <c r="D2859" s="1685" t="s">
        <v>4070</v>
      </c>
      <c r="E2859" s="1676" t="str">
        <f>'2.销售费用'!$F$33</f>
        <v>  中介费用</v>
      </c>
      <c r="F2859" s="1676">
        <f>'2.销售费用'!H33</f>
        <v>0</v>
      </c>
      <c r="G2859" s="1676">
        <f>'2.销售费用'!I33</f>
        <v>0</v>
      </c>
      <c r="H2859" s="1676">
        <f t="shared" si="381"/>
        <v>0</v>
      </c>
      <c r="I2859" s="927">
        <f t="shared" si="382"/>
        <v>0</v>
      </c>
      <c r="J2859" s="1681"/>
      <c r="K2859" s="1656"/>
      <c r="L2859" s="1656"/>
      <c r="M2859" s="1656"/>
      <c r="N2859" s="1656"/>
      <c r="O2859" s="1656"/>
      <c r="X2859" s="768" t="b">
        <f t="shared" si="376"/>
        <v>0</v>
      </c>
    </row>
    <row r="2860" outlineLevel="2" spans="2:24">
      <c r="B2860" s="685" t="s">
        <v>4069</v>
      </c>
      <c r="C2860" s="693" t="str">
        <f t="shared" si="384"/>
        <v>深圳新阳蓝光能源管理科技股份有限公司</v>
      </c>
      <c r="D2860" s="1685" t="s">
        <v>4070</v>
      </c>
      <c r="E2860" s="1676" t="str">
        <f>'2.销售费用'!F35</f>
        <v>  车辆费用</v>
      </c>
      <c r="F2860" s="1676">
        <f>'2.销售费用'!H35</f>
        <v>0</v>
      </c>
      <c r="G2860" s="1676">
        <f>'2.销售费用'!I35</f>
        <v>0</v>
      </c>
      <c r="H2860" s="1676">
        <f t="shared" si="381"/>
        <v>0</v>
      </c>
      <c r="I2860" s="927">
        <f t="shared" si="382"/>
        <v>0</v>
      </c>
      <c r="J2860" s="1681"/>
      <c r="K2860" s="1656"/>
      <c r="L2860" s="1656"/>
      <c r="M2860" s="1656"/>
      <c r="N2860" s="1656"/>
      <c r="O2860" s="1656"/>
      <c r="X2860" s="768" t="b">
        <f t="shared" si="376"/>
        <v>0</v>
      </c>
    </row>
    <row r="2861" outlineLevel="2" spans="2:24">
      <c r="B2861" s="685" t="s">
        <v>4069</v>
      </c>
      <c r="C2861" s="693" t="str">
        <f t="shared" si="384"/>
        <v>深圳新阳蓝光能源管理科技股份有限公司</v>
      </c>
      <c r="D2861" s="1685" t="s">
        <v>4070</v>
      </c>
      <c r="E2861" s="1676" t="str">
        <f>'2.销售费用'!F36</f>
        <v>  报关费</v>
      </c>
      <c r="F2861" s="1676">
        <f>'2.销售费用'!H36</f>
        <v>0</v>
      </c>
      <c r="G2861" s="1676">
        <f>'2.销售费用'!I36</f>
        <v>0</v>
      </c>
      <c r="H2861" s="1676">
        <f t="shared" si="381"/>
        <v>0</v>
      </c>
      <c r="I2861" s="927">
        <f t="shared" si="382"/>
        <v>0</v>
      </c>
      <c r="J2861" s="1681"/>
      <c r="K2861" s="1656"/>
      <c r="L2861" s="1656"/>
      <c r="M2861" s="1656"/>
      <c r="N2861" s="1656"/>
      <c r="O2861" s="1656"/>
      <c r="X2861" s="768" t="b">
        <f t="shared" si="376"/>
        <v>0</v>
      </c>
    </row>
    <row r="2862" outlineLevel="2" collapsed="1" spans="2:24">
      <c r="B2862" s="685"/>
      <c r="C2862" s="745"/>
      <c r="D2862" s="1685"/>
      <c r="E2862" s="1676" t="str">
        <f>'2.销售费用'!F37</f>
        <v>  其他销售费用</v>
      </c>
      <c r="F2862" s="1676">
        <f>'2.销售费用'!H37</f>
        <v>0</v>
      </c>
      <c r="G2862" s="1676">
        <f>'2.销售费用'!I37</f>
        <v>0</v>
      </c>
      <c r="H2862" s="1676">
        <f t="shared" si="381"/>
        <v>0</v>
      </c>
      <c r="I2862" s="927">
        <f t="shared" si="382"/>
        <v>0</v>
      </c>
      <c r="J2862" s="1681"/>
      <c r="K2862" s="1656"/>
      <c r="L2862" s="1656"/>
      <c r="M2862" s="1656"/>
      <c r="N2862" s="1656"/>
      <c r="O2862" s="1656"/>
      <c r="X2862" s="769"/>
    </row>
    <row r="2863" hidden="1" outlineLevel="3" spans="2:24">
      <c r="B2863" s="685"/>
      <c r="C2863" s="745"/>
      <c r="D2863" s="1685"/>
      <c r="E2863" s="1677"/>
      <c r="F2863" s="721"/>
      <c r="G2863" s="721"/>
      <c r="H2863" s="1676">
        <f t="shared" si="381"/>
        <v>0</v>
      </c>
      <c r="I2863" s="927">
        <f t="shared" si="382"/>
        <v>0</v>
      </c>
      <c r="J2863" s="1681"/>
      <c r="K2863" s="1656"/>
      <c r="L2863" s="1656"/>
      <c r="M2863" s="1656"/>
      <c r="N2863" s="1656"/>
      <c r="O2863" s="1656"/>
      <c r="X2863" s="769"/>
    </row>
    <row r="2864" hidden="1" outlineLevel="3" spans="2:24">
      <c r="B2864" s="685"/>
      <c r="C2864" s="745"/>
      <c r="D2864" s="1685"/>
      <c r="E2864" s="1677"/>
      <c r="F2864" s="721"/>
      <c r="G2864" s="721"/>
      <c r="H2864" s="1676">
        <f t="shared" si="381"/>
        <v>0</v>
      </c>
      <c r="I2864" s="927">
        <f t="shared" si="382"/>
        <v>0</v>
      </c>
      <c r="J2864" s="1681"/>
      <c r="K2864" s="1656"/>
      <c r="L2864" s="1656"/>
      <c r="M2864" s="1656"/>
      <c r="N2864" s="1656"/>
      <c r="O2864" s="1656"/>
      <c r="X2864" s="769"/>
    </row>
    <row r="2865" hidden="1" outlineLevel="3" spans="2:24">
      <c r="B2865" s="685"/>
      <c r="C2865" s="745"/>
      <c r="D2865" s="1685"/>
      <c r="E2865" s="1677"/>
      <c r="F2865" s="721"/>
      <c r="G2865" s="721"/>
      <c r="H2865" s="1676">
        <f t="shared" si="381"/>
        <v>0</v>
      </c>
      <c r="I2865" s="927">
        <f t="shared" si="382"/>
        <v>0</v>
      </c>
      <c r="J2865" s="1681"/>
      <c r="K2865" s="1656"/>
      <c r="L2865" s="1656"/>
      <c r="M2865" s="1656"/>
      <c r="N2865" s="1656"/>
      <c r="O2865" s="1656"/>
      <c r="X2865" s="769"/>
    </row>
    <row r="2866" hidden="1" outlineLevel="3" spans="2:24">
      <c r="B2866" s="685"/>
      <c r="C2866" s="745"/>
      <c r="D2866" s="1685"/>
      <c r="E2866" s="1677"/>
      <c r="F2866" s="721"/>
      <c r="G2866" s="721"/>
      <c r="H2866" s="1676">
        <f t="shared" si="381"/>
        <v>0</v>
      </c>
      <c r="I2866" s="927">
        <f t="shared" si="382"/>
        <v>0</v>
      </c>
      <c r="J2866" s="1681"/>
      <c r="K2866" s="1656"/>
      <c r="L2866" s="1656"/>
      <c r="M2866" s="1656"/>
      <c r="N2866" s="1656"/>
      <c r="O2866" s="1656"/>
      <c r="X2866" s="769"/>
    </row>
    <row r="2867" hidden="1" outlineLevel="3" spans="2:24">
      <c r="B2867" s="685"/>
      <c r="C2867" s="745"/>
      <c r="D2867" s="1685"/>
      <c r="E2867" s="1677"/>
      <c r="F2867" s="721"/>
      <c r="G2867" s="721"/>
      <c r="H2867" s="1676">
        <f t="shared" si="381"/>
        <v>0</v>
      </c>
      <c r="I2867" s="927">
        <f t="shared" si="382"/>
        <v>0</v>
      </c>
      <c r="J2867" s="1681"/>
      <c r="K2867" s="1656"/>
      <c r="L2867" s="1656"/>
      <c r="M2867" s="1656"/>
      <c r="N2867" s="1656"/>
      <c r="O2867" s="1656"/>
      <c r="X2867" s="769"/>
    </row>
    <row r="2868" hidden="1" outlineLevel="3" spans="2:24">
      <c r="B2868" s="685"/>
      <c r="C2868" s="745"/>
      <c r="D2868" s="1685"/>
      <c r="E2868" s="1677"/>
      <c r="F2868" s="721"/>
      <c r="G2868" s="721"/>
      <c r="H2868" s="1676">
        <f t="shared" si="381"/>
        <v>0</v>
      </c>
      <c r="I2868" s="927">
        <f t="shared" si="382"/>
        <v>0</v>
      </c>
      <c r="J2868" s="1681"/>
      <c r="K2868" s="1656"/>
      <c r="L2868" s="1656"/>
      <c r="M2868" s="1656"/>
      <c r="N2868" s="1656"/>
      <c r="O2868" s="1656"/>
      <c r="X2868" s="769"/>
    </row>
    <row r="2869" hidden="1" outlineLevel="3" spans="2:24">
      <c r="B2869" s="685"/>
      <c r="C2869" s="745"/>
      <c r="D2869" s="1685"/>
      <c r="E2869" s="1677"/>
      <c r="F2869" s="721"/>
      <c r="G2869" s="721"/>
      <c r="H2869" s="1676">
        <f t="shared" si="381"/>
        <v>0</v>
      </c>
      <c r="I2869" s="927">
        <f t="shared" si="382"/>
        <v>0</v>
      </c>
      <c r="J2869" s="1681"/>
      <c r="K2869" s="1656"/>
      <c r="L2869" s="1656"/>
      <c r="M2869" s="1656"/>
      <c r="N2869" s="1656"/>
      <c r="O2869" s="1656"/>
      <c r="X2869" s="769"/>
    </row>
    <row r="2870" hidden="1" outlineLevel="3" spans="2:24">
      <c r="B2870" s="685"/>
      <c r="C2870" s="745"/>
      <c r="D2870" s="1685"/>
      <c r="E2870" s="1677"/>
      <c r="F2870" s="721"/>
      <c r="G2870" s="721"/>
      <c r="H2870" s="1676">
        <f t="shared" si="381"/>
        <v>0</v>
      </c>
      <c r="I2870" s="927">
        <f t="shared" si="382"/>
        <v>0</v>
      </c>
      <c r="J2870" s="1681"/>
      <c r="K2870" s="1656"/>
      <c r="L2870" s="1656"/>
      <c r="M2870" s="1656"/>
      <c r="N2870" s="1656"/>
      <c r="O2870" s="1656"/>
      <c r="X2870" s="769"/>
    </row>
    <row r="2871" hidden="1" outlineLevel="3" spans="2:24">
      <c r="B2871" s="685"/>
      <c r="C2871" s="745"/>
      <c r="D2871" s="1685"/>
      <c r="E2871" s="1677"/>
      <c r="F2871" s="721"/>
      <c r="G2871" s="721"/>
      <c r="H2871" s="1676">
        <f t="shared" si="381"/>
        <v>0</v>
      </c>
      <c r="I2871" s="927">
        <f t="shared" si="382"/>
        <v>0</v>
      </c>
      <c r="J2871" s="1681"/>
      <c r="K2871" s="1656"/>
      <c r="L2871" s="1656"/>
      <c r="M2871" s="1656"/>
      <c r="N2871" s="1656"/>
      <c r="O2871" s="1656"/>
      <c r="X2871" s="769"/>
    </row>
    <row r="2872" hidden="1" outlineLevel="3" spans="2:24">
      <c r="B2872" s="685"/>
      <c r="C2872" s="745"/>
      <c r="D2872" s="1685"/>
      <c r="E2872" s="1677"/>
      <c r="F2872" s="721"/>
      <c r="G2872" s="721"/>
      <c r="H2872" s="1676">
        <f t="shared" si="381"/>
        <v>0</v>
      </c>
      <c r="I2872" s="927">
        <f t="shared" si="382"/>
        <v>0</v>
      </c>
      <c r="J2872" s="1681"/>
      <c r="K2872" s="1656"/>
      <c r="L2872" s="1656"/>
      <c r="M2872" s="1656"/>
      <c r="N2872" s="1656"/>
      <c r="O2872" s="1656"/>
      <c r="X2872" s="769"/>
    </row>
    <row r="2873" hidden="1" outlineLevel="3" spans="2:24">
      <c r="B2873" s="685"/>
      <c r="C2873" s="745"/>
      <c r="D2873" s="1685"/>
      <c r="E2873" s="1677"/>
      <c r="F2873" s="721"/>
      <c r="G2873" s="721"/>
      <c r="H2873" s="1676">
        <f t="shared" si="381"/>
        <v>0</v>
      </c>
      <c r="I2873" s="927">
        <f t="shared" si="382"/>
        <v>0</v>
      </c>
      <c r="J2873" s="1681"/>
      <c r="K2873" s="1656"/>
      <c r="L2873" s="1656"/>
      <c r="M2873" s="1656"/>
      <c r="N2873" s="1656"/>
      <c r="O2873" s="1656"/>
      <c r="X2873" s="769"/>
    </row>
    <row r="2874" hidden="1" outlineLevel="3" spans="2:24">
      <c r="B2874" s="685" t="s">
        <v>4069</v>
      </c>
      <c r="C2874" s="693" t="str">
        <f>$G$1</f>
        <v>深圳新阳蓝光能源管理科技股份有限公司</v>
      </c>
      <c r="D2874" s="1685" t="s">
        <v>4070</v>
      </c>
      <c r="E2874" s="1677"/>
      <c r="F2874" s="721"/>
      <c r="G2874" s="721"/>
      <c r="H2874" s="1676">
        <f t="shared" si="381"/>
        <v>0</v>
      </c>
      <c r="I2874" s="927">
        <f t="shared" si="382"/>
        <v>0</v>
      </c>
      <c r="J2874" s="1681"/>
      <c r="K2874" s="1656"/>
      <c r="L2874" s="1656"/>
      <c r="M2874" s="1656"/>
      <c r="N2874" s="1656"/>
      <c r="O2874" s="1656"/>
      <c r="X2874" s="768" t="b">
        <f t="shared" si="376"/>
        <v>1</v>
      </c>
    </row>
    <row r="2875" hidden="1" outlineLevel="3" spans="2:24">
      <c r="B2875" s="685"/>
      <c r="C2875" s="745"/>
      <c r="D2875" s="1685"/>
      <c r="E2875" s="1677"/>
      <c r="F2875" s="721"/>
      <c r="G2875" s="721"/>
      <c r="H2875" s="1676">
        <f t="shared" si="381"/>
        <v>0</v>
      </c>
      <c r="I2875" s="927">
        <f t="shared" si="382"/>
        <v>0</v>
      </c>
      <c r="J2875" s="1681"/>
      <c r="K2875" s="1656"/>
      <c r="L2875" s="1656"/>
      <c r="M2875" s="1656"/>
      <c r="N2875" s="1656"/>
      <c r="O2875" s="1656"/>
      <c r="X2875" s="769"/>
    </row>
    <row r="2876" hidden="1" outlineLevel="3" spans="2:24">
      <c r="B2876" s="685"/>
      <c r="C2876" s="745"/>
      <c r="D2876" s="1685"/>
      <c r="E2876" s="1677"/>
      <c r="F2876" s="721"/>
      <c r="G2876" s="721"/>
      <c r="H2876" s="1676">
        <f t="shared" si="381"/>
        <v>0</v>
      </c>
      <c r="I2876" s="927">
        <f t="shared" si="382"/>
        <v>0</v>
      </c>
      <c r="J2876" s="1681"/>
      <c r="K2876" s="1656"/>
      <c r="L2876" s="1656"/>
      <c r="M2876" s="1656"/>
      <c r="N2876" s="1656"/>
      <c r="O2876" s="1656"/>
      <c r="X2876" s="769"/>
    </row>
    <row r="2877" hidden="1" outlineLevel="3" spans="2:24">
      <c r="B2877" s="685" t="s">
        <v>4069</v>
      </c>
      <c r="C2877" s="693" t="str">
        <f t="shared" ref="C2877:C2893" si="385">$G$1</f>
        <v>深圳新阳蓝光能源管理科技股份有限公司</v>
      </c>
      <c r="D2877" s="1685" t="s">
        <v>4070</v>
      </c>
      <c r="E2877" s="1690"/>
      <c r="F2877" s="721"/>
      <c r="G2877" s="721"/>
      <c r="H2877" s="1676">
        <f t="shared" si="381"/>
        <v>0</v>
      </c>
      <c r="I2877" s="927">
        <f t="shared" si="382"/>
        <v>0</v>
      </c>
      <c r="J2877" s="1681"/>
      <c r="K2877" s="1656"/>
      <c r="L2877" s="1656"/>
      <c r="M2877" s="1656"/>
      <c r="N2877" s="1656"/>
      <c r="O2877" s="1656"/>
      <c r="X2877" s="768" t="b">
        <f t="shared" si="376"/>
        <v>1</v>
      </c>
    </row>
    <row r="2878" hidden="1" outlineLevel="3" spans="2:24">
      <c r="B2878" s="685" t="s">
        <v>4069</v>
      </c>
      <c r="C2878" s="693" t="str">
        <f t="shared" si="385"/>
        <v>深圳新阳蓝光能源管理科技股份有限公司</v>
      </c>
      <c r="D2878" s="1685" t="s">
        <v>4070</v>
      </c>
      <c r="E2878" s="1691"/>
      <c r="F2878" s="721"/>
      <c r="G2878" s="721"/>
      <c r="H2878" s="1676">
        <f t="shared" si="381"/>
        <v>0</v>
      </c>
      <c r="I2878" s="927">
        <f t="shared" si="382"/>
        <v>0</v>
      </c>
      <c r="J2878" s="1681"/>
      <c r="K2878" s="1656"/>
      <c r="L2878" s="1656"/>
      <c r="M2878" s="1656"/>
      <c r="N2878" s="1656"/>
      <c r="O2878" s="1656"/>
      <c r="X2878" s="768" t="b">
        <f t="shared" si="376"/>
        <v>1</v>
      </c>
    </row>
    <row r="2879" hidden="1" outlineLevel="3" spans="2:24">
      <c r="B2879" s="685" t="s">
        <v>4069</v>
      </c>
      <c r="C2879" s="693" t="str">
        <f t="shared" si="385"/>
        <v>深圳新阳蓝光能源管理科技股份有限公司</v>
      </c>
      <c r="D2879" s="1685" t="s">
        <v>4070</v>
      </c>
      <c r="E2879" s="753"/>
      <c r="F2879" s="721"/>
      <c r="G2879" s="721"/>
      <c r="H2879" s="1676">
        <f t="shared" si="381"/>
        <v>0</v>
      </c>
      <c r="I2879" s="927">
        <f t="shared" si="382"/>
        <v>0</v>
      </c>
      <c r="J2879" s="1681"/>
      <c r="K2879" s="1656"/>
      <c r="L2879" s="1656"/>
      <c r="M2879" s="1656"/>
      <c r="N2879" s="1656"/>
      <c r="O2879" s="1656"/>
      <c r="X2879" s="768" t="b">
        <f t="shared" si="376"/>
        <v>1</v>
      </c>
    </row>
    <row r="2880" hidden="1" outlineLevel="3" spans="2:24">
      <c r="B2880" s="685" t="s">
        <v>4069</v>
      </c>
      <c r="C2880" s="693" t="str">
        <f t="shared" si="385"/>
        <v>深圳新阳蓝光能源管理科技股份有限公司</v>
      </c>
      <c r="D2880" s="1685" t="s">
        <v>4070</v>
      </c>
      <c r="E2880" s="753"/>
      <c r="F2880" s="721"/>
      <c r="G2880" s="721"/>
      <c r="H2880" s="1676">
        <f t="shared" si="381"/>
        <v>0</v>
      </c>
      <c r="I2880" s="927">
        <f t="shared" si="382"/>
        <v>0</v>
      </c>
      <c r="J2880" s="1681"/>
      <c r="K2880" s="1656"/>
      <c r="L2880" s="1656"/>
      <c r="M2880" s="1656"/>
      <c r="N2880" s="1656"/>
      <c r="O2880" s="1656"/>
      <c r="X2880" s="768" t="b">
        <f t="shared" si="376"/>
        <v>1</v>
      </c>
    </row>
    <row r="2881" hidden="1" outlineLevel="3" spans="2:24">
      <c r="B2881" s="685" t="s">
        <v>4069</v>
      </c>
      <c r="C2881" s="693" t="str">
        <f t="shared" si="385"/>
        <v>深圳新阳蓝光能源管理科技股份有限公司</v>
      </c>
      <c r="D2881" s="1685" t="s">
        <v>4070</v>
      </c>
      <c r="E2881" s="753"/>
      <c r="F2881" s="721"/>
      <c r="G2881" s="721"/>
      <c r="H2881" s="1676">
        <f t="shared" si="381"/>
        <v>0</v>
      </c>
      <c r="I2881" s="927">
        <f t="shared" si="382"/>
        <v>0</v>
      </c>
      <c r="J2881" s="1681"/>
      <c r="K2881" s="1656"/>
      <c r="L2881" s="1656"/>
      <c r="M2881" s="1656"/>
      <c r="N2881" s="1656"/>
      <c r="O2881" s="1656"/>
      <c r="X2881" s="768" t="b">
        <f t="shared" ref="X2881:X2947" si="386">EXACT(A2881,E2881)</f>
        <v>1</v>
      </c>
    </row>
    <row r="2882" hidden="1" outlineLevel="3" spans="2:24">
      <c r="B2882" s="685" t="s">
        <v>4069</v>
      </c>
      <c r="C2882" s="693" t="str">
        <f t="shared" si="385"/>
        <v>深圳新阳蓝光能源管理科技股份有限公司</v>
      </c>
      <c r="D2882" s="1685" t="s">
        <v>4070</v>
      </c>
      <c r="E2882" s="753"/>
      <c r="F2882" s="721"/>
      <c r="G2882" s="721"/>
      <c r="H2882" s="1676">
        <f t="shared" si="381"/>
        <v>0</v>
      </c>
      <c r="I2882" s="927">
        <f t="shared" si="382"/>
        <v>0</v>
      </c>
      <c r="J2882" s="1681"/>
      <c r="K2882" s="1656"/>
      <c r="L2882" s="1656"/>
      <c r="M2882" s="1656"/>
      <c r="N2882" s="1656"/>
      <c r="O2882" s="1656"/>
      <c r="X2882" s="768" t="b">
        <f t="shared" si="386"/>
        <v>1</v>
      </c>
    </row>
    <row r="2883" hidden="1" outlineLevel="3" spans="2:24">
      <c r="B2883" s="685" t="s">
        <v>4069</v>
      </c>
      <c r="C2883" s="693" t="str">
        <f t="shared" si="385"/>
        <v>深圳新阳蓝光能源管理科技股份有限公司</v>
      </c>
      <c r="D2883" s="1685" t="s">
        <v>4070</v>
      </c>
      <c r="E2883" s="753"/>
      <c r="F2883" s="721"/>
      <c r="G2883" s="721"/>
      <c r="H2883" s="1676">
        <f t="shared" si="381"/>
        <v>0</v>
      </c>
      <c r="I2883" s="927">
        <f t="shared" si="382"/>
        <v>0</v>
      </c>
      <c r="J2883" s="1681"/>
      <c r="K2883" s="1656"/>
      <c r="L2883" s="1656"/>
      <c r="M2883" s="1656"/>
      <c r="N2883" s="1656"/>
      <c r="O2883" s="1656"/>
      <c r="X2883" s="768" t="b">
        <f t="shared" si="386"/>
        <v>1</v>
      </c>
    </row>
    <row r="2884" outlineLevel="2" spans="1:24">
      <c r="A2884" s="1650" t="s">
        <v>2021</v>
      </c>
      <c r="B2884" s="685" t="s">
        <v>4069</v>
      </c>
      <c r="C2884" s="693" t="str">
        <f t="shared" si="385"/>
        <v>深圳新阳蓝光能源管理科技股份有限公司</v>
      </c>
      <c r="D2884" s="1685" t="s">
        <v>4070</v>
      </c>
      <c r="E2884" s="1683" t="s">
        <v>2021</v>
      </c>
      <c r="F2884" s="1676">
        <f>F2847+F2838+F2837+F2836+F2825</f>
        <v>0</v>
      </c>
      <c r="G2884" s="1676">
        <f>G2847+G2838+G2837+G2836+G2825</f>
        <v>0</v>
      </c>
      <c r="H2884" s="1676">
        <f t="shared" si="381"/>
        <v>0</v>
      </c>
      <c r="I2884" s="927">
        <f t="shared" si="382"/>
        <v>0</v>
      </c>
      <c r="J2884" s="1692"/>
      <c r="K2884" s="1656"/>
      <c r="L2884" s="1656"/>
      <c r="M2884" s="1656"/>
      <c r="N2884" s="1656"/>
      <c r="O2884" s="1656"/>
      <c r="X2884" s="768" t="b">
        <f t="shared" si="386"/>
        <v>1</v>
      </c>
    </row>
    <row r="2885" outlineLevel="2" spans="1:24">
      <c r="A2885" s="1650" t="s">
        <v>1723</v>
      </c>
      <c r="B2885" s="685" t="s">
        <v>4069</v>
      </c>
      <c r="C2885" s="693" t="str">
        <f t="shared" si="385"/>
        <v>深圳新阳蓝光能源管理科技股份有限公司</v>
      </c>
      <c r="D2885" s="1685" t="s">
        <v>4070</v>
      </c>
      <c r="E2885" s="1633" t="s">
        <v>1723</v>
      </c>
      <c r="F2885" s="1684">
        <f>审定利润表!C9</f>
        <v>11918966.31</v>
      </c>
      <c r="G2885" s="1684">
        <f>审定利润表!D9</f>
        <v>11911652.27</v>
      </c>
      <c r="H2885" s="1670"/>
      <c r="I2885" s="1693"/>
      <c r="J2885" s="1694"/>
      <c r="K2885" s="1656"/>
      <c r="L2885" s="1656"/>
      <c r="M2885" s="1656"/>
      <c r="N2885" s="1656"/>
      <c r="O2885" s="1656"/>
      <c r="X2885" s="768" t="b">
        <f t="shared" si="386"/>
        <v>1</v>
      </c>
    </row>
    <row r="2886" outlineLevel="2" spans="1:24">
      <c r="A2886" s="1650" t="s">
        <v>1395</v>
      </c>
      <c r="B2886" s="685" t="s">
        <v>4069</v>
      </c>
      <c r="C2886" s="693" t="str">
        <f t="shared" si="385"/>
        <v>深圳新阳蓝光能源管理科技股份有限公司</v>
      </c>
      <c r="D2886" s="1685" t="s">
        <v>4070</v>
      </c>
      <c r="E2886" s="1633" t="s">
        <v>1395</v>
      </c>
      <c r="F2886" s="1007">
        <f>ROUND(F2884-F2885,2)</f>
        <v>-11918966.31</v>
      </c>
      <c r="G2886" s="1007">
        <f>ROUND(G2884-G2885,2)</f>
        <v>-11911652.27</v>
      </c>
      <c r="H2886" s="1670"/>
      <c r="I2886" s="1693"/>
      <c r="J2886" s="1694"/>
      <c r="K2886" s="1656"/>
      <c r="L2886" s="1656"/>
      <c r="M2886" s="1656"/>
      <c r="N2886" s="1656"/>
      <c r="O2886" s="1656"/>
      <c r="X2886" s="768" t="b">
        <f t="shared" si="386"/>
        <v>1</v>
      </c>
    </row>
    <row r="2887" outlineLevel="2" spans="1:24">
      <c r="A2887" s="1650" t="s">
        <v>4091</v>
      </c>
      <c r="B2887" s="685" t="s">
        <v>4092</v>
      </c>
      <c r="C2887" s="693" t="str">
        <f t="shared" si="385"/>
        <v>深圳新阳蓝光能源管理科技股份有限公司</v>
      </c>
      <c r="D2887" s="1651" t="s">
        <v>4093</v>
      </c>
      <c r="E2887" s="1233" t="s">
        <v>4094</v>
      </c>
      <c r="F2887" s="1233"/>
      <c r="G2887" s="1233"/>
      <c r="H2887" s="1656"/>
      <c r="I2887" s="1656"/>
      <c r="J2887" s="1656"/>
      <c r="K2887" s="1656"/>
      <c r="L2887" s="1656"/>
      <c r="M2887" s="1656"/>
      <c r="N2887" s="1656"/>
      <c r="O2887" s="1656"/>
      <c r="X2887" s="768" t="b">
        <f t="shared" si="386"/>
        <v>0</v>
      </c>
    </row>
    <row r="2888" outlineLevel="2" spans="1:24">
      <c r="A2888" s="1650" t="s">
        <v>61</v>
      </c>
      <c r="B2888" s="685" t="s">
        <v>4092</v>
      </c>
      <c r="C2888" s="693" t="str">
        <f t="shared" si="385"/>
        <v>深圳新阳蓝光能源管理科技股份有限公司</v>
      </c>
      <c r="D2888" s="1651" t="s">
        <v>4093</v>
      </c>
      <c r="E2888" s="1659" t="s">
        <v>61</v>
      </c>
      <c r="F2888" s="1659" t="s">
        <v>2347</v>
      </c>
      <c r="G2888" s="1659" t="s">
        <v>2351</v>
      </c>
      <c r="H2888" s="1670"/>
      <c r="I2888" s="1670"/>
      <c r="J2888" s="1670"/>
      <c r="K2888" s="1656"/>
      <c r="L2888" s="1656"/>
      <c r="M2888" s="1656"/>
      <c r="N2888" s="1656"/>
      <c r="O2888" s="1656"/>
      <c r="X2888" s="768" t="b">
        <f t="shared" si="386"/>
        <v>1</v>
      </c>
    </row>
    <row r="2889" outlineLevel="2" spans="1:24">
      <c r="A2889" s="1650" t="s">
        <v>4033</v>
      </c>
      <c r="B2889" s="685" t="s">
        <v>4092</v>
      </c>
      <c r="C2889" s="693" t="str">
        <f t="shared" si="385"/>
        <v>深圳新阳蓝光能源管理科技股份有限公司</v>
      </c>
      <c r="D2889" s="1651" t="s">
        <v>4093</v>
      </c>
      <c r="E2889" s="1695" t="s">
        <v>207</v>
      </c>
      <c r="F2889" s="1675">
        <f>SUM(F2890:F2899)</f>
        <v>10581538.89</v>
      </c>
      <c r="G2889" s="1675">
        <f>SUM(G2890:G2899)</f>
        <v>0</v>
      </c>
      <c r="H2889" s="1670"/>
      <c r="I2889" s="1670"/>
      <c r="J2889" s="1670"/>
      <c r="K2889" s="1656"/>
      <c r="L2889" s="1656"/>
      <c r="M2889" s="1656"/>
      <c r="N2889" s="1656"/>
      <c r="O2889" s="1656"/>
      <c r="X2889" s="768" t="b">
        <f t="shared" si="386"/>
        <v>0</v>
      </c>
    </row>
    <row r="2890" outlineLevel="2" spans="1:24">
      <c r="A2890" s="1650" t="s">
        <v>4034</v>
      </c>
      <c r="B2890" s="685" t="s">
        <v>4092</v>
      </c>
      <c r="C2890" s="693" t="str">
        <f t="shared" si="385"/>
        <v>深圳新阳蓝光能源管理科技股份有限公司</v>
      </c>
      <c r="D2890" s="1651" t="s">
        <v>4093</v>
      </c>
      <c r="E2890" s="1690" t="s">
        <v>4035</v>
      </c>
      <c r="F2890" s="721">
        <f>I2890+I2891+I2892</f>
        <v>10581538.89</v>
      </c>
      <c r="G2890" s="721"/>
      <c r="H2890" s="1696" t="s">
        <v>1683</v>
      </c>
      <c r="I2890" s="1670">
        <v>2366350.84</v>
      </c>
      <c r="J2890" s="1670"/>
      <c r="K2890" s="1669"/>
      <c r="L2890" s="1656"/>
      <c r="M2890" s="1656"/>
      <c r="N2890" s="1656"/>
      <c r="O2890" s="1656"/>
      <c r="X2890" s="768" t="b">
        <f t="shared" si="386"/>
        <v>0</v>
      </c>
    </row>
    <row r="2891" outlineLevel="2" spans="1:24">
      <c r="A2891" s="1650" t="s">
        <v>4036</v>
      </c>
      <c r="B2891" s="685" t="s">
        <v>4092</v>
      </c>
      <c r="C2891" s="693" t="str">
        <f t="shared" si="385"/>
        <v>深圳新阳蓝光能源管理科技股份有限公司</v>
      </c>
      <c r="D2891" s="1651" t="s">
        <v>4093</v>
      </c>
      <c r="E2891" s="1690" t="s">
        <v>4037</v>
      </c>
      <c r="F2891" s="721"/>
      <c r="G2891" s="721"/>
      <c r="H2891" s="1696" t="s">
        <v>1654</v>
      </c>
      <c r="I2891" s="1670">
        <f>7284037.43-500000</f>
        <v>6784037.43</v>
      </c>
      <c r="J2891" s="1670"/>
      <c r="K2891" s="1669"/>
      <c r="L2891" s="1656"/>
      <c r="M2891" s="1656"/>
      <c r="N2891" s="1656"/>
      <c r="O2891" s="1656"/>
      <c r="X2891" s="768" t="b">
        <f t="shared" si="386"/>
        <v>0</v>
      </c>
    </row>
    <row r="2892" outlineLevel="2" spans="1:24">
      <c r="A2892" s="1650" t="s">
        <v>4041</v>
      </c>
      <c r="B2892" s="685" t="s">
        <v>4092</v>
      </c>
      <c r="C2892" s="693" t="str">
        <f t="shared" si="385"/>
        <v>深圳新阳蓝光能源管理科技股份有限公司</v>
      </c>
      <c r="D2892" s="1651" t="s">
        <v>4093</v>
      </c>
      <c r="E2892" s="1690" t="s">
        <v>4038</v>
      </c>
      <c r="F2892" s="721"/>
      <c r="G2892" s="721"/>
      <c r="H2892" s="1696" t="s">
        <v>1687</v>
      </c>
      <c r="I2892" s="1670">
        <v>1431150.62</v>
      </c>
      <c r="J2892" s="1670"/>
      <c r="K2892" s="1669"/>
      <c r="L2892" s="1656"/>
      <c r="M2892" s="1656"/>
      <c r="N2892" s="1656"/>
      <c r="O2892" s="1656"/>
      <c r="X2892" s="768" t="b">
        <f t="shared" si="386"/>
        <v>0</v>
      </c>
    </row>
    <row r="2893" outlineLevel="2" spans="1:24">
      <c r="A2893" s="1650" t="s">
        <v>4043</v>
      </c>
      <c r="B2893" s="685" t="s">
        <v>4092</v>
      </c>
      <c r="C2893" s="693" t="str">
        <f t="shared" si="385"/>
        <v>深圳新阳蓝光能源管理科技股份有限公司</v>
      </c>
      <c r="D2893" s="1651" t="s">
        <v>4093</v>
      </c>
      <c r="E2893" s="1690" t="s">
        <v>4039</v>
      </c>
      <c r="F2893" s="721"/>
      <c r="G2893" s="721"/>
      <c r="H2893" s="1670"/>
      <c r="I2893" s="1670"/>
      <c r="J2893" s="1670"/>
      <c r="K2893" s="1656"/>
      <c r="L2893" s="1656"/>
      <c r="M2893" s="1656"/>
      <c r="N2893" s="1656"/>
      <c r="O2893" s="1656"/>
      <c r="X2893" s="768" t="b">
        <f t="shared" si="386"/>
        <v>0</v>
      </c>
    </row>
    <row r="2894" outlineLevel="2" spans="2:24">
      <c r="B2894" s="685"/>
      <c r="C2894" s="745"/>
      <c r="D2894" s="1651"/>
      <c r="E2894" s="1690" t="s">
        <v>4040</v>
      </c>
      <c r="F2894" s="721"/>
      <c r="G2894" s="721"/>
      <c r="H2894" s="1670"/>
      <c r="I2894" s="1670"/>
      <c r="J2894" s="1670"/>
      <c r="K2894" s="1656"/>
      <c r="L2894" s="1656"/>
      <c r="M2894" s="1656"/>
      <c r="N2894" s="1656"/>
      <c r="O2894" s="1656"/>
      <c r="X2894" s="769"/>
    </row>
    <row r="2895" outlineLevel="2" spans="2:24">
      <c r="B2895" s="685"/>
      <c r="C2895" s="745"/>
      <c r="D2895" s="1651"/>
      <c r="E2895" s="1690" t="s">
        <v>4042</v>
      </c>
      <c r="F2895" s="721"/>
      <c r="G2895" s="721"/>
      <c r="H2895" s="1670"/>
      <c r="I2895" s="1670"/>
      <c r="J2895" s="1670"/>
      <c r="K2895" s="1656"/>
      <c r="L2895" s="1656"/>
      <c r="M2895" s="1656"/>
      <c r="N2895" s="1656"/>
      <c r="O2895" s="1656"/>
      <c r="X2895" s="769"/>
    </row>
    <row r="2896" outlineLevel="2" spans="2:24">
      <c r="B2896" s="685"/>
      <c r="C2896" s="745"/>
      <c r="D2896" s="1651"/>
      <c r="E2896" s="1323" t="s">
        <v>4044</v>
      </c>
      <c r="F2896" s="721"/>
      <c r="G2896" s="721"/>
      <c r="H2896" s="1670"/>
      <c r="I2896" s="1670"/>
      <c r="J2896" s="1670"/>
      <c r="K2896" s="1656"/>
      <c r="L2896" s="1656"/>
      <c r="M2896" s="1656"/>
      <c r="N2896" s="1656"/>
      <c r="O2896" s="1656"/>
      <c r="X2896" s="769"/>
    </row>
    <row r="2897" outlineLevel="2" spans="1:24">
      <c r="A2897" s="1650" t="s">
        <v>4045</v>
      </c>
      <c r="B2897" s="685" t="s">
        <v>4092</v>
      </c>
      <c r="C2897" s="693" t="str">
        <f t="shared" ref="C2897:C2960" si="387">$G$1</f>
        <v>深圳新阳蓝光能源管理科技股份有限公司</v>
      </c>
      <c r="D2897" s="1651" t="s">
        <v>4093</v>
      </c>
      <c r="E2897" s="1690" t="s">
        <v>4046</v>
      </c>
      <c r="F2897" s="721"/>
      <c r="G2897" s="721"/>
      <c r="H2897" s="1670"/>
      <c r="I2897" s="1670"/>
      <c r="J2897" s="1670"/>
      <c r="K2897" s="1656"/>
      <c r="L2897" s="1656"/>
      <c r="M2897" s="1656"/>
      <c r="N2897" s="1656"/>
      <c r="O2897" s="1656"/>
      <c r="X2897" s="768" t="b">
        <f t="shared" si="386"/>
        <v>0</v>
      </c>
    </row>
    <row r="2898" outlineLevel="2" spans="1:24">
      <c r="A2898" s="1650" t="s">
        <v>4047</v>
      </c>
      <c r="B2898" s="685" t="s">
        <v>4092</v>
      </c>
      <c r="C2898" s="693" t="str">
        <f t="shared" si="387"/>
        <v>深圳新阳蓝光能源管理科技股份有限公司</v>
      </c>
      <c r="D2898" s="1651" t="s">
        <v>4093</v>
      </c>
      <c r="E2898" s="1323" t="s">
        <v>4048</v>
      </c>
      <c r="F2898" s="721"/>
      <c r="G2898" s="721"/>
      <c r="H2898" s="1670"/>
      <c r="I2898" s="1670"/>
      <c r="J2898" s="1670"/>
      <c r="K2898" s="1656"/>
      <c r="L2898" s="1656"/>
      <c r="M2898" s="1656"/>
      <c r="N2898" s="1656"/>
      <c r="O2898" s="1656"/>
      <c r="X2898" s="768" t="b">
        <f t="shared" si="386"/>
        <v>0</v>
      </c>
    </row>
    <row r="2899" outlineLevel="2" spans="1:24">
      <c r="A2899" s="1650" t="s">
        <v>4049</v>
      </c>
      <c r="B2899" s="685" t="s">
        <v>4092</v>
      </c>
      <c r="C2899" s="693" t="str">
        <f t="shared" si="387"/>
        <v>深圳新阳蓝光能源管理科技股份有限公司</v>
      </c>
      <c r="D2899" s="1651" t="s">
        <v>4093</v>
      </c>
      <c r="E2899" s="1323" t="s">
        <v>4050</v>
      </c>
      <c r="F2899" s="721"/>
      <c r="G2899" s="721"/>
      <c r="H2899" s="1670"/>
      <c r="I2899" s="1670"/>
      <c r="J2899" s="1670"/>
      <c r="K2899" s="1656"/>
      <c r="L2899" s="1656"/>
      <c r="M2899" s="1656"/>
      <c r="N2899" s="1656"/>
      <c r="O2899" s="1656"/>
      <c r="X2899" s="768" t="b">
        <f t="shared" si="386"/>
        <v>0</v>
      </c>
    </row>
    <row r="2900" outlineLevel="2" spans="1:24">
      <c r="A2900" s="1650" t="s">
        <v>4051</v>
      </c>
      <c r="B2900" s="685" t="s">
        <v>4092</v>
      </c>
      <c r="C2900" s="693" t="str">
        <f t="shared" si="387"/>
        <v>深圳新阳蓝光能源管理科技股份有限公司</v>
      </c>
      <c r="D2900" s="1651" t="s">
        <v>4093</v>
      </c>
      <c r="E2900" s="1674" t="s">
        <v>1698</v>
      </c>
      <c r="F2900" s="721">
        <f>I2900+I2901+I2902</f>
        <v>10725982.08</v>
      </c>
      <c r="G2900" s="721"/>
      <c r="H2900" s="1696" t="s">
        <v>1683</v>
      </c>
      <c r="I2900" s="1670">
        <v>118024.2</v>
      </c>
      <c r="J2900" s="1670"/>
      <c r="K2900" s="1656"/>
      <c r="L2900" s="1656"/>
      <c r="M2900" s="1656"/>
      <c r="N2900" s="1656"/>
      <c r="O2900" s="1656"/>
      <c r="X2900" s="768" t="b">
        <f t="shared" si="386"/>
        <v>0</v>
      </c>
    </row>
    <row r="2901" outlineLevel="2" spans="1:24">
      <c r="A2901" s="1650" t="s">
        <v>1699</v>
      </c>
      <c r="B2901" s="685" t="s">
        <v>4092</v>
      </c>
      <c r="C2901" s="693" t="str">
        <f t="shared" si="387"/>
        <v>深圳新阳蓝光能源管理科技股份有限公司</v>
      </c>
      <c r="D2901" s="1651" t="s">
        <v>4093</v>
      </c>
      <c r="E2901" s="1674" t="s">
        <v>1699</v>
      </c>
      <c r="F2901" s="721">
        <v>6000</v>
      </c>
      <c r="G2901" s="721"/>
      <c r="H2901" s="1696" t="s">
        <v>1654</v>
      </c>
      <c r="I2901" s="1670">
        <v>327333.29</v>
      </c>
      <c r="J2901" s="1670"/>
      <c r="K2901" s="1656"/>
      <c r="L2901" s="1656"/>
      <c r="M2901" s="1656"/>
      <c r="N2901" s="1656"/>
      <c r="O2901" s="1656"/>
      <c r="X2901" s="768" t="b">
        <f t="shared" si="386"/>
        <v>1</v>
      </c>
    </row>
    <row r="2902" outlineLevel="2" spans="1:24">
      <c r="A2902" s="1650" t="s">
        <v>4052</v>
      </c>
      <c r="B2902" s="685" t="s">
        <v>4092</v>
      </c>
      <c r="C2902" s="693" t="str">
        <f t="shared" si="387"/>
        <v>深圳新阳蓝光能源管理科技股份有限公司</v>
      </c>
      <c r="D2902" s="1651" t="s">
        <v>4093</v>
      </c>
      <c r="E2902" s="1695" t="s">
        <v>4053</v>
      </c>
      <c r="F2902" s="1675">
        <f>SUM(F2903:F2907)</f>
        <v>0</v>
      </c>
      <c r="G2902" s="1675">
        <f>SUM(G2903:G2907)</f>
        <v>0</v>
      </c>
      <c r="H2902" s="1696" t="s">
        <v>1657</v>
      </c>
      <c r="I2902" s="1670">
        <f>10935055.51-654430.92</f>
        <v>10280624.59</v>
      </c>
      <c r="J2902" s="1670"/>
      <c r="K2902" s="1656"/>
      <c r="L2902" s="1656"/>
      <c r="M2902" s="1656"/>
      <c r="N2902" s="1656"/>
      <c r="O2902" s="1656"/>
      <c r="X2902" s="768" t="b">
        <f t="shared" si="386"/>
        <v>0</v>
      </c>
    </row>
    <row r="2903" outlineLevel="2" spans="1:24">
      <c r="A2903" s="1650" t="s">
        <v>4054</v>
      </c>
      <c r="B2903" s="685" t="s">
        <v>4092</v>
      </c>
      <c r="C2903" s="693" t="str">
        <f t="shared" si="387"/>
        <v>深圳新阳蓝光能源管理科技股份有限公司</v>
      </c>
      <c r="D2903" s="1651" t="s">
        <v>4093</v>
      </c>
      <c r="E2903" s="1697" t="s">
        <v>4054</v>
      </c>
      <c r="F2903" s="721"/>
      <c r="G2903" s="721"/>
      <c r="H2903" s="1670"/>
      <c r="J2903" s="1670"/>
      <c r="K2903" s="1656"/>
      <c r="L2903" s="1656"/>
      <c r="M2903" s="1656"/>
      <c r="N2903" s="1656"/>
      <c r="O2903" s="1656"/>
      <c r="X2903" s="768" t="b">
        <f t="shared" si="386"/>
        <v>1</v>
      </c>
    </row>
    <row r="2904" outlineLevel="2" spans="1:24">
      <c r="A2904" s="1650" t="s">
        <v>4056</v>
      </c>
      <c r="B2904" s="685" t="s">
        <v>4092</v>
      </c>
      <c r="C2904" s="693" t="str">
        <f t="shared" si="387"/>
        <v>深圳新阳蓝光能源管理科技股份有限公司</v>
      </c>
      <c r="D2904" s="1651" t="s">
        <v>4093</v>
      </c>
      <c r="E2904" s="1697" t="s">
        <v>4056</v>
      </c>
      <c r="F2904" s="721"/>
      <c r="G2904" s="721"/>
      <c r="H2904" s="1670"/>
      <c r="I2904" s="1670"/>
      <c r="J2904" s="1670"/>
      <c r="K2904" s="1656"/>
      <c r="L2904" s="1656"/>
      <c r="M2904" s="1656"/>
      <c r="N2904" s="1656"/>
      <c r="O2904" s="1656"/>
      <c r="X2904" s="768" t="b">
        <f t="shared" si="386"/>
        <v>1</v>
      </c>
    </row>
    <row r="2905" outlineLevel="2" spans="1:24">
      <c r="A2905" s="1650" t="s">
        <v>4061</v>
      </c>
      <c r="B2905" s="685" t="s">
        <v>4092</v>
      </c>
      <c r="C2905" s="693" t="str">
        <f t="shared" si="387"/>
        <v>深圳新阳蓝光能源管理科技股份有限公司</v>
      </c>
      <c r="D2905" s="1651" t="s">
        <v>4093</v>
      </c>
      <c r="E2905" s="1697" t="s">
        <v>4061</v>
      </c>
      <c r="F2905" s="721"/>
      <c r="G2905" s="721"/>
      <c r="H2905" s="1670"/>
      <c r="I2905" s="1670"/>
      <c r="J2905" s="1670"/>
      <c r="K2905" s="1656"/>
      <c r="L2905" s="1656"/>
      <c r="M2905" s="1656"/>
      <c r="N2905" s="1656"/>
      <c r="O2905" s="1656"/>
      <c r="X2905" s="768" t="b">
        <f t="shared" si="386"/>
        <v>1</v>
      </c>
    </row>
    <row r="2906" outlineLevel="2" spans="1:24">
      <c r="A2906" s="1650" t="s">
        <v>4063</v>
      </c>
      <c r="B2906" s="685" t="s">
        <v>4092</v>
      </c>
      <c r="C2906" s="693" t="str">
        <f t="shared" si="387"/>
        <v>深圳新阳蓝光能源管理科技股份有限公司</v>
      </c>
      <c r="D2906" s="1651" t="s">
        <v>4093</v>
      </c>
      <c r="E2906" s="1697" t="s">
        <v>4063</v>
      </c>
      <c r="F2906" s="721"/>
      <c r="G2906" s="721"/>
      <c r="H2906" s="1670"/>
      <c r="I2906" s="1670"/>
      <c r="J2906" s="1670"/>
      <c r="K2906" s="1656"/>
      <c r="L2906" s="1656"/>
      <c r="M2906" s="1656"/>
      <c r="N2906" s="1656"/>
      <c r="O2906" s="1656"/>
      <c r="X2906" s="768" t="b">
        <f t="shared" si="386"/>
        <v>1</v>
      </c>
    </row>
    <row r="2907" outlineLevel="2" spans="1:24">
      <c r="A2907" s="1650" t="s">
        <v>4065</v>
      </c>
      <c r="B2907" s="685" t="s">
        <v>4092</v>
      </c>
      <c r="C2907" s="693" t="str">
        <f t="shared" si="387"/>
        <v>深圳新阳蓝光能源管理科技股份有限公司</v>
      </c>
      <c r="D2907" s="1651" t="s">
        <v>4093</v>
      </c>
      <c r="E2907" s="1697" t="s">
        <v>4065</v>
      </c>
      <c r="F2907" s="721"/>
      <c r="G2907" s="721"/>
      <c r="H2907" s="1670"/>
      <c r="I2907" s="1670"/>
      <c r="J2907" s="1670"/>
      <c r="K2907" s="1656"/>
      <c r="L2907" s="1656"/>
      <c r="M2907" s="1656"/>
      <c r="N2907" s="1656"/>
      <c r="O2907" s="1656"/>
      <c r="X2907" s="768" t="b">
        <f t="shared" si="386"/>
        <v>1</v>
      </c>
    </row>
    <row r="2908" outlineLevel="2" spans="1:24">
      <c r="A2908" s="1650" t="s">
        <v>3020</v>
      </c>
      <c r="B2908" s="685" t="s">
        <v>4092</v>
      </c>
      <c r="C2908" s="693" t="str">
        <f t="shared" si="387"/>
        <v>深圳新阳蓝光能源管理科技股份有限公司</v>
      </c>
      <c r="D2908" s="1651" t="s">
        <v>4093</v>
      </c>
      <c r="E2908" s="1698" t="s">
        <v>3020</v>
      </c>
      <c r="F2908" s="1670"/>
      <c r="G2908" s="1670"/>
      <c r="H2908" s="1670"/>
      <c r="I2908" s="1693"/>
      <c r="J2908" s="1694"/>
      <c r="K2908" s="1656"/>
      <c r="L2908" s="1656"/>
      <c r="M2908" s="1656"/>
      <c r="N2908" s="1656"/>
      <c r="O2908" s="1656"/>
      <c r="X2908" s="768" t="b">
        <f t="shared" si="386"/>
        <v>1</v>
      </c>
    </row>
    <row r="2909" outlineLevel="2" spans="1:24">
      <c r="A2909" s="1650" t="s">
        <v>4095</v>
      </c>
      <c r="B2909" s="685" t="s">
        <v>4092</v>
      </c>
      <c r="C2909" s="693" t="str">
        <f t="shared" si="387"/>
        <v>深圳新阳蓝光能源管理科技股份有限公司</v>
      </c>
      <c r="D2909" s="1651" t="s">
        <v>4093</v>
      </c>
      <c r="E2909" s="1696" t="s">
        <v>4095</v>
      </c>
      <c r="F2909" s="1670"/>
      <c r="G2909" s="1007" t="str">
        <f>IF(ROUND((G1980-F2754-F2825-F2889),2)=0,"相符","不相符，差异:"&amp;ROUND((G1980-F2754-F2825-F2889),2))</f>
        <v>相符</v>
      </c>
      <c r="H2909" s="1670"/>
      <c r="I2909" s="1693"/>
      <c r="J2909" s="1694"/>
      <c r="K2909" s="1656"/>
      <c r="L2909" s="1656"/>
      <c r="M2909" s="1656"/>
      <c r="N2909" s="1656"/>
      <c r="O2909" s="1656"/>
      <c r="X2909" s="768" t="b">
        <f t="shared" si="386"/>
        <v>1</v>
      </c>
    </row>
    <row r="2910" outlineLevel="2" spans="1:24">
      <c r="A2910" s="1650" t="s">
        <v>4096</v>
      </c>
      <c r="B2910" s="685" t="s">
        <v>4092</v>
      </c>
      <c r="C2910" s="693" t="str">
        <f t="shared" si="387"/>
        <v>深圳新阳蓝光能源管理科技股份有限公司</v>
      </c>
      <c r="D2910" s="1651" t="s">
        <v>4093</v>
      </c>
      <c r="E2910" s="1696" t="s">
        <v>4096</v>
      </c>
      <c r="F2910" s="1670"/>
      <c r="G2910" s="1007" t="str">
        <f>IF(ROUND((G1107+H1151-F2900-F2765-F2836),2)=0,"相符","不相符，差异:"&amp;ROUND((G1107+H1151-F2900-F2765-F2836),2))</f>
        <v>不相符，差异:548682.3</v>
      </c>
      <c r="H2910" s="1670"/>
      <c r="I2910" s="1693"/>
      <c r="J2910" s="1694"/>
      <c r="K2910" s="1656"/>
      <c r="L2910" s="1656"/>
      <c r="M2910" s="1656"/>
      <c r="N2910" s="1656"/>
      <c r="O2910" s="1656"/>
      <c r="X2910" s="768" t="b">
        <f t="shared" si="386"/>
        <v>1</v>
      </c>
    </row>
    <row r="2911" outlineLevel="2" spans="1:24">
      <c r="A2911" s="1650" t="s">
        <v>4097</v>
      </c>
      <c r="B2911" s="685" t="s">
        <v>4092</v>
      </c>
      <c r="C2911" s="693" t="str">
        <f t="shared" si="387"/>
        <v>深圳新阳蓝光能源管理科技股份有限公司</v>
      </c>
      <c r="D2911" s="1651" t="s">
        <v>4093</v>
      </c>
      <c r="E2911" s="1696" t="s">
        <v>4097</v>
      </c>
      <c r="F2911" s="1670"/>
      <c r="G2911" s="1007" t="str">
        <f>IF(ROUND((G1436-F2901-F2837-F2766),2)=0,"相符","不相符，差异:"&amp;ROUND((G1436-F2901-F2837-F2766),2))</f>
        <v>相符</v>
      </c>
      <c r="H2911" s="1684"/>
      <c r="I2911" s="1693"/>
      <c r="J2911" s="1694"/>
      <c r="K2911" s="1656"/>
      <c r="L2911" s="1656"/>
      <c r="M2911" s="1656"/>
      <c r="N2911" s="1656"/>
      <c r="O2911" s="1656"/>
      <c r="X2911" s="768" t="b">
        <f t="shared" si="386"/>
        <v>1</v>
      </c>
    </row>
    <row r="2912" outlineLevel="2" spans="2:24">
      <c r="B2912" s="685" t="s">
        <v>4015</v>
      </c>
      <c r="C2912" s="693" t="str">
        <f t="shared" si="387"/>
        <v>深圳新阳蓝光能源管理科技股份有限公司</v>
      </c>
      <c r="D2912" s="1651" t="s">
        <v>4026</v>
      </c>
      <c r="E2912" s="153"/>
      <c r="F2912" s="715"/>
      <c r="G2912" s="715"/>
      <c r="H2912" s="1656"/>
      <c r="I2912" s="1656"/>
      <c r="J2912" s="1656"/>
      <c r="K2912" s="1656"/>
      <c r="L2912" s="1656"/>
      <c r="M2912" s="1656"/>
      <c r="N2912" s="1656"/>
      <c r="O2912" s="1656"/>
      <c r="X2912" s="768" t="b">
        <f t="shared" si="386"/>
        <v>1</v>
      </c>
    </row>
    <row r="2913" spans="1:24">
      <c r="A2913" s="1699" t="s">
        <v>2391</v>
      </c>
      <c r="B2913" s="692" t="s">
        <v>4098</v>
      </c>
      <c r="C2913" s="693" t="str">
        <f t="shared" si="387"/>
        <v>深圳新阳蓝光能源管理科技股份有限公司</v>
      </c>
      <c r="D2913" s="1700" t="s">
        <v>2391</v>
      </c>
      <c r="E2913" s="70" t="s">
        <v>4099</v>
      </c>
      <c r="F2913" s="1701"/>
      <c r="G2913" s="1429" t="s">
        <v>3892</v>
      </c>
      <c r="X2913" s="768" t="b">
        <f t="shared" si="386"/>
        <v>1</v>
      </c>
    </row>
    <row r="2914" outlineLevel="2" spans="1:24">
      <c r="A2914" s="1699" t="s">
        <v>315</v>
      </c>
      <c r="B2914" s="692" t="s">
        <v>4098</v>
      </c>
      <c r="C2914" s="693" t="str">
        <f t="shared" si="387"/>
        <v>深圳新阳蓝光能源管理科技股份有限公司</v>
      </c>
      <c r="D2914" s="1700" t="s">
        <v>2391</v>
      </c>
      <c r="E2914" s="1702" t="s">
        <v>3893</v>
      </c>
      <c r="F2914" s="1702" t="s">
        <v>2347</v>
      </c>
      <c r="G2914" s="1702" t="s">
        <v>2351</v>
      </c>
      <c r="H2914" s="1703" t="s">
        <v>4100</v>
      </c>
      <c r="I2914" s="907" t="s">
        <v>3893</v>
      </c>
      <c r="J2914" s="1702" t="s">
        <v>2347</v>
      </c>
      <c r="X2914" s="768" t="b">
        <f t="shared" si="386"/>
        <v>1</v>
      </c>
    </row>
    <row r="2915" outlineLevel="2" spans="1:24">
      <c r="A2915" s="1699" t="s">
        <v>2392</v>
      </c>
      <c r="B2915" s="692" t="s">
        <v>4098</v>
      </c>
      <c r="C2915" s="693" t="str">
        <f t="shared" si="387"/>
        <v>深圳新阳蓝光能源管理科技股份有限公司</v>
      </c>
      <c r="D2915" s="1700" t="s">
        <v>2391</v>
      </c>
      <c r="E2915" s="1704" t="s">
        <v>4101</v>
      </c>
      <c r="F2915" s="139">
        <f>SUM(F2916:F2917)</f>
        <v>0</v>
      </c>
      <c r="G2915" s="139">
        <f>SUM(G2916:G2917)</f>
        <v>0</v>
      </c>
      <c r="I2915" s="1710"/>
      <c r="J2915" s="136"/>
      <c r="X2915" s="768" t="b">
        <f t="shared" si="386"/>
        <v>1</v>
      </c>
    </row>
    <row r="2916" outlineLevel="2" spans="1:24">
      <c r="A2916" s="1699" t="s">
        <v>2393</v>
      </c>
      <c r="B2916" s="692" t="s">
        <v>4098</v>
      </c>
      <c r="C2916" s="693" t="str">
        <f t="shared" si="387"/>
        <v>深圳新阳蓝光能源管理科技股份有限公司</v>
      </c>
      <c r="D2916" s="1700" t="s">
        <v>2391</v>
      </c>
      <c r="E2916" s="1704" t="s">
        <v>2393</v>
      </c>
      <c r="F2916" s="136"/>
      <c r="G2916" s="743">
        <f>报表附注合并期初用!E2355</f>
        <v>0</v>
      </c>
      <c r="I2916" s="1710"/>
      <c r="J2916" s="136"/>
      <c r="X2916" s="768" t="b">
        <f t="shared" si="386"/>
        <v>1</v>
      </c>
    </row>
    <row r="2917" outlineLevel="2" spans="1:24">
      <c r="A2917" s="1699" t="s">
        <v>2394</v>
      </c>
      <c r="B2917" s="692" t="s">
        <v>4098</v>
      </c>
      <c r="C2917" s="693" t="str">
        <f t="shared" si="387"/>
        <v>深圳新阳蓝光能源管理科技股份有限公司</v>
      </c>
      <c r="D2917" s="1700" t="s">
        <v>2391</v>
      </c>
      <c r="E2917" s="1704" t="s">
        <v>4102</v>
      </c>
      <c r="F2917" s="136"/>
      <c r="G2917" s="743">
        <f>报表附注合并期初用!E2356</f>
        <v>0</v>
      </c>
      <c r="I2917" s="1710"/>
      <c r="J2917" s="136"/>
      <c r="X2917" s="768" t="b">
        <f t="shared" si="386"/>
        <v>1</v>
      </c>
    </row>
    <row r="2918" outlineLevel="2" spans="1:24">
      <c r="A2918" s="1699" t="s">
        <v>2395</v>
      </c>
      <c r="B2918" s="692" t="s">
        <v>4098</v>
      </c>
      <c r="C2918" s="693" t="str">
        <f t="shared" si="387"/>
        <v>深圳新阳蓝光能源管理科技股份有限公司</v>
      </c>
      <c r="D2918" s="1700" t="s">
        <v>2391</v>
      </c>
      <c r="E2918" s="1704" t="s">
        <v>4103</v>
      </c>
      <c r="F2918" s="136"/>
      <c r="G2918" s="743">
        <f>报表附注合并期初用!E2357</f>
        <v>0</v>
      </c>
      <c r="I2918" s="1710"/>
      <c r="J2918" s="136"/>
      <c r="X2918" s="768" t="b">
        <f t="shared" si="386"/>
        <v>1</v>
      </c>
    </row>
    <row r="2919" outlineLevel="2" spans="1:24">
      <c r="A2919" s="1699" t="s">
        <v>2396</v>
      </c>
      <c r="B2919" s="692" t="s">
        <v>4098</v>
      </c>
      <c r="C2919" s="693" t="str">
        <f t="shared" si="387"/>
        <v>深圳新阳蓝光能源管理科技股份有限公司</v>
      </c>
      <c r="D2919" s="1700" t="s">
        <v>2391</v>
      </c>
      <c r="E2919" s="1704" t="s">
        <v>4104</v>
      </c>
      <c r="F2919" s="136"/>
      <c r="G2919" s="743">
        <f>报表附注合并期初用!E2358</f>
        <v>0</v>
      </c>
      <c r="I2919" s="1710"/>
      <c r="J2919" s="136"/>
      <c r="X2919" s="768" t="b">
        <f t="shared" si="386"/>
        <v>1</v>
      </c>
    </row>
    <row r="2920" outlineLevel="2" spans="1:24">
      <c r="A2920" s="1699" t="s">
        <v>2397</v>
      </c>
      <c r="B2920" s="692" t="s">
        <v>4098</v>
      </c>
      <c r="C2920" s="693" t="str">
        <f t="shared" si="387"/>
        <v>深圳新阳蓝光能源管理科技股份有限公司</v>
      </c>
      <c r="D2920" s="1700" t="s">
        <v>2391</v>
      </c>
      <c r="E2920" s="1704" t="s">
        <v>4105</v>
      </c>
      <c r="F2920" s="136">
        <v>853546.58</v>
      </c>
      <c r="G2920" s="743">
        <f>报表附注合并期初用!E2359</f>
        <v>341459.24</v>
      </c>
      <c r="I2920" s="1710"/>
      <c r="J2920" s="136"/>
      <c r="X2920" s="768" t="b">
        <f t="shared" si="386"/>
        <v>1</v>
      </c>
    </row>
    <row r="2921" outlineLevel="2" spans="1:24">
      <c r="A2921" s="1699" t="s">
        <v>2398</v>
      </c>
      <c r="B2921" s="692" t="s">
        <v>4098</v>
      </c>
      <c r="C2921" s="693" t="str">
        <f t="shared" si="387"/>
        <v>深圳新阳蓝光能源管理科技股份有限公司</v>
      </c>
      <c r="D2921" s="1700" t="s">
        <v>2391</v>
      </c>
      <c r="E2921" s="1704" t="s">
        <v>4106</v>
      </c>
      <c r="F2921" s="136"/>
      <c r="G2921" s="743">
        <f>报表附注合并期初用!E2360</f>
        <v>0</v>
      </c>
      <c r="I2921" s="1710"/>
      <c r="J2921" s="136"/>
      <c r="X2921" s="768" t="b">
        <f t="shared" si="386"/>
        <v>1</v>
      </c>
    </row>
    <row r="2922" outlineLevel="2" spans="1:24">
      <c r="A2922" s="1699" t="s">
        <v>2399</v>
      </c>
      <c r="B2922" s="692" t="s">
        <v>4098</v>
      </c>
      <c r="C2922" s="693" t="str">
        <f t="shared" si="387"/>
        <v>深圳新阳蓝光能源管理科技股份有限公司</v>
      </c>
      <c r="D2922" s="1700" t="s">
        <v>2391</v>
      </c>
      <c r="E2922" s="1704" t="s">
        <v>4107</v>
      </c>
      <c r="F2922" s="136"/>
      <c r="G2922" s="743">
        <f>报表附注合并期初用!E2361</f>
        <v>0</v>
      </c>
      <c r="I2922" s="1710"/>
      <c r="J2922" s="136"/>
      <c r="X2922" s="768" t="b">
        <f t="shared" si="386"/>
        <v>1</v>
      </c>
    </row>
    <row r="2923" outlineLevel="2" spans="1:24">
      <c r="A2923" s="1699" t="s">
        <v>2400</v>
      </c>
      <c r="B2923" s="692" t="s">
        <v>4098</v>
      </c>
      <c r="C2923" s="693" t="str">
        <f t="shared" si="387"/>
        <v>深圳新阳蓝光能源管理科技股份有限公司</v>
      </c>
      <c r="D2923" s="1700" t="s">
        <v>2391</v>
      </c>
      <c r="E2923" s="1704" t="s">
        <v>4108</v>
      </c>
      <c r="F2923" s="136"/>
      <c r="G2923" s="743">
        <f>报表附注合并期初用!E2362</f>
        <v>0</v>
      </c>
      <c r="I2923" s="1710"/>
      <c r="J2923" s="136"/>
      <c r="X2923" s="768" t="b">
        <f t="shared" si="386"/>
        <v>1</v>
      </c>
    </row>
    <row r="2924" outlineLevel="2" spans="1:24">
      <c r="A2924" s="1699" t="s">
        <v>2401</v>
      </c>
      <c r="B2924" s="692" t="s">
        <v>4098</v>
      </c>
      <c r="C2924" s="693" t="str">
        <f t="shared" si="387"/>
        <v>深圳新阳蓝光能源管理科技股份有限公司</v>
      </c>
      <c r="D2924" s="1700" t="s">
        <v>2391</v>
      </c>
      <c r="E2924" s="1704" t="s">
        <v>4109</v>
      </c>
      <c r="F2924" s="136"/>
      <c r="G2924" s="743">
        <f>报表附注合并期初用!E2363</f>
        <v>20593.68</v>
      </c>
      <c r="I2924" s="1710"/>
      <c r="J2924" s="136"/>
      <c r="X2924" s="768" t="b">
        <f t="shared" si="386"/>
        <v>1</v>
      </c>
    </row>
    <row r="2925" outlineLevel="2" spans="1:24">
      <c r="A2925" s="1699" t="s">
        <v>1207</v>
      </c>
      <c r="B2925" s="692" t="s">
        <v>4098</v>
      </c>
      <c r="C2925" s="693" t="str">
        <f t="shared" si="387"/>
        <v>深圳新阳蓝光能源管理科技股份有限公司</v>
      </c>
      <c r="D2925" s="1700" t="s">
        <v>2391</v>
      </c>
      <c r="E2925" s="1702" t="s">
        <v>3630</v>
      </c>
      <c r="F2925" s="834">
        <f>SUM(F2915,F2918:F2924)</f>
        <v>853546.58</v>
      </c>
      <c r="G2925" s="834">
        <f>SUM(G2915,G2918:G2924)</f>
        <v>362052.92</v>
      </c>
      <c r="I2925" s="907" t="s">
        <v>3630</v>
      </c>
      <c r="J2925" s="834">
        <f>SUM(J2915:J2924)</f>
        <v>0</v>
      </c>
      <c r="X2925" s="768" t="b">
        <f t="shared" si="386"/>
        <v>1</v>
      </c>
    </row>
    <row r="2926" outlineLevel="2" spans="1:24">
      <c r="A2926" s="1699" t="s">
        <v>1723</v>
      </c>
      <c r="B2926" s="692" t="s">
        <v>4098</v>
      </c>
      <c r="C2926" s="693" t="str">
        <f t="shared" si="387"/>
        <v>深圳新阳蓝光能源管理科技股份有限公司</v>
      </c>
      <c r="D2926" s="1700" t="s">
        <v>2391</v>
      </c>
      <c r="E2926" s="1633" t="s">
        <v>1723</v>
      </c>
      <c r="F2926" s="835">
        <f>审定利润表!C20</f>
        <v>853546.58</v>
      </c>
      <c r="G2926" s="835">
        <f>审定利润表!D20</f>
        <v>362052.92</v>
      </c>
      <c r="X2926" s="768" t="b">
        <f t="shared" si="386"/>
        <v>1</v>
      </c>
    </row>
    <row r="2927" outlineLevel="1" spans="1:24">
      <c r="A2927" s="1699" t="s">
        <v>1395</v>
      </c>
      <c r="B2927" s="692" t="s">
        <v>4098</v>
      </c>
      <c r="C2927" s="693" t="str">
        <f t="shared" si="387"/>
        <v>深圳新阳蓝光能源管理科技股份有限公司</v>
      </c>
      <c r="D2927" s="1700" t="s">
        <v>2391</v>
      </c>
      <c r="E2927" s="1633" t="s">
        <v>1395</v>
      </c>
      <c r="F2927" s="1007">
        <f>ROUND(F2925-F2926,2)</f>
        <v>0</v>
      </c>
      <c r="G2927" s="1007">
        <f>ROUND(G2925-G2926,2)</f>
        <v>0</v>
      </c>
      <c r="X2927" s="768" t="b">
        <f t="shared" si="386"/>
        <v>1</v>
      </c>
    </row>
    <row r="2928" outlineLevel="2" spans="2:24">
      <c r="B2928" s="692" t="s">
        <v>4098</v>
      </c>
      <c r="C2928" s="693" t="str">
        <f t="shared" si="387"/>
        <v>深圳新阳蓝光能源管理科技股份有限公司</v>
      </c>
      <c r="D2928" s="1700" t="s">
        <v>2391</v>
      </c>
      <c r="E2928" s="1705"/>
      <c r="F2928" s="715"/>
      <c r="G2928" s="715"/>
      <c r="X2928" s="768" t="b">
        <f t="shared" si="386"/>
        <v>1</v>
      </c>
    </row>
    <row r="2929" outlineLevel="2" spans="1:24">
      <c r="A2929" s="1706" t="s">
        <v>2442</v>
      </c>
      <c r="B2929" s="1215" t="s">
        <v>4110</v>
      </c>
      <c r="C2929" s="693" t="str">
        <f t="shared" si="387"/>
        <v>深圳新阳蓝光能源管理科技股份有限公司</v>
      </c>
      <c r="D2929" s="1707" t="s">
        <v>2442</v>
      </c>
      <c r="E2929" s="1708" t="s">
        <v>2442</v>
      </c>
      <c r="F2929" s="751"/>
      <c r="G2929" s="751"/>
      <c r="H2929" s="751"/>
      <c r="I2929" s="919" t="s">
        <v>2966</v>
      </c>
      <c r="J2929" s="1711"/>
      <c r="K2929" s="1711"/>
      <c r="L2929" s="1711"/>
      <c r="M2929" s="1711"/>
      <c r="X2929" s="768" t="b">
        <f t="shared" si="386"/>
        <v>1</v>
      </c>
    </row>
    <row r="2930" outlineLevel="2" spans="1:24">
      <c r="A2930" s="1706" t="s">
        <v>61</v>
      </c>
      <c r="B2930" s="1215" t="s">
        <v>4110</v>
      </c>
      <c r="C2930" s="693" t="str">
        <f t="shared" si="387"/>
        <v>深圳新阳蓝光能源管理科技股份有限公司</v>
      </c>
      <c r="D2930" s="1707" t="s">
        <v>2442</v>
      </c>
      <c r="E2930" s="147" t="s">
        <v>61</v>
      </c>
      <c r="F2930" s="147" t="s">
        <v>63</v>
      </c>
      <c r="G2930" s="147" t="s">
        <v>2448</v>
      </c>
      <c r="H2930" s="147" t="s">
        <v>4111</v>
      </c>
      <c r="I2930" s="900"/>
      <c r="J2930" s="1711"/>
      <c r="K2930" s="1711"/>
      <c r="L2930" s="1711"/>
      <c r="M2930" s="1711"/>
      <c r="X2930" s="768" t="b">
        <f t="shared" si="386"/>
        <v>1</v>
      </c>
    </row>
    <row r="2931" outlineLevel="2" spans="2:24">
      <c r="B2931" s="1215" t="s">
        <v>4110</v>
      </c>
      <c r="C2931" s="693" t="str">
        <f t="shared" si="387"/>
        <v>深圳新阳蓝光能源管理科技股份有限公司</v>
      </c>
      <c r="D2931" s="1707" t="s">
        <v>2442</v>
      </c>
      <c r="E2931" s="1709" t="s">
        <v>4112</v>
      </c>
      <c r="F2931" s="136">
        <v>290039.04</v>
      </c>
      <c r="G2931" s="1021">
        <v>290039.04</v>
      </c>
      <c r="H2931" s="1482"/>
      <c r="I2931" s="1711"/>
      <c r="J2931" s="1711"/>
      <c r="K2931" s="1711"/>
      <c r="L2931" s="1711"/>
      <c r="M2931" s="1711"/>
      <c r="X2931" s="768" t="b">
        <f t="shared" si="386"/>
        <v>0</v>
      </c>
    </row>
    <row r="2932" ht="24.75" outlineLevel="2" spans="2:24">
      <c r="B2932" s="1215" t="s">
        <v>4110</v>
      </c>
      <c r="C2932" s="693" t="str">
        <f t="shared" si="387"/>
        <v>深圳新阳蓝光能源管理科技股份有限公司</v>
      </c>
      <c r="D2932" s="1707" t="s">
        <v>2442</v>
      </c>
      <c r="E2932" s="1709" t="s">
        <v>4113</v>
      </c>
      <c r="F2932" s="1021">
        <v>56046.48</v>
      </c>
      <c r="G2932" s="1021">
        <v>46705.4</v>
      </c>
      <c r="H2932" s="1482"/>
      <c r="I2932" s="1711"/>
      <c r="J2932" s="1711"/>
      <c r="K2932" s="1711"/>
      <c r="L2932" s="1711"/>
      <c r="M2932" s="1711"/>
      <c r="X2932" s="768" t="b">
        <f t="shared" si="386"/>
        <v>0</v>
      </c>
    </row>
    <row r="2933" outlineLevel="2" spans="2:24">
      <c r="B2933" s="1215" t="s">
        <v>4110</v>
      </c>
      <c r="C2933" s="693" t="str">
        <f t="shared" si="387"/>
        <v>深圳新阳蓝光能源管理科技股份有限公司</v>
      </c>
      <c r="D2933" s="1707" t="s">
        <v>2442</v>
      </c>
      <c r="E2933" s="1709" t="s">
        <v>4114</v>
      </c>
      <c r="F2933" s="1021">
        <v>60591.54</v>
      </c>
      <c r="G2933" s="1021">
        <v>4714.8</v>
      </c>
      <c r="H2933" s="1482"/>
      <c r="I2933" s="1711"/>
      <c r="J2933" s="1711"/>
      <c r="K2933" s="1711"/>
      <c r="L2933" s="1711"/>
      <c r="M2933" s="1711"/>
      <c r="X2933" s="768" t="b">
        <f t="shared" si="386"/>
        <v>0</v>
      </c>
    </row>
    <row r="2934" outlineLevel="2" spans="2:24">
      <c r="B2934" s="1215" t="s">
        <v>4110</v>
      </c>
      <c r="C2934" s="693" t="str">
        <f t="shared" si="387"/>
        <v>深圳新阳蓝光能源管理科技股份有限公司</v>
      </c>
      <c r="D2934" s="1707" t="s">
        <v>2442</v>
      </c>
      <c r="E2934" s="1709" t="s">
        <v>4115</v>
      </c>
      <c r="F2934" s="1021">
        <v>189520.02</v>
      </c>
      <c r="G2934" s="1021"/>
      <c r="H2934" s="1482"/>
      <c r="I2934" s="1711"/>
      <c r="J2934" s="1711"/>
      <c r="K2934" s="1711"/>
      <c r="L2934" s="1711"/>
      <c r="M2934" s="1711"/>
      <c r="X2934" s="768" t="b">
        <f t="shared" si="386"/>
        <v>0</v>
      </c>
    </row>
    <row r="2935" ht="24.75" outlineLevel="2" spans="2:24">
      <c r="B2935" s="1215" t="s">
        <v>4110</v>
      </c>
      <c r="C2935" s="693" t="str">
        <f t="shared" si="387"/>
        <v>深圳新阳蓝光能源管理科技股份有限公司</v>
      </c>
      <c r="D2935" s="1707" t="s">
        <v>2442</v>
      </c>
      <c r="E2935" s="1709" t="s">
        <v>4116</v>
      </c>
      <c r="F2935" s="1021">
        <v>61622.19</v>
      </c>
      <c r="G2935" s="1021"/>
      <c r="H2935" s="1482"/>
      <c r="I2935" s="1711"/>
      <c r="J2935" s="1711"/>
      <c r="K2935" s="1711"/>
      <c r="L2935" s="1711"/>
      <c r="M2935" s="1711"/>
      <c r="X2935" s="768" t="b">
        <f t="shared" si="386"/>
        <v>0</v>
      </c>
    </row>
    <row r="2936" outlineLevel="2" spans="2:24">
      <c r="B2936" s="1215" t="s">
        <v>4110</v>
      </c>
      <c r="C2936" s="693" t="str">
        <f t="shared" si="387"/>
        <v>深圳新阳蓝光能源管理科技股份有限公司</v>
      </c>
      <c r="D2936" s="1707" t="s">
        <v>2442</v>
      </c>
      <c r="E2936" s="1709" t="s">
        <v>4117</v>
      </c>
      <c r="F2936" s="1021">
        <v>185000</v>
      </c>
      <c r="G2936" s="1021"/>
      <c r="H2936" s="1482"/>
      <c r="I2936" s="1711"/>
      <c r="J2936" s="1711"/>
      <c r="K2936" s="1711"/>
      <c r="L2936" s="1711"/>
      <c r="M2936" s="1711"/>
      <c r="X2936" s="768" t="b">
        <f t="shared" si="386"/>
        <v>0</v>
      </c>
    </row>
    <row r="2937" outlineLevel="2" spans="2:24">
      <c r="B2937" s="1215" t="s">
        <v>4110</v>
      </c>
      <c r="C2937" s="693" t="str">
        <f t="shared" si="387"/>
        <v>深圳新阳蓝光能源管理科技股份有限公司</v>
      </c>
      <c r="D2937" s="1707" t="s">
        <v>2442</v>
      </c>
      <c r="E2937" s="1709" t="s">
        <v>4118</v>
      </c>
      <c r="F2937" s="1021">
        <v>10727.31</v>
      </c>
      <c r="G2937" s="1021"/>
      <c r="H2937" s="1482"/>
      <c r="I2937" s="1711"/>
      <c r="J2937" s="1711"/>
      <c r="K2937" s="1711"/>
      <c r="L2937" s="1711"/>
      <c r="M2937" s="1711"/>
      <c r="X2937" s="768" t="b">
        <f t="shared" si="386"/>
        <v>0</v>
      </c>
    </row>
    <row r="2938" outlineLevel="2" spans="2:24">
      <c r="B2938" s="1215" t="s">
        <v>4110</v>
      </c>
      <c r="C2938" s="693" t="str">
        <f t="shared" si="387"/>
        <v>深圳新阳蓝光能源管理科技股份有限公司</v>
      </c>
      <c r="D2938" s="1707" t="s">
        <v>2442</v>
      </c>
      <c r="E2938" s="1482"/>
      <c r="F2938" s="1021"/>
      <c r="G2938" s="1021"/>
      <c r="H2938" s="1482"/>
      <c r="I2938" s="1711"/>
      <c r="J2938" s="1711"/>
      <c r="K2938" s="1711"/>
      <c r="L2938" s="1711"/>
      <c r="M2938" s="1711"/>
      <c r="X2938" s="768" t="b">
        <f t="shared" si="386"/>
        <v>1</v>
      </c>
    </row>
    <row r="2939" ht="15" customHeight="1" outlineLevel="2" spans="2:24">
      <c r="B2939" s="1215" t="s">
        <v>4110</v>
      </c>
      <c r="C2939" s="693" t="str">
        <f t="shared" si="387"/>
        <v>深圳新阳蓝光能源管理科技股份有限公司</v>
      </c>
      <c r="D2939" s="1707" t="s">
        <v>2442</v>
      </c>
      <c r="E2939" s="1482"/>
      <c r="F2939" s="1021"/>
      <c r="G2939" s="1021"/>
      <c r="H2939" s="1482"/>
      <c r="I2939" s="1711"/>
      <c r="J2939" s="1711"/>
      <c r="K2939" s="1711"/>
      <c r="L2939" s="1711"/>
      <c r="M2939" s="1711"/>
      <c r="X2939" s="768" t="b">
        <f t="shared" si="386"/>
        <v>1</v>
      </c>
    </row>
    <row r="2940" ht="15" customHeight="1" outlineLevel="2" spans="2:24">
      <c r="B2940" s="1215" t="s">
        <v>4110</v>
      </c>
      <c r="C2940" s="693" t="str">
        <f t="shared" si="387"/>
        <v>深圳新阳蓝光能源管理科技股份有限公司</v>
      </c>
      <c r="D2940" s="1707" t="s">
        <v>2442</v>
      </c>
      <c r="E2940" s="1482"/>
      <c r="F2940" s="1021"/>
      <c r="G2940" s="1021"/>
      <c r="H2940" s="1482"/>
      <c r="I2940" s="1711"/>
      <c r="J2940" s="1711"/>
      <c r="K2940" s="1711"/>
      <c r="L2940" s="1711"/>
      <c r="M2940" s="1711"/>
      <c r="X2940" s="768" t="b">
        <f t="shared" si="386"/>
        <v>1</v>
      </c>
    </row>
    <row r="2941" ht="15" customHeight="1" outlineLevel="2" spans="2:24">
      <c r="B2941" s="1215" t="s">
        <v>4110</v>
      </c>
      <c r="C2941" s="693" t="str">
        <f t="shared" si="387"/>
        <v>深圳新阳蓝光能源管理科技股份有限公司</v>
      </c>
      <c r="D2941" s="1707" t="s">
        <v>2442</v>
      </c>
      <c r="E2941" s="1481"/>
      <c r="F2941" s="1492"/>
      <c r="G2941" s="1492"/>
      <c r="H2941" s="1481"/>
      <c r="I2941" s="1711"/>
      <c r="J2941" s="1711"/>
      <c r="K2941" s="1711"/>
      <c r="L2941" s="1711"/>
      <c r="M2941" s="1711"/>
      <c r="X2941" s="768" t="b">
        <f t="shared" si="386"/>
        <v>1</v>
      </c>
    </row>
    <row r="2942" ht="15" customHeight="1" outlineLevel="2" spans="2:24">
      <c r="B2942" s="1215" t="s">
        <v>4110</v>
      </c>
      <c r="C2942" s="693" t="str">
        <f t="shared" si="387"/>
        <v>深圳新阳蓝光能源管理科技股份有限公司</v>
      </c>
      <c r="D2942" s="1707" t="s">
        <v>2442</v>
      </c>
      <c r="E2942" s="1481"/>
      <c r="F2942" s="1492"/>
      <c r="G2942" s="1492"/>
      <c r="H2942" s="1481"/>
      <c r="I2942" s="1711"/>
      <c r="J2942" s="1711"/>
      <c r="K2942" s="1711"/>
      <c r="L2942" s="1711"/>
      <c r="M2942" s="1711"/>
      <c r="X2942" s="768" t="b">
        <f t="shared" si="386"/>
        <v>1</v>
      </c>
    </row>
    <row r="2943" ht="15" customHeight="1" outlineLevel="2" spans="2:24">
      <c r="B2943" s="1215" t="s">
        <v>4110</v>
      </c>
      <c r="C2943" s="693" t="str">
        <f t="shared" si="387"/>
        <v>深圳新阳蓝光能源管理科技股份有限公司</v>
      </c>
      <c r="D2943" s="1707" t="s">
        <v>2442</v>
      </c>
      <c r="E2943" s="1481"/>
      <c r="F2943" s="1492"/>
      <c r="G2943" s="1492"/>
      <c r="H2943" s="1481"/>
      <c r="I2943" s="1711"/>
      <c r="J2943" s="1711"/>
      <c r="K2943" s="1711"/>
      <c r="L2943" s="1711"/>
      <c r="M2943" s="1711"/>
      <c r="X2943" s="768" t="b">
        <f t="shared" si="386"/>
        <v>1</v>
      </c>
    </row>
    <row r="2944" ht="15" customHeight="1" outlineLevel="2" spans="2:24">
      <c r="B2944" s="1215" t="s">
        <v>4110</v>
      </c>
      <c r="C2944" s="693" t="str">
        <f t="shared" si="387"/>
        <v>深圳新阳蓝光能源管理科技股份有限公司</v>
      </c>
      <c r="D2944" s="1707" t="s">
        <v>2442</v>
      </c>
      <c r="E2944" s="1481"/>
      <c r="F2944" s="1492"/>
      <c r="G2944" s="1492"/>
      <c r="H2944" s="1481"/>
      <c r="I2944" s="1711"/>
      <c r="J2944" s="1711"/>
      <c r="K2944" s="1711"/>
      <c r="L2944" s="1711"/>
      <c r="M2944" s="1711"/>
      <c r="X2944" s="768" t="b">
        <f t="shared" si="386"/>
        <v>1</v>
      </c>
    </row>
    <row r="2945" ht="15" customHeight="1" outlineLevel="2" spans="2:24">
      <c r="B2945" s="1215" t="s">
        <v>4110</v>
      </c>
      <c r="C2945" s="693" t="str">
        <f t="shared" si="387"/>
        <v>深圳新阳蓝光能源管理科技股份有限公司</v>
      </c>
      <c r="D2945" s="1707" t="s">
        <v>2442</v>
      </c>
      <c r="E2945" s="1481"/>
      <c r="F2945" s="1492"/>
      <c r="G2945" s="1492"/>
      <c r="H2945" s="1481"/>
      <c r="I2945" s="1711"/>
      <c r="J2945" s="1711"/>
      <c r="K2945" s="1711"/>
      <c r="L2945" s="1711"/>
      <c r="M2945" s="1711"/>
      <c r="X2945" s="768" t="b">
        <f t="shared" si="386"/>
        <v>1</v>
      </c>
    </row>
    <row r="2946" ht="15" customHeight="1" outlineLevel="2" spans="2:24">
      <c r="B2946" s="1215" t="s">
        <v>4110</v>
      </c>
      <c r="C2946" s="693" t="str">
        <f t="shared" si="387"/>
        <v>深圳新阳蓝光能源管理科技股份有限公司</v>
      </c>
      <c r="D2946" s="1707" t="s">
        <v>2442</v>
      </c>
      <c r="E2946" s="1481"/>
      <c r="F2946" s="1492"/>
      <c r="G2946" s="1492"/>
      <c r="H2946" s="1481"/>
      <c r="I2946" s="1711"/>
      <c r="J2946" s="1711"/>
      <c r="K2946" s="1711"/>
      <c r="L2946" s="1711"/>
      <c r="M2946" s="1711"/>
      <c r="X2946" s="768" t="b">
        <f t="shared" si="386"/>
        <v>1</v>
      </c>
    </row>
    <row r="2947" ht="15" customHeight="1" outlineLevel="2" spans="2:24">
      <c r="B2947" s="1215" t="s">
        <v>4110</v>
      </c>
      <c r="C2947" s="693" t="str">
        <f t="shared" si="387"/>
        <v>深圳新阳蓝光能源管理科技股份有限公司</v>
      </c>
      <c r="D2947" s="1707" t="s">
        <v>2442</v>
      </c>
      <c r="E2947" s="1481"/>
      <c r="F2947" s="1492"/>
      <c r="G2947" s="1492"/>
      <c r="H2947" s="1481"/>
      <c r="I2947" s="1711"/>
      <c r="J2947" s="1711"/>
      <c r="K2947" s="1711"/>
      <c r="L2947" s="1711"/>
      <c r="M2947" s="1711"/>
      <c r="X2947" s="768" t="b">
        <f t="shared" si="386"/>
        <v>1</v>
      </c>
    </row>
    <row r="2948" ht="15" customHeight="1" outlineLevel="2" spans="2:24">
      <c r="B2948" s="1215" t="s">
        <v>4110</v>
      </c>
      <c r="C2948" s="693" t="str">
        <f t="shared" si="387"/>
        <v>深圳新阳蓝光能源管理科技股份有限公司</v>
      </c>
      <c r="D2948" s="1707" t="s">
        <v>2442</v>
      </c>
      <c r="E2948" s="1481"/>
      <c r="F2948" s="1492"/>
      <c r="G2948" s="1492"/>
      <c r="H2948" s="1481"/>
      <c r="I2948" s="1711"/>
      <c r="J2948" s="1711"/>
      <c r="K2948" s="1711"/>
      <c r="L2948" s="1711"/>
      <c r="M2948" s="1711"/>
      <c r="X2948" s="768" t="b">
        <f t="shared" ref="X2948:X3011" si="388">EXACT(A2948,E2948)</f>
        <v>1</v>
      </c>
    </row>
    <row r="2949" ht="15" customHeight="1" outlineLevel="2" spans="2:24">
      <c r="B2949" s="1215" t="s">
        <v>4110</v>
      </c>
      <c r="C2949" s="693" t="str">
        <f t="shared" si="387"/>
        <v>深圳新阳蓝光能源管理科技股份有限公司</v>
      </c>
      <c r="D2949" s="1707" t="s">
        <v>2442</v>
      </c>
      <c r="E2949" s="1481"/>
      <c r="F2949" s="1492"/>
      <c r="G2949" s="1492"/>
      <c r="H2949" s="1481"/>
      <c r="I2949" s="1711"/>
      <c r="J2949" s="1711"/>
      <c r="K2949" s="1711"/>
      <c r="L2949" s="1711"/>
      <c r="M2949" s="1711"/>
      <c r="X2949" s="768" t="b">
        <f t="shared" si="388"/>
        <v>1</v>
      </c>
    </row>
    <row r="2950" ht="15" customHeight="1" outlineLevel="2" spans="2:24">
      <c r="B2950" s="1215" t="s">
        <v>4110</v>
      </c>
      <c r="C2950" s="693" t="str">
        <f t="shared" si="387"/>
        <v>深圳新阳蓝光能源管理科技股份有限公司</v>
      </c>
      <c r="D2950" s="1707" t="s">
        <v>2442</v>
      </c>
      <c r="E2950" s="1481"/>
      <c r="F2950" s="1492"/>
      <c r="G2950" s="1492"/>
      <c r="H2950" s="1481"/>
      <c r="I2950" s="1711"/>
      <c r="J2950" s="1711"/>
      <c r="K2950" s="1711"/>
      <c r="L2950" s="1711"/>
      <c r="M2950" s="1711"/>
      <c r="X2950" s="768" t="b">
        <f t="shared" si="388"/>
        <v>1</v>
      </c>
    </row>
    <row r="2951" ht="15" customHeight="1" outlineLevel="2" spans="2:24">
      <c r="B2951" s="1215" t="s">
        <v>4110</v>
      </c>
      <c r="C2951" s="693" t="str">
        <f t="shared" si="387"/>
        <v>深圳新阳蓝光能源管理科技股份有限公司</v>
      </c>
      <c r="D2951" s="1707" t="s">
        <v>2442</v>
      </c>
      <c r="E2951" s="1481"/>
      <c r="F2951" s="1492"/>
      <c r="G2951" s="1492"/>
      <c r="H2951" s="1481"/>
      <c r="I2951" s="1711"/>
      <c r="J2951" s="1711"/>
      <c r="K2951" s="1711"/>
      <c r="L2951" s="1711"/>
      <c r="M2951" s="1711"/>
      <c r="X2951" s="768" t="b">
        <f t="shared" si="388"/>
        <v>1</v>
      </c>
    </row>
    <row r="2952" ht="15" customHeight="1" outlineLevel="2" spans="2:24">
      <c r="B2952" s="1215" t="s">
        <v>4110</v>
      </c>
      <c r="C2952" s="693" t="str">
        <f t="shared" si="387"/>
        <v>深圳新阳蓝光能源管理科技股份有限公司</v>
      </c>
      <c r="D2952" s="1707" t="s">
        <v>2442</v>
      </c>
      <c r="E2952" s="1481"/>
      <c r="F2952" s="1492"/>
      <c r="G2952" s="1492"/>
      <c r="H2952" s="1481"/>
      <c r="I2952" s="1711"/>
      <c r="J2952" s="1711"/>
      <c r="K2952" s="1711"/>
      <c r="L2952" s="1711"/>
      <c r="M2952" s="1711"/>
      <c r="X2952" s="768" t="b">
        <f t="shared" si="388"/>
        <v>1</v>
      </c>
    </row>
    <row r="2953" ht="15" customHeight="1" outlineLevel="2" spans="2:24">
      <c r="B2953" s="1215" t="s">
        <v>4110</v>
      </c>
      <c r="C2953" s="693" t="str">
        <f t="shared" si="387"/>
        <v>深圳新阳蓝光能源管理科技股份有限公司</v>
      </c>
      <c r="D2953" s="1707" t="s">
        <v>2442</v>
      </c>
      <c r="E2953" s="1481"/>
      <c r="F2953" s="1492"/>
      <c r="G2953" s="1492"/>
      <c r="H2953" s="1481"/>
      <c r="I2953" s="1711"/>
      <c r="J2953" s="1711"/>
      <c r="K2953" s="1711"/>
      <c r="L2953" s="1711"/>
      <c r="M2953" s="1711"/>
      <c r="X2953" s="768" t="b">
        <f t="shared" si="388"/>
        <v>1</v>
      </c>
    </row>
    <row r="2954" ht="15" customHeight="1" outlineLevel="2" spans="2:24">
      <c r="B2954" s="1215" t="s">
        <v>4110</v>
      </c>
      <c r="C2954" s="693" t="str">
        <f t="shared" si="387"/>
        <v>深圳新阳蓝光能源管理科技股份有限公司</v>
      </c>
      <c r="D2954" s="1707" t="s">
        <v>2442</v>
      </c>
      <c r="E2954" s="1481"/>
      <c r="F2954" s="1492"/>
      <c r="G2954" s="1492"/>
      <c r="H2954" s="1481"/>
      <c r="I2954" s="1711"/>
      <c r="J2954" s="1711"/>
      <c r="K2954" s="1711"/>
      <c r="L2954" s="1711"/>
      <c r="M2954" s="1711"/>
      <c r="X2954" s="768" t="b">
        <f t="shared" si="388"/>
        <v>1</v>
      </c>
    </row>
    <row r="2955" ht="15" customHeight="1" outlineLevel="2" spans="2:24">
      <c r="B2955" s="1215" t="s">
        <v>4110</v>
      </c>
      <c r="C2955" s="693" t="str">
        <f t="shared" si="387"/>
        <v>深圳新阳蓝光能源管理科技股份有限公司</v>
      </c>
      <c r="D2955" s="1707" t="s">
        <v>2442</v>
      </c>
      <c r="E2955" s="1481"/>
      <c r="F2955" s="1492"/>
      <c r="G2955" s="1492"/>
      <c r="H2955" s="1481"/>
      <c r="I2955" s="1711"/>
      <c r="J2955" s="1711"/>
      <c r="K2955" s="1711"/>
      <c r="L2955" s="1711"/>
      <c r="M2955" s="1711"/>
      <c r="X2955" s="768" t="b">
        <f t="shared" si="388"/>
        <v>1</v>
      </c>
    </row>
    <row r="2956" ht="15" customHeight="1" outlineLevel="2" spans="2:24">
      <c r="B2956" s="1215" t="s">
        <v>4110</v>
      </c>
      <c r="C2956" s="693" t="str">
        <f t="shared" si="387"/>
        <v>深圳新阳蓝光能源管理科技股份有限公司</v>
      </c>
      <c r="D2956" s="1707" t="s">
        <v>2442</v>
      </c>
      <c r="E2956" s="1482"/>
      <c r="F2956" s="1021"/>
      <c r="G2956" s="1021"/>
      <c r="H2956" s="1482"/>
      <c r="I2956" s="1711"/>
      <c r="J2956" s="1711"/>
      <c r="K2956" s="1711"/>
      <c r="L2956" s="1711"/>
      <c r="M2956" s="1711"/>
      <c r="X2956" s="768" t="b">
        <f t="shared" si="388"/>
        <v>1</v>
      </c>
    </row>
    <row r="2957" outlineLevel="2" spans="1:24">
      <c r="A2957" s="1706" t="s">
        <v>2021</v>
      </c>
      <c r="B2957" s="1215" t="s">
        <v>4110</v>
      </c>
      <c r="C2957" s="693" t="str">
        <f t="shared" si="387"/>
        <v>深圳新阳蓝光能源管理科技股份有限公司</v>
      </c>
      <c r="D2957" s="1707" t="s">
        <v>2442</v>
      </c>
      <c r="E2957" s="716" t="s">
        <v>2021</v>
      </c>
      <c r="F2957" s="909">
        <f>SUM(F2931:F2956)</f>
        <v>853546.58</v>
      </c>
      <c r="G2957" s="909">
        <f>SUM(G2931:G2956)</f>
        <v>341459.24</v>
      </c>
      <c r="H2957" s="1483"/>
      <c r="I2957" s="1711"/>
      <c r="J2957" s="1711"/>
      <c r="K2957" s="1711"/>
      <c r="L2957" s="1711"/>
      <c r="M2957" s="1711"/>
      <c r="X2957" s="768" t="b">
        <f t="shared" si="388"/>
        <v>1</v>
      </c>
    </row>
    <row r="2958" outlineLevel="2" spans="1:24">
      <c r="A2958" s="1706" t="s">
        <v>1723</v>
      </c>
      <c r="B2958" s="1215" t="s">
        <v>4110</v>
      </c>
      <c r="C2958" s="693" t="str">
        <f t="shared" si="387"/>
        <v>深圳新阳蓝光能源管理科技股份有限公司</v>
      </c>
      <c r="D2958" s="1707" t="s">
        <v>2442</v>
      </c>
      <c r="E2958" s="1633" t="s">
        <v>1723</v>
      </c>
      <c r="F2958" s="1712">
        <f>F2920</f>
        <v>853546.58</v>
      </c>
      <c r="G2958" s="1712">
        <f>G2920</f>
        <v>341459.24</v>
      </c>
      <c r="H2958" s="1713"/>
      <c r="I2958" s="1711"/>
      <c r="J2958" s="1711"/>
      <c r="K2958" s="1711"/>
      <c r="L2958" s="1711"/>
      <c r="M2958" s="1711"/>
      <c r="X2958" s="768" t="b">
        <f t="shared" si="388"/>
        <v>1</v>
      </c>
    </row>
    <row r="2959" outlineLevel="2" spans="1:24">
      <c r="A2959" s="1706" t="s">
        <v>1395</v>
      </c>
      <c r="B2959" s="1215" t="s">
        <v>4110</v>
      </c>
      <c r="C2959" s="693" t="str">
        <f t="shared" si="387"/>
        <v>深圳新阳蓝光能源管理科技股份有限公司</v>
      </c>
      <c r="D2959" s="1707" t="s">
        <v>2442</v>
      </c>
      <c r="E2959" s="1633" t="s">
        <v>1395</v>
      </c>
      <c r="F2959" s="1007">
        <f>ROUND(F2957-F2958,2)</f>
        <v>0</v>
      </c>
      <c r="G2959" s="1007">
        <f>ROUND(G2957-G2958,2)</f>
        <v>0</v>
      </c>
      <c r="H2959" s="1714"/>
      <c r="I2959" s="1711"/>
      <c r="J2959" s="1711"/>
      <c r="K2959" s="1711"/>
      <c r="L2959" s="1711"/>
      <c r="M2959" s="1711"/>
      <c r="X2959" s="768" t="b">
        <f t="shared" si="388"/>
        <v>1</v>
      </c>
    </row>
    <row r="2960" outlineLevel="2" spans="1:24">
      <c r="A2960" s="1706" t="s">
        <v>4119</v>
      </c>
      <c r="B2960" s="1215" t="s">
        <v>4110</v>
      </c>
      <c r="C2960" s="693" t="str">
        <f t="shared" si="387"/>
        <v>深圳新阳蓝光能源管理科技股份有限公司</v>
      </c>
      <c r="D2960" s="1707" t="s">
        <v>2442</v>
      </c>
      <c r="E2960" s="153" t="s">
        <v>4120</v>
      </c>
      <c r="F2960" s="751"/>
      <c r="G2960" s="751"/>
      <c r="H2960" s="1711"/>
      <c r="I2960" s="1711"/>
      <c r="J2960" s="1711"/>
      <c r="K2960" s="1711"/>
      <c r="L2960" s="1711"/>
      <c r="X2960" s="768" t="b">
        <f t="shared" si="388"/>
        <v>1</v>
      </c>
    </row>
    <row r="2961" outlineLevel="2" spans="1:24">
      <c r="A2961" s="1706" t="s">
        <v>2809</v>
      </c>
      <c r="B2961" s="1215" t="s">
        <v>4110</v>
      </c>
      <c r="C2961" s="693" t="str">
        <f t="shared" ref="C2961:C3024" si="389">$G$1</f>
        <v>深圳新阳蓝光能源管理科技股份有限公司</v>
      </c>
      <c r="D2961" s="1707" t="s">
        <v>2442</v>
      </c>
      <c r="E2961" s="1715" t="s">
        <v>2809</v>
      </c>
      <c r="F2961" s="1005"/>
      <c r="G2961" s="1005"/>
      <c r="H2961" s="1716"/>
      <c r="I2961" s="1711"/>
      <c r="J2961" s="1711"/>
      <c r="K2961" s="1711"/>
      <c r="L2961" s="1711"/>
      <c r="X2961" s="768" t="b">
        <f t="shared" si="388"/>
        <v>1</v>
      </c>
    </row>
    <row r="2962" outlineLevel="2" spans="1:24">
      <c r="A2962" s="1706" t="s">
        <v>4121</v>
      </c>
      <c r="B2962" s="1215" t="s">
        <v>4110</v>
      </c>
      <c r="C2962" s="693" t="str">
        <f t="shared" si="389"/>
        <v>深圳新阳蓝光能源管理科技股份有限公司</v>
      </c>
      <c r="D2962" s="1707" t="s">
        <v>2442</v>
      </c>
      <c r="E2962" s="897" t="s">
        <v>4121</v>
      </c>
      <c r="F2962" s="1711"/>
      <c r="G2962" s="1711"/>
      <c r="H2962" s="1711"/>
      <c r="I2962" s="1711"/>
      <c r="J2962" s="1711"/>
      <c r="K2962" s="1711"/>
      <c r="L2962" s="1711"/>
      <c r="X2962" s="768" t="b">
        <f t="shared" si="388"/>
        <v>1</v>
      </c>
    </row>
    <row r="2963" outlineLevel="2" spans="1:24">
      <c r="A2963" s="1706" t="s">
        <v>2809</v>
      </c>
      <c r="B2963" s="1215" t="s">
        <v>4110</v>
      </c>
      <c r="C2963" s="693" t="str">
        <f t="shared" si="389"/>
        <v>深圳新阳蓝光能源管理科技股份有限公司</v>
      </c>
      <c r="D2963" s="1707" t="s">
        <v>2442</v>
      </c>
      <c r="E2963" s="1715" t="s">
        <v>2809</v>
      </c>
      <c r="F2963" s="1005"/>
      <c r="G2963" s="1005"/>
      <c r="H2963" s="1716"/>
      <c r="I2963" s="1711"/>
      <c r="J2963" s="1711"/>
      <c r="K2963" s="1711"/>
      <c r="L2963" s="1711"/>
      <c r="X2963" s="768" t="b">
        <f t="shared" si="388"/>
        <v>1</v>
      </c>
    </row>
    <row r="2964" outlineLevel="2" spans="1:24">
      <c r="A2964" s="1706" t="s">
        <v>2809</v>
      </c>
      <c r="B2964" s="1215" t="s">
        <v>4110</v>
      </c>
      <c r="C2964" s="693" t="str">
        <f t="shared" si="389"/>
        <v>深圳新阳蓝光能源管理科技股份有限公司</v>
      </c>
      <c r="D2964" s="1707" t="s">
        <v>2442</v>
      </c>
      <c r="E2964" s="1715" t="s">
        <v>2809</v>
      </c>
      <c r="F2964" s="1005"/>
      <c r="G2964" s="1005"/>
      <c r="H2964" s="1716"/>
      <c r="I2964" s="1711"/>
      <c r="J2964" s="1711"/>
      <c r="K2964" s="1711"/>
      <c r="L2964" s="1711"/>
      <c r="X2964" s="768" t="b">
        <f t="shared" si="388"/>
        <v>1</v>
      </c>
    </row>
    <row r="2965" outlineLevel="2" spans="1:24">
      <c r="A2965" s="1706" t="s">
        <v>2809</v>
      </c>
      <c r="B2965" s="1215" t="s">
        <v>4110</v>
      </c>
      <c r="C2965" s="693" t="str">
        <f t="shared" si="389"/>
        <v>深圳新阳蓝光能源管理科技股份有限公司</v>
      </c>
      <c r="D2965" s="1707" t="s">
        <v>2442</v>
      </c>
      <c r="E2965" s="1715" t="s">
        <v>2809</v>
      </c>
      <c r="F2965" s="1005"/>
      <c r="G2965" s="1005"/>
      <c r="H2965" s="1716"/>
      <c r="I2965" s="1711"/>
      <c r="J2965" s="1711"/>
      <c r="K2965" s="1711"/>
      <c r="L2965" s="1711"/>
      <c r="X2965" s="768" t="b">
        <f t="shared" si="388"/>
        <v>1</v>
      </c>
    </row>
    <row r="2966" outlineLevel="2" spans="1:24">
      <c r="A2966" s="1706" t="s">
        <v>2809</v>
      </c>
      <c r="B2966" s="1215" t="s">
        <v>4110</v>
      </c>
      <c r="C2966" s="693" t="str">
        <f t="shared" si="389"/>
        <v>深圳新阳蓝光能源管理科技股份有限公司</v>
      </c>
      <c r="D2966" s="1707" t="s">
        <v>2442</v>
      </c>
      <c r="E2966" s="1715" t="s">
        <v>2809</v>
      </c>
      <c r="F2966" s="1005"/>
      <c r="G2966" s="1005"/>
      <c r="H2966" s="1716"/>
      <c r="I2966" s="1711"/>
      <c r="J2966" s="1711"/>
      <c r="K2966" s="1711"/>
      <c r="L2966" s="1711"/>
      <c r="X2966" s="768" t="b">
        <f t="shared" si="388"/>
        <v>1</v>
      </c>
    </row>
    <row r="2967" outlineLevel="2" spans="1:24">
      <c r="A2967" s="1706" t="s">
        <v>2809</v>
      </c>
      <c r="B2967" s="1215" t="s">
        <v>4110</v>
      </c>
      <c r="C2967" s="693" t="str">
        <f t="shared" si="389"/>
        <v>深圳新阳蓝光能源管理科技股份有限公司</v>
      </c>
      <c r="D2967" s="1707" t="s">
        <v>2442</v>
      </c>
      <c r="E2967" s="1715" t="s">
        <v>2809</v>
      </c>
      <c r="F2967" s="1005"/>
      <c r="G2967" s="1005"/>
      <c r="H2967" s="1716"/>
      <c r="I2967" s="1711"/>
      <c r="J2967" s="1711"/>
      <c r="K2967" s="1711"/>
      <c r="L2967" s="1711"/>
      <c r="X2967" s="768" t="b">
        <f t="shared" si="388"/>
        <v>1</v>
      </c>
    </row>
    <row r="2968" outlineLevel="2" spans="1:24">
      <c r="A2968" s="1706" t="s">
        <v>2809</v>
      </c>
      <c r="B2968" s="1215" t="s">
        <v>4110</v>
      </c>
      <c r="C2968" s="693" t="str">
        <f t="shared" si="389"/>
        <v>深圳新阳蓝光能源管理科技股份有限公司</v>
      </c>
      <c r="D2968" s="1707" t="s">
        <v>2442</v>
      </c>
      <c r="E2968" s="1715" t="s">
        <v>2809</v>
      </c>
      <c r="F2968" s="1005"/>
      <c r="G2968" s="1005"/>
      <c r="H2968" s="1716"/>
      <c r="I2968" s="1711"/>
      <c r="J2968" s="1711"/>
      <c r="K2968" s="1711"/>
      <c r="L2968" s="1711"/>
      <c r="X2968" s="768" t="b">
        <f t="shared" si="388"/>
        <v>1</v>
      </c>
    </row>
    <row r="2969" outlineLevel="2" spans="1:24">
      <c r="A2969" s="1706" t="s">
        <v>2809</v>
      </c>
      <c r="B2969" s="1215" t="s">
        <v>4110</v>
      </c>
      <c r="C2969" s="693" t="str">
        <f t="shared" si="389"/>
        <v>深圳新阳蓝光能源管理科技股份有限公司</v>
      </c>
      <c r="D2969" s="1707" t="s">
        <v>2442</v>
      </c>
      <c r="E2969" s="1715" t="s">
        <v>2809</v>
      </c>
      <c r="F2969" s="1005"/>
      <c r="G2969" s="1005"/>
      <c r="H2969" s="1716"/>
      <c r="I2969" s="1711"/>
      <c r="J2969" s="1711"/>
      <c r="K2969" s="1711"/>
      <c r="L2969" s="1711"/>
      <c r="X2969" s="768" t="b">
        <f t="shared" si="388"/>
        <v>1</v>
      </c>
    </row>
    <row r="2970" outlineLevel="2" spans="1:24">
      <c r="A2970" s="1706" t="s">
        <v>2809</v>
      </c>
      <c r="B2970" s="1215" t="s">
        <v>4110</v>
      </c>
      <c r="C2970" s="693" t="str">
        <f t="shared" si="389"/>
        <v>深圳新阳蓝光能源管理科技股份有限公司</v>
      </c>
      <c r="D2970" s="1707" t="s">
        <v>2442</v>
      </c>
      <c r="E2970" s="1715" t="s">
        <v>2809</v>
      </c>
      <c r="F2970" s="1005"/>
      <c r="G2970" s="1005"/>
      <c r="H2970" s="1716"/>
      <c r="I2970" s="1711"/>
      <c r="J2970" s="1711"/>
      <c r="K2970" s="1711"/>
      <c r="L2970" s="1711"/>
      <c r="X2970" s="768" t="b">
        <f t="shared" si="388"/>
        <v>1</v>
      </c>
    </row>
    <row r="2971" outlineLevel="2" spans="1:24">
      <c r="A2971" s="1706" t="s">
        <v>2809</v>
      </c>
      <c r="B2971" s="1215" t="s">
        <v>4110</v>
      </c>
      <c r="C2971" s="693" t="str">
        <f t="shared" si="389"/>
        <v>深圳新阳蓝光能源管理科技股份有限公司</v>
      </c>
      <c r="D2971" s="1707" t="s">
        <v>2442</v>
      </c>
      <c r="E2971" s="1715" t="s">
        <v>2809</v>
      </c>
      <c r="F2971" s="1005"/>
      <c r="G2971" s="1005"/>
      <c r="H2971" s="1716"/>
      <c r="I2971" s="1711"/>
      <c r="J2971" s="1711"/>
      <c r="K2971" s="1711"/>
      <c r="L2971" s="1711"/>
      <c r="X2971" s="768" t="b">
        <f t="shared" si="388"/>
        <v>1</v>
      </c>
    </row>
    <row r="2972" outlineLevel="2" spans="1:24">
      <c r="A2972" s="1706" t="s">
        <v>2809</v>
      </c>
      <c r="B2972" s="1215" t="s">
        <v>4110</v>
      </c>
      <c r="C2972" s="693" t="str">
        <f t="shared" si="389"/>
        <v>深圳新阳蓝光能源管理科技股份有限公司</v>
      </c>
      <c r="D2972" s="1707" t="s">
        <v>2442</v>
      </c>
      <c r="E2972" s="1715" t="s">
        <v>2809</v>
      </c>
      <c r="F2972" s="1005"/>
      <c r="G2972" s="1005"/>
      <c r="H2972" s="1716"/>
      <c r="I2972" s="1711"/>
      <c r="J2972" s="1711"/>
      <c r="K2972" s="1711"/>
      <c r="L2972" s="1711"/>
      <c r="X2972" s="768" t="b">
        <f t="shared" si="388"/>
        <v>1</v>
      </c>
    </row>
    <row r="2973" outlineLevel="2" spans="1:24">
      <c r="A2973" s="1706" t="s">
        <v>2809</v>
      </c>
      <c r="B2973" s="1215" t="s">
        <v>4110</v>
      </c>
      <c r="C2973" s="693" t="str">
        <f t="shared" si="389"/>
        <v>深圳新阳蓝光能源管理科技股份有限公司</v>
      </c>
      <c r="D2973" s="1707" t="s">
        <v>2442</v>
      </c>
      <c r="E2973" s="1715" t="s">
        <v>2809</v>
      </c>
      <c r="F2973" s="1005"/>
      <c r="G2973" s="1005"/>
      <c r="H2973" s="1716"/>
      <c r="I2973" s="1711"/>
      <c r="J2973" s="1711"/>
      <c r="K2973" s="1711"/>
      <c r="L2973" s="1711"/>
      <c r="X2973" s="768" t="b">
        <f t="shared" si="388"/>
        <v>1</v>
      </c>
    </row>
    <row r="2974" outlineLevel="2" spans="1:24">
      <c r="A2974" s="1706" t="s">
        <v>2809</v>
      </c>
      <c r="B2974" s="1215" t="s">
        <v>4110</v>
      </c>
      <c r="C2974" s="693" t="str">
        <f t="shared" si="389"/>
        <v>深圳新阳蓝光能源管理科技股份有限公司</v>
      </c>
      <c r="D2974" s="1707" t="s">
        <v>2442</v>
      </c>
      <c r="E2974" s="1715" t="s">
        <v>2809</v>
      </c>
      <c r="F2974" s="1005"/>
      <c r="G2974" s="1005"/>
      <c r="H2974" s="1716"/>
      <c r="I2974" s="1711"/>
      <c r="J2974" s="1711"/>
      <c r="K2974" s="1711"/>
      <c r="L2974" s="1711"/>
      <c r="X2974" s="768" t="b">
        <f t="shared" si="388"/>
        <v>1</v>
      </c>
    </row>
    <row r="2975" outlineLevel="2" spans="1:24">
      <c r="A2975" s="1706" t="s">
        <v>2809</v>
      </c>
      <c r="B2975" s="1215" t="s">
        <v>4110</v>
      </c>
      <c r="C2975" s="693" t="str">
        <f t="shared" si="389"/>
        <v>深圳新阳蓝光能源管理科技股份有限公司</v>
      </c>
      <c r="D2975" s="1707" t="s">
        <v>2442</v>
      </c>
      <c r="E2975" s="1715" t="s">
        <v>2809</v>
      </c>
      <c r="F2975" s="1005"/>
      <c r="G2975" s="1005"/>
      <c r="H2975" s="1716"/>
      <c r="I2975" s="1711"/>
      <c r="J2975" s="1711"/>
      <c r="K2975" s="1711"/>
      <c r="L2975" s="1711"/>
      <c r="X2975" s="768" t="b">
        <f t="shared" si="388"/>
        <v>1</v>
      </c>
    </row>
    <row r="2976" outlineLevel="2" spans="1:24">
      <c r="A2976" s="1706" t="s">
        <v>2809</v>
      </c>
      <c r="B2976" s="1215" t="s">
        <v>4110</v>
      </c>
      <c r="C2976" s="693" t="str">
        <f t="shared" si="389"/>
        <v>深圳新阳蓝光能源管理科技股份有限公司</v>
      </c>
      <c r="D2976" s="1707" t="s">
        <v>2442</v>
      </c>
      <c r="E2976" s="1715" t="s">
        <v>2809</v>
      </c>
      <c r="F2976" s="1005"/>
      <c r="G2976" s="1005"/>
      <c r="H2976" s="1716"/>
      <c r="I2976" s="1711"/>
      <c r="J2976" s="1711"/>
      <c r="K2976" s="1711"/>
      <c r="L2976" s="1711"/>
      <c r="X2976" s="768" t="b">
        <f t="shared" si="388"/>
        <v>1</v>
      </c>
    </row>
    <row r="2977" outlineLevel="2" spans="1:24">
      <c r="A2977" s="1699" t="s">
        <v>4122</v>
      </c>
      <c r="B2977" s="1215" t="s">
        <v>4110</v>
      </c>
      <c r="C2977" s="693" t="str">
        <f t="shared" si="389"/>
        <v>深圳新阳蓝光能源管理科技股份有限公司</v>
      </c>
      <c r="D2977" s="1700" t="s">
        <v>4122</v>
      </c>
      <c r="E2977" s="153" t="s">
        <v>4123</v>
      </c>
      <c r="F2977" s="715"/>
      <c r="G2977" s="715"/>
      <c r="X2977" s="768" t="b">
        <f t="shared" si="388"/>
        <v>1</v>
      </c>
    </row>
    <row r="2978" outlineLevel="2" spans="1:24">
      <c r="A2978" s="1699" t="s">
        <v>2809</v>
      </c>
      <c r="B2978" s="1215" t="s">
        <v>4110</v>
      </c>
      <c r="C2978" s="693" t="str">
        <f t="shared" si="389"/>
        <v>深圳新阳蓝光能源管理科技股份有限公司</v>
      </c>
      <c r="D2978" s="1700" t="s">
        <v>4122</v>
      </c>
      <c r="E2978" s="1180" t="s">
        <v>3284</v>
      </c>
      <c r="F2978" s="1005"/>
      <c r="G2978" s="1005"/>
      <c r="H2978" s="1717"/>
      <c r="X2978" s="768" t="b">
        <f t="shared" si="388"/>
        <v>1</v>
      </c>
    </row>
    <row r="2979" spans="1:24">
      <c r="A2979" s="1718" t="s">
        <v>2404</v>
      </c>
      <c r="B2979" s="692" t="s">
        <v>4124</v>
      </c>
      <c r="C2979" s="693" t="str">
        <f t="shared" si="389"/>
        <v>深圳新阳蓝光能源管理科技股份有限公司</v>
      </c>
      <c r="D2979" s="1719" t="s">
        <v>2404</v>
      </c>
      <c r="E2979" s="70" t="s">
        <v>4125</v>
      </c>
      <c r="F2979" s="1720"/>
      <c r="G2979" s="1429" t="s">
        <v>3892</v>
      </c>
      <c r="X2979" s="768" t="b">
        <f t="shared" si="388"/>
        <v>1</v>
      </c>
    </row>
    <row r="2980" outlineLevel="2" spans="1:24">
      <c r="A2980" s="1718" t="s">
        <v>315</v>
      </c>
      <c r="B2980" s="692" t="s">
        <v>4124</v>
      </c>
      <c r="C2980" s="693" t="str">
        <f t="shared" si="389"/>
        <v>深圳新阳蓝光能源管理科技股份有限公司</v>
      </c>
      <c r="D2980" s="1719" t="s">
        <v>2404</v>
      </c>
      <c r="E2980" s="1721" t="s">
        <v>3893</v>
      </c>
      <c r="F2980" s="1721" t="s">
        <v>2347</v>
      </c>
      <c r="G2980" s="1721" t="s">
        <v>2351</v>
      </c>
      <c r="X2980" s="768" t="b">
        <f t="shared" si="388"/>
        <v>1</v>
      </c>
    </row>
    <row r="2981" outlineLevel="2" spans="1:24">
      <c r="A2981" s="1718" t="s">
        <v>2405</v>
      </c>
      <c r="B2981" s="692" t="s">
        <v>4124</v>
      </c>
      <c r="C2981" s="693" t="str">
        <f t="shared" si="389"/>
        <v>深圳新阳蓝光能源管理科技股份有限公司</v>
      </c>
      <c r="D2981" s="1719" t="s">
        <v>2404</v>
      </c>
      <c r="E2981" s="1722" t="s">
        <v>2405</v>
      </c>
      <c r="F2981" s="139">
        <f>SUM(F2982:F2983)</f>
        <v>68120.1</v>
      </c>
      <c r="G2981" s="139">
        <f>SUM(G2982:G2983)</f>
        <v>24270.57</v>
      </c>
      <c r="X2981" s="768" t="b">
        <f t="shared" si="388"/>
        <v>1</v>
      </c>
    </row>
    <row r="2982" outlineLevel="2" spans="1:24">
      <c r="A2982" s="1718" t="s">
        <v>2406</v>
      </c>
      <c r="B2982" s="692" t="s">
        <v>4124</v>
      </c>
      <c r="C2982" s="693" t="str">
        <f t="shared" si="389"/>
        <v>深圳新阳蓝光能源管理科技股份有限公司</v>
      </c>
      <c r="D2982" s="1719" t="s">
        <v>2404</v>
      </c>
      <c r="E2982" s="1721" t="s">
        <v>4126</v>
      </c>
      <c r="F2982" s="136">
        <v>68120.1</v>
      </c>
      <c r="G2982" s="743">
        <f>报表附注合并期初用!E2405</f>
        <v>24270.57</v>
      </c>
      <c r="H2982" s="838">
        <v>506430.66</v>
      </c>
      <c r="X2982" s="768" t="b">
        <f t="shared" si="388"/>
        <v>1</v>
      </c>
    </row>
    <row r="2983" outlineLevel="2" spans="1:24">
      <c r="A2983" s="1718" t="s">
        <v>2407</v>
      </c>
      <c r="B2983" s="692" t="s">
        <v>4124</v>
      </c>
      <c r="C2983" s="693" t="str">
        <f t="shared" si="389"/>
        <v>深圳新阳蓝光能源管理科技股份有限公司</v>
      </c>
      <c r="D2983" s="1719" t="s">
        <v>2404</v>
      </c>
      <c r="E2983" s="1721" t="s">
        <v>4127</v>
      </c>
      <c r="F2983" s="136"/>
      <c r="G2983" s="743">
        <f>报表附注合并期初用!E2406</f>
        <v>0</v>
      </c>
      <c r="H2983" s="1723">
        <f>H2982-F2982</f>
        <v>438310.56</v>
      </c>
      <c r="X2983" s="768" t="b">
        <f t="shared" si="388"/>
        <v>1</v>
      </c>
    </row>
    <row r="2984" outlineLevel="2" spans="1:24">
      <c r="A2984" s="1718" t="s">
        <v>2408</v>
      </c>
      <c r="B2984" s="692" t="s">
        <v>4124</v>
      </c>
      <c r="C2984" s="693" t="str">
        <f t="shared" si="389"/>
        <v>深圳新阳蓝光能源管理科技股份有限公司</v>
      </c>
      <c r="D2984" s="1719" t="s">
        <v>2404</v>
      </c>
      <c r="E2984" s="1722" t="s">
        <v>2408</v>
      </c>
      <c r="F2984" s="136"/>
      <c r="G2984" s="743">
        <f>报表附注合并期初用!E2407</f>
        <v>0</v>
      </c>
      <c r="H2984" s="1723">
        <v>7149.23</v>
      </c>
      <c r="X2984" s="768" t="b">
        <f t="shared" si="388"/>
        <v>1</v>
      </c>
    </row>
    <row r="2985" outlineLevel="2" spans="1:24">
      <c r="A2985" s="1718" t="s">
        <v>2409</v>
      </c>
      <c r="B2985" s="692" t="s">
        <v>4124</v>
      </c>
      <c r="C2985" s="693" t="str">
        <f t="shared" si="389"/>
        <v>深圳新阳蓝光能源管理科技股份有限公司</v>
      </c>
      <c r="D2985" s="1719" t="s">
        <v>2404</v>
      </c>
      <c r="E2985" s="1722" t="s">
        <v>2409</v>
      </c>
      <c r="F2985" s="136"/>
      <c r="G2985" s="743">
        <f>报表附注合并期初用!E2408</f>
        <v>0</v>
      </c>
      <c r="H2985" s="1723">
        <v>513579.89</v>
      </c>
      <c r="X2985" s="768" t="b">
        <f t="shared" si="388"/>
        <v>1</v>
      </c>
    </row>
    <row r="2986" outlineLevel="2" spans="1:24">
      <c r="A2986" s="1718" t="s">
        <v>2410</v>
      </c>
      <c r="B2986" s="692" t="s">
        <v>4124</v>
      </c>
      <c r="C2986" s="693" t="str">
        <f t="shared" si="389"/>
        <v>深圳新阳蓝光能源管理科技股份有限公司</v>
      </c>
      <c r="D2986" s="1719" t="s">
        <v>2404</v>
      </c>
      <c r="E2986" s="1722" t="s">
        <v>2410</v>
      </c>
      <c r="F2986" s="136">
        <v>20000</v>
      </c>
      <c r="G2986" s="743">
        <f>报表附注合并期初用!E2409</f>
        <v>0</v>
      </c>
      <c r="H2986" s="1723">
        <v>445459.79</v>
      </c>
      <c r="X2986" s="768" t="b">
        <f t="shared" si="388"/>
        <v>1</v>
      </c>
    </row>
    <row r="2987" outlineLevel="2" spans="1:24">
      <c r="A2987" s="1718" t="s">
        <v>2411</v>
      </c>
      <c r="B2987" s="692" t="s">
        <v>4124</v>
      </c>
      <c r="C2987" s="693" t="str">
        <f t="shared" si="389"/>
        <v>深圳新阳蓝光能源管理科技股份有限公司</v>
      </c>
      <c r="D2987" s="1719" t="s">
        <v>2404</v>
      </c>
      <c r="E2987" s="1722" t="s">
        <v>2411</v>
      </c>
      <c r="F2987" s="136"/>
      <c r="G2987" s="743">
        <f>报表附注合并期初用!E2410</f>
        <v>0</v>
      </c>
      <c r="H2987" s="1723">
        <f>H2985-H2986</f>
        <v>68120.1</v>
      </c>
      <c r="X2987" s="768" t="b">
        <f t="shared" si="388"/>
        <v>1</v>
      </c>
    </row>
    <row r="2988" outlineLevel="2" spans="1:24">
      <c r="A2988" s="1718" t="s">
        <v>2412</v>
      </c>
      <c r="B2988" s="692" t="s">
        <v>4124</v>
      </c>
      <c r="C2988" s="693" t="str">
        <f t="shared" si="389"/>
        <v>深圳新阳蓝光能源管理科技股份有限公司</v>
      </c>
      <c r="D2988" s="1719" t="s">
        <v>2404</v>
      </c>
      <c r="E2988" s="1722" t="s">
        <v>2412</v>
      </c>
      <c r="F2988" s="136"/>
      <c r="G2988" s="743">
        <f>报表附注合并期初用!E2411</f>
        <v>0</v>
      </c>
      <c r="X2988" s="768" t="b">
        <f t="shared" si="388"/>
        <v>1</v>
      </c>
    </row>
    <row r="2989" outlineLevel="2" spans="1:24">
      <c r="A2989" s="1718" t="s">
        <v>2413</v>
      </c>
      <c r="B2989" s="692" t="s">
        <v>4124</v>
      </c>
      <c r="C2989" s="693" t="str">
        <f t="shared" si="389"/>
        <v>深圳新阳蓝光能源管理科技股份有限公司</v>
      </c>
      <c r="D2989" s="1719" t="s">
        <v>2404</v>
      </c>
      <c r="E2989" s="1722" t="s">
        <v>2413</v>
      </c>
      <c r="F2989" s="136">
        <v>1833.65</v>
      </c>
      <c r="G2989" s="743">
        <f>报表附注合并期初用!E2412</f>
        <v>11.08</v>
      </c>
      <c r="X2989" s="768" t="b">
        <f t="shared" si="388"/>
        <v>1</v>
      </c>
    </row>
    <row r="2990" outlineLevel="2" spans="1:24">
      <c r="A2990" s="1718" t="s">
        <v>2414</v>
      </c>
      <c r="B2990" s="692" t="s">
        <v>4124</v>
      </c>
      <c r="C2990" s="693" t="str">
        <f t="shared" si="389"/>
        <v>深圳新阳蓝光能源管理科技股份有限公司</v>
      </c>
      <c r="D2990" s="1719" t="s">
        <v>2404</v>
      </c>
      <c r="E2990" s="1722" t="s">
        <v>2414</v>
      </c>
      <c r="F2990" s="136">
        <f>8.73+2050000</f>
        <v>2050008.73</v>
      </c>
      <c r="G2990" s="743">
        <f>报表附注合并期初用!E2413</f>
        <v>0</v>
      </c>
      <c r="X2990" s="768" t="b">
        <f t="shared" si="388"/>
        <v>1</v>
      </c>
    </row>
    <row r="2991" outlineLevel="2" spans="1:24">
      <c r="A2991" s="1718" t="s">
        <v>1207</v>
      </c>
      <c r="B2991" s="692" t="s">
        <v>4124</v>
      </c>
      <c r="C2991" s="693" t="str">
        <f t="shared" si="389"/>
        <v>深圳新阳蓝光能源管理科技股份有限公司</v>
      </c>
      <c r="D2991" s="1719" t="s">
        <v>2404</v>
      </c>
      <c r="E2991" s="1721" t="s">
        <v>3630</v>
      </c>
      <c r="F2991" s="834">
        <f>SUM(F2981,F2984:F2990)</f>
        <v>2139962.48</v>
      </c>
      <c r="G2991" s="834">
        <f>SUM(G2981,G2984:G2990)</f>
        <v>24281.65</v>
      </c>
      <c r="X2991" s="768" t="b">
        <f t="shared" si="388"/>
        <v>1</v>
      </c>
    </row>
    <row r="2992" outlineLevel="2" spans="1:24">
      <c r="A2992" s="1718" t="s">
        <v>1723</v>
      </c>
      <c r="B2992" s="692" t="s">
        <v>4124</v>
      </c>
      <c r="C2992" s="693" t="str">
        <f t="shared" si="389"/>
        <v>深圳新阳蓝光能源管理科技股份有限公司</v>
      </c>
      <c r="D2992" s="1719" t="s">
        <v>2404</v>
      </c>
      <c r="E2992" s="1633" t="s">
        <v>1723</v>
      </c>
      <c r="F2992" s="835">
        <f>审定利润表!C21</f>
        <v>2139962.48</v>
      </c>
      <c r="G2992" s="835">
        <f>审定利润表!D21</f>
        <v>24281.65</v>
      </c>
      <c r="X2992" s="768" t="b">
        <f t="shared" si="388"/>
        <v>1</v>
      </c>
    </row>
    <row r="2993" outlineLevel="1" spans="1:24">
      <c r="A2993" s="1718" t="s">
        <v>1395</v>
      </c>
      <c r="B2993" s="692" t="s">
        <v>4124</v>
      </c>
      <c r="C2993" s="693" t="str">
        <f t="shared" si="389"/>
        <v>深圳新阳蓝光能源管理科技股份有限公司</v>
      </c>
      <c r="D2993" s="1719" t="s">
        <v>2404</v>
      </c>
      <c r="E2993" s="1633" t="s">
        <v>1395</v>
      </c>
      <c r="F2993" s="1007">
        <f>ROUND(F2991-F2992,2)</f>
        <v>0</v>
      </c>
      <c r="G2993" s="1007">
        <f>ROUND(G2991-G2992,2)</f>
        <v>0</v>
      </c>
      <c r="X2993" s="768" t="b">
        <f t="shared" si="388"/>
        <v>1</v>
      </c>
    </row>
    <row r="2994" outlineLevel="2" spans="2:24">
      <c r="B2994" s="692" t="s">
        <v>4124</v>
      </c>
      <c r="C2994" s="693" t="str">
        <f t="shared" si="389"/>
        <v>深圳新阳蓝光能源管理科技股份有限公司</v>
      </c>
      <c r="D2994" s="1719" t="s">
        <v>2404</v>
      </c>
      <c r="E2994" s="1633" t="s">
        <v>1723</v>
      </c>
      <c r="F2994" s="835"/>
      <c r="G2994" s="835"/>
      <c r="X2994" s="768" t="b">
        <f t="shared" si="388"/>
        <v>0</v>
      </c>
    </row>
    <row r="2995" outlineLevel="2" spans="1:24">
      <c r="A2995" s="1718" t="s">
        <v>4128</v>
      </c>
      <c r="B2995" s="692" t="s">
        <v>4124</v>
      </c>
      <c r="C2995" s="693" t="str">
        <f t="shared" si="389"/>
        <v>深圳新阳蓝光能源管理科技股份有限公司</v>
      </c>
      <c r="D2995" s="1719" t="s">
        <v>4128</v>
      </c>
      <c r="E2995" s="1633" t="s">
        <v>1395</v>
      </c>
      <c r="F2995" s="1007"/>
      <c r="G2995" s="1007"/>
      <c r="X2995" s="768" t="b">
        <f t="shared" si="388"/>
        <v>0</v>
      </c>
    </row>
    <row r="2996" outlineLevel="3" spans="1:24">
      <c r="A2996" s="1718" t="s">
        <v>2809</v>
      </c>
      <c r="B2996" s="692" t="s">
        <v>4124</v>
      </c>
      <c r="C2996" s="693" t="str">
        <f t="shared" si="389"/>
        <v>深圳新阳蓝光能源管理科技股份有限公司</v>
      </c>
      <c r="D2996" s="1719" t="s">
        <v>4128</v>
      </c>
      <c r="E2996" s="153" t="s">
        <v>4129</v>
      </c>
      <c r="F2996" s="715"/>
      <c r="G2996" s="715"/>
      <c r="X2996" s="768" t="b">
        <f t="shared" si="388"/>
        <v>0</v>
      </c>
    </row>
    <row r="2997" ht="15" customHeight="1" outlineLevel="3" spans="2:24">
      <c r="B2997" s="692" t="s">
        <v>4124</v>
      </c>
      <c r="C2997" s="693" t="str">
        <f t="shared" si="389"/>
        <v>深圳新阳蓝光能源管理科技股份有限公司</v>
      </c>
      <c r="D2997" s="1719" t="s">
        <v>4128</v>
      </c>
      <c r="E2997" s="1180" t="s">
        <v>3284</v>
      </c>
      <c r="F2997" s="1005"/>
      <c r="G2997" s="1005"/>
      <c r="X2997" s="768" t="b">
        <f t="shared" si="388"/>
        <v>0</v>
      </c>
    </row>
    <row r="2998" spans="1:24">
      <c r="A2998" s="1706" t="s">
        <v>2415</v>
      </c>
      <c r="B2998" s="692" t="s">
        <v>4130</v>
      </c>
      <c r="C2998" s="693" t="str">
        <f t="shared" si="389"/>
        <v>深圳新阳蓝光能源管理科技股份有限公司</v>
      </c>
      <c r="D2998" s="1707" t="s">
        <v>2415</v>
      </c>
      <c r="E2998" s="70" t="s">
        <v>4131</v>
      </c>
      <c r="F2998" s="1711"/>
      <c r="G2998" s="1429" t="s">
        <v>3892</v>
      </c>
      <c r="H2998" s="1711"/>
      <c r="I2998" s="1718"/>
      <c r="J2998" s="1711"/>
      <c r="K2998" s="1711"/>
      <c r="L2998" s="1711"/>
      <c r="X2998" s="768" t="b">
        <f t="shared" si="388"/>
        <v>1</v>
      </c>
    </row>
    <row r="2999" outlineLevel="2" spans="1:24">
      <c r="A2999" s="1706" t="s">
        <v>4132</v>
      </c>
      <c r="B2999" s="692" t="s">
        <v>4130</v>
      </c>
      <c r="C2999" s="693" t="str">
        <f t="shared" si="389"/>
        <v>深圳新阳蓝光能源管理科技股份有限公司</v>
      </c>
      <c r="D2999" s="1707" t="s">
        <v>2415</v>
      </c>
      <c r="E2999" s="1724" t="s">
        <v>4133</v>
      </c>
      <c r="F2999" s="1724" t="s">
        <v>2347</v>
      </c>
      <c r="G2999" s="1724" t="s">
        <v>2351</v>
      </c>
      <c r="H2999" s="1725"/>
      <c r="I2999" s="1718"/>
      <c r="J2999" s="1711"/>
      <c r="K2999" s="1711"/>
      <c r="L2999" s="1711"/>
      <c r="X2999" s="768" t="b">
        <f t="shared" si="388"/>
        <v>1</v>
      </c>
    </row>
    <row r="3000" outlineLevel="2" spans="1:24">
      <c r="A3000" s="1706" t="s">
        <v>1670</v>
      </c>
      <c r="B3000" s="692" t="s">
        <v>4130</v>
      </c>
      <c r="C3000" s="693" t="str">
        <f t="shared" si="389"/>
        <v>深圳新阳蓝光能源管理科技股份有限公司</v>
      </c>
      <c r="D3000" s="1707" t="s">
        <v>2415</v>
      </c>
      <c r="E3000" s="1726" t="s">
        <v>1670</v>
      </c>
      <c r="F3000" s="139">
        <f>SUM(F3001:F3002)</f>
        <v>-283323.52</v>
      </c>
      <c r="G3000" s="139">
        <f>SUM(G3001:G3002)</f>
        <v>842798.93</v>
      </c>
      <c r="H3000" s="1725"/>
      <c r="I3000" s="1711"/>
      <c r="J3000" s="1711"/>
      <c r="K3000" s="1711"/>
      <c r="L3000" s="1711"/>
      <c r="X3000" s="768" t="b">
        <f t="shared" si="388"/>
        <v>1</v>
      </c>
    </row>
    <row r="3001" outlineLevel="2" spans="1:24">
      <c r="A3001" s="1706" t="s">
        <v>2416</v>
      </c>
      <c r="B3001" s="692" t="s">
        <v>4130</v>
      </c>
      <c r="C3001" s="693" t="str">
        <f t="shared" si="389"/>
        <v>深圳新阳蓝光能源管理科技股份有限公司</v>
      </c>
      <c r="D3001" s="1707" t="s">
        <v>2415</v>
      </c>
      <c r="E3001" s="1726" t="s">
        <v>2416</v>
      </c>
      <c r="F3001" s="136">
        <v>460594.83</v>
      </c>
      <c r="G3001" s="743">
        <f>报表附注合并期初用!E2447</f>
        <v>842798.93</v>
      </c>
      <c r="H3001" s="838"/>
      <c r="I3001" s="1711"/>
      <c r="J3001" s="1711"/>
      <c r="K3001" s="1711"/>
      <c r="L3001" s="1711"/>
      <c r="X3001" s="768" t="b">
        <f t="shared" si="388"/>
        <v>1</v>
      </c>
    </row>
    <row r="3002" outlineLevel="2" spans="1:24">
      <c r="A3002" s="1706" t="s">
        <v>2417</v>
      </c>
      <c r="B3002" s="692" t="s">
        <v>4130</v>
      </c>
      <c r="C3002" s="693" t="str">
        <f t="shared" si="389"/>
        <v>深圳新阳蓝光能源管理科技股份有限公司</v>
      </c>
      <c r="D3002" s="1707" t="s">
        <v>2415</v>
      </c>
      <c r="E3002" s="1726" t="s">
        <v>4134</v>
      </c>
      <c r="F3002" s="136">
        <f>-(F1630-H1630)</f>
        <v>-743918.35</v>
      </c>
      <c r="G3002" s="743">
        <f>报表附注合并期初用!E2448</f>
        <v>0</v>
      </c>
      <c r="H3002" s="1725"/>
      <c r="I3002" s="1711"/>
      <c r="J3002" s="1711"/>
      <c r="K3002" s="1711"/>
      <c r="L3002" s="1711"/>
      <c r="X3002" s="768" t="b">
        <f t="shared" si="388"/>
        <v>1</v>
      </c>
    </row>
    <row r="3003" outlineLevel="2" spans="1:24">
      <c r="A3003" s="1706" t="s">
        <v>1723</v>
      </c>
      <c r="B3003" s="692" t="s">
        <v>4130</v>
      </c>
      <c r="C3003" s="693" t="str">
        <f t="shared" si="389"/>
        <v>深圳新阳蓝光能源管理科技股份有限公司</v>
      </c>
      <c r="D3003" s="1707" t="s">
        <v>2415</v>
      </c>
      <c r="E3003" s="1633" t="s">
        <v>1723</v>
      </c>
      <c r="F3003" s="817">
        <f>审定利润表!C23</f>
        <v>-283323.52</v>
      </c>
      <c r="G3003" s="817">
        <f>审定利润表!D23</f>
        <v>842798.93</v>
      </c>
      <c r="H3003" s="1711"/>
      <c r="I3003" s="1711"/>
      <c r="J3003" s="1711"/>
      <c r="K3003" s="1711"/>
      <c r="L3003" s="1711"/>
      <c r="X3003" s="768" t="b">
        <f t="shared" si="388"/>
        <v>1</v>
      </c>
    </row>
    <row r="3004" outlineLevel="1" spans="1:24">
      <c r="A3004" s="1706" t="s">
        <v>1395</v>
      </c>
      <c r="B3004" s="692" t="s">
        <v>4130</v>
      </c>
      <c r="C3004" s="693" t="str">
        <f t="shared" si="389"/>
        <v>深圳新阳蓝光能源管理科技股份有限公司</v>
      </c>
      <c r="D3004" s="1707" t="s">
        <v>2415</v>
      </c>
      <c r="E3004" s="1633" t="s">
        <v>1395</v>
      </c>
      <c r="F3004" s="1007">
        <f>ROUND(F3000-F3003,2)</f>
        <v>0</v>
      </c>
      <c r="G3004" s="1007">
        <f>ROUND(G3000-G3003,2)</f>
        <v>0</v>
      </c>
      <c r="H3004" s="1711"/>
      <c r="I3004" s="1711"/>
      <c r="J3004" s="1711"/>
      <c r="K3004" s="1711"/>
      <c r="L3004" s="1711"/>
      <c r="X3004" s="768" t="b">
        <f t="shared" si="388"/>
        <v>1</v>
      </c>
    </row>
    <row r="3005" outlineLevel="2" spans="2:24">
      <c r="B3005" s="692" t="s">
        <v>4130</v>
      </c>
      <c r="C3005" s="693" t="str">
        <f t="shared" si="389"/>
        <v>深圳新阳蓝光能源管理科技股份有限公司</v>
      </c>
      <c r="D3005" s="1707" t="s">
        <v>2415</v>
      </c>
      <c r="E3005" s="1727" t="s">
        <v>1395</v>
      </c>
      <c r="F3005" s="1007">
        <f>ROUND(F3001-F3041,2)</f>
        <v>460594.83</v>
      </c>
      <c r="G3005" s="1007">
        <f>ROUND(G3001-G3041,2)</f>
        <v>842798.93</v>
      </c>
      <c r="H3005" s="838">
        <f>F3005/15%</f>
        <v>3070632.2</v>
      </c>
      <c r="I3005" s="1711"/>
      <c r="J3005" s="1711"/>
      <c r="K3005" s="1711"/>
      <c r="L3005" s="1711"/>
      <c r="X3005" s="768" t="b">
        <f t="shared" si="388"/>
        <v>0</v>
      </c>
    </row>
    <row r="3006" outlineLevel="2" spans="1:24">
      <c r="A3006" s="1706" t="s">
        <v>4135</v>
      </c>
      <c r="B3006" s="692" t="s">
        <v>4130</v>
      </c>
      <c r="C3006" s="693" t="str">
        <f t="shared" si="389"/>
        <v>深圳新阳蓝光能源管理科技股份有限公司</v>
      </c>
      <c r="D3006" s="1707" t="s">
        <v>4135</v>
      </c>
      <c r="E3006" s="153" t="s">
        <v>4136</v>
      </c>
      <c r="F3006" s="145"/>
      <c r="G3006" s="145"/>
      <c r="H3006" s="838"/>
      <c r="I3006" s="1711"/>
      <c r="J3006" s="1711"/>
      <c r="K3006" s="1711"/>
      <c r="L3006" s="1711"/>
      <c r="X3006" s="768" t="b">
        <f t="shared" si="388"/>
        <v>1</v>
      </c>
    </row>
    <row r="3007" outlineLevel="2" spans="1:24">
      <c r="A3007" s="1706" t="s">
        <v>2809</v>
      </c>
      <c r="B3007" s="692" t="s">
        <v>4130</v>
      </c>
      <c r="C3007" s="693" t="str">
        <f t="shared" si="389"/>
        <v>深圳新阳蓝光能源管理科技股份有限公司</v>
      </c>
      <c r="D3007" s="1707" t="s">
        <v>4135</v>
      </c>
      <c r="E3007" s="1180" t="s">
        <v>3284</v>
      </c>
      <c r="F3007" s="1005"/>
      <c r="G3007" s="1005"/>
      <c r="H3007" s="1711"/>
      <c r="I3007" s="1711"/>
      <c r="J3007" s="1711"/>
      <c r="K3007" s="1711"/>
      <c r="L3007" s="1711"/>
      <c r="X3007" s="768" t="b">
        <f t="shared" si="388"/>
        <v>1</v>
      </c>
    </row>
    <row r="3008" outlineLevel="2" spans="1:24">
      <c r="A3008" s="1706" t="s">
        <v>4137</v>
      </c>
      <c r="B3008" s="692" t="s">
        <v>4130</v>
      </c>
      <c r="C3008" s="693" t="str">
        <f t="shared" si="389"/>
        <v>深圳新阳蓝光能源管理科技股份有限公司</v>
      </c>
      <c r="D3008" s="1707" t="s">
        <v>4137</v>
      </c>
      <c r="E3008" s="153" t="s">
        <v>4138</v>
      </c>
      <c r="F3008" s="145"/>
      <c r="G3008" s="145"/>
      <c r="H3008" s="1711"/>
      <c r="I3008" s="1711"/>
      <c r="J3008" s="1711"/>
      <c r="K3008" s="1711"/>
      <c r="L3008" s="1711"/>
      <c r="X3008" s="768" t="b">
        <f t="shared" si="388"/>
        <v>0</v>
      </c>
    </row>
    <row r="3009" outlineLevel="2" spans="1:24">
      <c r="A3009" s="1706" t="s">
        <v>61</v>
      </c>
      <c r="B3009" s="692" t="s">
        <v>4130</v>
      </c>
      <c r="C3009" s="693" t="str">
        <f t="shared" si="389"/>
        <v>深圳新阳蓝光能源管理科技股份有限公司</v>
      </c>
      <c r="D3009" s="1707" t="s">
        <v>4137</v>
      </c>
      <c r="E3009" s="1234" t="s">
        <v>61</v>
      </c>
      <c r="F3009" s="1728" t="s">
        <v>4139</v>
      </c>
      <c r="G3009" s="1728" t="s">
        <v>2454</v>
      </c>
      <c r="H3009" s="1711"/>
      <c r="I3009" s="1711"/>
      <c r="J3009" s="1711"/>
      <c r="K3009" s="1711"/>
      <c r="L3009" s="1711"/>
      <c r="X3009" s="768" t="b">
        <f t="shared" si="388"/>
        <v>1</v>
      </c>
    </row>
    <row r="3010" outlineLevel="2" spans="1:24">
      <c r="A3010" s="1706" t="s">
        <v>4140</v>
      </c>
      <c r="B3010" s="692" t="s">
        <v>4130</v>
      </c>
      <c r="C3010" s="693" t="str">
        <f t="shared" si="389"/>
        <v>深圳新阳蓝光能源管理科技股份有限公司</v>
      </c>
      <c r="D3010" s="1707" t="s">
        <v>4137</v>
      </c>
      <c r="E3010" s="1729" t="s">
        <v>4140</v>
      </c>
      <c r="F3010" s="139">
        <f>审定利润表!C22</f>
        <v>8548321.03</v>
      </c>
      <c r="G3010" s="139">
        <f>本月审定利润表!G23</f>
        <v>0</v>
      </c>
      <c r="H3010" s="838"/>
      <c r="I3010" s="1711"/>
      <c r="J3010" s="1711"/>
      <c r="K3010" s="1711"/>
      <c r="L3010" s="1711"/>
      <c r="X3010" s="768" t="b">
        <f t="shared" si="388"/>
        <v>1</v>
      </c>
    </row>
    <row r="3011" outlineLevel="2" spans="1:24">
      <c r="A3011" s="1706" t="s">
        <v>4141</v>
      </c>
      <c r="B3011" s="692" t="s">
        <v>4130</v>
      </c>
      <c r="C3011" s="693" t="str">
        <f t="shared" si="389"/>
        <v>深圳新阳蓝光能源管理科技股份有限公司</v>
      </c>
      <c r="D3011" s="1707" t="s">
        <v>4137</v>
      </c>
      <c r="E3011" s="1729" t="s">
        <v>4141</v>
      </c>
      <c r="F3011" s="157"/>
      <c r="G3011" s="157"/>
      <c r="H3011" s="1725"/>
      <c r="I3011" s="1711"/>
      <c r="J3011" s="1711"/>
      <c r="K3011" s="1711"/>
      <c r="L3011" s="1711"/>
      <c r="X3011" s="768" t="b">
        <f t="shared" si="388"/>
        <v>1</v>
      </c>
    </row>
    <row r="3012" outlineLevel="2" spans="1:24">
      <c r="A3012" s="1706" t="s">
        <v>4142</v>
      </c>
      <c r="B3012" s="692" t="s">
        <v>4130</v>
      </c>
      <c r="C3012" s="693" t="str">
        <f t="shared" si="389"/>
        <v>深圳新阳蓝光能源管理科技股份有限公司</v>
      </c>
      <c r="D3012" s="1707" t="s">
        <v>4137</v>
      </c>
      <c r="E3012" s="1730" t="s">
        <v>4143</v>
      </c>
      <c r="F3012" s="136"/>
      <c r="G3012" s="136"/>
      <c r="H3012" s="1711"/>
      <c r="I3012" s="1711"/>
      <c r="J3012" s="1711"/>
      <c r="K3012" s="1711"/>
      <c r="L3012" s="1711"/>
      <c r="X3012" s="768" t="b">
        <f t="shared" ref="X3012:X3077" si="390">EXACT(A3012,E3012)</f>
        <v>1</v>
      </c>
    </row>
    <row r="3013" outlineLevel="2" spans="1:24">
      <c r="A3013" s="1706" t="s">
        <v>4144</v>
      </c>
      <c r="B3013" s="692" t="s">
        <v>4130</v>
      </c>
      <c r="C3013" s="693" t="str">
        <f t="shared" si="389"/>
        <v>深圳新阳蓝光能源管理科技股份有限公司</v>
      </c>
      <c r="D3013" s="1707" t="s">
        <v>4137</v>
      </c>
      <c r="E3013" s="1730" t="s">
        <v>4145</v>
      </c>
      <c r="F3013" s="139">
        <f>ROUND(SUM(F3014:F3018),2)</f>
        <v>0</v>
      </c>
      <c r="G3013" s="139">
        <f>SUM(G3014:G3018)</f>
        <v>0</v>
      </c>
      <c r="H3013" s="1731"/>
      <c r="I3013" s="1711"/>
      <c r="J3013" s="1711"/>
      <c r="K3013" s="1711"/>
      <c r="L3013" s="1711"/>
      <c r="X3013" s="768" t="b">
        <f t="shared" si="390"/>
        <v>1</v>
      </c>
    </row>
    <row r="3014" outlineLevel="2" spans="1:24">
      <c r="A3014" s="1706" t="s">
        <v>4146</v>
      </c>
      <c r="B3014" s="692" t="s">
        <v>4130</v>
      </c>
      <c r="C3014" s="693" t="str">
        <f t="shared" si="389"/>
        <v>深圳新阳蓝光能源管理科技股份有限公司</v>
      </c>
      <c r="D3014" s="1707" t="s">
        <v>4137</v>
      </c>
      <c r="E3014" s="1730" t="s">
        <v>4147</v>
      </c>
      <c r="F3014" s="136"/>
      <c r="G3014" s="136"/>
      <c r="H3014" s="1711"/>
      <c r="I3014" s="1711"/>
      <c r="J3014" s="1711"/>
      <c r="K3014" s="1711"/>
      <c r="L3014" s="1711"/>
      <c r="X3014" s="768" t="b">
        <f t="shared" si="390"/>
        <v>0</v>
      </c>
    </row>
    <row r="3015" outlineLevel="2" spans="1:24">
      <c r="A3015" s="1706" t="s">
        <v>4148</v>
      </c>
      <c r="B3015" s="692" t="s">
        <v>4130</v>
      </c>
      <c r="C3015" s="693" t="str">
        <f t="shared" si="389"/>
        <v>深圳新阳蓝光能源管理科技股份有限公司</v>
      </c>
      <c r="D3015" s="1707" t="s">
        <v>4137</v>
      </c>
      <c r="E3015" s="1732" t="s">
        <v>4149</v>
      </c>
      <c r="F3015" s="136"/>
      <c r="G3015" s="136"/>
      <c r="H3015" s="1711"/>
      <c r="I3015" s="1711"/>
      <c r="J3015" s="1711"/>
      <c r="K3015" s="1711"/>
      <c r="L3015" s="1711"/>
      <c r="X3015" s="768" t="b">
        <f t="shared" si="390"/>
        <v>0</v>
      </c>
    </row>
    <row r="3016" outlineLevel="2" spans="1:24">
      <c r="A3016" s="1706" t="s">
        <v>4150</v>
      </c>
      <c r="B3016" s="692" t="s">
        <v>4130</v>
      </c>
      <c r="C3016" s="693" t="str">
        <f t="shared" si="389"/>
        <v>深圳新阳蓝光能源管理科技股份有限公司</v>
      </c>
      <c r="D3016" s="1707" t="s">
        <v>4137</v>
      </c>
      <c r="E3016" s="1732" t="s">
        <v>4151</v>
      </c>
      <c r="F3016" s="136"/>
      <c r="G3016" s="136"/>
      <c r="H3016" s="1711"/>
      <c r="I3016" s="1711"/>
      <c r="J3016" s="1711"/>
      <c r="K3016" s="1711"/>
      <c r="L3016" s="1711"/>
      <c r="X3016" s="768" t="b">
        <f t="shared" si="390"/>
        <v>0</v>
      </c>
    </row>
    <row r="3017" outlineLevel="2" spans="1:24">
      <c r="A3017" s="1706" t="s">
        <v>4152</v>
      </c>
      <c r="B3017" s="692" t="s">
        <v>4130</v>
      </c>
      <c r="C3017" s="693" t="str">
        <f t="shared" si="389"/>
        <v>深圳新阳蓝光能源管理科技股份有限公司</v>
      </c>
      <c r="D3017" s="1707" t="s">
        <v>4137</v>
      </c>
      <c r="E3017" s="1732" t="s">
        <v>4153</v>
      </c>
      <c r="F3017" s="136"/>
      <c r="G3017" s="136"/>
      <c r="H3017" s="1731" t="s">
        <v>4154</v>
      </c>
      <c r="I3017" s="1711"/>
      <c r="J3017" s="1711"/>
      <c r="K3017" s="1711"/>
      <c r="L3017" s="1711"/>
      <c r="X3017" s="768" t="b">
        <f t="shared" si="390"/>
        <v>0</v>
      </c>
    </row>
    <row r="3018" outlineLevel="2" spans="1:24">
      <c r="A3018" s="1706" t="s">
        <v>4155</v>
      </c>
      <c r="B3018" s="692" t="s">
        <v>4130</v>
      </c>
      <c r="C3018" s="693" t="str">
        <f t="shared" si="389"/>
        <v>深圳新阳蓝光能源管理科技股份有限公司</v>
      </c>
      <c r="D3018" s="1707" t="s">
        <v>4137</v>
      </c>
      <c r="E3018" s="1732" t="s">
        <v>4156</v>
      </c>
      <c r="F3018" s="136"/>
      <c r="G3018" s="136"/>
      <c r="H3018" s="1725">
        <v>1147618.09</v>
      </c>
      <c r="I3018" s="838"/>
      <c r="J3018" s="1725">
        <f>I3018-H3018</f>
        <v>-1147618.09</v>
      </c>
      <c r="K3018" s="1711"/>
      <c r="L3018" s="1711"/>
      <c r="X3018" s="768" t="b">
        <f t="shared" si="390"/>
        <v>0</v>
      </c>
    </row>
    <row r="3019" outlineLevel="2" spans="1:24">
      <c r="A3019" s="1706" t="s">
        <v>4157</v>
      </c>
      <c r="B3019" s="692" t="s">
        <v>4130</v>
      </c>
      <c r="C3019" s="693" t="str">
        <f t="shared" si="389"/>
        <v>深圳新阳蓝光能源管理科技股份有限公司</v>
      </c>
      <c r="D3019" s="1707" t="s">
        <v>4137</v>
      </c>
      <c r="E3019" s="1730" t="s">
        <v>4158</v>
      </c>
      <c r="F3019" s="139">
        <f>ROUND(SUM(F3020:F3024),2)</f>
        <v>21515546.45</v>
      </c>
      <c r="G3019" s="139">
        <f>SUM(G3020:G3024)</f>
        <v>0</v>
      </c>
      <c r="H3019" s="1733" t="s">
        <v>4159</v>
      </c>
      <c r="I3019" s="1733" t="s">
        <v>4160</v>
      </c>
      <c r="J3019" s="1752" t="s">
        <v>4161</v>
      </c>
      <c r="K3019" s="1711"/>
      <c r="L3019" s="1711"/>
      <c r="X3019" s="768" t="b">
        <f t="shared" si="390"/>
        <v>1</v>
      </c>
    </row>
    <row r="3020" outlineLevel="2" spans="1:24">
      <c r="A3020" s="1706" t="s">
        <v>4146</v>
      </c>
      <c r="B3020" s="692" t="s">
        <v>4130</v>
      </c>
      <c r="C3020" s="693" t="str">
        <f t="shared" si="389"/>
        <v>深圳新阳蓝光能源管理科技股份有限公司</v>
      </c>
      <c r="D3020" s="1707" t="s">
        <v>4137</v>
      </c>
      <c r="E3020" s="1730" t="s">
        <v>4162</v>
      </c>
      <c r="F3020" s="136">
        <f>H3018-J3020</f>
        <v>547130.27</v>
      </c>
      <c r="G3020" s="136"/>
      <c r="H3020" s="1725">
        <f>ROUND((H3018)*60%,2)</f>
        <v>688570.85</v>
      </c>
      <c r="I3020" s="838">
        <f>ROUND(审定利润表!C6*0.5%,2)</f>
        <v>600487.82</v>
      </c>
      <c r="J3020" s="838">
        <f>IF(H3020&gt;I3020,I3020,H3020)</f>
        <v>600487.82</v>
      </c>
      <c r="K3020" s="1711"/>
      <c r="L3020" s="1711"/>
      <c r="X3020" s="768" t="b">
        <f t="shared" si="390"/>
        <v>0</v>
      </c>
    </row>
    <row r="3021" outlineLevel="2" spans="1:24">
      <c r="A3021" s="1706" t="s">
        <v>4148</v>
      </c>
      <c r="B3021" s="692" t="s">
        <v>4130</v>
      </c>
      <c r="C3021" s="693" t="str">
        <f t="shared" si="389"/>
        <v>深圳新阳蓝光能源管理科技股份有限公司</v>
      </c>
      <c r="D3021" s="1707" t="s">
        <v>4137</v>
      </c>
      <c r="E3021" s="1730" t="s">
        <v>4163</v>
      </c>
      <c r="F3021" s="136"/>
      <c r="G3021" s="136"/>
      <c r="H3021" s="1711"/>
      <c r="I3021" s="1711"/>
      <c r="J3021" s="1711"/>
      <c r="K3021" s="1711"/>
      <c r="L3021" s="1711"/>
      <c r="X3021" s="768" t="b">
        <f t="shared" si="390"/>
        <v>0</v>
      </c>
    </row>
    <row r="3022" outlineLevel="2" spans="1:24">
      <c r="A3022" s="1706" t="s">
        <v>4150</v>
      </c>
      <c r="B3022" s="692" t="s">
        <v>4130</v>
      </c>
      <c r="C3022" s="693" t="str">
        <f t="shared" si="389"/>
        <v>深圳新阳蓝光能源管理科技股份有限公司</v>
      </c>
      <c r="D3022" s="1707" t="s">
        <v>4137</v>
      </c>
      <c r="E3022" s="1732" t="s">
        <v>4164</v>
      </c>
      <c r="F3022" s="136">
        <f>I3026-I3024</f>
        <v>20966573.8</v>
      </c>
      <c r="G3022" s="136"/>
      <c r="H3022" s="1731" t="s">
        <v>4165</v>
      </c>
      <c r="I3022" s="838">
        <v>68120.1</v>
      </c>
      <c r="J3022" s="1711"/>
      <c r="K3022" s="1711"/>
      <c r="L3022" s="1711"/>
      <c r="X3022" s="768" t="b">
        <f t="shared" si="390"/>
        <v>0</v>
      </c>
    </row>
    <row r="3023" outlineLevel="2" spans="1:24">
      <c r="A3023" s="1706" t="s">
        <v>4152</v>
      </c>
      <c r="B3023" s="692" t="s">
        <v>4130</v>
      </c>
      <c r="C3023" s="693" t="str">
        <f t="shared" si="389"/>
        <v>深圳新阳蓝光能源管理科技股份有限公司</v>
      </c>
      <c r="D3023" s="1707" t="s">
        <v>4137</v>
      </c>
      <c r="E3023" s="1732" t="s">
        <v>4166</v>
      </c>
      <c r="F3023" s="136">
        <f>1108.73+733.65</f>
        <v>1842.38</v>
      </c>
      <c r="G3023" s="136"/>
      <c r="H3023" s="1731" t="s">
        <v>4167</v>
      </c>
      <c r="I3023" s="838">
        <f>10124169.22+10000000+774284.48</f>
        <v>20898453.7</v>
      </c>
      <c r="J3023" s="1711"/>
      <c r="K3023" s="1711"/>
      <c r="L3023" s="1711"/>
      <c r="X3023" s="768" t="b">
        <f t="shared" si="390"/>
        <v>0</v>
      </c>
    </row>
    <row r="3024" outlineLevel="2" spans="1:24">
      <c r="A3024" s="1706" t="s">
        <v>4155</v>
      </c>
      <c r="B3024" s="692" t="s">
        <v>4130</v>
      </c>
      <c r="C3024" s="693" t="str">
        <f t="shared" si="389"/>
        <v>深圳新阳蓝光能源管理科技股份有限公司</v>
      </c>
      <c r="D3024" s="1707" t="s">
        <v>4137</v>
      </c>
      <c r="E3024" s="1732" t="s">
        <v>4168</v>
      </c>
      <c r="F3024" s="136"/>
      <c r="G3024" s="136"/>
      <c r="H3024" s="1731" t="s">
        <v>4169</v>
      </c>
      <c r="I3024" s="838"/>
      <c r="J3024" s="1711"/>
      <c r="K3024" s="1711"/>
      <c r="L3024" s="1711"/>
      <c r="X3024" s="768" t="b">
        <f t="shared" si="390"/>
        <v>0</v>
      </c>
    </row>
    <row r="3025" outlineLevel="2" spans="1:24">
      <c r="A3025" s="1706" t="s">
        <v>4170</v>
      </c>
      <c r="B3025" s="692" t="s">
        <v>4130</v>
      </c>
      <c r="C3025" s="693" t="str">
        <f t="shared" ref="C3025:C3090" si="391">$G$1</f>
        <v>深圳新阳蓝光能源管理科技股份有限公司</v>
      </c>
      <c r="D3025" s="1707" t="s">
        <v>4137</v>
      </c>
      <c r="E3025" s="1730" t="s">
        <v>4171</v>
      </c>
      <c r="F3025" s="136"/>
      <c r="G3025" s="136"/>
      <c r="H3025" s="1734" t="s">
        <v>4172</v>
      </c>
      <c r="I3025" s="838"/>
      <c r="J3025" s="1711"/>
      <c r="K3025" s="1711"/>
      <c r="L3025" s="1711"/>
      <c r="X3025" s="768" t="b">
        <f t="shared" si="390"/>
        <v>1</v>
      </c>
    </row>
    <row r="3026" outlineLevel="2" spans="1:24">
      <c r="A3026" s="1706" t="s">
        <v>4173</v>
      </c>
      <c r="B3026" s="692" t="s">
        <v>4130</v>
      </c>
      <c r="C3026" s="693" t="str">
        <f t="shared" si="391"/>
        <v>深圳新阳蓝光能源管理科技股份有限公司</v>
      </c>
      <c r="D3026" s="1707" t="s">
        <v>4137</v>
      </c>
      <c r="E3026" s="1730" t="s">
        <v>4174</v>
      </c>
      <c r="F3026" s="1735">
        <v>1223853.02</v>
      </c>
      <c r="G3026" s="136"/>
      <c r="H3026" s="1731" t="s">
        <v>4175</v>
      </c>
      <c r="I3026" s="1725">
        <f>I3022+I3023</f>
        <v>20966573.8</v>
      </c>
      <c r="J3026" s="1711"/>
      <c r="K3026" s="1711"/>
      <c r="L3026" s="1711"/>
      <c r="X3026" s="768" t="b">
        <f t="shared" si="390"/>
        <v>1</v>
      </c>
    </row>
    <row r="3027" outlineLevel="2" spans="2:24">
      <c r="B3027" s="692"/>
      <c r="C3027" s="693"/>
      <c r="D3027" s="1707"/>
      <c r="E3027" s="1730" t="s">
        <v>4176</v>
      </c>
      <c r="F3027" s="136"/>
      <c r="G3027" s="136"/>
      <c r="H3027" s="1731" t="s">
        <v>4177</v>
      </c>
      <c r="I3027" s="838">
        <v>445459.79</v>
      </c>
      <c r="J3027" s="1711"/>
      <c r="K3027" s="1711"/>
      <c r="L3027" s="1711"/>
      <c r="X3027" s="768"/>
    </row>
    <row r="3028" outlineLevel="2" spans="1:24">
      <c r="A3028" s="1706" t="s">
        <v>4178</v>
      </c>
      <c r="B3028" s="692" t="s">
        <v>4130</v>
      </c>
      <c r="C3028" s="693" t="str">
        <f t="shared" si="391"/>
        <v>深圳新阳蓝光能源管理科技股份有限公司</v>
      </c>
      <c r="D3028" s="1707" t="s">
        <v>4137</v>
      </c>
      <c r="E3028" s="1730" t="s">
        <v>4179</v>
      </c>
      <c r="F3028" s="139">
        <f>ROUND(SUM(F3029:F3031),2)</f>
        <v>43927698.92</v>
      </c>
      <c r="G3028" s="139">
        <f>SUM(G3029:G3031)</f>
        <v>0</v>
      </c>
      <c r="H3028" s="1731"/>
      <c r="I3028" s="838"/>
      <c r="J3028" s="1711"/>
      <c r="K3028" s="1711"/>
      <c r="L3028" s="1711"/>
      <c r="X3028" s="768" t="b">
        <f t="shared" si="390"/>
        <v>1</v>
      </c>
    </row>
    <row r="3029" outlineLevel="2" spans="1:24">
      <c r="A3029" s="1706" t="s">
        <v>4146</v>
      </c>
      <c r="B3029" s="692" t="s">
        <v>4130</v>
      </c>
      <c r="C3029" s="693" t="str">
        <f t="shared" si="391"/>
        <v>深圳新阳蓝光能源管理科技股份有限公司</v>
      </c>
      <c r="D3029" s="1707" t="s">
        <v>4137</v>
      </c>
      <c r="E3029" s="1732" t="s">
        <v>4180</v>
      </c>
      <c r="F3029" s="136">
        <v>10887733.97</v>
      </c>
      <c r="G3029" s="1736"/>
      <c r="H3029" s="1731"/>
      <c r="I3029" s="838"/>
      <c r="J3029" s="1711"/>
      <c r="K3029" s="1711"/>
      <c r="L3029" s="1711"/>
      <c r="X3029" s="768" t="b">
        <f t="shared" si="390"/>
        <v>0</v>
      </c>
    </row>
    <row r="3030" outlineLevel="2" spans="1:24">
      <c r="A3030" s="1706" t="s">
        <v>4148</v>
      </c>
      <c r="B3030" s="692" t="s">
        <v>4130</v>
      </c>
      <c r="C3030" s="693" t="str">
        <f t="shared" si="391"/>
        <v>深圳新阳蓝光能源管理科技股份有限公司</v>
      </c>
      <c r="D3030" s="1707" t="s">
        <v>4137</v>
      </c>
      <c r="E3030" s="1732" t="s">
        <v>4181</v>
      </c>
      <c r="F3030" s="136">
        <f>43927698.92-F3029</f>
        <v>33039964.95</v>
      </c>
      <c r="G3030" s="136"/>
      <c r="H3030" s="1731" t="s">
        <v>4182</v>
      </c>
      <c r="I3030" s="838"/>
      <c r="J3030" s="1711"/>
      <c r="K3030" s="1711"/>
      <c r="L3030" s="1711"/>
      <c r="X3030" s="768" t="b">
        <f t="shared" si="390"/>
        <v>1</v>
      </c>
    </row>
    <row r="3031" outlineLevel="2" spans="1:24">
      <c r="A3031" s="1706" t="s">
        <v>4150</v>
      </c>
      <c r="B3031" s="692" t="s">
        <v>4130</v>
      </c>
      <c r="C3031" s="693" t="str">
        <f t="shared" si="391"/>
        <v>深圳新阳蓝光能源管理科技股份有限公司</v>
      </c>
      <c r="D3031" s="1707" t="s">
        <v>4137</v>
      </c>
      <c r="E3031" s="1732" t="s">
        <v>4183</v>
      </c>
      <c r="F3031" s="136"/>
      <c r="G3031" s="136"/>
      <c r="H3031" s="838"/>
      <c r="I3031" s="1711"/>
      <c r="J3031" s="1711"/>
      <c r="K3031" s="1711"/>
      <c r="L3031" s="1711"/>
      <c r="X3031" s="768" t="b">
        <f t="shared" si="390"/>
        <v>1</v>
      </c>
    </row>
    <row r="3032" outlineLevel="2" spans="1:24">
      <c r="A3032" s="1706" t="s">
        <v>4184</v>
      </c>
      <c r="B3032" s="692" t="s">
        <v>4130</v>
      </c>
      <c r="C3032" s="693" t="str">
        <f t="shared" si="391"/>
        <v>深圳新阳蓝光能源管理科技股份有限公司</v>
      </c>
      <c r="D3032" s="1707" t="s">
        <v>4137</v>
      </c>
      <c r="E3032" s="1730" t="s">
        <v>4185</v>
      </c>
      <c r="F3032" s="139">
        <f>ROUND(SUM(F3033:F3036),2)</f>
        <v>231321.21</v>
      </c>
      <c r="G3032" s="139">
        <f>ROUND(SUM(G3033:G3036),2)</f>
        <v>4990869.42</v>
      </c>
      <c r="H3032" s="838"/>
      <c r="I3032" s="1711"/>
      <c r="J3032" s="1711"/>
      <c r="K3032" s="1711"/>
      <c r="L3032" s="1711"/>
      <c r="X3032" s="768" t="b">
        <f t="shared" si="390"/>
        <v>1</v>
      </c>
    </row>
    <row r="3033" outlineLevel="2" spans="1:24">
      <c r="A3033" s="1706" t="s">
        <v>4146</v>
      </c>
      <c r="B3033" s="692" t="s">
        <v>4130</v>
      </c>
      <c r="C3033" s="693" t="str">
        <f t="shared" si="391"/>
        <v>深圳新阳蓝光能源管理科技股份有限公司</v>
      </c>
      <c r="D3033" s="1707" t="s">
        <v>4137</v>
      </c>
      <c r="E3033" s="1730" t="s">
        <v>4186</v>
      </c>
      <c r="F3033" s="136">
        <v>2020102.49</v>
      </c>
      <c r="G3033" s="136">
        <f>G2712</f>
        <v>4558848.14</v>
      </c>
      <c r="H3033" s="1725">
        <f>F3032*F3038</f>
        <v>34698.1815</v>
      </c>
      <c r="I3033" s="1711"/>
      <c r="J3033" s="1711"/>
      <c r="K3033" s="1711"/>
      <c r="L3033" s="1711"/>
      <c r="X3033" s="768" t="b">
        <f t="shared" si="390"/>
        <v>0</v>
      </c>
    </row>
    <row r="3034" outlineLevel="2" spans="1:24">
      <c r="A3034" s="1706" t="s">
        <v>4148</v>
      </c>
      <c r="B3034" s="692" t="s">
        <v>4130</v>
      </c>
      <c r="C3034" s="693" t="str">
        <f t="shared" si="391"/>
        <v>深圳新阳蓝光能源管理科技股份有限公司</v>
      </c>
      <c r="D3034" s="1707" t="s">
        <v>4137</v>
      </c>
      <c r="E3034" s="1730" t="s">
        <v>4187</v>
      </c>
      <c r="F3034" s="136">
        <v>-1788781.28</v>
      </c>
      <c r="G3034" s="136">
        <f>G2713</f>
        <v>432021.28</v>
      </c>
      <c r="H3034" s="1731" t="s">
        <v>4188</v>
      </c>
      <c r="I3034" s="1711"/>
      <c r="J3034" s="1711"/>
      <c r="K3034" s="1711"/>
      <c r="L3034" s="1711"/>
      <c r="X3034" s="768" t="b">
        <f t="shared" si="390"/>
        <v>0</v>
      </c>
    </row>
    <row r="3035" outlineLevel="2" spans="1:24">
      <c r="A3035" s="1706" t="s">
        <v>4150</v>
      </c>
      <c r="B3035" s="692" t="s">
        <v>4130</v>
      </c>
      <c r="C3035" s="693" t="str">
        <f t="shared" si="391"/>
        <v>深圳新阳蓝光能源管理科技股份有限公司</v>
      </c>
      <c r="D3035" s="1707" t="s">
        <v>4137</v>
      </c>
      <c r="E3035" s="1732" t="s">
        <v>3763</v>
      </c>
      <c r="F3035" s="136">
        <f>I3025</f>
        <v>0</v>
      </c>
      <c r="G3035" s="136"/>
      <c r="H3035" s="1731" t="s">
        <v>3763</v>
      </c>
      <c r="I3035" s="1725"/>
      <c r="J3035" s="1711"/>
      <c r="K3035" s="1711"/>
      <c r="L3035" s="1711"/>
      <c r="X3035" s="768" t="b">
        <f t="shared" si="390"/>
        <v>0</v>
      </c>
    </row>
    <row r="3036" outlineLevel="2" spans="1:24">
      <c r="A3036" s="1706" t="s">
        <v>4152</v>
      </c>
      <c r="B3036" s="692" t="s">
        <v>4130</v>
      </c>
      <c r="C3036" s="693" t="str">
        <f t="shared" si="391"/>
        <v>深圳新阳蓝光能源管理科技股份有限公司</v>
      </c>
      <c r="D3036" s="1707" t="s">
        <v>4137</v>
      </c>
      <c r="E3036" s="1737" t="s">
        <v>4189</v>
      </c>
      <c r="F3036" s="136"/>
      <c r="G3036" s="136"/>
      <c r="H3036" s="1731" t="s">
        <v>1334</v>
      </c>
      <c r="I3036" s="1711"/>
      <c r="J3036" s="1711"/>
      <c r="K3036" s="1711"/>
      <c r="L3036" s="1711"/>
      <c r="X3036" s="768" t="b">
        <f t="shared" si="390"/>
        <v>0</v>
      </c>
    </row>
    <row r="3037" outlineLevel="2" spans="1:24">
      <c r="A3037" s="1706" t="s">
        <v>4190</v>
      </c>
      <c r="B3037" s="692" t="s">
        <v>4130</v>
      </c>
      <c r="C3037" s="693" t="str">
        <f t="shared" si="391"/>
        <v>深圳新阳蓝光能源管理科技股份有限公司</v>
      </c>
      <c r="D3037" s="1738" t="s">
        <v>4137</v>
      </c>
      <c r="E3037" s="1739" t="s">
        <v>4190</v>
      </c>
      <c r="F3037" s="139">
        <f>IF(ROUND(F3010-F3012-F3013+F3019-F3025-F3026-F3027-F3028+F3032,2)&gt;0,ROUND(F3010-F3012-F3013+F3019-F3025-F3026-F3027-F3028+F3032,2),0)</f>
        <v>0</v>
      </c>
      <c r="G3037" s="139">
        <f>IF(ROUND(G3010-G3012-G3013+G3019-G3025-G3026-G3027-G3028+G3032,2)&gt;0,ROUND(G3010-G3012-G3013+G3019-G3025-G3026-G3027-G3028+G3032,2),0)</f>
        <v>4990869.42</v>
      </c>
      <c r="H3037" s="93">
        <f>ROUND(F3010-F3012-F3013+F3019-F3026-F3027-F3028+F3032+F3040,2)</f>
        <v>-14856363.25</v>
      </c>
      <c r="I3037" s="93">
        <f>ROUND(G3010-G3012-G3013+G3019-G3026-G3027-G3028+G3032-G3036+G3040,2)</f>
        <v>4990869.42</v>
      </c>
      <c r="J3037" s="1753" t="s">
        <v>4191</v>
      </c>
      <c r="K3037" s="1711"/>
      <c r="L3037" s="1711"/>
      <c r="X3037" s="768" t="b">
        <f t="shared" si="390"/>
        <v>1</v>
      </c>
    </row>
    <row r="3038" outlineLevel="2" spans="1:24">
      <c r="A3038" s="1706" t="s">
        <v>4192</v>
      </c>
      <c r="B3038" s="692" t="s">
        <v>4130</v>
      </c>
      <c r="C3038" s="693" t="str">
        <f t="shared" si="391"/>
        <v>深圳新阳蓝光能源管理科技股份有限公司</v>
      </c>
      <c r="D3038" s="1738" t="s">
        <v>4137</v>
      </c>
      <c r="E3038" s="1739" t="s">
        <v>4192</v>
      </c>
      <c r="F3038" s="1740">
        <v>0.15</v>
      </c>
      <c r="G3038" s="1740"/>
      <c r="H3038" s="838"/>
      <c r="I3038" s="1725"/>
      <c r="J3038" s="1711"/>
      <c r="K3038" s="1711"/>
      <c r="L3038" s="1711"/>
      <c r="X3038" s="768" t="b">
        <f t="shared" si="390"/>
        <v>1</v>
      </c>
    </row>
    <row r="3039" outlineLevel="2" spans="1:24">
      <c r="A3039" s="1706" t="s">
        <v>4193</v>
      </c>
      <c r="B3039" s="692" t="s">
        <v>4130</v>
      </c>
      <c r="C3039" s="693" t="str">
        <f t="shared" si="391"/>
        <v>深圳新阳蓝光能源管理科技股份有限公司</v>
      </c>
      <c r="D3039" s="1738" t="s">
        <v>4137</v>
      </c>
      <c r="E3039" s="1729" t="s">
        <v>4194</v>
      </c>
      <c r="F3039" s="139">
        <f>ROUND(F3037*F3038,2)</f>
        <v>0</v>
      </c>
      <c r="G3039" s="139">
        <f>G3037*G3038</f>
        <v>0</v>
      </c>
      <c r="H3039" s="838"/>
      <c r="I3039" s="1725"/>
      <c r="J3039" s="1711"/>
      <c r="K3039" s="1711"/>
      <c r="L3039" s="1711"/>
      <c r="X3039" s="768" t="b">
        <f t="shared" si="390"/>
        <v>1</v>
      </c>
    </row>
    <row r="3040" outlineLevel="2" spans="1:24">
      <c r="A3040" s="1706" t="s">
        <v>4195</v>
      </c>
      <c r="B3040" s="692" t="s">
        <v>4130</v>
      </c>
      <c r="C3040" s="693" t="str">
        <f t="shared" si="391"/>
        <v>深圳新阳蓝光能源管理科技股份有限公司</v>
      </c>
      <c r="D3040" s="1738" t="s">
        <v>4137</v>
      </c>
      <c r="E3040" s="1729" t="s">
        <v>4195</v>
      </c>
      <c r="F3040" s="136"/>
      <c r="G3040" s="136"/>
      <c r="H3040" s="1725"/>
      <c r="I3040" s="1711"/>
      <c r="J3040" s="1711"/>
      <c r="K3040" s="1711"/>
      <c r="L3040" s="1711"/>
      <c r="X3040" s="768" t="b">
        <f t="shared" si="390"/>
        <v>1</v>
      </c>
    </row>
    <row r="3041" outlineLevel="2" spans="1:24">
      <c r="A3041" s="1706" t="s">
        <v>4196</v>
      </c>
      <c r="B3041" s="692" t="s">
        <v>4130</v>
      </c>
      <c r="C3041" s="693" t="str">
        <f t="shared" si="391"/>
        <v>深圳新阳蓝光能源管理科技股份有限公司</v>
      </c>
      <c r="D3041" s="1738" t="s">
        <v>4137</v>
      </c>
      <c r="E3041" s="1741" t="s">
        <v>4196</v>
      </c>
      <c r="F3041" s="139">
        <f>ROUND(F3039+F3040,2)</f>
        <v>0</v>
      </c>
      <c r="G3041" s="139">
        <f>G3039-G3040</f>
        <v>0</v>
      </c>
      <c r="H3041" s="838"/>
      <c r="I3041" s="1711"/>
      <c r="J3041" s="1711"/>
      <c r="K3041" s="1711"/>
      <c r="L3041" s="1711"/>
      <c r="X3041" s="768" t="b">
        <f t="shared" si="390"/>
        <v>1</v>
      </c>
    </row>
    <row r="3042" outlineLevel="2" spans="1:24">
      <c r="A3042" s="1706" t="s">
        <v>4197</v>
      </c>
      <c r="B3042" s="692" t="s">
        <v>4130</v>
      </c>
      <c r="C3042" s="693" t="str">
        <f t="shared" si="391"/>
        <v>深圳新阳蓝光能源管理科技股份有限公司</v>
      </c>
      <c r="D3042" s="1738" t="s">
        <v>4137</v>
      </c>
      <c r="E3042" s="1742" t="s">
        <v>4197</v>
      </c>
      <c r="F3042" s="136">
        <f>F3002</f>
        <v>-743918.35</v>
      </c>
      <c r="G3042" s="136">
        <f>G3002</f>
        <v>0</v>
      </c>
      <c r="H3042" s="1725">
        <f>G1602</f>
        <v>10364070.52</v>
      </c>
      <c r="I3042" s="1725"/>
      <c r="J3042" s="1711"/>
      <c r="K3042" s="1711"/>
      <c r="L3042" s="1711"/>
      <c r="X3042" s="768" t="b">
        <f t="shared" si="390"/>
        <v>1</v>
      </c>
    </row>
    <row r="3043" outlineLevel="2" spans="1:24">
      <c r="A3043" s="1706" t="s">
        <v>4198</v>
      </c>
      <c r="B3043" s="692" t="s">
        <v>4130</v>
      </c>
      <c r="C3043" s="693" t="str">
        <f t="shared" si="391"/>
        <v>深圳新阳蓝光能源管理科技股份有限公司</v>
      </c>
      <c r="D3043" s="1738" t="s">
        <v>4137</v>
      </c>
      <c r="E3043" s="1053" t="s">
        <v>4199</v>
      </c>
      <c r="F3043" s="1743"/>
      <c r="G3043" s="136"/>
      <c r="H3043" s="1725">
        <f>F3032-H3042</f>
        <v>-10132749.31</v>
      </c>
      <c r="I3043" s="1711"/>
      <c r="J3043" s="1711"/>
      <c r="K3043" s="1711"/>
      <c r="L3043" s="1711"/>
      <c r="X3043" s="768" t="b">
        <f t="shared" si="390"/>
        <v>1</v>
      </c>
    </row>
    <row r="3044" outlineLevel="2" spans="1:24">
      <c r="A3044" s="1706" t="s">
        <v>4200</v>
      </c>
      <c r="B3044" s="692" t="s">
        <v>4130</v>
      </c>
      <c r="C3044" s="693" t="str">
        <f t="shared" si="391"/>
        <v>深圳新阳蓝光能源管理科技股份有限公司</v>
      </c>
      <c r="D3044" s="1738" t="s">
        <v>4137</v>
      </c>
      <c r="E3044" s="1053" t="s">
        <v>4201</v>
      </c>
      <c r="F3044" s="1743">
        <f>F3038</f>
        <v>0.15</v>
      </c>
      <c r="G3044" s="1743">
        <f>G3038</f>
        <v>0</v>
      </c>
      <c r="H3044" s="1725"/>
      <c r="I3044" s="1711"/>
      <c r="J3044" s="1711"/>
      <c r="K3044" s="1711"/>
      <c r="L3044" s="1711"/>
      <c r="X3044" s="768" t="b">
        <f t="shared" si="390"/>
        <v>1</v>
      </c>
    </row>
    <row r="3045" outlineLevel="2" spans="1:24">
      <c r="A3045" s="1706" t="s">
        <v>4202</v>
      </c>
      <c r="B3045" s="692" t="s">
        <v>4130</v>
      </c>
      <c r="C3045" s="693" t="str">
        <f t="shared" si="391"/>
        <v>深圳新阳蓝光能源管理科技股份有限公司</v>
      </c>
      <c r="D3045" s="1738" t="s">
        <v>4137</v>
      </c>
      <c r="E3045" s="1730" t="s">
        <v>4203</v>
      </c>
      <c r="F3045" s="139">
        <f>ROUND(F3046*(F3044-F3043),2)</f>
        <v>0</v>
      </c>
      <c r="G3045" s="139">
        <f>G3046*(G3044-G3043)</f>
        <v>0</v>
      </c>
      <c r="H3045" s="838"/>
      <c r="I3045" s="1711"/>
      <c r="J3045" s="1711"/>
      <c r="K3045" s="1711"/>
      <c r="L3045" s="1711"/>
      <c r="X3045" s="768" t="b">
        <f t="shared" si="390"/>
        <v>1</v>
      </c>
    </row>
    <row r="3046" outlineLevel="2" spans="1:24">
      <c r="A3046" s="1706" t="s">
        <v>4204</v>
      </c>
      <c r="B3046" s="692" t="s">
        <v>4130</v>
      </c>
      <c r="C3046" s="693" t="str">
        <f t="shared" si="391"/>
        <v>深圳新阳蓝光能源管理科技股份有限公司</v>
      </c>
      <c r="D3046" s="1738" t="s">
        <v>4137</v>
      </c>
      <c r="E3046" s="1730" t="s">
        <v>4204</v>
      </c>
      <c r="F3046" s="139">
        <f>ROUND(SUM(F3047:F3050),2)</f>
        <v>0</v>
      </c>
      <c r="G3046" s="139">
        <f>ROUND(SUM(G3047:G3050),2)</f>
        <v>0</v>
      </c>
      <c r="H3046" s="1725"/>
      <c r="I3046" s="1711"/>
      <c r="J3046" s="1711"/>
      <c r="K3046" s="1711"/>
      <c r="L3046" s="1711"/>
      <c r="X3046" s="768" t="b">
        <f t="shared" si="390"/>
        <v>1</v>
      </c>
    </row>
    <row r="3047" outlineLevel="2" spans="1:24">
      <c r="A3047" s="1706" t="s">
        <v>4146</v>
      </c>
      <c r="B3047" s="692" t="s">
        <v>4130</v>
      </c>
      <c r="C3047" s="693" t="str">
        <f t="shared" si="391"/>
        <v>深圳新阳蓝光能源管理科技股份有限公司</v>
      </c>
      <c r="D3047" s="1738" t="s">
        <v>4137</v>
      </c>
      <c r="E3047" s="1732" t="s">
        <v>4205</v>
      </c>
      <c r="F3047" s="136"/>
      <c r="G3047" s="136"/>
      <c r="H3047" s="1725"/>
      <c r="I3047" s="1711"/>
      <c r="J3047" s="1711"/>
      <c r="K3047" s="1711"/>
      <c r="L3047" s="1711"/>
      <c r="X3047" s="768" t="b">
        <f t="shared" si="390"/>
        <v>1</v>
      </c>
    </row>
    <row r="3048" outlineLevel="2" spans="1:24">
      <c r="A3048" s="1706" t="s">
        <v>4148</v>
      </c>
      <c r="B3048" s="692" t="s">
        <v>4130</v>
      </c>
      <c r="C3048" s="693" t="str">
        <f t="shared" si="391"/>
        <v>深圳新阳蓝光能源管理科技股份有限公司</v>
      </c>
      <c r="D3048" s="1738" t="s">
        <v>4137</v>
      </c>
      <c r="E3048" s="1732" t="s">
        <v>4181</v>
      </c>
      <c r="F3048" s="136"/>
      <c r="G3048" s="136"/>
      <c r="H3048" s="1725"/>
      <c r="I3048" s="1711"/>
      <c r="J3048" s="1711"/>
      <c r="K3048" s="1711"/>
      <c r="L3048" s="1711"/>
      <c r="X3048" s="768" t="b">
        <f t="shared" si="390"/>
        <v>1</v>
      </c>
    </row>
    <row r="3049" outlineLevel="2" spans="1:24">
      <c r="A3049" s="1706" t="s">
        <v>4150</v>
      </c>
      <c r="B3049" s="692" t="s">
        <v>4130</v>
      </c>
      <c r="C3049" s="693" t="str">
        <f t="shared" si="391"/>
        <v>深圳新阳蓝光能源管理科技股份有限公司</v>
      </c>
      <c r="D3049" s="1738" t="s">
        <v>4137</v>
      </c>
      <c r="E3049" s="1732" t="s">
        <v>4183</v>
      </c>
      <c r="F3049" s="136"/>
      <c r="G3049" s="136"/>
      <c r="H3049" s="1711"/>
      <c r="I3049" s="1711"/>
      <c r="J3049" s="1711"/>
      <c r="K3049" s="1711"/>
      <c r="L3049" s="1711"/>
      <c r="X3049" s="768" t="b">
        <f t="shared" si="390"/>
        <v>1</v>
      </c>
    </row>
    <row r="3050" outlineLevel="2" spans="1:24">
      <c r="A3050" s="1706" t="s">
        <v>4152</v>
      </c>
      <c r="B3050" s="692" t="s">
        <v>4130</v>
      </c>
      <c r="C3050" s="693" t="str">
        <f t="shared" si="391"/>
        <v>深圳新阳蓝光能源管理科技股份有限公司</v>
      </c>
      <c r="D3050" s="1738" t="s">
        <v>4137</v>
      </c>
      <c r="E3050" s="1732" t="s">
        <v>4206</v>
      </c>
      <c r="F3050" s="136"/>
      <c r="G3050" s="136"/>
      <c r="H3050" s="1711"/>
      <c r="I3050" s="1711"/>
      <c r="J3050" s="1711"/>
      <c r="K3050" s="1711"/>
      <c r="L3050" s="1711"/>
      <c r="X3050" s="768" t="b">
        <f t="shared" si="390"/>
        <v>1</v>
      </c>
    </row>
    <row r="3051" outlineLevel="2" spans="1:24">
      <c r="A3051" s="1706" t="s">
        <v>4155</v>
      </c>
      <c r="B3051" s="692" t="s">
        <v>4130</v>
      </c>
      <c r="C3051" s="693" t="str">
        <f t="shared" si="391"/>
        <v>深圳新阳蓝光能源管理科技股份有限公司</v>
      </c>
      <c r="D3051" s="1738" t="s">
        <v>4137</v>
      </c>
      <c r="E3051" s="1744" t="s">
        <v>4207</v>
      </c>
      <c r="F3051" s="136"/>
      <c r="G3051" s="136">
        <f>-G3035</f>
        <v>0</v>
      </c>
      <c r="H3051" s="1711"/>
      <c r="I3051" s="1711"/>
      <c r="J3051" s="1711"/>
      <c r="K3051" s="1711"/>
      <c r="L3051" s="1711"/>
      <c r="X3051" s="768" t="b">
        <f t="shared" si="390"/>
        <v>0</v>
      </c>
    </row>
    <row r="3052" outlineLevel="2" spans="1:24">
      <c r="A3052" s="1706" t="s">
        <v>4208</v>
      </c>
      <c r="B3052" s="692" t="s">
        <v>4130</v>
      </c>
      <c r="C3052" s="693" t="str">
        <f t="shared" si="391"/>
        <v>深圳新阳蓝光能源管理科技股份有限公司</v>
      </c>
      <c r="D3052" s="1738" t="s">
        <v>4137</v>
      </c>
      <c r="E3052" s="1730" t="s">
        <v>4209</v>
      </c>
      <c r="F3052" s="1194">
        <f>ROUND((F3053+F3059)*F3044,2)</f>
        <v>0</v>
      </c>
      <c r="G3052" s="139">
        <f>(G3053+G3059)*G3044</f>
        <v>0</v>
      </c>
      <c r="H3052" s="1711"/>
      <c r="I3052" s="1711"/>
      <c r="J3052" s="1711"/>
      <c r="K3052" s="1711"/>
      <c r="L3052" s="1711"/>
      <c r="X3052" s="768" t="b">
        <f t="shared" si="390"/>
        <v>1</v>
      </c>
    </row>
    <row r="3053" outlineLevel="2" spans="1:24">
      <c r="A3053" s="1706" t="s">
        <v>4210</v>
      </c>
      <c r="B3053" s="692" t="s">
        <v>4130</v>
      </c>
      <c r="C3053" s="693" t="str">
        <f t="shared" si="391"/>
        <v>深圳新阳蓝光能源管理科技股份有限公司</v>
      </c>
      <c r="D3053" s="1738" t="s">
        <v>4137</v>
      </c>
      <c r="E3053" s="1730" t="s">
        <v>4210</v>
      </c>
      <c r="F3053" s="139">
        <f>SUM(F3054:F3058)</f>
        <v>0</v>
      </c>
      <c r="G3053" s="139">
        <f>SUM(G3054:G3058)</f>
        <v>0</v>
      </c>
      <c r="H3053" s="1711"/>
      <c r="I3053" s="1711"/>
      <c r="J3053" s="1711"/>
      <c r="K3053" s="1711"/>
      <c r="L3053" s="1711"/>
      <c r="X3053" s="768" t="b">
        <f t="shared" si="390"/>
        <v>1</v>
      </c>
    </row>
    <row r="3054" ht="15" customHeight="1" outlineLevel="2" spans="1:24">
      <c r="A3054" s="1706" t="s">
        <v>4146</v>
      </c>
      <c r="B3054" s="692" t="s">
        <v>4130</v>
      </c>
      <c r="C3054" s="693" t="str">
        <f t="shared" si="391"/>
        <v>深圳新阳蓝光能源管理科技股份有限公司</v>
      </c>
      <c r="D3054" s="1738" t="s">
        <v>4137</v>
      </c>
      <c r="E3054" s="1730" t="s">
        <v>4211</v>
      </c>
      <c r="F3054" s="136"/>
      <c r="G3054" s="136"/>
      <c r="H3054" s="1725">
        <f>F3054*0.15</f>
        <v>0</v>
      </c>
      <c r="I3054" s="1711"/>
      <c r="J3054" s="1711"/>
      <c r="K3054" s="1711"/>
      <c r="L3054" s="1711"/>
      <c r="X3054" s="768" t="b">
        <f t="shared" si="390"/>
        <v>0</v>
      </c>
    </row>
    <row r="3055" outlineLevel="2" spans="1:24">
      <c r="A3055" s="1706" t="s">
        <v>4148</v>
      </c>
      <c r="B3055" s="692" t="s">
        <v>4130</v>
      </c>
      <c r="C3055" s="693" t="str">
        <f t="shared" si="391"/>
        <v>深圳新阳蓝光能源管理科技股份有限公司</v>
      </c>
      <c r="D3055" s="1738" t="s">
        <v>4137</v>
      </c>
      <c r="E3055" s="1730" t="s">
        <v>4212</v>
      </c>
      <c r="F3055" s="136"/>
      <c r="G3055" s="136"/>
      <c r="H3055" s="1711"/>
      <c r="I3055" s="1711"/>
      <c r="J3055" s="1711"/>
      <c r="K3055" s="1711"/>
      <c r="L3055" s="1711"/>
      <c r="X3055" s="768" t="b">
        <f t="shared" si="390"/>
        <v>0</v>
      </c>
    </row>
    <row r="3056" outlineLevel="2" spans="1:24">
      <c r="A3056" s="1706" t="s">
        <v>4150</v>
      </c>
      <c r="B3056" s="692" t="s">
        <v>4130</v>
      </c>
      <c r="C3056" s="693" t="str">
        <f t="shared" si="391"/>
        <v>深圳新阳蓝光能源管理科技股份有限公司</v>
      </c>
      <c r="D3056" s="1738" t="s">
        <v>4137</v>
      </c>
      <c r="E3056" s="1732" t="s">
        <v>4183</v>
      </c>
      <c r="F3056" s="136"/>
      <c r="G3056" s="136"/>
      <c r="H3056" s="1711"/>
      <c r="I3056" s="1711"/>
      <c r="J3056" s="1711"/>
      <c r="K3056" s="1711"/>
      <c r="L3056" s="1711"/>
      <c r="X3056" s="768" t="b">
        <f t="shared" si="390"/>
        <v>1</v>
      </c>
    </row>
    <row r="3057" outlineLevel="2" spans="1:24">
      <c r="A3057" s="1706" t="s">
        <v>4152</v>
      </c>
      <c r="B3057" s="692" t="s">
        <v>4130</v>
      </c>
      <c r="C3057" s="693" t="str">
        <f t="shared" si="391"/>
        <v>深圳新阳蓝光能源管理科技股份有限公司</v>
      </c>
      <c r="D3057" s="1738" t="s">
        <v>4137</v>
      </c>
      <c r="E3057" s="1732" t="s">
        <v>4206</v>
      </c>
      <c r="F3057" s="136"/>
      <c r="G3057" s="136"/>
      <c r="H3057" s="1711"/>
      <c r="I3057" s="1711"/>
      <c r="J3057" s="1711"/>
      <c r="K3057" s="1711"/>
      <c r="L3057" s="1711"/>
      <c r="X3057" s="768" t="b">
        <f t="shared" si="390"/>
        <v>1</v>
      </c>
    </row>
    <row r="3058" outlineLevel="2" spans="1:24">
      <c r="A3058" s="1706" t="s">
        <v>4155</v>
      </c>
      <c r="B3058" s="692" t="s">
        <v>4130</v>
      </c>
      <c r="C3058" s="693" t="str">
        <f t="shared" si="391"/>
        <v>深圳新阳蓝光能源管理科技股份有限公司</v>
      </c>
      <c r="D3058" s="1738" t="s">
        <v>4137</v>
      </c>
      <c r="E3058" s="1732" t="s">
        <v>4213</v>
      </c>
      <c r="F3058" s="136"/>
      <c r="G3058" s="136"/>
      <c r="H3058" s="1711"/>
      <c r="I3058" s="1711"/>
      <c r="J3058" s="1711"/>
      <c r="K3058" s="1711"/>
      <c r="L3058" s="1711"/>
      <c r="X3058" s="768" t="b">
        <f t="shared" si="390"/>
        <v>1</v>
      </c>
    </row>
    <row r="3059" customHeight="1" outlineLevel="2" spans="1:24">
      <c r="A3059" s="1706" t="s">
        <v>4214</v>
      </c>
      <c r="B3059" s="692" t="s">
        <v>4130</v>
      </c>
      <c r="C3059" s="693" t="str">
        <f t="shared" si="391"/>
        <v>深圳新阳蓝光能源管理科技股份有限公司</v>
      </c>
      <c r="D3059" s="1738" t="s">
        <v>4137</v>
      </c>
      <c r="E3059" s="1745" t="s">
        <v>4214</v>
      </c>
      <c r="F3059" s="136"/>
      <c r="G3059" s="136"/>
      <c r="H3059" s="1711"/>
      <c r="I3059" s="1711"/>
      <c r="J3059" s="1711"/>
      <c r="K3059" s="1711"/>
      <c r="L3059" s="1711"/>
      <c r="X3059" s="768" t="b">
        <f t="shared" si="390"/>
        <v>1</v>
      </c>
    </row>
    <row r="3060" outlineLevel="2" spans="1:24">
      <c r="A3060" s="1706" t="s">
        <v>4215</v>
      </c>
      <c r="B3060" s="692" t="s">
        <v>4130</v>
      </c>
      <c r="C3060" s="693" t="str">
        <f t="shared" si="391"/>
        <v>深圳新阳蓝光能源管理科技股份有限公司</v>
      </c>
      <c r="D3060" s="1738" t="s">
        <v>4137</v>
      </c>
      <c r="E3060" s="1746" t="s">
        <v>4215</v>
      </c>
      <c r="F3060" s="145"/>
      <c r="G3060" s="145"/>
      <c r="H3060" s="1747"/>
      <c r="I3060" s="1711"/>
      <c r="J3060" s="1711"/>
      <c r="K3060" s="838"/>
      <c r="L3060" s="1711"/>
      <c r="X3060" s="768" t="b">
        <f t="shared" si="390"/>
        <v>1</v>
      </c>
    </row>
    <row r="3061" outlineLevel="2" spans="1:24">
      <c r="A3061" s="1706" t="s">
        <v>61</v>
      </c>
      <c r="B3061" s="692" t="s">
        <v>4130</v>
      </c>
      <c r="C3061" s="693" t="str">
        <f t="shared" si="391"/>
        <v>深圳新阳蓝光能源管理科技股份有限公司</v>
      </c>
      <c r="D3061" s="1738" t="s">
        <v>4137</v>
      </c>
      <c r="E3061" s="1234" t="s">
        <v>61</v>
      </c>
      <c r="F3061" s="1728" t="s">
        <v>4139</v>
      </c>
      <c r="G3061" s="1728" t="s">
        <v>2454</v>
      </c>
      <c r="H3061" s="1747"/>
      <c r="I3061" s="1711"/>
      <c r="J3061" s="1711"/>
      <c r="K3061" s="838"/>
      <c r="L3061" s="1711"/>
      <c r="X3061" s="768" t="b">
        <f t="shared" si="390"/>
        <v>1</v>
      </c>
    </row>
    <row r="3062" outlineLevel="2" spans="1:24">
      <c r="A3062" s="1706" t="s">
        <v>4216</v>
      </c>
      <c r="B3062" s="692" t="s">
        <v>4130</v>
      </c>
      <c r="C3062" s="693" t="str">
        <f t="shared" si="391"/>
        <v>深圳新阳蓝光能源管理科技股份有限公司</v>
      </c>
      <c r="D3062" s="1738" t="s">
        <v>4137</v>
      </c>
      <c r="E3062" s="1730" t="s">
        <v>4216</v>
      </c>
      <c r="F3062" s="139">
        <f>F3010</f>
        <v>8548321.03</v>
      </c>
      <c r="G3062" s="139">
        <f>G3010</f>
        <v>0</v>
      </c>
      <c r="H3062" s="1748"/>
      <c r="I3062" s="838"/>
      <c r="J3062" s="1725"/>
      <c r="K3062" s="838"/>
      <c r="L3062" s="1711"/>
      <c r="X3062" s="768" t="b">
        <f t="shared" si="390"/>
        <v>1</v>
      </c>
    </row>
    <row r="3063" outlineLevel="2" spans="1:24">
      <c r="A3063" s="1706" t="s">
        <v>4217</v>
      </c>
      <c r="B3063" s="692" t="s">
        <v>4130</v>
      </c>
      <c r="C3063" s="693" t="str">
        <f t="shared" si="391"/>
        <v>深圳新阳蓝光能源管理科技股份有限公司</v>
      </c>
      <c r="D3063" s="1738" t="s">
        <v>4137</v>
      </c>
      <c r="E3063" s="1730" t="s">
        <v>4218</v>
      </c>
      <c r="F3063" s="139">
        <f>ROUND(F3062*F3038,2)</f>
        <v>1282248.15</v>
      </c>
      <c r="G3063" s="139">
        <f>G3062*G3038</f>
        <v>0</v>
      </c>
      <c r="H3063" s="1748"/>
      <c r="I3063" s="838"/>
      <c r="J3063" s="1725"/>
      <c r="K3063" s="838"/>
      <c r="L3063" s="1711"/>
      <c r="X3063" s="768" t="b">
        <f t="shared" si="390"/>
        <v>1</v>
      </c>
    </row>
    <row r="3064" ht="18" customHeight="1" outlineLevel="2" spans="1:24">
      <c r="A3064" s="1706" t="s">
        <v>4219</v>
      </c>
      <c r="B3064" s="692" t="s">
        <v>4130</v>
      </c>
      <c r="C3064" s="693" t="str">
        <f t="shared" si="391"/>
        <v>深圳新阳蓝光能源管理科技股份有限公司</v>
      </c>
      <c r="D3064" s="1738" t="s">
        <v>4137</v>
      </c>
      <c r="E3064" s="1730" t="s">
        <v>4219</v>
      </c>
      <c r="F3064" s="136"/>
      <c r="G3064" s="136"/>
      <c r="H3064" s="1749"/>
      <c r="I3064" s="838"/>
      <c r="J3064" s="1725"/>
      <c r="K3064" s="838"/>
      <c r="L3064" s="1711"/>
      <c r="X3064" s="768" t="b">
        <f t="shared" si="390"/>
        <v>1</v>
      </c>
    </row>
    <row r="3065" outlineLevel="2" spans="1:24">
      <c r="A3065" s="1706" t="s">
        <v>4220</v>
      </c>
      <c r="B3065" s="692" t="s">
        <v>4130</v>
      </c>
      <c r="C3065" s="693" t="str">
        <f t="shared" si="391"/>
        <v>深圳新阳蓝光能源管理科技股份有限公司</v>
      </c>
      <c r="D3065" s="1738" t="s">
        <v>4137</v>
      </c>
      <c r="E3065" s="1730" t="s">
        <v>4220</v>
      </c>
      <c r="F3065" s="136"/>
      <c r="G3065" s="136"/>
      <c r="H3065" s="1748"/>
      <c r="I3065" s="838"/>
      <c r="J3065" s="1725"/>
      <c r="K3065" s="838"/>
      <c r="L3065" s="1711"/>
      <c r="X3065" s="768" t="b">
        <f t="shared" si="390"/>
        <v>1</v>
      </c>
    </row>
    <row r="3066" outlineLevel="2" spans="1:24">
      <c r="A3066" s="1706" t="s">
        <v>4221</v>
      </c>
      <c r="B3066" s="692" t="s">
        <v>4130</v>
      </c>
      <c r="C3066" s="693" t="str">
        <f t="shared" si="391"/>
        <v>深圳新阳蓝光能源管理科技股份有限公司</v>
      </c>
      <c r="D3066" s="1738" t="s">
        <v>4137</v>
      </c>
      <c r="E3066" s="1730" t="s">
        <v>4221</v>
      </c>
      <c r="F3066" s="139">
        <f>F3040</f>
        <v>0</v>
      </c>
      <c r="G3066" s="139">
        <f>G3040</f>
        <v>0</v>
      </c>
      <c r="H3066" s="1748"/>
      <c r="I3066" s="838"/>
      <c r="J3066" s="1725"/>
      <c r="K3066" s="838"/>
      <c r="L3066" s="1711"/>
      <c r="X3066" s="768" t="b">
        <f t="shared" si="390"/>
        <v>1</v>
      </c>
    </row>
    <row r="3067" outlineLevel="2" spans="1:24">
      <c r="A3067" s="1706" t="s">
        <v>4222</v>
      </c>
      <c r="B3067" s="692" t="s">
        <v>4130</v>
      </c>
      <c r="C3067" s="693" t="str">
        <f t="shared" si="391"/>
        <v>深圳新阳蓝光能源管理科技股份有限公司</v>
      </c>
      <c r="D3067" s="1738" t="s">
        <v>4137</v>
      </c>
      <c r="E3067" s="1730" t="s">
        <v>4222</v>
      </c>
      <c r="F3067" s="139">
        <f>ROUND(-F3012*F3038,2)</f>
        <v>0</v>
      </c>
      <c r="G3067" s="139">
        <f>ROUND(-G3012*G3038,2)</f>
        <v>0</v>
      </c>
      <c r="H3067" s="1748"/>
      <c r="I3067" s="838"/>
      <c r="J3067" s="1725"/>
      <c r="K3067" s="838"/>
      <c r="L3067" s="1711"/>
      <c r="X3067" s="768" t="b">
        <f t="shared" si="390"/>
        <v>1</v>
      </c>
    </row>
    <row r="3068" ht="24.75" outlineLevel="2" spans="1:24">
      <c r="A3068" s="1706" t="s">
        <v>4223</v>
      </c>
      <c r="B3068" s="692" t="s">
        <v>4130</v>
      </c>
      <c r="C3068" s="693" t="str">
        <f t="shared" si="391"/>
        <v>深圳新阳蓝光能源管理科技股份有限公司</v>
      </c>
      <c r="D3068" s="1738" t="s">
        <v>4137</v>
      </c>
      <c r="E3068" s="1750" t="s">
        <v>4223</v>
      </c>
      <c r="F3068" s="139">
        <f>ROUND(-F3013*F3038,2)</f>
        <v>0</v>
      </c>
      <c r="G3068" s="139">
        <f>ROUND(-G3013*G3038,2)</f>
        <v>0</v>
      </c>
      <c r="H3068" s="1748" t="s">
        <v>4224</v>
      </c>
      <c r="I3068" s="838"/>
      <c r="J3068" s="1725"/>
      <c r="K3068" s="838"/>
      <c r="L3068" s="1711"/>
      <c r="X3068" s="768" t="b">
        <f t="shared" si="390"/>
        <v>1</v>
      </c>
    </row>
    <row r="3069" outlineLevel="2" spans="1:24">
      <c r="A3069" s="1706" t="s">
        <v>4225</v>
      </c>
      <c r="B3069" s="692" t="s">
        <v>4130</v>
      </c>
      <c r="C3069" s="693" t="str">
        <f t="shared" si="391"/>
        <v>深圳新阳蓝光能源管理科技股份有限公司</v>
      </c>
      <c r="D3069" s="1707" t="s">
        <v>4137</v>
      </c>
      <c r="E3069" s="1730" t="s">
        <v>4225</v>
      </c>
      <c r="F3069" s="157">
        <f>ROUND(F3019*F3038,2)-ROUND(F3028*F3038,2)</f>
        <v>-3361822.87</v>
      </c>
      <c r="G3069" s="157">
        <f>ROUND(G3019*G3038,2)</f>
        <v>0</v>
      </c>
      <c r="H3069" s="1748">
        <f>ROUND(-F3028*F3038,2)</f>
        <v>-6589154.84</v>
      </c>
      <c r="I3069" s="838"/>
      <c r="J3069" s="1725"/>
      <c r="K3069" s="838"/>
      <c r="L3069" s="1711"/>
      <c r="X3069" s="768" t="b">
        <f t="shared" si="390"/>
        <v>1</v>
      </c>
    </row>
    <row r="3070" outlineLevel="2" spans="1:24">
      <c r="A3070" s="1706" t="s">
        <v>4226</v>
      </c>
      <c r="B3070" s="692" t="s">
        <v>4130</v>
      </c>
      <c r="C3070" s="693" t="str">
        <f t="shared" si="391"/>
        <v>深圳新阳蓝光能源管理科技股份有限公司</v>
      </c>
      <c r="D3070" s="1707" t="s">
        <v>4137</v>
      </c>
      <c r="E3070" s="1730" t="s">
        <v>4226</v>
      </c>
      <c r="F3070" s="139">
        <f>ROUND(-F3026*F3038,2)</f>
        <v>-183577.95</v>
      </c>
      <c r="G3070" s="139">
        <f>ROUND(-G3026*G3038,2)</f>
        <v>0</v>
      </c>
      <c r="H3070" s="1751" t="s">
        <v>4227</v>
      </c>
      <c r="I3070" s="838"/>
      <c r="J3070" s="1725"/>
      <c r="K3070" s="838"/>
      <c r="L3070" s="1711"/>
      <c r="X3070" s="768" t="b">
        <f t="shared" si="390"/>
        <v>1</v>
      </c>
    </row>
    <row r="3071" outlineLevel="2" spans="2:24">
      <c r="B3071" s="692"/>
      <c r="C3071" s="693"/>
      <c r="D3071" s="1707"/>
      <c r="E3071" s="1744" t="s">
        <v>4228</v>
      </c>
      <c r="F3071" s="139">
        <f>ROUND(-F3027*F3038,2)</f>
        <v>0</v>
      </c>
      <c r="G3071" s="139">
        <f>ROUND(-G3027*G3038,2)</f>
        <v>0</v>
      </c>
      <c r="H3071" s="1748">
        <f>ROUND(F3019*F3038,2)</f>
        <v>3227331.97</v>
      </c>
      <c r="I3071" s="838"/>
      <c r="J3071" s="1725"/>
      <c r="K3071" s="838"/>
      <c r="L3071" s="1725"/>
      <c r="M3071" s="1754"/>
      <c r="X3071" s="768"/>
    </row>
    <row r="3072" outlineLevel="2" spans="1:24">
      <c r="A3072" s="1706" t="s">
        <v>4229</v>
      </c>
      <c r="B3072" s="692" t="s">
        <v>4130</v>
      </c>
      <c r="C3072" s="693" t="str">
        <f t="shared" si="391"/>
        <v>深圳新阳蓝光能源管理科技股份有限公司</v>
      </c>
      <c r="D3072" s="1707" t="s">
        <v>4137</v>
      </c>
      <c r="E3072" s="1730" t="s">
        <v>4229</v>
      </c>
      <c r="F3072" s="139">
        <f>ROUND(-F3025*F3038,2)</f>
        <v>0</v>
      </c>
      <c r="G3072" s="139">
        <f>ROUND(-G3025*G3038,2)</f>
        <v>0</v>
      </c>
      <c r="H3072" s="1748"/>
      <c r="I3072" s="838"/>
      <c r="J3072" s="1725"/>
      <c r="K3072" s="838"/>
      <c r="L3072" s="1725"/>
      <c r="X3072" s="768" t="b">
        <f t="shared" si="390"/>
        <v>1</v>
      </c>
    </row>
    <row r="3073" outlineLevel="2" spans="1:24">
      <c r="A3073" s="1706" t="s">
        <v>4230</v>
      </c>
      <c r="B3073" s="692" t="s">
        <v>4130</v>
      </c>
      <c r="C3073" s="693" t="str">
        <f t="shared" si="391"/>
        <v>深圳新阳蓝光能源管理科技股份有限公司</v>
      </c>
      <c r="D3073" s="1707" t="s">
        <v>4137</v>
      </c>
      <c r="E3073" s="1730" t="s">
        <v>4230</v>
      </c>
      <c r="F3073" s="157">
        <f>ROUND(F3051*F3038,2)</f>
        <v>0</v>
      </c>
      <c r="G3073" s="157">
        <f>ROUND(G3051*G3038,2)</f>
        <v>0</v>
      </c>
      <c r="H3073" s="1748"/>
      <c r="I3073" s="838"/>
      <c r="J3073" s="1725"/>
      <c r="K3073" s="838"/>
      <c r="L3073" s="1725"/>
      <c r="X3073" s="768" t="b">
        <f t="shared" si="390"/>
        <v>1</v>
      </c>
    </row>
    <row r="3074" outlineLevel="2" spans="1:24">
      <c r="A3074" s="1706" t="s">
        <v>4231</v>
      </c>
      <c r="B3074" s="692" t="s">
        <v>4130</v>
      </c>
      <c r="C3074" s="693" t="str">
        <f t="shared" si="391"/>
        <v>深圳新阳蓝光能源管理科技股份有限公司</v>
      </c>
      <c r="D3074" s="1707" t="s">
        <v>4137</v>
      </c>
      <c r="E3074" s="1744" t="s">
        <v>4231</v>
      </c>
      <c r="F3074" s="139">
        <f>ROUND(-F3045,2)</f>
        <v>0</v>
      </c>
      <c r="G3074" s="139">
        <f>ROUND(-G3045,2)</f>
        <v>0</v>
      </c>
      <c r="H3074" s="1748"/>
      <c r="I3074" s="838"/>
      <c r="J3074" s="1725"/>
      <c r="K3074" s="838"/>
      <c r="L3074" s="1725"/>
      <c r="X3074" s="768" t="b">
        <f t="shared" si="390"/>
        <v>1</v>
      </c>
    </row>
    <row r="3075" outlineLevel="2" spans="1:24">
      <c r="A3075" s="1706" t="s">
        <v>4232</v>
      </c>
      <c r="B3075" s="692" t="s">
        <v>4130</v>
      </c>
      <c r="C3075" s="693" t="str">
        <f t="shared" si="391"/>
        <v>深圳新阳蓝光能源管理科技股份有限公司</v>
      </c>
      <c r="D3075" s="1707" t="s">
        <v>4137</v>
      </c>
      <c r="E3075" s="1730" t="s">
        <v>4232</v>
      </c>
      <c r="F3075" s="157">
        <f>ROUND(F3052,2)</f>
        <v>0</v>
      </c>
      <c r="G3075" s="157">
        <f>ROUND(G3052,2)</f>
        <v>0</v>
      </c>
      <c r="H3075" s="1748"/>
      <c r="I3075" s="838"/>
      <c r="J3075" s="1725"/>
      <c r="K3075" s="838"/>
      <c r="L3075" s="1725"/>
      <c r="X3075" s="768" t="b">
        <f t="shared" si="390"/>
        <v>1</v>
      </c>
    </row>
    <row r="3076" outlineLevel="2" spans="1:24">
      <c r="A3076" s="1706" t="s">
        <v>1670</v>
      </c>
      <c r="B3076" s="692" t="s">
        <v>4130</v>
      </c>
      <c r="C3076" s="693" t="str">
        <f t="shared" si="391"/>
        <v>深圳新阳蓝光能源管理科技股份有限公司</v>
      </c>
      <c r="D3076" s="1707" t="s">
        <v>4137</v>
      </c>
      <c r="E3076" s="1730" t="s">
        <v>1670</v>
      </c>
      <c r="F3076" s="139">
        <f>SUM(F3063:F3075)</f>
        <v>-2263152.67</v>
      </c>
      <c r="G3076" s="139">
        <f>SUM(G3063:G3075)</f>
        <v>0</v>
      </c>
      <c r="H3076" s="1748"/>
      <c r="I3076" s="838"/>
      <c r="J3076" s="1725"/>
      <c r="K3076" s="838"/>
      <c r="L3076" s="1725"/>
      <c r="X3076" s="768" t="b">
        <f t="shared" si="390"/>
        <v>1</v>
      </c>
    </row>
    <row r="3077" outlineLevel="2" spans="2:24">
      <c r="B3077" s="692" t="s">
        <v>4130</v>
      </c>
      <c r="C3077" s="693" t="str">
        <f t="shared" si="391"/>
        <v>深圳新阳蓝光能源管理科技股份有限公司</v>
      </c>
      <c r="D3077" s="1707" t="s">
        <v>4137</v>
      </c>
      <c r="E3077" s="1747"/>
      <c r="F3077" s="1755">
        <f>F3076-F3000</f>
        <v>-1979829.15</v>
      </c>
      <c r="G3077" s="1755">
        <f>G3076-G3000</f>
        <v>-842798.93</v>
      </c>
      <c r="H3077" s="1755"/>
      <c r="I3077" s="1711"/>
      <c r="J3077" s="1711"/>
      <c r="K3077" s="838"/>
      <c r="L3077" s="1725"/>
      <c r="X3077" s="768" t="b">
        <f t="shared" si="390"/>
        <v>1</v>
      </c>
    </row>
    <row r="3078" ht="15" outlineLevel="2" spans="1:24">
      <c r="A3078" s="1706" t="s">
        <v>4233</v>
      </c>
      <c r="B3078" s="692" t="s">
        <v>4130</v>
      </c>
      <c r="C3078" s="693" t="str">
        <f t="shared" si="391"/>
        <v>深圳新阳蓝光能源管理科技股份有限公司</v>
      </c>
      <c r="D3078" s="1707" t="s">
        <v>4233</v>
      </c>
      <c r="E3078" s="1233" t="s">
        <v>4234</v>
      </c>
      <c r="F3078" s="145"/>
      <c r="G3078" s="145"/>
      <c r="H3078" s="1711"/>
      <c r="I3078" s="1711"/>
      <c r="J3078" s="1711"/>
      <c r="K3078" s="1711"/>
      <c r="L3078" s="1711"/>
      <c r="X3078" s="768" t="b">
        <f t="shared" ref="X3078:X3141" si="392">EXACT(A3078,E3078)</f>
        <v>1</v>
      </c>
    </row>
    <row r="3079" outlineLevel="2" spans="1:24">
      <c r="A3079" s="1706" t="s">
        <v>4235</v>
      </c>
      <c r="B3079" s="692" t="s">
        <v>4130</v>
      </c>
      <c r="C3079" s="693" t="str">
        <f t="shared" si="391"/>
        <v>深圳新阳蓝光能源管理科技股份有限公司</v>
      </c>
      <c r="D3079" s="1707" t="s">
        <v>4233</v>
      </c>
      <c r="E3079" s="1756" t="s">
        <v>4235</v>
      </c>
      <c r="F3079" s="1757" t="s">
        <v>61</v>
      </c>
      <c r="G3079" s="1758" t="s">
        <v>4236</v>
      </c>
      <c r="H3079" s="1758" t="s">
        <v>4237</v>
      </c>
      <c r="I3079" s="1757" t="s">
        <v>4238</v>
      </c>
      <c r="J3079" s="1757"/>
      <c r="K3079" s="1757"/>
      <c r="L3079" s="1757"/>
      <c r="M3079" s="1757"/>
      <c r="N3079" s="1758" t="s">
        <v>4239</v>
      </c>
      <c r="O3079" s="1778" t="s">
        <v>4240</v>
      </c>
      <c r="P3079" s="1779" t="s">
        <v>4241</v>
      </c>
      <c r="X3079" s="768" t="b">
        <f t="shared" si="392"/>
        <v>1</v>
      </c>
    </row>
    <row r="3080" outlineLevel="2" spans="2:24">
      <c r="B3080" s="692" t="s">
        <v>4130</v>
      </c>
      <c r="C3080" s="693" t="str">
        <f t="shared" si="391"/>
        <v>深圳新阳蓝光能源管理科技股份有限公司</v>
      </c>
      <c r="D3080" s="1707" t="s">
        <v>4233</v>
      </c>
      <c r="E3080" s="1759"/>
      <c r="F3080" s="1760"/>
      <c r="G3080" s="1761"/>
      <c r="H3080" s="1761"/>
      <c r="I3080" s="1763" t="s">
        <v>4242</v>
      </c>
      <c r="J3080" s="1763"/>
      <c r="K3080" s="1763"/>
      <c r="L3080" s="1763"/>
      <c r="M3080" s="1763"/>
      <c r="N3080" s="1761"/>
      <c r="O3080" s="1780"/>
      <c r="P3080" s="1781"/>
      <c r="X3080" s="768" t="b">
        <f t="shared" si="392"/>
        <v>1</v>
      </c>
    </row>
    <row r="3081" outlineLevel="2" spans="2:24">
      <c r="B3081" s="692" t="s">
        <v>4130</v>
      </c>
      <c r="C3081" s="693" t="str">
        <f t="shared" si="391"/>
        <v>深圳新阳蓝光能源管理科技股份有限公司</v>
      </c>
      <c r="D3081" s="1707" t="s">
        <v>4233</v>
      </c>
      <c r="E3081" s="1759"/>
      <c r="F3081" s="1760"/>
      <c r="G3081" s="1761"/>
      <c r="H3081" s="1761"/>
      <c r="I3081" s="1761" t="s">
        <v>4243</v>
      </c>
      <c r="J3081" s="1761" t="s">
        <v>4244</v>
      </c>
      <c r="K3081" s="1761" t="s">
        <v>4245</v>
      </c>
      <c r="L3081" s="1761" t="s">
        <v>4246</v>
      </c>
      <c r="M3081" s="1761" t="s">
        <v>4247</v>
      </c>
      <c r="N3081" s="1761"/>
      <c r="O3081" s="1780"/>
      <c r="P3081" s="1781"/>
      <c r="X3081" s="768" t="b">
        <f t="shared" si="392"/>
        <v>1</v>
      </c>
    </row>
    <row r="3082" outlineLevel="2" spans="2:24">
      <c r="B3082" s="692" t="s">
        <v>4130</v>
      </c>
      <c r="C3082" s="693" t="str">
        <f t="shared" si="391"/>
        <v>深圳新阳蓝光能源管理科技股份有限公司</v>
      </c>
      <c r="D3082" s="1707" t="s">
        <v>4233</v>
      </c>
      <c r="E3082" s="1762"/>
      <c r="F3082" s="1763"/>
      <c r="G3082" s="1761">
        <v>1</v>
      </c>
      <c r="H3082" s="1761">
        <v>2</v>
      </c>
      <c r="I3082" s="1761">
        <v>3</v>
      </c>
      <c r="J3082" s="1761">
        <v>4</v>
      </c>
      <c r="K3082" s="1761">
        <v>5</v>
      </c>
      <c r="L3082" s="1761">
        <v>6</v>
      </c>
      <c r="M3082" s="1761">
        <v>7</v>
      </c>
      <c r="N3082" s="1761">
        <v>8</v>
      </c>
      <c r="O3082" s="1780">
        <v>9</v>
      </c>
      <c r="P3082" s="1782"/>
      <c r="X3082" s="768" t="b">
        <f t="shared" si="392"/>
        <v>1</v>
      </c>
    </row>
    <row r="3083" outlineLevel="2" spans="1:24">
      <c r="A3083" s="1706">
        <v>1</v>
      </c>
      <c r="B3083" s="692" t="s">
        <v>4130</v>
      </c>
      <c r="C3083" s="693" t="str">
        <f t="shared" si="391"/>
        <v>深圳新阳蓝光能源管理科技股份有限公司</v>
      </c>
      <c r="D3083" s="1707" t="s">
        <v>4233</v>
      </c>
      <c r="E3083" s="1764">
        <v>1</v>
      </c>
      <c r="F3083" s="1761" t="s">
        <v>4248</v>
      </c>
      <c r="G3083" s="1765">
        <v>2010</v>
      </c>
      <c r="H3083" s="1766"/>
      <c r="I3083" s="1783">
        <f>IF(H3083&lt;0,IF(H3084&gt;0,IF(H3084&gt;-H3083,-H3083,H3084),),0)</f>
        <v>0</v>
      </c>
      <c r="J3083" s="1783">
        <f>IF(H3083+I3083&lt;0,IF(H3085&gt;0,IF(H3085&gt;-H3083-I3083,-H3083-I3083,H3085),0),0)</f>
        <v>0</v>
      </c>
      <c r="K3083" s="1783">
        <f>IF(H3083+I3083+J3083&lt;0,IF(H3086&gt;0,IF(H3086&gt;-H3083-I3083-J3083,-H3083-I3083-J3083,H3086),0),0)</f>
        <v>0</v>
      </c>
      <c r="L3083" s="1783">
        <f>IF(H3083+I3083+J3083+K3083&lt;0,IF(H3087&gt;0,IF(H3087&gt;-H3083-I3083-J3083-K3083,-H3083-I3083-J3083-K3083,H3087),0),0)</f>
        <v>0</v>
      </c>
      <c r="M3083" s="1784">
        <f>SUM(I3083:L3083)</f>
        <v>0</v>
      </c>
      <c r="N3083" s="1783">
        <f>IF(H3083+M3083&lt;0,IF(H3088&gt;0,IF(H3088&gt;-H3083-M3083,-H3083-M3083,H3088),0),0)</f>
        <v>0</v>
      </c>
      <c r="O3083" s="1785" t="s">
        <v>4249</v>
      </c>
      <c r="P3083" s="1781" t="s">
        <v>4249</v>
      </c>
      <c r="X3083" s="768" t="b">
        <f t="shared" si="392"/>
        <v>1</v>
      </c>
    </row>
    <row r="3084" outlineLevel="2" spans="1:24">
      <c r="A3084" s="1706">
        <v>2</v>
      </c>
      <c r="B3084" s="692" t="s">
        <v>4130</v>
      </c>
      <c r="C3084" s="693" t="str">
        <f t="shared" si="391"/>
        <v>深圳新阳蓝光能源管理科技股份有限公司</v>
      </c>
      <c r="D3084" s="1707" t="s">
        <v>4233</v>
      </c>
      <c r="E3084" s="1764">
        <v>2</v>
      </c>
      <c r="F3084" s="1761" t="s">
        <v>4243</v>
      </c>
      <c r="G3084" s="1765">
        <v>2011</v>
      </c>
      <c r="H3084" s="1766"/>
      <c r="I3084" s="1765" t="s">
        <v>4249</v>
      </c>
      <c r="J3084" s="1783">
        <f>IF(H3084&lt;0,IF(H3085-J3083&gt;0,IF(H3085-J3083&gt;-H3084,-H3084,H3085-J3083),0),0)</f>
        <v>0</v>
      </c>
      <c r="K3084" s="1783">
        <f>IF(H3084+J3084&lt;0,IF(H3086-K3083&gt;0,IF(H3086-K3083&gt;-H3084-J3084,-H3084-J3084,H3086-K3083),0),0)</f>
        <v>0</v>
      </c>
      <c r="L3084" s="1783">
        <f>IF(H3084+J3084+K3084&lt;0,IF(H3087-L3083&gt;0,IF(H3087-L3083&gt;-H3084-J3084-K3084,-H3084-J3084-K3084,H3087-L3083),0),0)</f>
        <v>0</v>
      </c>
      <c r="M3084" s="1784">
        <f>SUM(J3084:L3084)</f>
        <v>0</v>
      </c>
      <c r="N3084" s="1783">
        <f>IF(H3084+M3084&lt;0,IF(H3088-N3083&gt;0,IF(H3088-N3083&gt;-H3084-M3084,-H3084-M3084,H3088-N3083),0),0)</f>
        <v>0</v>
      </c>
      <c r="O3084" s="1783">
        <f>IF(H3084+N3084+M3084&lt;0,-(H3084+N3084+M3084),0)</f>
        <v>0</v>
      </c>
      <c r="P3084" s="1786"/>
      <c r="Q3084" s="1706">
        <v>2016</v>
      </c>
      <c r="X3084" s="768" t="b">
        <f t="shared" si="392"/>
        <v>1</v>
      </c>
    </row>
    <row r="3085" outlineLevel="2" spans="1:24">
      <c r="A3085" s="1706">
        <v>3</v>
      </c>
      <c r="B3085" s="692" t="s">
        <v>4130</v>
      </c>
      <c r="C3085" s="693" t="str">
        <f t="shared" si="391"/>
        <v>深圳新阳蓝光能源管理科技股份有限公司</v>
      </c>
      <c r="D3085" s="1707" t="s">
        <v>4233</v>
      </c>
      <c r="E3085" s="1764">
        <v>3</v>
      </c>
      <c r="F3085" s="1761" t="s">
        <v>4244</v>
      </c>
      <c r="G3085" s="1765">
        <v>2012</v>
      </c>
      <c r="H3085" s="1766"/>
      <c r="I3085" s="1765" t="s">
        <v>4249</v>
      </c>
      <c r="J3085" s="1765" t="s">
        <v>4249</v>
      </c>
      <c r="K3085" s="1783">
        <f>IF(H3085&lt;0,IF(H3086-K3084-K3083&gt;0,IF(H3086-K3084-K3083&gt;-H3085,-H3085,H3086-K3084-K3083),0),0)</f>
        <v>0</v>
      </c>
      <c r="L3085" s="1783">
        <f>IF(H3085+K3085&lt;0,IF(H3087-L3084-L3083&gt;0,IF(H3087-L3084-L3083&gt;-H3085-K3085,-H3085-K3085,H3087-L3084-L3083),0),0)</f>
        <v>0</v>
      </c>
      <c r="M3085" s="1784">
        <f>SUM(K3085:L3085)</f>
        <v>0</v>
      </c>
      <c r="N3085" s="1783">
        <f>IF(H3085+M3085&lt;0,IF(H3088-N3084-N3083&gt;0,IF(H3088-N3084-N3083&gt;-H3085-M3085,-H3085-M3085,H3088-N3084-N3083),0),0)</f>
        <v>0</v>
      </c>
      <c r="O3085" s="1783">
        <f>IF(H3085+N3085+M3085&lt;0,-(H3085+N3085+M3085),0)</f>
        <v>0</v>
      </c>
      <c r="P3085" s="1786"/>
      <c r="Q3085" s="1706">
        <v>2017</v>
      </c>
      <c r="X3085" s="768" t="b">
        <f t="shared" si="392"/>
        <v>1</v>
      </c>
    </row>
    <row r="3086" outlineLevel="2" spans="1:24">
      <c r="A3086" s="1706">
        <v>4</v>
      </c>
      <c r="B3086" s="692" t="s">
        <v>4130</v>
      </c>
      <c r="C3086" s="693" t="str">
        <f t="shared" si="391"/>
        <v>深圳新阳蓝光能源管理科技股份有限公司</v>
      </c>
      <c r="D3086" s="1707" t="s">
        <v>4233</v>
      </c>
      <c r="E3086" s="1764">
        <v>4</v>
      </c>
      <c r="F3086" s="1761" t="s">
        <v>4245</v>
      </c>
      <c r="G3086" s="1765">
        <v>2013</v>
      </c>
      <c r="H3086" s="1766"/>
      <c r="I3086" s="1765" t="s">
        <v>4249</v>
      </c>
      <c r="J3086" s="1765" t="s">
        <v>4249</v>
      </c>
      <c r="K3086" s="1765" t="s">
        <v>4249</v>
      </c>
      <c r="L3086" s="1783">
        <f>IF(H3086&lt;0,IF(H3087-L3085-L3084-L3083&gt;0,IF(H3087-L3085-L3084-L3083&gt;-H3086,-H3086,H3087-L3085-L3084-L3083),0),0)</f>
        <v>0</v>
      </c>
      <c r="M3086" s="1784">
        <f>L3086</f>
        <v>0</v>
      </c>
      <c r="N3086" s="1783">
        <f>IF(H3086+M3086&lt;0,IF(H3088-N3084-N3083-N3085&gt;0,IF(H3088-N3084-N3083-N3085&gt;-H3086-M3086,-H3086-M3086,H3088-N3084-N3083-N3085),0),0)</f>
        <v>0</v>
      </c>
      <c r="O3086" s="1783">
        <f>IF(H3086+N3086+M3086&lt;0,-(H3086+N3086+M3086),0)</f>
        <v>0</v>
      </c>
      <c r="P3086" s="1786"/>
      <c r="Q3086" s="1706">
        <v>2018</v>
      </c>
      <c r="X3086" s="768" t="b">
        <f t="shared" si="392"/>
        <v>1</v>
      </c>
    </row>
    <row r="3087" outlineLevel="2" spans="1:24">
      <c r="A3087" s="1706">
        <v>5</v>
      </c>
      <c r="B3087" s="692" t="s">
        <v>4130</v>
      </c>
      <c r="C3087" s="693" t="str">
        <f t="shared" si="391"/>
        <v>深圳新阳蓝光能源管理科技股份有限公司</v>
      </c>
      <c r="D3087" s="1707" t="s">
        <v>4233</v>
      </c>
      <c r="E3087" s="1764">
        <v>5</v>
      </c>
      <c r="F3087" s="1761" t="s">
        <v>4246</v>
      </c>
      <c r="G3087" s="1765">
        <v>2014</v>
      </c>
      <c r="H3087" s="1766"/>
      <c r="I3087" s="1765" t="s">
        <v>4249</v>
      </c>
      <c r="J3087" s="1765" t="s">
        <v>4249</v>
      </c>
      <c r="K3087" s="1765" t="s">
        <v>4249</v>
      </c>
      <c r="L3087" s="1765" t="s">
        <v>4249</v>
      </c>
      <c r="M3087" s="1787">
        <v>0</v>
      </c>
      <c r="N3087" s="1783">
        <f>IF(H3087+M3087&lt;0,IF(H3088-N3084-N3083-N3085-N3086&gt;0,IF(H3088-N3084-N3083-N3085-N3086&gt;-H3087-M3087,-H3087-M3087,H3088-N3084-N3083-N3085-N3086),0),0)</f>
        <v>0</v>
      </c>
      <c r="O3087" s="1783">
        <f>IF(H3087+N3087+M3087&lt;0,-(H3087+N3087+M3087),0)</f>
        <v>0</v>
      </c>
      <c r="P3087" s="1786"/>
      <c r="Q3087" s="1706">
        <v>2019</v>
      </c>
      <c r="X3087" s="768" t="b">
        <f t="shared" si="392"/>
        <v>1</v>
      </c>
    </row>
    <row r="3088" outlineLevel="2" spans="1:24">
      <c r="A3088" s="1706">
        <v>6</v>
      </c>
      <c r="B3088" s="692" t="s">
        <v>4130</v>
      </c>
      <c r="C3088" s="693" t="str">
        <f t="shared" si="391"/>
        <v>深圳新阳蓝光能源管理科技股份有限公司</v>
      </c>
      <c r="D3088" s="1707" t="s">
        <v>4233</v>
      </c>
      <c r="E3088" s="1764">
        <v>6</v>
      </c>
      <c r="F3088" s="1761" t="s">
        <v>4250</v>
      </c>
      <c r="G3088" s="1765">
        <v>2015</v>
      </c>
      <c r="H3088" s="1766"/>
      <c r="I3088" s="1788" t="s">
        <v>4251</v>
      </c>
      <c r="J3088" s="1788"/>
      <c r="K3088" s="1788"/>
      <c r="L3088" s="1788"/>
      <c r="M3088" s="1788"/>
      <c r="N3088" s="1783">
        <f>SUM(N3083:N3087)</f>
        <v>0</v>
      </c>
      <c r="O3088" s="1783">
        <f>IF(H3088+N3088&lt;0,-(H3088+N3088),0)</f>
        <v>0</v>
      </c>
      <c r="P3088" s="1786"/>
      <c r="Q3088" s="1706">
        <v>2020</v>
      </c>
      <c r="X3088" s="768" t="b">
        <f t="shared" si="392"/>
        <v>1</v>
      </c>
    </row>
    <row r="3089" ht="15" outlineLevel="2" spans="1:24">
      <c r="A3089" s="1706" t="s">
        <v>4252</v>
      </c>
      <c r="B3089" s="692" t="s">
        <v>4130</v>
      </c>
      <c r="C3089" s="693" t="str">
        <f t="shared" si="391"/>
        <v>深圳新阳蓝光能源管理科技股份有限公司</v>
      </c>
      <c r="D3089" s="1707" t="s">
        <v>4233</v>
      </c>
      <c r="E3089" s="1767" t="s">
        <v>4252</v>
      </c>
      <c r="F3089" s="1768"/>
      <c r="G3089" s="1768"/>
      <c r="H3089" s="1768"/>
      <c r="I3089" s="1768"/>
      <c r="J3089" s="1768"/>
      <c r="K3089" s="1768"/>
      <c r="L3089" s="1768"/>
      <c r="M3089" s="1768"/>
      <c r="N3089" s="1768"/>
      <c r="O3089" s="1789">
        <f>SUM(O3084:O3088)</f>
        <v>0</v>
      </c>
      <c r="P3089" s="1790"/>
      <c r="X3089" s="768" t="b">
        <f t="shared" si="392"/>
        <v>1</v>
      </c>
    </row>
    <row r="3090" outlineLevel="2" spans="2:24">
      <c r="B3090" s="692" t="s">
        <v>4130</v>
      </c>
      <c r="C3090" s="693" t="str">
        <f t="shared" si="391"/>
        <v>深圳新阳蓝光能源管理科技股份有限公司</v>
      </c>
      <c r="D3090" s="1707" t="s">
        <v>4233</v>
      </c>
      <c r="E3090" s="153"/>
      <c r="F3090" s="145"/>
      <c r="G3090" s="145"/>
      <c r="H3090" s="1711"/>
      <c r="I3090" s="1711"/>
      <c r="J3090" s="1711"/>
      <c r="K3090" s="1711"/>
      <c r="L3090" s="1711"/>
      <c r="X3090" s="768" t="b">
        <f t="shared" si="392"/>
        <v>1</v>
      </c>
    </row>
    <row r="3091" outlineLevel="2" spans="2:24">
      <c r="B3091" s="692" t="s">
        <v>4130</v>
      </c>
      <c r="C3091" s="693" t="str">
        <f t="shared" ref="C3091:C3154" si="393">$G$1</f>
        <v>深圳新阳蓝光能源管理科技股份有限公司</v>
      </c>
      <c r="D3091" s="1707" t="s">
        <v>4233</v>
      </c>
      <c r="E3091" s="153"/>
      <c r="F3091" s="145"/>
      <c r="G3091" s="145"/>
      <c r="H3091" s="1711"/>
      <c r="I3091" s="1711"/>
      <c r="J3091" s="1711"/>
      <c r="K3091" s="1711"/>
      <c r="L3091" s="1711"/>
      <c r="X3091" s="768" t="b">
        <f t="shared" si="392"/>
        <v>1</v>
      </c>
    </row>
    <row r="3092" collapsed="1" spans="1:24">
      <c r="A3092" s="1706" t="s">
        <v>4253</v>
      </c>
      <c r="B3092" s="692" t="s">
        <v>4254</v>
      </c>
      <c r="C3092" s="693" t="str">
        <f t="shared" si="393"/>
        <v>深圳新阳蓝光能源管理科技股份有限公司</v>
      </c>
      <c r="D3092" s="1707" t="s">
        <v>4253</v>
      </c>
      <c r="E3092" s="1233" t="s">
        <v>4253</v>
      </c>
      <c r="F3092" s="145"/>
      <c r="G3092" s="145"/>
      <c r="H3092" s="1711"/>
      <c r="I3092" s="1711"/>
      <c r="J3092" s="1711"/>
      <c r="K3092" s="1711"/>
      <c r="L3092" s="1711"/>
      <c r="X3092" s="768" t="b">
        <f t="shared" si="392"/>
        <v>1</v>
      </c>
    </row>
    <row r="3093" hidden="1" outlineLevel="2" spans="1:24">
      <c r="A3093" s="1706" t="s">
        <v>2809</v>
      </c>
      <c r="B3093" s="692" t="s">
        <v>4254</v>
      </c>
      <c r="C3093" s="693" t="str">
        <f t="shared" si="393"/>
        <v>深圳新阳蓝光能源管理科技股份有限公司</v>
      </c>
      <c r="D3093" s="1707" t="s">
        <v>4253</v>
      </c>
      <c r="E3093" s="153" t="s">
        <v>2829</v>
      </c>
      <c r="F3093" s="1005"/>
      <c r="G3093" s="1005"/>
      <c r="H3093" s="1711"/>
      <c r="I3093" s="1711"/>
      <c r="J3093" s="1711"/>
      <c r="K3093" s="1711"/>
      <c r="L3093" s="1711"/>
      <c r="X3093" s="768" t="b">
        <f t="shared" si="392"/>
        <v>1</v>
      </c>
    </row>
    <row r="3094" collapsed="1" spans="1:24">
      <c r="A3094" s="1706" t="s">
        <v>2419</v>
      </c>
      <c r="B3094" s="692" t="s">
        <v>4255</v>
      </c>
      <c r="C3094" s="693" t="str">
        <f t="shared" si="393"/>
        <v>深圳新阳蓝光能源管理科技股份有限公司</v>
      </c>
      <c r="D3094" s="1707" t="s">
        <v>2419</v>
      </c>
      <c r="E3094" s="70" t="s">
        <v>4256</v>
      </c>
      <c r="F3094" s="145"/>
      <c r="G3094" s="145"/>
      <c r="H3094" s="1711"/>
      <c r="I3094" s="1711"/>
      <c r="J3094" s="1711"/>
      <c r="K3094" s="1711"/>
      <c r="L3094" s="1711"/>
      <c r="X3094" s="768" t="b">
        <f t="shared" si="392"/>
        <v>1</v>
      </c>
    </row>
    <row r="3095" hidden="1" outlineLevel="2" spans="2:24">
      <c r="B3095" s="692" t="s">
        <v>4255</v>
      </c>
      <c r="C3095" s="693" t="str">
        <f t="shared" si="393"/>
        <v>深圳新阳蓝光能源管理科技股份有限公司</v>
      </c>
      <c r="D3095" s="1707" t="s">
        <v>2419</v>
      </c>
      <c r="E3095" s="70"/>
      <c r="F3095" s="145"/>
      <c r="G3095" s="145"/>
      <c r="H3095" s="1711"/>
      <c r="I3095" s="1711"/>
      <c r="J3095" s="1711"/>
      <c r="K3095" s="1711"/>
      <c r="L3095" s="1711"/>
      <c r="X3095" s="768" t="b">
        <f t="shared" si="392"/>
        <v>1</v>
      </c>
    </row>
    <row r="3096" hidden="1" outlineLevel="2" spans="1:24">
      <c r="A3096" s="1706" t="s">
        <v>4257</v>
      </c>
      <c r="B3096" s="692" t="s">
        <v>4255</v>
      </c>
      <c r="C3096" s="693" t="str">
        <f t="shared" si="393"/>
        <v>深圳新阳蓝光能源管理科技股份有限公司</v>
      </c>
      <c r="D3096" s="1707" t="s">
        <v>2419</v>
      </c>
      <c r="E3096" s="1769" t="s">
        <v>4258</v>
      </c>
      <c r="F3096" s="1483" t="s">
        <v>4259</v>
      </c>
      <c r="G3096" s="1483" t="s">
        <v>2448</v>
      </c>
      <c r="H3096" s="1711"/>
      <c r="I3096" s="1711"/>
      <c r="J3096" s="1711"/>
      <c r="K3096" s="1711"/>
      <c r="L3096" s="1711"/>
      <c r="X3096" s="768" t="b">
        <f t="shared" si="392"/>
        <v>1</v>
      </c>
    </row>
    <row r="3097" hidden="1" outlineLevel="2" spans="1:24">
      <c r="A3097" s="1706" t="s">
        <v>2421</v>
      </c>
      <c r="B3097" s="692" t="s">
        <v>4255</v>
      </c>
      <c r="C3097" s="693" t="str">
        <f t="shared" si="393"/>
        <v>深圳新阳蓝光能源管理科技股份有限公司</v>
      </c>
      <c r="D3097" s="1707" t="s">
        <v>2419</v>
      </c>
      <c r="E3097" s="789" t="s">
        <v>4260</v>
      </c>
      <c r="F3097" s="950"/>
      <c r="G3097" s="1641">
        <f>报表附注合并期初用!E2477</f>
        <v>0</v>
      </c>
      <c r="H3097" s="1711"/>
      <c r="I3097" s="1711"/>
      <c r="J3097" s="1711"/>
      <c r="K3097" s="1711"/>
      <c r="L3097" s="1711"/>
      <c r="X3097" s="768" t="b">
        <f t="shared" si="392"/>
        <v>1</v>
      </c>
    </row>
    <row r="3098" hidden="1" outlineLevel="2" spans="1:24">
      <c r="A3098" s="1706" t="s">
        <v>2422</v>
      </c>
      <c r="B3098" s="692" t="s">
        <v>4255</v>
      </c>
      <c r="C3098" s="693" t="str">
        <f t="shared" si="393"/>
        <v>深圳新阳蓝光能源管理科技股份有限公司</v>
      </c>
      <c r="D3098" s="1707" t="s">
        <v>2419</v>
      </c>
      <c r="E3098" s="789" t="s">
        <v>4261</v>
      </c>
      <c r="F3098" s="950"/>
      <c r="G3098" s="1641">
        <f>报表附注合并期初用!E2478</f>
        <v>0</v>
      </c>
      <c r="H3098" s="1711"/>
      <c r="I3098" s="1711"/>
      <c r="J3098" s="1711"/>
      <c r="K3098" s="1711"/>
      <c r="L3098" s="1711"/>
      <c r="X3098" s="768" t="b">
        <f t="shared" si="392"/>
        <v>1</v>
      </c>
    </row>
    <row r="3099" hidden="1" outlineLevel="2" spans="1:24">
      <c r="A3099" s="1706" t="s">
        <v>2423</v>
      </c>
      <c r="B3099" s="692" t="s">
        <v>4255</v>
      </c>
      <c r="C3099" s="693" t="str">
        <f t="shared" si="393"/>
        <v>深圳新阳蓝光能源管理科技股份有限公司</v>
      </c>
      <c r="D3099" s="1707" t="s">
        <v>2419</v>
      </c>
      <c r="E3099" s="789" t="s">
        <v>4262</v>
      </c>
      <c r="F3099" s="950"/>
      <c r="G3099" s="1641">
        <f>报表附注合并期初用!E2479</f>
        <v>0</v>
      </c>
      <c r="H3099" s="1711"/>
      <c r="I3099" s="1711"/>
      <c r="J3099" s="1711"/>
      <c r="K3099" s="1711"/>
      <c r="L3099" s="1711"/>
      <c r="X3099" s="768" t="b">
        <f t="shared" si="392"/>
        <v>1</v>
      </c>
    </row>
    <row r="3100" hidden="1" outlineLevel="2" spans="1:24">
      <c r="A3100" s="1706" t="s">
        <v>2424</v>
      </c>
      <c r="B3100" s="692" t="s">
        <v>4255</v>
      </c>
      <c r="C3100" s="693" t="str">
        <f t="shared" si="393"/>
        <v>深圳新阳蓝光能源管理科技股份有限公司</v>
      </c>
      <c r="D3100" s="1707" t="s">
        <v>2419</v>
      </c>
      <c r="E3100" s="1770" t="s">
        <v>4263</v>
      </c>
      <c r="F3100" s="1052">
        <f>F3097-F3098-F3099</f>
        <v>0</v>
      </c>
      <c r="G3100" s="1641">
        <f>G3097-G3098-G3099</f>
        <v>0</v>
      </c>
      <c r="H3100" s="1711"/>
      <c r="I3100" s="1711"/>
      <c r="J3100" s="1711"/>
      <c r="K3100" s="1711"/>
      <c r="L3100" s="1711"/>
      <c r="X3100" s="768" t="b">
        <f t="shared" si="392"/>
        <v>1</v>
      </c>
    </row>
    <row r="3101" ht="24.75" hidden="1" outlineLevel="2" spans="1:24">
      <c r="A3101" s="1706" t="s">
        <v>2425</v>
      </c>
      <c r="B3101" s="692" t="s">
        <v>4255</v>
      </c>
      <c r="C3101" s="693" t="str">
        <f t="shared" si="393"/>
        <v>深圳新阳蓝光能源管理科技股份有限公司</v>
      </c>
      <c r="D3101" s="1707" t="s">
        <v>2419</v>
      </c>
      <c r="E3101" s="789" t="s">
        <v>4264</v>
      </c>
      <c r="F3101" s="950"/>
      <c r="G3101" s="1641">
        <f>报表附注合并期初用!E2481</f>
        <v>0</v>
      </c>
      <c r="H3101" s="1711"/>
      <c r="I3101" s="1711"/>
      <c r="J3101" s="1711"/>
      <c r="K3101" s="1711"/>
      <c r="L3101" s="1711"/>
      <c r="X3101" s="768" t="b">
        <f t="shared" si="392"/>
        <v>1</v>
      </c>
    </row>
    <row r="3102" ht="24.75" hidden="1" outlineLevel="2" spans="1:24">
      <c r="A3102" s="1706" t="s">
        <v>2426</v>
      </c>
      <c r="B3102" s="692" t="s">
        <v>4255</v>
      </c>
      <c r="C3102" s="693" t="str">
        <f t="shared" si="393"/>
        <v>深圳新阳蓝光能源管理科技股份有限公司</v>
      </c>
      <c r="D3102" s="1707" t="s">
        <v>2419</v>
      </c>
      <c r="E3102" s="789" t="s">
        <v>4265</v>
      </c>
      <c r="F3102" s="950"/>
      <c r="G3102" s="1641">
        <f>报表附注合并期初用!E2482</f>
        <v>0</v>
      </c>
      <c r="H3102" s="1711"/>
      <c r="I3102" s="1711"/>
      <c r="J3102" s="1711"/>
      <c r="K3102" s="1711"/>
      <c r="L3102" s="1711"/>
      <c r="X3102" s="768" t="b">
        <f t="shared" si="392"/>
        <v>1</v>
      </c>
    </row>
    <row r="3103" hidden="1" outlineLevel="2" spans="1:24">
      <c r="A3103" s="1706" t="s">
        <v>2423</v>
      </c>
      <c r="B3103" s="692" t="s">
        <v>4255</v>
      </c>
      <c r="C3103" s="693" t="str">
        <f t="shared" si="393"/>
        <v>深圳新阳蓝光能源管理科技股份有限公司</v>
      </c>
      <c r="D3103" s="1707" t="s">
        <v>2419</v>
      </c>
      <c r="E3103" s="789" t="s">
        <v>4262</v>
      </c>
      <c r="F3103" s="950"/>
      <c r="G3103" s="1641">
        <f>报表附注合并期初用!E2483</f>
        <v>0</v>
      </c>
      <c r="H3103" s="1711"/>
      <c r="I3103" s="1711"/>
      <c r="J3103" s="1711"/>
      <c r="K3103" s="1711"/>
      <c r="L3103" s="1711"/>
      <c r="X3103" s="768" t="b">
        <f t="shared" si="392"/>
        <v>1</v>
      </c>
    </row>
    <row r="3104" hidden="1" outlineLevel="2" spans="1:24">
      <c r="A3104" s="1706" t="s">
        <v>2424</v>
      </c>
      <c r="B3104" s="692" t="s">
        <v>4255</v>
      </c>
      <c r="C3104" s="693" t="str">
        <f t="shared" si="393"/>
        <v>深圳新阳蓝光能源管理科技股份有限公司</v>
      </c>
      <c r="D3104" s="1707" t="s">
        <v>2419</v>
      </c>
      <c r="E3104" s="1770" t="s">
        <v>4263</v>
      </c>
      <c r="F3104" s="1052">
        <f>F3101-F3102-F3103</f>
        <v>0</v>
      </c>
      <c r="G3104" s="1641">
        <f>G3101-G3102-G3103</f>
        <v>0</v>
      </c>
      <c r="H3104" s="1711"/>
      <c r="I3104" s="1711"/>
      <c r="J3104" s="1711"/>
      <c r="K3104" s="1711"/>
      <c r="L3104" s="1711"/>
      <c r="X3104" s="768" t="b">
        <f t="shared" si="392"/>
        <v>1</v>
      </c>
    </row>
    <row r="3105" hidden="1" outlineLevel="2" spans="1:24">
      <c r="A3105" s="1706" t="s">
        <v>2427</v>
      </c>
      <c r="B3105" s="692" t="s">
        <v>4255</v>
      </c>
      <c r="C3105" s="693" t="str">
        <f t="shared" si="393"/>
        <v>深圳新阳蓝光能源管理科技股份有限公司</v>
      </c>
      <c r="D3105" s="1707" t="s">
        <v>2419</v>
      </c>
      <c r="E3105" s="789" t="s">
        <v>4266</v>
      </c>
      <c r="F3105" s="950"/>
      <c r="G3105" s="1641">
        <f>报表附注合并期初用!E2485</f>
        <v>0</v>
      </c>
      <c r="H3105" s="1711"/>
      <c r="I3105" s="1711"/>
      <c r="J3105" s="1711"/>
      <c r="K3105" s="1711"/>
      <c r="L3105" s="1711"/>
      <c r="X3105" s="768" t="b">
        <f t="shared" si="392"/>
        <v>1</v>
      </c>
    </row>
    <row r="3106" hidden="1" outlineLevel="2" spans="1:24">
      <c r="A3106" s="1706" t="s">
        <v>2428</v>
      </c>
      <c r="B3106" s="692" t="s">
        <v>4255</v>
      </c>
      <c r="C3106" s="693" t="str">
        <f t="shared" si="393"/>
        <v>深圳新阳蓝光能源管理科技股份有限公司</v>
      </c>
      <c r="D3106" s="1707" t="s">
        <v>2419</v>
      </c>
      <c r="E3106" s="789" t="s">
        <v>4267</v>
      </c>
      <c r="F3106" s="950"/>
      <c r="G3106" s="1641">
        <f>报表附注合并期初用!E2486</f>
        <v>0</v>
      </c>
      <c r="H3106" s="1711"/>
      <c r="I3106" s="1711"/>
      <c r="J3106" s="1711"/>
      <c r="K3106" s="1711"/>
      <c r="L3106" s="1711"/>
      <c r="X3106" s="768" t="b">
        <f t="shared" si="392"/>
        <v>1</v>
      </c>
    </row>
    <row r="3107" hidden="1" outlineLevel="2" spans="1:24">
      <c r="A3107" s="1706" t="s">
        <v>2423</v>
      </c>
      <c r="B3107" s="692" t="s">
        <v>4255</v>
      </c>
      <c r="C3107" s="693" t="str">
        <f t="shared" si="393"/>
        <v>深圳新阳蓝光能源管理科技股份有限公司</v>
      </c>
      <c r="D3107" s="1707" t="s">
        <v>2419</v>
      </c>
      <c r="E3107" s="789" t="s">
        <v>4262</v>
      </c>
      <c r="F3107" s="950"/>
      <c r="G3107" s="1641">
        <f>报表附注合并期初用!E2487</f>
        <v>0</v>
      </c>
      <c r="H3107" s="1711"/>
      <c r="I3107" s="1711"/>
      <c r="J3107" s="1711"/>
      <c r="K3107" s="1711"/>
      <c r="L3107" s="1711"/>
      <c r="X3107" s="768" t="b">
        <f t="shared" si="392"/>
        <v>1</v>
      </c>
    </row>
    <row r="3108" hidden="1" outlineLevel="2" spans="1:24">
      <c r="A3108" s="1706" t="s">
        <v>2429</v>
      </c>
      <c r="B3108" s="692" t="s">
        <v>4255</v>
      </c>
      <c r="C3108" s="693" t="str">
        <f t="shared" si="393"/>
        <v>深圳新阳蓝光能源管理科技股份有限公司</v>
      </c>
      <c r="D3108" s="1707" t="s">
        <v>2419</v>
      </c>
      <c r="E3108" s="789" t="s">
        <v>2429</v>
      </c>
      <c r="F3108" s="950"/>
      <c r="G3108" s="1641">
        <f>报表附注合并期初用!E2488</f>
        <v>0</v>
      </c>
      <c r="H3108" s="1711"/>
      <c r="I3108" s="1711"/>
      <c r="J3108" s="1711"/>
      <c r="K3108" s="1711"/>
      <c r="L3108" s="1711"/>
      <c r="X3108" s="768" t="b">
        <f t="shared" si="392"/>
        <v>1</v>
      </c>
    </row>
    <row r="3109" hidden="1" outlineLevel="2" spans="1:24">
      <c r="A3109" s="1706" t="s">
        <v>2424</v>
      </c>
      <c r="B3109" s="692" t="s">
        <v>4255</v>
      </c>
      <c r="C3109" s="693" t="str">
        <f t="shared" si="393"/>
        <v>深圳新阳蓝光能源管理科技股份有限公司</v>
      </c>
      <c r="D3109" s="1707" t="s">
        <v>2419</v>
      </c>
      <c r="E3109" s="1770" t="s">
        <v>4263</v>
      </c>
      <c r="F3109" s="1052">
        <f>F3105-F3106-F3107-F3108</f>
        <v>0</v>
      </c>
      <c r="G3109" s="1641">
        <f>G3105-G3106-G3107-G3108</f>
        <v>0</v>
      </c>
      <c r="H3109" s="1711"/>
      <c r="I3109" s="1711"/>
      <c r="J3109" s="1711"/>
      <c r="K3109" s="1711"/>
      <c r="L3109" s="1711"/>
      <c r="X3109" s="768" t="b">
        <f t="shared" si="392"/>
        <v>1</v>
      </c>
    </row>
    <row r="3110" hidden="1" outlineLevel="2" spans="1:24">
      <c r="A3110" s="1706" t="s">
        <v>2430</v>
      </c>
      <c r="B3110" s="692" t="s">
        <v>4255</v>
      </c>
      <c r="C3110" s="693" t="str">
        <f t="shared" si="393"/>
        <v>深圳新阳蓝光能源管理科技股份有限公司</v>
      </c>
      <c r="D3110" s="1707" t="s">
        <v>2419</v>
      </c>
      <c r="E3110" s="789" t="s">
        <v>4268</v>
      </c>
      <c r="F3110" s="950"/>
      <c r="G3110" s="1641">
        <f>报表附注合并期初用!E2490</f>
        <v>0</v>
      </c>
      <c r="H3110" s="1711"/>
      <c r="I3110" s="1711"/>
      <c r="J3110" s="1711"/>
      <c r="K3110" s="1711"/>
      <c r="L3110" s="1711"/>
      <c r="X3110" s="768" t="b">
        <f t="shared" si="392"/>
        <v>1</v>
      </c>
    </row>
    <row r="3111" hidden="1" outlineLevel="2" spans="1:24">
      <c r="A3111" s="1706" t="s">
        <v>2431</v>
      </c>
      <c r="B3111" s="692" t="s">
        <v>4255</v>
      </c>
      <c r="C3111" s="693" t="str">
        <f t="shared" si="393"/>
        <v>深圳新阳蓝光能源管理科技股份有限公司</v>
      </c>
      <c r="D3111" s="1707" t="s">
        <v>2419</v>
      </c>
      <c r="E3111" s="789" t="s">
        <v>4269</v>
      </c>
      <c r="F3111" s="950"/>
      <c r="G3111" s="1641">
        <f>报表附注合并期初用!E2491</f>
        <v>0</v>
      </c>
      <c r="H3111" s="1711"/>
      <c r="I3111" s="1711"/>
      <c r="J3111" s="1711"/>
      <c r="K3111" s="1711"/>
      <c r="L3111" s="1711"/>
      <c r="X3111" s="768" t="b">
        <f t="shared" si="392"/>
        <v>1</v>
      </c>
    </row>
    <row r="3112" hidden="1" outlineLevel="2" spans="1:24">
      <c r="A3112" s="1706" t="s">
        <v>2424</v>
      </c>
      <c r="B3112" s="692" t="s">
        <v>4255</v>
      </c>
      <c r="C3112" s="693" t="str">
        <f t="shared" si="393"/>
        <v>深圳新阳蓝光能源管理科技股份有限公司</v>
      </c>
      <c r="D3112" s="1707" t="s">
        <v>2419</v>
      </c>
      <c r="E3112" s="1770" t="s">
        <v>4263</v>
      </c>
      <c r="F3112" s="1052">
        <f>F3110-F3111</f>
        <v>0</v>
      </c>
      <c r="G3112" s="1641">
        <f>G3110-G3111</f>
        <v>0</v>
      </c>
      <c r="H3112" s="1711"/>
      <c r="I3112" s="1711"/>
      <c r="J3112" s="1711"/>
      <c r="K3112" s="1711"/>
      <c r="L3112" s="1711"/>
      <c r="X3112" s="768" t="b">
        <f t="shared" si="392"/>
        <v>1</v>
      </c>
    </row>
    <row r="3113" hidden="1" outlineLevel="2" spans="1:24">
      <c r="A3113" s="1706" t="s">
        <v>2432</v>
      </c>
      <c r="B3113" s="692" t="s">
        <v>4255</v>
      </c>
      <c r="C3113" s="693" t="str">
        <f t="shared" si="393"/>
        <v>深圳新阳蓝光能源管理科技股份有限公司</v>
      </c>
      <c r="D3113" s="1707" t="s">
        <v>2419</v>
      </c>
      <c r="E3113" s="789" t="s">
        <v>4270</v>
      </c>
      <c r="F3113" s="950"/>
      <c r="G3113" s="1641">
        <f>报表附注合并期初用!E2493</f>
        <v>0</v>
      </c>
      <c r="H3113" s="1711"/>
      <c r="I3113" s="1711"/>
      <c r="J3113" s="1711"/>
      <c r="K3113" s="1711"/>
      <c r="L3113" s="1711"/>
      <c r="X3113" s="768" t="b">
        <f t="shared" si="392"/>
        <v>1</v>
      </c>
    </row>
    <row r="3114" hidden="1" outlineLevel="2" spans="1:24">
      <c r="A3114" s="1706" t="s">
        <v>2433</v>
      </c>
      <c r="B3114" s="692" t="s">
        <v>4255</v>
      </c>
      <c r="C3114" s="693" t="str">
        <f t="shared" si="393"/>
        <v>深圳新阳蓝光能源管理科技股份有限公司</v>
      </c>
      <c r="D3114" s="1707" t="s">
        <v>2419</v>
      </c>
      <c r="E3114" s="789" t="s">
        <v>4271</v>
      </c>
      <c r="F3114" s="950"/>
      <c r="G3114" s="1641">
        <f>报表附注合并期初用!E2494</f>
        <v>0</v>
      </c>
      <c r="H3114" s="1711"/>
      <c r="I3114" s="1711"/>
      <c r="J3114" s="1711"/>
      <c r="K3114" s="1711"/>
      <c r="L3114" s="1711"/>
      <c r="X3114" s="768" t="b">
        <f t="shared" si="392"/>
        <v>1</v>
      </c>
    </row>
    <row r="3115" hidden="1" outlineLevel="2" spans="1:24">
      <c r="A3115" s="1706" t="s">
        <v>2434</v>
      </c>
      <c r="B3115" s="692" t="s">
        <v>4255</v>
      </c>
      <c r="C3115" s="693" t="str">
        <f t="shared" si="393"/>
        <v>深圳新阳蓝光能源管理科技股份有限公司</v>
      </c>
      <c r="D3115" s="1707" t="s">
        <v>2419</v>
      </c>
      <c r="E3115" s="789" t="s">
        <v>4272</v>
      </c>
      <c r="F3115" s="950"/>
      <c r="G3115" s="1641">
        <f>报表附注合并期初用!E2495</f>
        <v>0</v>
      </c>
      <c r="H3115" s="1711"/>
      <c r="I3115" s="1711"/>
      <c r="J3115" s="1711"/>
      <c r="K3115" s="1711"/>
      <c r="L3115" s="1711"/>
      <c r="X3115" s="768" t="b">
        <f t="shared" si="392"/>
        <v>1</v>
      </c>
    </row>
    <row r="3116" hidden="1" outlineLevel="2" spans="1:24">
      <c r="A3116" s="1706" t="s">
        <v>2424</v>
      </c>
      <c r="B3116" s="692" t="s">
        <v>4255</v>
      </c>
      <c r="C3116" s="693" t="str">
        <f t="shared" si="393"/>
        <v>深圳新阳蓝光能源管理科技股份有限公司</v>
      </c>
      <c r="D3116" s="1707" t="s">
        <v>2419</v>
      </c>
      <c r="E3116" s="1770" t="s">
        <v>4263</v>
      </c>
      <c r="F3116" s="1052">
        <f>F3113-F3114-F3115</f>
        <v>0</v>
      </c>
      <c r="G3116" s="1052">
        <f>G3113-G3114-G3115</f>
        <v>0</v>
      </c>
      <c r="H3116" s="1711"/>
      <c r="I3116" s="1711"/>
      <c r="J3116" s="1711"/>
      <c r="K3116" s="1711"/>
      <c r="L3116" s="1711"/>
      <c r="X3116" s="768" t="b">
        <f t="shared" si="392"/>
        <v>1</v>
      </c>
    </row>
    <row r="3117" hidden="1" outlineLevel="2" spans="1:24">
      <c r="A3117" s="1706" t="s">
        <v>2203</v>
      </c>
      <c r="B3117" s="692" t="s">
        <v>4255</v>
      </c>
      <c r="C3117" s="693" t="str">
        <f t="shared" si="393"/>
        <v>深圳新阳蓝光能源管理科技股份有限公司</v>
      </c>
      <c r="D3117" s="1707" t="s">
        <v>2419</v>
      </c>
      <c r="E3117" s="1239" t="s">
        <v>4273</v>
      </c>
      <c r="F3117" s="1052">
        <f>F3100+F3104+F3109+F3112+F3116</f>
        <v>0</v>
      </c>
      <c r="G3117" s="1052">
        <f>G3100+G3104+G3109+G3112+G3116</f>
        <v>0</v>
      </c>
      <c r="H3117" s="1711"/>
      <c r="I3117" s="1711"/>
      <c r="J3117" s="1711"/>
      <c r="K3117" s="1711"/>
      <c r="L3117" s="1711"/>
      <c r="X3117" s="768" t="b">
        <f t="shared" si="392"/>
        <v>1</v>
      </c>
    </row>
    <row r="3118" hidden="1" outlineLevel="2" spans="2:24">
      <c r="B3118" s="692" t="s">
        <v>4255</v>
      </c>
      <c r="C3118" s="693" t="str">
        <f t="shared" si="393"/>
        <v>深圳新阳蓝光能源管理科技股份有限公司</v>
      </c>
      <c r="D3118" s="1707" t="s">
        <v>2419</v>
      </c>
      <c r="E3118" s="1106"/>
      <c r="F3118" s="145"/>
      <c r="G3118" s="145"/>
      <c r="H3118" s="1711"/>
      <c r="I3118" s="1711"/>
      <c r="J3118" s="1711"/>
      <c r="K3118" s="1711"/>
      <c r="L3118" s="1711"/>
      <c r="X3118" s="768" t="b">
        <f t="shared" si="392"/>
        <v>1</v>
      </c>
    </row>
    <row r="3119" hidden="1" outlineLevel="2" spans="2:24">
      <c r="B3119" s="692" t="s">
        <v>4255</v>
      </c>
      <c r="C3119" s="693" t="str">
        <f t="shared" si="393"/>
        <v>深圳新阳蓝光能源管理科技股份有限公司</v>
      </c>
      <c r="D3119" s="1707" t="s">
        <v>2419</v>
      </c>
      <c r="E3119" s="1106"/>
      <c r="F3119" s="145"/>
      <c r="G3119" s="145"/>
      <c r="H3119" s="1711"/>
      <c r="I3119" s="1711"/>
      <c r="J3119" s="1711"/>
      <c r="K3119" s="1711"/>
      <c r="L3119" s="1711"/>
      <c r="X3119" s="768" t="b">
        <f t="shared" si="392"/>
        <v>1</v>
      </c>
    </row>
    <row r="3120" hidden="1" outlineLevel="2" spans="2:24">
      <c r="B3120" s="692" t="s">
        <v>4255</v>
      </c>
      <c r="C3120" s="693" t="str">
        <f t="shared" si="393"/>
        <v>深圳新阳蓝光能源管理科技股份有限公司</v>
      </c>
      <c r="D3120" s="1707" t="s">
        <v>2419</v>
      </c>
      <c r="E3120" s="153"/>
      <c r="F3120" s="145"/>
      <c r="G3120" s="145"/>
      <c r="H3120" s="1711"/>
      <c r="I3120" s="1711"/>
      <c r="J3120" s="1711"/>
      <c r="K3120" s="1711"/>
      <c r="L3120" s="1711"/>
      <c r="X3120" s="768" t="b">
        <f t="shared" si="392"/>
        <v>1</v>
      </c>
    </row>
    <row r="3121" spans="1:24">
      <c r="A3121" s="1706" t="s">
        <v>4274</v>
      </c>
      <c r="B3121" s="692" t="s">
        <v>4275</v>
      </c>
      <c r="C3121" s="693" t="str">
        <f t="shared" si="393"/>
        <v>深圳新阳蓝光能源管理科技股份有限公司</v>
      </c>
      <c r="D3121" s="1707" t="s">
        <v>4276</v>
      </c>
      <c r="E3121" s="1771" t="s">
        <v>4274</v>
      </c>
      <c r="F3121" s="751"/>
      <c r="G3121" s="1772" t="s">
        <v>3163</v>
      </c>
      <c r="H3121" s="1711"/>
      <c r="I3121" s="1711"/>
      <c r="J3121" s="1711"/>
      <c r="K3121" s="1711"/>
      <c r="L3121" s="1711"/>
      <c r="X3121" s="768" t="b">
        <f t="shared" si="392"/>
        <v>1</v>
      </c>
    </row>
    <row r="3122" outlineLevel="2" spans="1:24">
      <c r="A3122" s="1706" t="s">
        <v>4277</v>
      </c>
      <c r="B3122" s="692" t="s">
        <v>4275</v>
      </c>
      <c r="C3122" s="693" t="str">
        <f t="shared" si="393"/>
        <v>深圳新阳蓝光能源管理科技股份有限公司</v>
      </c>
      <c r="D3122" s="1707" t="s">
        <v>4276</v>
      </c>
      <c r="E3122" s="147" t="s">
        <v>4277</v>
      </c>
      <c r="F3122" s="147" t="s">
        <v>2445</v>
      </c>
      <c r="G3122" s="147" t="s">
        <v>2441</v>
      </c>
      <c r="H3122" s="1773" t="s">
        <v>2440</v>
      </c>
      <c r="I3122" s="1791"/>
      <c r="J3122" s="1792" t="s">
        <v>4278</v>
      </c>
      <c r="K3122" s="1793"/>
      <c r="L3122" s="1711"/>
      <c r="X3122" s="768" t="b">
        <f t="shared" si="392"/>
        <v>1</v>
      </c>
    </row>
    <row r="3123" outlineLevel="2" spans="1:24">
      <c r="A3123" s="1706" t="s">
        <v>4276</v>
      </c>
      <c r="B3123" s="692" t="s">
        <v>4275</v>
      </c>
      <c r="C3123" s="693" t="str">
        <f t="shared" si="393"/>
        <v>深圳新阳蓝光能源管理科技股份有限公司</v>
      </c>
      <c r="D3123" s="1707" t="s">
        <v>4276</v>
      </c>
      <c r="E3123" s="1483" t="s">
        <v>4276</v>
      </c>
      <c r="F3123" s="909">
        <f>SUM(F3124:F3137)</f>
        <v>0</v>
      </c>
      <c r="G3123" s="909">
        <f>SUM(G3124:G3137)</f>
        <v>0</v>
      </c>
      <c r="H3123" s="1774" t="s">
        <v>4279</v>
      </c>
      <c r="I3123" s="1774" t="s">
        <v>366</v>
      </c>
      <c r="J3123" s="1774" t="s">
        <v>4279</v>
      </c>
      <c r="K3123" s="1774" t="s">
        <v>366</v>
      </c>
      <c r="L3123" s="1711"/>
      <c r="X3123" s="768" t="b">
        <f t="shared" si="392"/>
        <v>1</v>
      </c>
    </row>
    <row r="3124" outlineLevel="2" spans="1:24">
      <c r="A3124" s="1706" t="s">
        <v>4280</v>
      </c>
      <c r="B3124" s="692" t="s">
        <v>4275</v>
      </c>
      <c r="C3124" s="693" t="str">
        <f t="shared" si="393"/>
        <v>深圳新阳蓝光能源管理科技股份有限公司</v>
      </c>
      <c r="D3124" s="1707" t="s">
        <v>4276</v>
      </c>
      <c r="E3124" s="1483" t="s">
        <v>4280</v>
      </c>
      <c r="F3124" s="909">
        <f>I3137</f>
        <v>0</v>
      </c>
      <c r="G3124" s="909">
        <f>K3137</f>
        <v>0</v>
      </c>
      <c r="H3124" s="1775"/>
      <c r="I3124" s="1794"/>
      <c r="J3124" s="1775"/>
      <c r="K3124" s="1794"/>
      <c r="L3124" s="1711"/>
      <c r="X3124" s="768" t="b">
        <f t="shared" si="392"/>
        <v>1</v>
      </c>
    </row>
    <row r="3125" outlineLevel="2" spans="1:24">
      <c r="A3125" s="1706" t="s">
        <v>4281</v>
      </c>
      <c r="B3125" s="692" t="s">
        <v>4275</v>
      </c>
      <c r="C3125" s="693" t="str">
        <f t="shared" si="393"/>
        <v>深圳新阳蓝光能源管理科技股份有限公司</v>
      </c>
      <c r="D3125" s="1707" t="s">
        <v>4276</v>
      </c>
      <c r="E3125" s="1483" t="s">
        <v>4282</v>
      </c>
      <c r="F3125" s="1021"/>
      <c r="G3125" s="1021"/>
      <c r="H3125" s="1776"/>
      <c r="I3125" s="1794"/>
      <c r="J3125" s="1776"/>
      <c r="K3125" s="1794"/>
      <c r="L3125" s="1711"/>
      <c r="X3125" s="768" t="b">
        <f t="shared" si="392"/>
        <v>1</v>
      </c>
    </row>
    <row r="3126" outlineLevel="2" spans="1:24">
      <c r="A3126" s="1706" t="s">
        <v>4283</v>
      </c>
      <c r="B3126" s="692" t="s">
        <v>4275</v>
      </c>
      <c r="C3126" s="693" t="str">
        <f t="shared" si="393"/>
        <v>深圳新阳蓝光能源管理科技股份有限公司</v>
      </c>
      <c r="D3126" s="1707" t="s">
        <v>4276</v>
      </c>
      <c r="E3126" s="1777" t="s">
        <v>4283</v>
      </c>
      <c r="F3126" s="1021"/>
      <c r="G3126" s="1021"/>
      <c r="H3126" s="1776"/>
      <c r="I3126" s="1795"/>
      <c r="J3126" s="1776"/>
      <c r="K3126" s="1795"/>
      <c r="L3126" s="1711"/>
      <c r="X3126" s="768" t="b">
        <f t="shared" si="392"/>
        <v>1</v>
      </c>
    </row>
    <row r="3127" outlineLevel="2" spans="1:24">
      <c r="A3127" s="1706" t="s">
        <v>4284</v>
      </c>
      <c r="B3127" s="692" t="s">
        <v>4275</v>
      </c>
      <c r="C3127" s="693" t="str">
        <f t="shared" si="393"/>
        <v>深圳新阳蓝光能源管理科技股份有限公司</v>
      </c>
      <c r="D3127" s="1707" t="s">
        <v>4276</v>
      </c>
      <c r="E3127" s="1483" t="s">
        <v>4285</v>
      </c>
      <c r="F3127" s="1021"/>
      <c r="G3127" s="1021"/>
      <c r="H3127" s="1776"/>
      <c r="I3127" s="1795"/>
      <c r="J3127" s="1776"/>
      <c r="K3127" s="1795"/>
      <c r="L3127" s="1711"/>
      <c r="X3127" s="768" t="b">
        <f t="shared" si="392"/>
        <v>1</v>
      </c>
    </row>
    <row r="3128" outlineLevel="2" spans="2:24">
      <c r="B3128" s="692" t="s">
        <v>4275</v>
      </c>
      <c r="C3128" s="693" t="str">
        <f t="shared" si="393"/>
        <v>深圳新阳蓝光能源管理科技股份有限公司</v>
      </c>
      <c r="D3128" s="1707" t="s">
        <v>4276</v>
      </c>
      <c r="E3128" s="1777" t="s">
        <v>4286</v>
      </c>
      <c r="F3128" s="1021"/>
      <c r="G3128" s="1021"/>
      <c r="H3128" s="1776"/>
      <c r="I3128" s="1795"/>
      <c r="J3128" s="1776"/>
      <c r="K3128" s="1795"/>
      <c r="L3128" s="1711"/>
      <c r="X3128" s="768" t="b">
        <f t="shared" si="392"/>
        <v>0</v>
      </c>
    </row>
    <row r="3129" outlineLevel="2" spans="2:24">
      <c r="B3129" s="692" t="s">
        <v>4275</v>
      </c>
      <c r="C3129" s="693" t="str">
        <f t="shared" si="393"/>
        <v>深圳新阳蓝光能源管理科技股份有限公司</v>
      </c>
      <c r="D3129" s="1707" t="s">
        <v>4276</v>
      </c>
      <c r="E3129" s="1777" t="s">
        <v>4287</v>
      </c>
      <c r="F3129" s="1021"/>
      <c r="G3129" s="1021"/>
      <c r="H3129" s="1776"/>
      <c r="I3129" s="1795"/>
      <c r="J3129" s="1776"/>
      <c r="K3129" s="1795"/>
      <c r="L3129" s="1711"/>
      <c r="X3129" s="768" t="b">
        <f t="shared" si="392"/>
        <v>0</v>
      </c>
    </row>
    <row r="3130" outlineLevel="2" spans="2:24">
      <c r="B3130" s="692" t="s">
        <v>4275</v>
      </c>
      <c r="C3130" s="693" t="str">
        <f t="shared" si="393"/>
        <v>深圳新阳蓝光能源管理科技股份有限公司</v>
      </c>
      <c r="D3130" s="1707" t="s">
        <v>4276</v>
      </c>
      <c r="E3130" s="1483" t="s">
        <v>4288</v>
      </c>
      <c r="F3130" s="1021"/>
      <c r="G3130" s="1021"/>
      <c r="H3130" s="1776"/>
      <c r="I3130" s="1795"/>
      <c r="J3130" s="1776"/>
      <c r="K3130" s="1795"/>
      <c r="L3130" s="1711"/>
      <c r="X3130" s="768" t="b">
        <f t="shared" si="392"/>
        <v>0</v>
      </c>
    </row>
    <row r="3131" outlineLevel="2" spans="2:24">
      <c r="B3131" s="692" t="s">
        <v>4275</v>
      </c>
      <c r="C3131" s="693" t="str">
        <f t="shared" si="393"/>
        <v>深圳新阳蓝光能源管理科技股份有限公司</v>
      </c>
      <c r="D3131" s="1707" t="s">
        <v>4276</v>
      </c>
      <c r="E3131" s="1446"/>
      <c r="F3131" s="1021"/>
      <c r="G3131" s="1021"/>
      <c r="H3131" s="1776"/>
      <c r="I3131" s="1795"/>
      <c r="J3131" s="1776"/>
      <c r="K3131" s="1795"/>
      <c r="L3131" s="1711"/>
      <c r="X3131" s="768" t="b">
        <f t="shared" si="392"/>
        <v>1</v>
      </c>
    </row>
    <row r="3132" outlineLevel="2" spans="2:24">
      <c r="B3132" s="692" t="s">
        <v>4275</v>
      </c>
      <c r="C3132" s="693" t="str">
        <f t="shared" si="393"/>
        <v>深圳新阳蓝光能源管理科技股份有限公司</v>
      </c>
      <c r="D3132" s="1707" t="s">
        <v>4276</v>
      </c>
      <c r="E3132" s="1446"/>
      <c r="F3132" s="1021"/>
      <c r="G3132" s="1021"/>
      <c r="H3132" s="1776"/>
      <c r="I3132" s="1795"/>
      <c r="J3132" s="1776"/>
      <c r="K3132" s="1795"/>
      <c r="L3132" s="1711"/>
      <c r="X3132" s="768" t="b">
        <f t="shared" si="392"/>
        <v>1</v>
      </c>
    </row>
    <row r="3133" outlineLevel="2" spans="2:24">
      <c r="B3133" s="692" t="s">
        <v>4275</v>
      </c>
      <c r="C3133" s="693" t="str">
        <f t="shared" si="393"/>
        <v>深圳新阳蓝光能源管理科技股份有限公司</v>
      </c>
      <c r="D3133" s="1707" t="s">
        <v>4276</v>
      </c>
      <c r="E3133" s="1446"/>
      <c r="F3133" s="1021"/>
      <c r="G3133" s="1021"/>
      <c r="H3133" s="1776"/>
      <c r="I3133" s="1795"/>
      <c r="J3133" s="1776"/>
      <c r="K3133" s="1795"/>
      <c r="L3133" s="1711"/>
      <c r="X3133" s="768" t="b">
        <f t="shared" si="392"/>
        <v>1</v>
      </c>
    </row>
    <row r="3134" outlineLevel="2" spans="2:24">
      <c r="B3134" s="692" t="s">
        <v>4275</v>
      </c>
      <c r="C3134" s="693" t="str">
        <f t="shared" si="393"/>
        <v>深圳新阳蓝光能源管理科技股份有限公司</v>
      </c>
      <c r="D3134" s="1707" t="s">
        <v>4276</v>
      </c>
      <c r="E3134" s="1446"/>
      <c r="F3134" s="1021"/>
      <c r="G3134" s="1021"/>
      <c r="H3134" s="1776"/>
      <c r="I3134" s="1795"/>
      <c r="J3134" s="1776"/>
      <c r="K3134" s="1795"/>
      <c r="L3134" s="1711"/>
      <c r="X3134" s="768" t="b">
        <f t="shared" si="392"/>
        <v>1</v>
      </c>
    </row>
    <row r="3135" outlineLevel="2" spans="2:24">
      <c r="B3135" s="692" t="s">
        <v>4275</v>
      </c>
      <c r="C3135" s="693" t="str">
        <f t="shared" si="393"/>
        <v>深圳新阳蓝光能源管理科技股份有限公司</v>
      </c>
      <c r="D3135" s="1707" t="s">
        <v>4276</v>
      </c>
      <c r="E3135" s="1446"/>
      <c r="F3135" s="1021"/>
      <c r="G3135" s="1021"/>
      <c r="H3135" s="1776"/>
      <c r="I3135" s="1795"/>
      <c r="J3135" s="1776"/>
      <c r="K3135" s="1795"/>
      <c r="L3135" s="1711"/>
      <c r="X3135" s="768" t="b">
        <f t="shared" si="392"/>
        <v>1</v>
      </c>
    </row>
    <row r="3136" outlineLevel="2" spans="2:24">
      <c r="B3136" s="692" t="s">
        <v>4275</v>
      </c>
      <c r="C3136" s="693" t="str">
        <f t="shared" si="393"/>
        <v>深圳新阳蓝光能源管理科技股份有限公司</v>
      </c>
      <c r="D3136" s="1707" t="s">
        <v>4276</v>
      </c>
      <c r="E3136" s="1482"/>
      <c r="F3136" s="1021"/>
      <c r="G3136" s="1021"/>
      <c r="H3136" s="1776"/>
      <c r="I3136" s="815"/>
      <c r="J3136" s="1776"/>
      <c r="K3136" s="815"/>
      <c r="L3136" s="1711"/>
      <c r="X3136" s="768" t="b">
        <f t="shared" si="392"/>
        <v>1</v>
      </c>
    </row>
    <row r="3137" outlineLevel="2" spans="2:24">
      <c r="B3137" s="692" t="s">
        <v>4275</v>
      </c>
      <c r="C3137" s="693" t="str">
        <f t="shared" si="393"/>
        <v>深圳新阳蓝光能源管理科技股份有限公司</v>
      </c>
      <c r="D3137" s="1707" t="s">
        <v>4276</v>
      </c>
      <c r="E3137" s="1482"/>
      <c r="F3137" s="1021"/>
      <c r="G3137" s="1021"/>
      <c r="H3137" s="1683" t="s">
        <v>2021</v>
      </c>
      <c r="I3137" s="821">
        <f>ROUND(SUM(I3124:I3136),2)</f>
        <v>0</v>
      </c>
      <c r="J3137" s="1683" t="s">
        <v>2021</v>
      </c>
      <c r="K3137" s="821">
        <f>ROUND(SUM(K3124:K3136),2)</f>
        <v>0</v>
      </c>
      <c r="L3137" s="1711"/>
      <c r="X3137" s="768" t="b">
        <f t="shared" si="392"/>
        <v>1</v>
      </c>
    </row>
    <row r="3138" outlineLevel="2" spans="1:24">
      <c r="A3138" s="1706" t="s">
        <v>4289</v>
      </c>
      <c r="B3138" s="692" t="s">
        <v>4275</v>
      </c>
      <c r="C3138" s="693" t="str">
        <f t="shared" si="393"/>
        <v>深圳新阳蓝光能源管理科技股份有限公司</v>
      </c>
      <c r="D3138" s="1707" t="s">
        <v>4289</v>
      </c>
      <c r="E3138" s="1483" t="s">
        <v>4289</v>
      </c>
      <c r="F3138" s="909">
        <f>SUM(F3139:F3153)</f>
        <v>0</v>
      </c>
      <c r="G3138" s="909">
        <f>SUM(G3139:G3153)</f>
        <v>0</v>
      </c>
      <c r="H3138" s="1796" t="s">
        <v>2440</v>
      </c>
      <c r="I3138" s="1796"/>
      <c r="J3138" s="1796" t="s">
        <v>4278</v>
      </c>
      <c r="K3138" s="1796"/>
      <c r="L3138" s="1711"/>
      <c r="X3138" s="768" t="b">
        <f t="shared" si="392"/>
        <v>1</v>
      </c>
    </row>
    <row r="3139" outlineLevel="2" spans="1:24">
      <c r="A3139" s="1706" t="s">
        <v>4290</v>
      </c>
      <c r="B3139" s="692" t="s">
        <v>4275</v>
      </c>
      <c r="C3139" s="693" t="str">
        <f t="shared" si="393"/>
        <v>深圳新阳蓝光能源管理科技股份有限公司</v>
      </c>
      <c r="D3139" s="1707" t="s">
        <v>4289</v>
      </c>
      <c r="E3139" s="1483" t="s">
        <v>4290</v>
      </c>
      <c r="F3139" s="1021"/>
      <c r="G3139" s="1021"/>
      <c r="H3139" s="1797" t="s">
        <v>4279</v>
      </c>
      <c r="I3139" s="1774" t="s">
        <v>366</v>
      </c>
      <c r="J3139" s="1797" t="s">
        <v>4279</v>
      </c>
      <c r="K3139" s="1774" t="s">
        <v>366</v>
      </c>
      <c r="L3139" s="1711"/>
      <c r="X3139" s="768" t="b">
        <f t="shared" si="392"/>
        <v>1</v>
      </c>
    </row>
    <row r="3140" outlineLevel="2" spans="1:24">
      <c r="A3140" s="1706" t="s">
        <v>4291</v>
      </c>
      <c r="B3140" s="692" t="s">
        <v>4275</v>
      </c>
      <c r="C3140" s="693" t="str">
        <f t="shared" si="393"/>
        <v>深圳新阳蓝光能源管理科技股份有限公司</v>
      </c>
      <c r="D3140" s="1707" t="s">
        <v>4289</v>
      </c>
      <c r="E3140" s="1483" t="s">
        <v>4291</v>
      </c>
      <c r="F3140" s="909">
        <f>I3153</f>
        <v>0</v>
      </c>
      <c r="G3140" s="909">
        <f>K3153</f>
        <v>0</v>
      </c>
      <c r="H3140" s="1775"/>
      <c r="I3140" s="815"/>
      <c r="J3140" s="1775"/>
      <c r="K3140" s="815"/>
      <c r="L3140" s="1711"/>
      <c r="X3140" s="768" t="b">
        <f t="shared" si="392"/>
        <v>1</v>
      </c>
    </row>
    <row r="3141" outlineLevel="2" spans="1:24">
      <c r="A3141" s="1706" t="s">
        <v>4292</v>
      </c>
      <c r="B3141" s="692" t="s">
        <v>4275</v>
      </c>
      <c r="C3141" s="693" t="str">
        <f t="shared" si="393"/>
        <v>深圳新阳蓝光能源管理科技股份有限公司</v>
      </c>
      <c r="D3141" s="1707" t="s">
        <v>4289</v>
      </c>
      <c r="E3141" s="1777" t="s">
        <v>4292</v>
      </c>
      <c r="F3141" s="1021"/>
      <c r="G3141" s="1021"/>
      <c r="H3141" s="1776"/>
      <c r="I3141" s="1776"/>
      <c r="J3141" s="1776"/>
      <c r="K3141" s="815"/>
      <c r="L3141" s="1711"/>
      <c r="X3141" s="768" t="b">
        <f t="shared" si="392"/>
        <v>1</v>
      </c>
    </row>
    <row r="3142" outlineLevel="2" spans="1:24">
      <c r="A3142" s="1706" t="s">
        <v>4293</v>
      </c>
      <c r="B3142" s="692" t="s">
        <v>4275</v>
      </c>
      <c r="C3142" s="693" t="str">
        <f t="shared" si="393"/>
        <v>深圳新阳蓝光能源管理科技股份有限公司</v>
      </c>
      <c r="D3142" s="1707" t="s">
        <v>4289</v>
      </c>
      <c r="E3142" s="1483" t="s">
        <v>4293</v>
      </c>
      <c r="F3142" s="1021"/>
      <c r="G3142" s="1021"/>
      <c r="H3142" s="1776"/>
      <c r="I3142" s="1776"/>
      <c r="J3142" s="1776"/>
      <c r="K3142" s="815"/>
      <c r="L3142" s="1711"/>
      <c r="X3142" s="768" t="b">
        <f t="shared" ref="X3142:X3205" si="394">EXACT(A3142,E3142)</f>
        <v>1</v>
      </c>
    </row>
    <row r="3143" outlineLevel="2" spans="1:24">
      <c r="A3143" s="1706" t="s">
        <v>4284</v>
      </c>
      <c r="B3143" s="692" t="s">
        <v>4275</v>
      </c>
      <c r="C3143" s="693" t="str">
        <f t="shared" si="393"/>
        <v>深圳新阳蓝光能源管理科技股份有限公司</v>
      </c>
      <c r="D3143" s="1707" t="s">
        <v>4289</v>
      </c>
      <c r="E3143" s="1483" t="s">
        <v>4285</v>
      </c>
      <c r="F3143" s="1021"/>
      <c r="G3143" s="1021"/>
      <c r="H3143" s="1776"/>
      <c r="I3143" s="1776"/>
      <c r="J3143" s="1776"/>
      <c r="K3143" s="815"/>
      <c r="L3143" s="1711"/>
      <c r="X3143" s="768" t="b">
        <f t="shared" si="394"/>
        <v>1</v>
      </c>
    </row>
    <row r="3144" outlineLevel="2" spans="2:24">
      <c r="B3144" s="692" t="s">
        <v>4275</v>
      </c>
      <c r="C3144" s="693" t="str">
        <f t="shared" si="393"/>
        <v>深圳新阳蓝光能源管理科技股份有限公司</v>
      </c>
      <c r="D3144" s="1707" t="s">
        <v>4289</v>
      </c>
      <c r="E3144" s="1777" t="s">
        <v>4294</v>
      </c>
      <c r="F3144" s="1021"/>
      <c r="G3144" s="1021"/>
      <c r="H3144" s="1776"/>
      <c r="I3144" s="1776"/>
      <c r="J3144" s="1776"/>
      <c r="K3144" s="815"/>
      <c r="L3144" s="1711"/>
      <c r="X3144" s="768" t="b">
        <f t="shared" si="394"/>
        <v>0</v>
      </c>
    </row>
    <row r="3145" outlineLevel="2" spans="2:24">
      <c r="B3145" s="692" t="s">
        <v>4275</v>
      </c>
      <c r="C3145" s="693" t="str">
        <f t="shared" si="393"/>
        <v>深圳新阳蓝光能源管理科技股份有限公司</v>
      </c>
      <c r="D3145" s="1707" t="s">
        <v>4289</v>
      </c>
      <c r="E3145" s="1482"/>
      <c r="F3145" s="1021"/>
      <c r="G3145" s="1021"/>
      <c r="H3145" s="1776"/>
      <c r="I3145" s="1776"/>
      <c r="J3145" s="1776"/>
      <c r="K3145" s="815"/>
      <c r="L3145" s="1711"/>
      <c r="X3145" s="768" t="b">
        <f t="shared" si="394"/>
        <v>1</v>
      </c>
    </row>
    <row r="3146" outlineLevel="2" spans="2:24">
      <c r="B3146" s="692" t="s">
        <v>4275</v>
      </c>
      <c r="C3146" s="693" t="str">
        <f t="shared" si="393"/>
        <v>深圳新阳蓝光能源管理科技股份有限公司</v>
      </c>
      <c r="D3146" s="1707" t="s">
        <v>4289</v>
      </c>
      <c r="E3146" s="1482"/>
      <c r="F3146" s="1021"/>
      <c r="G3146" s="1021"/>
      <c r="H3146" s="1776"/>
      <c r="I3146" s="1776"/>
      <c r="J3146" s="1776"/>
      <c r="K3146" s="815"/>
      <c r="L3146" s="1711"/>
      <c r="X3146" s="768" t="b">
        <f t="shared" si="394"/>
        <v>1</v>
      </c>
    </row>
    <row r="3147" outlineLevel="2" spans="2:24">
      <c r="B3147" s="692" t="s">
        <v>4275</v>
      </c>
      <c r="C3147" s="693" t="str">
        <f t="shared" si="393"/>
        <v>深圳新阳蓝光能源管理科技股份有限公司</v>
      </c>
      <c r="D3147" s="1707" t="s">
        <v>4289</v>
      </c>
      <c r="E3147" s="1482"/>
      <c r="F3147" s="1021"/>
      <c r="G3147" s="1021"/>
      <c r="H3147" s="1776"/>
      <c r="I3147" s="1776"/>
      <c r="J3147" s="1776"/>
      <c r="K3147" s="815"/>
      <c r="L3147" s="1711"/>
      <c r="X3147" s="768" t="b">
        <f t="shared" si="394"/>
        <v>1</v>
      </c>
    </row>
    <row r="3148" outlineLevel="2" spans="2:24">
      <c r="B3148" s="692" t="s">
        <v>4275</v>
      </c>
      <c r="C3148" s="693" t="str">
        <f t="shared" si="393"/>
        <v>深圳新阳蓝光能源管理科技股份有限公司</v>
      </c>
      <c r="D3148" s="1707" t="s">
        <v>4289</v>
      </c>
      <c r="E3148" s="1482"/>
      <c r="F3148" s="1021"/>
      <c r="G3148" s="1021"/>
      <c r="H3148" s="1776"/>
      <c r="I3148" s="1776"/>
      <c r="J3148" s="1776"/>
      <c r="K3148" s="815"/>
      <c r="L3148" s="1711"/>
      <c r="X3148" s="768" t="b">
        <f t="shared" si="394"/>
        <v>1</v>
      </c>
    </row>
    <row r="3149" outlineLevel="2" spans="2:24">
      <c r="B3149" s="692" t="s">
        <v>4275</v>
      </c>
      <c r="C3149" s="693" t="str">
        <f t="shared" si="393"/>
        <v>深圳新阳蓝光能源管理科技股份有限公司</v>
      </c>
      <c r="D3149" s="1707" t="s">
        <v>4289</v>
      </c>
      <c r="E3149" s="1482"/>
      <c r="F3149" s="1021"/>
      <c r="G3149" s="1021"/>
      <c r="H3149" s="1776"/>
      <c r="I3149" s="1776"/>
      <c r="J3149" s="1776"/>
      <c r="K3149" s="815"/>
      <c r="L3149" s="1711"/>
      <c r="X3149" s="768" t="b">
        <f t="shared" si="394"/>
        <v>1</v>
      </c>
    </row>
    <row r="3150" outlineLevel="2" spans="2:24">
      <c r="B3150" s="692" t="s">
        <v>4275</v>
      </c>
      <c r="C3150" s="693" t="str">
        <f t="shared" si="393"/>
        <v>深圳新阳蓝光能源管理科技股份有限公司</v>
      </c>
      <c r="D3150" s="1707" t="s">
        <v>4289</v>
      </c>
      <c r="E3150" s="1482"/>
      <c r="F3150" s="1021"/>
      <c r="G3150" s="1021"/>
      <c r="H3150" s="1776"/>
      <c r="I3150" s="1776"/>
      <c r="J3150" s="1776"/>
      <c r="K3150" s="815"/>
      <c r="L3150" s="1711"/>
      <c r="X3150" s="768" t="b">
        <f t="shared" si="394"/>
        <v>1</v>
      </c>
    </row>
    <row r="3151" outlineLevel="2" spans="2:24">
      <c r="B3151" s="692" t="s">
        <v>4275</v>
      </c>
      <c r="C3151" s="693" t="str">
        <f t="shared" si="393"/>
        <v>深圳新阳蓝光能源管理科技股份有限公司</v>
      </c>
      <c r="D3151" s="1707" t="s">
        <v>4289</v>
      </c>
      <c r="E3151" s="1482"/>
      <c r="F3151" s="1021"/>
      <c r="G3151" s="1021"/>
      <c r="H3151" s="1776"/>
      <c r="I3151" s="1776"/>
      <c r="J3151" s="1776"/>
      <c r="K3151" s="815"/>
      <c r="L3151" s="1711"/>
      <c r="X3151" s="768" t="b">
        <f t="shared" si="394"/>
        <v>1</v>
      </c>
    </row>
    <row r="3152" outlineLevel="2" spans="2:24">
      <c r="B3152" s="692" t="s">
        <v>4275</v>
      </c>
      <c r="C3152" s="693" t="str">
        <f t="shared" si="393"/>
        <v>深圳新阳蓝光能源管理科技股份有限公司</v>
      </c>
      <c r="D3152" s="1707" t="s">
        <v>4289</v>
      </c>
      <c r="E3152" s="1482"/>
      <c r="F3152" s="1021"/>
      <c r="G3152" s="1021"/>
      <c r="H3152" s="1776"/>
      <c r="I3152" s="1776"/>
      <c r="J3152" s="1776"/>
      <c r="K3152" s="815"/>
      <c r="L3152" s="1711"/>
      <c r="X3152" s="768" t="b">
        <f t="shared" si="394"/>
        <v>1</v>
      </c>
    </row>
    <row r="3153" outlineLevel="2" spans="2:24">
      <c r="B3153" s="692" t="s">
        <v>4275</v>
      </c>
      <c r="C3153" s="693" t="str">
        <f t="shared" si="393"/>
        <v>深圳新阳蓝光能源管理科技股份有限公司</v>
      </c>
      <c r="D3153" s="1707" t="s">
        <v>4289</v>
      </c>
      <c r="E3153" s="821"/>
      <c r="F3153" s="821"/>
      <c r="G3153" s="821"/>
      <c r="H3153" s="1683" t="s">
        <v>2021</v>
      </c>
      <c r="I3153" s="821">
        <f>ROUND(SUM(I3140:I3152),2)</f>
        <v>0</v>
      </c>
      <c r="J3153" s="1683" t="s">
        <v>2021</v>
      </c>
      <c r="K3153" s="821">
        <f>ROUND(SUM(K3140:K3152),2)</f>
        <v>0</v>
      </c>
      <c r="L3153" s="1711"/>
      <c r="X3153" s="768" t="b">
        <f t="shared" si="394"/>
        <v>1</v>
      </c>
    </row>
    <row r="3154" outlineLevel="2" spans="1:24">
      <c r="A3154" s="1706" t="s">
        <v>4295</v>
      </c>
      <c r="B3154" s="692" t="s">
        <v>4275</v>
      </c>
      <c r="C3154" s="693" t="str">
        <f t="shared" si="393"/>
        <v>深圳新阳蓝光能源管理科技股份有限公司</v>
      </c>
      <c r="D3154" s="1707" t="s">
        <v>4289</v>
      </c>
      <c r="E3154" s="1798" t="s">
        <v>4296</v>
      </c>
      <c r="F3154" s="1465">
        <f>审定现流表!C9</f>
        <v>15400669.23</v>
      </c>
      <c r="G3154" s="1465">
        <f>审定现流表!D9</f>
        <v>0</v>
      </c>
      <c r="H3154" s="1711"/>
      <c r="I3154" s="1711"/>
      <c r="J3154" s="1711"/>
      <c r="L3154" s="1733" t="s">
        <v>4018</v>
      </c>
      <c r="M3154" s="1733" t="s">
        <v>4019</v>
      </c>
      <c r="N3154" s="1804" t="s">
        <v>280</v>
      </c>
      <c r="X3154" s="768" t="b">
        <f t="shared" si="394"/>
        <v>1</v>
      </c>
    </row>
    <row r="3155" ht="15" customHeight="1" outlineLevel="1" spans="1:24">
      <c r="A3155" s="1706" t="s">
        <v>1997</v>
      </c>
      <c r="B3155" s="692" t="s">
        <v>4275</v>
      </c>
      <c r="C3155" s="693" t="str">
        <f t="shared" ref="C3155:C3218" si="395">$G$1</f>
        <v>深圳新阳蓝光能源管理科技股份有限公司</v>
      </c>
      <c r="D3155" s="1707" t="s">
        <v>4289</v>
      </c>
      <c r="E3155" s="1798" t="s">
        <v>1997</v>
      </c>
      <c r="F3155" s="1007">
        <f>ROUND(F3123-F3154,2)</f>
        <v>-15400669.23</v>
      </c>
      <c r="G3155" s="1007">
        <f>ROUND(G3123-G3154,2)</f>
        <v>0</v>
      </c>
      <c r="H3155" s="1799" t="s">
        <v>4297</v>
      </c>
      <c r="I3155" s="1007" t="str">
        <f>IF(ROUND(F3125=-F2735+(F159-I159),2),"相符","不相符，请说明差异："&amp;(F3125-(-F2735+(F159-I159))))</f>
        <v>不相符，请说明差异：-1112994.49</v>
      </c>
      <c r="J3155" s="1805" t="s">
        <v>4298</v>
      </c>
      <c r="K3155" s="1716"/>
      <c r="L3155" s="838">
        <v>0</v>
      </c>
      <c r="M3155" s="838">
        <v>0</v>
      </c>
      <c r="N3155" s="838">
        <v>0</v>
      </c>
      <c r="X3155" s="768" t="b">
        <f t="shared" si="394"/>
        <v>1</v>
      </c>
    </row>
    <row r="3156" outlineLevel="2" spans="1:24">
      <c r="A3156" s="1706" t="s">
        <v>4299</v>
      </c>
      <c r="B3156" s="692" t="s">
        <v>4275</v>
      </c>
      <c r="C3156" s="693" t="str">
        <f t="shared" si="395"/>
        <v>深圳新阳蓝光能源管理科技股份有限公司</v>
      </c>
      <c r="D3156" s="1707" t="s">
        <v>4289</v>
      </c>
      <c r="E3156" s="1798" t="s">
        <v>4300</v>
      </c>
      <c r="F3156" s="1465">
        <f>审定现流表!C14</f>
        <v>13364186.34</v>
      </c>
      <c r="G3156" s="1465">
        <f>审定现流表!D14</f>
        <v>0</v>
      </c>
      <c r="H3156" s="1711" t="s">
        <v>4301</v>
      </c>
      <c r="I3156" s="1007" t="str">
        <f>IF(F3139&gt;F2776,"不合理","合理")</f>
        <v>合理</v>
      </c>
      <c r="J3156" s="1711"/>
      <c r="K3156" s="1711"/>
      <c r="L3156" s="1711"/>
      <c r="X3156" s="768" t="b">
        <f t="shared" si="394"/>
        <v>1</v>
      </c>
    </row>
    <row r="3157" outlineLevel="2" spans="1:24">
      <c r="A3157" s="1706" t="s">
        <v>1997</v>
      </c>
      <c r="B3157" s="692" t="s">
        <v>4275</v>
      </c>
      <c r="C3157" s="693" t="str">
        <f t="shared" si="395"/>
        <v>深圳新阳蓝光能源管理科技股份有限公司</v>
      </c>
      <c r="D3157" s="1707" t="s">
        <v>4289</v>
      </c>
      <c r="E3157" s="1798" t="s">
        <v>1997</v>
      </c>
      <c r="F3157" s="1007">
        <f>ROUND(F3138-F3156,2)</f>
        <v>-13364186.34</v>
      </c>
      <c r="G3157" s="1007">
        <f>ROUND(G3138-G3156,2)</f>
        <v>0</v>
      </c>
      <c r="H3157" s="1711" t="s">
        <v>4302</v>
      </c>
      <c r="I3157" s="1007" t="str">
        <f>IF(F3141&gt;F2847,"不合理","合理")</f>
        <v>合理</v>
      </c>
      <c r="J3157" s="1711"/>
      <c r="K3157" s="1711"/>
      <c r="L3157" s="1711"/>
      <c r="X3157" s="768" t="b">
        <f t="shared" si="394"/>
        <v>1</v>
      </c>
    </row>
    <row r="3158" outlineLevel="2" spans="1:24">
      <c r="A3158" s="1706" t="s">
        <v>4303</v>
      </c>
      <c r="B3158" s="692" t="s">
        <v>4275</v>
      </c>
      <c r="C3158" s="693" t="str">
        <f t="shared" si="395"/>
        <v>深圳新阳蓝光能源管理科技股份有限公司</v>
      </c>
      <c r="D3158" s="1707" t="s">
        <v>4303</v>
      </c>
      <c r="E3158" s="153" t="s">
        <v>4303</v>
      </c>
      <c r="F3158" s="1711"/>
      <c r="G3158" s="1711"/>
      <c r="H3158" s="1706" t="s">
        <v>4304</v>
      </c>
      <c r="I3158" s="1007" t="str">
        <f>IF(F3126&lt;F2920,"不合理","合理")</f>
        <v>不合理</v>
      </c>
      <c r="J3158" s="1805" t="s">
        <v>4298</v>
      </c>
      <c r="K3158" s="1716"/>
      <c r="L3158" s="1711"/>
      <c r="X3158" s="768" t="b">
        <f t="shared" si="394"/>
        <v>1</v>
      </c>
    </row>
    <row r="3159" outlineLevel="2" spans="1:24">
      <c r="A3159" s="1706" t="s">
        <v>2809</v>
      </c>
      <c r="B3159" s="692" t="s">
        <v>4275</v>
      </c>
      <c r="C3159" s="693" t="str">
        <f t="shared" si="395"/>
        <v>深圳新阳蓝光能源管理科技股份有限公司</v>
      </c>
      <c r="D3159" s="1707" t="s">
        <v>4303</v>
      </c>
      <c r="E3159" s="153" t="s">
        <v>2829</v>
      </c>
      <c r="F3159" s="1716"/>
      <c r="G3159" s="1716"/>
      <c r="H3159" s="1711"/>
      <c r="I3159" s="1711"/>
      <c r="J3159" s="1711"/>
      <c r="K3159" s="1711"/>
      <c r="L3159" s="1711"/>
      <c r="X3159" s="768" t="b">
        <f t="shared" si="394"/>
        <v>1</v>
      </c>
    </row>
    <row r="3160" outlineLevel="2" spans="1:24">
      <c r="A3160" s="1706" t="s">
        <v>4305</v>
      </c>
      <c r="B3160" s="692" t="s">
        <v>4275</v>
      </c>
      <c r="C3160" s="693" t="str">
        <f t="shared" si="395"/>
        <v>深圳新阳蓝光能源管理科技股份有限公司</v>
      </c>
      <c r="D3160" s="1707" t="s">
        <v>4305</v>
      </c>
      <c r="E3160" s="153" t="s">
        <v>4305</v>
      </c>
      <c r="F3160" s="1711"/>
      <c r="G3160" s="1711"/>
      <c r="H3160" s="1711"/>
      <c r="I3160" s="1711"/>
      <c r="J3160" s="1711"/>
      <c r="K3160" s="1711"/>
      <c r="L3160" s="1711"/>
      <c r="X3160" s="768" t="b">
        <f t="shared" si="394"/>
        <v>1</v>
      </c>
    </row>
    <row r="3161" outlineLevel="2" spans="1:24">
      <c r="A3161" s="1706" t="s">
        <v>2809</v>
      </c>
      <c r="B3161" s="692" t="s">
        <v>4275</v>
      </c>
      <c r="C3161" s="693" t="str">
        <f t="shared" si="395"/>
        <v>深圳新阳蓝光能源管理科技股份有限公司</v>
      </c>
      <c r="D3161" s="1707" t="s">
        <v>4305</v>
      </c>
      <c r="E3161" s="153" t="s">
        <v>2829</v>
      </c>
      <c r="F3161" s="1716"/>
      <c r="G3161" s="1716"/>
      <c r="H3161" s="1711"/>
      <c r="I3161" s="1711"/>
      <c r="J3161" s="1711"/>
      <c r="K3161" s="1711"/>
      <c r="L3161" s="1711"/>
      <c r="X3161" s="768" t="b">
        <f t="shared" si="394"/>
        <v>1</v>
      </c>
    </row>
    <row r="3162" outlineLevel="2" spans="2:24">
      <c r="B3162" s="692" t="s">
        <v>4275</v>
      </c>
      <c r="C3162" s="693" t="str">
        <f t="shared" si="395"/>
        <v>深圳新阳蓝光能源管理科技股份有限公司</v>
      </c>
      <c r="D3162" s="1707" t="s">
        <v>4305</v>
      </c>
      <c r="E3162" s="1798"/>
      <c r="F3162" s="1800"/>
      <c r="G3162" s="1800"/>
      <c r="H3162" s="1711"/>
      <c r="I3162" s="1711"/>
      <c r="J3162" s="1711"/>
      <c r="K3162" s="1711"/>
      <c r="L3162" s="1711"/>
      <c r="X3162" s="768" t="b">
        <f t="shared" si="394"/>
        <v>1</v>
      </c>
    </row>
    <row r="3163" spans="1:24">
      <c r="A3163" s="1706" t="s">
        <v>4306</v>
      </c>
      <c r="B3163" s="692" t="s">
        <v>4307</v>
      </c>
      <c r="C3163" s="693" t="str">
        <f t="shared" si="395"/>
        <v>深圳新阳蓝光能源管理科技股份有限公司</v>
      </c>
      <c r="D3163" s="1707" t="s">
        <v>4308</v>
      </c>
      <c r="E3163" s="1233" t="s">
        <v>4309</v>
      </c>
      <c r="F3163" s="751"/>
      <c r="G3163" s="1772" t="s">
        <v>3163</v>
      </c>
      <c r="H3163" s="1711"/>
      <c r="I3163" s="1711"/>
      <c r="J3163" s="1711"/>
      <c r="K3163" s="1711"/>
      <c r="L3163" s="1711"/>
      <c r="X3163" s="768" t="b">
        <f t="shared" si="394"/>
        <v>0</v>
      </c>
    </row>
    <row r="3164" outlineLevel="2" spans="1:24">
      <c r="A3164" s="1706" t="s">
        <v>4277</v>
      </c>
      <c r="B3164" s="692" t="s">
        <v>4307</v>
      </c>
      <c r="C3164" s="693" t="str">
        <f t="shared" si="395"/>
        <v>深圳新阳蓝光能源管理科技股份有限公司</v>
      </c>
      <c r="D3164" s="1707" t="s">
        <v>4308</v>
      </c>
      <c r="E3164" s="147" t="s">
        <v>4277</v>
      </c>
      <c r="F3164" s="147" t="s">
        <v>2445</v>
      </c>
      <c r="G3164" s="147" t="s">
        <v>2441</v>
      </c>
      <c r="H3164" s="1711"/>
      <c r="I3164" s="1711"/>
      <c r="J3164" s="1711"/>
      <c r="K3164" s="1711"/>
      <c r="L3164" s="1711"/>
      <c r="X3164" s="768" t="b">
        <f t="shared" si="394"/>
        <v>1</v>
      </c>
    </row>
    <row r="3165" outlineLevel="2" spans="1:24">
      <c r="A3165" s="1706" t="s">
        <v>4308</v>
      </c>
      <c r="B3165" s="692" t="s">
        <v>4307</v>
      </c>
      <c r="C3165" s="693" t="str">
        <f t="shared" si="395"/>
        <v>深圳新阳蓝光能源管理科技股份有限公司</v>
      </c>
      <c r="D3165" s="1707" t="s">
        <v>4308</v>
      </c>
      <c r="E3165" s="1483" t="s">
        <v>4308</v>
      </c>
      <c r="F3165" s="909">
        <f>SUM(F3166:F3176)</f>
        <v>0</v>
      </c>
      <c r="G3165" s="909">
        <f>SUM(G3166:G3176)</f>
        <v>0</v>
      </c>
      <c r="H3165" s="1711"/>
      <c r="I3165" s="1711"/>
      <c r="J3165" s="1725"/>
      <c r="K3165" s="1711"/>
      <c r="L3165" s="1711"/>
      <c r="X3165" s="768" t="b">
        <f t="shared" si="394"/>
        <v>1</v>
      </c>
    </row>
    <row r="3166" outlineLevel="2" spans="1:24">
      <c r="A3166" s="1706" t="s">
        <v>4310</v>
      </c>
      <c r="B3166" s="692" t="s">
        <v>4307</v>
      </c>
      <c r="C3166" s="693" t="str">
        <f t="shared" si="395"/>
        <v>深圳新阳蓝光能源管理科技股份有限公司</v>
      </c>
      <c r="D3166" s="1707" t="s">
        <v>4308</v>
      </c>
      <c r="E3166" s="1483" t="s">
        <v>4311</v>
      </c>
      <c r="F3166" s="1021"/>
      <c r="G3166" s="1021"/>
      <c r="H3166" s="1711"/>
      <c r="I3166" s="1711"/>
      <c r="J3166" s="1711"/>
      <c r="K3166" s="1711"/>
      <c r="L3166" s="1711"/>
      <c r="X3166" s="768" t="b">
        <f t="shared" si="394"/>
        <v>0</v>
      </c>
    </row>
    <row r="3167" outlineLevel="2" spans="2:24">
      <c r="B3167" s="692" t="s">
        <v>4307</v>
      </c>
      <c r="C3167" s="693" t="str">
        <f t="shared" si="395"/>
        <v>深圳新阳蓝光能源管理科技股份有限公司</v>
      </c>
      <c r="D3167" s="1707" t="s">
        <v>4308</v>
      </c>
      <c r="E3167" s="1482"/>
      <c r="F3167" s="1021"/>
      <c r="G3167" s="1021"/>
      <c r="H3167" s="1711"/>
      <c r="I3167" s="1711"/>
      <c r="J3167" s="1711"/>
      <c r="K3167" s="1711"/>
      <c r="L3167" s="1711"/>
      <c r="X3167" s="768" t="b">
        <f t="shared" si="394"/>
        <v>1</v>
      </c>
    </row>
    <row r="3168" outlineLevel="2" spans="2:24">
      <c r="B3168" s="692" t="s">
        <v>4307</v>
      </c>
      <c r="C3168" s="693" t="str">
        <f t="shared" si="395"/>
        <v>深圳新阳蓝光能源管理科技股份有限公司</v>
      </c>
      <c r="D3168" s="1707" t="s">
        <v>4308</v>
      </c>
      <c r="E3168" s="1482"/>
      <c r="F3168" s="1021"/>
      <c r="G3168" s="1021"/>
      <c r="H3168" s="1711"/>
      <c r="I3168" s="1711"/>
      <c r="J3168" s="1711"/>
      <c r="K3168" s="1711"/>
      <c r="L3168" s="1711"/>
      <c r="X3168" s="768" t="b">
        <f t="shared" si="394"/>
        <v>1</v>
      </c>
    </row>
    <row r="3169" outlineLevel="2" spans="2:24">
      <c r="B3169" s="692" t="s">
        <v>4307</v>
      </c>
      <c r="C3169" s="693" t="str">
        <f t="shared" si="395"/>
        <v>深圳新阳蓝光能源管理科技股份有限公司</v>
      </c>
      <c r="D3169" s="1707" t="s">
        <v>4308</v>
      </c>
      <c r="E3169" s="1482"/>
      <c r="F3169" s="1021"/>
      <c r="G3169" s="1021"/>
      <c r="H3169" s="1711"/>
      <c r="I3169" s="1711"/>
      <c r="J3169" s="1711"/>
      <c r="K3169" s="1711"/>
      <c r="L3169" s="1711"/>
      <c r="X3169" s="768" t="b">
        <f t="shared" si="394"/>
        <v>1</v>
      </c>
    </row>
    <row r="3170" outlineLevel="2" spans="2:24">
      <c r="B3170" s="692" t="s">
        <v>4307</v>
      </c>
      <c r="C3170" s="693" t="str">
        <f t="shared" si="395"/>
        <v>深圳新阳蓝光能源管理科技股份有限公司</v>
      </c>
      <c r="D3170" s="1707" t="s">
        <v>4308</v>
      </c>
      <c r="E3170" s="1482"/>
      <c r="F3170" s="1021"/>
      <c r="G3170" s="1021"/>
      <c r="H3170" s="1711"/>
      <c r="I3170" s="1711"/>
      <c r="J3170" s="1711"/>
      <c r="K3170" s="1711"/>
      <c r="L3170" s="1711"/>
      <c r="X3170" s="768" t="b">
        <f t="shared" si="394"/>
        <v>1</v>
      </c>
    </row>
    <row r="3171" outlineLevel="2" spans="2:24">
      <c r="B3171" s="692" t="s">
        <v>4307</v>
      </c>
      <c r="C3171" s="693" t="str">
        <f t="shared" si="395"/>
        <v>深圳新阳蓝光能源管理科技股份有限公司</v>
      </c>
      <c r="D3171" s="1707" t="s">
        <v>4308</v>
      </c>
      <c r="E3171" s="1482"/>
      <c r="F3171" s="1021"/>
      <c r="G3171" s="1021"/>
      <c r="H3171" s="1711"/>
      <c r="I3171" s="1711"/>
      <c r="J3171" s="1711"/>
      <c r="K3171" s="1711"/>
      <c r="L3171" s="1711"/>
      <c r="X3171" s="768" t="b">
        <f t="shared" si="394"/>
        <v>1</v>
      </c>
    </row>
    <row r="3172" outlineLevel="2" spans="2:24">
      <c r="B3172" s="692" t="s">
        <v>4307</v>
      </c>
      <c r="C3172" s="693" t="str">
        <f t="shared" si="395"/>
        <v>深圳新阳蓝光能源管理科技股份有限公司</v>
      </c>
      <c r="D3172" s="1707" t="s">
        <v>4308</v>
      </c>
      <c r="E3172" s="1482"/>
      <c r="F3172" s="1021"/>
      <c r="G3172" s="1021"/>
      <c r="H3172" s="1711"/>
      <c r="I3172" s="1711"/>
      <c r="J3172" s="1711"/>
      <c r="K3172" s="1711"/>
      <c r="L3172" s="1711"/>
      <c r="X3172" s="768" t="b">
        <f t="shared" si="394"/>
        <v>1</v>
      </c>
    </row>
    <row r="3173" outlineLevel="2" spans="2:24">
      <c r="B3173" s="692" t="s">
        <v>4307</v>
      </c>
      <c r="C3173" s="693" t="str">
        <f t="shared" si="395"/>
        <v>深圳新阳蓝光能源管理科技股份有限公司</v>
      </c>
      <c r="D3173" s="1707" t="s">
        <v>4308</v>
      </c>
      <c r="E3173" s="1482"/>
      <c r="F3173" s="1021"/>
      <c r="G3173" s="1021"/>
      <c r="H3173" s="1711"/>
      <c r="I3173" s="1711"/>
      <c r="J3173" s="1711"/>
      <c r="K3173" s="1711"/>
      <c r="L3173" s="1711"/>
      <c r="X3173" s="768" t="b">
        <f t="shared" si="394"/>
        <v>1</v>
      </c>
    </row>
    <row r="3174" outlineLevel="2" spans="2:24">
      <c r="B3174" s="692" t="s">
        <v>4307</v>
      </c>
      <c r="C3174" s="693" t="str">
        <f t="shared" si="395"/>
        <v>深圳新阳蓝光能源管理科技股份有限公司</v>
      </c>
      <c r="D3174" s="1707" t="s">
        <v>4308</v>
      </c>
      <c r="E3174" s="1482"/>
      <c r="F3174" s="1021"/>
      <c r="G3174" s="1021"/>
      <c r="H3174" s="1711"/>
      <c r="I3174" s="1711"/>
      <c r="J3174" s="1711"/>
      <c r="K3174" s="1711"/>
      <c r="L3174" s="1711"/>
      <c r="X3174" s="768" t="b">
        <f t="shared" si="394"/>
        <v>1</v>
      </c>
    </row>
    <row r="3175" outlineLevel="2" spans="2:24">
      <c r="B3175" s="692" t="s">
        <v>4307</v>
      </c>
      <c r="C3175" s="693" t="str">
        <f t="shared" si="395"/>
        <v>深圳新阳蓝光能源管理科技股份有限公司</v>
      </c>
      <c r="D3175" s="1707" t="s">
        <v>4308</v>
      </c>
      <c r="E3175" s="1482"/>
      <c r="F3175" s="1021"/>
      <c r="G3175" s="1021"/>
      <c r="H3175" s="1711"/>
      <c r="I3175" s="1711"/>
      <c r="J3175" s="1711"/>
      <c r="K3175" s="1711"/>
      <c r="L3175" s="1711"/>
      <c r="X3175" s="768" t="b">
        <f t="shared" si="394"/>
        <v>1</v>
      </c>
    </row>
    <row r="3176" outlineLevel="2" spans="2:24">
      <c r="B3176" s="692" t="s">
        <v>4307</v>
      </c>
      <c r="C3176" s="693" t="str">
        <f t="shared" si="395"/>
        <v>深圳新阳蓝光能源管理科技股份有限公司</v>
      </c>
      <c r="D3176" s="1707" t="s">
        <v>4308</v>
      </c>
      <c r="E3176" s="1482"/>
      <c r="F3176" s="1021"/>
      <c r="G3176" s="1021"/>
      <c r="H3176" s="1711"/>
      <c r="I3176" s="1711"/>
      <c r="J3176" s="1711"/>
      <c r="K3176" s="1711"/>
      <c r="L3176" s="1711"/>
      <c r="X3176" s="768" t="b">
        <f t="shared" si="394"/>
        <v>1</v>
      </c>
    </row>
    <row r="3177" outlineLevel="2" spans="1:24">
      <c r="A3177" s="1706" t="s">
        <v>4312</v>
      </c>
      <c r="B3177" s="692" t="s">
        <v>4307</v>
      </c>
      <c r="C3177" s="693" t="str">
        <f t="shared" si="395"/>
        <v>深圳新阳蓝光能源管理科技股份有限公司</v>
      </c>
      <c r="D3177" s="1707" t="s">
        <v>4312</v>
      </c>
      <c r="E3177" s="1483" t="s">
        <v>4312</v>
      </c>
      <c r="F3177" s="909">
        <f>SUM(F3178:F3188)</f>
        <v>0</v>
      </c>
      <c r="G3177" s="909">
        <f>SUM(G3178:G3188)</f>
        <v>0</v>
      </c>
      <c r="H3177" s="1711"/>
      <c r="I3177" s="1711"/>
      <c r="J3177" s="1711"/>
      <c r="K3177" s="1711"/>
      <c r="L3177" s="1711"/>
      <c r="X3177" s="768" t="b">
        <f t="shared" si="394"/>
        <v>1</v>
      </c>
    </row>
    <row r="3178" outlineLevel="2" spans="1:24">
      <c r="A3178" s="1706" t="s">
        <v>4310</v>
      </c>
      <c r="B3178" s="692" t="s">
        <v>4307</v>
      </c>
      <c r="C3178" s="693" t="str">
        <f t="shared" si="395"/>
        <v>深圳新阳蓝光能源管理科技股份有限公司</v>
      </c>
      <c r="D3178" s="1707" t="s">
        <v>4312</v>
      </c>
      <c r="E3178" s="1483" t="s">
        <v>3169</v>
      </c>
      <c r="F3178" s="1021"/>
      <c r="G3178" s="1021"/>
      <c r="H3178" s="1711"/>
      <c r="I3178" s="1711"/>
      <c r="J3178" s="1711"/>
      <c r="K3178" s="1711"/>
      <c r="L3178" s="1711"/>
      <c r="X3178" s="768" t="b">
        <f t="shared" si="394"/>
        <v>0</v>
      </c>
    </row>
    <row r="3179" outlineLevel="2" spans="2:24">
      <c r="B3179" s="692" t="s">
        <v>4307</v>
      </c>
      <c r="C3179" s="693" t="str">
        <f t="shared" si="395"/>
        <v>深圳新阳蓝光能源管理科技股份有限公司</v>
      </c>
      <c r="D3179" s="1707" t="s">
        <v>4312</v>
      </c>
      <c r="E3179" s="1483" t="s">
        <v>4313</v>
      </c>
      <c r="F3179" s="1021"/>
      <c r="G3179" s="1021"/>
      <c r="H3179" s="1711"/>
      <c r="I3179" s="1711"/>
      <c r="J3179" s="1711"/>
      <c r="K3179" s="1711"/>
      <c r="L3179" s="1711"/>
      <c r="X3179" s="768" t="b">
        <f t="shared" si="394"/>
        <v>0</v>
      </c>
    </row>
    <row r="3180" outlineLevel="2" spans="2:24">
      <c r="B3180" s="692" t="s">
        <v>4307</v>
      </c>
      <c r="C3180" s="693" t="str">
        <f t="shared" si="395"/>
        <v>深圳新阳蓝光能源管理科技股份有限公司</v>
      </c>
      <c r="D3180" s="1707" t="s">
        <v>4312</v>
      </c>
      <c r="E3180" s="1482"/>
      <c r="F3180" s="1021"/>
      <c r="G3180" s="1021"/>
      <c r="H3180" s="1711"/>
      <c r="I3180" s="1711"/>
      <c r="J3180" s="1711"/>
      <c r="K3180" s="1711"/>
      <c r="L3180" s="1711"/>
      <c r="X3180" s="768" t="b">
        <f t="shared" si="394"/>
        <v>1</v>
      </c>
    </row>
    <row r="3181" ht="15" customHeight="1" outlineLevel="2" spans="2:24">
      <c r="B3181" s="692" t="s">
        <v>4307</v>
      </c>
      <c r="C3181" s="693" t="str">
        <f t="shared" si="395"/>
        <v>深圳新阳蓝光能源管理科技股份有限公司</v>
      </c>
      <c r="D3181" s="1707" t="s">
        <v>4312</v>
      </c>
      <c r="E3181" s="1482"/>
      <c r="F3181" s="1021"/>
      <c r="G3181" s="1021"/>
      <c r="H3181" s="1711"/>
      <c r="I3181" s="1711"/>
      <c r="J3181" s="1711"/>
      <c r="K3181" s="1711"/>
      <c r="L3181" s="1711"/>
      <c r="X3181" s="768" t="b">
        <f t="shared" si="394"/>
        <v>1</v>
      </c>
    </row>
    <row r="3182" outlineLevel="2" spans="2:24">
      <c r="B3182" s="692" t="s">
        <v>4307</v>
      </c>
      <c r="C3182" s="693" t="str">
        <f t="shared" si="395"/>
        <v>深圳新阳蓝光能源管理科技股份有限公司</v>
      </c>
      <c r="D3182" s="1707" t="s">
        <v>4312</v>
      </c>
      <c r="E3182" s="1482"/>
      <c r="F3182" s="1021"/>
      <c r="G3182" s="1021"/>
      <c r="H3182" s="1711"/>
      <c r="I3182" s="1711"/>
      <c r="J3182" s="1711"/>
      <c r="K3182" s="1711"/>
      <c r="L3182" s="1711"/>
      <c r="X3182" s="768" t="b">
        <f t="shared" si="394"/>
        <v>1</v>
      </c>
    </row>
    <row r="3183" outlineLevel="2" spans="2:24">
      <c r="B3183" s="692" t="s">
        <v>4307</v>
      </c>
      <c r="C3183" s="693" t="str">
        <f t="shared" si="395"/>
        <v>深圳新阳蓝光能源管理科技股份有限公司</v>
      </c>
      <c r="D3183" s="1707" t="s">
        <v>4312</v>
      </c>
      <c r="E3183" s="1482"/>
      <c r="F3183" s="1021"/>
      <c r="G3183" s="1021"/>
      <c r="H3183" s="1711"/>
      <c r="I3183" s="1711"/>
      <c r="J3183" s="1711"/>
      <c r="K3183" s="1711"/>
      <c r="L3183" s="1711"/>
      <c r="X3183" s="768" t="b">
        <f t="shared" si="394"/>
        <v>1</v>
      </c>
    </row>
    <row r="3184" outlineLevel="2" spans="2:24">
      <c r="B3184" s="692" t="s">
        <v>4307</v>
      </c>
      <c r="C3184" s="693" t="str">
        <f t="shared" si="395"/>
        <v>深圳新阳蓝光能源管理科技股份有限公司</v>
      </c>
      <c r="D3184" s="1707" t="s">
        <v>4312</v>
      </c>
      <c r="E3184" s="1482"/>
      <c r="F3184" s="1021"/>
      <c r="G3184" s="1021"/>
      <c r="H3184" s="1711"/>
      <c r="I3184" s="1711"/>
      <c r="J3184" s="1711"/>
      <c r="K3184" s="1711"/>
      <c r="L3184" s="1711"/>
      <c r="X3184" s="768" t="b">
        <f t="shared" si="394"/>
        <v>1</v>
      </c>
    </row>
    <row r="3185" outlineLevel="2" spans="2:24">
      <c r="B3185" s="692" t="s">
        <v>4307</v>
      </c>
      <c r="C3185" s="693" t="str">
        <f t="shared" si="395"/>
        <v>深圳新阳蓝光能源管理科技股份有限公司</v>
      </c>
      <c r="D3185" s="1707" t="s">
        <v>4312</v>
      </c>
      <c r="E3185" s="1482"/>
      <c r="F3185" s="1021"/>
      <c r="G3185" s="1021"/>
      <c r="H3185" s="1711"/>
      <c r="I3185" s="1711"/>
      <c r="J3185" s="1711"/>
      <c r="K3185" s="1711"/>
      <c r="L3185" s="1711"/>
      <c r="X3185" s="768" t="b">
        <f t="shared" si="394"/>
        <v>1</v>
      </c>
    </row>
    <row r="3186" outlineLevel="2" spans="2:24">
      <c r="B3186" s="692" t="s">
        <v>4307</v>
      </c>
      <c r="C3186" s="693" t="str">
        <f t="shared" si="395"/>
        <v>深圳新阳蓝光能源管理科技股份有限公司</v>
      </c>
      <c r="D3186" s="687" t="s">
        <v>4312</v>
      </c>
      <c r="E3186" s="1482"/>
      <c r="F3186" s="1021"/>
      <c r="G3186" s="1021"/>
      <c r="X3186" s="768" t="b">
        <f t="shared" si="394"/>
        <v>1</v>
      </c>
    </row>
    <row r="3187" outlineLevel="2" spans="2:24">
      <c r="B3187" s="692" t="s">
        <v>4307</v>
      </c>
      <c r="C3187" s="693" t="str">
        <f t="shared" si="395"/>
        <v>深圳新阳蓝光能源管理科技股份有限公司</v>
      </c>
      <c r="D3187" s="687" t="s">
        <v>4312</v>
      </c>
      <c r="E3187" s="1482"/>
      <c r="F3187" s="1021"/>
      <c r="G3187" s="1021"/>
      <c r="X3187" s="768" t="b">
        <f t="shared" si="394"/>
        <v>1</v>
      </c>
    </row>
    <row r="3188" outlineLevel="2" spans="2:24">
      <c r="B3188" s="692" t="s">
        <v>4307</v>
      </c>
      <c r="C3188" s="693" t="str">
        <f t="shared" si="395"/>
        <v>深圳新阳蓝光能源管理科技股份有限公司</v>
      </c>
      <c r="D3188" s="687" t="s">
        <v>4312</v>
      </c>
      <c r="E3188" s="1801"/>
      <c r="F3188" s="1802"/>
      <c r="G3188" s="1802"/>
      <c r="X3188" s="768" t="b">
        <f t="shared" si="394"/>
        <v>1</v>
      </c>
    </row>
    <row r="3189" outlineLevel="2" spans="1:24">
      <c r="A3189" s="90" t="s">
        <v>4314</v>
      </c>
      <c r="B3189" s="692" t="s">
        <v>4307</v>
      </c>
      <c r="C3189" s="693" t="str">
        <f t="shared" si="395"/>
        <v>深圳新阳蓝光能源管理科技股份有限公司</v>
      </c>
      <c r="D3189" s="687" t="s">
        <v>4312</v>
      </c>
      <c r="E3189" s="1798" t="s">
        <v>4315</v>
      </c>
      <c r="F3189" s="1465">
        <f>审定现流表!C23</f>
        <v>0</v>
      </c>
      <c r="G3189" s="1465">
        <f>审定现流表!D23</f>
        <v>0</v>
      </c>
      <c r="X3189" s="768" t="b">
        <f t="shared" si="394"/>
        <v>1</v>
      </c>
    </row>
    <row r="3190" outlineLevel="1" spans="1:24">
      <c r="A3190" s="90" t="s">
        <v>1997</v>
      </c>
      <c r="B3190" s="692" t="s">
        <v>4307</v>
      </c>
      <c r="C3190" s="693" t="str">
        <f t="shared" si="395"/>
        <v>深圳新阳蓝光能源管理科技股份有限公司</v>
      </c>
      <c r="D3190" s="687" t="s">
        <v>4312</v>
      </c>
      <c r="E3190" s="1798" t="s">
        <v>1997</v>
      </c>
      <c r="F3190" s="1007">
        <f>ROUND(F3165-F3189,2)</f>
        <v>0</v>
      </c>
      <c r="G3190" s="1007">
        <f>ROUND(G3165-G3189,2)</f>
        <v>0</v>
      </c>
      <c r="X3190" s="768" t="b">
        <f t="shared" si="394"/>
        <v>1</v>
      </c>
    </row>
    <row r="3191" outlineLevel="2" spans="1:24">
      <c r="A3191" s="90" t="s">
        <v>4316</v>
      </c>
      <c r="B3191" s="692" t="s">
        <v>4307</v>
      </c>
      <c r="C3191" s="693" t="str">
        <f t="shared" si="395"/>
        <v>深圳新阳蓝光能源管理科技股份有限公司</v>
      </c>
      <c r="D3191" s="687" t="s">
        <v>4312</v>
      </c>
      <c r="E3191" s="1798" t="s">
        <v>4317</v>
      </c>
      <c r="F3191" s="1465">
        <f>审定现流表!C28</f>
        <v>0</v>
      </c>
      <c r="G3191" s="1465">
        <f>审定现流表!D28</f>
        <v>0</v>
      </c>
      <c r="X3191" s="768" t="b">
        <f t="shared" si="394"/>
        <v>1</v>
      </c>
    </row>
    <row r="3192" outlineLevel="2" spans="1:24">
      <c r="A3192" s="90" t="s">
        <v>1997</v>
      </c>
      <c r="B3192" s="692" t="s">
        <v>4307</v>
      </c>
      <c r="C3192" s="693" t="str">
        <f t="shared" si="395"/>
        <v>深圳新阳蓝光能源管理科技股份有限公司</v>
      </c>
      <c r="D3192" s="687" t="s">
        <v>4312</v>
      </c>
      <c r="E3192" s="1798" t="s">
        <v>1997</v>
      </c>
      <c r="F3192" s="1007">
        <f>ROUND(F3177-F3191,2)</f>
        <v>0</v>
      </c>
      <c r="G3192" s="1007">
        <f>ROUND(G3177-G3191,2)</f>
        <v>0</v>
      </c>
      <c r="X3192" s="768" t="b">
        <f t="shared" si="394"/>
        <v>1</v>
      </c>
    </row>
    <row r="3193" outlineLevel="2" spans="1:24">
      <c r="A3193" s="90" t="s">
        <v>4318</v>
      </c>
      <c r="B3193" s="692" t="s">
        <v>4307</v>
      </c>
      <c r="C3193" s="693" t="str">
        <f t="shared" si="395"/>
        <v>深圳新阳蓝光能源管理科技股份有限公司</v>
      </c>
      <c r="D3193" s="687" t="s">
        <v>4318</v>
      </c>
      <c r="E3193" s="153" t="s">
        <v>4318</v>
      </c>
      <c r="F3193" s="1798"/>
      <c r="G3193" s="1798"/>
      <c r="X3193" s="768" t="b">
        <f t="shared" si="394"/>
        <v>1</v>
      </c>
    </row>
    <row r="3194" outlineLevel="2" spans="1:24">
      <c r="A3194" s="90" t="s">
        <v>2809</v>
      </c>
      <c r="B3194" s="692" t="s">
        <v>4307</v>
      </c>
      <c r="C3194" s="693" t="str">
        <f t="shared" si="395"/>
        <v>深圳新阳蓝光能源管理科技股份有限公司</v>
      </c>
      <c r="D3194" s="687" t="s">
        <v>4318</v>
      </c>
      <c r="E3194" s="153" t="s">
        <v>2829</v>
      </c>
      <c r="F3194" s="1803"/>
      <c r="G3194" s="1803"/>
      <c r="X3194" s="768" t="b">
        <f t="shared" si="394"/>
        <v>1</v>
      </c>
    </row>
    <row r="3195" outlineLevel="2" spans="1:24">
      <c r="A3195" s="90" t="s">
        <v>4319</v>
      </c>
      <c r="B3195" s="692" t="s">
        <v>4307</v>
      </c>
      <c r="C3195" s="693" t="str">
        <f t="shared" si="395"/>
        <v>深圳新阳蓝光能源管理科技股份有限公司</v>
      </c>
      <c r="D3195" s="687" t="s">
        <v>4319</v>
      </c>
      <c r="E3195" s="153" t="s">
        <v>4319</v>
      </c>
      <c r="F3195" s="1798"/>
      <c r="G3195" s="1798"/>
      <c r="X3195" s="768" t="b">
        <f t="shared" si="394"/>
        <v>1</v>
      </c>
    </row>
    <row r="3196" outlineLevel="2" spans="1:24">
      <c r="A3196" s="90" t="s">
        <v>2809</v>
      </c>
      <c r="B3196" s="692" t="s">
        <v>4307</v>
      </c>
      <c r="C3196" s="693" t="str">
        <f t="shared" si="395"/>
        <v>深圳新阳蓝光能源管理科技股份有限公司</v>
      </c>
      <c r="D3196" s="687" t="s">
        <v>4319</v>
      </c>
      <c r="E3196" s="153" t="s">
        <v>2829</v>
      </c>
      <c r="F3196" s="1803"/>
      <c r="G3196" s="1803"/>
      <c r="X3196" s="768" t="b">
        <f t="shared" si="394"/>
        <v>1</v>
      </c>
    </row>
    <row r="3197" outlineLevel="2" spans="2:24">
      <c r="B3197" s="692" t="s">
        <v>4307</v>
      </c>
      <c r="C3197" s="693" t="str">
        <f t="shared" si="395"/>
        <v>深圳新阳蓝光能源管理科技股份有限公司</v>
      </c>
      <c r="D3197" s="687" t="s">
        <v>4319</v>
      </c>
      <c r="E3197" s="153"/>
      <c r="F3197" s="1798"/>
      <c r="G3197" s="1798"/>
      <c r="X3197" s="768" t="b">
        <f t="shared" si="394"/>
        <v>1</v>
      </c>
    </row>
    <row r="3198" outlineLevel="2" spans="2:24">
      <c r="B3198" s="692" t="s">
        <v>4307</v>
      </c>
      <c r="C3198" s="693" t="str">
        <f t="shared" si="395"/>
        <v>深圳新阳蓝光能源管理科技股份有限公司</v>
      </c>
      <c r="D3198" s="687" t="s">
        <v>4319</v>
      </c>
      <c r="E3198" s="1798"/>
      <c r="F3198" s="1798"/>
      <c r="G3198" s="1798"/>
      <c r="X3198" s="768" t="b">
        <f t="shared" si="394"/>
        <v>1</v>
      </c>
    </row>
    <row r="3199" spans="1:24">
      <c r="A3199" s="90" t="s">
        <v>4320</v>
      </c>
      <c r="B3199" s="685" t="s">
        <v>4321</v>
      </c>
      <c r="C3199" s="693" t="str">
        <f t="shared" si="395"/>
        <v>深圳新阳蓝光能源管理科技股份有限公司</v>
      </c>
      <c r="D3199" s="687" t="s">
        <v>4322</v>
      </c>
      <c r="E3199" s="1233" t="s">
        <v>4323</v>
      </c>
      <c r="F3199" s="751"/>
      <c r="G3199" s="1772" t="s">
        <v>3163</v>
      </c>
      <c r="X3199" s="768" t="b">
        <f t="shared" si="394"/>
        <v>0</v>
      </c>
    </row>
    <row r="3200" outlineLevel="2" spans="1:24">
      <c r="A3200" s="90" t="s">
        <v>4277</v>
      </c>
      <c r="B3200" s="685" t="s">
        <v>4321</v>
      </c>
      <c r="C3200" s="693" t="str">
        <f t="shared" si="395"/>
        <v>深圳新阳蓝光能源管理科技股份有限公司</v>
      </c>
      <c r="D3200" s="687" t="s">
        <v>4322</v>
      </c>
      <c r="E3200" s="132" t="s">
        <v>4277</v>
      </c>
      <c r="F3200" s="132" t="s">
        <v>2445</v>
      </c>
      <c r="G3200" s="132" t="s">
        <v>2441</v>
      </c>
      <c r="X3200" s="768" t="b">
        <f t="shared" si="394"/>
        <v>1</v>
      </c>
    </row>
    <row r="3201" outlineLevel="2" spans="1:24">
      <c r="A3201" s="90" t="s">
        <v>4322</v>
      </c>
      <c r="B3201" s="685" t="s">
        <v>4321</v>
      </c>
      <c r="C3201" s="693" t="str">
        <f t="shared" si="395"/>
        <v>深圳新阳蓝光能源管理科技股份有限公司</v>
      </c>
      <c r="D3201" s="687" t="s">
        <v>4322</v>
      </c>
      <c r="E3201" s="789" t="s">
        <v>4322</v>
      </c>
      <c r="F3201" s="1153">
        <f>SUM(F3202:F3209)</f>
        <v>0</v>
      </c>
      <c r="G3201" s="1153">
        <f>SUM(G3202:G3209)</f>
        <v>0</v>
      </c>
      <c r="X3201" s="768" t="b">
        <f t="shared" si="394"/>
        <v>1</v>
      </c>
    </row>
    <row r="3202" outlineLevel="2" spans="1:24">
      <c r="A3202" s="90" t="s">
        <v>4310</v>
      </c>
      <c r="B3202" s="685" t="s">
        <v>4321</v>
      </c>
      <c r="C3202" s="693" t="str">
        <f t="shared" si="395"/>
        <v>深圳新阳蓝光能源管理科技股份有限公司</v>
      </c>
      <c r="D3202" s="687" t="s">
        <v>4322</v>
      </c>
      <c r="E3202" s="789" t="s">
        <v>4324</v>
      </c>
      <c r="F3202" s="1294"/>
      <c r="G3202" s="1294"/>
      <c r="X3202" s="768" t="b">
        <f t="shared" si="394"/>
        <v>0</v>
      </c>
    </row>
    <row r="3203" outlineLevel="2" spans="2:24">
      <c r="B3203" s="685" t="s">
        <v>4321</v>
      </c>
      <c r="C3203" s="693" t="str">
        <f t="shared" si="395"/>
        <v>深圳新阳蓝光能源管理科技股份有限公司</v>
      </c>
      <c r="D3203" s="687" t="s">
        <v>4322</v>
      </c>
      <c r="E3203" s="1244"/>
      <c r="F3203" s="1294"/>
      <c r="G3203" s="1294"/>
      <c r="X3203" s="768" t="b">
        <f t="shared" si="394"/>
        <v>1</v>
      </c>
    </row>
    <row r="3204" outlineLevel="2" spans="2:24">
      <c r="B3204" s="685" t="s">
        <v>4321</v>
      </c>
      <c r="C3204" s="693" t="str">
        <f t="shared" si="395"/>
        <v>深圳新阳蓝光能源管理科技股份有限公司</v>
      </c>
      <c r="D3204" s="687" t="s">
        <v>4322</v>
      </c>
      <c r="E3204" s="1244"/>
      <c r="F3204" s="1294"/>
      <c r="G3204" s="1294"/>
      <c r="X3204" s="768" t="b">
        <f t="shared" si="394"/>
        <v>1</v>
      </c>
    </row>
    <row r="3205" outlineLevel="2" spans="2:24">
      <c r="B3205" s="685" t="s">
        <v>4321</v>
      </c>
      <c r="C3205" s="693" t="str">
        <f t="shared" si="395"/>
        <v>深圳新阳蓝光能源管理科技股份有限公司</v>
      </c>
      <c r="D3205" s="687" t="s">
        <v>4322</v>
      </c>
      <c r="E3205" s="1244"/>
      <c r="F3205" s="1294"/>
      <c r="G3205" s="1294"/>
      <c r="X3205" s="768" t="b">
        <f t="shared" si="394"/>
        <v>1</v>
      </c>
    </row>
    <row r="3206" outlineLevel="2" spans="2:24">
      <c r="B3206" s="685" t="s">
        <v>4321</v>
      </c>
      <c r="C3206" s="693" t="str">
        <f t="shared" si="395"/>
        <v>深圳新阳蓝光能源管理科技股份有限公司</v>
      </c>
      <c r="D3206" s="687" t="s">
        <v>4322</v>
      </c>
      <c r="E3206" s="1244"/>
      <c r="F3206" s="1294"/>
      <c r="G3206" s="1294"/>
      <c r="X3206" s="768" t="b">
        <f t="shared" ref="X3206:X3269" si="396">EXACT(A3206,E3206)</f>
        <v>1</v>
      </c>
    </row>
    <row r="3207" outlineLevel="2" spans="2:24">
      <c r="B3207" s="685" t="s">
        <v>4321</v>
      </c>
      <c r="C3207" s="693" t="str">
        <f t="shared" si="395"/>
        <v>深圳新阳蓝光能源管理科技股份有限公司</v>
      </c>
      <c r="D3207" s="687" t="s">
        <v>4322</v>
      </c>
      <c r="E3207" s="1244"/>
      <c r="F3207" s="1294"/>
      <c r="G3207" s="1294"/>
      <c r="X3207" s="768" t="b">
        <f t="shared" si="396"/>
        <v>1</v>
      </c>
    </row>
    <row r="3208" outlineLevel="2" spans="2:24">
      <c r="B3208" s="685" t="s">
        <v>4321</v>
      </c>
      <c r="C3208" s="693" t="str">
        <f t="shared" si="395"/>
        <v>深圳新阳蓝光能源管理科技股份有限公司</v>
      </c>
      <c r="D3208" s="687" t="s">
        <v>4322</v>
      </c>
      <c r="E3208" s="1244"/>
      <c r="F3208" s="1294"/>
      <c r="G3208" s="1294"/>
      <c r="X3208" s="768" t="b">
        <f t="shared" si="396"/>
        <v>1</v>
      </c>
    </row>
    <row r="3209" outlineLevel="2" spans="2:24">
      <c r="B3209" s="685" t="s">
        <v>4321</v>
      </c>
      <c r="C3209" s="693" t="str">
        <f t="shared" si="395"/>
        <v>深圳新阳蓝光能源管理科技股份有限公司</v>
      </c>
      <c r="D3209" s="687" t="s">
        <v>4322</v>
      </c>
      <c r="E3209" s="1244"/>
      <c r="F3209" s="1294"/>
      <c r="G3209" s="1294"/>
      <c r="X3209" s="768" t="b">
        <f t="shared" si="396"/>
        <v>1</v>
      </c>
    </row>
    <row r="3210" outlineLevel="2" spans="1:24">
      <c r="A3210" s="90" t="s">
        <v>4325</v>
      </c>
      <c r="B3210" s="685" t="s">
        <v>4321</v>
      </c>
      <c r="C3210" s="693" t="str">
        <f t="shared" si="395"/>
        <v>深圳新阳蓝光能源管理科技股份有限公司</v>
      </c>
      <c r="D3210" s="687" t="s">
        <v>4325</v>
      </c>
      <c r="E3210" s="789" t="s">
        <v>4325</v>
      </c>
      <c r="F3210" s="1153">
        <f>SUM(F3211:F3219)</f>
        <v>0</v>
      </c>
      <c r="G3210" s="1153">
        <f>SUM(G3211:G3219)</f>
        <v>0</v>
      </c>
      <c r="X3210" s="768" t="b">
        <f t="shared" si="396"/>
        <v>1</v>
      </c>
    </row>
    <row r="3211" outlineLevel="2" spans="1:24">
      <c r="A3211" s="90" t="s">
        <v>4310</v>
      </c>
      <c r="B3211" s="685" t="s">
        <v>4321</v>
      </c>
      <c r="C3211" s="693" t="str">
        <f t="shared" si="395"/>
        <v>深圳新阳蓝光能源管理科技股份有限公司</v>
      </c>
      <c r="D3211" s="687" t="s">
        <v>4325</v>
      </c>
      <c r="E3211" s="789" t="s">
        <v>4326</v>
      </c>
      <c r="F3211" s="1294"/>
      <c r="G3211" s="1294"/>
      <c r="X3211" s="768" t="b">
        <f t="shared" si="396"/>
        <v>0</v>
      </c>
    </row>
    <row r="3212" outlineLevel="2" spans="2:24">
      <c r="B3212" s="685" t="s">
        <v>4321</v>
      </c>
      <c r="C3212" s="693" t="str">
        <f t="shared" si="395"/>
        <v>深圳新阳蓝光能源管理科技股份有限公司</v>
      </c>
      <c r="D3212" s="687" t="s">
        <v>4325</v>
      </c>
      <c r="E3212" s="789" t="s">
        <v>4327</v>
      </c>
      <c r="F3212" s="1294"/>
      <c r="G3212" s="1294"/>
      <c r="X3212" s="768" t="b">
        <f t="shared" si="396"/>
        <v>0</v>
      </c>
    </row>
    <row r="3213" outlineLevel="2" spans="2:24">
      <c r="B3213" s="685" t="s">
        <v>4321</v>
      </c>
      <c r="C3213" s="693" t="str">
        <f t="shared" si="395"/>
        <v>深圳新阳蓝光能源管理科技股份有限公司</v>
      </c>
      <c r="D3213" s="687" t="s">
        <v>4325</v>
      </c>
      <c r="E3213" s="789" t="s">
        <v>4328</v>
      </c>
      <c r="F3213" s="1294"/>
      <c r="G3213" s="1294"/>
      <c r="X3213" s="768" t="b">
        <f t="shared" si="396"/>
        <v>0</v>
      </c>
    </row>
    <row r="3214" outlineLevel="2" spans="2:24">
      <c r="B3214" s="685" t="s">
        <v>4321</v>
      </c>
      <c r="C3214" s="693" t="str">
        <f t="shared" si="395"/>
        <v>深圳新阳蓝光能源管理科技股份有限公司</v>
      </c>
      <c r="D3214" s="687" t="s">
        <v>4325</v>
      </c>
      <c r="E3214" s="1244"/>
      <c r="F3214" s="1294"/>
      <c r="G3214" s="1294"/>
      <c r="X3214" s="768" t="b">
        <f t="shared" si="396"/>
        <v>1</v>
      </c>
    </row>
    <row r="3215" outlineLevel="2" spans="2:24">
      <c r="B3215" s="685" t="s">
        <v>4321</v>
      </c>
      <c r="C3215" s="693" t="str">
        <f t="shared" si="395"/>
        <v>深圳新阳蓝光能源管理科技股份有限公司</v>
      </c>
      <c r="D3215" s="687" t="s">
        <v>4325</v>
      </c>
      <c r="E3215" s="1244"/>
      <c r="F3215" s="1294"/>
      <c r="G3215" s="1294"/>
      <c r="X3215" s="768" t="b">
        <f t="shared" si="396"/>
        <v>1</v>
      </c>
    </row>
    <row r="3216" outlineLevel="2" spans="2:24">
      <c r="B3216" s="685" t="s">
        <v>4321</v>
      </c>
      <c r="C3216" s="693" t="str">
        <f t="shared" si="395"/>
        <v>深圳新阳蓝光能源管理科技股份有限公司</v>
      </c>
      <c r="D3216" s="687" t="s">
        <v>4325</v>
      </c>
      <c r="E3216" s="103"/>
      <c r="F3216" s="815"/>
      <c r="G3216" s="815"/>
      <c r="X3216" s="768" t="b">
        <f t="shared" si="396"/>
        <v>1</v>
      </c>
    </row>
    <row r="3217" outlineLevel="2" spans="2:24">
      <c r="B3217" s="685" t="s">
        <v>4321</v>
      </c>
      <c r="C3217" s="693" t="str">
        <f t="shared" si="395"/>
        <v>深圳新阳蓝光能源管理科技股份有限公司</v>
      </c>
      <c r="D3217" s="687" t="s">
        <v>4325</v>
      </c>
      <c r="E3217" s="103"/>
      <c r="F3217" s="815"/>
      <c r="G3217" s="815"/>
      <c r="X3217" s="768" t="b">
        <f t="shared" si="396"/>
        <v>1</v>
      </c>
    </row>
    <row r="3218" outlineLevel="2" spans="2:24">
      <c r="B3218" s="685" t="s">
        <v>4321</v>
      </c>
      <c r="C3218" s="693" t="str">
        <f t="shared" si="395"/>
        <v>深圳新阳蓝光能源管理科技股份有限公司</v>
      </c>
      <c r="D3218" s="687" t="s">
        <v>4325</v>
      </c>
      <c r="E3218" s="103"/>
      <c r="F3218" s="815"/>
      <c r="G3218" s="815"/>
      <c r="X3218" s="768" t="b">
        <f t="shared" si="396"/>
        <v>1</v>
      </c>
    </row>
    <row r="3219" outlineLevel="2" spans="2:24">
      <c r="B3219" s="685" t="s">
        <v>4321</v>
      </c>
      <c r="C3219" s="693" t="str">
        <f t="shared" ref="C3219:C3282" si="397">$G$1</f>
        <v>深圳新阳蓝光能源管理科技股份有限公司</v>
      </c>
      <c r="D3219" s="687" t="s">
        <v>4325</v>
      </c>
      <c r="E3219" s="103"/>
      <c r="F3219" s="815"/>
      <c r="G3219" s="815"/>
      <c r="X3219" s="768" t="b">
        <f t="shared" si="396"/>
        <v>1</v>
      </c>
    </row>
    <row r="3220" outlineLevel="2" spans="1:24">
      <c r="A3220" s="90" t="s">
        <v>4329</v>
      </c>
      <c r="B3220" s="685" t="s">
        <v>4321</v>
      </c>
      <c r="C3220" s="693" t="str">
        <f t="shared" si="397"/>
        <v>深圳新阳蓝光能源管理科技股份有限公司</v>
      </c>
      <c r="D3220" s="687" t="s">
        <v>4325</v>
      </c>
      <c r="E3220" s="1798" t="s">
        <v>4330</v>
      </c>
      <c r="F3220" s="1806">
        <f>审定现流表!C37</f>
        <v>0</v>
      </c>
      <c r="G3220" s="1806">
        <f>审定现流表!D37</f>
        <v>0</v>
      </c>
      <c r="X3220" s="768" t="b">
        <f t="shared" si="396"/>
        <v>1</v>
      </c>
    </row>
    <row r="3221" outlineLevel="1" spans="1:24">
      <c r="A3221" s="90" t="s">
        <v>1997</v>
      </c>
      <c r="B3221" s="685" t="s">
        <v>4321</v>
      </c>
      <c r="C3221" s="693" t="str">
        <f t="shared" si="397"/>
        <v>深圳新阳蓝光能源管理科技股份有限公司</v>
      </c>
      <c r="D3221" s="687" t="s">
        <v>4325</v>
      </c>
      <c r="E3221" s="1798" t="s">
        <v>1997</v>
      </c>
      <c r="F3221" s="1007">
        <f>ROUND(F3201-F3220,2)</f>
        <v>0</v>
      </c>
      <c r="G3221" s="1007">
        <f>G3201-G3220</f>
        <v>0</v>
      </c>
      <c r="X3221" s="768" t="b">
        <f t="shared" si="396"/>
        <v>1</v>
      </c>
    </row>
    <row r="3222" outlineLevel="2" spans="1:24">
      <c r="A3222" s="90" t="s">
        <v>4331</v>
      </c>
      <c r="B3222" s="685" t="s">
        <v>4321</v>
      </c>
      <c r="C3222" s="693" t="str">
        <f t="shared" si="397"/>
        <v>深圳新阳蓝光能源管理科技股份有限公司</v>
      </c>
      <c r="D3222" s="687" t="s">
        <v>4325</v>
      </c>
      <c r="E3222" s="1798" t="s">
        <v>4332</v>
      </c>
      <c r="F3222" s="1806">
        <f>审定现流表!C42</f>
        <v>10873286.42</v>
      </c>
      <c r="G3222" s="1806">
        <f>审定现流表!D42</f>
        <v>0</v>
      </c>
      <c r="X3222" s="768" t="b">
        <f t="shared" si="396"/>
        <v>1</v>
      </c>
    </row>
    <row r="3223" outlineLevel="2" spans="1:24">
      <c r="A3223" s="90" t="s">
        <v>1997</v>
      </c>
      <c r="B3223" s="685" t="s">
        <v>4321</v>
      </c>
      <c r="C3223" s="693" t="str">
        <f t="shared" si="397"/>
        <v>深圳新阳蓝光能源管理科技股份有限公司</v>
      </c>
      <c r="D3223" s="687" t="s">
        <v>4325</v>
      </c>
      <c r="E3223" s="1798" t="s">
        <v>1997</v>
      </c>
      <c r="F3223" s="1007">
        <f>F3210-F3222</f>
        <v>-10873286.42</v>
      </c>
      <c r="G3223" s="1007">
        <f>G3210-G3222</f>
        <v>0</v>
      </c>
      <c r="X3223" s="768" t="b">
        <f t="shared" si="396"/>
        <v>1</v>
      </c>
    </row>
    <row r="3224" outlineLevel="2" spans="1:24">
      <c r="A3224" s="90" t="s">
        <v>4333</v>
      </c>
      <c r="B3224" s="685" t="s">
        <v>4321</v>
      </c>
      <c r="C3224" s="693" t="str">
        <f t="shared" si="397"/>
        <v>深圳新阳蓝光能源管理科技股份有限公司</v>
      </c>
      <c r="D3224" s="687" t="s">
        <v>4333</v>
      </c>
      <c r="E3224" s="153" t="s">
        <v>4333</v>
      </c>
      <c r="X3224" s="768" t="b">
        <f t="shared" si="396"/>
        <v>1</v>
      </c>
    </row>
    <row r="3225" outlineLevel="2" spans="1:24">
      <c r="A3225" s="90" t="s">
        <v>2809</v>
      </c>
      <c r="B3225" s="685" t="s">
        <v>4321</v>
      </c>
      <c r="C3225" s="693" t="str">
        <f t="shared" si="397"/>
        <v>深圳新阳蓝光能源管理科技股份有限公司</v>
      </c>
      <c r="D3225" s="687" t="s">
        <v>4333</v>
      </c>
      <c r="E3225" s="153" t="s">
        <v>2829</v>
      </c>
      <c r="F3225" s="1803"/>
      <c r="G3225" s="1803"/>
      <c r="X3225" s="768" t="b">
        <f t="shared" si="396"/>
        <v>1</v>
      </c>
    </row>
    <row r="3226" outlineLevel="2" spans="1:24">
      <c r="A3226" s="90" t="s">
        <v>4334</v>
      </c>
      <c r="B3226" s="685" t="s">
        <v>4321</v>
      </c>
      <c r="C3226" s="693" t="str">
        <f t="shared" si="397"/>
        <v>深圳新阳蓝光能源管理科技股份有限公司</v>
      </c>
      <c r="D3226" s="687" t="s">
        <v>4334</v>
      </c>
      <c r="E3226" s="153" t="s">
        <v>4334</v>
      </c>
      <c r="X3226" s="768" t="b">
        <f t="shared" si="396"/>
        <v>1</v>
      </c>
    </row>
    <row r="3227" outlineLevel="2" spans="1:24">
      <c r="A3227" s="90" t="s">
        <v>2809</v>
      </c>
      <c r="B3227" s="685" t="s">
        <v>4321</v>
      </c>
      <c r="C3227" s="693" t="str">
        <f t="shared" si="397"/>
        <v>深圳新阳蓝光能源管理科技股份有限公司</v>
      </c>
      <c r="D3227" s="687" t="s">
        <v>4334</v>
      </c>
      <c r="E3227" s="153" t="s">
        <v>2829</v>
      </c>
      <c r="F3227" s="1803"/>
      <c r="G3227" s="1803"/>
      <c r="X3227" s="768" t="b">
        <f t="shared" si="396"/>
        <v>1</v>
      </c>
    </row>
    <row r="3228" outlineLevel="2" spans="2:24">
      <c r="B3228" s="685" t="s">
        <v>4321</v>
      </c>
      <c r="C3228" s="693" t="str">
        <f t="shared" si="397"/>
        <v>深圳新阳蓝光能源管理科技股份有限公司</v>
      </c>
      <c r="D3228" s="687" t="s">
        <v>4334</v>
      </c>
      <c r="X3228" s="768" t="b">
        <f t="shared" si="396"/>
        <v>1</v>
      </c>
    </row>
    <row r="3229" spans="1:24">
      <c r="A3229" s="90" t="s">
        <v>4335</v>
      </c>
      <c r="B3229" s="685" t="s">
        <v>4336</v>
      </c>
      <c r="C3229" s="693" t="str">
        <f t="shared" si="397"/>
        <v>深圳新阳蓝光能源管理科技股份有限公司</v>
      </c>
      <c r="D3229" s="687" t="s">
        <v>4337</v>
      </c>
      <c r="E3229" s="1233" t="s">
        <v>4335</v>
      </c>
      <c r="H3229" s="1772" t="s">
        <v>3163</v>
      </c>
      <c r="X3229" s="768" t="b">
        <f t="shared" si="396"/>
        <v>1</v>
      </c>
    </row>
    <row r="3230" outlineLevel="2" spans="2:24">
      <c r="B3230" s="685" t="s">
        <v>4336</v>
      </c>
      <c r="C3230" s="693" t="str">
        <f t="shared" si="397"/>
        <v>深圳新阳蓝光能源管理科技股份有限公司</v>
      </c>
      <c r="D3230" s="687" t="s">
        <v>4337</v>
      </c>
      <c r="X3230" s="768" t="b">
        <f t="shared" si="396"/>
        <v>1</v>
      </c>
    </row>
    <row r="3231" outlineLevel="2" spans="1:24">
      <c r="A3231" s="90" t="s">
        <v>2820</v>
      </c>
      <c r="B3231" s="685" t="s">
        <v>4336</v>
      </c>
      <c r="C3231" s="693" t="str">
        <f t="shared" si="397"/>
        <v>深圳新阳蓝光能源管理科技股份有限公司</v>
      </c>
      <c r="D3231" s="687" t="s">
        <v>4337</v>
      </c>
      <c r="E3231" s="1483" t="s">
        <v>2821</v>
      </c>
      <c r="F3231" s="1482" t="s">
        <v>4338</v>
      </c>
      <c r="G3231" s="1482" t="s">
        <v>4339</v>
      </c>
      <c r="H3231" s="1482" t="s">
        <v>4340</v>
      </c>
      <c r="X3231" s="768" t="b">
        <f t="shared" si="396"/>
        <v>1</v>
      </c>
    </row>
    <row r="3232" outlineLevel="2" spans="1:24">
      <c r="A3232" s="90" t="s">
        <v>4337</v>
      </c>
      <c r="B3232" s="685" t="s">
        <v>4336</v>
      </c>
      <c r="C3232" s="693" t="str">
        <f t="shared" si="397"/>
        <v>深圳新阳蓝光能源管理科技股份有限公司</v>
      </c>
      <c r="D3232" s="687" t="s">
        <v>4337</v>
      </c>
      <c r="E3232" s="1769" t="s">
        <v>4337</v>
      </c>
      <c r="F3232" s="1482"/>
      <c r="G3232" s="1482"/>
      <c r="H3232" s="1482"/>
      <c r="X3232" s="768" t="b">
        <f t="shared" si="396"/>
        <v>1</v>
      </c>
    </row>
    <row r="3233" outlineLevel="2" spans="1:24">
      <c r="A3233" s="90" t="s">
        <v>4341</v>
      </c>
      <c r="B3233" s="685" t="s">
        <v>4336</v>
      </c>
      <c r="C3233" s="693" t="str">
        <f t="shared" si="397"/>
        <v>深圳新阳蓝光能源管理科技股份有限公司</v>
      </c>
      <c r="D3233" s="687" t="s">
        <v>4337</v>
      </c>
      <c r="E3233" s="1769" t="s">
        <v>4342</v>
      </c>
      <c r="F3233" s="1482"/>
      <c r="G3233" s="1482"/>
      <c r="H3233" s="1482"/>
      <c r="X3233" s="768" t="b">
        <f t="shared" si="396"/>
        <v>1</v>
      </c>
    </row>
    <row r="3234" outlineLevel="2" spans="1:24">
      <c r="A3234" s="90" t="s">
        <v>4343</v>
      </c>
      <c r="B3234" s="685" t="s">
        <v>4336</v>
      </c>
      <c r="C3234" s="693" t="str">
        <f t="shared" si="397"/>
        <v>深圳新阳蓝光能源管理科技股份有限公司</v>
      </c>
      <c r="D3234" s="687" t="s">
        <v>4337</v>
      </c>
      <c r="E3234" s="1769" t="s">
        <v>4344</v>
      </c>
      <c r="F3234" s="1482"/>
      <c r="G3234" s="1482"/>
      <c r="H3234" s="1482"/>
      <c r="X3234" s="768" t="b">
        <f t="shared" si="396"/>
        <v>1</v>
      </c>
    </row>
    <row r="3235" outlineLevel="2" spans="1:24">
      <c r="A3235" s="90" t="s">
        <v>4345</v>
      </c>
      <c r="B3235" s="685" t="s">
        <v>4336</v>
      </c>
      <c r="C3235" s="693" t="str">
        <f t="shared" si="397"/>
        <v>深圳新阳蓝光能源管理科技股份有限公司</v>
      </c>
      <c r="D3235" s="687" t="s">
        <v>4337</v>
      </c>
      <c r="E3235" s="1769" t="s">
        <v>4346</v>
      </c>
      <c r="F3235" s="1482"/>
      <c r="G3235" s="1482"/>
      <c r="H3235" s="1482"/>
      <c r="X3235" s="768" t="b">
        <f t="shared" si="396"/>
        <v>1</v>
      </c>
    </row>
    <row r="3236" outlineLevel="2" spans="1:24">
      <c r="A3236" s="90" t="s">
        <v>4347</v>
      </c>
      <c r="B3236" s="685" t="s">
        <v>4336</v>
      </c>
      <c r="C3236" s="693" t="str">
        <f t="shared" si="397"/>
        <v>深圳新阳蓝光能源管理科技股份有限公司</v>
      </c>
      <c r="D3236" s="687" t="s">
        <v>4337</v>
      </c>
      <c r="E3236" s="1769" t="s">
        <v>4348</v>
      </c>
      <c r="F3236" s="1482"/>
      <c r="G3236" s="1482"/>
      <c r="H3236" s="1482"/>
      <c r="X3236" s="768" t="b">
        <f t="shared" si="396"/>
        <v>1</v>
      </c>
    </row>
    <row r="3237" outlineLevel="2" spans="1:24">
      <c r="A3237" s="90" t="s">
        <v>4349</v>
      </c>
      <c r="B3237" s="685" t="s">
        <v>4336</v>
      </c>
      <c r="C3237" s="693" t="str">
        <f t="shared" si="397"/>
        <v>深圳新阳蓝光能源管理科技股份有限公司</v>
      </c>
      <c r="D3237" s="687" t="s">
        <v>4337</v>
      </c>
      <c r="E3237" s="1769" t="s">
        <v>4350</v>
      </c>
      <c r="F3237" s="1482"/>
      <c r="G3237" s="1482"/>
      <c r="H3237" s="1482"/>
      <c r="X3237" s="768" t="b">
        <f t="shared" si="396"/>
        <v>1</v>
      </c>
    </row>
    <row r="3238" outlineLevel="2" spans="1:24">
      <c r="A3238" s="90" t="s">
        <v>4351</v>
      </c>
      <c r="B3238" s="685" t="s">
        <v>4336</v>
      </c>
      <c r="C3238" s="693" t="str">
        <f t="shared" si="397"/>
        <v>深圳新阳蓝光能源管理科技股份有限公司</v>
      </c>
      <c r="D3238" s="687" t="s">
        <v>4337</v>
      </c>
      <c r="E3238" s="1769" t="s">
        <v>4352</v>
      </c>
      <c r="F3238" s="1482"/>
      <c r="G3238" s="1482"/>
      <c r="H3238" s="1482"/>
      <c r="X3238" s="768" t="b">
        <f t="shared" si="396"/>
        <v>1</v>
      </c>
    </row>
    <row r="3239" outlineLevel="2" spans="1:24">
      <c r="A3239" s="90" t="s">
        <v>4353</v>
      </c>
      <c r="B3239" s="685" t="s">
        <v>4336</v>
      </c>
      <c r="C3239" s="693" t="str">
        <f t="shared" si="397"/>
        <v>深圳新阳蓝光能源管理科技股份有限公司</v>
      </c>
      <c r="D3239" s="687" t="s">
        <v>4337</v>
      </c>
      <c r="E3239" s="1769" t="s">
        <v>4354</v>
      </c>
      <c r="F3239" s="1482"/>
      <c r="G3239" s="1482"/>
      <c r="H3239" s="1482"/>
      <c r="X3239" s="768" t="b">
        <f t="shared" si="396"/>
        <v>1</v>
      </c>
    </row>
    <row r="3240" outlineLevel="2" spans="1:24">
      <c r="A3240" s="90" t="s">
        <v>4355</v>
      </c>
      <c r="B3240" s="685" t="s">
        <v>4336</v>
      </c>
      <c r="C3240" s="693" t="str">
        <f t="shared" si="397"/>
        <v>深圳新阳蓝光能源管理科技股份有限公司</v>
      </c>
      <c r="D3240" s="687" t="s">
        <v>4337</v>
      </c>
      <c r="E3240" s="1769" t="s">
        <v>4356</v>
      </c>
      <c r="F3240" s="1482"/>
      <c r="G3240" s="1482"/>
      <c r="H3240" s="1482"/>
      <c r="X3240" s="768" t="b">
        <f t="shared" si="396"/>
        <v>1</v>
      </c>
    </row>
    <row r="3241" outlineLevel="2" spans="1:24">
      <c r="A3241" s="90" t="s">
        <v>4357</v>
      </c>
      <c r="B3241" s="685" t="s">
        <v>4336</v>
      </c>
      <c r="C3241" s="693" t="str">
        <f t="shared" si="397"/>
        <v>深圳新阳蓝光能源管理科技股份有限公司</v>
      </c>
      <c r="D3241" s="687" t="s">
        <v>4337</v>
      </c>
      <c r="E3241" s="1769" t="s">
        <v>4358</v>
      </c>
      <c r="F3241" s="1482"/>
      <c r="G3241" s="1482"/>
      <c r="H3241" s="1482"/>
      <c r="X3241" s="768" t="b">
        <f t="shared" si="396"/>
        <v>1</v>
      </c>
    </row>
    <row r="3242" outlineLevel="2" spans="1:24">
      <c r="A3242" s="90" t="s">
        <v>4359</v>
      </c>
      <c r="B3242" s="685" t="s">
        <v>4336</v>
      </c>
      <c r="C3242" s="693" t="str">
        <f t="shared" si="397"/>
        <v>深圳新阳蓝光能源管理科技股份有限公司</v>
      </c>
      <c r="D3242" s="687" t="s">
        <v>4359</v>
      </c>
      <c r="E3242" s="1769" t="s">
        <v>4359</v>
      </c>
      <c r="F3242" s="1482"/>
      <c r="G3242" s="1482"/>
      <c r="H3242" s="1482"/>
      <c r="X3242" s="768" t="b">
        <f t="shared" si="396"/>
        <v>1</v>
      </c>
    </row>
    <row r="3243" outlineLevel="2" spans="1:24">
      <c r="A3243" s="90" t="s">
        <v>4360</v>
      </c>
      <c r="B3243" s="685" t="s">
        <v>4336</v>
      </c>
      <c r="C3243" s="693" t="str">
        <f t="shared" si="397"/>
        <v>深圳新阳蓝光能源管理科技股份有限公司</v>
      </c>
      <c r="D3243" s="687" t="s">
        <v>4359</v>
      </c>
      <c r="E3243" s="1769" t="s">
        <v>4361</v>
      </c>
      <c r="F3243" s="1482"/>
      <c r="G3243" s="1482"/>
      <c r="H3243" s="1482"/>
      <c r="X3243" s="768" t="b">
        <f t="shared" si="396"/>
        <v>1</v>
      </c>
    </row>
    <row r="3244" outlineLevel="2" spans="1:24">
      <c r="A3244" s="90" t="s">
        <v>4362</v>
      </c>
      <c r="B3244" s="685" t="s">
        <v>4336</v>
      </c>
      <c r="C3244" s="693" t="str">
        <f t="shared" si="397"/>
        <v>深圳新阳蓝光能源管理科技股份有限公司</v>
      </c>
      <c r="D3244" s="687" t="s">
        <v>4359</v>
      </c>
      <c r="E3244" s="1769" t="s">
        <v>4363</v>
      </c>
      <c r="F3244" s="1482"/>
      <c r="G3244" s="1482"/>
      <c r="H3244" s="1482"/>
      <c r="X3244" s="768" t="b">
        <f t="shared" si="396"/>
        <v>1</v>
      </c>
    </row>
    <row r="3245" outlineLevel="2" spans="1:24">
      <c r="A3245" s="90" t="s">
        <v>4345</v>
      </c>
      <c r="B3245" s="685" t="s">
        <v>4336</v>
      </c>
      <c r="C3245" s="693" t="str">
        <f t="shared" si="397"/>
        <v>深圳新阳蓝光能源管理科技股份有限公司</v>
      </c>
      <c r="D3245" s="687" t="s">
        <v>4359</v>
      </c>
      <c r="E3245" s="1769" t="s">
        <v>4346</v>
      </c>
      <c r="F3245" s="1482"/>
      <c r="G3245" s="1482"/>
      <c r="H3245" s="1482"/>
      <c r="X3245" s="768" t="b">
        <f t="shared" si="396"/>
        <v>1</v>
      </c>
    </row>
    <row r="3246" outlineLevel="2" spans="1:24">
      <c r="A3246" s="90" t="s">
        <v>4364</v>
      </c>
      <c r="B3246" s="685" t="s">
        <v>4336</v>
      </c>
      <c r="C3246" s="693" t="str">
        <f t="shared" si="397"/>
        <v>深圳新阳蓝光能源管理科技股份有限公司</v>
      </c>
      <c r="D3246" s="687" t="s">
        <v>4359</v>
      </c>
      <c r="E3246" s="1769" t="s">
        <v>4365</v>
      </c>
      <c r="F3246" s="1482"/>
      <c r="G3246" s="1482"/>
      <c r="H3246" s="1482"/>
      <c r="X3246" s="768" t="b">
        <f t="shared" si="396"/>
        <v>1</v>
      </c>
    </row>
    <row r="3247" outlineLevel="2" spans="1:24">
      <c r="A3247" s="90" t="s">
        <v>4366</v>
      </c>
      <c r="B3247" s="685" t="s">
        <v>4336</v>
      </c>
      <c r="C3247" s="693" t="str">
        <f t="shared" si="397"/>
        <v>深圳新阳蓝光能源管理科技股份有限公司</v>
      </c>
      <c r="D3247" s="687" t="s">
        <v>4359</v>
      </c>
      <c r="E3247" s="1769" t="s">
        <v>4367</v>
      </c>
      <c r="F3247" s="1482"/>
      <c r="G3247" s="1482"/>
      <c r="H3247" s="1482"/>
      <c r="X3247" s="768" t="b">
        <f t="shared" si="396"/>
        <v>1</v>
      </c>
    </row>
    <row r="3248" outlineLevel="2" spans="1:24">
      <c r="A3248" s="90" t="s">
        <v>4351</v>
      </c>
      <c r="B3248" s="685" t="s">
        <v>4336</v>
      </c>
      <c r="C3248" s="693" t="str">
        <f t="shared" si="397"/>
        <v>深圳新阳蓝光能源管理科技股份有限公司</v>
      </c>
      <c r="D3248" s="687" t="s">
        <v>4359</v>
      </c>
      <c r="E3248" s="1769" t="s">
        <v>4352</v>
      </c>
      <c r="F3248" s="1482"/>
      <c r="G3248" s="1482"/>
      <c r="H3248" s="1482"/>
      <c r="X3248" s="768" t="b">
        <f t="shared" si="396"/>
        <v>1</v>
      </c>
    </row>
    <row r="3249" outlineLevel="2" spans="1:24">
      <c r="A3249" s="90" t="s">
        <v>4353</v>
      </c>
      <c r="B3249" s="685" t="s">
        <v>4336</v>
      </c>
      <c r="C3249" s="693" t="str">
        <f t="shared" si="397"/>
        <v>深圳新阳蓝光能源管理科技股份有限公司</v>
      </c>
      <c r="D3249" s="687" t="s">
        <v>4359</v>
      </c>
      <c r="E3249" s="1769" t="s">
        <v>4354</v>
      </c>
      <c r="F3249" s="1482"/>
      <c r="G3249" s="1482"/>
      <c r="H3249" s="1482"/>
      <c r="X3249" s="768" t="b">
        <f t="shared" si="396"/>
        <v>1</v>
      </c>
    </row>
    <row r="3250" outlineLevel="2" spans="1:24">
      <c r="A3250" s="90" t="s">
        <v>4355</v>
      </c>
      <c r="B3250" s="685" t="s">
        <v>4336</v>
      </c>
      <c r="C3250" s="693" t="str">
        <f t="shared" si="397"/>
        <v>深圳新阳蓝光能源管理科技股份有限公司</v>
      </c>
      <c r="D3250" s="687" t="s">
        <v>4359</v>
      </c>
      <c r="E3250" s="1769" t="s">
        <v>4356</v>
      </c>
      <c r="F3250" s="1482"/>
      <c r="G3250" s="1482"/>
      <c r="H3250" s="1482"/>
      <c r="X3250" s="768" t="b">
        <f t="shared" si="396"/>
        <v>1</v>
      </c>
    </row>
    <row r="3251" outlineLevel="2" spans="1:24">
      <c r="A3251" s="90" t="s">
        <v>4357</v>
      </c>
      <c r="B3251" s="685" t="s">
        <v>4336</v>
      </c>
      <c r="C3251" s="693" t="str">
        <f t="shared" si="397"/>
        <v>深圳新阳蓝光能源管理科技股份有限公司</v>
      </c>
      <c r="D3251" s="687" t="s">
        <v>4359</v>
      </c>
      <c r="E3251" s="1769" t="s">
        <v>4358</v>
      </c>
      <c r="F3251" s="1482"/>
      <c r="G3251" s="1482"/>
      <c r="H3251" s="1482"/>
      <c r="X3251" s="768" t="b">
        <f t="shared" si="396"/>
        <v>1</v>
      </c>
    </row>
    <row r="3252" outlineLevel="2" spans="2:24">
      <c r="B3252" s="685" t="s">
        <v>4336</v>
      </c>
      <c r="C3252" s="693" t="str">
        <f t="shared" si="397"/>
        <v>深圳新阳蓝光能源管理科技股份有限公司</v>
      </c>
      <c r="D3252" s="687" t="s">
        <v>4359</v>
      </c>
      <c r="X3252" s="768" t="b">
        <f t="shared" si="396"/>
        <v>1</v>
      </c>
    </row>
    <row r="3253" spans="1:24">
      <c r="A3253" s="90" t="s">
        <v>4368</v>
      </c>
      <c r="B3253" s="685" t="s">
        <v>4369</v>
      </c>
      <c r="C3253" s="693" t="str">
        <f t="shared" si="397"/>
        <v>深圳新阳蓝光能源管理科技股份有限公司</v>
      </c>
      <c r="D3253" s="687" t="s">
        <v>4370</v>
      </c>
      <c r="E3253" s="1233" t="s">
        <v>4368</v>
      </c>
      <c r="F3253" s="751"/>
      <c r="G3253" s="751"/>
      <c r="X3253" s="768" t="b">
        <f t="shared" si="396"/>
        <v>1</v>
      </c>
    </row>
    <row r="3254" outlineLevel="2" spans="1:24">
      <c r="A3254" s="90" t="s">
        <v>2820</v>
      </c>
      <c r="B3254" s="685" t="s">
        <v>4369</v>
      </c>
      <c r="C3254" s="693" t="str">
        <f t="shared" si="397"/>
        <v>深圳新阳蓝光能源管理科技股份有限公司</v>
      </c>
      <c r="D3254" s="687" t="s">
        <v>4370</v>
      </c>
      <c r="E3254" s="1234" t="s">
        <v>4371</v>
      </c>
      <c r="F3254" s="1234" t="s">
        <v>2902</v>
      </c>
      <c r="G3254" s="1234" t="s">
        <v>3316</v>
      </c>
      <c r="X3254" s="768" t="b">
        <f t="shared" si="396"/>
        <v>1</v>
      </c>
    </row>
    <row r="3255" outlineLevel="2" spans="1:24">
      <c r="A3255" s="90" t="s">
        <v>4370</v>
      </c>
      <c r="B3255" s="685" t="s">
        <v>4369</v>
      </c>
      <c r="C3255" s="693" t="str">
        <f t="shared" si="397"/>
        <v>深圳新阳蓝光能源管理科技股份有限公司</v>
      </c>
      <c r="D3255" s="687" t="s">
        <v>4370</v>
      </c>
      <c r="E3255" s="1325" t="s">
        <v>4370</v>
      </c>
      <c r="F3255" s="1807"/>
      <c r="G3255" s="1807"/>
      <c r="X3255" s="768" t="b">
        <f t="shared" si="396"/>
        <v>1</v>
      </c>
    </row>
    <row r="3256" outlineLevel="2" spans="1:24">
      <c r="A3256" s="90" t="s">
        <v>4372</v>
      </c>
      <c r="B3256" s="685" t="s">
        <v>4369</v>
      </c>
      <c r="C3256" s="693" t="str">
        <f t="shared" si="397"/>
        <v>深圳新阳蓝光能源管理科技股份有限公司</v>
      </c>
      <c r="D3256" s="687" t="s">
        <v>4370</v>
      </c>
      <c r="E3256" s="1325" t="s">
        <v>4373</v>
      </c>
      <c r="F3256" s="1807"/>
      <c r="G3256" s="1807"/>
      <c r="X3256" s="768" t="b">
        <f t="shared" si="396"/>
        <v>1</v>
      </c>
    </row>
    <row r="3257" outlineLevel="2" spans="1:24">
      <c r="A3257" s="90" t="s">
        <v>4374</v>
      </c>
      <c r="B3257" s="685" t="s">
        <v>4369</v>
      </c>
      <c r="C3257" s="693" t="str">
        <f t="shared" si="397"/>
        <v>深圳新阳蓝光能源管理科技股份有限公司</v>
      </c>
      <c r="D3257" s="687" t="s">
        <v>4370</v>
      </c>
      <c r="E3257" s="1325" t="s">
        <v>4375</v>
      </c>
      <c r="F3257" s="1807"/>
      <c r="G3257" s="1807"/>
      <c r="X3257" s="768" t="b">
        <f t="shared" si="396"/>
        <v>1</v>
      </c>
    </row>
    <row r="3258" outlineLevel="2" spans="1:24">
      <c r="A3258" s="90" t="s">
        <v>4376</v>
      </c>
      <c r="B3258" s="685" t="s">
        <v>4369</v>
      </c>
      <c r="C3258" s="693" t="str">
        <f t="shared" si="397"/>
        <v>深圳新阳蓝光能源管理科技股份有限公司</v>
      </c>
      <c r="D3258" s="687" t="s">
        <v>4370</v>
      </c>
      <c r="E3258" s="1325" t="s">
        <v>4377</v>
      </c>
      <c r="F3258" s="1807"/>
      <c r="G3258" s="1807"/>
      <c r="X3258" s="768" t="b">
        <f t="shared" si="396"/>
        <v>1</v>
      </c>
    </row>
    <row r="3259" outlineLevel="2" spans="1:24">
      <c r="A3259" s="90" t="s">
        <v>4378</v>
      </c>
      <c r="B3259" s="685" t="s">
        <v>4369</v>
      </c>
      <c r="C3259" s="693" t="str">
        <f t="shared" si="397"/>
        <v>深圳新阳蓝光能源管理科技股份有限公司</v>
      </c>
      <c r="D3259" s="687" t="s">
        <v>4370</v>
      </c>
      <c r="E3259" s="1325" t="s">
        <v>4379</v>
      </c>
      <c r="F3259" s="1807"/>
      <c r="G3259" s="1807"/>
      <c r="X3259" s="768" t="b">
        <f t="shared" si="396"/>
        <v>1</v>
      </c>
    </row>
    <row r="3260" outlineLevel="2" spans="1:24">
      <c r="A3260" s="90" t="s">
        <v>4380</v>
      </c>
      <c r="B3260" s="685" t="s">
        <v>4369</v>
      </c>
      <c r="C3260" s="693" t="str">
        <f t="shared" si="397"/>
        <v>深圳新阳蓝光能源管理科技股份有限公司</v>
      </c>
      <c r="D3260" s="687" t="s">
        <v>4370</v>
      </c>
      <c r="E3260" s="1325" t="s">
        <v>4381</v>
      </c>
      <c r="F3260" s="1807"/>
      <c r="G3260" s="1807"/>
      <c r="X3260" s="768" t="b">
        <f t="shared" si="396"/>
        <v>1</v>
      </c>
    </row>
    <row r="3261" outlineLevel="2" spans="1:24">
      <c r="A3261" s="90" t="s">
        <v>4382</v>
      </c>
      <c r="B3261" s="685" t="s">
        <v>4369</v>
      </c>
      <c r="C3261" s="693" t="str">
        <f t="shared" si="397"/>
        <v>深圳新阳蓝光能源管理科技股份有限公司</v>
      </c>
      <c r="D3261" s="687" t="s">
        <v>4370</v>
      </c>
      <c r="E3261" s="1325" t="s">
        <v>4383</v>
      </c>
      <c r="F3261" s="1807"/>
      <c r="G3261" s="1807"/>
      <c r="X3261" s="768" t="b">
        <f t="shared" si="396"/>
        <v>1</v>
      </c>
    </row>
    <row r="3262" outlineLevel="2" spans="1:24">
      <c r="A3262" s="90" t="s">
        <v>4384</v>
      </c>
      <c r="B3262" s="685" t="s">
        <v>4369</v>
      </c>
      <c r="C3262" s="693" t="str">
        <f t="shared" si="397"/>
        <v>深圳新阳蓝光能源管理科技股份有限公司</v>
      </c>
      <c r="D3262" s="687" t="s">
        <v>4384</v>
      </c>
      <c r="E3262" s="1325" t="s">
        <v>4384</v>
      </c>
      <c r="F3262" s="1807"/>
      <c r="G3262" s="1807"/>
      <c r="X3262" s="768" t="b">
        <f t="shared" si="396"/>
        <v>1</v>
      </c>
    </row>
    <row r="3263" outlineLevel="2" spans="1:24">
      <c r="A3263" s="90" t="s">
        <v>4385</v>
      </c>
      <c r="B3263" s="685" t="s">
        <v>4369</v>
      </c>
      <c r="C3263" s="693" t="str">
        <f t="shared" si="397"/>
        <v>深圳新阳蓝光能源管理科技股份有限公司</v>
      </c>
      <c r="D3263" s="687" t="s">
        <v>4384</v>
      </c>
      <c r="E3263" s="1325" t="s">
        <v>4386</v>
      </c>
      <c r="F3263" s="1807"/>
      <c r="G3263" s="1807"/>
      <c r="X3263" s="768" t="b">
        <f t="shared" si="396"/>
        <v>1</v>
      </c>
    </row>
    <row r="3264" outlineLevel="2" spans="1:24">
      <c r="A3264" s="90" t="s">
        <v>4387</v>
      </c>
      <c r="B3264" s="685" t="s">
        <v>4369</v>
      </c>
      <c r="C3264" s="693" t="str">
        <f t="shared" si="397"/>
        <v>深圳新阳蓝光能源管理科技股份有限公司</v>
      </c>
      <c r="D3264" s="687" t="s">
        <v>4387</v>
      </c>
      <c r="E3264" s="1325" t="s">
        <v>4387</v>
      </c>
      <c r="F3264" s="1807"/>
      <c r="G3264" s="1807"/>
      <c r="X3264" s="768" t="b">
        <f t="shared" si="396"/>
        <v>1</v>
      </c>
    </row>
    <row r="3265" outlineLevel="2" spans="1:24">
      <c r="A3265" s="90" t="s">
        <v>4388</v>
      </c>
      <c r="B3265" s="685" t="s">
        <v>4369</v>
      </c>
      <c r="C3265" s="693" t="str">
        <f t="shared" si="397"/>
        <v>深圳新阳蓝光能源管理科技股份有限公司</v>
      </c>
      <c r="D3265" s="687" t="s">
        <v>4387</v>
      </c>
      <c r="E3265" s="1325" t="s">
        <v>4388</v>
      </c>
      <c r="F3265" s="1807"/>
      <c r="G3265" s="1807"/>
      <c r="X3265" s="768" t="b">
        <f t="shared" si="396"/>
        <v>1</v>
      </c>
    </row>
    <row r="3266" outlineLevel="2" spans="2:24">
      <c r="B3266" s="685" t="s">
        <v>4369</v>
      </c>
      <c r="C3266" s="693" t="str">
        <f t="shared" si="397"/>
        <v>深圳新阳蓝光能源管理科技股份有限公司</v>
      </c>
      <c r="D3266" s="687" t="s">
        <v>4387</v>
      </c>
      <c r="X3266" s="768" t="b">
        <f t="shared" si="396"/>
        <v>1</v>
      </c>
    </row>
    <row r="3267" outlineLevel="2" spans="1:24">
      <c r="A3267" s="90" t="s">
        <v>4389</v>
      </c>
      <c r="B3267" s="685" t="s">
        <v>4369</v>
      </c>
      <c r="C3267" s="693" t="str">
        <f t="shared" si="397"/>
        <v>深圳新阳蓝光能源管理科技股份有限公司</v>
      </c>
      <c r="D3267" s="687" t="s">
        <v>4389</v>
      </c>
      <c r="E3267" s="153" t="s">
        <v>4390</v>
      </c>
      <c r="X3267" s="768" t="b">
        <f t="shared" si="396"/>
        <v>1</v>
      </c>
    </row>
    <row r="3268" outlineLevel="2" spans="1:24">
      <c r="A3268" s="90" t="s">
        <v>2809</v>
      </c>
      <c r="B3268" s="685" t="s">
        <v>4369</v>
      </c>
      <c r="C3268" s="693" t="str">
        <f t="shared" si="397"/>
        <v>深圳新阳蓝光能源管理科技股份有限公司</v>
      </c>
      <c r="D3268" s="687" t="s">
        <v>4389</v>
      </c>
      <c r="E3268" s="153" t="s">
        <v>2829</v>
      </c>
      <c r="F3268" s="1803"/>
      <c r="G3268" s="1803"/>
      <c r="X3268" s="768" t="b">
        <f t="shared" si="396"/>
        <v>1</v>
      </c>
    </row>
    <row r="3269" spans="1:24">
      <c r="A3269" s="90" t="s">
        <v>4391</v>
      </c>
      <c r="B3269" s="685" t="s">
        <v>4392</v>
      </c>
      <c r="C3269" s="693" t="str">
        <f t="shared" si="397"/>
        <v>深圳新阳蓝光能源管理科技股份有限公司</v>
      </c>
      <c r="D3269" s="687" t="s">
        <v>4391</v>
      </c>
      <c r="E3269" s="1233" t="s">
        <v>4391</v>
      </c>
      <c r="X3269" s="768" t="b">
        <f t="shared" si="396"/>
        <v>1</v>
      </c>
    </row>
    <row r="3270" outlineLevel="2" spans="1:24">
      <c r="A3270" s="90" t="s">
        <v>4393</v>
      </c>
      <c r="B3270" s="685" t="s">
        <v>4392</v>
      </c>
      <c r="C3270" s="693" t="str">
        <f t="shared" si="397"/>
        <v>深圳新阳蓝光能源管理科技股份有限公司</v>
      </c>
      <c r="D3270" s="687" t="s">
        <v>4391</v>
      </c>
      <c r="E3270" s="153" t="s">
        <v>4394</v>
      </c>
      <c r="X3270" s="768" t="b">
        <f t="shared" ref="X3270:X3430" si="398">EXACT(A3270,E3270)</f>
        <v>1</v>
      </c>
    </row>
    <row r="3271" outlineLevel="2" spans="1:24">
      <c r="A3271" s="90" t="s">
        <v>2809</v>
      </c>
      <c r="B3271" s="685" t="s">
        <v>4392</v>
      </c>
      <c r="C3271" s="693" t="str">
        <f t="shared" si="397"/>
        <v>深圳新阳蓝光能源管理科技股份有限公司</v>
      </c>
      <c r="D3271" s="687" t="s">
        <v>4391</v>
      </c>
      <c r="E3271" s="153" t="s">
        <v>2829</v>
      </c>
      <c r="F3271" s="1803"/>
      <c r="G3271" s="1803"/>
      <c r="X3271" s="768" t="b">
        <f t="shared" si="398"/>
        <v>1</v>
      </c>
    </row>
    <row r="3272" spans="1:24">
      <c r="A3272" s="90" t="s">
        <v>4395</v>
      </c>
      <c r="B3272" s="685" t="s">
        <v>4396</v>
      </c>
      <c r="C3272" s="693" t="str">
        <f t="shared" si="397"/>
        <v>深圳新阳蓝光能源管理科技股份有限公司</v>
      </c>
      <c r="D3272" s="687" t="s">
        <v>4395</v>
      </c>
      <c r="E3272" s="1233" t="s">
        <v>4395</v>
      </c>
      <c r="F3272" s="751"/>
      <c r="G3272" s="751"/>
      <c r="H3272" s="751"/>
      <c r="I3272" s="751"/>
      <c r="J3272" s="751"/>
      <c r="K3272" s="751"/>
      <c r="X3272" s="768" t="b">
        <f t="shared" si="398"/>
        <v>1</v>
      </c>
    </row>
    <row r="3273" outlineLevel="2" spans="1:24">
      <c r="A3273" s="90" t="s">
        <v>4397</v>
      </c>
      <c r="B3273" s="685" t="s">
        <v>4396</v>
      </c>
      <c r="C3273" s="693" t="str">
        <f t="shared" si="397"/>
        <v>深圳新阳蓝光能源管理科技股份有限公司</v>
      </c>
      <c r="D3273" s="687" t="s">
        <v>4395</v>
      </c>
      <c r="E3273" s="153" t="s">
        <v>4398</v>
      </c>
      <c r="F3273" s="751"/>
      <c r="G3273" s="751"/>
      <c r="H3273" s="751"/>
      <c r="I3273" s="751"/>
      <c r="J3273" s="751"/>
      <c r="K3273" s="751"/>
      <c r="X3273" s="768" t="b">
        <f t="shared" si="398"/>
        <v>1</v>
      </c>
    </row>
    <row r="3274" outlineLevel="2" spans="1:24">
      <c r="A3274" s="90" t="s">
        <v>4399</v>
      </c>
      <c r="B3274" s="685" t="s">
        <v>4396</v>
      </c>
      <c r="C3274" s="693" t="str">
        <f t="shared" si="397"/>
        <v>深圳新阳蓝光能源管理科技股份有限公司</v>
      </c>
      <c r="D3274" s="687" t="s">
        <v>4395</v>
      </c>
      <c r="E3274" s="153" t="s">
        <v>4400</v>
      </c>
      <c r="F3274" s="751"/>
      <c r="G3274" s="751"/>
      <c r="H3274" s="751"/>
      <c r="I3274" s="751"/>
      <c r="J3274" s="751"/>
      <c r="K3274" s="751"/>
      <c r="X3274" s="768" t="b">
        <f t="shared" si="398"/>
        <v>1</v>
      </c>
    </row>
    <row r="3275" outlineLevel="2" spans="1:24">
      <c r="A3275" s="90" t="s">
        <v>851</v>
      </c>
      <c r="B3275" s="685" t="s">
        <v>4396</v>
      </c>
      <c r="C3275" s="693" t="str">
        <f t="shared" si="397"/>
        <v>深圳新阳蓝光能源管理科技股份有限公司</v>
      </c>
      <c r="D3275" s="687" t="s">
        <v>4395</v>
      </c>
      <c r="E3275" s="132" t="s">
        <v>851</v>
      </c>
      <c r="F3275" s="132" t="s">
        <v>3211</v>
      </c>
      <c r="G3275" s="132" t="s">
        <v>3212</v>
      </c>
      <c r="H3275" s="132" t="s">
        <v>703</v>
      </c>
      <c r="I3275" s="132" t="s">
        <v>704</v>
      </c>
      <c r="J3275" s="132" t="s">
        <v>705</v>
      </c>
      <c r="K3275" s="132" t="s">
        <v>354</v>
      </c>
      <c r="X3275" s="768" t="b">
        <f t="shared" si="398"/>
        <v>1</v>
      </c>
    </row>
    <row r="3276" outlineLevel="2" spans="2:24">
      <c r="B3276" s="685" t="s">
        <v>4396</v>
      </c>
      <c r="C3276" s="693" t="str">
        <f t="shared" si="397"/>
        <v>深圳新阳蓝光能源管理科技股份有限公司</v>
      </c>
      <c r="D3276" s="687" t="s">
        <v>4395</v>
      </c>
      <c r="E3276" s="752"/>
      <c r="F3276" s="752"/>
      <c r="G3276" s="752"/>
      <c r="H3276" s="752"/>
      <c r="I3276" s="752"/>
      <c r="J3276" s="752"/>
      <c r="K3276" s="752"/>
      <c r="X3276" s="768" t="b">
        <f t="shared" si="398"/>
        <v>1</v>
      </c>
    </row>
    <row r="3277" outlineLevel="2" spans="2:24">
      <c r="B3277" s="685" t="s">
        <v>4396</v>
      </c>
      <c r="C3277" s="693" t="str">
        <f t="shared" si="397"/>
        <v>深圳新阳蓝光能源管理科技股份有限公司</v>
      </c>
      <c r="D3277" s="687" t="s">
        <v>4395</v>
      </c>
      <c r="E3277" s="752"/>
      <c r="F3277" s="752"/>
      <c r="G3277" s="752"/>
      <c r="H3277" s="752"/>
      <c r="I3277" s="752"/>
      <c r="J3277" s="752"/>
      <c r="K3277" s="752"/>
      <c r="X3277" s="768" t="b">
        <f t="shared" si="398"/>
        <v>1</v>
      </c>
    </row>
    <row r="3278" outlineLevel="2" spans="2:24">
      <c r="B3278" s="685" t="s">
        <v>4396</v>
      </c>
      <c r="C3278" s="693" t="str">
        <f t="shared" si="397"/>
        <v>深圳新阳蓝光能源管理科技股份有限公司</v>
      </c>
      <c r="D3278" s="687" t="s">
        <v>4395</v>
      </c>
      <c r="E3278" s="103"/>
      <c r="F3278" s="103"/>
      <c r="G3278" s="103"/>
      <c r="H3278" s="103"/>
      <c r="I3278" s="103"/>
      <c r="J3278" s="103"/>
      <c r="K3278" s="103"/>
      <c r="X3278" s="768" t="b">
        <f t="shared" si="398"/>
        <v>1</v>
      </c>
    </row>
    <row r="3279" outlineLevel="2" spans="2:24">
      <c r="B3279" s="685" t="s">
        <v>4396</v>
      </c>
      <c r="C3279" s="693" t="str">
        <f t="shared" si="397"/>
        <v>深圳新阳蓝光能源管理科技股份有限公司</v>
      </c>
      <c r="D3279" s="687" t="s">
        <v>4395</v>
      </c>
      <c r="E3279" s="103"/>
      <c r="F3279" s="103"/>
      <c r="G3279" s="103"/>
      <c r="H3279" s="103"/>
      <c r="I3279" s="103"/>
      <c r="J3279" s="103"/>
      <c r="K3279" s="103"/>
      <c r="X3279" s="768" t="b">
        <f t="shared" si="398"/>
        <v>1</v>
      </c>
    </row>
    <row r="3280" outlineLevel="2" spans="2:24">
      <c r="B3280" s="685" t="s">
        <v>4396</v>
      </c>
      <c r="C3280" s="693" t="str">
        <f t="shared" si="397"/>
        <v>深圳新阳蓝光能源管理科技股份有限公司</v>
      </c>
      <c r="D3280" s="687" t="s">
        <v>4395</v>
      </c>
      <c r="E3280" s="103"/>
      <c r="F3280" s="103"/>
      <c r="G3280" s="103"/>
      <c r="H3280" s="103"/>
      <c r="I3280" s="103"/>
      <c r="J3280" s="103"/>
      <c r="K3280" s="103"/>
      <c r="X3280" s="768" t="b">
        <f t="shared" si="398"/>
        <v>1</v>
      </c>
    </row>
    <row r="3281" outlineLevel="2" spans="2:24">
      <c r="B3281" s="685" t="s">
        <v>4396</v>
      </c>
      <c r="C3281" s="693" t="str">
        <f t="shared" si="397"/>
        <v>深圳新阳蓝光能源管理科技股份有限公司</v>
      </c>
      <c r="D3281" s="687" t="s">
        <v>4395</v>
      </c>
      <c r="E3281" s="103"/>
      <c r="F3281" s="103"/>
      <c r="G3281" s="103"/>
      <c r="H3281" s="103"/>
      <c r="I3281" s="103"/>
      <c r="J3281" s="103"/>
      <c r="K3281" s="103"/>
      <c r="X3281" s="768" t="b">
        <f t="shared" si="398"/>
        <v>1</v>
      </c>
    </row>
    <row r="3282" outlineLevel="2" spans="2:24">
      <c r="B3282" s="685" t="s">
        <v>4396</v>
      </c>
      <c r="C3282" s="693" t="str">
        <f t="shared" si="397"/>
        <v>深圳新阳蓝光能源管理科技股份有限公司</v>
      </c>
      <c r="D3282" s="687" t="s">
        <v>4395</v>
      </c>
      <c r="X3282" s="768" t="b">
        <f t="shared" si="398"/>
        <v>1</v>
      </c>
    </row>
    <row r="3283" spans="1:24">
      <c r="A3283" s="90" t="s">
        <v>4401</v>
      </c>
      <c r="B3283" s="685" t="s">
        <v>4402</v>
      </c>
      <c r="C3283" s="693" t="str">
        <f t="shared" ref="C3283:C3346" si="399">$G$1</f>
        <v>深圳新阳蓝光能源管理科技股份有限公司</v>
      </c>
      <c r="D3283" s="687" t="s">
        <v>4403</v>
      </c>
      <c r="E3283" s="1808" t="s">
        <v>4401</v>
      </c>
      <c r="F3283" s="1772" t="s">
        <v>3163</v>
      </c>
      <c r="G3283" s="751"/>
      <c r="H3283" s="751"/>
      <c r="I3283" s="751"/>
      <c r="J3283" s="751"/>
      <c r="K3283" s="751"/>
      <c r="L3283" s="751"/>
      <c r="M3283" s="751"/>
      <c r="X3283" s="768" t="b">
        <f t="shared" si="398"/>
        <v>1</v>
      </c>
    </row>
    <row r="3284" outlineLevel="2" spans="1:24">
      <c r="A3284" s="90" t="s">
        <v>4403</v>
      </c>
      <c r="B3284" s="685" t="s">
        <v>4402</v>
      </c>
      <c r="C3284" s="693" t="str">
        <f t="shared" si="399"/>
        <v>深圳新阳蓝光能源管理科技股份有限公司</v>
      </c>
      <c r="D3284" s="687" t="s">
        <v>4403</v>
      </c>
      <c r="E3284" s="153" t="s">
        <v>4404</v>
      </c>
      <c r="F3284" s="751"/>
      <c r="G3284" s="751"/>
      <c r="H3284" s="751"/>
      <c r="I3284" s="751"/>
      <c r="J3284" s="751"/>
      <c r="K3284" s="751"/>
      <c r="L3284" s="751"/>
      <c r="M3284" s="751"/>
      <c r="X3284" s="768" t="b">
        <f t="shared" si="398"/>
        <v>1</v>
      </c>
    </row>
    <row r="3285" outlineLevel="2" spans="2:24">
      <c r="B3285" s="685" t="s">
        <v>4402</v>
      </c>
      <c r="C3285" s="693" t="str">
        <f t="shared" si="399"/>
        <v>深圳新阳蓝光能源管理科技股份有限公司</v>
      </c>
      <c r="D3285" s="687" t="s">
        <v>4403</v>
      </c>
      <c r="E3285" s="1037"/>
      <c r="F3285" s="751"/>
      <c r="G3285" s="751"/>
      <c r="H3285" s="751"/>
      <c r="I3285" s="751"/>
      <c r="J3285" s="751"/>
      <c r="K3285" s="751"/>
      <c r="L3285" s="751"/>
      <c r="M3285" s="751"/>
      <c r="X3285" s="768" t="b">
        <f t="shared" si="398"/>
        <v>1</v>
      </c>
    </row>
    <row r="3286" outlineLevel="2" spans="1:24">
      <c r="A3286" s="90" t="s">
        <v>4405</v>
      </c>
      <c r="B3286" s="685" t="s">
        <v>4402</v>
      </c>
      <c r="C3286" s="693" t="str">
        <f t="shared" si="399"/>
        <v>深圳新阳蓝光能源管理科技股份有限公司</v>
      </c>
      <c r="D3286" s="687" t="s">
        <v>4405</v>
      </c>
      <c r="E3286" s="1233" t="s">
        <v>4406</v>
      </c>
      <c r="F3286" s="751"/>
      <c r="G3286" s="751"/>
      <c r="H3286" s="751"/>
      <c r="I3286" s="751"/>
      <c r="J3286" s="751"/>
      <c r="K3286" s="751"/>
      <c r="L3286" s="751"/>
      <c r="M3286" s="751"/>
      <c r="X3286" s="768" t="b">
        <f t="shared" si="398"/>
        <v>1</v>
      </c>
    </row>
    <row r="3287" ht="11.25" customHeight="1" outlineLevel="2" spans="1:24">
      <c r="A3287" s="90" t="s">
        <v>4407</v>
      </c>
      <c r="B3287" s="685" t="s">
        <v>4402</v>
      </c>
      <c r="C3287" s="693" t="str">
        <f t="shared" si="399"/>
        <v>深圳新阳蓝光能源管理科技股份有限公司</v>
      </c>
      <c r="D3287" s="687" t="s">
        <v>4405</v>
      </c>
      <c r="E3287" s="851" t="s">
        <v>4407</v>
      </c>
      <c r="F3287" s="851" t="s">
        <v>4408</v>
      </c>
      <c r="G3287" s="851" t="s">
        <v>699</v>
      </c>
      <c r="H3287" s="851" t="s">
        <v>4409</v>
      </c>
      <c r="I3287" s="851" t="s">
        <v>700</v>
      </c>
      <c r="J3287" s="851" t="s">
        <v>4410</v>
      </c>
      <c r="K3287" s="851" t="s">
        <v>4411</v>
      </c>
      <c r="L3287" s="1121" t="s">
        <v>4412</v>
      </c>
      <c r="M3287" s="1121" t="s">
        <v>4413</v>
      </c>
      <c r="N3287" s="1121" t="s">
        <v>4414</v>
      </c>
      <c r="X3287" s="768" t="b">
        <f t="shared" si="398"/>
        <v>1</v>
      </c>
    </row>
    <row r="3288" outlineLevel="2" spans="2:24">
      <c r="B3288" s="685" t="s">
        <v>4402</v>
      </c>
      <c r="C3288" s="693" t="str">
        <f t="shared" si="399"/>
        <v>深圳新阳蓝光能源管理科技股份有限公司</v>
      </c>
      <c r="D3288" s="687" t="s">
        <v>4405</v>
      </c>
      <c r="E3288" s="1807"/>
      <c r="F3288" s="1807"/>
      <c r="G3288" s="1807"/>
      <c r="H3288" s="1807"/>
      <c r="I3288" s="1478"/>
      <c r="J3288" s="1478"/>
      <c r="K3288" s="1066"/>
      <c r="L3288" s="1067"/>
      <c r="M3288" s="1067"/>
      <c r="N3288" s="1067"/>
      <c r="X3288" s="768" t="b">
        <f t="shared" si="398"/>
        <v>1</v>
      </c>
    </row>
    <row r="3289" outlineLevel="2" spans="2:24">
      <c r="B3289" s="685" t="s">
        <v>4402</v>
      </c>
      <c r="C3289" s="693" t="str">
        <f t="shared" si="399"/>
        <v>深圳新阳蓝光能源管理科技股份有限公司</v>
      </c>
      <c r="D3289" s="687" t="s">
        <v>4405</v>
      </c>
      <c r="E3289" s="1807"/>
      <c r="F3289" s="1807"/>
      <c r="G3289" s="1807"/>
      <c r="H3289" s="1807"/>
      <c r="I3289" s="1478"/>
      <c r="J3289" s="1478"/>
      <c r="K3289" s="1478"/>
      <c r="L3289" s="1478"/>
      <c r="M3289" s="1478"/>
      <c r="N3289" s="103"/>
      <c r="X3289" s="768" t="b">
        <f t="shared" si="398"/>
        <v>1</v>
      </c>
    </row>
    <row r="3290" outlineLevel="2" spans="2:24">
      <c r="B3290" s="685" t="s">
        <v>4402</v>
      </c>
      <c r="C3290" s="693" t="str">
        <f t="shared" si="399"/>
        <v>深圳新阳蓝光能源管理科技股份有限公司</v>
      </c>
      <c r="D3290" s="687" t="s">
        <v>4405</v>
      </c>
      <c r="E3290" s="1807"/>
      <c r="F3290" s="1807"/>
      <c r="G3290" s="1807"/>
      <c r="H3290" s="1807"/>
      <c r="I3290" s="1478"/>
      <c r="J3290" s="1478"/>
      <c r="K3290" s="1478"/>
      <c r="L3290" s="1478"/>
      <c r="M3290" s="1478"/>
      <c r="N3290" s="103"/>
      <c r="X3290" s="768" t="b">
        <f t="shared" si="398"/>
        <v>1</v>
      </c>
    </row>
    <row r="3291" outlineLevel="2" spans="1:24">
      <c r="A3291" s="90" t="s">
        <v>4415</v>
      </c>
      <c r="B3291" s="685" t="s">
        <v>4402</v>
      </c>
      <c r="C3291" s="693" t="str">
        <f t="shared" si="399"/>
        <v>深圳新阳蓝光能源管理科技股份有限公司</v>
      </c>
      <c r="D3291" s="687" t="s">
        <v>4405</v>
      </c>
      <c r="E3291" s="1037" t="s">
        <v>4416</v>
      </c>
      <c r="F3291" s="751"/>
      <c r="G3291" s="751"/>
      <c r="H3291" s="751"/>
      <c r="I3291" s="751"/>
      <c r="J3291" s="751"/>
      <c r="K3291" s="751"/>
      <c r="L3291" s="751"/>
      <c r="M3291" s="751"/>
      <c r="X3291" s="768" t="b">
        <f t="shared" si="398"/>
        <v>1</v>
      </c>
    </row>
    <row r="3292" outlineLevel="2" spans="2:24">
      <c r="B3292" s="685" t="s">
        <v>4402</v>
      </c>
      <c r="C3292" s="693" t="str">
        <f t="shared" si="399"/>
        <v>深圳新阳蓝光能源管理科技股份有限公司</v>
      </c>
      <c r="D3292" s="687" t="s">
        <v>4405</v>
      </c>
      <c r="E3292" s="1037"/>
      <c r="F3292" s="751"/>
      <c r="G3292" s="751"/>
      <c r="H3292" s="751"/>
      <c r="I3292" s="751"/>
      <c r="J3292" s="751"/>
      <c r="K3292" s="751"/>
      <c r="L3292" s="751"/>
      <c r="M3292" s="751"/>
      <c r="X3292" s="768" t="b">
        <f t="shared" si="398"/>
        <v>1</v>
      </c>
    </row>
    <row r="3293" outlineLevel="2" spans="1:24">
      <c r="A3293" s="90" t="s">
        <v>4417</v>
      </c>
      <c r="B3293" s="685" t="s">
        <v>4402</v>
      </c>
      <c r="C3293" s="693" t="str">
        <f t="shared" si="399"/>
        <v>深圳新阳蓝光能源管理科技股份有限公司</v>
      </c>
      <c r="D3293" s="687" t="s">
        <v>4417</v>
      </c>
      <c r="E3293" s="1233" t="s">
        <v>4418</v>
      </c>
      <c r="F3293" s="751"/>
      <c r="G3293" s="751"/>
      <c r="H3293" s="751"/>
      <c r="I3293" s="751"/>
      <c r="J3293" s="751"/>
      <c r="K3293" s="751"/>
      <c r="L3293" s="751"/>
      <c r="M3293" s="751"/>
      <c r="X3293" s="768" t="b">
        <f t="shared" si="398"/>
        <v>1</v>
      </c>
    </row>
    <row r="3294" ht="12" customHeight="1" outlineLevel="2" spans="1:24">
      <c r="A3294" s="90" t="s">
        <v>1376</v>
      </c>
      <c r="B3294" s="685" t="s">
        <v>4402</v>
      </c>
      <c r="C3294" s="693" t="str">
        <f t="shared" si="399"/>
        <v>深圳新阳蓝光能源管理科技股份有限公司</v>
      </c>
      <c r="D3294" s="687" t="s">
        <v>4417</v>
      </c>
      <c r="E3294" s="851" t="s">
        <v>1376</v>
      </c>
      <c r="F3294" s="851" t="s">
        <v>4419</v>
      </c>
      <c r="G3294" s="851" t="s">
        <v>4408</v>
      </c>
      <c r="H3294" s="851" t="s">
        <v>699</v>
      </c>
      <c r="I3294" s="851" t="s">
        <v>4409</v>
      </c>
      <c r="J3294" s="1121" t="s">
        <v>700</v>
      </c>
      <c r="K3294" s="1121" t="s">
        <v>4410</v>
      </c>
      <c r="L3294" s="1121" t="s">
        <v>4420</v>
      </c>
      <c r="M3294" s="851" t="s">
        <v>4421</v>
      </c>
      <c r="N3294" s="851" t="s">
        <v>4414</v>
      </c>
      <c r="X3294" s="768" t="b">
        <f t="shared" si="398"/>
        <v>1</v>
      </c>
    </row>
    <row r="3295" outlineLevel="2" spans="2:24">
      <c r="B3295" s="685" t="s">
        <v>4402</v>
      </c>
      <c r="C3295" s="693" t="str">
        <f t="shared" si="399"/>
        <v>深圳新阳蓝光能源管理科技股份有限公司</v>
      </c>
      <c r="D3295" s="687" t="s">
        <v>4417</v>
      </c>
      <c r="E3295" s="1296"/>
      <c r="F3295" s="1296"/>
      <c r="G3295" s="1296"/>
      <c r="H3295" s="1296"/>
      <c r="I3295" s="1296"/>
      <c r="J3295" s="1067"/>
      <c r="K3295" s="1067"/>
      <c r="L3295" s="1067"/>
      <c r="M3295" s="1067"/>
      <c r="N3295" s="1066"/>
      <c r="X3295" s="768" t="b">
        <f t="shared" si="398"/>
        <v>1</v>
      </c>
    </row>
    <row r="3296" outlineLevel="2" spans="2:24">
      <c r="B3296" s="685" t="s">
        <v>4402</v>
      </c>
      <c r="C3296" s="693" t="str">
        <f t="shared" si="399"/>
        <v>深圳新阳蓝光能源管理科技股份有限公司</v>
      </c>
      <c r="D3296" s="687" t="s">
        <v>4417</v>
      </c>
      <c r="E3296" s="1296"/>
      <c r="F3296" s="1296"/>
      <c r="G3296" s="1296"/>
      <c r="H3296" s="1296"/>
      <c r="I3296" s="1296"/>
      <c r="J3296" s="1478"/>
      <c r="K3296" s="1478"/>
      <c r="L3296" s="1478"/>
      <c r="M3296" s="1478"/>
      <c r="N3296" s="103"/>
      <c r="X3296" s="768" t="b">
        <f t="shared" si="398"/>
        <v>1</v>
      </c>
    </row>
    <row r="3297" outlineLevel="2" spans="2:24">
      <c r="B3297" s="685" t="s">
        <v>4402</v>
      </c>
      <c r="C3297" s="693" t="str">
        <f t="shared" si="399"/>
        <v>深圳新阳蓝光能源管理科技股份有限公司</v>
      </c>
      <c r="D3297" s="687" t="s">
        <v>4417</v>
      </c>
      <c r="E3297" s="1296"/>
      <c r="F3297" s="1296"/>
      <c r="G3297" s="1296"/>
      <c r="H3297" s="1296"/>
      <c r="I3297" s="1296"/>
      <c r="J3297" s="1478"/>
      <c r="K3297" s="1478"/>
      <c r="L3297" s="1478"/>
      <c r="M3297" s="1478"/>
      <c r="N3297" s="103"/>
      <c r="X3297" s="768" t="b">
        <f t="shared" si="398"/>
        <v>1</v>
      </c>
    </row>
    <row r="3298" outlineLevel="2" spans="2:24">
      <c r="B3298" s="685" t="s">
        <v>4402</v>
      </c>
      <c r="C3298" s="693" t="str">
        <f t="shared" si="399"/>
        <v>深圳新阳蓝光能源管理科技股份有限公司</v>
      </c>
      <c r="D3298" s="687" t="s">
        <v>4417</v>
      </c>
      <c r="E3298" s="1296"/>
      <c r="F3298" s="1296"/>
      <c r="G3298" s="1296"/>
      <c r="H3298" s="1296"/>
      <c r="I3298" s="1296"/>
      <c r="J3298" s="1478"/>
      <c r="K3298" s="1478"/>
      <c r="L3298" s="1478"/>
      <c r="M3298" s="1478"/>
      <c r="N3298" s="103"/>
      <c r="X3298" s="768" t="b">
        <f t="shared" si="398"/>
        <v>1</v>
      </c>
    </row>
    <row r="3299" outlineLevel="2" spans="2:24">
      <c r="B3299" s="685" t="s">
        <v>4402</v>
      </c>
      <c r="C3299" s="693" t="str">
        <f t="shared" si="399"/>
        <v>深圳新阳蓝光能源管理科技股份有限公司</v>
      </c>
      <c r="D3299" s="687" t="s">
        <v>4417</v>
      </c>
      <c r="E3299" s="1044"/>
      <c r="F3299" s="1478"/>
      <c r="G3299" s="1478"/>
      <c r="H3299" s="1478"/>
      <c r="I3299" s="1478"/>
      <c r="J3299" s="1478"/>
      <c r="K3299" s="1478"/>
      <c r="L3299" s="1478"/>
      <c r="M3299" s="1478"/>
      <c r="N3299" s="103"/>
      <c r="X3299" s="768" t="b">
        <f t="shared" si="398"/>
        <v>1</v>
      </c>
    </row>
    <row r="3300" outlineLevel="2" spans="2:24">
      <c r="B3300" s="685" t="s">
        <v>4402</v>
      </c>
      <c r="C3300" s="693" t="str">
        <f t="shared" si="399"/>
        <v>深圳新阳蓝光能源管理科技股份有限公司</v>
      </c>
      <c r="D3300" s="687" t="s">
        <v>4417</v>
      </c>
      <c r="E3300" s="1044"/>
      <c r="F3300" s="1478"/>
      <c r="G3300" s="1478"/>
      <c r="H3300" s="1478"/>
      <c r="I3300" s="1478"/>
      <c r="J3300" s="1478"/>
      <c r="K3300" s="1478"/>
      <c r="L3300" s="1478"/>
      <c r="M3300" s="1478"/>
      <c r="N3300" s="103"/>
      <c r="X3300" s="768" t="b">
        <f t="shared" si="398"/>
        <v>1</v>
      </c>
    </row>
    <row r="3301" outlineLevel="2" spans="2:24">
      <c r="B3301" s="685" t="s">
        <v>4402</v>
      </c>
      <c r="C3301" s="693" t="str">
        <f t="shared" si="399"/>
        <v>深圳新阳蓝光能源管理科技股份有限公司</v>
      </c>
      <c r="D3301" s="687" t="s">
        <v>4417</v>
      </c>
      <c r="E3301" s="1044"/>
      <c r="F3301" s="1478"/>
      <c r="G3301" s="1478"/>
      <c r="H3301" s="1478"/>
      <c r="I3301" s="1478"/>
      <c r="J3301" s="1478"/>
      <c r="K3301" s="1478"/>
      <c r="L3301" s="1478"/>
      <c r="M3301" s="1478"/>
      <c r="N3301" s="103"/>
      <c r="X3301" s="768" t="b">
        <f t="shared" si="398"/>
        <v>1</v>
      </c>
    </row>
    <row r="3302" outlineLevel="2" spans="2:24">
      <c r="B3302" s="685" t="s">
        <v>4402</v>
      </c>
      <c r="C3302" s="693" t="str">
        <f t="shared" si="399"/>
        <v>深圳新阳蓝光能源管理科技股份有限公司</v>
      </c>
      <c r="D3302" s="687" t="s">
        <v>4417</v>
      </c>
      <c r="E3302" s="1044"/>
      <c r="F3302" s="1478"/>
      <c r="G3302" s="1478"/>
      <c r="H3302" s="1478"/>
      <c r="I3302" s="1478"/>
      <c r="J3302" s="1478"/>
      <c r="K3302" s="1478"/>
      <c r="L3302" s="1478"/>
      <c r="M3302" s="1478"/>
      <c r="N3302" s="103"/>
      <c r="X3302" s="768" t="b">
        <f t="shared" si="398"/>
        <v>1</v>
      </c>
    </row>
    <row r="3303" outlineLevel="2" spans="2:24">
      <c r="B3303" s="685" t="s">
        <v>4402</v>
      </c>
      <c r="C3303" s="693" t="str">
        <f t="shared" si="399"/>
        <v>深圳新阳蓝光能源管理科技股份有限公司</v>
      </c>
      <c r="D3303" s="687" t="s">
        <v>4417</v>
      </c>
      <c r="E3303" s="1044"/>
      <c r="F3303" s="1478"/>
      <c r="G3303" s="1478"/>
      <c r="H3303" s="1478"/>
      <c r="I3303" s="1478"/>
      <c r="J3303" s="1478"/>
      <c r="K3303" s="1478"/>
      <c r="L3303" s="1478"/>
      <c r="M3303" s="1478"/>
      <c r="N3303" s="103"/>
      <c r="X3303" s="768" t="b">
        <f t="shared" si="398"/>
        <v>1</v>
      </c>
    </row>
    <row r="3304" outlineLevel="2" spans="2:24">
      <c r="B3304" s="685" t="s">
        <v>4402</v>
      </c>
      <c r="C3304" s="693" t="str">
        <f t="shared" si="399"/>
        <v>深圳新阳蓝光能源管理科技股份有限公司</v>
      </c>
      <c r="D3304" s="687" t="s">
        <v>4417</v>
      </c>
      <c r="E3304" s="1044"/>
      <c r="F3304" s="1478"/>
      <c r="G3304" s="1478"/>
      <c r="H3304" s="1478"/>
      <c r="I3304" s="1478"/>
      <c r="J3304" s="1478"/>
      <c r="K3304" s="1478"/>
      <c r="L3304" s="1478"/>
      <c r="M3304" s="1478"/>
      <c r="N3304" s="103"/>
      <c r="X3304" s="768" t="b">
        <f t="shared" si="398"/>
        <v>1</v>
      </c>
    </row>
    <row r="3305" outlineLevel="2" spans="2:24">
      <c r="B3305" s="685" t="s">
        <v>4402</v>
      </c>
      <c r="C3305" s="693" t="str">
        <f t="shared" si="399"/>
        <v>深圳新阳蓝光能源管理科技股份有限公司</v>
      </c>
      <c r="D3305" s="687" t="s">
        <v>4417</v>
      </c>
      <c r="E3305" s="1044"/>
      <c r="F3305" s="1478"/>
      <c r="G3305" s="1478"/>
      <c r="H3305" s="1478"/>
      <c r="I3305" s="1478"/>
      <c r="J3305" s="1478"/>
      <c r="K3305" s="1478"/>
      <c r="L3305" s="1478"/>
      <c r="M3305" s="1478"/>
      <c r="N3305" s="103"/>
      <c r="X3305" s="768" t="b">
        <f t="shared" si="398"/>
        <v>1</v>
      </c>
    </row>
    <row r="3306" outlineLevel="2" spans="2:24">
      <c r="B3306" s="685" t="s">
        <v>4402</v>
      </c>
      <c r="C3306" s="693" t="str">
        <f t="shared" si="399"/>
        <v>深圳新阳蓝光能源管理科技股份有限公司</v>
      </c>
      <c r="D3306" s="687" t="s">
        <v>4417</v>
      </c>
      <c r="E3306" s="1044"/>
      <c r="F3306" s="1478"/>
      <c r="G3306" s="1478"/>
      <c r="H3306" s="1478"/>
      <c r="I3306" s="1478"/>
      <c r="J3306" s="1478"/>
      <c r="K3306" s="1478"/>
      <c r="L3306" s="1478"/>
      <c r="M3306" s="1478"/>
      <c r="N3306" s="103"/>
      <c r="X3306" s="768" t="b">
        <f t="shared" si="398"/>
        <v>1</v>
      </c>
    </row>
    <row r="3307" outlineLevel="2" spans="2:24">
      <c r="B3307" s="685" t="s">
        <v>4402</v>
      </c>
      <c r="C3307" s="693" t="str">
        <f t="shared" si="399"/>
        <v>深圳新阳蓝光能源管理科技股份有限公司</v>
      </c>
      <c r="D3307" s="687" t="s">
        <v>4417</v>
      </c>
      <c r="E3307" s="1044"/>
      <c r="F3307" s="1478"/>
      <c r="G3307" s="1478"/>
      <c r="H3307" s="1478"/>
      <c r="I3307" s="1478"/>
      <c r="J3307" s="1478"/>
      <c r="K3307" s="1478"/>
      <c r="L3307" s="1478"/>
      <c r="M3307" s="1478"/>
      <c r="N3307" s="103"/>
      <c r="X3307" s="768" t="b">
        <f t="shared" si="398"/>
        <v>1</v>
      </c>
    </row>
    <row r="3308" outlineLevel="2" spans="2:24">
      <c r="B3308" s="685" t="s">
        <v>4402</v>
      </c>
      <c r="C3308" s="693" t="str">
        <f t="shared" si="399"/>
        <v>深圳新阳蓝光能源管理科技股份有限公司</v>
      </c>
      <c r="D3308" s="687" t="s">
        <v>4417</v>
      </c>
      <c r="E3308" s="1044"/>
      <c r="F3308" s="1478"/>
      <c r="G3308" s="1478"/>
      <c r="H3308" s="1478"/>
      <c r="I3308" s="1478"/>
      <c r="J3308" s="1478"/>
      <c r="K3308" s="1478"/>
      <c r="L3308" s="1478"/>
      <c r="M3308" s="1478"/>
      <c r="N3308" s="103"/>
      <c r="X3308" s="768" t="b">
        <f t="shared" si="398"/>
        <v>1</v>
      </c>
    </row>
    <row r="3309" outlineLevel="2" spans="2:24">
      <c r="B3309" s="685" t="s">
        <v>4402</v>
      </c>
      <c r="C3309" s="693" t="str">
        <f t="shared" si="399"/>
        <v>深圳新阳蓝光能源管理科技股份有限公司</v>
      </c>
      <c r="D3309" s="687" t="s">
        <v>4417</v>
      </c>
      <c r="E3309" s="1044"/>
      <c r="F3309" s="1478"/>
      <c r="G3309" s="1478"/>
      <c r="H3309" s="1478"/>
      <c r="I3309" s="1478"/>
      <c r="J3309" s="1478"/>
      <c r="K3309" s="1478"/>
      <c r="L3309" s="1478"/>
      <c r="M3309" s="1478"/>
      <c r="N3309" s="103"/>
      <c r="X3309" s="768" t="b">
        <f t="shared" si="398"/>
        <v>1</v>
      </c>
    </row>
    <row r="3310" outlineLevel="2" spans="2:24">
      <c r="B3310" s="685" t="s">
        <v>4402</v>
      </c>
      <c r="C3310" s="693" t="str">
        <f t="shared" si="399"/>
        <v>深圳新阳蓝光能源管理科技股份有限公司</v>
      </c>
      <c r="D3310" s="687" t="s">
        <v>4417</v>
      </c>
      <c r="E3310" s="1809"/>
      <c r="F3310" s="1810"/>
      <c r="G3310" s="1810"/>
      <c r="H3310" s="1810"/>
      <c r="I3310" s="1810"/>
      <c r="J3310" s="1810"/>
      <c r="K3310" s="1810"/>
      <c r="L3310" s="1810"/>
      <c r="M3310" s="1810"/>
      <c r="N3310" s="95"/>
      <c r="X3310" s="768" t="b">
        <f t="shared" si="398"/>
        <v>1</v>
      </c>
    </row>
    <row r="3311" outlineLevel="2" spans="1:24">
      <c r="A3311" s="90" t="s">
        <v>4422</v>
      </c>
      <c r="B3311" s="685" t="s">
        <v>4402</v>
      </c>
      <c r="C3311" s="693" t="str">
        <f t="shared" si="399"/>
        <v>深圳新阳蓝光能源管理科技股份有限公司</v>
      </c>
      <c r="D3311" s="1811" t="s">
        <v>4423</v>
      </c>
      <c r="E3311" s="1037" t="s">
        <v>4424</v>
      </c>
      <c r="F3311" s="751"/>
      <c r="G3311" s="751"/>
      <c r="H3311" s="751"/>
      <c r="I3311" s="751"/>
      <c r="J3311" s="751"/>
      <c r="K3311" s="751"/>
      <c r="L3311" s="751"/>
      <c r="M3311" s="1810"/>
      <c r="N3311" s="95"/>
      <c r="X3311" s="768" t="b">
        <f t="shared" si="398"/>
        <v>1</v>
      </c>
    </row>
    <row r="3312" ht="11.25" customHeight="1" outlineLevel="2" spans="1:24">
      <c r="A3312" s="90" t="s">
        <v>669</v>
      </c>
      <c r="B3312" s="685" t="s">
        <v>4402</v>
      </c>
      <c r="C3312" s="693" t="str">
        <f t="shared" si="399"/>
        <v>深圳新阳蓝光能源管理科技股份有限公司</v>
      </c>
      <c r="D3312" s="1811" t="s">
        <v>4423</v>
      </c>
      <c r="E3312" s="1297" t="s">
        <v>669</v>
      </c>
      <c r="F3312" s="1812" t="s">
        <v>4408</v>
      </c>
      <c r="G3312" s="1812" t="s">
        <v>699</v>
      </c>
      <c r="H3312" s="1812" t="s">
        <v>4409</v>
      </c>
      <c r="I3312" s="1812" t="s">
        <v>700</v>
      </c>
      <c r="J3312" s="1812" t="s">
        <v>4410</v>
      </c>
      <c r="K3312" s="1812" t="s">
        <v>4425</v>
      </c>
      <c r="L3312" s="1812" t="s">
        <v>4426</v>
      </c>
      <c r="M3312" s="1297" t="s">
        <v>4427</v>
      </c>
      <c r="N3312" s="1297" t="s">
        <v>4414</v>
      </c>
      <c r="X3312" s="768" t="b">
        <f t="shared" si="398"/>
        <v>1</v>
      </c>
    </row>
    <row r="3313" outlineLevel="2" spans="1:24">
      <c r="A3313" s="90" t="s">
        <v>4423</v>
      </c>
      <c r="B3313" s="685" t="s">
        <v>4402</v>
      </c>
      <c r="C3313" s="693" t="str">
        <f t="shared" si="399"/>
        <v>深圳新阳蓝光能源管理科技股份有限公司</v>
      </c>
      <c r="D3313" s="1811" t="s">
        <v>4423</v>
      </c>
      <c r="E3313" s="1813" t="s">
        <v>4423</v>
      </c>
      <c r="F3313" s="1548"/>
      <c r="G3313" s="1548"/>
      <c r="H3313" s="1548"/>
      <c r="I3313" s="1548"/>
      <c r="J3313" s="1548"/>
      <c r="K3313" s="1548"/>
      <c r="L3313" s="1548"/>
      <c r="M3313" s="935"/>
      <c r="N3313" s="935"/>
      <c r="X3313" s="768" t="b">
        <f t="shared" si="398"/>
        <v>1</v>
      </c>
    </row>
    <row r="3314" outlineLevel="2" spans="2:24">
      <c r="B3314" s="685" t="s">
        <v>4402</v>
      </c>
      <c r="C3314" s="693" t="str">
        <f t="shared" si="399"/>
        <v>深圳新阳蓝光能源管理科技股份有限公司</v>
      </c>
      <c r="D3314" s="1811" t="s">
        <v>4423</v>
      </c>
      <c r="E3314" s="1814"/>
      <c r="F3314" s="1237"/>
      <c r="G3314" s="1237"/>
      <c r="H3314" s="1237"/>
      <c r="I3314" s="1237"/>
      <c r="J3314" s="1237"/>
      <c r="K3314" s="1237"/>
      <c r="L3314" s="1237"/>
      <c r="M3314" s="815"/>
      <c r="N3314" s="815"/>
      <c r="X3314" s="768" t="b">
        <f t="shared" si="398"/>
        <v>1</v>
      </c>
    </row>
    <row r="3315" outlineLevel="2" spans="2:24">
      <c r="B3315" s="685" t="s">
        <v>4402</v>
      </c>
      <c r="C3315" s="693" t="str">
        <f t="shared" si="399"/>
        <v>深圳新阳蓝光能源管理科技股份有限公司</v>
      </c>
      <c r="D3315" s="1811" t="s">
        <v>4423</v>
      </c>
      <c r="E3315" s="1814"/>
      <c r="F3315" s="1237"/>
      <c r="G3315" s="1237"/>
      <c r="H3315" s="1237"/>
      <c r="I3315" s="1237"/>
      <c r="J3315" s="1237"/>
      <c r="K3315" s="1237"/>
      <c r="L3315" s="1237"/>
      <c r="M3315" s="815"/>
      <c r="N3315" s="815"/>
      <c r="X3315" s="768" t="b">
        <f t="shared" si="398"/>
        <v>1</v>
      </c>
    </row>
    <row r="3316" outlineLevel="2" spans="2:24">
      <c r="B3316" s="685" t="s">
        <v>4402</v>
      </c>
      <c r="C3316" s="693" t="str">
        <f t="shared" si="399"/>
        <v>深圳新阳蓝光能源管理科技股份有限公司</v>
      </c>
      <c r="D3316" s="1811" t="s">
        <v>4423</v>
      </c>
      <c r="E3316" s="1814"/>
      <c r="F3316" s="1237"/>
      <c r="G3316" s="1237"/>
      <c r="H3316" s="1237"/>
      <c r="I3316" s="1237"/>
      <c r="J3316" s="1237"/>
      <c r="K3316" s="1237"/>
      <c r="L3316" s="1237"/>
      <c r="M3316" s="815"/>
      <c r="N3316" s="815"/>
      <c r="X3316" s="768" t="b">
        <f t="shared" si="398"/>
        <v>1</v>
      </c>
    </row>
    <row r="3317" outlineLevel="2" spans="2:24">
      <c r="B3317" s="685" t="s">
        <v>4402</v>
      </c>
      <c r="C3317" s="693" t="str">
        <f t="shared" si="399"/>
        <v>深圳新阳蓝光能源管理科技股份有限公司</v>
      </c>
      <c r="D3317" s="1811" t="s">
        <v>4423</v>
      </c>
      <c r="E3317" s="1814"/>
      <c r="F3317" s="1237"/>
      <c r="G3317" s="1237"/>
      <c r="H3317" s="1237"/>
      <c r="I3317" s="1237"/>
      <c r="J3317" s="1237"/>
      <c r="K3317" s="1237"/>
      <c r="L3317" s="1237"/>
      <c r="M3317" s="815"/>
      <c r="N3317" s="815"/>
      <c r="X3317" s="768" t="b">
        <f t="shared" si="398"/>
        <v>1</v>
      </c>
    </row>
    <row r="3318" outlineLevel="2" spans="2:24">
      <c r="B3318" s="685" t="s">
        <v>4402</v>
      </c>
      <c r="C3318" s="693" t="str">
        <f t="shared" si="399"/>
        <v>深圳新阳蓝光能源管理科技股份有限公司</v>
      </c>
      <c r="D3318" s="1811" t="s">
        <v>4423</v>
      </c>
      <c r="E3318" s="1814"/>
      <c r="F3318" s="1237"/>
      <c r="G3318" s="1237"/>
      <c r="H3318" s="1237"/>
      <c r="I3318" s="1237"/>
      <c r="J3318" s="1237"/>
      <c r="K3318" s="1237"/>
      <c r="L3318" s="1237"/>
      <c r="M3318" s="815"/>
      <c r="N3318" s="815"/>
      <c r="X3318" s="768" t="b">
        <f t="shared" si="398"/>
        <v>1</v>
      </c>
    </row>
    <row r="3319" outlineLevel="2" spans="2:24">
      <c r="B3319" s="685" t="s">
        <v>4402</v>
      </c>
      <c r="C3319" s="693" t="str">
        <f t="shared" si="399"/>
        <v>深圳新阳蓝光能源管理科技股份有限公司</v>
      </c>
      <c r="D3319" s="1811" t="s">
        <v>4423</v>
      </c>
      <c r="E3319" s="1814"/>
      <c r="F3319" s="1237"/>
      <c r="G3319" s="1237"/>
      <c r="H3319" s="1237"/>
      <c r="I3319" s="1237"/>
      <c r="J3319" s="1237"/>
      <c r="K3319" s="1237"/>
      <c r="L3319" s="1237"/>
      <c r="M3319" s="815"/>
      <c r="N3319" s="815"/>
      <c r="X3319" s="768" t="b">
        <f t="shared" si="398"/>
        <v>1</v>
      </c>
    </row>
    <row r="3320" outlineLevel="2" spans="2:24">
      <c r="B3320" s="685" t="s">
        <v>4402</v>
      </c>
      <c r="C3320" s="693" t="str">
        <f t="shared" si="399"/>
        <v>深圳新阳蓝光能源管理科技股份有限公司</v>
      </c>
      <c r="D3320" s="1811" t="s">
        <v>4423</v>
      </c>
      <c r="E3320" s="1814"/>
      <c r="F3320" s="1237"/>
      <c r="G3320" s="1237"/>
      <c r="H3320" s="1237"/>
      <c r="I3320" s="1237"/>
      <c r="J3320" s="1237"/>
      <c r="K3320" s="1237"/>
      <c r="L3320" s="1237"/>
      <c r="M3320" s="815"/>
      <c r="N3320" s="815"/>
      <c r="X3320" s="768" t="b">
        <f t="shared" si="398"/>
        <v>1</v>
      </c>
    </row>
    <row r="3321" outlineLevel="2" spans="2:24">
      <c r="B3321" s="685" t="s">
        <v>4402</v>
      </c>
      <c r="C3321" s="693" t="str">
        <f t="shared" si="399"/>
        <v>深圳新阳蓝光能源管理科技股份有限公司</v>
      </c>
      <c r="D3321" s="1811" t="s">
        <v>4423</v>
      </c>
      <c r="E3321" s="1814"/>
      <c r="F3321" s="1237"/>
      <c r="G3321" s="1237"/>
      <c r="H3321" s="1237"/>
      <c r="I3321" s="1237"/>
      <c r="J3321" s="1237"/>
      <c r="K3321" s="1237"/>
      <c r="L3321" s="1237"/>
      <c r="M3321" s="815"/>
      <c r="N3321" s="815"/>
      <c r="X3321" s="768" t="b">
        <f t="shared" si="398"/>
        <v>1</v>
      </c>
    </row>
    <row r="3322" outlineLevel="2" spans="2:24">
      <c r="B3322" s="685" t="s">
        <v>4402</v>
      </c>
      <c r="C3322" s="693" t="str">
        <f t="shared" si="399"/>
        <v>深圳新阳蓝光能源管理科技股份有限公司</v>
      </c>
      <c r="D3322" s="1811" t="s">
        <v>4423</v>
      </c>
      <c r="E3322" s="1814"/>
      <c r="F3322" s="1237"/>
      <c r="G3322" s="1237"/>
      <c r="H3322" s="1237"/>
      <c r="I3322" s="1237"/>
      <c r="J3322" s="1237"/>
      <c r="K3322" s="1237"/>
      <c r="L3322" s="1237"/>
      <c r="M3322" s="815"/>
      <c r="N3322" s="815"/>
      <c r="X3322" s="768" t="b">
        <f t="shared" si="398"/>
        <v>1</v>
      </c>
    </row>
    <row r="3323" outlineLevel="2" spans="1:24">
      <c r="A3323" s="90" t="s">
        <v>4428</v>
      </c>
      <c r="B3323" s="685" t="s">
        <v>4402</v>
      </c>
      <c r="C3323" s="693" t="str">
        <f t="shared" si="399"/>
        <v>深圳新阳蓝光能源管理科技股份有限公司</v>
      </c>
      <c r="D3323" s="1811" t="s">
        <v>4428</v>
      </c>
      <c r="E3323" s="1813" t="s">
        <v>4428</v>
      </c>
      <c r="F3323" s="1548"/>
      <c r="G3323" s="1548"/>
      <c r="H3323" s="1548"/>
      <c r="I3323" s="1548"/>
      <c r="J3323" s="1548"/>
      <c r="K3323" s="1548"/>
      <c r="L3323" s="1548"/>
      <c r="M3323" s="935"/>
      <c r="N3323" s="935"/>
      <c r="X3323" s="768" t="b">
        <f t="shared" si="398"/>
        <v>1</v>
      </c>
    </row>
    <row r="3324" outlineLevel="2" spans="2:24">
      <c r="B3324" s="685" t="s">
        <v>4402</v>
      </c>
      <c r="C3324" s="693" t="str">
        <f t="shared" si="399"/>
        <v>深圳新阳蓝光能源管理科技股份有限公司</v>
      </c>
      <c r="D3324" s="1811" t="s">
        <v>4428</v>
      </c>
      <c r="E3324" s="1814"/>
      <c r="F3324" s="1237"/>
      <c r="G3324" s="1237"/>
      <c r="H3324" s="1237"/>
      <c r="I3324" s="1237"/>
      <c r="J3324" s="1237"/>
      <c r="K3324" s="1237"/>
      <c r="L3324" s="1237"/>
      <c r="M3324" s="815"/>
      <c r="N3324" s="815"/>
      <c r="X3324" s="768" t="b">
        <f t="shared" si="398"/>
        <v>1</v>
      </c>
    </row>
    <row r="3325" outlineLevel="2" spans="2:24">
      <c r="B3325" s="685" t="s">
        <v>4402</v>
      </c>
      <c r="C3325" s="693" t="str">
        <f t="shared" si="399"/>
        <v>深圳新阳蓝光能源管理科技股份有限公司</v>
      </c>
      <c r="D3325" s="1811" t="s">
        <v>4428</v>
      </c>
      <c r="E3325" s="1814"/>
      <c r="F3325" s="1237"/>
      <c r="G3325" s="1237"/>
      <c r="H3325" s="1237"/>
      <c r="I3325" s="1237"/>
      <c r="J3325" s="1237"/>
      <c r="K3325" s="1237"/>
      <c r="L3325" s="1237"/>
      <c r="M3325" s="815"/>
      <c r="N3325" s="815"/>
      <c r="X3325" s="768" t="b">
        <f t="shared" si="398"/>
        <v>1</v>
      </c>
    </row>
    <row r="3326" outlineLevel="2" spans="2:24">
      <c r="B3326" s="685" t="s">
        <v>4402</v>
      </c>
      <c r="C3326" s="693" t="str">
        <f t="shared" si="399"/>
        <v>深圳新阳蓝光能源管理科技股份有限公司</v>
      </c>
      <c r="D3326" s="1811" t="s">
        <v>4428</v>
      </c>
      <c r="E3326" s="1814"/>
      <c r="F3326" s="1237"/>
      <c r="G3326" s="1237"/>
      <c r="H3326" s="1237"/>
      <c r="I3326" s="1237"/>
      <c r="J3326" s="1237"/>
      <c r="K3326" s="1237"/>
      <c r="L3326" s="1237"/>
      <c r="M3326" s="815"/>
      <c r="N3326" s="815"/>
      <c r="X3326" s="768" t="b">
        <f t="shared" si="398"/>
        <v>1</v>
      </c>
    </row>
    <row r="3327" outlineLevel="2" spans="2:24">
      <c r="B3327" s="685" t="s">
        <v>4402</v>
      </c>
      <c r="C3327" s="693" t="str">
        <f t="shared" si="399"/>
        <v>深圳新阳蓝光能源管理科技股份有限公司</v>
      </c>
      <c r="D3327" s="1811" t="s">
        <v>4428</v>
      </c>
      <c r="E3327" s="1814"/>
      <c r="F3327" s="1237"/>
      <c r="G3327" s="1237"/>
      <c r="H3327" s="1237"/>
      <c r="I3327" s="1237"/>
      <c r="J3327" s="1237"/>
      <c r="K3327" s="1237"/>
      <c r="L3327" s="1237"/>
      <c r="M3327" s="815"/>
      <c r="N3327" s="815"/>
      <c r="X3327" s="768" t="b">
        <f t="shared" si="398"/>
        <v>1</v>
      </c>
    </row>
    <row r="3328" outlineLevel="2" spans="2:24">
      <c r="B3328" s="685" t="s">
        <v>4402</v>
      </c>
      <c r="C3328" s="693" t="str">
        <f t="shared" si="399"/>
        <v>深圳新阳蓝光能源管理科技股份有限公司</v>
      </c>
      <c r="D3328" s="1811" t="s">
        <v>4428</v>
      </c>
      <c r="E3328" s="1814"/>
      <c r="F3328" s="1237"/>
      <c r="G3328" s="1237"/>
      <c r="H3328" s="1237"/>
      <c r="I3328" s="1237"/>
      <c r="J3328" s="1237"/>
      <c r="K3328" s="1237"/>
      <c r="L3328" s="1237"/>
      <c r="M3328" s="815"/>
      <c r="N3328" s="815"/>
      <c r="X3328" s="768" t="b">
        <f t="shared" si="398"/>
        <v>1</v>
      </c>
    </row>
    <row r="3329" outlineLevel="2" spans="2:24">
      <c r="B3329" s="685" t="s">
        <v>4402</v>
      </c>
      <c r="C3329" s="693" t="str">
        <f t="shared" si="399"/>
        <v>深圳新阳蓝光能源管理科技股份有限公司</v>
      </c>
      <c r="D3329" s="1811" t="s">
        <v>4428</v>
      </c>
      <c r="E3329" s="1814"/>
      <c r="F3329" s="1237"/>
      <c r="G3329" s="1237"/>
      <c r="H3329" s="1237"/>
      <c r="I3329" s="1237"/>
      <c r="J3329" s="1237"/>
      <c r="K3329" s="1237"/>
      <c r="L3329" s="1237"/>
      <c r="M3329" s="815"/>
      <c r="N3329" s="815"/>
      <c r="X3329" s="768" t="b">
        <f t="shared" si="398"/>
        <v>1</v>
      </c>
    </row>
    <row r="3330" outlineLevel="2" spans="2:24">
      <c r="B3330" s="685" t="s">
        <v>4402</v>
      </c>
      <c r="C3330" s="693" t="str">
        <f t="shared" si="399"/>
        <v>深圳新阳蓝光能源管理科技股份有限公司</v>
      </c>
      <c r="D3330" s="1811" t="s">
        <v>4428</v>
      </c>
      <c r="E3330" s="1814"/>
      <c r="F3330" s="1237"/>
      <c r="G3330" s="1237"/>
      <c r="H3330" s="1237"/>
      <c r="I3330" s="1237"/>
      <c r="J3330" s="1237"/>
      <c r="K3330" s="1237"/>
      <c r="L3330" s="1237"/>
      <c r="M3330" s="815"/>
      <c r="N3330" s="815"/>
      <c r="X3330" s="768" t="b">
        <f t="shared" si="398"/>
        <v>1</v>
      </c>
    </row>
    <row r="3331" outlineLevel="2" spans="2:24">
      <c r="B3331" s="685" t="s">
        <v>4402</v>
      </c>
      <c r="C3331" s="693" t="str">
        <f t="shared" si="399"/>
        <v>深圳新阳蓝光能源管理科技股份有限公司</v>
      </c>
      <c r="D3331" s="1811" t="s">
        <v>4428</v>
      </c>
      <c r="E3331" s="1814"/>
      <c r="F3331" s="1237"/>
      <c r="G3331" s="1237"/>
      <c r="H3331" s="1237"/>
      <c r="I3331" s="1237"/>
      <c r="J3331" s="1237"/>
      <c r="K3331" s="1237"/>
      <c r="L3331" s="1237"/>
      <c r="M3331" s="815"/>
      <c r="N3331" s="815"/>
      <c r="X3331" s="768" t="b">
        <f t="shared" si="398"/>
        <v>1</v>
      </c>
    </row>
    <row r="3332" outlineLevel="2" spans="2:24">
      <c r="B3332" s="685" t="s">
        <v>4402</v>
      </c>
      <c r="C3332" s="693" t="str">
        <f t="shared" si="399"/>
        <v>深圳新阳蓝光能源管理科技股份有限公司</v>
      </c>
      <c r="D3332" s="1811" t="s">
        <v>4428</v>
      </c>
      <c r="E3332" s="1815"/>
      <c r="F3332" s="1486"/>
      <c r="G3332" s="1486"/>
      <c r="H3332" s="1486"/>
      <c r="I3332" s="1486"/>
      <c r="J3332" s="1486"/>
      <c r="K3332" s="1486"/>
      <c r="L3332" s="1486"/>
      <c r="M3332" s="815"/>
      <c r="N3332" s="815"/>
      <c r="X3332" s="768" t="b">
        <f t="shared" si="398"/>
        <v>1</v>
      </c>
    </row>
    <row r="3333" outlineLevel="2" spans="2:24">
      <c r="B3333" s="685" t="s">
        <v>4402</v>
      </c>
      <c r="C3333" s="693" t="str">
        <f t="shared" si="399"/>
        <v>深圳新阳蓝光能源管理科技股份有限公司</v>
      </c>
      <c r="D3333" s="1811" t="s">
        <v>4428</v>
      </c>
      <c r="E3333" s="1815"/>
      <c r="F3333" s="1486"/>
      <c r="G3333" s="1486"/>
      <c r="H3333" s="1486"/>
      <c r="I3333" s="1486"/>
      <c r="J3333" s="1486"/>
      <c r="K3333" s="1486"/>
      <c r="L3333" s="1486"/>
      <c r="M3333" s="815"/>
      <c r="N3333" s="815"/>
      <c r="X3333" s="768" t="b">
        <f t="shared" si="398"/>
        <v>1</v>
      </c>
    </row>
    <row r="3334" outlineLevel="2" spans="2:24">
      <c r="B3334" s="685" t="s">
        <v>4402</v>
      </c>
      <c r="C3334" s="693" t="str">
        <f t="shared" si="399"/>
        <v>深圳新阳蓝光能源管理科技股份有限公司</v>
      </c>
      <c r="D3334" s="1811" t="s">
        <v>4428</v>
      </c>
      <c r="E3334" s="1815"/>
      <c r="F3334" s="1486"/>
      <c r="G3334" s="1486"/>
      <c r="H3334" s="1486"/>
      <c r="I3334" s="1486"/>
      <c r="J3334" s="1486"/>
      <c r="K3334" s="1486"/>
      <c r="L3334" s="1486"/>
      <c r="M3334" s="815"/>
      <c r="N3334" s="815"/>
      <c r="X3334" s="768" t="b">
        <f t="shared" si="398"/>
        <v>1</v>
      </c>
    </row>
    <row r="3335" outlineLevel="2" spans="2:24">
      <c r="B3335" s="685" t="s">
        <v>4402</v>
      </c>
      <c r="C3335" s="693" t="str">
        <f t="shared" si="399"/>
        <v>深圳新阳蓝光能源管理科技股份有限公司</v>
      </c>
      <c r="D3335" s="1811" t="s">
        <v>4428</v>
      </c>
      <c r="E3335" s="1815"/>
      <c r="F3335" s="1486"/>
      <c r="G3335" s="1486"/>
      <c r="H3335" s="1486"/>
      <c r="I3335" s="1486"/>
      <c r="J3335" s="1486"/>
      <c r="K3335" s="1486"/>
      <c r="L3335" s="1486"/>
      <c r="M3335" s="815"/>
      <c r="N3335" s="815"/>
      <c r="X3335" s="768" t="b">
        <f t="shared" si="398"/>
        <v>1</v>
      </c>
    </row>
    <row r="3336" outlineLevel="2" spans="2:24">
      <c r="B3336" s="685" t="s">
        <v>4402</v>
      </c>
      <c r="C3336" s="693" t="str">
        <f t="shared" si="399"/>
        <v>深圳新阳蓝光能源管理科技股份有限公司</v>
      </c>
      <c r="D3336" s="1811" t="s">
        <v>4428</v>
      </c>
      <c r="E3336" s="1815"/>
      <c r="F3336" s="1486"/>
      <c r="G3336" s="1486"/>
      <c r="H3336" s="1486"/>
      <c r="I3336" s="1486"/>
      <c r="J3336" s="1486"/>
      <c r="K3336" s="1486"/>
      <c r="L3336" s="1486"/>
      <c r="M3336" s="815"/>
      <c r="N3336" s="815"/>
      <c r="X3336" s="768" t="b">
        <f t="shared" si="398"/>
        <v>1</v>
      </c>
    </row>
    <row r="3337" outlineLevel="2" spans="2:24">
      <c r="B3337" s="685" t="s">
        <v>4402</v>
      </c>
      <c r="C3337" s="693" t="str">
        <f t="shared" si="399"/>
        <v>深圳新阳蓝光能源管理科技股份有限公司</v>
      </c>
      <c r="D3337" s="1811" t="s">
        <v>4428</v>
      </c>
      <c r="E3337" s="1809"/>
      <c r="F3337" s="1810"/>
      <c r="G3337" s="1810"/>
      <c r="H3337" s="1810"/>
      <c r="I3337" s="1810"/>
      <c r="J3337" s="1810"/>
      <c r="K3337" s="1810"/>
      <c r="L3337" s="1810"/>
      <c r="M3337" s="1810"/>
      <c r="N3337" s="95"/>
      <c r="X3337" s="768" t="b">
        <f t="shared" si="398"/>
        <v>1</v>
      </c>
    </row>
    <row r="3338" outlineLevel="2" spans="2:24">
      <c r="B3338" s="685" t="s">
        <v>4402</v>
      </c>
      <c r="C3338" s="693" t="str">
        <f t="shared" si="399"/>
        <v>深圳新阳蓝光能源管理科技股份有限公司</v>
      </c>
      <c r="D3338" s="1811" t="s">
        <v>4428</v>
      </c>
      <c r="E3338" s="1809"/>
      <c r="F3338" s="1810"/>
      <c r="G3338" s="1810"/>
      <c r="H3338" s="1810"/>
      <c r="I3338" s="1810"/>
      <c r="J3338" s="1810"/>
      <c r="K3338" s="1810"/>
      <c r="L3338" s="1810"/>
      <c r="M3338" s="1810"/>
      <c r="N3338" s="95"/>
      <c r="X3338" s="768" t="b">
        <f t="shared" si="398"/>
        <v>1</v>
      </c>
    </row>
    <row r="3339" outlineLevel="2" spans="1:24">
      <c r="A3339" s="90" t="s">
        <v>4429</v>
      </c>
      <c r="B3339" s="685" t="s">
        <v>4402</v>
      </c>
      <c r="C3339" s="693" t="str">
        <f t="shared" si="399"/>
        <v>深圳新阳蓝光能源管理科技股份有限公司</v>
      </c>
      <c r="D3339" s="687" t="s">
        <v>4429</v>
      </c>
      <c r="E3339" s="1037" t="s">
        <v>4430</v>
      </c>
      <c r="F3339" s="751"/>
      <c r="G3339" s="751"/>
      <c r="H3339" s="1810"/>
      <c r="I3339" s="1810"/>
      <c r="J3339" s="1810"/>
      <c r="K3339" s="1810"/>
      <c r="L3339" s="1810"/>
      <c r="M3339" s="1810"/>
      <c r="N3339" s="95"/>
      <c r="X3339" s="768" t="b">
        <f t="shared" si="398"/>
        <v>1</v>
      </c>
    </row>
    <row r="3340" outlineLevel="2" spans="1:24">
      <c r="A3340" s="90" t="s">
        <v>4431</v>
      </c>
      <c r="B3340" s="685" t="s">
        <v>4402</v>
      </c>
      <c r="C3340" s="693" t="str">
        <f t="shared" si="399"/>
        <v>深圳新阳蓝光能源管理科技股份有限公司</v>
      </c>
      <c r="D3340" s="687" t="s">
        <v>4429</v>
      </c>
      <c r="E3340" s="1816" t="s">
        <v>4431</v>
      </c>
      <c r="F3340" s="1816" t="s">
        <v>4432</v>
      </c>
      <c r="G3340" s="1816" t="s">
        <v>4414</v>
      </c>
      <c r="H3340" s="1810"/>
      <c r="I3340" s="1810"/>
      <c r="J3340" s="1810"/>
      <c r="K3340" s="1810"/>
      <c r="L3340" s="1810"/>
      <c r="M3340" s="1810"/>
      <c r="N3340" s="95"/>
      <c r="X3340" s="768" t="b">
        <f t="shared" si="398"/>
        <v>1</v>
      </c>
    </row>
    <row r="3341" outlineLevel="2" spans="2:24">
      <c r="B3341" s="685" t="s">
        <v>4402</v>
      </c>
      <c r="C3341" s="693" t="str">
        <f t="shared" si="399"/>
        <v>深圳新阳蓝光能源管理科技股份有限公司</v>
      </c>
      <c r="D3341" s="687" t="s">
        <v>4429</v>
      </c>
      <c r="E3341" s="1817"/>
      <c r="F3341" s="1817"/>
      <c r="G3341" s="1817"/>
      <c r="H3341" s="1810"/>
      <c r="I3341" s="1810"/>
      <c r="J3341" s="1810"/>
      <c r="K3341" s="1810"/>
      <c r="L3341" s="1810"/>
      <c r="M3341" s="1810"/>
      <c r="N3341" s="95"/>
      <c r="X3341" s="768" t="b">
        <f t="shared" si="398"/>
        <v>1</v>
      </c>
    </row>
    <row r="3342" outlineLevel="2" spans="2:24">
      <c r="B3342" s="685" t="s">
        <v>4402</v>
      </c>
      <c r="C3342" s="693" t="str">
        <f t="shared" si="399"/>
        <v>深圳新阳蓝光能源管理科技股份有限公司</v>
      </c>
      <c r="D3342" s="687" t="s">
        <v>4429</v>
      </c>
      <c r="E3342" s="1044"/>
      <c r="F3342" s="1478"/>
      <c r="G3342" s="1478"/>
      <c r="H3342" s="1810"/>
      <c r="I3342" s="1810"/>
      <c r="J3342" s="1810"/>
      <c r="K3342" s="1810"/>
      <c r="L3342" s="1810"/>
      <c r="M3342" s="1810"/>
      <c r="N3342" s="95"/>
      <c r="X3342" s="768" t="b">
        <f t="shared" si="398"/>
        <v>1</v>
      </c>
    </row>
    <row r="3343" outlineLevel="2" spans="2:24">
      <c r="B3343" s="685" t="s">
        <v>4402</v>
      </c>
      <c r="C3343" s="693" t="str">
        <f t="shared" si="399"/>
        <v>深圳新阳蓝光能源管理科技股份有限公司</v>
      </c>
      <c r="D3343" s="687" t="s">
        <v>4429</v>
      </c>
      <c r="E3343" s="1044"/>
      <c r="F3343" s="1478"/>
      <c r="G3343" s="1478"/>
      <c r="H3343" s="1810"/>
      <c r="I3343" s="1810"/>
      <c r="J3343" s="1810"/>
      <c r="K3343" s="1810"/>
      <c r="L3343" s="1810"/>
      <c r="M3343" s="1810"/>
      <c r="N3343" s="95"/>
      <c r="X3343" s="768" t="b">
        <f t="shared" si="398"/>
        <v>1</v>
      </c>
    </row>
    <row r="3344" outlineLevel="2" spans="2:24">
      <c r="B3344" s="685" t="s">
        <v>4402</v>
      </c>
      <c r="C3344" s="693" t="str">
        <f t="shared" si="399"/>
        <v>深圳新阳蓝光能源管理科技股份有限公司</v>
      </c>
      <c r="D3344" s="687" t="s">
        <v>4429</v>
      </c>
      <c r="E3344" s="1044"/>
      <c r="F3344" s="1478"/>
      <c r="G3344" s="1478"/>
      <c r="H3344" s="1810"/>
      <c r="I3344" s="1810"/>
      <c r="J3344" s="1810"/>
      <c r="K3344" s="1810"/>
      <c r="L3344" s="1810"/>
      <c r="M3344" s="1810"/>
      <c r="N3344" s="95"/>
      <c r="X3344" s="768" t="b">
        <f t="shared" si="398"/>
        <v>1</v>
      </c>
    </row>
    <row r="3345" outlineLevel="2" spans="2:24">
      <c r="B3345" s="685" t="s">
        <v>4402</v>
      </c>
      <c r="C3345" s="693" t="str">
        <f t="shared" si="399"/>
        <v>深圳新阳蓝光能源管理科技股份有限公司</v>
      </c>
      <c r="D3345" s="687" t="s">
        <v>4429</v>
      </c>
      <c r="E3345" s="1044"/>
      <c r="F3345" s="1478"/>
      <c r="G3345" s="1478"/>
      <c r="H3345" s="1810"/>
      <c r="I3345" s="1810"/>
      <c r="J3345" s="1810"/>
      <c r="K3345" s="1810"/>
      <c r="L3345" s="1810"/>
      <c r="M3345" s="1810"/>
      <c r="N3345" s="95"/>
      <c r="X3345" s="768" t="b">
        <f t="shared" si="398"/>
        <v>1</v>
      </c>
    </row>
    <row r="3346" outlineLevel="2" spans="2:24">
      <c r="B3346" s="685" t="s">
        <v>4402</v>
      </c>
      <c r="C3346" s="693" t="str">
        <f t="shared" si="399"/>
        <v>深圳新阳蓝光能源管理科技股份有限公司</v>
      </c>
      <c r="D3346" s="687" t="s">
        <v>4429</v>
      </c>
      <c r="E3346" s="1044"/>
      <c r="F3346" s="1478"/>
      <c r="G3346" s="1478"/>
      <c r="H3346" s="1810"/>
      <c r="I3346" s="1810"/>
      <c r="J3346" s="1810"/>
      <c r="K3346" s="1810"/>
      <c r="L3346" s="1810"/>
      <c r="M3346" s="1810"/>
      <c r="N3346" s="95"/>
      <c r="X3346" s="768" t="b">
        <f t="shared" si="398"/>
        <v>1</v>
      </c>
    </row>
    <row r="3347" outlineLevel="2" spans="2:24">
      <c r="B3347" s="685" t="s">
        <v>4402</v>
      </c>
      <c r="C3347" s="693" t="str">
        <f t="shared" ref="C3347:C3361" si="400">$G$1</f>
        <v>深圳新阳蓝光能源管理科技股份有限公司</v>
      </c>
      <c r="D3347" s="687" t="s">
        <v>4429</v>
      </c>
      <c r="E3347" s="1044"/>
      <c r="F3347" s="1478"/>
      <c r="G3347" s="1478"/>
      <c r="H3347" s="1810"/>
      <c r="I3347" s="1810"/>
      <c r="J3347" s="1810"/>
      <c r="K3347" s="1810"/>
      <c r="L3347" s="1810"/>
      <c r="M3347" s="1810"/>
      <c r="N3347" s="95"/>
      <c r="X3347" s="768" t="b">
        <f t="shared" si="398"/>
        <v>1</v>
      </c>
    </row>
    <row r="3348" outlineLevel="2" spans="2:24">
      <c r="B3348" s="685" t="s">
        <v>4402</v>
      </c>
      <c r="C3348" s="693" t="str">
        <f t="shared" si="400"/>
        <v>深圳新阳蓝光能源管理科技股份有限公司</v>
      </c>
      <c r="D3348" s="687" t="s">
        <v>4429</v>
      </c>
      <c r="E3348" s="1044"/>
      <c r="F3348" s="1478"/>
      <c r="G3348" s="1478"/>
      <c r="H3348" s="1810"/>
      <c r="I3348" s="1810"/>
      <c r="J3348" s="1810"/>
      <c r="K3348" s="1810"/>
      <c r="L3348" s="1810"/>
      <c r="M3348" s="1810"/>
      <c r="N3348" s="95"/>
      <c r="X3348" s="768" t="b">
        <f t="shared" si="398"/>
        <v>1</v>
      </c>
    </row>
    <row r="3349" outlineLevel="2" spans="2:24">
      <c r="B3349" s="685" t="s">
        <v>4402</v>
      </c>
      <c r="C3349" s="693" t="str">
        <f t="shared" si="400"/>
        <v>深圳新阳蓝光能源管理科技股份有限公司</v>
      </c>
      <c r="D3349" s="687" t="s">
        <v>4429</v>
      </c>
      <c r="E3349" s="1044"/>
      <c r="F3349" s="1478"/>
      <c r="G3349" s="1478"/>
      <c r="H3349" s="1810"/>
      <c r="I3349" s="1810"/>
      <c r="J3349" s="1810"/>
      <c r="K3349" s="1810"/>
      <c r="L3349" s="1810"/>
      <c r="M3349" s="1810"/>
      <c r="N3349" s="95"/>
      <c r="X3349" s="768" t="b">
        <f t="shared" si="398"/>
        <v>1</v>
      </c>
    </row>
    <row r="3350" outlineLevel="2" spans="2:24">
      <c r="B3350" s="685" t="s">
        <v>4402</v>
      </c>
      <c r="C3350" s="693" t="str">
        <f t="shared" si="400"/>
        <v>深圳新阳蓝光能源管理科技股份有限公司</v>
      </c>
      <c r="D3350" s="687" t="s">
        <v>4429</v>
      </c>
      <c r="E3350" s="1044"/>
      <c r="F3350" s="1478"/>
      <c r="G3350" s="1478"/>
      <c r="H3350" s="1810"/>
      <c r="I3350" s="1810"/>
      <c r="J3350" s="1810"/>
      <c r="K3350" s="1810"/>
      <c r="L3350" s="1810"/>
      <c r="M3350" s="1810"/>
      <c r="N3350" s="95"/>
      <c r="X3350" s="768" t="b">
        <f t="shared" si="398"/>
        <v>1</v>
      </c>
    </row>
    <row r="3351" outlineLevel="2" spans="2:24">
      <c r="B3351" s="685" t="s">
        <v>4402</v>
      </c>
      <c r="C3351" s="693" t="str">
        <f t="shared" si="400"/>
        <v>深圳新阳蓝光能源管理科技股份有限公司</v>
      </c>
      <c r="D3351" s="687" t="s">
        <v>4429</v>
      </c>
      <c r="E3351" s="1044"/>
      <c r="F3351" s="1478"/>
      <c r="G3351" s="1478"/>
      <c r="H3351" s="1810"/>
      <c r="I3351" s="1810"/>
      <c r="J3351" s="1810"/>
      <c r="K3351" s="1810"/>
      <c r="L3351" s="1810"/>
      <c r="M3351" s="1810"/>
      <c r="N3351" s="95"/>
      <c r="X3351" s="768" t="b">
        <f t="shared" si="398"/>
        <v>1</v>
      </c>
    </row>
    <row r="3352" outlineLevel="2" spans="2:24">
      <c r="B3352" s="685" t="s">
        <v>4402</v>
      </c>
      <c r="C3352" s="693" t="str">
        <f t="shared" si="400"/>
        <v>深圳新阳蓝光能源管理科技股份有限公司</v>
      </c>
      <c r="D3352" s="687" t="s">
        <v>4429</v>
      </c>
      <c r="E3352" s="1044"/>
      <c r="F3352" s="1478"/>
      <c r="G3352" s="1478"/>
      <c r="H3352" s="1810"/>
      <c r="I3352" s="1810"/>
      <c r="J3352" s="1810"/>
      <c r="K3352" s="1810"/>
      <c r="L3352" s="1810"/>
      <c r="M3352" s="1810"/>
      <c r="N3352" s="95"/>
      <c r="X3352" s="768" t="b">
        <f t="shared" si="398"/>
        <v>1</v>
      </c>
    </row>
    <row r="3353" outlineLevel="2" spans="2:24">
      <c r="B3353" s="685" t="s">
        <v>4402</v>
      </c>
      <c r="C3353" s="693" t="str">
        <f t="shared" si="400"/>
        <v>深圳新阳蓝光能源管理科技股份有限公司</v>
      </c>
      <c r="D3353" s="687" t="s">
        <v>4429</v>
      </c>
      <c r="E3353" s="1044"/>
      <c r="F3353" s="1478"/>
      <c r="G3353" s="1478"/>
      <c r="H3353" s="1810"/>
      <c r="I3353" s="1810"/>
      <c r="J3353" s="1810"/>
      <c r="K3353" s="1810"/>
      <c r="L3353" s="1810"/>
      <c r="M3353" s="1810"/>
      <c r="N3353" s="95"/>
      <c r="X3353" s="768" t="b">
        <f t="shared" si="398"/>
        <v>1</v>
      </c>
    </row>
    <row r="3354" outlineLevel="2" spans="2:24">
      <c r="B3354" s="685" t="s">
        <v>4402</v>
      </c>
      <c r="C3354" s="693" t="str">
        <f t="shared" si="400"/>
        <v>深圳新阳蓝光能源管理科技股份有限公司</v>
      </c>
      <c r="D3354" s="687" t="s">
        <v>4429</v>
      </c>
      <c r="E3354" s="1044"/>
      <c r="F3354" s="1478"/>
      <c r="G3354" s="1478"/>
      <c r="H3354" s="1810"/>
      <c r="I3354" s="1810"/>
      <c r="J3354" s="1810"/>
      <c r="K3354" s="1810"/>
      <c r="L3354" s="1810"/>
      <c r="M3354" s="1810"/>
      <c r="N3354" s="95"/>
      <c r="X3354" s="768" t="b">
        <f t="shared" si="398"/>
        <v>1</v>
      </c>
    </row>
    <row r="3355" outlineLevel="2" spans="2:24">
      <c r="B3355" s="685" t="s">
        <v>4402</v>
      </c>
      <c r="C3355" s="693" t="str">
        <f t="shared" si="400"/>
        <v>深圳新阳蓝光能源管理科技股份有限公司</v>
      </c>
      <c r="D3355" s="687" t="s">
        <v>4429</v>
      </c>
      <c r="E3355" s="1809"/>
      <c r="F3355" s="1810"/>
      <c r="G3355" s="1810"/>
      <c r="H3355" s="1810"/>
      <c r="I3355" s="1810"/>
      <c r="J3355" s="1810"/>
      <c r="K3355" s="1810"/>
      <c r="L3355" s="1810"/>
      <c r="M3355" s="1810"/>
      <c r="N3355" s="95"/>
      <c r="X3355" s="768" t="b">
        <f t="shared" si="398"/>
        <v>1</v>
      </c>
    </row>
    <row r="3356" outlineLevel="2" spans="1:24">
      <c r="A3356" s="90" t="s">
        <v>4433</v>
      </c>
      <c r="B3356" s="685" t="s">
        <v>4402</v>
      </c>
      <c r="C3356" s="693" t="str">
        <f t="shared" si="400"/>
        <v>深圳新阳蓝光能源管理科技股份有限公司</v>
      </c>
      <c r="D3356" s="687" t="s">
        <v>4434</v>
      </c>
      <c r="E3356" s="1818" t="s">
        <v>4435</v>
      </c>
      <c r="F3356" s="1810"/>
      <c r="G3356" s="1810"/>
      <c r="H3356" s="1810"/>
      <c r="I3356" s="1810"/>
      <c r="J3356" s="1810"/>
      <c r="K3356" s="1810"/>
      <c r="L3356" s="1810"/>
      <c r="M3356" s="1810"/>
      <c r="N3356" s="95"/>
      <c r="X3356" s="768" t="b">
        <f t="shared" si="398"/>
        <v>0</v>
      </c>
    </row>
    <row r="3357" outlineLevel="2" spans="1:24">
      <c r="A3357" s="90" t="s">
        <v>4434</v>
      </c>
      <c r="B3357" s="685" t="s">
        <v>4402</v>
      </c>
      <c r="C3357" s="693" t="str">
        <f t="shared" si="400"/>
        <v>深圳新阳蓝光能源管理科技股份有限公司</v>
      </c>
      <c r="D3357" s="687" t="s">
        <v>4434</v>
      </c>
      <c r="E3357" s="1037" t="s">
        <v>4436</v>
      </c>
      <c r="F3357" s="751"/>
      <c r="G3357" s="751"/>
      <c r="H3357" s="751"/>
      <c r="I3357" s="751"/>
      <c r="J3357" s="751"/>
      <c r="K3357" s="751"/>
      <c r="L3357" s="751"/>
      <c r="M3357" s="751"/>
      <c r="N3357" s="95"/>
      <c r="X3357" s="768" t="b">
        <f t="shared" si="398"/>
        <v>1</v>
      </c>
    </row>
    <row r="3358" outlineLevel="2" spans="1:24">
      <c r="A3358" s="90" t="s">
        <v>4437</v>
      </c>
      <c r="B3358" s="685" t="s">
        <v>4402</v>
      </c>
      <c r="C3358" s="693" t="str">
        <f t="shared" si="400"/>
        <v>深圳新阳蓝光能源管理科技股份有限公司</v>
      </c>
      <c r="D3358" s="687" t="s">
        <v>4434</v>
      </c>
      <c r="E3358" s="1819" t="s">
        <v>4438</v>
      </c>
      <c r="F3358" s="751"/>
      <c r="G3358" s="751"/>
      <c r="H3358" s="751"/>
      <c r="I3358" s="751"/>
      <c r="J3358" s="751"/>
      <c r="K3358" s="751"/>
      <c r="L3358" s="751"/>
      <c r="M3358" s="751"/>
      <c r="N3358" s="95"/>
      <c r="X3358" s="768" t="b">
        <f t="shared" si="398"/>
        <v>1</v>
      </c>
    </row>
    <row r="3359" outlineLevel="2" spans="1:24">
      <c r="A3359" s="90" t="s">
        <v>1376</v>
      </c>
      <c r="B3359" s="685" t="s">
        <v>4402</v>
      </c>
      <c r="C3359" s="693" t="str">
        <f t="shared" si="400"/>
        <v>深圳新阳蓝光能源管理科技股份有限公司</v>
      </c>
      <c r="D3359" s="687" t="s">
        <v>4434</v>
      </c>
      <c r="E3359" s="886" t="s">
        <v>506</v>
      </c>
      <c r="F3359" s="851" t="s">
        <v>4439</v>
      </c>
      <c r="G3359" s="851" t="s">
        <v>4440</v>
      </c>
      <c r="H3359" s="1305" t="s">
        <v>4441</v>
      </c>
      <c r="I3359" s="851" t="s">
        <v>1242</v>
      </c>
      <c r="J3359" s="851"/>
      <c r="K3359" s="851" t="s">
        <v>1243</v>
      </c>
      <c r="L3359" s="851"/>
      <c r="M3359" s="791"/>
      <c r="N3359" s="95"/>
      <c r="X3359" s="768" t="b">
        <f t="shared" si="398"/>
        <v>0</v>
      </c>
    </row>
    <row r="3360" ht="24.75" outlineLevel="2" spans="2:24">
      <c r="B3360" s="685" t="s">
        <v>4402</v>
      </c>
      <c r="C3360" s="693" t="str">
        <f t="shared" si="400"/>
        <v>深圳新阳蓝光能源管理科技股份有限公司</v>
      </c>
      <c r="D3360" s="687" t="s">
        <v>4434</v>
      </c>
      <c r="E3360" s="851"/>
      <c r="F3360" s="851"/>
      <c r="G3360" s="851"/>
      <c r="H3360" s="1820"/>
      <c r="I3360" s="851" t="s">
        <v>366</v>
      </c>
      <c r="J3360" s="851" t="s">
        <v>4442</v>
      </c>
      <c r="K3360" s="851" t="s">
        <v>366</v>
      </c>
      <c r="L3360" s="851" t="s">
        <v>4442</v>
      </c>
      <c r="M3360" s="791"/>
      <c r="N3360" s="95"/>
      <c r="X3360" s="768" t="b">
        <f t="shared" si="398"/>
        <v>1</v>
      </c>
    </row>
    <row r="3361" outlineLevel="2" spans="2:24">
      <c r="B3361" s="685" t="s">
        <v>4402</v>
      </c>
      <c r="C3361" s="693" t="str">
        <f t="shared" si="400"/>
        <v>深圳新阳蓝光能源管理科技股份有限公司</v>
      </c>
      <c r="D3361" s="687" t="s">
        <v>4434</v>
      </c>
      <c r="E3361" s="1446"/>
      <c r="F3361" s="1446"/>
      <c r="G3361" s="1446"/>
      <c r="H3361" s="1446"/>
      <c r="I3361" s="1446"/>
      <c r="J3361" s="1446"/>
      <c r="K3361" s="1446"/>
      <c r="L3361" s="1446"/>
      <c r="M3361" s="1478"/>
      <c r="N3361" s="95"/>
      <c r="X3361" s="768" t="b">
        <f t="shared" si="398"/>
        <v>1</v>
      </c>
    </row>
    <row r="3362" outlineLevel="2" spans="3:14">
      <c r="C3362" s="745"/>
      <c r="E3362" s="1446"/>
      <c r="F3362" s="1446"/>
      <c r="G3362" s="1446"/>
      <c r="H3362" s="1446"/>
      <c r="I3362" s="1446"/>
      <c r="J3362" s="1446"/>
      <c r="K3362" s="1446"/>
      <c r="L3362" s="1446"/>
      <c r="M3362" s="1478"/>
      <c r="N3362" s="95"/>
    </row>
    <row r="3363" outlineLevel="2" spans="3:14">
      <c r="C3363" s="745"/>
      <c r="E3363" s="1446"/>
      <c r="F3363" s="1446"/>
      <c r="G3363" s="1446"/>
      <c r="H3363" s="1446"/>
      <c r="I3363" s="1446"/>
      <c r="J3363" s="1446"/>
      <c r="K3363" s="1446"/>
      <c r="L3363" s="1446"/>
      <c r="M3363" s="1478"/>
      <c r="N3363" s="95"/>
    </row>
    <row r="3364" outlineLevel="2" spans="3:14">
      <c r="C3364" s="745"/>
      <c r="E3364" s="1446"/>
      <c r="F3364" s="1446"/>
      <c r="G3364" s="1446"/>
      <c r="H3364" s="1446"/>
      <c r="I3364" s="1446"/>
      <c r="J3364" s="1446"/>
      <c r="K3364" s="1446"/>
      <c r="L3364" s="1446"/>
      <c r="M3364" s="1478"/>
      <c r="N3364" s="95"/>
    </row>
    <row r="3365" outlineLevel="2" spans="3:14">
      <c r="C3365" s="745"/>
      <c r="E3365" s="1446"/>
      <c r="F3365" s="1446"/>
      <c r="G3365" s="1446"/>
      <c r="H3365" s="1446"/>
      <c r="I3365" s="1446"/>
      <c r="J3365" s="1446"/>
      <c r="K3365" s="1446"/>
      <c r="L3365" s="1446"/>
      <c r="M3365" s="1478"/>
      <c r="N3365" s="95"/>
    </row>
    <row r="3366" outlineLevel="2" spans="3:14">
      <c r="C3366" s="745"/>
      <c r="E3366" s="1446"/>
      <c r="F3366" s="1446"/>
      <c r="G3366" s="1446"/>
      <c r="H3366" s="1446"/>
      <c r="I3366" s="1446"/>
      <c r="J3366" s="1446"/>
      <c r="K3366" s="1446"/>
      <c r="L3366" s="1446"/>
      <c r="M3366" s="1478"/>
      <c r="N3366" s="95"/>
    </row>
    <row r="3367" outlineLevel="2" spans="3:14">
      <c r="C3367" s="745"/>
      <c r="E3367" s="1446"/>
      <c r="F3367" s="1446"/>
      <c r="G3367" s="1446"/>
      <c r="H3367" s="1446"/>
      <c r="I3367" s="1446"/>
      <c r="J3367" s="1446"/>
      <c r="K3367" s="1446"/>
      <c r="L3367" s="1446"/>
      <c r="M3367" s="1478"/>
      <c r="N3367" s="95"/>
    </row>
    <row r="3368" outlineLevel="2" spans="3:14">
      <c r="C3368" s="745"/>
      <c r="E3368" s="1446"/>
      <c r="F3368" s="1446"/>
      <c r="G3368" s="1446"/>
      <c r="H3368" s="1446"/>
      <c r="I3368" s="1446"/>
      <c r="J3368" s="1446"/>
      <c r="K3368" s="1446"/>
      <c r="L3368" s="1446"/>
      <c r="M3368" s="1478"/>
      <c r="N3368" s="95"/>
    </row>
    <row r="3369" outlineLevel="2" spans="3:14">
      <c r="C3369" s="745"/>
      <c r="E3369" s="1446"/>
      <c r="F3369" s="1446"/>
      <c r="G3369" s="1446"/>
      <c r="H3369" s="1446"/>
      <c r="I3369" s="1446"/>
      <c r="J3369" s="1446"/>
      <c r="K3369" s="1446"/>
      <c r="L3369" s="1446"/>
      <c r="M3369" s="1478"/>
      <c r="N3369" s="95"/>
    </row>
    <row r="3370" outlineLevel="2" spans="3:14">
      <c r="C3370" s="745"/>
      <c r="E3370" s="1446"/>
      <c r="F3370" s="1446"/>
      <c r="G3370" s="1446"/>
      <c r="H3370" s="1446"/>
      <c r="I3370" s="1446"/>
      <c r="J3370" s="1446"/>
      <c r="K3370" s="1446"/>
      <c r="L3370" s="1446"/>
      <c r="M3370" s="1478"/>
      <c r="N3370" s="95"/>
    </row>
    <row r="3371" outlineLevel="2" spans="3:14">
      <c r="C3371" s="745"/>
      <c r="E3371" s="1446"/>
      <c r="F3371" s="1446"/>
      <c r="G3371" s="1446"/>
      <c r="H3371" s="1446"/>
      <c r="I3371" s="1446"/>
      <c r="J3371" s="1446"/>
      <c r="K3371" s="1446"/>
      <c r="L3371" s="1446"/>
      <c r="M3371" s="1478"/>
      <c r="N3371" s="95"/>
    </row>
    <row r="3372" outlineLevel="2" spans="3:14">
      <c r="C3372" s="745"/>
      <c r="E3372" s="1446"/>
      <c r="F3372" s="1446"/>
      <c r="G3372" s="1446"/>
      <c r="H3372" s="1446"/>
      <c r="I3372" s="1446"/>
      <c r="J3372" s="1446"/>
      <c r="K3372" s="1446"/>
      <c r="L3372" s="1446"/>
      <c r="M3372" s="1478"/>
      <c r="N3372" s="95"/>
    </row>
    <row r="3373" outlineLevel="2" spans="3:14">
      <c r="C3373" s="745"/>
      <c r="E3373" s="1446"/>
      <c r="F3373" s="1446"/>
      <c r="G3373" s="1446"/>
      <c r="H3373" s="1446"/>
      <c r="I3373" s="1446"/>
      <c r="J3373" s="1446"/>
      <c r="K3373" s="1446"/>
      <c r="L3373" s="1446"/>
      <c r="M3373" s="1478"/>
      <c r="N3373" s="95"/>
    </row>
    <row r="3374" outlineLevel="2" spans="3:14">
      <c r="C3374" s="745"/>
      <c r="E3374" s="1446"/>
      <c r="F3374" s="1446"/>
      <c r="G3374" s="1446"/>
      <c r="H3374" s="1446"/>
      <c r="I3374" s="1446"/>
      <c r="J3374" s="1446"/>
      <c r="K3374" s="1446"/>
      <c r="L3374" s="1446"/>
      <c r="M3374" s="1478"/>
      <c r="N3374" s="95"/>
    </row>
    <row r="3375" outlineLevel="2" spans="3:14">
      <c r="C3375" s="745"/>
      <c r="E3375" s="1446"/>
      <c r="F3375" s="1446"/>
      <c r="G3375" s="1446"/>
      <c r="H3375" s="1446"/>
      <c r="I3375" s="1446"/>
      <c r="J3375" s="1446"/>
      <c r="K3375" s="1446"/>
      <c r="L3375" s="1446"/>
      <c r="M3375" s="1478"/>
      <c r="N3375" s="95"/>
    </row>
    <row r="3376" outlineLevel="2" spans="3:14">
      <c r="C3376" s="745"/>
      <c r="E3376" s="1446"/>
      <c r="F3376" s="1446"/>
      <c r="G3376" s="1446"/>
      <c r="H3376" s="1446"/>
      <c r="I3376" s="1446"/>
      <c r="J3376" s="1446"/>
      <c r="K3376" s="1446"/>
      <c r="L3376" s="1446"/>
      <c r="M3376" s="1478"/>
      <c r="N3376" s="95"/>
    </row>
    <row r="3377" outlineLevel="2" spans="3:14">
      <c r="C3377" s="745"/>
      <c r="E3377" s="1446"/>
      <c r="F3377" s="1446"/>
      <c r="G3377" s="1446"/>
      <c r="H3377" s="1446"/>
      <c r="I3377" s="1446"/>
      <c r="J3377" s="1446"/>
      <c r="K3377" s="1446"/>
      <c r="L3377" s="1446"/>
      <c r="M3377" s="1478"/>
      <c r="N3377" s="95"/>
    </row>
    <row r="3378" outlineLevel="2" spans="3:14">
      <c r="C3378" s="745"/>
      <c r="E3378" s="1446"/>
      <c r="F3378" s="1446"/>
      <c r="G3378" s="1446"/>
      <c r="H3378" s="1446"/>
      <c r="I3378" s="1446"/>
      <c r="J3378" s="1446"/>
      <c r="K3378" s="1446"/>
      <c r="L3378" s="1446"/>
      <c r="M3378" s="1478"/>
      <c r="N3378" s="95"/>
    </row>
    <row r="3379" outlineLevel="2" spans="3:14">
      <c r="C3379" s="745"/>
      <c r="E3379" s="1446"/>
      <c r="F3379" s="1446"/>
      <c r="G3379" s="1446"/>
      <c r="H3379" s="1446"/>
      <c r="I3379" s="1446"/>
      <c r="J3379" s="1446"/>
      <c r="K3379" s="1446"/>
      <c r="L3379" s="1446"/>
      <c r="M3379" s="1478"/>
      <c r="N3379" s="95"/>
    </row>
    <row r="3380" outlineLevel="2" spans="2:24">
      <c r="B3380" s="685" t="s">
        <v>4402</v>
      </c>
      <c r="C3380" s="693" t="str">
        <f t="shared" ref="C3380:C3426" si="401">$G$1</f>
        <v>深圳新阳蓝光能源管理科技股份有限公司</v>
      </c>
      <c r="D3380" s="687" t="s">
        <v>4434</v>
      </c>
      <c r="E3380" s="1446"/>
      <c r="F3380" s="1446"/>
      <c r="G3380" s="1446"/>
      <c r="H3380" s="1446"/>
      <c r="I3380" s="1446"/>
      <c r="J3380" s="1446"/>
      <c r="K3380" s="1446"/>
      <c r="L3380" s="1446"/>
      <c r="M3380" s="1478"/>
      <c r="N3380" s="95"/>
      <c r="X3380" s="768" t="b">
        <f t="shared" si="398"/>
        <v>1</v>
      </c>
    </row>
    <row r="3381" outlineLevel="2" spans="2:24">
      <c r="B3381" s="685" t="s">
        <v>4402</v>
      </c>
      <c r="C3381" s="693" t="str">
        <f t="shared" si="401"/>
        <v>深圳新阳蓝光能源管理科技股份有限公司</v>
      </c>
      <c r="D3381" s="687" t="s">
        <v>4434</v>
      </c>
      <c r="E3381" s="1446"/>
      <c r="F3381" s="1446"/>
      <c r="G3381" s="1446"/>
      <c r="H3381" s="1446"/>
      <c r="I3381" s="1446"/>
      <c r="J3381" s="1446"/>
      <c r="K3381" s="1446"/>
      <c r="L3381" s="1446"/>
      <c r="M3381" s="1478"/>
      <c r="N3381" s="95"/>
      <c r="X3381" s="768" t="b">
        <f t="shared" si="398"/>
        <v>1</v>
      </c>
    </row>
    <row r="3382" outlineLevel="2" spans="2:24">
      <c r="B3382" s="685" t="s">
        <v>4402</v>
      </c>
      <c r="C3382" s="693" t="str">
        <f t="shared" si="401"/>
        <v>深圳新阳蓝光能源管理科技股份有限公司</v>
      </c>
      <c r="D3382" s="687" t="s">
        <v>4434</v>
      </c>
      <c r="E3382" s="1446"/>
      <c r="F3382" s="1446"/>
      <c r="G3382" s="1446"/>
      <c r="H3382" s="1446"/>
      <c r="I3382" s="1446"/>
      <c r="J3382" s="1446"/>
      <c r="K3382" s="1446"/>
      <c r="L3382" s="1446"/>
      <c r="M3382" s="1478"/>
      <c r="N3382" s="95"/>
      <c r="X3382" s="768" t="b">
        <f t="shared" si="398"/>
        <v>1</v>
      </c>
    </row>
    <row r="3383" outlineLevel="2" spans="2:24">
      <c r="B3383" s="685" t="s">
        <v>4402</v>
      </c>
      <c r="C3383" s="693" t="str">
        <f t="shared" si="401"/>
        <v>深圳新阳蓝光能源管理科技股份有限公司</v>
      </c>
      <c r="D3383" s="687" t="s">
        <v>4434</v>
      </c>
      <c r="E3383" s="1446"/>
      <c r="F3383" s="1446"/>
      <c r="G3383" s="1446"/>
      <c r="H3383" s="1446"/>
      <c r="I3383" s="1446"/>
      <c r="J3383" s="1446"/>
      <c r="K3383" s="1446"/>
      <c r="L3383" s="1446"/>
      <c r="M3383" s="1478"/>
      <c r="N3383" s="95"/>
      <c r="X3383" s="768" t="b">
        <f t="shared" si="398"/>
        <v>1</v>
      </c>
    </row>
    <row r="3384" outlineLevel="2" spans="2:24">
      <c r="B3384" s="685" t="s">
        <v>4402</v>
      </c>
      <c r="C3384" s="693" t="str">
        <f t="shared" si="401"/>
        <v>深圳新阳蓝光能源管理科技股份有限公司</v>
      </c>
      <c r="D3384" s="687" t="s">
        <v>4434</v>
      </c>
      <c r="E3384" s="1446"/>
      <c r="F3384" s="1446"/>
      <c r="G3384" s="1446"/>
      <c r="H3384" s="1446"/>
      <c r="I3384" s="1446"/>
      <c r="J3384" s="1446"/>
      <c r="K3384" s="1446"/>
      <c r="L3384" s="1446"/>
      <c r="M3384" s="1478"/>
      <c r="N3384" s="95"/>
      <c r="X3384" s="768" t="b">
        <f t="shared" si="398"/>
        <v>1</v>
      </c>
    </row>
    <row r="3385" outlineLevel="2" spans="2:24">
      <c r="B3385" s="685" t="s">
        <v>4402</v>
      </c>
      <c r="C3385" s="693" t="str">
        <f t="shared" si="401"/>
        <v>深圳新阳蓝光能源管理科技股份有限公司</v>
      </c>
      <c r="D3385" s="687" t="s">
        <v>4434</v>
      </c>
      <c r="E3385" s="1446"/>
      <c r="F3385" s="1446"/>
      <c r="G3385" s="1446"/>
      <c r="H3385" s="1446"/>
      <c r="I3385" s="1446"/>
      <c r="J3385" s="1446"/>
      <c r="K3385" s="1446"/>
      <c r="L3385" s="1446"/>
      <c r="M3385" s="1478"/>
      <c r="N3385" s="95"/>
      <c r="X3385" s="768" t="b">
        <f t="shared" si="398"/>
        <v>1</v>
      </c>
    </row>
    <row r="3386" outlineLevel="2" spans="2:24">
      <c r="B3386" s="685" t="s">
        <v>4402</v>
      </c>
      <c r="C3386" s="693" t="str">
        <f t="shared" si="401"/>
        <v>深圳新阳蓝光能源管理科技股份有限公司</v>
      </c>
      <c r="D3386" s="687" t="s">
        <v>4434</v>
      </c>
      <c r="E3386" s="1044"/>
      <c r="F3386" s="1478"/>
      <c r="G3386" s="1478"/>
      <c r="H3386" s="1478"/>
      <c r="I3386" s="1478"/>
      <c r="J3386" s="1478"/>
      <c r="K3386" s="1478"/>
      <c r="L3386" s="1478"/>
      <c r="M3386" s="1478"/>
      <c r="N3386" s="95"/>
      <c r="X3386" s="768" t="b">
        <f t="shared" si="398"/>
        <v>1</v>
      </c>
    </row>
    <row r="3387" outlineLevel="2" spans="1:24">
      <c r="A3387" s="90" t="s">
        <v>4443</v>
      </c>
      <c r="B3387" s="685" t="s">
        <v>4402</v>
      </c>
      <c r="C3387" s="693" t="str">
        <f t="shared" si="401"/>
        <v>深圳新阳蓝光能源管理科技股份有限公司</v>
      </c>
      <c r="D3387" s="687" t="s">
        <v>4443</v>
      </c>
      <c r="E3387" s="1821" t="s">
        <v>4444</v>
      </c>
      <c r="F3387" s="791"/>
      <c r="G3387" s="791"/>
      <c r="H3387" s="791"/>
      <c r="I3387" s="791"/>
      <c r="J3387" s="791"/>
      <c r="K3387" s="791"/>
      <c r="L3387" s="791"/>
      <c r="M3387" s="791"/>
      <c r="N3387" s="95"/>
      <c r="X3387" s="768" t="b">
        <f t="shared" si="398"/>
        <v>0</v>
      </c>
    </row>
    <row r="3388" ht="13.15" customHeight="1" outlineLevel="2" spans="1:24">
      <c r="A3388" s="90" t="s">
        <v>4445</v>
      </c>
      <c r="B3388" s="685" t="s">
        <v>4402</v>
      </c>
      <c r="C3388" s="693" t="str">
        <f t="shared" si="401"/>
        <v>深圳新阳蓝光能源管理科技股份有限公司</v>
      </c>
      <c r="D3388" s="687" t="s">
        <v>4443</v>
      </c>
      <c r="E3388" s="851" t="s">
        <v>4445</v>
      </c>
      <c r="F3388" s="851" t="s">
        <v>4446</v>
      </c>
      <c r="G3388" s="1305" t="s">
        <v>4447</v>
      </c>
      <c r="H3388" s="1305" t="s">
        <v>4448</v>
      </c>
      <c r="I3388" s="1305" t="s">
        <v>4449</v>
      </c>
      <c r="J3388" s="886" t="s">
        <v>4450</v>
      </c>
      <c r="K3388" s="886" t="s">
        <v>4451</v>
      </c>
      <c r="L3388" s="95"/>
      <c r="V3388" s="768" t="b">
        <f t="shared" ref="V3388:V3395" si="402">EXACT(A3388,E3388)</f>
        <v>1</v>
      </c>
      <c r="X3388" s="90"/>
    </row>
    <row r="3389" outlineLevel="2" spans="2:24">
      <c r="B3389" s="685" t="s">
        <v>4402</v>
      </c>
      <c r="C3389" s="693" t="str">
        <f t="shared" si="401"/>
        <v>深圳新阳蓝光能源管理科技股份有限公司</v>
      </c>
      <c r="D3389" s="687" t="s">
        <v>4443</v>
      </c>
      <c r="E3389" s="851"/>
      <c r="F3389" s="851"/>
      <c r="G3389" s="1305" t="s">
        <v>4452</v>
      </c>
      <c r="H3389" s="1820"/>
      <c r="I3389" s="1820"/>
      <c r="J3389" s="851"/>
      <c r="K3389" s="851"/>
      <c r="L3389" s="95"/>
      <c r="V3389" s="768" t="b">
        <f t="shared" si="402"/>
        <v>1</v>
      </c>
      <c r="X3389" s="90"/>
    </row>
    <row r="3390" outlineLevel="2" spans="2:24">
      <c r="B3390" s="685" t="s">
        <v>4402</v>
      </c>
      <c r="C3390" s="693" t="str">
        <f t="shared" si="401"/>
        <v>深圳新阳蓝光能源管理科技股份有限公司</v>
      </c>
      <c r="D3390" s="687" t="s">
        <v>4443</v>
      </c>
      <c r="E3390" s="1645"/>
      <c r="F3390" s="1645"/>
      <c r="G3390" s="1446"/>
      <c r="H3390" s="1446"/>
      <c r="I3390" s="1446"/>
      <c r="J3390" s="1446"/>
      <c r="K3390" s="1446"/>
      <c r="L3390" s="95"/>
      <c r="V3390" s="768" t="b">
        <f t="shared" si="402"/>
        <v>1</v>
      </c>
      <c r="X3390" s="90"/>
    </row>
    <row r="3391" outlineLevel="2" spans="2:24">
      <c r="B3391" s="685" t="s">
        <v>4402</v>
      </c>
      <c r="C3391" s="693" t="str">
        <f t="shared" si="401"/>
        <v>深圳新阳蓝光能源管理科技股份有限公司</v>
      </c>
      <c r="D3391" s="687" t="s">
        <v>4443</v>
      </c>
      <c r="E3391" s="1645"/>
      <c r="F3391" s="1296"/>
      <c r="G3391" s="1296"/>
      <c r="H3391" s="1296"/>
      <c r="I3391" s="1296"/>
      <c r="J3391" s="1446"/>
      <c r="K3391" s="1446"/>
      <c r="L3391" s="95"/>
      <c r="V3391" s="768" t="b">
        <f t="shared" si="402"/>
        <v>1</v>
      </c>
      <c r="X3391" s="90"/>
    </row>
    <row r="3392" outlineLevel="2" spans="2:24">
      <c r="B3392" s="685" t="s">
        <v>4402</v>
      </c>
      <c r="C3392" s="693" t="str">
        <f t="shared" si="401"/>
        <v>深圳新阳蓝光能源管理科技股份有限公司</v>
      </c>
      <c r="D3392" s="687" t="s">
        <v>4443</v>
      </c>
      <c r="E3392" s="1645"/>
      <c r="F3392" s="1296"/>
      <c r="G3392" s="1296"/>
      <c r="H3392" s="1296"/>
      <c r="I3392" s="1296"/>
      <c r="J3392" s="1446"/>
      <c r="K3392" s="1446"/>
      <c r="L3392" s="95"/>
      <c r="V3392" s="768" t="b">
        <f t="shared" si="402"/>
        <v>1</v>
      </c>
      <c r="X3392" s="90"/>
    </row>
    <row r="3393" outlineLevel="2" spans="2:24">
      <c r="B3393" s="685" t="s">
        <v>4402</v>
      </c>
      <c r="C3393" s="693" t="str">
        <f t="shared" si="401"/>
        <v>深圳新阳蓝光能源管理科技股份有限公司</v>
      </c>
      <c r="D3393" s="687" t="s">
        <v>4443</v>
      </c>
      <c r="E3393" s="1645"/>
      <c r="F3393" s="1296"/>
      <c r="G3393" s="1296"/>
      <c r="H3393" s="1296"/>
      <c r="I3393" s="1296"/>
      <c r="J3393" s="1446"/>
      <c r="K3393" s="1446"/>
      <c r="L3393" s="95"/>
      <c r="V3393" s="768" t="b">
        <f t="shared" si="402"/>
        <v>1</v>
      </c>
      <c r="X3393" s="90"/>
    </row>
    <row r="3394" outlineLevel="2" spans="2:24">
      <c r="B3394" s="685" t="s">
        <v>4402</v>
      </c>
      <c r="C3394" s="693" t="str">
        <f t="shared" si="401"/>
        <v>深圳新阳蓝光能源管理科技股份有限公司</v>
      </c>
      <c r="D3394" s="687" t="s">
        <v>4443</v>
      </c>
      <c r="E3394" s="1645"/>
      <c r="F3394" s="1296"/>
      <c r="G3394" s="1296"/>
      <c r="H3394" s="1296"/>
      <c r="I3394" s="1296"/>
      <c r="J3394" s="1446"/>
      <c r="K3394" s="1446"/>
      <c r="L3394" s="95"/>
      <c r="V3394" s="768" t="b">
        <f t="shared" si="402"/>
        <v>1</v>
      </c>
      <c r="X3394" s="90"/>
    </row>
    <row r="3395" outlineLevel="2" spans="2:24">
      <c r="B3395" s="685" t="s">
        <v>4402</v>
      </c>
      <c r="C3395" s="693" t="str">
        <f t="shared" si="401"/>
        <v>深圳新阳蓝光能源管理科技股份有限公司</v>
      </c>
      <c r="D3395" s="687" t="s">
        <v>4443</v>
      </c>
      <c r="E3395" s="1645"/>
      <c r="F3395" s="1296"/>
      <c r="G3395" s="1296"/>
      <c r="H3395" s="1296"/>
      <c r="I3395" s="1296"/>
      <c r="J3395" s="1446"/>
      <c r="K3395" s="1446"/>
      <c r="L3395" s="95"/>
      <c r="V3395" s="768" t="b">
        <f t="shared" si="402"/>
        <v>1</v>
      </c>
      <c r="X3395" s="90"/>
    </row>
    <row r="3396" outlineLevel="2" spans="2:24">
      <c r="B3396" s="685" t="s">
        <v>4402</v>
      </c>
      <c r="C3396" s="693" t="str">
        <f t="shared" si="401"/>
        <v>深圳新阳蓝光能源管理科技股份有限公司</v>
      </c>
      <c r="D3396" s="687" t="s">
        <v>4443</v>
      </c>
      <c r="E3396" s="1037"/>
      <c r="F3396" s="1822"/>
      <c r="G3396" s="1822"/>
      <c r="H3396" s="1822"/>
      <c r="I3396" s="1822"/>
      <c r="J3396" s="1714"/>
      <c r="K3396" s="1714"/>
      <c r="L3396" s="1822"/>
      <c r="M3396" s="1822"/>
      <c r="N3396" s="95"/>
      <c r="X3396" s="768" t="b">
        <f t="shared" si="398"/>
        <v>1</v>
      </c>
    </row>
    <row r="3397" outlineLevel="2" spans="1:24">
      <c r="A3397" s="90" t="s">
        <v>4453</v>
      </c>
      <c r="B3397" s="685" t="s">
        <v>4402</v>
      </c>
      <c r="C3397" s="693" t="str">
        <f t="shared" si="401"/>
        <v>深圳新阳蓝光能源管理科技股份有限公司</v>
      </c>
      <c r="D3397" s="687" t="s">
        <v>4443</v>
      </c>
      <c r="E3397" s="1823" t="s">
        <v>4454</v>
      </c>
      <c r="F3397" s="751"/>
      <c r="G3397" s="751"/>
      <c r="H3397" s="751"/>
      <c r="I3397" s="751"/>
      <c r="J3397" s="751"/>
      <c r="K3397" s="751"/>
      <c r="L3397" s="751"/>
      <c r="M3397" s="751"/>
      <c r="N3397" s="95"/>
      <c r="X3397" s="768" t="b">
        <f t="shared" si="398"/>
        <v>0</v>
      </c>
    </row>
    <row r="3398" ht="13.15" customHeight="1" outlineLevel="2" spans="1:24">
      <c r="A3398" s="90" t="s">
        <v>4445</v>
      </c>
      <c r="B3398" s="685" t="s">
        <v>4402</v>
      </c>
      <c r="C3398" s="693" t="str">
        <f t="shared" si="401"/>
        <v>深圳新阳蓝光能源管理科技股份有限公司</v>
      </c>
      <c r="D3398" s="687" t="s">
        <v>4443</v>
      </c>
      <c r="E3398" s="886" t="s">
        <v>4455</v>
      </c>
      <c r="F3398" s="886" t="s">
        <v>4456</v>
      </c>
      <c r="G3398" s="1305" t="s">
        <v>4457</v>
      </c>
      <c r="H3398" s="1305" t="s">
        <v>4458</v>
      </c>
      <c r="I3398" s="1305" t="s">
        <v>4459</v>
      </c>
      <c r="J3398" s="886" t="s">
        <v>4460</v>
      </c>
      <c r="K3398" s="886" t="s">
        <v>4461</v>
      </c>
      <c r="L3398" s="95"/>
      <c r="V3398" s="768" t="b">
        <f t="shared" ref="V3398:V3405" si="403">EXACT(A3398,E3398)</f>
        <v>0</v>
      </c>
      <c r="X3398" s="90"/>
    </row>
    <row r="3399" outlineLevel="2" spans="2:24">
      <c r="B3399" s="685" t="s">
        <v>4402</v>
      </c>
      <c r="C3399" s="693" t="str">
        <f t="shared" si="401"/>
        <v>深圳新阳蓝光能源管理科技股份有限公司</v>
      </c>
      <c r="D3399" s="687" t="s">
        <v>4443</v>
      </c>
      <c r="E3399" s="851"/>
      <c r="F3399" s="851"/>
      <c r="G3399" s="1305" t="s">
        <v>4452</v>
      </c>
      <c r="H3399" s="1820"/>
      <c r="I3399" s="1820"/>
      <c r="J3399" s="851"/>
      <c r="K3399" s="851"/>
      <c r="L3399" s="95"/>
      <c r="V3399" s="768" t="b">
        <f t="shared" si="403"/>
        <v>1</v>
      </c>
      <c r="X3399" s="90"/>
    </row>
    <row r="3400" outlineLevel="2" spans="2:24">
      <c r="B3400" s="685" t="s">
        <v>4402</v>
      </c>
      <c r="C3400" s="693" t="str">
        <f t="shared" si="401"/>
        <v>深圳新阳蓝光能源管理科技股份有限公司</v>
      </c>
      <c r="D3400" s="687" t="s">
        <v>4443</v>
      </c>
      <c r="E3400" s="1645"/>
      <c r="F3400" s="1645"/>
      <c r="G3400" s="1446"/>
      <c r="H3400" s="1446"/>
      <c r="I3400" s="1446"/>
      <c r="J3400" s="1446"/>
      <c r="K3400" s="1446"/>
      <c r="L3400" s="95"/>
      <c r="V3400" s="768" t="b">
        <f t="shared" si="403"/>
        <v>1</v>
      </c>
      <c r="X3400" s="90"/>
    </row>
    <row r="3401" outlineLevel="2" spans="2:24">
      <c r="B3401" s="685" t="s">
        <v>4402</v>
      </c>
      <c r="C3401" s="693" t="str">
        <f t="shared" si="401"/>
        <v>深圳新阳蓝光能源管理科技股份有限公司</v>
      </c>
      <c r="D3401" s="687" t="s">
        <v>4443</v>
      </c>
      <c r="E3401" s="1645"/>
      <c r="F3401" s="1296"/>
      <c r="G3401" s="1296"/>
      <c r="H3401" s="1296"/>
      <c r="I3401" s="1296"/>
      <c r="J3401" s="1446"/>
      <c r="K3401" s="1446"/>
      <c r="L3401" s="95"/>
      <c r="V3401" s="768" t="b">
        <f t="shared" si="403"/>
        <v>1</v>
      </c>
      <c r="X3401" s="90"/>
    </row>
    <row r="3402" outlineLevel="2" spans="2:24">
      <c r="B3402" s="685" t="s">
        <v>4402</v>
      </c>
      <c r="C3402" s="693" t="str">
        <f t="shared" si="401"/>
        <v>深圳新阳蓝光能源管理科技股份有限公司</v>
      </c>
      <c r="D3402" s="687" t="s">
        <v>4443</v>
      </c>
      <c r="E3402" s="1645"/>
      <c r="F3402" s="1296"/>
      <c r="G3402" s="1296"/>
      <c r="H3402" s="1296"/>
      <c r="I3402" s="1296"/>
      <c r="J3402" s="1446"/>
      <c r="K3402" s="1446"/>
      <c r="L3402" s="95"/>
      <c r="V3402" s="768" t="b">
        <f t="shared" si="403"/>
        <v>1</v>
      </c>
      <c r="X3402" s="90"/>
    </row>
    <row r="3403" outlineLevel="2" spans="2:24">
      <c r="B3403" s="685" t="s">
        <v>4402</v>
      </c>
      <c r="C3403" s="693" t="str">
        <f t="shared" si="401"/>
        <v>深圳新阳蓝光能源管理科技股份有限公司</v>
      </c>
      <c r="D3403" s="687" t="s">
        <v>4443</v>
      </c>
      <c r="E3403" s="1645"/>
      <c r="F3403" s="1296"/>
      <c r="G3403" s="1296"/>
      <c r="H3403" s="1296"/>
      <c r="I3403" s="1296"/>
      <c r="J3403" s="1446"/>
      <c r="K3403" s="1446"/>
      <c r="L3403" s="95"/>
      <c r="V3403" s="768" t="b">
        <f t="shared" si="403"/>
        <v>1</v>
      </c>
      <c r="X3403" s="90"/>
    </row>
    <row r="3404" outlineLevel="2" spans="2:24">
      <c r="B3404" s="685" t="s">
        <v>4402</v>
      </c>
      <c r="C3404" s="693" t="str">
        <f t="shared" si="401"/>
        <v>深圳新阳蓝光能源管理科技股份有限公司</v>
      </c>
      <c r="D3404" s="687" t="s">
        <v>4443</v>
      </c>
      <c r="E3404" s="1645"/>
      <c r="F3404" s="1296"/>
      <c r="G3404" s="1296"/>
      <c r="H3404" s="1296"/>
      <c r="I3404" s="1296"/>
      <c r="J3404" s="1446"/>
      <c r="K3404" s="1446"/>
      <c r="L3404" s="95"/>
      <c r="V3404" s="768" t="b">
        <f t="shared" si="403"/>
        <v>1</v>
      </c>
      <c r="X3404" s="90"/>
    </row>
    <row r="3405" outlineLevel="2" spans="2:24">
      <c r="B3405" s="685" t="s">
        <v>4402</v>
      </c>
      <c r="C3405" s="693" t="str">
        <f t="shared" si="401"/>
        <v>深圳新阳蓝光能源管理科技股份有限公司</v>
      </c>
      <c r="D3405" s="687" t="s">
        <v>4443</v>
      </c>
      <c r="E3405" s="1645"/>
      <c r="F3405" s="1296"/>
      <c r="G3405" s="1296"/>
      <c r="H3405" s="1296"/>
      <c r="I3405" s="1296"/>
      <c r="J3405" s="1446"/>
      <c r="K3405" s="1446"/>
      <c r="L3405" s="95"/>
      <c r="V3405" s="768" t="b">
        <f t="shared" si="403"/>
        <v>1</v>
      </c>
      <c r="X3405" s="90"/>
    </row>
    <row r="3406" outlineLevel="2" spans="2:24">
      <c r="B3406" s="685" t="s">
        <v>4402</v>
      </c>
      <c r="C3406" s="693" t="str">
        <f t="shared" si="401"/>
        <v>深圳新阳蓝光能源管理科技股份有限公司</v>
      </c>
      <c r="D3406" s="687" t="s">
        <v>4443</v>
      </c>
      <c r="E3406" s="1037" t="s">
        <v>4462</v>
      </c>
      <c r="F3406" s="1822"/>
      <c r="G3406" s="1822"/>
      <c r="H3406" s="1822"/>
      <c r="I3406" s="1822"/>
      <c r="J3406" s="1714"/>
      <c r="K3406" s="1714"/>
      <c r="L3406" s="1822"/>
      <c r="M3406" s="1822"/>
      <c r="N3406" s="95"/>
      <c r="X3406" s="768" t="b">
        <f t="shared" ref="X3406" si="404">EXACT(A3406,E3406)</f>
        <v>0</v>
      </c>
    </row>
    <row r="3407" outlineLevel="2" spans="2:24">
      <c r="B3407" s="685" t="s">
        <v>4402</v>
      </c>
      <c r="C3407" s="693" t="str">
        <f t="shared" si="401"/>
        <v>深圳新阳蓝光能源管理科技股份有限公司</v>
      </c>
      <c r="D3407" s="687" t="s">
        <v>4443</v>
      </c>
      <c r="E3407" s="1824"/>
      <c r="F3407" s="751"/>
      <c r="G3407" s="751"/>
      <c r="H3407" s="751"/>
      <c r="I3407" s="751"/>
      <c r="J3407" s="751"/>
      <c r="K3407" s="751"/>
      <c r="L3407" s="751"/>
      <c r="M3407" s="751"/>
      <c r="N3407" s="95"/>
      <c r="X3407" s="768" t="b">
        <f t="shared" si="398"/>
        <v>1</v>
      </c>
    </row>
    <row r="3408" outlineLevel="2" spans="1:24">
      <c r="A3408" s="90" t="s">
        <v>4443</v>
      </c>
      <c r="B3408" s="685" t="s">
        <v>4402</v>
      </c>
      <c r="C3408" s="693" t="str">
        <f t="shared" si="401"/>
        <v>深圳新阳蓝光能源管理科技股份有限公司</v>
      </c>
      <c r="D3408" s="687" t="s">
        <v>4443</v>
      </c>
      <c r="E3408" s="1823" t="s">
        <v>4463</v>
      </c>
      <c r="F3408" s="791"/>
      <c r="G3408" s="791"/>
      <c r="H3408" s="791"/>
      <c r="I3408" s="791"/>
      <c r="J3408" s="791"/>
      <c r="K3408" s="791"/>
      <c r="L3408" s="791"/>
      <c r="M3408" s="791"/>
      <c r="N3408" s="95"/>
      <c r="X3408" s="768" t="b">
        <f t="shared" si="398"/>
        <v>0</v>
      </c>
    </row>
    <row r="3409" ht="13.15" customHeight="1" outlineLevel="2" spans="1:24">
      <c r="A3409" s="90" t="s">
        <v>4445</v>
      </c>
      <c r="B3409" s="685" t="s">
        <v>4402</v>
      </c>
      <c r="C3409" s="693" t="str">
        <f t="shared" si="401"/>
        <v>深圳新阳蓝光能源管理科技股份有限公司</v>
      </c>
      <c r="D3409" s="687" t="s">
        <v>4443</v>
      </c>
      <c r="E3409" s="851" t="s">
        <v>4445</v>
      </c>
      <c r="F3409" s="851" t="s">
        <v>4446</v>
      </c>
      <c r="G3409" s="1305" t="s">
        <v>4464</v>
      </c>
      <c r="H3409" s="1305" t="s">
        <v>4465</v>
      </c>
      <c r="I3409" s="1305" t="s">
        <v>4466</v>
      </c>
      <c r="J3409" s="886" t="s">
        <v>4467</v>
      </c>
      <c r="K3409" s="886" t="s">
        <v>4468</v>
      </c>
      <c r="L3409" s="95"/>
      <c r="V3409" s="768" t="b">
        <f t="shared" ref="V3409:V3416" si="405">EXACT(A3409,E3409)</f>
        <v>1</v>
      </c>
      <c r="X3409" s="90"/>
    </row>
    <row r="3410" outlineLevel="2" spans="2:24">
      <c r="B3410" s="685" t="s">
        <v>4402</v>
      </c>
      <c r="C3410" s="693" t="str">
        <f t="shared" si="401"/>
        <v>深圳新阳蓝光能源管理科技股份有限公司</v>
      </c>
      <c r="D3410" s="687" t="s">
        <v>4443</v>
      </c>
      <c r="E3410" s="851"/>
      <c r="F3410" s="851"/>
      <c r="G3410" s="1305" t="s">
        <v>4452</v>
      </c>
      <c r="H3410" s="1820"/>
      <c r="I3410" s="1820"/>
      <c r="J3410" s="851"/>
      <c r="K3410" s="851"/>
      <c r="L3410" s="95"/>
      <c r="V3410" s="768" t="b">
        <f t="shared" si="405"/>
        <v>1</v>
      </c>
      <c r="X3410" s="90"/>
    </row>
    <row r="3411" outlineLevel="2" spans="2:24">
      <c r="B3411" s="685" t="s">
        <v>4402</v>
      </c>
      <c r="C3411" s="693" t="str">
        <f t="shared" si="401"/>
        <v>深圳新阳蓝光能源管理科技股份有限公司</v>
      </c>
      <c r="D3411" s="687" t="s">
        <v>4443</v>
      </c>
      <c r="E3411" s="1645"/>
      <c r="F3411" s="1645"/>
      <c r="G3411" s="1446"/>
      <c r="H3411" s="1446"/>
      <c r="I3411" s="1446"/>
      <c r="J3411" s="1446"/>
      <c r="K3411" s="1446"/>
      <c r="L3411" s="95"/>
      <c r="V3411" s="768" t="b">
        <f t="shared" si="405"/>
        <v>1</v>
      </c>
      <c r="X3411" s="90"/>
    </row>
    <row r="3412" outlineLevel="2" spans="2:24">
      <c r="B3412" s="685" t="s">
        <v>4402</v>
      </c>
      <c r="C3412" s="693" t="str">
        <f t="shared" si="401"/>
        <v>深圳新阳蓝光能源管理科技股份有限公司</v>
      </c>
      <c r="D3412" s="687" t="s">
        <v>4443</v>
      </c>
      <c r="E3412" s="1645"/>
      <c r="F3412" s="1296"/>
      <c r="G3412" s="1296"/>
      <c r="H3412" s="1296"/>
      <c r="I3412" s="1296"/>
      <c r="J3412" s="1446"/>
      <c r="K3412" s="1446"/>
      <c r="L3412" s="95"/>
      <c r="V3412" s="768" t="b">
        <f t="shared" si="405"/>
        <v>1</v>
      </c>
      <c r="X3412" s="90"/>
    </row>
    <row r="3413" outlineLevel="2" spans="2:24">
      <c r="B3413" s="685" t="s">
        <v>4402</v>
      </c>
      <c r="C3413" s="693" t="str">
        <f t="shared" si="401"/>
        <v>深圳新阳蓝光能源管理科技股份有限公司</v>
      </c>
      <c r="D3413" s="687" t="s">
        <v>4443</v>
      </c>
      <c r="E3413" s="1645"/>
      <c r="F3413" s="1296"/>
      <c r="G3413" s="1296"/>
      <c r="H3413" s="1296"/>
      <c r="I3413" s="1296"/>
      <c r="J3413" s="1446"/>
      <c r="K3413" s="1446"/>
      <c r="L3413" s="95"/>
      <c r="V3413" s="768" t="b">
        <f t="shared" si="405"/>
        <v>1</v>
      </c>
      <c r="X3413" s="90"/>
    </row>
    <row r="3414" outlineLevel="2" spans="2:24">
      <c r="B3414" s="685" t="s">
        <v>4402</v>
      </c>
      <c r="C3414" s="693" t="str">
        <f t="shared" si="401"/>
        <v>深圳新阳蓝光能源管理科技股份有限公司</v>
      </c>
      <c r="D3414" s="687" t="s">
        <v>4443</v>
      </c>
      <c r="E3414" s="1645"/>
      <c r="F3414" s="1296"/>
      <c r="G3414" s="1296"/>
      <c r="H3414" s="1296"/>
      <c r="I3414" s="1296"/>
      <c r="J3414" s="1446"/>
      <c r="K3414" s="1446"/>
      <c r="L3414" s="95"/>
      <c r="V3414" s="768" t="b">
        <f t="shared" si="405"/>
        <v>1</v>
      </c>
      <c r="X3414" s="90"/>
    </row>
    <row r="3415" outlineLevel="2" spans="2:24">
      <c r="B3415" s="685" t="s">
        <v>4402</v>
      </c>
      <c r="C3415" s="693" t="str">
        <f t="shared" si="401"/>
        <v>深圳新阳蓝光能源管理科技股份有限公司</v>
      </c>
      <c r="D3415" s="687" t="s">
        <v>4443</v>
      </c>
      <c r="E3415" s="1645"/>
      <c r="F3415" s="1296"/>
      <c r="G3415" s="1296"/>
      <c r="H3415" s="1296"/>
      <c r="I3415" s="1296"/>
      <c r="J3415" s="1446"/>
      <c r="K3415" s="1446"/>
      <c r="L3415" s="95"/>
      <c r="V3415" s="768" t="b">
        <f t="shared" si="405"/>
        <v>1</v>
      </c>
      <c r="X3415" s="90"/>
    </row>
    <row r="3416" outlineLevel="2" spans="2:24">
      <c r="B3416" s="685" t="s">
        <v>4402</v>
      </c>
      <c r="C3416" s="693" t="str">
        <f t="shared" si="401"/>
        <v>深圳新阳蓝光能源管理科技股份有限公司</v>
      </c>
      <c r="D3416" s="687" t="s">
        <v>4443</v>
      </c>
      <c r="E3416" s="1645"/>
      <c r="F3416" s="1296"/>
      <c r="G3416" s="1296"/>
      <c r="H3416" s="1296"/>
      <c r="I3416" s="1296"/>
      <c r="J3416" s="1446"/>
      <c r="K3416" s="1446"/>
      <c r="L3416" s="95"/>
      <c r="V3416" s="768" t="b">
        <f t="shared" si="405"/>
        <v>1</v>
      </c>
      <c r="X3416" s="90"/>
    </row>
    <row r="3417" outlineLevel="2" spans="1:24">
      <c r="A3417" s="90" t="s">
        <v>4443</v>
      </c>
      <c r="B3417" s="685" t="s">
        <v>4402</v>
      </c>
      <c r="C3417" s="693" t="str">
        <f t="shared" si="401"/>
        <v>深圳新阳蓝光能源管理科技股份有限公司</v>
      </c>
      <c r="D3417" s="687" t="s">
        <v>4443</v>
      </c>
      <c r="E3417" s="1823" t="s">
        <v>4469</v>
      </c>
      <c r="F3417" s="791"/>
      <c r="G3417" s="791"/>
      <c r="H3417" s="791"/>
      <c r="I3417" s="791"/>
      <c r="J3417" s="791"/>
      <c r="K3417" s="791"/>
      <c r="L3417" s="791"/>
      <c r="M3417" s="791"/>
      <c r="N3417" s="95"/>
      <c r="X3417" s="768" t="b">
        <f t="shared" ref="X3417" si="406">EXACT(A3417,E3417)</f>
        <v>0</v>
      </c>
    </row>
    <row r="3418" ht="13.15" customHeight="1" outlineLevel="2" spans="1:24">
      <c r="A3418" s="90" t="s">
        <v>4445</v>
      </c>
      <c r="B3418" s="685" t="s">
        <v>4402</v>
      </c>
      <c r="C3418" s="693" t="str">
        <f t="shared" si="401"/>
        <v>深圳新阳蓝光能源管理科技股份有限公司</v>
      </c>
      <c r="D3418" s="687" t="s">
        <v>4443</v>
      </c>
      <c r="E3418" s="886" t="s">
        <v>4455</v>
      </c>
      <c r="F3418" s="886" t="s">
        <v>4456</v>
      </c>
      <c r="G3418" s="1305" t="s">
        <v>4470</v>
      </c>
      <c r="H3418" s="1305" t="s">
        <v>4471</v>
      </c>
      <c r="I3418" s="1305" t="s">
        <v>4472</v>
      </c>
      <c r="J3418" s="886" t="s">
        <v>4473</v>
      </c>
      <c r="K3418" s="886" t="s">
        <v>4474</v>
      </c>
      <c r="L3418" s="95"/>
      <c r="V3418" s="768" t="b">
        <f t="shared" ref="V3418:V3425" si="407">EXACT(A3418,E3418)</f>
        <v>0</v>
      </c>
      <c r="X3418" s="90"/>
    </row>
    <row r="3419" outlineLevel="2" spans="2:24">
      <c r="B3419" s="685" t="s">
        <v>4402</v>
      </c>
      <c r="C3419" s="693" t="str">
        <f t="shared" si="401"/>
        <v>深圳新阳蓝光能源管理科技股份有限公司</v>
      </c>
      <c r="D3419" s="687" t="s">
        <v>4443</v>
      </c>
      <c r="E3419" s="851"/>
      <c r="F3419" s="851"/>
      <c r="G3419" s="1305" t="s">
        <v>4452</v>
      </c>
      <c r="H3419" s="1820"/>
      <c r="I3419" s="1820"/>
      <c r="J3419" s="851"/>
      <c r="K3419" s="851"/>
      <c r="L3419" s="95"/>
      <c r="V3419" s="768" t="b">
        <f t="shared" si="407"/>
        <v>1</v>
      </c>
      <c r="X3419" s="90"/>
    </row>
    <row r="3420" outlineLevel="2" spans="2:24">
      <c r="B3420" s="685" t="s">
        <v>4402</v>
      </c>
      <c r="C3420" s="693" t="str">
        <f t="shared" si="401"/>
        <v>深圳新阳蓝光能源管理科技股份有限公司</v>
      </c>
      <c r="D3420" s="687" t="s">
        <v>4443</v>
      </c>
      <c r="E3420" s="1645"/>
      <c r="F3420" s="1645"/>
      <c r="G3420" s="1446"/>
      <c r="H3420" s="1446"/>
      <c r="I3420" s="1446"/>
      <c r="J3420" s="1446"/>
      <c r="K3420" s="1446"/>
      <c r="L3420" s="95"/>
      <c r="V3420" s="768" t="b">
        <f t="shared" si="407"/>
        <v>1</v>
      </c>
      <c r="X3420" s="90"/>
    </row>
    <row r="3421" outlineLevel="2" spans="2:24">
      <c r="B3421" s="685" t="s">
        <v>4402</v>
      </c>
      <c r="C3421" s="693" t="str">
        <f t="shared" si="401"/>
        <v>深圳新阳蓝光能源管理科技股份有限公司</v>
      </c>
      <c r="D3421" s="687" t="s">
        <v>4443</v>
      </c>
      <c r="E3421" s="1645"/>
      <c r="F3421" s="1296"/>
      <c r="G3421" s="1296"/>
      <c r="H3421" s="1296"/>
      <c r="I3421" s="1296"/>
      <c r="J3421" s="1446"/>
      <c r="K3421" s="1446"/>
      <c r="L3421" s="95"/>
      <c r="V3421" s="768" t="b">
        <f t="shared" si="407"/>
        <v>1</v>
      </c>
      <c r="X3421" s="90"/>
    </row>
    <row r="3422" outlineLevel="2" spans="2:24">
      <c r="B3422" s="685" t="s">
        <v>4402</v>
      </c>
      <c r="C3422" s="693" t="str">
        <f t="shared" si="401"/>
        <v>深圳新阳蓝光能源管理科技股份有限公司</v>
      </c>
      <c r="D3422" s="687" t="s">
        <v>4443</v>
      </c>
      <c r="E3422" s="1645"/>
      <c r="F3422" s="1296"/>
      <c r="G3422" s="1296"/>
      <c r="H3422" s="1296"/>
      <c r="I3422" s="1296"/>
      <c r="J3422" s="1446"/>
      <c r="K3422" s="1446"/>
      <c r="L3422" s="95"/>
      <c r="V3422" s="768" t="b">
        <f t="shared" si="407"/>
        <v>1</v>
      </c>
      <c r="X3422" s="90"/>
    </row>
    <row r="3423" outlineLevel="2" spans="2:24">
      <c r="B3423" s="685" t="s">
        <v>4402</v>
      </c>
      <c r="C3423" s="693" t="str">
        <f t="shared" si="401"/>
        <v>深圳新阳蓝光能源管理科技股份有限公司</v>
      </c>
      <c r="D3423" s="687" t="s">
        <v>4443</v>
      </c>
      <c r="E3423" s="1645"/>
      <c r="F3423" s="1296"/>
      <c r="G3423" s="1296"/>
      <c r="H3423" s="1296"/>
      <c r="I3423" s="1296"/>
      <c r="J3423" s="1446"/>
      <c r="K3423" s="1446"/>
      <c r="L3423" s="95"/>
      <c r="V3423" s="768" t="b">
        <f t="shared" si="407"/>
        <v>1</v>
      </c>
      <c r="X3423" s="90"/>
    </row>
    <row r="3424" outlineLevel="2" spans="2:24">
      <c r="B3424" s="685" t="s">
        <v>4402</v>
      </c>
      <c r="C3424" s="693" t="str">
        <f t="shared" si="401"/>
        <v>深圳新阳蓝光能源管理科技股份有限公司</v>
      </c>
      <c r="D3424" s="687" t="s">
        <v>4443</v>
      </c>
      <c r="E3424" s="1645"/>
      <c r="F3424" s="1296"/>
      <c r="G3424" s="1296"/>
      <c r="H3424" s="1296"/>
      <c r="I3424" s="1296"/>
      <c r="J3424" s="1446"/>
      <c r="K3424" s="1446"/>
      <c r="L3424" s="95"/>
      <c r="V3424" s="768" t="b">
        <f t="shared" si="407"/>
        <v>1</v>
      </c>
      <c r="X3424" s="90"/>
    </row>
    <row r="3425" outlineLevel="2" spans="2:24">
      <c r="B3425" s="685" t="s">
        <v>4402</v>
      </c>
      <c r="C3425" s="693" t="str">
        <f t="shared" si="401"/>
        <v>深圳新阳蓝光能源管理科技股份有限公司</v>
      </c>
      <c r="D3425" s="687" t="s">
        <v>4443</v>
      </c>
      <c r="E3425" s="1645"/>
      <c r="F3425" s="1296"/>
      <c r="G3425" s="1296"/>
      <c r="H3425" s="1296"/>
      <c r="I3425" s="1296"/>
      <c r="J3425" s="1446"/>
      <c r="K3425" s="1446"/>
      <c r="L3425" s="95"/>
      <c r="V3425" s="768" t="b">
        <f t="shared" si="407"/>
        <v>1</v>
      </c>
      <c r="X3425" s="90"/>
    </row>
    <row r="3426" outlineLevel="2" spans="2:24">
      <c r="B3426" s="685" t="s">
        <v>4402</v>
      </c>
      <c r="C3426" s="693" t="str">
        <f t="shared" si="401"/>
        <v>深圳新阳蓝光能源管理科技股份有限公司</v>
      </c>
      <c r="D3426" s="687" t="s">
        <v>4475</v>
      </c>
      <c r="E3426" s="1825" t="s">
        <v>4476</v>
      </c>
      <c r="F3426" s="751"/>
      <c r="G3426" s="751"/>
      <c r="H3426" s="751"/>
      <c r="I3426" s="751"/>
      <c r="J3426" s="751"/>
      <c r="K3426" s="751"/>
      <c r="L3426" s="751"/>
      <c r="M3426" s="751"/>
      <c r="N3426" s="95"/>
      <c r="X3426" s="768" t="b">
        <f t="shared" si="398"/>
        <v>0</v>
      </c>
    </row>
    <row r="3427" outlineLevel="2" spans="3:14">
      <c r="C3427" s="745"/>
      <c r="E3427" s="1826"/>
      <c r="F3427" s="1477"/>
      <c r="G3427" s="1477"/>
      <c r="H3427" s="1477"/>
      <c r="I3427" s="1477"/>
      <c r="J3427" s="751"/>
      <c r="K3427" s="751"/>
      <c r="L3427" s="751"/>
      <c r="M3427" s="751"/>
      <c r="N3427" s="95"/>
    </row>
    <row r="3428" outlineLevel="2" spans="3:14">
      <c r="C3428" s="745"/>
      <c r="E3428" s="1826"/>
      <c r="F3428" s="1477"/>
      <c r="G3428" s="1477"/>
      <c r="H3428" s="1477"/>
      <c r="I3428" s="1477"/>
      <c r="J3428" s="751"/>
      <c r="K3428" s="751"/>
      <c r="L3428" s="751"/>
      <c r="M3428" s="751"/>
      <c r="N3428" s="95"/>
    </row>
    <row r="3429" outlineLevel="2" spans="3:14">
      <c r="C3429" s="745"/>
      <c r="E3429" s="1826"/>
      <c r="F3429" s="1477"/>
      <c r="G3429" s="1477"/>
      <c r="H3429" s="1477"/>
      <c r="I3429" s="1477"/>
      <c r="J3429" s="751"/>
      <c r="K3429" s="751"/>
      <c r="L3429" s="751"/>
      <c r="M3429" s="751"/>
      <c r="N3429" s="95"/>
    </row>
    <row r="3430" outlineLevel="2" spans="1:24">
      <c r="A3430" s="90" t="s">
        <v>4477</v>
      </c>
      <c r="B3430" s="685" t="s">
        <v>4402</v>
      </c>
      <c r="C3430" s="693" t="str">
        <f>$G$1</f>
        <v>深圳新阳蓝光能源管理科技股份有限公司</v>
      </c>
      <c r="D3430" s="687" t="s">
        <v>4477</v>
      </c>
      <c r="E3430" s="1037" t="s">
        <v>4478</v>
      </c>
      <c r="F3430" s="751"/>
      <c r="G3430" s="751"/>
      <c r="H3430" s="751"/>
      <c r="I3430" s="751"/>
      <c r="J3430" s="751"/>
      <c r="K3430" s="751"/>
      <c r="L3430" s="751"/>
      <c r="M3430" s="751"/>
      <c r="N3430" s="95"/>
      <c r="X3430" s="768" t="b">
        <f t="shared" si="398"/>
        <v>1</v>
      </c>
    </row>
    <row r="3431" outlineLevel="2" spans="3:14">
      <c r="C3431" s="745"/>
      <c r="E3431" s="1480" t="s">
        <v>4479</v>
      </c>
      <c r="F3431" s="751"/>
      <c r="G3431" s="751"/>
      <c r="H3431" s="751"/>
      <c r="I3431" s="751"/>
      <c r="J3431" s="751"/>
      <c r="K3431" s="751"/>
      <c r="L3431" s="751"/>
      <c r="M3431" s="751"/>
      <c r="N3431" s="95"/>
    </row>
    <row r="3432" outlineLevel="2" spans="1:24">
      <c r="A3432" s="90" t="s">
        <v>4480</v>
      </c>
      <c r="B3432" s="685" t="s">
        <v>4402</v>
      </c>
      <c r="C3432" s="693" t="str">
        <f t="shared" ref="C3432:C3441" si="408">$G$1</f>
        <v>深圳新阳蓝光能源管理科技股份有限公司</v>
      </c>
      <c r="D3432" s="687" t="s">
        <v>4477</v>
      </c>
      <c r="E3432" s="886" t="s">
        <v>4481</v>
      </c>
      <c r="F3432" s="886" t="s">
        <v>4482</v>
      </c>
      <c r="G3432" s="851" t="s">
        <v>4483</v>
      </c>
      <c r="H3432" s="851" t="s">
        <v>4484</v>
      </c>
      <c r="I3432" s="851" t="s">
        <v>4485</v>
      </c>
      <c r="J3432" s="886" t="s">
        <v>4486</v>
      </c>
      <c r="K3432" s="886" t="s">
        <v>4487</v>
      </c>
      <c r="L3432" s="95"/>
      <c r="M3432" s="95"/>
      <c r="W3432" s="768" t="b">
        <f t="shared" ref="W3432:W3440" si="409">EXACT(A3432,E3432)</f>
        <v>0</v>
      </c>
      <c r="X3432" s="90"/>
    </row>
    <row r="3433" outlineLevel="2" spans="2:24">
      <c r="B3433" s="685" t="s">
        <v>4402</v>
      </c>
      <c r="C3433" s="693" t="str">
        <f t="shared" si="408"/>
        <v>深圳新阳蓝光能源管理科技股份有限公司</v>
      </c>
      <c r="D3433" s="687" t="s">
        <v>4477</v>
      </c>
      <c r="E3433" s="851"/>
      <c r="F3433" s="851"/>
      <c r="G3433" s="886" t="s">
        <v>1149</v>
      </c>
      <c r="H3433" s="851"/>
      <c r="I3433" s="851"/>
      <c r="J3433" s="851"/>
      <c r="K3433" s="851"/>
      <c r="L3433" s="95"/>
      <c r="M3433" s="95"/>
      <c r="W3433" s="768" t="b">
        <f t="shared" si="409"/>
        <v>1</v>
      </c>
      <c r="X3433" s="90"/>
    </row>
    <row r="3434" outlineLevel="2" spans="2:24">
      <c r="B3434" s="685" t="s">
        <v>4402</v>
      </c>
      <c r="C3434" s="693" t="str">
        <f t="shared" si="408"/>
        <v>深圳新阳蓝光能源管理科技股份有限公司</v>
      </c>
      <c r="D3434" s="687" t="s">
        <v>4477</v>
      </c>
      <c r="E3434" s="1645"/>
      <c r="F3434" s="1645"/>
      <c r="G3434" s="1446"/>
      <c r="H3434" s="1446"/>
      <c r="I3434" s="1446"/>
      <c r="J3434" s="1446"/>
      <c r="K3434" s="1829"/>
      <c r="L3434" s="95"/>
      <c r="M3434" s="95"/>
      <c r="W3434" s="768" t="b">
        <f t="shared" si="409"/>
        <v>1</v>
      </c>
      <c r="X3434" s="90"/>
    </row>
    <row r="3435" outlineLevel="2" spans="2:24">
      <c r="B3435" s="685" t="s">
        <v>4402</v>
      </c>
      <c r="C3435" s="693" t="str">
        <f t="shared" si="408"/>
        <v>深圳新阳蓝光能源管理科技股份有限公司</v>
      </c>
      <c r="D3435" s="687" t="s">
        <v>4477</v>
      </c>
      <c r="E3435" s="1645"/>
      <c r="F3435" s="1296"/>
      <c r="G3435" s="1296"/>
      <c r="H3435" s="1296"/>
      <c r="I3435" s="1296"/>
      <c r="J3435" s="1446"/>
      <c r="K3435" s="1296"/>
      <c r="L3435" s="95"/>
      <c r="M3435" s="95"/>
      <c r="W3435" s="768" t="b">
        <f t="shared" si="409"/>
        <v>1</v>
      </c>
      <c r="X3435" s="90"/>
    </row>
    <row r="3436" outlineLevel="2" spans="2:24">
      <c r="B3436" s="685" t="s">
        <v>4402</v>
      </c>
      <c r="C3436" s="693" t="str">
        <f t="shared" si="408"/>
        <v>深圳新阳蓝光能源管理科技股份有限公司</v>
      </c>
      <c r="D3436" s="687" t="s">
        <v>4477</v>
      </c>
      <c r="E3436" s="1645"/>
      <c r="F3436" s="1296"/>
      <c r="G3436" s="1296"/>
      <c r="H3436" s="1296"/>
      <c r="I3436" s="1296"/>
      <c r="J3436" s="1446"/>
      <c r="K3436" s="1296"/>
      <c r="L3436" s="95"/>
      <c r="M3436" s="95"/>
      <c r="W3436" s="768" t="b">
        <f t="shared" si="409"/>
        <v>1</v>
      </c>
      <c r="X3436" s="90"/>
    </row>
    <row r="3437" outlineLevel="2" spans="2:24">
      <c r="B3437" s="685" t="s">
        <v>4402</v>
      </c>
      <c r="C3437" s="693" t="str">
        <f t="shared" si="408"/>
        <v>深圳新阳蓝光能源管理科技股份有限公司</v>
      </c>
      <c r="D3437" s="687" t="s">
        <v>4477</v>
      </c>
      <c r="E3437" s="1645"/>
      <c r="F3437" s="1296"/>
      <c r="G3437" s="1296"/>
      <c r="H3437" s="1296"/>
      <c r="I3437" s="1296"/>
      <c r="J3437" s="1446"/>
      <c r="K3437" s="1296"/>
      <c r="L3437" s="95"/>
      <c r="M3437" s="95"/>
      <c r="W3437" s="768" t="b">
        <f t="shared" si="409"/>
        <v>1</v>
      </c>
      <c r="X3437" s="90"/>
    </row>
    <row r="3438" outlineLevel="2" spans="2:24">
      <c r="B3438" s="685" t="s">
        <v>4402</v>
      </c>
      <c r="C3438" s="693" t="str">
        <f t="shared" si="408"/>
        <v>深圳新阳蓝光能源管理科技股份有限公司</v>
      </c>
      <c r="D3438" s="687" t="s">
        <v>4477</v>
      </c>
      <c r="E3438" s="1645"/>
      <c r="F3438" s="1296"/>
      <c r="G3438" s="1296"/>
      <c r="H3438" s="1296"/>
      <c r="I3438" s="1296"/>
      <c r="J3438" s="1446"/>
      <c r="K3438" s="1296"/>
      <c r="L3438" s="95"/>
      <c r="M3438" s="95"/>
      <c r="W3438" s="768" t="b">
        <f t="shared" si="409"/>
        <v>1</v>
      </c>
      <c r="X3438" s="90"/>
    </row>
    <row r="3439" outlineLevel="2" spans="2:24">
      <c r="B3439" s="685" t="s">
        <v>4402</v>
      </c>
      <c r="C3439" s="693" t="str">
        <f t="shared" si="408"/>
        <v>深圳新阳蓝光能源管理科技股份有限公司</v>
      </c>
      <c r="D3439" s="687" t="s">
        <v>4477</v>
      </c>
      <c r="E3439" s="1645"/>
      <c r="F3439" s="1296"/>
      <c r="G3439" s="1296"/>
      <c r="H3439" s="1296"/>
      <c r="I3439" s="1296"/>
      <c r="J3439" s="1446"/>
      <c r="K3439" s="1296"/>
      <c r="L3439" s="95"/>
      <c r="M3439" s="95"/>
      <c r="W3439" s="768" t="b">
        <f t="shared" si="409"/>
        <v>1</v>
      </c>
      <c r="X3439" s="90"/>
    </row>
    <row r="3440" outlineLevel="2" spans="2:24">
      <c r="B3440" s="685" t="s">
        <v>4402</v>
      </c>
      <c r="C3440" s="693" t="str">
        <f t="shared" si="408"/>
        <v>深圳新阳蓝光能源管理科技股份有限公司</v>
      </c>
      <c r="D3440" s="687" t="s">
        <v>4477</v>
      </c>
      <c r="E3440" s="1645"/>
      <c r="F3440" s="1296"/>
      <c r="G3440" s="1296"/>
      <c r="H3440" s="1296"/>
      <c r="I3440" s="1296"/>
      <c r="J3440" s="1446"/>
      <c r="K3440" s="1296"/>
      <c r="L3440" s="95"/>
      <c r="M3440" s="95"/>
      <c r="W3440" s="768" t="b">
        <f t="shared" si="409"/>
        <v>1</v>
      </c>
      <c r="X3440" s="90"/>
    </row>
    <row r="3441" outlineLevel="2" spans="2:24">
      <c r="B3441" s="685" t="s">
        <v>4402</v>
      </c>
      <c r="C3441" s="693" t="str">
        <f t="shared" si="408"/>
        <v>深圳新阳蓝光能源管理科技股份有限公司</v>
      </c>
      <c r="D3441" s="687" t="s">
        <v>4477</v>
      </c>
      <c r="E3441" s="1824"/>
      <c r="F3441" s="751"/>
      <c r="G3441" s="751"/>
      <c r="H3441" s="751"/>
      <c r="I3441" s="751"/>
      <c r="J3441" s="751"/>
      <c r="K3441" s="751"/>
      <c r="L3441" s="751"/>
      <c r="M3441" s="751"/>
      <c r="N3441" s="95"/>
      <c r="X3441" s="768" t="b">
        <f t="shared" ref="X3441:X3556" si="410">EXACT(A3441,E3441)</f>
        <v>1</v>
      </c>
    </row>
    <row r="3442" outlineLevel="2" spans="3:14">
      <c r="C3442" s="745"/>
      <c r="E3442" s="1480" t="s">
        <v>4488</v>
      </c>
      <c r="F3442" s="751"/>
      <c r="G3442" s="751"/>
      <c r="H3442" s="751"/>
      <c r="I3442" s="751"/>
      <c r="J3442" s="751"/>
      <c r="K3442" s="751"/>
      <c r="L3442" s="751"/>
      <c r="M3442" s="751"/>
      <c r="N3442" s="95"/>
    </row>
    <row r="3443" outlineLevel="2" spans="1:24">
      <c r="A3443" s="90" t="s">
        <v>4480</v>
      </c>
      <c r="B3443" s="685" t="s">
        <v>4402</v>
      </c>
      <c r="C3443" s="693" t="str">
        <f t="shared" ref="C3443:C3451" si="411">$G$1</f>
        <v>深圳新阳蓝光能源管理科技股份有限公司</v>
      </c>
      <c r="D3443" s="687" t="s">
        <v>4477</v>
      </c>
      <c r="E3443" s="886" t="s">
        <v>4481</v>
      </c>
      <c r="F3443" s="886" t="s">
        <v>4482</v>
      </c>
      <c r="G3443" s="851" t="s">
        <v>4483</v>
      </c>
      <c r="H3443" s="851" t="s">
        <v>4484</v>
      </c>
      <c r="I3443" s="851" t="s">
        <v>4485</v>
      </c>
      <c r="J3443" s="886" t="s">
        <v>4489</v>
      </c>
      <c r="K3443" s="886" t="s">
        <v>4490</v>
      </c>
      <c r="L3443" s="95"/>
      <c r="M3443" s="95"/>
      <c r="W3443" s="768" t="b">
        <f t="shared" ref="W3443:W3451" si="412">EXACT(A3443,E3443)</f>
        <v>0</v>
      </c>
      <c r="X3443" s="90"/>
    </row>
    <row r="3444" outlineLevel="2" spans="2:24">
      <c r="B3444" s="685" t="s">
        <v>4402</v>
      </c>
      <c r="C3444" s="693" t="str">
        <f t="shared" si="411"/>
        <v>深圳新阳蓝光能源管理科技股份有限公司</v>
      </c>
      <c r="D3444" s="687" t="s">
        <v>4477</v>
      </c>
      <c r="E3444" s="851"/>
      <c r="F3444" s="851"/>
      <c r="G3444" s="886" t="s">
        <v>1149</v>
      </c>
      <c r="H3444" s="851"/>
      <c r="I3444" s="851"/>
      <c r="J3444" s="851"/>
      <c r="K3444" s="851"/>
      <c r="L3444" s="95"/>
      <c r="M3444" s="95"/>
      <c r="W3444" s="768" t="b">
        <f t="shared" si="412"/>
        <v>1</v>
      </c>
      <c r="X3444" s="90"/>
    </row>
    <row r="3445" outlineLevel="2" spans="2:24">
      <c r="B3445" s="685" t="s">
        <v>4402</v>
      </c>
      <c r="C3445" s="693" t="str">
        <f t="shared" si="411"/>
        <v>深圳新阳蓝光能源管理科技股份有限公司</v>
      </c>
      <c r="D3445" s="687" t="s">
        <v>4477</v>
      </c>
      <c r="E3445" s="1645"/>
      <c r="F3445" s="1645"/>
      <c r="G3445" s="1446"/>
      <c r="H3445" s="1446"/>
      <c r="I3445" s="1446"/>
      <c r="J3445" s="1446"/>
      <c r="K3445" s="1829"/>
      <c r="L3445" s="95"/>
      <c r="M3445" s="95"/>
      <c r="W3445" s="768" t="b">
        <f t="shared" si="412"/>
        <v>1</v>
      </c>
      <c r="X3445" s="90"/>
    </row>
    <row r="3446" outlineLevel="2" spans="2:24">
      <c r="B3446" s="685" t="s">
        <v>4402</v>
      </c>
      <c r="C3446" s="693" t="str">
        <f t="shared" si="411"/>
        <v>深圳新阳蓝光能源管理科技股份有限公司</v>
      </c>
      <c r="D3446" s="687" t="s">
        <v>4477</v>
      </c>
      <c r="E3446" s="1645"/>
      <c r="F3446" s="1296"/>
      <c r="G3446" s="1296"/>
      <c r="H3446" s="1296"/>
      <c r="I3446" s="1296"/>
      <c r="J3446" s="1446"/>
      <c r="K3446" s="1296"/>
      <c r="L3446" s="95"/>
      <c r="M3446" s="95"/>
      <c r="W3446" s="768" t="b">
        <f t="shared" si="412"/>
        <v>1</v>
      </c>
      <c r="X3446" s="90"/>
    </row>
    <row r="3447" outlineLevel="2" spans="2:24">
      <c r="B3447" s="685" t="s">
        <v>4402</v>
      </c>
      <c r="C3447" s="693" t="str">
        <f t="shared" si="411"/>
        <v>深圳新阳蓝光能源管理科技股份有限公司</v>
      </c>
      <c r="D3447" s="687" t="s">
        <v>4477</v>
      </c>
      <c r="E3447" s="1645"/>
      <c r="F3447" s="1296"/>
      <c r="G3447" s="1296"/>
      <c r="H3447" s="1296"/>
      <c r="I3447" s="1296"/>
      <c r="J3447" s="1446"/>
      <c r="K3447" s="1296"/>
      <c r="L3447" s="95"/>
      <c r="M3447" s="95"/>
      <c r="W3447" s="768" t="b">
        <f t="shared" si="412"/>
        <v>1</v>
      </c>
      <c r="X3447" s="90"/>
    </row>
    <row r="3448" outlineLevel="2" spans="2:24">
      <c r="B3448" s="685" t="s">
        <v>4402</v>
      </c>
      <c r="C3448" s="693" t="str">
        <f t="shared" si="411"/>
        <v>深圳新阳蓝光能源管理科技股份有限公司</v>
      </c>
      <c r="D3448" s="687" t="s">
        <v>4477</v>
      </c>
      <c r="E3448" s="1645"/>
      <c r="F3448" s="1296"/>
      <c r="G3448" s="1296"/>
      <c r="H3448" s="1296"/>
      <c r="I3448" s="1296"/>
      <c r="J3448" s="1446"/>
      <c r="K3448" s="1296"/>
      <c r="L3448" s="95"/>
      <c r="M3448" s="95"/>
      <c r="W3448" s="768" t="b">
        <f t="shared" si="412"/>
        <v>1</v>
      </c>
      <c r="X3448" s="90"/>
    </row>
    <row r="3449" outlineLevel="2" spans="2:24">
      <c r="B3449" s="685" t="s">
        <v>4402</v>
      </c>
      <c r="C3449" s="693" t="str">
        <f t="shared" si="411"/>
        <v>深圳新阳蓝光能源管理科技股份有限公司</v>
      </c>
      <c r="D3449" s="687" t="s">
        <v>4477</v>
      </c>
      <c r="E3449" s="1645"/>
      <c r="F3449" s="1296"/>
      <c r="G3449" s="1296"/>
      <c r="H3449" s="1296"/>
      <c r="I3449" s="1296"/>
      <c r="J3449" s="1446"/>
      <c r="K3449" s="1296"/>
      <c r="L3449" s="95"/>
      <c r="M3449" s="95"/>
      <c r="W3449" s="768" t="b">
        <f t="shared" si="412"/>
        <v>1</v>
      </c>
      <c r="X3449" s="90"/>
    </row>
    <row r="3450" outlineLevel="2" spans="2:24">
      <c r="B3450" s="685" t="s">
        <v>4402</v>
      </c>
      <c r="C3450" s="693" t="str">
        <f t="shared" si="411"/>
        <v>深圳新阳蓝光能源管理科技股份有限公司</v>
      </c>
      <c r="D3450" s="687" t="s">
        <v>4477</v>
      </c>
      <c r="E3450" s="1645"/>
      <c r="F3450" s="1296"/>
      <c r="G3450" s="1296"/>
      <c r="H3450" s="1296"/>
      <c r="I3450" s="1296"/>
      <c r="J3450" s="1446"/>
      <c r="K3450" s="1296"/>
      <c r="L3450" s="95"/>
      <c r="M3450" s="95"/>
      <c r="W3450" s="768" t="b">
        <f t="shared" si="412"/>
        <v>1</v>
      </c>
      <c r="X3450" s="90"/>
    </row>
    <row r="3451" outlineLevel="2" spans="2:24">
      <c r="B3451" s="685" t="s">
        <v>4402</v>
      </c>
      <c r="C3451" s="693" t="str">
        <f t="shared" si="411"/>
        <v>深圳新阳蓝光能源管理科技股份有限公司</v>
      </c>
      <c r="D3451" s="687" t="s">
        <v>4477</v>
      </c>
      <c r="E3451" s="1645"/>
      <c r="F3451" s="1296"/>
      <c r="G3451" s="1296"/>
      <c r="H3451" s="1296"/>
      <c r="I3451" s="1296"/>
      <c r="J3451" s="1446"/>
      <c r="K3451" s="1296"/>
      <c r="L3451" s="95"/>
      <c r="M3451" s="95"/>
      <c r="W3451" s="768" t="b">
        <f t="shared" si="412"/>
        <v>1</v>
      </c>
      <c r="X3451" s="90"/>
    </row>
    <row r="3452" outlineLevel="2" spans="3:24">
      <c r="C3452" s="745"/>
      <c r="E3452" s="1003" t="s">
        <v>4491</v>
      </c>
      <c r="F3452" s="751"/>
      <c r="G3452" s="751"/>
      <c r="H3452" s="751"/>
      <c r="I3452" s="751"/>
      <c r="J3452" s="751"/>
      <c r="K3452" s="751"/>
      <c r="L3452" s="95"/>
      <c r="M3452" s="95"/>
      <c r="W3452" s="769"/>
      <c r="X3452" s="90"/>
    </row>
    <row r="3453" outlineLevel="2" spans="3:24">
      <c r="C3453" s="745"/>
      <c r="E3453" s="1827"/>
      <c r="F3453" s="1828"/>
      <c r="G3453" s="1828"/>
      <c r="H3453" s="1828"/>
      <c r="I3453" s="1828"/>
      <c r="J3453" s="1830"/>
      <c r="K3453" s="1828"/>
      <c r="L3453" s="95"/>
      <c r="M3453" s="95"/>
      <c r="W3453" s="769"/>
      <c r="X3453" s="90"/>
    </row>
    <row r="3454" outlineLevel="2" spans="3:24">
      <c r="C3454" s="745"/>
      <c r="E3454" s="1827"/>
      <c r="F3454" s="1828"/>
      <c r="G3454" s="1828"/>
      <c r="H3454" s="1828"/>
      <c r="I3454" s="1828"/>
      <c r="J3454" s="1830"/>
      <c r="K3454" s="1828"/>
      <c r="L3454" s="95"/>
      <c r="M3454" s="95"/>
      <c r="W3454" s="769"/>
      <c r="X3454" s="90"/>
    </row>
    <row r="3455" outlineLevel="2" spans="1:24">
      <c r="A3455" s="90" t="s">
        <v>4492</v>
      </c>
      <c r="B3455" s="685" t="s">
        <v>4402</v>
      </c>
      <c r="C3455" s="693" t="str">
        <f t="shared" ref="C3455:C3486" si="413">$G$1</f>
        <v>深圳新阳蓝光能源管理科技股份有限公司</v>
      </c>
      <c r="D3455" s="687" t="s">
        <v>4492</v>
      </c>
      <c r="E3455" s="1037" t="s">
        <v>4493</v>
      </c>
      <c r="F3455" s="751"/>
      <c r="G3455" s="751"/>
      <c r="H3455" s="751"/>
      <c r="I3455" s="751"/>
      <c r="J3455" s="751"/>
      <c r="K3455" s="751"/>
      <c r="L3455" s="751"/>
      <c r="M3455" s="751"/>
      <c r="N3455" s="95"/>
      <c r="X3455" s="768" t="b">
        <f t="shared" si="410"/>
        <v>1</v>
      </c>
    </row>
    <row r="3456" outlineLevel="2" spans="1:24">
      <c r="A3456" s="90" t="s">
        <v>4494</v>
      </c>
      <c r="B3456" s="685" t="s">
        <v>4402</v>
      </c>
      <c r="C3456" s="693" t="str">
        <f t="shared" si="413"/>
        <v>深圳新阳蓝光能源管理科技股份有限公司</v>
      </c>
      <c r="D3456" s="687" t="s">
        <v>4492</v>
      </c>
      <c r="E3456" s="851" t="s">
        <v>4494</v>
      </c>
      <c r="F3456" s="851" t="s">
        <v>4495</v>
      </c>
      <c r="G3456" s="851" t="s">
        <v>4496</v>
      </c>
      <c r="H3456" s="851" t="s">
        <v>4497</v>
      </c>
      <c r="I3456" s="851" t="s">
        <v>4498</v>
      </c>
      <c r="J3456" s="851" t="s">
        <v>4499</v>
      </c>
      <c r="K3456" s="751"/>
      <c r="L3456" s="751"/>
      <c r="M3456" s="751"/>
      <c r="N3456" s="95"/>
      <c r="X3456" s="768" t="b">
        <f t="shared" si="410"/>
        <v>1</v>
      </c>
    </row>
    <row r="3457" outlineLevel="2" spans="2:24">
      <c r="B3457" s="685" t="s">
        <v>4402</v>
      </c>
      <c r="C3457" s="693" t="str">
        <f t="shared" si="413"/>
        <v>深圳新阳蓝光能源管理科技股份有限公司</v>
      </c>
      <c r="D3457" s="687" t="s">
        <v>4492</v>
      </c>
      <c r="E3457" s="1296"/>
      <c r="F3457" s="1296"/>
      <c r="G3457" s="1296"/>
      <c r="H3457" s="1296"/>
      <c r="I3457" s="1296"/>
      <c r="J3457" s="1296"/>
      <c r="K3457" s="751"/>
      <c r="L3457" s="751"/>
      <c r="M3457" s="751"/>
      <c r="N3457" s="95"/>
      <c r="X3457" s="768" t="b">
        <f t="shared" si="410"/>
        <v>1</v>
      </c>
    </row>
    <row r="3458" outlineLevel="2" spans="2:24">
      <c r="B3458" s="685" t="s">
        <v>4402</v>
      </c>
      <c r="C3458" s="693" t="str">
        <f t="shared" si="413"/>
        <v>深圳新阳蓝光能源管理科技股份有限公司</v>
      </c>
      <c r="D3458" s="687" t="s">
        <v>4492</v>
      </c>
      <c r="E3458" s="1296"/>
      <c r="F3458" s="1296"/>
      <c r="G3458" s="1296"/>
      <c r="H3458" s="1296"/>
      <c r="I3458" s="1296"/>
      <c r="J3458" s="1296"/>
      <c r="K3458" s="751"/>
      <c r="L3458" s="751"/>
      <c r="M3458" s="751"/>
      <c r="N3458" s="95"/>
      <c r="X3458" s="768" t="b">
        <f t="shared" si="410"/>
        <v>1</v>
      </c>
    </row>
    <row r="3459" outlineLevel="2" spans="2:24">
      <c r="B3459" s="685" t="s">
        <v>4402</v>
      </c>
      <c r="C3459" s="693" t="str">
        <f t="shared" si="413"/>
        <v>深圳新阳蓝光能源管理科技股份有限公司</v>
      </c>
      <c r="D3459" s="687" t="s">
        <v>4492</v>
      </c>
      <c r="E3459" s="1296"/>
      <c r="F3459" s="1296"/>
      <c r="G3459" s="1296"/>
      <c r="H3459" s="1296"/>
      <c r="I3459" s="1296"/>
      <c r="J3459" s="1296"/>
      <c r="K3459" s="751"/>
      <c r="L3459" s="751"/>
      <c r="M3459" s="751"/>
      <c r="N3459" s="95"/>
      <c r="X3459" s="768" t="b">
        <f t="shared" si="410"/>
        <v>1</v>
      </c>
    </row>
    <row r="3460" outlineLevel="2" spans="2:24">
      <c r="B3460" s="685" t="s">
        <v>4402</v>
      </c>
      <c r="C3460" s="693" t="str">
        <f t="shared" si="413"/>
        <v>深圳新阳蓝光能源管理科技股份有限公司</v>
      </c>
      <c r="D3460" s="687" t="s">
        <v>4492</v>
      </c>
      <c r="E3460" s="1296"/>
      <c r="F3460" s="1296"/>
      <c r="G3460" s="1296"/>
      <c r="H3460" s="1296"/>
      <c r="I3460" s="1296"/>
      <c r="J3460" s="1296"/>
      <c r="K3460" s="751"/>
      <c r="L3460" s="751"/>
      <c r="M3460" s="751"/>
      <c r="N3460" s="95"/>
      <c r="X3460" s="768" t="b">
        <f t="shared" si="410"/>
        <v>1</v>
      </c>
    </row>
    <row r="3461" outlineLevel="2" spans="2:24">
      <c r="B3461" s="685" t="s">
        <v>4402</v>
      </c>
      <c r="C3461" s="693" t="str">
        <f t="shared" si="413"/>
        <v>深圳新阳蓝光能源管理科技股份有限公司</v>
      </c>
      <c r="D3461" s="687" t="s">
        <v>4492</v>
      </c>
      <c r="E3461" s="1296"/>
      <c r="F3461" s="1296"/>
      <c r="G3461" s="1296"/>
      <c r="H3461" s="1296"/>
      <c r="I3461" s="1296"/>
      <c r="J3461" s="1296"/>
      <c r="K3461" s="751"/>
      <c r="L3461" s="751"/>
      <c r="M3461" s="751"/>
      <c r="N3461" s="95"/>
      <c r="X3461" s="768" t="b">
        <f t="shared" si="410"/>
        <v>1</v>
      </c>
    </row>
    <row r="3462" outlineLevel="2" spans="2:24">
      <c r="B3462" s="685" t="s">
        <v>4402</v>
      </c>
      <c r="C3462" s="693" t="str">
        <f t="shared" si="413"/>
        <v>深圳新阳蓝光能源管理科技股份有限公司</v>
      </c>
      <c r="D3462" s="687" t="s">
        <v>4492</v>
      </c>
      <c r="E3462" s="1296"/>
      <c r="F3462" s="1296"/>
      <c r="G3462" s="1296"/>
      <c r="H3462" s="1296"/>
      <c r="I3462" s="1296"/>
      <c r="J3462" s="1296"/>
      <c r="K3462" s="751"/>
      <c r="L3462" s="751"/>
      <c r="M3462" s="751"/>
      <c r="N3462" s="95"/>
      <c r="X3462" s="768" t="b">
        <f t="shared" si="410"/>
        <v>1</v>
      </c>
    </row>
    <row r="3463" outlineLevel="2" spans="2:24">
      <c r="B3463" s="685" t="s">
        <v>4402</v>
      </c>
      <c r="C3463" s="693" t="str">
        <f t="shared" si="413"/>
        <v>深圳新阳蓝光能源管理科技股份有限公司</v>
      </c>
      <c r="D3463" s="687" t="s">
        <v>4492</v>
      </c>
      <c r="E3463" s="1296"/>
      <c r="F3463" s="1296"/>
      <c r="G3463" s="1296"/>
      <c r="H3463" s="1296"/>
      <c r="I3463" s="1296"/>
      <c r="J3463" s="1296"/>
      <c r="K3463" s="751"/>
      <c r="L3463" s="751"/>
      <c r="M3463" s="751"/>
      <c r="N3463" s="95"/>
      <c r="X3463" s="768" t="b">
        <f t="shared" si="410"/>
        <v>1</v>
      </c>
    </row>
    <row r="3464" outlineLevel="2" spans="2:24">
      <c r="B3464" s="685" t="s">
        <v>4402</v>
      </c>
      <c r="C3464" s="693" t="str">
        <f t="shared" si="413"/>
        <v>深圳新阳蓝光能源管理科技股份有限公司</v>
      </c>
      <c r="D3464" s="687" t="s">
        <v>4492</v>
      </c>
      <c r="E3464" s="155"/>
      <c r="F3464" s="155"/>
      <c r="G3464" s="155"/>
      <c r="H3464" s="155"/>
      <c r="I3464" s="155"/>
      <c r="J3464" s="155"/>
      <c r="K3464" s="751"/>
      <c r="L3464" s="751"/>
      <c r="M3464" s="751"/>
      <c r="N3464" s="95"/>
      <c r="X3464" s="768" t="b">
        <f t="shared" si="410"/>
        <v>1</v>
      </c>
    </row>
    <row r="3465" outlineLevel="2" spans="2:24">
      <c r="B3465" s="685" t="s">
        <v>4402</v>
      </c>
      <c r="C3465" s="693" t="str">
        <f t="shared" si="413"/>
        <v>深圳新阳蓝光能源管理科技股份有限公司</v>
      </c>
      <c r="D3465" s="687" t="s">
        <v>4492</v>
      </c>
      <c r="E3465" s="1824"/>
      <c r="F3465" s="751"/>
      <c r="G3465" s="751"/>
      <c r="H3465" s="751"/>
      <c r="I3465" s="751"/>
      <c r="J3465" s="751"/>
      <c r="K3465" s="751"/>
      <c r="L3465" s="751"/>
      <c r="M3465" s="751"/>
      <c r="N3465" s="95"/>
      <c r="X3465" s="768" t="b">
        <f t="shared" si="410"/>
        <v>1</v>
      </c>
    </row>
    <row r="3466" outlineLevel="2" spans="1:24">
      <c r="A3466" s="90" t="s">
        <v>4500</v>
      </c>
      <c r="B3466" s="685" t="s">
        <v>4402</v>
      </c>
      <c r="C3466" s="693" t="str">
        <f t="shared" si="413"/>
        <v>深圳新阳蓝光能源管理科技股份有限公司</v>
      </c>
      <c r="D3466" s="687" t="s">
        <v>4500</v>
      </c>
      <c r="E3466" s="1037" t="s">
        <v>4501</v>
      </c>
      <c r="F3466" s="751"/>
      <c r="G3466" s="751"/>
      <c r="H3466" s="751"/>
      <c r="I3466" s="751"/>
      <c r="J3466" s="751"/>
      <c r="K3466" s="751"/>
      <c r="L3466" s="751"/>
      <c r="M3466" s="751"/>
      <c r="N3466" s="95"/>
      <c r="X3466" s="768" t="b">
        <f t="shared" si="410"/>
        <v>1</v>
      </c>
    </row>
    <row r="3467" outlineLevel="2" spans="1:24">
      <c r="A3467" s="90" t="s">
        <v>506</v>
      </c>
      <c r="B3467" s="685" t="s">
        <v>4402</v>
      </c>
      <c r="C3467" s="693" t="str">
        <f t="shared" si="413"/>
        <v>深圳新阳蓝光能源管理科技股份有限公司</v>
      </c>
      <c r="D3467" s="687" t="s">
        <v>4500</v>
      </c>
      <c r="E3467" s="132" t="s">
        <v>506</v>
      </c>
      <c r="F3467" s="132" t="s">
        <v>4502</v>
      </c>
      <c r="G3467" s="132" t="s">
        <v>4503</v>
      </c>
      <c r="H3467" s="132" t="s">
        <v>644</v>
      </c>
      <c r="I3467" s="132" t="s">
        <v>1722</v>
      </c>
      <c r="J3467" s="751"/>
      <c r="K3467" s="751"/>
      <c r="L3467" s="751"/>
      <c r="M3467" s="751"/>
      <c r="N3467" s="95"/>
      <c r="X3467" s="768" t="b">
        <f t="shared" si="410"/>
        <v>1</v>
      </c>
    </row>
    <row r="3468" outlineLevel="2" spans="1:24">
      <c r="A3468" s="90" t="s">
        <v>4504</v>
      </c>
      <c r="B3468" s="685" t="s">
        <v>4402</v>
      </c>
      <c r="C3468" s="693" t="str">
        <f t="shared" si="413"/>
        <v>深圳新阳蓝光能源管理科技股份有限公司</v>
      </c>
      <c r="D3468" s="687" t="s">
        <v>4500</v>
      </c>
      <c r="E3468" s="1444" t="s">
        <v>4504</v>
      </c>
      <c r="F3468" s="1444"/>
      <c r="G3468" s="1444"/>
      <c r="H3468" s="1444"/>
      <c r="I3468" s="1444"/>
      <c r="J3468" s="751"/>
      <c r="K3468" s="751"/>
      <c r="L3468" s="751"/>
      <c r="M3468" s="751"/>
      <c r="N3468" s="95"/>
      <c r="X3468" s="768" t="b">
        <f t="shared" si="410"/>
        <v>1</v>
      </c>
    </row>
    <row r="3469" outlineLevel="2" spans="2:24">
      <c r="B3469" s="685" t="s">
        <v>4402</v>
      </c>
      <c r="C3469" s="693" t="str">
        <f t="shared" si="413"/>
        <v>深圳新阳蓝光能源管理科技股份有限公司</v>
      </c>
      <c r="D3469" s="687" t="s">
        <v>4500</v>
      </c>
      <c r="E3469" s="1446"/>
      <c r="F3469" s="752"/>
      <c r="G3469" s="752"/>
      <c r="H3469" s="752"/>
      <c r="I3469" s="752"/>
      <c r="J3469" s="751"/>
      <c r="K3469" s="751"/>
      <c r="L3469" s="751"/>
      <c r="M3469" s="751"/>
      <c r="N3469" s="95"/>
      <c r="X3469" s="768" t="b">
        <f t="shared" si="410"/>
        <v>1</v>
      </c>
    </row>
    <row r="3470" outlineLevel="2" spans="2:24">
      <c r="B3470" s="685" t="s">
        <v>4402</v>
      </c>
      <c r="C3470" s="693" t="str">
        <f t="shared" si="413"/>
        <v>深圳新阳蓝光能源管理科技股份有限公司</v>
      </c>
      <c r="D3470" s="687" t="s">
        <v>4500</v>
      </c>
      <c r="E3470" s="1446"/>
      <c r="F3470" s="752"/>
      <c r="G3470" s="752"/>
      <c r="H3470" s="752"/>
      <c r="I3470" s="752"/>
      <c r="J3470" s="751"/>
      <c r="K3470" s="751"/>
      <c r="L3470" s="751"/>
      <c r="M3470" s="751"/>
      <c r="N3470" s="95"/>
      <c r="X3470" s="768" t="b">
        <f t="shared" si="410"/>
        <v>1</v>
      </c>
    </row>
    <row r="3471" outlineLevel="2" spans="1:24">
      <c r="A3471" s="90" t="s">
        <v>4505</v>
      </c>
      <c r="B3471" s="685" t="s">
        <v>4402</v>
      </c>
      <c r="C3471" s="693" t="str">
        <f t="shared" si="413"/>
        <v>深圳新阳蓝光能源管理科技股份有限公司</v>
      </c>
      <c r="D3471" s="687" t="s">
        <v>4500</v>
      </c>
      <c r="E3471" s="1444" t="s">
        <v>4505</v>
      </c>
      <c r="F3471" s="1444"/>
      <c r="G3471" s="1444"/>
      <c r="H3471" s="1444"/>
      <c r="I3471" s="1444"/>
      <c r="J3471" s="751"/>
      <c r="K3471" s="751"/>
      <c r="L3471" s="751"/>
      <c r="M3471" s="751"/>
      <c r="N3471" s="95"/>
      <c r="X3471" s="768" t="b">
        <f t="shared" si="410"/>
        <v>1</v>
      </c>
    </row>
    <row r="3472" outlineLevel="2" spans="2:24">
      <c r="B3472" s="685" t="s">
        <v>4402</v>
      </c>
      <c r="C3472" s="693" t="str">
        <f t="shared" si="413"/>
        <v>深圳新阳蓝光能源管理科技股份有限公司</v>
      </c>
      <c r="D3472" s="687" t="s">
        <v>4500</v>
      </c>
      <c r="E3472" s="1446"/>
      <c r="F3472" s="752"/>
      <c r="G3472" s="752"/>
      <c r="H3472" s="752"/>
      <c r="I3472" s="752"/>
      <c r="J3472" s="751"/>
      <c r="K3472" s="751"/>
      <c r="L3472" s="751"/>
      <c r="M3472" s="751"/>
      <c r="N3472" s="95"/>
      <c r="X3472" s="768" t="b">
        <f t="shared" si="410"/>
        <v>1</v>
      </c>
    </row>
    <row r="3473" outlineLevel="2" spans="2:24">
      <c r="B3473" s="685" t="s">
        <v>4402</v>
      </c>
      <c r="C3473" s="693" t="str">
        <f t="shared" si="413"/>
        <v>深圳新阳蓝光能源管理科技股份有限公司</v>
      </c>
      <c r="D3473" s="687" t="s">
        <v>4500</v>
      </c>
      <c r="E3473" s="1446"/>
      <c r="F3473" s="752"/>
      <c r="G3473" s="752"/>
      <c r="H3473" s="752"/>
      <c r="I3473" s="752"/>
      <c r="J3473" s="751"/>
      <c r="K3473" s="751"/>
      <c r="L3473" s="751"/>
      <c r="M3473" s="751"/>
      <c r="N3473" s="95"/>
      <c r="X3473" s="768" t="b">
        <f t="shared" si="410"/>
        <v>1</v>
      </c>
    </row>
    <row r="3474" outlineLevel="2" spans="1:24">
      <c r="A3474" s="90" t="s">
        <v>4506</v>
      </c>
      <c r="B3474" s="685" t="s">
        <v>4402</v>
      </c>
      <c r="C3474" s="693" t="str">
        <f t="shared" si="413"/>
        <v>深圳新阳蓝光能源管理科技股份有限公司</v>
      </c>
      <c r="D3474" s="687" t="s">
        <v>4506</v>
      </c>
      <c r="E3474" s="1037" t="s">
        <v>4507</v>
      </c>
      <c r="F3474" s="751"/>
      <c r="G3474" s="751"/>
      <c r="H3474" s="751"/>
      <c r="I3474" s="751"/>
      <c r="J3474" s="751"/>
      <c r="K3474" s="751"/>
      <c r="L3474" s="751"/>
      <c r="M3474" s="751"/>
      <c r="N3474" s="95"/>
      <c r="X3474" s="768" t="b">
        <f t="shared" si="410"/>
        <v>1</v>
      </c>
    </row>
    <row r="3475" outlineLevel="2" spans="1:24">
      <c r="A3475" s="90" t="s">
        <v>1376</v>
      </c>
      <c r="B3475" s="685" t="s">
        <v>4402</v>
      </c>
      <c r="C3475" s="693" t="str">
        <f t="shared" si="413"/>
        <v>深圳新阳蓝光能源管理科技股份有限公司</v>
      </c>
      <c r="D3475" s="687" t="s">
        <v>4506</v>
      </c>
      <c r="E3475" s="851" t="s">
        <v>1376</v>
      </c>
      <c r="F3475" s="851" t="s">
        <v>4440</v>
      </c>
      <c r="G3475" s="851" t="s">
        <v>4439</v>
      </c>
      <c r="H3475" s="851" t="s">
        <v>4508</v>
      </c>
      <c r="I3475" s="851" t="s">
        <v>1242</v>
      </c>
      <c r="J3475" s="851"/>
      <c r="K3475" s="851" t="s">
        <v>1243</v>
      </c>
      <c r="L3475" s="851"/>
      <c r="M3475" s="751"/>
      <c r="N3475" s="95"/>
      <c r="X3475" s="768" t="b">
        <f t="shared" si="410"/>
        <v>1</v>
      </c>
    </row>
    <row r="3476" ht="24.75" outlineLevel="2" spans="2:24">
      <c r="B3476" s="685" t="s">
        <v>4402</v>
      </c>
      <c r="C3476" s="693" t="str">
        <f t="shared" si="413"/>
        <v>深圳新阳蓝光能源管理科技股份有限公司</v>
      </c>
      <c r="D3476" s="687" t="s">
        <v>4506</v>
      </c>
      <c r="E3476" s="851"/>
      <c r="F3476" s="851"/>
      <c r="G3476" s="851"/>
      <c r="H3476" s="851"/>
      <c r="I3476" s="851" t="s">
        <v>366</v>
      </c>
      <c r="J3476" s="851" t="s">
        <v>4442</v>
      </c>
      <c r="K3476" s="851" t="s">
        <v>366</v>
      </c>
      <c r="L3476" s="851" t="s">
        <v>4442</v>
      </c>
      <c r="M3476" s="751"/>
      <c r="N3476" s="95"/>
      <c r="X3476" s="768" t="b">
        <f t="shared" si="410"/>
        <v>1</v>
      </c>
    </row>
    <row r="3477" outlineLevel="2" spans="2:24">
      <c r="B3477" s="685" t="s">
        <v>4402</v>
      </c>
      <c r="C3477" s="693" t="str">
        <f t="shared" si="413"/>
        <v>深圳新阳蓝光能源管理科技股份有限公司</v>
      </c>
      <c r="D3477" s="687" t="s">
        <v>4506</v>
      </c>
      <c r="E3477" s="1446"/>
      <c r="F3477" s="1446"/>
      <c r="G3477" s="1446"/>
      <c r="H3477" s="1446"/>
      <c r="I3477" s="1446"/>
      <c r="J3477" s="1446"/>
      <c r="K3477" s="1446"/>
      <c r="L3477" s="1446"/>
      <c r="M3477" s="751"/>
      <c r="N3477" s="95"/>
      <c r="X3477" s="768" t="b">
        <f t="shared" si="410"/>
        <v>1</v>
      </c>
    </row>
    <row r="3478" outlineLevel="2" spans="2:24">
      <c r="B3478" s="685" t="s">
        <v>4402</v>
      </c>
      <c r="C3478" s="693" t="str">
        <f t="shared" si="413"/>
        <v>深圳新阳蓝光能源管理科技股份有限公司</v>
      </c>
      <c r="D3478" s="687" t="s">
        <v>4506</v>
      </c>
      <c r="E3478" s="1446"/>
      <c r="F3478" s="1446"/>
      <c r="G3478" s="1446"/>
      <c r="H3478" s="1446"/>
      <c r="I3478" s="1446"/>
      <c r="J3478" s="1446"/>
      <c r="K3478" s="1446"/>
      <c r="L3478" s="1446"/>
      <c r="M3478" s="751"/>
      <c r="N3478" s="95"/>
      <c r="X3478" s="768" t="b">
        <f t="shared" si="410"/>
        <v>1</v>
      </c>
    </row>
    <row r="3479" outlineLevel="2" spans="2:24">
      <c r="B3479" s="685" t="s">
        <v>4402</v>
      </c>
      <c r="C3479" s="693" t="str">
        <f t="shared" si="413"/>
        <v>深圳新阳蓝光能源管理科技股份有限公司</v>
      </c>
      <c r="D3479" s="687" t="s">
        <v>4506</v>
      </c>
      <c r="E3479" s="1446"/>
      <c r="F3479" s="1446"/>
      <c r="G3479" s="1446"/>
      <c r="H3479" s="1446"/>
      <c r="I3479" s="1446"/>
      <c r="J3479" s="1446"/>
      <c r="K3479" s="1446"/>
      <c r="L3479" s="1446"/>
      <c r="M3479" s="751"/>
      <c r="N3479" s="95"/>
      <c r="X3479" s="768" t="b">
        <f t="shared" si="410"/>
        <v>1</v>
      </c>
    </row>
    <row r="3480" outlineLevel="2" spans="2:24">
      <c r="B3480" s="685" t="s">
        <v>4402</v>
      </c>
      <c r="C3480" s="693" t="str">
        <f t="shared" si="413"/>
        <v>深圳新阳蓝光能源管理科技股份有限公司</v>
      </c>
      <c r="D3480" s="687" t="s">
        <v>4506</v>
      </c>
      <c r="E3480" s="1446"/>
      <c r="F3480" s="1446"/>
      <c r="G3480" s="1446"/>
      <c r="H3480" s="1446"/>
      <c r="I3480" s="1446"/>
      <c r="J3480" s="1446"/>
      <c r="K3480" s="1446"/>
      <c r="L3480" s="1446"/>
      <c r="M3480" s="751"/>
      <c r="N3480" s="95"/>
      <c r="X3480" s="768" t="b">
        <f t="shared" si="410"/>
        <v>1</v>
      </c>
    </row>
    <row r="3481" outlineLevel="2" spans="2:24">
      <c r="B3481" s="685" t="s">
        <v>4402</v>
      </c>
      <c r="C3481" s="693" t="str">
        <f t="shared" si="413"/>
        <v>深圳新阳蓝光能源管理科技股份有限公司</v>
      </c>
      <c r="D3481" s="687" t="s">
        <v>4506</v>
      </c>
      <c r="E3481" s="1446"/>
      <c r="F3481" s="1446"/>
      <c r="G3481" s="1446"/>
      <c r="H3481" s="1446"/>
      <c r="I3481" s="1446"/>
      <c r="J3481" s="1446"/>
      <c r="K3481" s="1446"/>
      <c r="L3481" s="1446"/>
      <c r="M3481" s="751"/>
      <c r="N3481" s="95"/>
      <c r="X3481" s="768" t="b">
        <f t="shared" si="410"/>
        <v>1</v>
      </c>
    </row>
    <row r="3482" outlineLevel="2" spans="2:24">
      <c r="B3482" s="685" t="s">
        <v>4402</v>
      </c>
      <c r="C3482" s="693" t="str">
        <f t="shared" si="413"/>
        <v>深圳新阳蓝光能源管理科技股份有限公司</v>
      </c>
      <c r="D3482" s="687" t="s">
        <v>4506</v>
      </c>
      <c r="E3482" s="1446"/>
      <c r="F3482" s="1446"/>
      <c r="G3482" s="1446"/>
      <c r="H3482" s="1446"/>
      <c r="I3482" s="1446"/>
      <c r="J3482" s="1446"/>
      <c r="K3482" s="1446"/>
      <c r="L3482" s="1446"/>
      <c r="M3482" s="751"/>
      <c r="N3482" s="95"/>
      <c r="X3482" s="768" t="b">
        <f t="shared" si="410"/>
        <v>1</v>
      </c>
    </row>
    <row r="3483" outlineLevel="2" spans="2:24">
      <c r="B3483" s="685" t="s">
        <v>4402</v>
      </c>
      <c r="C3483" s="693" t="str">
        <f t="shared" si="413"/>
        <v>深圳新阳蓝光能源管理科技股份有限公司</v>
      </c>
      <c r="D3483" s="687" t="s">
        <v>4506</v>
      </c>
      <c r="E3483" s="1446"/>
      <c r="F3483" s="1446"/>
      <c r="G3483" s="1446"/>
      <c r="H3483" s="1446"/>
      <c r="I3483" s="1446"/>
      <c r="J3483" s="1446"/>
      <c r="K3483" s="1446"/>
      <c r="L3483" s="1446"/>
      <c r="M3483" s="751"/>
      <c r="N3483" s="95"/>
      <c r="X3483" s="768" t="b">
        <f t="shared" si="410"/>
        <v>1</v>
      </c>
    </row>
    <row r="3484" outlineLevel="2" spans="2:24">
      <c r="B3484" s="685" t="s">
        <v>4402</v>
      </c>
      <c r="C3484" s="693" t="str">
        <f t="shared" si="413"/>
        <v>深圳新阳蓝光能源管理科技股份有限公司</v>
      </c>
      <c r="D3484" s="687" t="s">
        <v>4506</v>
      </c>
      <c r="E3484" s="1044"/>
      <c r="F3484" s="1478"/>
      <c r="G3484" s="1478"/>
      <c r="H3484" s="1478"/>
      <c r="I3484" s="1478"/>
      <c r="J3484" s="1478"/>
      <c r="K3484" s="1478"/>
      <c r="L3484" s="1478"/>
      <c r="M3484" s="751"/>
      <c r="N3484" s="95"/>
      <c r="X3484" s="768" t="b">
        <f t="shared" si="410"/>
        <v>1</v>
      </c>
    </row>
    <row r="3485" outlineLevel="2" spans="1:24">
      <c r="A3485" s="90" t="s">
        <v>4509</v>
      </c>
      <c r="B3485" s="685" t="s">
        <v>4402</v>
      </c>
      <c r="C3485" s="693" t="str">
        <f t="shared" si="413"/>
        <v>深圳新阳蓝光能源管理科技股份有限公司</v>
      </c>
      <c r="E3485" s="1037" t="s">
        <v>4510</v>
      </c>
      <c r="F3485" s="751"/>
      <c r="G3485" s="751"/>
      <c r="H3485" s="751"/>
      <c r="I3485" s="751"/>
      <c r="J3485" s="751"/>
      <c r="K3485" s="751"/>
      <c r="L3485" s="751"/>
      <c r="M3485" s="751"/>
      <c r="N3485" s="95"/>
      <c r="X3485" s="768" t="b">
        <f t="shared" si="410"/>
        <v>1</v>
      </c>
    </row>
    <row r="3486" outlineLevel="2" spans="1:24">
      <c r="A3486" s="90" t="s">
        <v>4511</v>
      </c>
      <c r="B3486" s="685" t="s">
        <v>4402</v>
      </c>
      <c r="C3486" s="693" t="str">
        <f t="shared" si="413"/>
        <v>深圳新阳蓝光能源管理科技股份有限公司</v>
      </c>
      <c r="D3486" s="687" t="s">
        <v>4511</v>
      </c>
      <c r="E3486" s="1037" t="s">
        <v>4512</v>
      </c>
      <c r="F3486" s="751"/>
      <c r="G3486" s="751"/>
      <c r="H3486" s="751"/>
      <c r="I3486" s="751"/>
      <c r="J3486" s="751"/>
      <c r="K3486" s="751"/>
      <c r="L3486" s="751"/>
      <c r="M3486" s="751"/>
      <c r="N3486" s="95"/>
      <c r="X3486" s="768" t="b">
        <f t="shared" si="410"/>
        <v>1</v>
      </c>
    </row>
    <row r="3487" outlineLevel="2" spans="3:14">
      <c r="C3487" s="745"/>
      <c r="E3487" s="1480" t="s">
        <v>4513</v>
      </c>
      <c r="F3487" s="751"/>
      <c r="G3487" s="751"/>
      <c r="H3487" s="751"/>
      <c r="I3487" s="751"/>
      <c r="J3487" s="751"/>
      <c r="K3487" s="751"/>
      <c r="L3487" s="751"/>
      <c r="M3487" s="751"/>
      <c r="N3487" s="95"/>
    </row>
    <row r="3488" outlineLevel="2" spans="1:24">
      <c r="A3488" s="90" t="s">
        <v>2981</v>
      </c>
      <c r="B3488" s="685" t="s">
        <v>4402</v>
      </c>
      <c r="C3488" s="693" t="str">
        <f>$G$1</f>
        <v>深圳新阳蓝光能源管理科技股份有限公司</v>
      </c>
      <c r="D3488" s="687" t="s">
        <v>4511</v>
      </c>
      <c r="E3488" s="851" t="s">
        <v>2981</v>
      </c>
      <c r="F3488" s="851" t="s">
        <v>506</v>
      </c>
      <c r="G3488" s="886" t="s">
        <v>316</v>
      </c>
      <c r="H3488" s="886" t="s">
        <v>2034</v>
      </c>
      <c r="I3488" s="886" t="s">
        <v>2020</v>
      </c>
      <c r="J3488" s="886" t="s">
        <v>2032</v>
      </c>
      <c r="K3488" s="751"/>
      <c r="L3488" s="751"/>
      <c r="M3488" s="751"/>
      <c r="N3488" s="95"/>
      <c r="X3488" s="768" t="b">
        <f t="shared" si="410"/>
        <v>1</v>
      </c>
    </row>
    <row r="3489" outlineLevel="2" spans="2:24">
      <c r="B3489" s="685" t="s">
        <v>4402</v>
      </c>
      <c r="C3489" s="693" t="str">
        <f>$G$1</f>
        <v>深圳新阳蓝光能源管理科技股份有限公司</v>
      </c>
      <c r="D3489" s="687" t="s">
        <v>4511</v>
      </c>
      <c r="E3489" s="1296"/>
      <c r="F3489" s="1296"/>
      <c r="G3489" s="1296"/>
      <c r="H3489" s="1296"/>
      <c r="I3489" s="1296"/>
      <c r="J3489" s="1296"/>
      <c r="K3489" s="751"/>
      <c r="L3489" s="751"/>
      <c r="M3489" s="751"/>
      <c r="N3489" s="95"/>
      <c r="X3489" s="768" t="b">
        <f t="shared" si="410"/>
        <v>1</v>
      </c>
    </row>
    <row r="3490" outlineLevel="2" spans="3:14">
      <c r="C3490" s="745"/>
      <c r="E3490" s="1296"/>
      <c r="F3490" s="1296"/>
      <c r="G3490" s="1296"/>
      <c r="H3490" s="1296"/>
      <c r="I3490" s="1296"/>
      <c r="J3490" s="1296"/>
      <c r="K3490" s="751"/>
      <c r="L3490" s="751"/>
      <c r="M3490" s="751"/>
      <c r="N3490" s="95"/>
    </row>
    <row r="3491" outlineLevel="2" spans="3:14">
      <c r="C3491" s="745"/>
      <c r="E3491" s="1296"/>
      <c r="F3491" s="1296"/>
      <c r="G3491" s="1296"/>
      <c r="H3491" s="1296"/>
      <c r="I3491" s="1296"/>
      <c r="J3491" s="1296"/>
      <c r="K3491" s="751"/>
      <c r="L3491" s="751"/>
      <c r="M3491" s="751"/>
      <c r="N3491" s="95"/>
    </row>
    <row r="3492" outlineLevel="2" spans="3:14">
      <c r="C3492" s="745"/>
      <c r="E3492" s="1296"/>
      <c r="F3492" s="1296"/>
      <c r="G3492" s="1296"/>
      <c r="H3492" s="1296"/>
      <c r="I3492" s="1296"/>
      <c r="J3492" s="1296"/>
      <c r="K3492" s="751"/>
      <c r="L3492" s="751"/>
      <c r="M3492" s="751"/>
      <c r="N3492" s="95"/>
    </row>
    <row r="3493" outlineLevel="2" spans="3:14">
      <c r="C3493" s="745"/>
      <c r="E3493" s="1296"/>
      <c r="F3493" s="1296"/>
      <c r="G3493" s="1296"/>
      <c r="H3493" s="1296"/>
      <c r="I3493" s="1296"/>
      <c r="J3493" s="1296"/>
      <c r="K3493" s="751"/>
      <c r="L3493" s="751"/>
      <c r="M3493" s="751"/>
      <c r="N3493" s="95"/>
    </row>
    <row r="3494" outlineLevel="2" spans="3:14">
      <c r="C3494" s="745"/>
      <c r="E3494" s="1296"/>
      <c r="F3494" s="1296"/>
      <c r="G3494" s="1296"/>
      <c r="H3494" s="1296"/>
      <c r="I3494" s="1296"/>
      <c r="J3494" s="1296"/>
      <c r="K3494" s="751"/>
      <c r="L3494" s="751"/>
      <c r="M3494" s="751"/>
      <c r="N3494" s="95"/>
    </row>
    <row r="3495" outlineLevel="2" spans="3:14">
      <c r="C3495" s="745"/>
      <c r="E3495" s="1296"/>
      <c r="F3495" s="1296"/>
      <c r="G3495" s="1296"/>
      <c r="H3495" s="1296"/>
      <c r="I3495" s="1296"/>
      <c r="J3495" s="1296"/>
      <c r="K3495" s="751"/>
      <c r="L3495" s="751"/>
      <c r="M3495" s="751"/>
      <c r="N3495" s="95"/>
    </row>
    <row r="3496" outlineLevel="2" spans="3:14">
      <c r="C3496" s="745"/>
      <c r="E3496" s="1296"/>
      <c r="F3496" s="1296"/>
      <c r="G3496" s="1296"/>
      <c r="H3496" s="1296"/>
      <c r="I3496" s="1296"/>
      <c r="J3496" s="1296"/>
      <c r="K3496" s="751"/>
      <c r="L3496" s="751"/>
      <c r="M3496" s="751"/>
      <c r="N3496" s="95"/>
    </row>
    <row r="3497" outlineLevel="2" spans="3:14">
      <c r="C3497" s="745"/>
      <c r="E3497" s="1296"/>
      <c r="F3497" s="1296"/>
      <c r="G3497" s="1296"/>
      <c r="H3497" s="1296"/>
      <c r="I3497" s="1296"/>
      <c r="J3497" s="1296"/>
      <c r="K3497" s="751"/>
      <c r="L3497" s="751"/>
      <c r="M3497" s="751"/>
      <c r="N3497" s="95"/>
    </row>
    <row r="3498" outlineLevel="2" spans="3:14">
      <c r="C3498" s="745"/>
      <c r="E3498" s="1296"/>
      <c r="F3498" s="1296"/>
      <c r="G3498" s="1296"/>
      <c r="H3498" s="1296"/>
      <c r="I3498" s="1296"/>
      <c r="J3498" s="1296"/>
      <c r="K3498" s="751"/>
      <c r="L3498" s="751"/>
      <c r="M3498" s="751"/>
      <c r="N3498" s="95"/>
    </row>
    <row r="3499" outlineLevel="2" spans="3:14">
      <c r="C3499" s="745"/>
      <c r="E3499" s="1296"/>
      <c r="F3499" s="1296"/>
      <c r="G3499" s="1296"/>
      <c r="H3499" s="1296"/>
      <c r="I3499" s="1296"/>
      <c r="J3499" s="1296"/>
      <c r="K3499" s="751"/>
      <c r="L3499" s="751"/>
      <c r="M3499" s="751"/>
      <c r="N3499" s="95"/>
    </row>
    <row r="3500" outlineLevel="2" spans="3:14">
      <c r="C3500" s="745"/>
      <c r="E3500" s="1296"/>
      <c r="F3500" s="1296"/>
      <c r="G3500" s="1296"/>
      <c r="H3500" s="1296"/>
      <c r="I3500" s="1296"/>
      <c r="J3500" s="1296"/>
      <c r="K3500" s="751"/>
      <c r="L3500" s="751"/>
      <c r="M3500" s="751"/>
      <c r="N3500" s="95"/>
    </row>
    <row r="3501" outlineLevel="2" spans="3:14">
      <c r="C3501" s="745"/>
      <c r="E3501" s="1296"/>
      <c r="F3501" s="1296"/>
      <c r="G3501" s="1296"/>
      <c r="H3501" s="1296"/>
      <c r="I3501" s="1296"/>
      <c r="J3501" s="1296"/>
      <c r="K3501" s="751"/>
      <c r="L3501" s="751"/>
      <c r="M3501" s="751"/>
      <c r="N3501" s="95"/>
    </row>
    <row r="3502" outlineLevel="2" spans="2:24">
      <c r="B3502" s="685" t="s">
        <v>4402</v>
      </c>
      <c r="C3502" s="693" t="str">
        <f t="shared" ref="C3502:C3514" si="414">$G$1</f>
        <v>深圳新阳蓝光能源管理科技股份有限公司</v>
      </c>
      <c r="D3502" s="687" t="s">
        <v>4511</v>
      </c>
      <c r="E3502" s="1296"/>
      <c r="F3502" s="1296"/>
      <c r="G3502" s="1296"/>
      <c r="H3502" s="1296"/>
      <c r="I3502" s="1296"/>
      <c r="J3502" s="1296"/>
      <c r="K3502" s="751"/>
      <c r="L3502" s="751"/>
      <c r="M3502" s="751"/>
      <c r="N3502" s="95"/>
      <c r="X3502" s="768" t="b">
        <f t="shared" si="410"/>
        <v>1</v>
      </c>
    </row>
    <row r="3503" outlineLevel="2" spans="2:24">
      <c r="B3503" s="685" t="s">
        <v>4402</v>
      </c>
      <c r="C3503" s="693" t="str">
        <f t="shared" si="414"/>
        <v>深圳新阳蓝光能源管理科技股份有限公司</v>
      </c>
      <c r="D3503" s="687" t="s">
        <v>4511</v>
      </c>
      <c r="E3503" s="1296"/>
      <c r="F3503" s="1296"/>
      <c r="G3503" s="1296"/>
      <c r="H3503" s="1296"/>
      <c r="I3503" s="1296"/>
      <c r="J3503" s="1296"/>
      <c r="K3503" s="751"/>
      <c r="L3503" s="751"/>
      <c r="M3503" s="751"/>
      <c r="N3503" s="95"/>
      <c r="X3503" s="768" t="b">
        <f t="shared" si="410"/>
        <v>1</v>
      </c>
    </row>
    <row r="3504" outlineLevel="2" spans="2:24">
      <c r="B3504" s="685" t="s">
        <v>4402</v>
      </c>
      <c r="C3504" s="693" t="str">
        <f t="shared" si="414"/>
        <v>深圳新阳蓝光能源管理科技股份有限公司</v>
      </c>
      <c r="D3504" s="687" t="s">
        <v>4511</v>
      </c>
      <c r="E3504" s="1296"/>
      <c r="F3504" s="1296"/>
      <c r="G3504" s="1296"/>
      <c r="H3504" s="1296"/>
      <c r="I3504" s="1296"/>
      <c r="J3504" s="1296"/>
      <c r="K3504" s="751"/>
      <c r="L3504" s="751"/>
      <c r="M3504" s="751"/>
      <c r="N3504" s="95"/>
      <c r="X3504" s="768" t="b">
        <f t="shared" si="410"/>
        <v>1</v>
      </c>
    </row>
    <row r="3505" outlineLevel="2" spans="2:24">
      <c r="B3505" s="685" t="s">
        <v>4402</v>
      </c>
      <c r="C3505" s="693" t="str">
        <f t="shared" si="414"/>
        <v>深圳新阳蓝光能源管理科技股份有限公司</v>
      </c>
      <c r="D3505" s="687" t="s">
        <v>4511</v>
      </c>
      <c r="E3505" s="1044"/>
      <c r="F3505" s="1478"/>
      <c r="G3505" s="1478"/>
      <c r="H3505" s="1478"/>
      <c r="I3505" s="1478"/>
      <c r="J3505" s="1478"/>
      <c r="K3505" s="1810"/>
      <c r="L3505" s="1810"/>
      <c r="M3505" s="1810"/>
      <c r="N3505" s="95"/>
      <c r="X3505" s="768" t="b">
        <f t="shared" si="410"/>
        <v>1</v>
      </c>
    </row>
    <row r="3506" outlineLevel="2" spans="2:24">
      <c r="B3506" s="685" t="s">
        <v>4402</v>
      </c>
      <c r="C3506" s="693" t="str">
        <f t="shared" si="414"/>
        <v>深圳新阳蓝光能源管理科技股份有限公司</v>
      </c>
      <c r="D3506" s="687" t="s">
        <v>4511</v>
      </c>
      <c r="E3506" s="1044"/>
      <c r="F3506" s="1478"/>
      <c r="G3506" s="1478"/>
      <c r="H3506" s="1478"/>
      <c r="I3506" s="1478"/>
      <c r="J3506" s="1478"/>
      <c r="K3506" s="1810"/>
      <c r="L3506" s="1810"/>
      <c r="M3506" s="1810"/>
      <c r="N3506" s="95"/>
      <c r="X3506" s="768" t="b">
        <f t="shared" si="410"/>
        <v>1</v>
      </c>
    </row>
    <row r="3507" outlineLevel="2" spans="2:24">
      <c r="B3507" s="685" t="s">
        <v>4402</v>
      </c>
      <c r="C3507" s="693" t="str">
        <f t="shared" si="414"/>
        <v>深圳新阳蓝光能源管理科技股份有限公司</v>
      </c>
      <c r="D3507" s="687" t="s">
        <v>4511</v>
      </c>
      <c r="E3507" s="1044"/>
      <c r="F3507" s="1478"/>
      <c r="G3507" s="1478"/>
      <c r="H3507" s="1478"/>
      <c r="I3507" s="1478"/>
      <c r="J3507" s="1478"/>
      <c r="K3507" s="1810"/>
      <c r="L3507" s="1810"/>
      <c r="M3507" s="1810"/>
      <c r="N3507" s="95"/>
      <c r="X3507" s="768" t="b">
        <f t="shared" si="410"/>
        <v>1</v>
      </c>
    </row>
    <row r="3508" outlineLevel="2" spans="2:24">
      <c r="B3508" s="685" t="s">
        <v>4402</v>
      </c>
      <c r="C3508" s="693" t="str">
        <f t="shared" si="414"/>
        <v>深圳新阳蓝光能源管理科技股份有限公司</v>
      </c>
      <c r="D3508" s="687" t="s">
        <v>4511</v>
      </c>
      <c r="E3508" s="1044"/>
      <c r="F3508" s="1478"/>
      <c r="G3508" s="1478"/>
      <c r="H3508" s="1478"/>
      <c r="I3508" s="1478"/>
      <c r="J3508" s="1478"/>
      <c r="K3508" s="1810"/>
      <c r="L3508" s="1810"/>
      <c r="M3508" s="1810"/>
      <c r="N3508" s="95"/>
      <c r="X3508" s="768" t="b">
        <f t="shared" si="410"/>
        <v>1</v>
      </c>
    </row>
    <row r="3509" outlineLevel="2" spans="2:24">
      <c r="B3509" s="685" t="s">
        <v>4402</v>
      </c>
      <c r="C3509" s="693" t="str">
        <f t="shared" si="414"/>
        <v>深圳新阳蓝光能源管理科技股份有限公司</v>
      </c>
      <c r="D3509" s="687" t="s">
        <v>4511</v>
      </c>
      <c r="E3509" s="1044"/>
      <c r="F3509" s="1478"/>
      <c r="G3509" s="1478"/>
      <c r="H3509" s="1478"/>
      <c r="I3509" s="1478"/>
      <c r="J3509" s="1478"/>
      <c r="K3509" s="1810"/>
      <c r="L3509" s="1810"/>
      <c r="M3509" s="1810"/>
      <c r="N3509" s="95"/>
      <c r="X3509" s="768" t="b">
        <f t="shared" si="410"/>
        <v>1</v>
      </c>
    </row>
    <row r="3510" outlineLevel="2" spans="2:24">
      <c r="B3510" s="685" t="s">
        <v>4402</v>
      </c>
      <c r="C3510" s="693" t="str">
        <f t="shared" si="414"/>
        <v>深圳新阳蓝光能源管理科技股份有限公司</v>
      </c>
      <c r="D3510" s="687" t="s">
        <v>4511</v>
      </c>
      <c r="E3510" s="1044"/>
      <c r="F3510" s="1478"/>
      <c r="G3510" s="1478"/>
      <c r="H3510" s="1478"/>
      <c r="I3510" s="1478"/>
      <c r="J3510" s="1478"/>
      <c r="K3510" s="1810"/>
      <c r="L3510" s="1810"/>
      <c r="M3510" s="1810"/>
      <c r="N3510" s="95"/>
      <c r="X3510" s="768" t="b">
        <f t="shared" si="410"/>
        <v>1</v>
      </c>
    </row>
    <row r="3511" outlineLevel="2" spans="2:24">
      <c r="B3511" s="685" t="s">
        <v>4402</v>
      </c>
      <c r="C3511" s="693" t="str">
        <f t="shared" si="414"/>
        <v>深圳新阳蓝光能源管理科技股份有限公司</v>
      </c>
      <c r="D3511" s="687" t="s">
        <v>4511</v>
      </c>
      <c r="E3511" s="1044"/>
      <c r="F3511" s="1478"/>
      <c r="G3511" s="1478"/>
      <c r="H3511" s="1478"/>
      <c r="I3511" s="1478"/>
      <c r="J3511" s="1478"/>
      <c r="K3511" s="1810"/>
      <c r="L3511" s="1810"/>
      <c r="M3511" s="1810"/>
      <c r="N3511" s="95"/>
      <c r="X3511" s="768" t="b">
        <f t="shared" si="410"/>
        <v>1</v>
      </c>
    </row>
    <row r="3512" outlineLevel="2" spans="2:24">
      <c r="B3512" s="685" t="s">
        <v>4402</v>
      </c>
      <c r="C3512" s="693" t="str">
        <f t="shared" si="414"/>
        <v>深圳新阳蓝光能源管理科技股份有限公司</v>
      </c>
      <c r="D3512" s="687" t="s">
        <v>4511</v>
      </c>
      <c r="E3512" s="1831" t="s">
        <v>4514</v>
      </c>
      <c r="F3512" s="1810"/>
      <c r="G3512" s="1810"/>
      <c r="H3512" s="1810"/>
      <c r="I3512" s="1810"/>
      <c r="J3512" s="1810"/>
      <c r="K3512" s="1810"/>
      <c r="L3512" s="1810"/>
      <c r="M3512" s="1810"/>
      <c r="N3512" s="95"/>
      <c r="X3512" s="768" t="b">
        <f t="shared" si="410"/>
        <v>0</v>
      </c>
    </row>
    <row r="3513" outlineLevel="2" spans="1:24">
      <c r="A3513" s="90" t="s">
        <v>2981</v>
      </c>
      <c r="B3513" s="685" t="s">
        <v>4402</v>
      </c>
      <c r="C3513" s="693" t="str">
        <f t="shared" si="414"/>
        <v>深圳新阳蓝光能源管理科技股份有限公司</v>
      </c>
      <c r="D3513" s="687" t="s">
        <v>4511</v>
      </c>
      <c r="E3513" s="851" t="s">
        <v>2981</v>
      </c>
      <c r="F3513" s="851" t="s">
        <v>506</v>
      </c>
      <c r="G3513" s="851" t="s">
        <v>2453</v>
      </c>
      <c r="H3513" s="851" t="s">
        <v>2454</v>
      </c>
      <c r="I3513" s="751"/>
      <c r="J3513" s="751"/>
      <c r="K3513" s="751"/>
      <c r="L3513" s="751"/>
      <c r="M3513" s="751"/>
      <c r="N3513" s="95"/>
      <c r="X3513" s="768" t="b">
        <f t="shared" si="410"/>
        <v>1</v>
      </c>
    </row>
    <row r="3514" outlineLevel="2" spans="2:24">
      <c r="B3514" s="685" t="s">
        <v>4402</v>
      </c>
      <c r="C3514" s="693" t="str">
        <f t="shared" si="414"/>
        <v>深圳新阳蓝光能源管理科技股份有限公司</v>
      </c>
      <c r="D3514" s="687" t="s">
        <v>4511</v>
      </c>
      <c r="E3514" s="1296"/>
      <c r="F3514" s="1296"/>
      <c r="G3514" s="1296"/>
      <c r="H3514" s="1296"/>
      <c r="I3514" s="751"/>
      <c r="J3514" s="751"/>
      <c r="K3514" s="751"/>
      <c r="L3514" s="751"/>
      <c r="M3514" s="751"/>
      <c r="N3514" s="95"/>
      <c r="X3514" s="768" t="b">
        <f t="shared" si="410"/>
        <v>1</v>
      </c>
    </row>
    <row r="3515" outlineLevel="2" spans="3:14">
      <c r="C3515" s="745"/>
      <c r="E3515" s="1296"/>
      <c r="F3515" s="1296"/>
      <c r="G3515" s="1296"/>
      <c r="H3515" s="1296"/>
      <c r="I3515" s="751"/>
      <c r="J3515" s="751"/>
      <c r="K3515" s="751"/>
      <c r="L3515" s="751"/>
      <c r="M3515" s="751"/>
      <c r="N3515" s="95"/>
    </row>
    <row r="3516" outlineLevel="2" spans="3:14">
      <c r="C3516" s="745"/>
      <c r="E3516" s="1296"/>
      <c r="F3516" s="1296"/>
      <c r="G3516" s="1296"/>
      <c r="H3516" s="1296"/>
      <c r="I3516" s="751"/>
      <c r="J3516" s="751"/>
      <c r="K3516" s="751"/>
      <c r="L3516" s="751"/>
      <c r="M3516" s="751"/>
      <c r="N3516" s="95"/>
    </row>
    <row r="3517" outlineLevel="2" spans="3:14">
      <c r="C3517" s="745"/>
      <c r="E3517" s="1296"/>
      <c r="F3517" s="1296"/>
      <c r="G3517" s="1296"/>
      <c r="H3517" s="1296"/>
      <c r="I3517" s="751"/>
      <c r="J3517" s="751"/>
      <c r="K3517" s="751"/>
      <c r="L3517" s="751"/>
      <c r="M3517" s="751"/>
      <c r="N3517" s="95"/>
    </row>
    <row r="3518" outlineLevel="2" spans="3:14">
      <c r="C3518" s="745"/>
      <c r="E3518" s="1296"/>
      <c r="F3518" s="1296"/>
      <c r="G3518" s="1296"/>
      <c r="H3518" s="1296"/>
      <c r="I3518" s="751"/>
      <c r="J3518" s="751"/>
      <c r="K3518" s="751"/>
      <c r="L3518" s="751"/>
      <c r="M3518" s="751"/>
      <c r="N3518" s="95"/>
    </row>
    <row r="3519" outlineLevel="2" spans="3:14">
      <c r="C3519" s="745"/>
      <c r="E3519" s="1296"/>
      <c r="F3519" s="1296"/>
      <c r="G3519" s="1296"/>
      <c r="H3519" s="1296"/>
      <c r="I3519" s="751"/>
      <c r="J3519" s="751"/>
      <c r="K3519" s="751"/>
      <c r="L3519" s="751"/>
      <c r="M3519" s="751"/>
      <c r="N3519" s="95"/>
    </row>
    <row r="3520" outlineLevel="2" spans="3:14">
      <c r="C3520" s="745"/>
      <c r="E3520" s="1296"/>
      <c r="F3520" s="1296"/>
      <c r="G3520" s="1296"/>
      <c r="H3520" s="1296"/>
      <c r="I3520" s="751"/>
      <c r="J3520" s="751"/>
      <c r="K3520" s="751"/>
      <c r="L3520" s="751"/>
      <c r="M3520" s="751"/>
      <c r="N3520" s="95"/>
    </row>
    <row r="3521" outlineLevel="2" spans="3:14">
      <c r="C3521" s="745"/>
      <c r="E3521" s="1296"/>
      <c r="F3521" s="1296"/>
      <c r="G3521" s="1296"/>
      <c r="H3521" s="1296"/>
      <c r="I3521" s="751"/>
      <c r="J3521" s="751"/>
      <c r="K3521" s="751"/>
      <c r="L3521" s="751"/>
      <c r="M3521" s="751"/>
      <c r="N3521" s="95"/>
    </row>
    <row r="3522" outlineLevel="2" spans="3:14">
      <c r="C3522" s="745"/>
      <c r="E3522" s="1296"/>
      <c r="F3522" s="1296"/>
      <c r="G3522" s="1296"/>
      <c r="H3522" s="1296"/>
      <c r="I3522" s="751"/>
      <c r="J3522" s="751"/>
      <c r="K3522" s="751"/>
      <c r="L3522" s="751"/>
      <c r="M3522" s="751"/>
      <c r="N3522" s="95"/>
    </row>
    <row r="3523" outlineLevel="2" spans="3:14">
      <c r="C3523" s="745"/>
      <c r="E3523" s="1296"/>
      <c r="F3523" s="1296"/>
      <c r="G3523" s="1296"/>
      <c r="H3523" s="1296"/>
      <c r="I3523" s="751"/>
      <c r="J3523" s="751"/>
      <c r="K3523" s="751"/>
      <c r="L3523" s="751"/>
      <c r="M3523" s="751"/>
      <c r="N3523" s="95"/>
    </row>
    <row r="3524" outlineLevel="2" spans="3:14">
      <c r="C3524" s="745"/>
      <c r="E3524" s="1296"/>
      <c r="F3524" s="1296"/>
      <c r="G3524" s="1296"/>
      <c r="H3524" s="1296"/>
      <c r="I3524" s="751"/>
      <c r="J3524" s="751"/>
      <c r="K3524" s="751"/>
      <c r="L3524" s="751"/>
      <c r="M3524" s="751"/>
      <c r="N3524" s="95"/>
    </row>
    <row r="3525" outlineLevel="2" spans="3:14">
      <c r="C3525" s="745"/>
      <c r="E3525" s="1296"/>
      <c r="F3525" s="1296"/>
      <c r="G3525" s="1296"/>
      <c r="H3525" s="1296"/>
      <c r="I3525" s="751"/>
      <c r="J3525" s="751"/>
      <c r="K3525" s="751"/>
      <c r="L3525" s="751"/>
      <c r="M3525" s="751"/>
      <c r="N3525" s="95"/>
    </row>
    <row r="3526" outlineLevel="2" spans="3:14">
      <c r="C3526" s="745"/>
      <c r="E3526" s="1296"/>
      <c r="F3526" s="1296"/>
      <c r="G3526" s="1296"/>
      <c r="H3526" s="1296"/>
      <c r="I3526" s="751"/>
      <c r="J3526" s="751"/>
      <c r="K3526" s="751"/>
      <c r="L3526" s="751"/>
      <c r="M3526" s="751"/>
      <c r="N3526" s="95"/>
    </row>
    <row r="3527" outlineLevel="2" spans="3:14">
      <c r="C3527" s="745"/>
      <c r="E3527" s="1296"/>
      <c r="F3527" s="1296"/>
      <c r="G3527" s="1296"/>
      <c r="H3527" s="1296"/>
      <c r="I3527" s="751"/>
      <c r="J3527" s="751"/>
      <c r="K3527" s="751"/>
      <c r="L3527" s="751"/>
      <c r="M3527" s="751"/>
      <c r="N3527" s="95"/>
    </row>
    <row r="3528" outlineLevel="2" spans="3:14">
      <c r="C3528" s="745"/>
      <c r="E3528" s="1296"/>
      <c r="F3528" s="1296"/>
      <c r="G3528" s="1296"/>
      <c r="H3528" s="1296"/>
      <c r="I3528" s="751"/>
      <c r="J3528" s="751"/>
      <c r="K3528" s="751"/>
      <c r="L3528" s="751"/>
      <c r="M3528" s="751"/>
      <c r="N3528" s="95"/>
    </row>
    <row r="3529" outlineLevel="2" spans="3:14">
      <c r="C3529" s="745"/>
      <c r="E3529" s="1296"/>
      <c r="F3529" s="1296"/>
      <c r="G3529" s="1296"/>
      <c r="H3529" s="1296"/>
      <c r="I3529" s="751"/>
      <c r="J3529" s="751"/>
      <c r="K3529" s="751"/>
      <c r="L3529" s="751"/>
      <c r="M3529" s="751"/>
      <c r="N3529" s="95"/>
    </row>
    <row r="3530" outlineLevel="2" spans="3:14">
      <c r="C3530" s="745"/>
      <c r="E3530" s="1296"/>
      <c r="F3530" s="1296"/>
      <c r="G3530" s="1296"/>
      <c r="H3530" s="1296"/>
      <c r="I3530" s="751"/>
      <c r="J3530" s="751"/>
      <c r="K3530" s="751"/>
      <c r="L3530" s="751"/>
      <c r="M3530" s="751"/>
      <c r="N3530" s="95"/>
    </row>
    <row r="3531" outlineLevel="2" spans="3:14">
      <c r="C3531" s="745"/>
      <c r="E3531" s="1296"/>
      <c r="F3531" s="1296"/>
      <c r="G3531" s="1296"/>
      <c r="H3531" s="1296"/>
      <c r="I3531" s="751"/>
      <c r="J3531" s="751"/>
      <c r="K3531" s="751"/>
      <c r="L3531" s="751"/>
      <c r="M3531" s="751"/>
      <c r="N3531" s="95"/>
    </row>
    <row r="3532" outlineLevel="2" spans="3:14">
      <c r="C3532" s="745"/>
      <c r="E3532" s="1296"/>
      <c r="F3532" s="1296"/>
      <c r="G3532" s="1296"/>
      <c r="H3532" s="1296"/>
      <c r="I3532" s="751"/>
      <c r="J3532" s="751"/>
      <c r="K3532" s="751"/>
      <c r="L3532" s="751"/>
      <c r="M3532" s="751"/>
      <c r="N3532" s="95"/>
    </row>
    <row r="3533" outlineLevel="2" spans="2:24">
      <c r="B3533" s="685" t="s">
        <v>4402</v>
      </c>
      <c r="C3533" s="693" t="str">
        <f t="shared" ref="C3533:C3596" si="415">$G$1</f>
        <v>深圳新阳蓝光能源管理科技股份有限公司</v>
      </c>
      <c r="D3533" s="687" t="s">
        <v>4511</v>
      </c>
      <c r="E3533" s="1296"/>
      <c r="F3533" s="1296"/>
      <c r="G3533" s="1296"/>
      <c r="H3533" s="1296"/>
      <c r="I3533" s="751"/>
      <c r="J3533" s="751"/>
      <c r="K3533" s="751"/>
      <c r="L3533" s="751"/>
      <c r="M3533" s="751"/>
      <c r="N3533" s="95"/>
      <c r="X3533" s="768" t="b">
        <f t="shared" si="410"/>
        <v>1</v>
      </c>
    </row>
    <row r="3534" outlineLevel="2" spans="2:24">
      <c r="B3534" s="685" t="s">
        <v>4402</v>
      </c>
      <c r="C3534" s="693" t="str">
        <f t="shared" si="415"/>
        <v>深圳新阳蓝光能源管理科技股份有限公司</v>
      </c>
      <c r="D3534" s="687" t="s">
        <v>4511</v>
      </c>
      <c r="E3534" s="1296"/>
      <c r="F3534" s="1296"/>
      <c r="G3534" s="1296"/>
      <c r="H3534" s="1296"/>
      <c r="I3534" s="751"/>
      <c r="J3534" s="751"/>
      <c r="K3534" s="751"/>
      <c r="L3534" s="751"/>
      <c r="M3534" s="751"/>
      <c r="N3534" s="95"/>
      <c r="X3534" s="768" t="b">
        <f t="shared" si="410"/>
        <v>1</v>
      </c>
    </row>
    <row r="3535" outlineLevel="2" spans="2:24">
      <c r="B3535" s="685" t="s">
        <v>4402</v>
      </c>
      <c r="C3535" s="693" t="str">
        <f t="shared" si="415"/>
        <v>深圳新阳蓝光能源管理科技股份有限公司</v>
      </c>
      <c r="D3535" s="687" t="s">
        <v>4511</v>
      </c>
      <c r="E3535" s="1296"/>
      <c r="F3535" s="1296"/>
      <c r="G3535" s="1296"/>
      <c r="H3535" s="1296"/>
      <c r="I3535" s="751"/>
      <c r="J3535" s="751"/>
      <c r="K3535" s="751"/>
      <c r="L3535" s="751"/>
      <c r="M3535" s="751"/>
      <c r="N3535" s="95"/>
      <c r="X3535" s="768" t="b">
        <f t="shared" si="410"/>
        <v>1</v>
      </c>
    </row>
    <row r="3536" outlineLevel="2" spans="2:24">
      <c r="B3536" s="685" t="s">
        <v>4402</v>
      </c>
      <c r="C3536" s="693" t="str">
        <f t="shared" si="415"/>
        <v>深圳新阳蓝光能源管理科技股份有限公司</v>
      </c>
      <c r="D3536" s="687" t="s">
        <v>4511</v>
      </c>
      <c r="E3536" s="1044"/>
      <c r="F3536" s="1478"/>
      <c r="G3536" s="1478"/>
      <c r="H3536" s="1478"/>
      <c r="I3536" s="1810"/>
      <c r="J3536" s="1810"/>
      <c r="K3536" s="1810"/>
      <c r="L3536" s="1810"/>
      <c r="M3536" s="1810"/>
      <c r="N3536" s="95"/>
      <c r="X3536" s="768" t="b">
        <f t="shared" si="410"/>
        <v>1</v>
      </c>
    </row>
    <row r="3537" outlineLevel="2" spans="2:24">
      <c r="B3537" s="685" t="s">
        <v>4402</v>
      </c>
      <c r="C3537" s="693" t="str">
        <f t="shared" si="415"/>
        <v>深圳新阳蓝光能源管理科技股份有限公司</v>
      </c>
      <c r="D3537" s="687" t="s">
        <v>4511</v>
      </c>
      <c r="E3537" s="1044"/>
      <c r="F3537" s="1478"/>
      <c r="G3537" s="1478"/>
      <c r="H3537" s="1478"/>
      <c r="I3537" s="1810"/>
      <c r="J3537" s="1810"/>
      <c r="K3537" s="1810"/>
      <c r="L3537" s="1810"/>
      <c r="M3537" s="1810"/>
      <c r="N3537" s="95"/>
      <c r="X3537" s="768" t="b">
        <f t="shared" si="410"/>
        <v>1</v>
      </c>
    </row>
    <row r="3538" outlineLevel="2" spans="2:24">
      <c r="B3538" s="685" t="s">
        <v>4402</v>
      </c>
      <c r="C3538" s="693" t="str">
        <f t="shared" si="415"/>
        <v>深圳新阳蓝光能源管理科技股份有限公司</v>
      </c>
      <c r="D3538" s="687" t="s">
        <v>4511</v>
      </c>
      <c r="E3538" s="1044"/>
      <c r="F3538" s="1478"/>
      <c r="G3538" s="1478"/>
      <c r="H3538" s="1478"/>
      <c r="I3538" s="1810"/>
      <c r="J3538" s="1810"/>
      <c r="K3538" s="1810"/>
      <c r="L3538" s="1810"/>
      <c r="M3538" s="1810"/>
      <c r="N3538" s="95"/>
      <c r="X3538" s="768" t="b">
        <f t="shared" si="410"/>
        <v>1</v>
      </c>
    </row>
    <row r="3539" outlineLevel="2" spans="2:24">
      <c r="B3539" s="685" t="s">
        <v>4402</v>
      </c>
      <c r="C3539" s="693" t="str">
        <f t="shared" si="415"/>
        <v>深圳新阳蓝光能源管理科技股份有限公司</v>
      </c>
      <c r="D3539" s="687" t="s">
        <v>4511</v>
      </c>
      <c r="E3539" s="1044"/>
      <c r="F3539" s="1478"/>
      <c r="G3539" s="1478"/>
      <c r="H3539" s="1478"/>
      <c r="I3539" s="1810"/>
      <c r="J3539" s="1810"/>
      <c r="K3539" s="1810"/>
      <c r="L3539" s="1810"/>
      <c r="M3539" s="1810"/>
      <c r="N3539" s="95"/>
      <c r="X3539" s="768" t="b">
        <f t="shared" si="410"/>
        <v>1</v>
      </c>
    </row>
    <row r="3540" outlineLevel="2" spans="2:24">
      <c r="B3540" s="685" t="s">
        <v>4402</v>
      </c>
      <c r="C3540" s="693" t="str">
        <f t="shared" si="415"/>
        <v>深圳新阳蓝光能源管理科技股份有限公司</v>
      </c>
      <c r="D3540" s="687" t="s">
        <v>4511</v>
      </c>
      <c r="E3540" s="1044"/>
      <c r="F3540" s="1478"/>
      <c r="G3540" s="1478"/>
      <c r="H3540" s="1478"/>
      <c r="I3540" s="1810"/>
      <c r="J3540" s="1810"/>
      <c r="K3540" s="1810"/>
      <c r="L3540" s="1810"/>
      <c r="M3540" s="1810"/>
      <c r="N3540" s="95"/>
      <c r="X3540" s="768" t="b">
        <f t="shared" si="410"/>
        <v>1</v>
      </c>
    </row>
    <row r="3541" outlineLevel="2" spans="2:24">
      <c r="B3541" s="685" t="s">
        <v>4402</v>
      </c>
      <c r="C3541" s="693" t="str">
        <f t="shared" si="415"/>
        <v>深圳新阳蓝光能源管理科技股份有限公司</v>
      </c>
      <c r="D3541" s="687" t="s">
        <v>4511</v>
      </c>
      <c r="E3541" s="1044"/>
      <c r="F3541" s="1478"/>
      <c r="G3541" s="1478"/>
      <c r="H3541" s="1478"/>
      <c r="I3541" s="1810"/>
      <c r="J3541" s="1810"/>
      <c r="K3541" s="1810"/>
      <c r="L3541" s="1810"/>
      <c r="M3541" s="1810"/>
      <c r="N3541" s="95"/>
      <c r="X3541" s="768" t="b">
        <f t="shared" si="410"/>
        <v>1</v>
      </c>
    </row>
    <row r="3542" outlineLevel="2" spans="2:24">
      <c r="B3542" s="685" t="s">
        <v>4402</v>
      </c>
      <c r="C3542" s="693" t="str">
        <f t="shared" si="415"/>
        <v>深圳新阳蓝光能源管理科技股份有限公司</v>
      </c>
      <c r="D3542" s="687" t="s">
        <v>4511</v>
      </c>
      <c r="E3542" s="1044"/>
      <c r="F3542" s="1478"/>
      <c r="G3542" s="1478"/>
      <c r="H3542" s="1478"/>
      <c r="I3542" s="1810"/>
      <c r="J3542" s="1810"/>
      <c r="K3542" s="1810"/>
      <c r="L3542" s="1810"/>
      <c r="M3542" s="1810"/>
      <c r="N3542" s="95"/>
      <c r="X3542" s="768" t="b">
        <f t="shared" si="410"/>
        <v>1</v>
      </c>
    </row>
    <row r="3543" outlineLevel="2" spans="1:24">
      <c r="A3543" s="90" t="s">
        <v>4515</v>
      </c>
      <c r="B3543" s="685" t="s">
        <v>4402</v>
      </c>
      <c r="C3543" s="693" t="str">
        <f t="shared" si="415"/>
        <v>深圳新阳蓝光能源管理科技股份有限公司</v>
      </c>
      <c r="D3543" s="687" t="s">
        <v>4516</v>
      </c>
      <c r="E3543" s="1809" t="s">
        <v>4517</v>
      </c>
      <c r="F3543" s="1809" t="s">
        <v>4518</v>
      </c>
      <c r="G3543" s="1809" t="s">
        <v>4519</v>
      </c>
      <c r="H3543" s="1810"/>
      <c r="I3543" s="1810"/>
      <c r="J3543" s="1810"/>
      <c r="K3543" s="1810"/>
      <c r="L3543" s="1810"/>
      <c r="M3543" s="1810"/>
      <c r="N3543" s="95"/>
      <c r="X3543" s="768" t="b">
        <f t="shared" si="410"/>
        <v>1</v>
      </c>
    </row>
    <row r="3544" outlineLevel="2" spans="1:24">
      <c r="A3544" s="90" t="s">
        <v>4520</v>
      </c>
      <c r="B3544" s="685" t="s">
        <v>4402</v>
      </c>
      <c r="C3544" s="693" t="str">
        <f t="shared" si="415"/>
        <v>深圳新阳蓝光能源管理科技股份有限公司</v>
      </c>
      <c r="D3544" s="687" t="s">
        <v>4516</v>
      </c>
      <c r="E3544" s="1832" t="s">
        <v>4520</v>
      </c>
      <c r="F3544" s="107"/>
      <c r="G3544" s="107"/>
      <c r="H3544" s="1477"/>
      <c r="I3544" s="751"/>
      <c r="J3544" s="751"/>
      <c r="K3544" s="751"/>
      <c r="L3544" s="751"/>
      <c r="M3544" s="751"/>
      <c r="X3544" s="768" t="b">
        <f t="shared" si="410"/>
        <v>1</v>
      </c>
    </row>
    <row r="3545" outlineLevel="2" spans="1:24">
      <c r="A3545" s="90" t="s">
        <v>4520</v>
      </c>
      <c r="B3545" s="685" t="s">
        <v>4402</v>
      </c>
      <c r="C3545" s="693" t="str">
        <f t="shared" si="415"/>
        <v>深圳新阳蓝光能源管理科技股份有限公司</v>
      </c>
      <c r="D3545" s="687" t="s">
        <v>4516</v>
      </c>
      <c r="E3545" s="1832" t="s">
        <v>4520</v>
      </c>
      <c r="F3545" s="107"/>
      <c r="G3545" s="107"/>
      <c r="H3545" s="1477"/>
      <c r="I3545" s="751"/>
      <c r="J3545" s="751"/>
      <c r="K3545" s="751"/>
      <c r="L3545" s="751"/>
      <c r="M3545" s="751"/>
      <c r="X3545" s="768" t="b">
        <f t="shared" si="410"/>
        <v>1</v>
      </c>
    </row>
    <row r="3546" outlineLevel="2" spans="1:24">
      <c r="A3546" s="90" t="s">
        <v>4520</v>
      </c>
      <c r="B3546" s="685" t="s">
        <v>4402</v>
      </c>
      <c r="C3546" s="693" t="str">
        <f t="shared" si="415"/>
        <v>深圳新阳蓝光能源管理科技股份有限公司</v>
      </c>
      <c r="D3546" s="687" t="s">
        <v>4516</v>
      </c>
      <c r="E3546" s="1832" t="s">
        <v>4520</v>
      </c>
      <c r="F3546" s="107"/>
      <c r="G3546" s="107"/>
      <c r="H3546" s="1477"/>
      <c r="I3546" s="751"/>
      <c r="J3546" s="751"/>
      <c r="K3546" s="751"/>
      <c r="L3546" s="751"/>
      <c r="M3546" s="751"/>
      <c r="X3546" s="768" t="b">
        <f t="shared" si="410"/>
        <v>1</v>
      </c>
    </row>
    <row r="3547" outlineLevel="2" spans="1:24">
      <c r="A3547" s="90" t="s">
        <v>4520</v>
      </c>
      <c r="B3547" s="685" t="s">
        <v>4402</v>
      </c>
      <c r="C3547" s="693" t="str">
        <f t="shared" si="415"/>
        <v>深圳新阳蓝光能源管理科技股份有限公司</v>
      </c>
      <c r="D3547" s="687" t="s">
        <v>4516</v>
      </c>
      <c r="E3547" s="1832" t="s">
        <v>4520</v>
      </c>
      <c r="F3547" s="107"/>
      <c r="G3547" s="107"/>
      <c r="H3547" s="1477"/>
      <c r="I3547" s="751"/>
      <c r="J3547" s="751"/>
      <c r="K3547" s="751"/>
      <c r="L3547" s="751"/>
      <c r="M3547" s="751"/>
      <c r="X3547" s="768" t="b">
        <f t="shared" si="410"/>
        <v>1</v>
      </c>
    </row>
    <row r="3548" outlineLevel="2" spans="1:24">
      <c r="A3548" s="90" t="s">
        <v>4520</v>
      </c>
      <c r="B3548" s="685" t="s">
        <v>4402</v>
      </c>
      <c r="C3548" s="693" t="str">
        <f t="shared" si="415"/>
        <v>深圳新阳蓝光能源管理科技股份有限公司</v>
      </c>
      <c r="D3548" s="687" t="s">
        <v>4516</v>
      </c>
      <c r="E3548" s="1832" t="s">
        <v>4520</v>
      </c>
      <c r="F3548" s="107"/>
      <c r="G3548" s="107"/>
      <c r="H3548" s="1477"/>
      <c r="I3548" s="751"/>
      <c r="J3548" s="751"/>
      <c r="K3548" s="751"/>
      <c r="L3548" s="751"/>
      <c r="M3548" s="751"/>
      <c r="X3548" s="768" t="b">
        <f t="shared" si="410"/>
        <v>1</v>
      </c>
    </row>
    <row r="3549" outlineLevel="2" spans="1:24">
      <c r="A3549" s="90" t="s">
        <v>4520</v>
      </c>
      <c r="B3549" s="685" t="s">
        <v>4402</v>
      </c>
      <c r="C3549" s="693" t="str">
        <f t="shared" si="415"/>
        <v>深圳新阳蓝光能源管理科技股份有限公司</v>
      </c>
      <c r="D3549" s="687" t="s">
        <v>4516</v>
      </c>
      <c r="E3549" s="1832" t="s">
        <v>4520</v>
      </c>
      <c r="F3549" s="107"/>
      <c r="G3549" s="107"/>
      <c r="H3549" s="1477"/>
      <c r="I3549" s="1808"/>
      <c r="J3549" s="1808"/>
      <c r="K3549" s="751"/>
      <c r="L3549" s="751"/>
      <c r="M3549" s="751"/>
      <c r="X3549" s="768" t="b">
        <f t="shared" si="410"/>
        <v>1</v>
      </c>
    </row>
    <row r="3550" outlineLevel="2" spans="1:24">
      <c r="A3550" s="90" t="s">
        <v>4520</v>
      </c>
      <c r="B3550" s="685" t="s">
        <v>4402</v>
      </c>
      <c r="C3550" s="693" t="str">
        <f t="shared" si="415"/>
        <v>深圳新阳蓝光能源管理科技股份有限公司</v>
      </c>
      <c r="D3550" s="687" t="s">
        <v>4516</v>
      </c>
      <c r="E3550" s="1832" t="s">
        <v>4520</v>
      </c>
      <c r="F3550" s="107"/>
      <c r="G3550" s="107"/>
      <c r="H3550" s="1477"/>
      <c r="X3550" s="768" t="b">
        <f t="shared" si="410"/>
        <v>1</v>
      </c>
    </row>
    <row r="3551" outlineLevel="2" spans="1:24">
      <c r="A3551" s="90" t="s">
        <v>4520</v>
      </c>
      <c r="B3551" s="685" t="s">
        <v>4402</v>
      </c>
      <c r="C3551" s="693" t="str">
        <f t="shared" si="415"/>
        <v>深圳新阳蓝光能源管理科技股份有限公司</v>
      </c>
      <c r="D3551" s="687" t="s">
        <v>4516</v>
      </c>
      <c r="E3551" s="1832" t="s">
        <v>4520</v>
      </c>
      <c r="F3551" s="107"/>
      <c r="G3551" s="107"/>
      <c r="H3551" s="1477"/>
      <c r="X3551" s="768" t="b">
        <f t="shared" si="410"/>
        <v>1</v>
      </c>
    </row>
    <row r="3552" outlineLevel="2" spans="1:24">
      <c r="A3552" s="90" t="s">
        <v>4520</v>
      </c>
      <c r="B3552" s="685" t="s">
        <v>4402</v>
      </c>
      <c r="C3552" s="693" t="str">
        <f t="shared" si="415"/>
        <v>深圳新阳蓝光能源管理科技股份有限公司</v>
      </c>
      <c r="D3552" s="687" t="s">
        <v>4516</v>
      </c>
      <c r="E3552" s="1832" t="s">
        <v>4520</v>
      </c>
      <c r="F3552" s="107"/>
      <c r="G3552" s="107"/>
      <c r="H3552" s="1477"/>
      <c r="X3552" s="768" t="b">
        <f t="shared" si="410"/>
        <v>1</v>
      </c>
    </row>
    <row r="3553" collapsed="1" spans="1:24">
      <c r="A3553" s="90" t="s">
        <v>4521</v>
      </c>
      <c r="B3553" s="685" t="s">
        <v>4522</v>
      </c>
      <c r="C3553" s="693" t="str">
        <f t="shared" si="415"/>
        <v>深圳新阳蓝光能源管理科技股份有限公司</v>
      </c>
      <c r="D3553" s="687" t="s">
        <v>4523</v>
      </c>
      <c r="E3553" s="1808" t="s">
        <v>4521</v>
      </c>
      <c r="F3553" s="751"/>
      <c r="G3553" s="751"/>
      <c r="H3553" s="751"/>
      <c r="I3553" s="751"/>
      <c r="J3553" s="751"/>
      <c r="K3553" s="751"/>
      <c r="L3553" s="751"/>
      <c r="M3553" s="751"/>
      <c r="N3553" s="751"/>
      <c r="O3553" s="751"/>
      <c r="P3553" s="751"/>
      <c r="X3553" s="768" t="b">
        <f t="shared" si="410"/>
        <v>1</v>
      </c>
    </row>
    <row r="3554" hidden="1" outlineLevel="2" spans="1:24">
      <c r="A3554" s="90" t="s">
        <v>4523</v>
      </c>
      <c r="B3554" s="685" t="s">
        <v>4522</v>
      </c>
      <c r="C3554" s="693" t="str">
        <f t="shared" si="415"/>
        <v>深圳新阳蓝光能源管理科技股份有限公司</v>
      </c>
      <c r="D3554" s="687" t="s">
        <v>4523</v>
      </c>
      <c r="E3554" s="1037" t="s">
        <v>4524</v>
      </c>
      <c r="F3554" s="751"/>
      <c r="G3554" s="751"/>
      <c r="H3554" s="751"/>
      <c r="I3554" s="751"/>
      <c r="J3554" s="751"/>
      <c r="K3554" s="751"/>
      <c r="L3554" s="751"/>
      <c r="M3554" s="751"/>
      <c r="N3554" s="751"/>
      <c r="O3554" s="751"/>
      <c r="P3554" s="751"/>
      <c r="X3554" s="768" t="b">
        <f t="shared" si="410"/>
        <v>1</v>
      </c>
    </row>
    <row r="3555" hidden="1" outlineLevel="2" spans="1:24">
      <c r="A3555" s="90" t="s">
        <v>61</v>
      </c>
      <c r="B3555" s="685" t="s">
        <v>4522</v>
      </c>
      <c r="C3555" s="693" t="str">
        <f t="shared" si="415"/>
        <v>深圳新阳蓝光能源管理科技股份有限公司</v>
      </c>
      <c r="D3555" s="687" t="s">
        <v>4523</v>
      </c>
      <c r="E3555" s="851" t="s">
        <v>61</v>
      </c>
      <c r="F3555" s="851" t="s">
        <v>573</v>
      </c>
      <c r="G3555" s="751"/>
      <c r="H3555" s="751"/>
      <c r="I3555" s="751"/>
      <c r="J3555" s="751"/>
      <c r="K3555" s="751"/>
      <c r="L3555" s="751"/>
      <c r="M3555" s="751"/>
      <c r="N3555" s="751"/>
      <c r="O3555" s="751"/>
      <c r="P3555" s="751"/>
      <c r="X3555" s="768" t="b">
        <f t="shared" si="410"/>
        <v>1</v>
      </c>
    </row>
    <row r="3556" hidden="1" outlineLevel="2" spans="1:24">
      <c r="A3556" s="90" t="s">
        <v>4525</v>
      </c>
      <c r="B3556" s="685" t="s">
        <v>4522</v>
      </c>
      <c r="C3556" s="693" t="str">
        <f t="shared" si="415"/>
        <v>深圳新阳蓝光能源管理科技股份有限公司</v>
      </c>
      <c r="D3556" s="687" t="s">
        <v>4523</v>
      </c>
      <c r="E3556" s="1833" t="s">
        <v>4525</v>
      </c>
      <c r="F3556" s="1296"/>
      <c r="G3556" s="751"/>
      <c r="H3556" s="751"/>
      <c r="I3556" s="751"/>
      <c r="J3556" s="751"/>
      <c r="K3556" s="751"/>
      <c r="L3556" s="751"/>
      <c r="M3556" s="751"/>
      <c r="N3556" s="751"/>
      <c r="O3556" s="751"/>
      <c r="P3556" s="751"/>
      <c r="X3556" s="768" t="b">
        <f t="shared" si="410"/>
        <v>1</v>
      </c>
    </row>
    <row r="3557" hidden="1" outlineLevel="2" spans="1:24">
      <c r="A3557" s="90" t="s">
        <v>4526</v>
      </c>
      <c r="B3557" s="685" t="s">
        <v>4522</v>
      </c>
      <c r="C3557" s="693" t="str">
        <f t="shared" si="415"/>
        <v>深圳新阳蓝光能源管理科技股份有限公司</v>
      </c>
      <c r="D3557" s="687" t="s">
        <v>4523</v>
      </c>
      <c r="E3557" s="1833" t="s">
        <v>4526</v>
      </c>
      <c r="F3557" s="1296"/>
      <c r="G3557" s="751"/>
      <c r="H3557" s="751"/>
      <c r="I3557" s="751"/>
      <c r="J3557" s="751"/>
      <c r="K3557" s="751"/>
      <c r="L3557" s="751"/>
      <c r="M3557" s="751"/>
      <c r="N3557" s="751"/>
      <c r="O3557" s="751"/>
      <c r="P3557" s="751"/>
      <c r="X3557" s="768" t="b">
        <f t="shared" ref="X3557:X3620" si="416">EXACT(A3557,E3557)</f>
        <v>1</v>
      </c>
    </row>
    <row r="3558" hidden="1" outlineLevel="2" spans="1:24">
      <c r="A3558" s="90" t="s">
        <v>4527</v>
      </c>
      <c r="B3558" s="685" t="s">
        <v>4522</v>
      </c>
      <c r="C3558" s="693" t="str">
        <f t="shared" si="415"/>
        <v>深圳新阳蓝光能源管理科技股份有限公司</v>
      </c>
      <c r="D3558" s="687" t="s">
        <v>4523</v>
      </c>
      <c r="E3558" s="1833" t="s">
        <v>4527</v>
      </c>
      <c r="F3558" s="1296"/>
      <c r="G3558" s="751"/>
      <c r="H3558" s="751"/>
      <c r="I3558" s="751"/>
      <c r="J3558" s="751"/>
      <c r="K3558" s="751"/>
      <c r="L3558" s="751"/>
      <c r="M3558" s="751"/>
      <c r="N3558" s="751"/>
      <c r="O3558" s="751"/>
      <c r="P3558" s="751"/>
      <c r="X3558" s="768" t="b">
        <f t="shared" si="416"/>
        <v>1</v>
      </c>
    </row>
    <row r="3559" ht="22.5" hidden="1" outlineLevel="2" spans="1:24">
      <c r="A3559" s="90" t="s">
        <v>4528</v>
      </c>
      <c r="B3559" s="685" t="s">
        <v>4522</v>
      </c>
      <c r="C3559" s="693" t="str">
        <f t="shared" si="415"/>
        <v>深圳新阳蓝光能源管理科技股份有限公司</v>
      </c>
      <c r="D3559" s="687" t="s">
        <v>4523</v>
      </c>
      <c r="E3559" s="1833" t="s">
        <v>4528</v>
      </c>
      <c r="F3559" s="1296"/>
      <c r="G3559" s="751"/>
      <c r="H3559" s="751"/>
      <c r="I3559" s="751"/>
      <c r="J3559" s="751"/>
      <c r="K3559" s="751"/>
      <c r="L3559" s="751"/>
      <c r="M3559" s="751"/>
      <c r="N3559" s="751"/>
      <c r="O3559" s="751"/>
      <c r="P3559" s="751"/>
      <c r="X3559" s="768" t="b">
        <f t="shared" si="416"/>
        <v>1</v>
      </c>
    </row>
    <row r="3560" hidden="1" outlineLevel="2" spans="1:24">
      <c r="A3560" s="90" t="s">
        <v>4529</v>
      </c>
      <c r="B3560" s="685" t="s">
        <v>4522</v>
      </c>
      <c r="C3560" s="693" t="str">
        <f t="shared" si="415"/>
        <v>深圳新阳蓝光能源管理科技股份有限公司</v>
      </c>
      <c r="D3560" s="687" t="s">
        <v>4523</v>
      </c>
      <c r="E3560" s="1833" t="s">
        <v>4529</v>
      </c>
      <c r="F3560" s="1296"/>
      <c r="G3560" s="751"/>
      <c r="H3560" s="751"/>
      <c r="I3560" s="751"/>
      <c r="J3560" s="751"/>
      <c r="K3560" s="751"/>
      <c r="L3560" s="751"/>
      <c r="M3560" s="751"/>
      <c r="N3560" s="751"/>
      <c r="O3560" s="751"/>
      <c r="P3560" s="751"/>
      <c r="X3560" s="768" t="b">
        <f t="shared" si="416"/>
        <v>1</v>
      </c>
    </row>
    <row r="3561" hidden="1" outlineLevel="2" spans="1:24">
      <c r="A3561" s="90" t="s">
        <v>4530</v>
      </c>
      <c r="B3561" s="685" t="s">
        <v>4522</v>
      </c>
      <c r="C3561" s="693" t="str">
        <f t="shared" si="415"/>
        <v>深圳新阳蓝光能源管理科技股份有限公司</v>
      </c>
      <c r="D3561" s="687" t="s">
        <v>4523</v>
      </c>
      <c r="E3561" s="1037" t="s">
        <v>4530</v>
      </c>
      <c r="F3561" s="751"/>
      <c r="G3561" s="751"/>
      <c r="H3561" s="751"/>
      <c r="I3561" s="751"/>
      <c r="J3561" s="751"/>
      <c r="K3561" s="751"/>
      <c r="L3561" s="751"/>
      <c r="M3561" s="751"/>
      <c r="N3561" s="751"/>
      <c r="O3561" s="751"/>
      <c r="P3561" s="751"/>
      <c r="X3561" s="768" t="b">
        <f t="shared" si="416"/>
        <v>1</v>
      </c>
    </row>
    <row r="3562" hidden="1" outlineLevel="2" spans="1:24">
      <c r="A3562" s="90" t="s">
        <v>2809</v>
      </c>
      <c r="B3562" s="685" t="s">
        <v>4522</v>
      </c>
      <c r="C3562" s="693" t="str">
        <f t="shared" si="415"/>
        <v>深圳新阳蓝光能源管理科技股份有限公司</v>
      </c>
      <c r="D3562" s="687" t="s">
        <v>4523</v>
      </c>
      <c r="E3562" s="1037" t="s">
        <v>2829</v>
      </c>
      <c r="F3562" s="1477"/>
      <c r="G3562" s="751"/>
      <c r="H3562" s="751"/>
      <c r="I3562" s="751"/>
      <c r="J3562" s="751"/>
      <c r="K3562" s="751"/>
      <c r="L3562" s="751"/>
      <c r="M3562" s="751"/>
      <c r="N3562" s="751"/>
      <c r="O3562" s="751"/>
      <c r="P3562" s="751"/>
      <c r="X3562" s="768" t="b">
        <f t="shared" si="416"/>
        <v>1</v>
      </c>
    </row>
    <row r="3563" hidden="1" outlineLevel="2" spans="1:24">
      <c r="A3563" s="90" t="s">
        <v>4531</v>
      </c>
      <c r="B3563" s="685" t="s">
        <v>4522</v>
      </c>
      <c r="C3563" s="693" t="str">
        <f t="shared" si="415"/>
        <v>深圳新阳蓝光能源管理科技股份有限公司</v>
      </c>
      <c r="D3563" s="687" t="s">
        <v>4531</v>
      </c>
      <c r="E3563" s="1037" t="s">
        <v>4532</v>
      </c>
      <c r="F3563" s="751"/>
      <c r="G3563" s="751"/>
      <c r="H3563" s="751"/>
      <c r="I3563" s="751"/>
      <c r="J3563" s="751"/>
      <c r="K3563" s="751"/>
      <c r="L3563" s="751"/>
      <c r="M3563" s="751"/>
      <c r="N3563" s="751"/>
      <c r="O3563" s="751"/>
      <c r="P3563" s="751"/>
      <c r="X3563" s="768" t="b">
        <f t="shared" si="416"/>
        <v>1</v>
      </c>
    </row>
    <row r="3564" hidden="1" outlineLevel="2" spans="1:24">
      <c r="A3564" s="90" t="s">
        <v>61</v>
      </c>
      <c r="B3564" s="685" t="s">
        <v>4522</v>
      </c>
      <c r="C3564" s="693" t="str">
        <f t="shared" si="415"/>
        <v>深圳新阳蓝光能源管理科技股份有限公司</v>
      </c>
      <c r="D3564" s="687" t="s">
        <v>4531</v>
      </c>
      <c r="E3564" s="851" t="s">
        <v>61</v>
      </c>
      <c r="F3564" s="851" t="s">
        <v>573</v>
      </c>
      <c r="G3564" s="751"/>
      <c r="H3564" s="751"/>
      <c r="I3564" s="751"/>
      <c r="J3564" s="751"/>
      <c r="K3564" s="751"/>
      <c r="L3564" s="751"/>
      <c r="M3564" s="751"/>
      <c r="N3564" s="751"/>
      <c r="O3564" s="751"/>
      <c r="P3564" s="751"/>
      <c r="X3564" s="768" t="b">
        <f t="shared" si="416"/>
        <v>1</v>
      </c>
    </row>
    <row r="3565" hidden="1" outlineLevel="2" spans="1:24">
      <c r="A3565" s="90" t="s">
        <v>4533</v>
      </c>
      <c r="B3565" s="685" t="s">
        <v>4522</v>
      </c>
      <c r="C3565" s="693" t="str">
        <f t="shared" si="415"/>
        <v>深圳新阳蓝光能源管理科技股份有限公司</v>
      </c>
      <c r="D3565" s="687" t="s">
        <v>4531</v>
      </c>
      <c r="E3565" s="1833" t="s">
        <v>4533</v>
      </c>
      <c r="F3565" s="1296"/>
      <c r="G3565" s="751"/>
      <c r="H3565" s="751"/>
      <c r="I3565" s="751"/>
      <c r="J3565" s="751"/>
      <c r="K3565" s="751"/>
      <c r="L3565" s="751"/>
      <c r="M3565" s="751"/>
      <c r="N3565" s="751"/>
      <c r="O3565" s="751"/>
      <c r="P3565" s="751"/>
      <c r="X3565" s="768" t="b">
        <f t="shared" si="416"/>
        <v>1</v>
      </c>
    </row>
    <row r="3566" hidden="1" outlineLevel="2" spans="1:24">
      <c r="A3566" s="90" t="s">
        <v>4534</v>
      </c>
      <c r="B3566" s="685" t="s">
        <v>4522</v>
      </c>
      <c r="C3566" s="693" t="str">
        <f t="shared" si="415"/>
        <v>深圳新阳蓝光能源管理科技股份有限公司</v>
      </c>
      <c r="D3566" s="687" t="s">
        <v>4531</v>
      </c>
      <c r="E3566" s="1833" t="s">
        <v>4534</v>
      </c>
      <c r="F3566" s="1296"/>
      <c r="G3566" s="751"/>
      <c r="H3566" s="751"/>
      <c r="I3566" s="751"/>
      <c r="J3566" s="751"/>
      <c r="K3566" s="751"/>
      <c r="L3566" s="751"/>
      <c r="M3566" s="751"/>
      <c r="N3566" s="751"/>
      <c r="O3566" s="751"/>
      <c r="P3566" s="751"/>
      <c r="X3566" s="768" t="b">
        <f t="shared" si="416"/>
        <v>1</v>
      </c>
    </row>
    <row r="3567" hidden="1" outlineLevel="2" spans="1:24">
      <c r="A3567" s="90" t="s">
        <v>4535</v>
      </c>
      <c r="B3567" s="685" t="s">
        <v>4522</v>
      </c>
      <c r="C3567" s="693" t="str">
        <f t="shared" si="415"/>
        <v>深圳新阳蓝光能源管理科技股份有限公司</v>
      </c>
      <c r="D3567" s="687" t="s">
        <v>4531</v>
      </c>
      <c r="E3567" s="1833" t="s">
        <v>4535</v>
      </c>
      <c r="F3567" s="1296"/>
      <c r="G3567" s="751"/>
      <c r="H3567" s="751"/>
      <c r="I3567" s="751"/>
      <c r="J3567" s="751"/>
      <c r="K3567" s="751"/>
      <c r="L3567" s="751"/>
      <c r="M3567" s="751"/>
      <c r="N3567" s="751"/>
      <c r="O3567" s="751"/>
      <c r="P3567" s="751"/>
      <c r="X3567" s="768" t="b">
        <f t="shared" si="416"/>
        <v>1</v>
      </c>
    </row>
    <row r="3568" hidden="1" outlineLevel="2" spans="1:24">
      <c r="A3568" s="90" t="s">
        <v>4536</v>
      </c>
      <c r="B3568" s="685" t="s">
        <v>4522</v>
      </c>
      <c r="C3568" s="693" t="str">
        <f t="shared" si="415"/>
        <v>深圳新阳蓝光能源管理科技股份有限公司</v>
      </c>
      <c r="D3568" s="687" t="s">
        <v>4531</v>
      </c>
      <c r="E3568" s="1833" t="s">
        <v>4536</v>
      </c>
      <c r="F3568" s="1296"/>
      <c r="G3568" s="751"/>
      <c r="H3568" s="751"/>
      <c r="I3568" s="751"/>
      <c r="J3568" s="751"/>
      <c r="K3568" s="751"/>
      <c r="L3568" s="751"/>
      <c r="M3568" s="751"/>
      <c r="N3568" s="751"/>
      <c r="O3568" s="751"/>
      <c r="P3568" s="751"/>
      <c r="X3568" s="768" t="b">
        <f t="shared" si="416"/>
        <v>1</v>
      </c>
    </row>
    <row r="3569" hidden="1" outlineLevel="2" spans="1:24">
      <c r="A3569" s="90" t="s">
        <v>4537</v>
      </c>
      <c r="B3569" s="685" t="s">
        <v>4522</v>
      </c>
      <c r="C3569" s="693" t="str">
        <f t="shared" si="415"/>
        <v>深圳新阳蓝光能源管理科技股份有限公司</v>
      </c>
      <c r="D3569" s="687" t="s">
        <v>4531</v>
      </c>
      <c r="E3569" s="1833" t="s">
        <v>4537</v>
      </c>
      <c r="F3569" s="1296"/>
      <c r="G3569" s="751"/>
      <c r="H3569" s="751"/>
      <c r="I3569" s="751"/>
      <c r="J3569" s="751"/>
      <c r="K3569" s="751"/>
      <c r="L3569" s="751"/>
      <c r="M3569" s="751"/>
      <c r="N3569" s="751"/>
      <c r="O3569" s="751"/>
      <c r="P3569" s="751"/>
      <c r="X3569" s="768" t="b">
        <f t="shared" si="416"/>
        <v>1</v>
      </c>
    </row>
    <row r="3570" hidden="1" outlineLevel="2" spans="1:24">
      <c r="A3570" s="90" t="s">
        <v>4538</v>
      </c>
      <c r="B3570" s="685" t="s">
        <v>4522</v>
      </c>
      <c r="C3570" s="693" t="str">
        <f t="shared" si="415"/>
        <v>深圳新阳蓝光能源管理科技股份有限公司</v>
      </c>
      <c r="D3570" s="687" t="s">
        <v>4531</v>
      </c>
      <c r="E3570" s="1037" t="s">
        <v>4539</v>
      </c>
      <c r="F3570" s="751"/>
      <c r="G3570" s="751"/>
      <c r="H3570" s="751"/>
      <c r="I3570" s="751"/>
      <c r="J3570" s="751"/>
      <c r="K3570" s="751"/>
      <c r="L3570" s="751"/>
      <c r="M3570" s="751"/>
      <c r="N3570" s="751"/>
      <c r="O3570" s="751"/>
      <c r="P3570" s="751"/>
      <c r="X3570" s="768" t="b">
        <f t="shared" si="416"/>
        <v>1</v>
      </c>
    </row>
    <row r="3571" hidden="1" outlineLevel="2" spans="1:24">
      <c r="A3571" s="90" t="s">
        <v>4540</v>
      </c>
      <c r="B3571" s="685" t="s">
        <v>4522</v>
      </c>
      <c r="C3571" s="693" t="str">
        <f t="shared" si="415"/>
        <v>深圳新阳蓝光能源管理科技股份有限公司</v>
      </c>
      <c r="D3571" s="687" t="s">
        <v>4531</v>
      </c>
      <c r="E3571" s="1037" t="s">
        <v>4541</v>
      </c>
      <c r="F3571" s="751"/>
      <c r="G3571" s="751"/>
      <c r="H3571" s="751"/>
      <c r="I3571" s="751"/>
      <c r="J3571" s="751"/>
      <c r="K3571" s="751"/>
      <c r="L3571" s="751"/>
      <c r="M3571" s="751"/>
      <c r="N3571" s="751"/>
      <c r="O3571" s="751"/>
      <c r="P3571" s="751"/>
      <c r="X3571" s="768" t="b">
        <f t="shared" si="416"/>
        <v>1</v>
      </c>
    </row>
    <row r="3572" hidden="1" outlineLevel="2" spans="1:24">
      <c r="A3572" s="90" t="s">
        <v>2809</v>
      </c>
      <c r="B3572" s="685" t="s">
        <v>4522</v>
      </c>
      <c r="C3572" s="693" t="str">
        <f t="shared" si="415"/>
        <v>深圳新阳蓝光能源管理科技股份有限公司</v>
      </c>
      <c r="D3572" s="687" t="s">
        <v>4531</v>
      </c>
      <c r="E3572" s="1037" t="s">
        <v>2829</v>
      </c>
      <c r="F3572" s="1477"/>
      <c r="G3572" s="751"/>
      <c r="H3572" s="751"/>
      <c r="I3572" s="751"/>
      <c r="J3572" s="751"/>
      <c r="K3572" s="751"/>
      <c r="L3572" s="751"/>
      <c r="M3572" s="751"/>
      <c r="N3572" s="751"/>
      <c r="O3572" s="751"/>
      <c r="P3572" s="751"/>
      <c r="X3572" s="768" t="b">
        <f t="shared" si="416"/>
        <v>1</v>
      </c>
    </row>
    <row r="3573" hidden="1" outlineLevel="2" spans="1:24">
      <c r="A3573" s="90" t="s">
        <v>4542</v>
      </c>
      <c r="B3573" s="685" t="s">
        <v>4522</v>
      </c>
      <c r="C3573" s="693" t="str">
        <f t="shared" si="415"/>
        <v>深圳新阳蓝光能源管理科技股份有限公司</v>
      </c>
      <c r="D3573" s="687" t="s">
        <v>4542</v>
      </c>
      <c r="E3573" s="1037" t="s">
        <v>4543</v>
      </c>
      <c r="F3573" s="751"/>
      <c r="G3573" s="751"/>
      <c r="H3573" s="751"/>
      <c r="I3573" s="751"/>
      <c r="J3573" s="751"/>
      <c r="K3573" s="751"/>
      <c r="L3573" s="751"/>
      <c r="M3573" s="751"/>
      <c r="N3573" s="751"/>
      <c r="O3573" s="751"/>
      <c r="P3573" s="751"/>
      <c r="X3573" s="768" t="b">
        <f t="shared" si="416"/>
        <v>1</v>
      </c>
    </row>
    <row r="3574" hidden="1" outlineLevel="2" spans="1:24">
      <c r="A3574" s="90" t="s">
        <v>61</v>
      </c>
      <c r="B3574" s="685" t="s">
        <v>4522</v>
      </c>
      <c r="C3574" s="693" t="str">
        <f t="shared" si="415"/>
        <v>深圳新阳蓝光能源管理科技股份有限公司</v>
      </c>
      <c r="D3574" s="687" t="s">
        <v>4542</v>
      </c>
      <c r="E3574" s="851" t="s">
        <v>61</v>
      </c>
      <c r="F3574" s="851" t="s">
        <v>573</v>
      </c>
      <c r="G3574" s="751"/>
      <c r="H3574" s="751"/>
      <c r="I3574" s="751"/>
      <c r="J3574" s="751"/>
      <c r="K3574" s="751"/>
      <c r="L3574" s="751"/>
      <c r="M3574" s="751"/>
      <c r="N3574" s="751"/>
      <c r="O3574" s="751"/>
      <c r="P3574" s="751"/>
      <c r="X3574" s="768" t="b">
        <f t="shared" si="416"/>
        <v>1</v>
      </c>
    </row>
    <row r="3575" ht="22.5" hidden="1" outlineLevel="2" spans="1:24">
      <c r="A3575" s="90" t="s">
        <v>4544</v>
      </c>
      <c r="B3575" s="685" t="s">
        <v>4522</v>
      </c>
      <c r="C3575" s="693" t="str">
        <f t="shared" si="415"/>
        <v>深圳新阳蓝光能源管理科技股份有限公司</v>
      </c>
      <c r="D3575" s="687" t="s">
        <v>4542</v>
      </c>
      <c r="E3575" s="789" t="s">
        <v>4544</v>
      </c>
      <c r="F3575" s="1446"/>
      <c r="G3575" s="751"/>
      <c r="H3575" s="751"/>
      <c r="I3575" s="751"/>
      <c r="J3575" s="751"/>
      <c r="K3575" s="751"/>
      <c r="L3575" s="751"/>
      <c r="M3575" s="751"/>
      <c r="N3575" s="751"/>
      <c r="O3575" s="751"/>
      <c r="P3575" s="751"/>
      <c r="X3575" s="768" t="b">
        <f t="shared" si="416"/>
        <v>1</v>
      </c>
    </row>
    <row r="3576" hidden="1" outlineLevel="2" spans="1:24">
      <c r="A3576" s="90" t="s">
        <v>4545</v>
      </c>
      <c r="B3576" s="685" t="s">
        <v>4522</v>
      </c>
      <c r="C3576" s="693" t="str">
        <f t="shared" si="415"/>
        <v>深圳新阳蓝光能源管理科技股份有限公司</v>
      </c>
      <c r="D3576" s="687" t="s">
        <v>4542</v>
      </c>
      <c r="E3576" s="789" t="s">
        <v>4545</v>
      </c>
      <c r="F3576" s="1446"/>
      <c r="G3576" s="751"/>
      <c r="H3576" s="751"/>
      <c r="I3576" s="751"/>
      <c r="J3576" s="751"/>
      <c r="K3576" s="751"/>
      <c r="L3576" s="751"/>
      <c r="M3576" s="751"/>
      <c r="N3576" s="751"/>
      <c r="O3576" s="751"/>
      <c r="P3576" s="751"/>
      <c r="X3576" s="768" t="b">
        <f t="shared" si="416"/>
        <v>1</v>
      </c>
    </row>
    <row r="3577" hidden="1" outlineLevel="2" spans="1:24">
      <c r="A3577" s="90" t="s">
        <v>4546</v>
      </c>
      <c r="B3577" s="685" t="s">
        <v>4522</v>
      </c>
      <c r="C3577" s="693" t="str">
        <f t="shared" si="415"/>
        <v>深圳新阳蓝光能源管理科技股份有限公司</v>
      </c>
      <c r="D3577" s="687" t="s">
        <v>4542</v>
      </c>
      <c r="E3577" s="789" t="s">
        <v>4546</v>
      </c>
      <c r="F3577" s="1446"/>
      <c r="G3577" s="751"/>
      <c r="H3577" s="751"/>
      <c r="I3577" s="751"/>
      <c r="J3577" s="751"/>
      <c r="K3577" s="751"/>
      <c r="L3577" s="751"/>
      <c r="M3577" s="751"/>
      <c r="N3577" s="751"/>
      <c r="O3577" s="751"/>
      <c r="P3577" s="751"/>
      <c r="X3577" s="768" t="b">
        <f t="shared" si="416"/>
        <v>1</v>
      </c>
    </row>
    <row r="3578" hidden="1" outlineLevel="2" spans="2:24">
      <c r="B3578" s="685" t="s">
        <v>4522</v>
      </c>
      <c r="C3578" s="693" t="str">
        <f t="shared" si="415"/>
        <v>深圳新阳蓝光能源管理科技股份有限公司</v>
      </c>
      <c r="D3578" s="687" t="s">
        <v>4542</v>
      </c>
      <c r="E3578" s="1037"/>
      <c r="F3578" s="751"/>
      <c r="G3578" s="751"/>
      <c r="H3578" s="751"/>
      <c r="I3578" s="751"/>
      <c r="J3578" s="751"/>
      <c r="K3578" s="751"/>
      <c r="L3578" s="751"/>
      <c r="M3578" s="751"/>
      <c r="N3578" s="751"/>
      <c r="O3578" s="751"/>
      <c r="P3578" s="751"/>
      <c r="X3578" s="768" t="b">
        <f t="shared" si="416"/>
        <v>1</v>
      </c>
    </row>
    <row r="3579" hidden="1" outlineLevel="2" spans="1:24">
      <c r="A3579" s="90" t="s">
        <v>4547</v>
      </c>
      <c r="B3579" s="685" t="s">
        <v>4522</v>
      </c>
      <c r="C3579" s="693" t="str">
        <f t="shared" si="415"/>
        <v>深圳新阳蓝光能源管理科技股份有限公司</v>
      </c>
      <c r="D3579" s="687" t="s">
        <v>4547</v>
      </c>
      <c r="E3579" s="1037" t="s">
        <v>4548</v>
      </c>
      <c r="F3579" s="751"/>
      <c r="G3579" s="751"/>
      <c r="H3579" s="751"/>
      <c r="I3579" s="751"/>
      <c r="J3579" s="751"/>
      <c r="K3579" s="751"/>
      <c r="L3579" s="751"/>
      <c r="M3579" s="751"/>
      <c r="N3579" s="751"/>
      <c r="O3579" s="751"/>
      <c r="P3579" s="751"/>
      <c r="X3579" s="768" t="b">
        <f t="shared" si="416"/>
        <v>1</v>
      </c>
    </row>
    <row r="3580" hidden="1" outlineLevel="2" spans="1:24">
      <c r="A3580" s="90" t="s">
        <v>61</v>
      </c>
      <c r="B3580" s="685" t="s">
        <v>4522</v>
      </c>
      <c r="C3580" s="693" t="str">
        <f t="shared" si="415"/>
        <v>深圳新阳蓝光能源管理科技股份有限公司</v>
      </c>
      <c r="D3580" s="687" t="s">
        <v>4547</v>
      </c>
      <c r="E3580" s="851" t="s">
        <v>61</v>
      </c>
      <c r="F3580" s="851" t="s">
        <v>573</v>
      </c>
      <c r="G3580" s="751"/>
      <c r="H3580" s="751"/>
      <c r="I3580" s="751"/>
      <c r="J3580" s="751"/>
      <c r="K3580" s="751"/>
      <c r="L3580" s="751"/>
      <c r="M3580" s="751"/>
      <c r="N3580" s="751"/>
      <c r="O3580" s="751"/>
      <c r="P3580" s="751"/>
      <c r="X3580" s="768" t="b">
        <f t="shared" si="416"/>
        <v>1</v>
      </c>
    </row>
    <row r="3581" hidden="1" outlineLevel="2" spans="1:24">
      <c r="A3581" s="90" t="s">
        <v>4549</v>
      </c>
      <c r="B3581" s="685" t="s">
        <v>4522</v>
      </c>
      <c r="C3581" s="693" t="str">
        <f t="shared" si="415"/>
        <v>深圳新阳蓝光能源管理科技股份有限公司</v>
      </c>
      <c r="D3581" s="687" t="s">
        <v>4547</v>
      </c>
      <c r="E3581" s="155" t="s">
        <v>4549</v>
      </c>
      <c r="F3581" s="1296"/>
      <c r="G3581" s="751"/>
      <c r="H3581" s="751"/>
      <c r="I3581" s="751"/>
      <c r="J3581" s="751"/>
      <c r="K3581" s="751"/>
      <c r="L3581" s="751"/>
      <c r="M3581" s="751"/>
      <c r="N3581" s="751"/>
      <c r="O3581" s="751"/>
      <c r="P3581" s="751"/>
      <c r="X3581" s="768" t="b">
        <f t="shared" si="416"/>
        <v>1</v>
      </c>
    </row>
    <row r="3582" hidden="1" outlineLevel="2" spans="1:24">
      <c r="A3582" s="90" t="s">
        <v>4550</v>
      </c>
      <c r="B3582" s="685" t="s">
        <v>4522</v>
      </c>
      <c r="C3582" s="693" t="str">
        <f t="shared" si="415"/>
        <v>深圳新阳蓝光能源管理科技股份有限公司</v>
      </c>
      <c r="D3582" s="687" t="s">
        <v>4547</v>
      </c>
      <c r="E3582" s="155" t="s">
        <v>4550</v>
      </c>
      <c r="F3582" s="1296"/>
      <c r="G3582" s="751"/>
      <c r="H3582" s="751"/>
      <c r="I3582" s="751"/>
      <c r="J3582" s="751"/>
      <c r="K3582" s="751"/>
      <c r="L3582" s="751"/>
      <c r="M3582" s="751"/>
      <c r="N3582" s="751"/>
      <c r="O3582" s="751"/>
      <c r="P3582" s="751"/>
      <c r="X3582" s="768" t="b">
        <f t="shared" si="416"/>
        <v>1</v>
      </c>
    </row>
    <row r="3583" hidden="1" outlineLevel="2" spans="2:24">
      <c r="B3583" s="685" t="s">
        <v>4522</v>
      </c>
      <c r="C3583" s="693" t="str">
        <f t="shared" si="415"/>
        <v>深圳新阳蓝光能源管理科技股份有限公司</v>
      </c>
      <c r="D3583" s="687" t="s">
        <v>4547</v>
      </c>
      <c r="E3583" s="1037"/>
      <c r="F3583" s="751"/>
      <c r="G3583" s="751"/>
      <c r="H3583" s="751"/>
      <c r="I3583" s="751"/>
      <c r="J3583" s="751"/>
      <c r="K3583" s="751"/>
      <c r="L3583" s="751"/>
      <c r="M3583" s="751"/>
      <c r="N3583" s="751"/>
      <c r="O3583" s="751"/>
      <c r="P3583" s="751"/>
      <c r="X3583" s="768" t="b">
        <f t="shared" si="416"/>
        <v>1</v>
      </c>
    </row>
    <row r="3584" hidden="1" outlineLevel="2" spans="1:24">
      <c r="A3584" s="90" t="s">
        <v>4551</v>
      </c>
      <c r="B3584" s="685" t="s">
        <v>4522</v>
      </c>
      <c r="C3584" s="693" t="str">
        <f t="shared" si="415"/>
        <v>深圳新阳蓝光能源管理科技股份有限公司</v>
      </c>
      <c r="D3584" s="687" t="s">
        <v>4551</v>
      </c>
      <c r="E3584" s="1037" t="s">
        <v>4552</v>
      </c>
      <c r="F3584" s="751"/>
      <c r="G3584" s="751"/>
      <c r="H3584" s="751"/>
      <c r="I3584" s="751"/>
      <c r="J3584" s="751"/>
      <c r="K3584" s="751"/>
      <c r="L3584" s="751"/>
      <c r="M3584" s="751"/>
      <c r="N3584" s="751"/>
      <c r="O3584" s="751"/>
      <c r="P3584" s="751"/>
      <c r="X3584" s="768" t="b">
        <f t="shared" si="416"/>
        <v>1</v>
      </c>
    </row>
    <row r="3585" hidden="1" outlineLevel="2" spans="1:24">
      <c r="A3585" s="90" t="s">
        <v>2809</v>
      </c>
      <c r="B3585" s="685" t="s">
        <v>4522</v>
      </c>
      <c r="C3585" s="693" t="str">
        <f t="shared" si="415"/>
        <v>深圳新阳蓝光能源管理科技股份有限公司</v>
      </c>
      <c r="D3585" s="687" t="s">
        <v>4551</v>
      </c>
      <c r="E3585" s="1037" t="s">
        <v>2829</v>
      </c>
      <c r="F3585" s="1477"/>
      <c r="G3585" s="751"/>
      <c r="H3585" s="751"/>
      <c r="I3585" s="751"/>
      <c r="J3585" s="751"/>
      <c r="K3585" s="751"/>
      <c r="L3585" s="751"/>
      <c r="M3585" s="751"/>
      <c r="N3585" s="751"/>
      <c r="O3585" s="751"/>
      <c r="P3585" s="751"/>
      <c r="X3585" s="768" t="b">
        <f t="shared" si="416"/>
        <v>1</v>
      </c>
    </row>
    <row r="3586" hidden="1" outlineLevel="2" spans="2:24">
      <c r="B3586" s="685" t="s">
        <v>4522</v>
      </c>
      <c r="C3586" s="693" t="str">
        <f t="shared" si="415"/>
        <v>深圳新阳蓝光能源管理科技股份有限公司</v>
      </c>
      <c r="D3586" s="687" t="s">
        <v>4551</v>
      </c>
      <c r="E3586" s="1037"/>
      <c r="F3586" s="751"/>
      <c r="G3586" s="751"/>
      <c r="H3586" s="751"/>
      <c r="I3586" s="751"/>
      <c r="J3586" s="751"/>
      <c r="K3586" s="751"/>
      <c r="L3586" s="751"/>
      <c r="M3586" s="751"/>
      <c r="N3586" s="751"/>
      <c r="O3586" s="751"/>
      <c r="P3586" s="751"/>
      <c r="X3586" s="768" t="b">
        <f t="shared" si="416"/>
        <v>1</v>
      </c>
    </row>
    <row r="3587" spans="1:24">
      <c r="A3587" s="90" t="s">
        <v>4553</v>
      </c>
      <c r="B3587" s="685" t="s">
        <v>4554</v>
      </c>
      <c r="C3587" s="693" t="str">
        <f t="shared" si="415"/>
        <v>深圳新阳蓝光能源管理科技股份有限公司</v>
      </c>
      <c r="D3587" s="687" t="s">
        <v>4553</v>
      </c>
      <c r="E3587" s="1808" t="s">
        <v>4553</v>
      </c>
      <c r="F3587" s="751"/>
      <c r="G3587" s="751"/>
      <c r="H3587" s="751"/>
      <c r="I3587" s="751"/>
      <c r="J3587" s="751"/>
      <c r="K3587" s="751"/>
      <c r="L3587" s="751"/>
      <c r="M3587" s="751"/>
      <c r="N3587" s="751"/>
      <c r="O3587" s="751"/>
      <c r="P3587" s="751"/>
      <c r="X3587" s="768" t="b">
        <f t="shared" si="416"/>
        <v>1</v>
      </c>
    </row>
    <row r="3588" outlineLevel="2" spans="1:24">
      <c r="A3588" s="90" t="s">
        <v>4555</v>
      </c>
      <c r="B3588" s="685" t="s">
        <v>4554</v>
      </c>
      <c r="C3588" s="693" t="str">
        <f t="shared" si="415"/>
        <v>深圳新阳蓝光能源管理科技股份有限公司</v>
      </c>
      <c r="D3588" s="687" t="s">
        <v>4553</v>
      </c>
      <c r="E3588" s="1037" t="s">
        <v>4555</v>
      </c>
      <c r="F3588" s="751"/>
      <c r="G3588" s="751"/>
      <c r="H3588" s="751"/>
      <c r="I3588" s="751"/>
      <c r="J3588" s="751"/>
      <c r="K3588" s="751"/>
      <c r="L3588" s="751"/>
      <c r="M3588" s="751"/>
      <c r="N3588" s="751"/>
      <c r="O3588" s="751"/>
      <c r="P3588" s="751"/>
      <c r="X3588" s="768" t="b">
        <f t="shared" si="416"/>
        <v>1</v>
      </c>
    </row>
    <row r="3589" outlineLevel="2" spans="1:24">
      <c r="A3589" s="90" t="s">
        <v>2809</v>
      </c>
      <c r="B3589" s="685" t="s">
        <v>4554</v>
      </c>
      <c r="C3589" s="693" t="str">
        <f t="shared" si="415"/>
        <v>深圳新阳蓝光能源管理科技股份有限公司</v>
      </c>
      <c r="D3589" s="687" t="s">
        <v>4553</v>
      </c>
      <c r="E3589" s="1037" t="s">
        <v>2829</v>
      </c>
      <c r="F3589" s="1477"/>
      <c r="G3589" s="1477"/>
      <c r="H3589" s="1477"/>
      <c r="I3589" s="1477"/>
      <c r="J3589" s="751"/>
      <c r="K3589" s="751"/>
      <c r="L3589" s="751"/>
      <c r="M3589" s="751"/>
      <c r="N3589" s="751"/>
      <c r="O3589" s="751"/>
      <c r="P3589" s="751"/>
      <c r="X3589" s="768" t="b">
        <f t="shared" si="416"/>
        <v>1</v>
      </c>
    </row>
    <row r="3590" outlineLevel="2" spans="2:24">
      <c r="B3590" s="685" t="s">
        <v>4554</v>
      </c>
      <c r="C3590" s="693" t="str">
        <f t="shared" si="415"/>
        <v>深圳新阳蓝光能源管理科技股份有限公司</v>
      </c>
      <c r="D3590" s="687" t="s">
        <v>4553</v>
      </c>
      <c r="E3590" s="1037"/>
      <c r="F3590" s="751"/>
      <c r="G3590" s="751"/>
      <c r="H3590" s="751"/>
      <c r="I3590" s="751"/>
      <c r="J3590" s="751"/>
      <c r="K3590" s="751"/>
      <c r="L3590" s="751"/>
      <c r="M3590" s="751"/>
      <c r="N3590" s="751"/>
      <c r="O3590" s="751"/>
      <c r="P3590" s="751"/>
      <c r="X3590" s="768" t="b">
        <f t="shared" si="416"/>
        <v>1</v>
      </c>
    </row>
    <row r="3591" spans="1:24">
      <c r="A3591" s="90" t="s">
        <v>4556</v>
      </c>
      <c r="B3591" s="685" t="s">
        <v>4557</v>
      </c>
      <c r="C3591" s="693" t="str">
        <f t="shared" si="415"/>
        <v>深圳新阳蓝光能源管理科技股份有限公司</v>
      </c>
      <c r="D3591" s="687" t="s">
        <v>4556</v>
      </c>
      <c r="E3591" s="1808" t="s">
        <v>4556</v>
      </c>
      <c r="F3591" s="751"/>
      <c r="G3591" s="751"/>
      <c r="H3591" s="751"/>
      <c r="I3591" s="751"/>
      <c r="J3591" s="751"/>
      <c r="K3591" s="751"/>
      <c r="L3591" s="751"/>
      <c r="M3591" s="751"/>
      <c r="N3591" s="751"/>
      <c r="O3591" s="751"/>
      <c r="P3591" s="751"/>
      <c r="X3591" s="768" t="b">
        <f t="shared" si="416"/>
        <v>1</v>
      </c>
    </row>
    <row r="3592" outlineLevel="2" spans="1:24">
      <c r="A3592" s="90" t="s">
        <v>4558</v>
      </c>
      <c r="B3592" s="685" t="s">
        <v>4557</v>
      </c>
      <c r="C3592" s="693" t="str">
        <f t="shared" si="415"/>
        <v>深圳新阳蓝光能源管理科技股份有限公司</v>
      </c>
      <c r="D3592" s="687" t="s">
        <v>4556</v>
      </c>
      <c r="E3592" s="1037" t="s">
        <v>4559</v>
      </c>
      <c r="F3592" s="751"/>
      <c r="G3592" s="751"/>
      <c r="H3592" s="751"/>
      <c r="I3592" s="751"/>
      <c r="J3592" s="751"/>
      <c r="K3592" s="751"/>
      <c r="L3592" s="751"/>
      <c r="M3592" s="751"/>
      <c r="N3592" s="751"/>
      <c r="O3592" s="751"/>
      <c r="P3592" s="751"/>
      <c r="X3592" s="768" t="b">
        <f t="shared" si="416"/>
        <v>1</v>
      </c>
    </row>
    <row r="3593" outlineLevel="2" spans="1:24">
      <c r="A3593" s="90" t="s">
        <v>4560</v>
      </c>
      <c r="B3593" s="685" t="s">
        <v>4557</v>
      </c>
      <c r="C3593" s="693" t="str">
        <f t="shared" si="415"/>
        <v>深圳新阳蓝光能源管理科技股份有限公司</v>
      </c>
      <c r="D3593" s="687" t="s">
        <v>4556</v>
      </c>
      <c r="E3593" s="1037" t="s">
        <v>4561</v>
      </c>
      <c r="F3593" s="751"/>
      <c r="G3593" s="751"/>
      <c r="H3593" s="751"/>
      <c r="I3593" s="751"/>
      <c r="J3593" s="751"/>
      <c r="K3593" s="751"/>
      <c r="L3593" s="751"/>
      <c r="M3593" s="751"/>
      <c r="N3593" s="751"/>
      <c r="O3593" s="751"/>
      <c r="P3593" s="751"/>
      <c r="X3593" s="768" t="b">
        <f t="shared" si="416"/>
        <v>1</v>
      </c>
    </row>
    <row r="3594" outlineLevel="2" spans="1:24">
      <c r="A3594" s="90" t="s">
        <v>4562</v>
      </c>
      <c r="B3594" s="685" t="s">
        <v>4557</v>
      </c>
      <c r="C3594" s="693" t="str">
        <f t="shared" si="415"/>
        <v>深圳新阳蓝光能源管理科技股份有限公司</v>
      </c>
      <c r="D3594" s="687" t="s">
        <v>4556</v>
      </c>
      <c r="E3594" s="1037" t="s">
        <v>4563</v>
      </c>
      <c r="F3594" s="751"/>
      <c r="G3594" s="751"/>
      <c r="H3594" s="751"/>
      <c r="I3594" s="751"/>
      <c r="J3594" s="751"/>
      <c r="K3594" s="751"/>
      <c r="L3594" s="751"/>
      <c r="M3594" s="751"/>
      <c r="N3594" s="751"/>
      <c r="O3594" s="751"/>
      <c r="P3594" s="751"/>
      <c r="X3594" s="768" t="b">
        <f t="shared" si="416"/>
        <v>1</v>
      </c>
    </row>
    <row r="3595" outlineLevel="2" spans="1:24">
      <c r="A3595" s="90" t="s">
        <v>2809</v>
      </c>
      <c r="B3595" s="685" t="s">
        <v>4557</v>
      </c>
      <c r="C3595" s="693" t="str">
        <f t="shared" si="415"/>
        <v>深圳新阳蓝光能源管理科技股份有限公司</v>
      </c>
      <c r="D3595" s="687" t="s">
        <v>4556</v>
      </c>
      <c r="E3595" s="1037" t="s">
        <v>2829</v>
      </c>
      <c r="F3595" s="1477"/>
      <c r="G3595" s="1477"/>
      <c r="H3595" s="1477"/>
      <c r="I3595" s="1477"/>
      <c r="J3595" s="751"/>
      <c r="K3595" s="751"/>
      <c r="L3595" s="751"/>
      <c r="M3595" s="751"/>
      <c r="N3595" s="751"/>
      <c r="O3595" s="751"/>
      <c r="P3595" s="751"/>
      <c r="X3595" s="768" t="b">
        <f t="shared" si="416"/>
        <v>1</v>
      </c>
    </row>
    <row r="3596" outlineLevel="2" spans="2:24">
      <c r="B3596" s="685" t="s">
        <v>4557</v>
      </c>
      <c r="C3596" s="693" t="str">
        <f t="shared" si="415"/>
        <v>深圳新阳蓝光能源管理科技股份有限公司</v>
      </c>
      <c r="D3596" s="687" t="s">
        <v>4556</v>
      </c>
      <c r="E3596" s="1037"/>
      <c r="F3596" s="751"/>
      <c r="G3596" s="751"/>
      <c r="H3596" s="751"/>
      <c r="I3596" s="751"/>
      <c r="J3596" s="751"/>
      <c r="K3596" s="751"/>
      <c r="L3596" s="751"/>
      <c r="M3596" s="751"/>
      <c r="N3596" s="751"/>
      <c r="O3596" s="751"/>
      <c r="P3596" s="751"/>
      <c r="X3596" s="768" t="b">
        <f t="shared" si="416"/>
        <v>1</v>
      </c>
    </row>
    <row r="3597" outlineLevel="2" spans="2:24">
      <c r="B3597" s="685" t="s">
        <v>4557</v>
      </c>
      <c r="C3597" s="693" t="str">
        <f t="shared" ref="C3597:C3660" si="417">$G$1</f>
        <v>深圳新阳蓝光能源管理科技股份有限公司</v>
      </c>
      <c r="D3597" s="687" t="s">
        <v>4556</v>
      </c>
      <c r="E3597" s="1037"/>
      <c r="F3597" s="751"/>
      <c r="G3597" s="751"/>
      <c r="H3597" s="751"/>
      <c r="I3597" s="751"/>
      <c r="J3597" s="751"/>
      <c r="K3597" s="751"/>
      <c r="L3597" s="751"/>
      <c r="M3597" s="751"/>
      <c r="N3597" s="751"/>
      <c r="O3597" s="751"/>
      <c r="P3597" s="751"/>
      <c r="X3597" s="768" t="b">
        <f t="shared" si="416"/>
        <v>1</v>
      </c>
    </row>
    <row r="3598" spans="1:24">
      <c r="A3598" s="90" t="s">
        <v>4564</v>
      </c>
      <c r="B3598" s="685" t="s">
        <v>4565</v>
      </c>
      <c r="C3598" s="693" t="str">
        <f t="shared" si="417"/>
        <v>深圳新阳蓝光能源管理科技股份有限公司</v>
      </c>
      <c r="D3598" s="687" t="s">
        <v>4564</v>
      </c>
      <c r="E3598" s="1808" t="s">
        <v>4564</v>
      </c>
      <c r="F3598" s="751"/>
      <c r="G3598" s="751"/>
      <c r="H3598" s="751"/>
      <c r="I3598" s="751"/>
      <c r="J3598" s="751"/>
      <c r="K3598" s="751"/>
      <c r="L3598" s="751"/>
      <c r="M3598" s="751"/>
      <c r="N3598" s="751"/>
      <c r="O3598" s="751"/>
      <c r="P3598" s="751"/>
      <c r="X3598" s="768" t="b">
        <f t="shared" si="416"/>
        <v>1</v>
      </c>
    </row>
    <row r="3599" outlineLevel="2" spans="1:24">
      <c r="A3599" s="90" t="s">
        <v>4558</v>
      </c>
      <c r="B3599" s="685" t="s">
        <v>4565</v>
      </c>
      <c r="C3599" s="693" t="str">
        <f t="shared" si="417"/>
        <v>深圳新阳蓝光能源管理科技股份有限公司</v>
      </c>
      <c r="D3599" s="687" t="s">
        <v>4564</v>
      </c>
      <c r="E3599" s="1037" t="s">
        <v>4559</v>
      </c>
      <c r="F3599" s="751"/>
      <c r="G3599" s="751"/>
      <c r="H3599" s="751"/>
      <c r="I3599" s="751"/>
      <c r="J3599" s="751"/>
      <c r="K3599" s="751"/>
      <c r="L3599" s="751"/>
      <c r="M3599" s="751"/>
      <c r="N3599" s="751"/>
      <c r="O3599" s="751"/>
      <c r="P3599" s="751"/>
      <c r="X3599" s="768" t="b">
        <f t="shared" si="416"/>
        <v>1</v>
      </c>
    </row>
    <row r="3600" outlineLevel="2" spans="1:24">
      <c r="A3600" s="90" t="s">
        <v>4566</v>
      </c>
      <c r="B3600" s="685" t="s">
        <v>4565</v>
      </c>
      <c r="C3600" s="693" t="str">
        <f t="shared" si="417"/>
        <v>深圳新阳蓝光能源管理科技股份有限公司</v>
      </c>
      <c r="D3600" s="687" t="s">
        <v>4564</v>
      </c>
      <c r="E3600" s="1037" t="s">
        <v>4567</v>
      </c>
      <c r="F3600" s="751"/>
      <c r="G3600" s="751"/>
      <c r="H3600" s="751"/>
      <c r="I3600" s="751"/>
      <c r="J3600" s="751"/>
      <c r="K3600" s="751"/>
      <c r="L3600" s="751"/>
      <c r="M3600" s="751"/>
      <c r="N3600" s="751"/>
      <c r="O3600" s="751"/>
      <c r="P3600" s="751"/>
      <c r="X3600" s="768" t="b">
        <f t="shared" si="416"/>
        <v>1</v>
      </c>
    </row>
    <row r="3601" ht="22.5" outlineLevel="2" spans="1:24">
      <c r="A3601" s="90" t="s">
        <v>61</v>
      </c>
      <c r="B3601" s="685" t="s">
        <v>4565</v>
      </c>
      <c r="C3601" s="693" t="str">
        <f t="shared" si="417"/>
        <v>深圳新阳蓝光能源管理科技股份有限公司</v>
      </c>
      <c r="D3601" s="687" t="s">
        <v>4564</v>
      </c>
      <c r="E3601" s="1470" t="s">
        <v>61</v>
      </c>
      <c r="F3601" s="1470" t="s">
        <v>573</v>
      </c>
      <c r="G3601" s="1470" t="s">
        <v>4568</v>
      </c>
      <c r="H3601" s="1470" t="s">
        <v>4569</v>
      </c>
      <c r="I3601" s="751"/>
      <c r="J3601" s="751"/>
      <c r="K3601" s="751"/>
      <c r="L3601" s="751"/>
      <c r="M3601" s="751"/>
      <c r="N3601" s="751"/>
      <c r="O3601" s="751"/>
      <c r="P3601" s="751"/>
      <c r="X3601" s="768" t="b">
        <f t="shared" si="416"/>
        <v>1</v>
      </c>
    </row>
    <row r="3602" outlineLevel="2" spans="2:24">
      <c r="B3602" s="685" t="s">
        <v>4565</v>
      </c>
      <c r="C3602" s="693" t="str">
        <f t="shared" si="417"/>
        <v>深圳新阳蓝光能源管理科技股份有限公司</v>
      </c>
      <c r="D3602" s="687" t="s">
        <v>4564</v>
      </c>
      <c r="E3602" s="752"/>
      <c r="F3602" s="752"/>
      <c r="G3602" s="752"/>
      <c r="H3602" s="752"/>
      <c r="I3602" s="751"/>
      <c r="J3602" s="751"/>
      <c r="K3602" s="751"/>
      <c r="L3602" s="751"/>
      <c r="M3602" s="751"/>
      <c r="N3602" s="751"/>
      <c r="O3602" s="751"/>
      <c r="P3602" s="751"/>
      <c r="X3602" s="768" t="b">
        <f t="shared" si="416"/>
        <v>1</v>
      </c>
    </row>
    <row r="3603" outlineLevel="2" spans="2:24">
      <c r="B3603" s="685" t="s">
        <v>4565</v>
      </c>
      <c r="C3603" s="693" t="str">
        <f t="shared" si="417"/>
        <v>深圳新阳蓝光能源管理科技股份有限公司</v>
      </c>
      <c r="D3603" s="687" t="s">
        <v>4564</v>
      </c>
      <c r="E3603" s="752"/>
      <c r="F3603" s="752"/>
      <c r="G3603" s="752"/>
      <c r="H3603" s="752"/>
      <c r="I3603" s="751"/>
      <c r="J3603" s="751"/>
      <c r="K3603" s="751"/>
      <c r="L3603" s="751"/>
      <c r="M3603" s="751"/>
      <c r="N3603" s="751"/>
      <c r="O3603" s="751"/>
      <c r="P3603" s="751"/>
      <c r="X3603" s="768" t="b">
        <f t="shared" si="416"/>
        <v>1</v>
      </c>
    </row>
    <row r="3604" outlineLevel="2" spans="2:24">
      <c r="B3604" s="685" t="s">
        <v>4565</v>
      </c>
      <c r="C3604" s="693" t="str">
        <f t="shared" si="417"/>
        <v>深圳新阳蓝光能源管理科技股份有限公司</v>
      </c>
      <c r="D3604" s="687" t="s">
        <v>4564</v>
      </c>
      <c r="E3604" s="1322"/>
      <c r="F3604" s="1478"/>
      <c r="G3604" s="1478"/>
      <c r="H3604" s="1478"/>
      <c r="I3604" s="751"/>
      <c r="J3604" s="751"/>
      <c r="K3604" s="751"/>
      <c r="L3604" s="751"/>
      <c r="M3604" s="751"/>
      <c r="N3604" s="751"/>
      <c r="O3604" s="751"/>
      <c r="P3604" s="751"/>
      <c r="X3604" s="768" t="b">
        <f t="shared" si="416"/>
        <v>1</v>
      </c>
    </row>
    <row r="3605" outlineLevel="2" spans="1:24">
      <c r="A3605" s="90" t="s">
        <v>4570</v>
      </c>
      <c r="B3605" s="685" t="s">
        <v>4565</v>
      </c>
      <c r="C3605" s="693" t="str">
        <f t="shared" si="417"/>
        <v>深圳新阳蓝光能源管理科技股份有限公司</v>
      </c>
      <c r="D3605" s="687" t="s">
        <v>4564</v>
      </c>
      <c r="E3605" s="1037" t="s">
        <v>4571</v>
      </c>
      <c r="F3605" s="751"/>
      <c r="G3605" s="751"/>
      <c r="H3605" s="751"/>
      <c r="I3605" s="751"/>
      <c r="J3605" s="751"/>
      <c r="K3605" s="751"/>
      <c r="L3605" s="751"/>
      <c r="M3605" s="751"/>
      <c r="N3605" s="751"/>
      <c r="O3605" s="751"/>
      <c r="P3605" s="751"/>
      <c r="X3605" s="768" t="b">
        <f t="shared" si="416"/>
        <v>1</v>
      </c>
    </row>
    <row r="3606" outlineLevel="2" spans="1:24">
      <c r="A3606" s="90" t="s">
        <v>2809</v>
      </c>
      <c r="B3606" s="685" t="s">
        <v>4565</v>
      </c>
      <c r="C3606" s="693" t="str">
        <f t="shared" si="417"/>
        <v>深圳新阳蓝光能源管理科技股份有限公司</v>
      </c>
      <c r="D3606" s="687" t="s">
        <v>4564</v>
      </c>
      <c r="E3606" s="1037" t="s">
        <v>2829</v>
      </c>
      <c r="F3606" s="1477"/>
      <c r="G3606" s="1477"/>
      <c r="H3606" s="1477"/>
      <c r="I3606" s="1477"/>
      <c r="J3606" s="751"/>
      <c r="K3606" s="751"/>
      <c r="L3606" s="751"/>
      <c r="M3606" s="751"/>
      <c r="N3606" s="751"/>
      <c r="O3606" s="751"/>
      <c r="P3606" s="751"/>
      <c r="X3606" s="768" t="b">
        <f t="shared" si="416"/>
        <v>1</v>
      </c>
    </row>
    <row r="3607" outlineLevel="2" spans="1:24">
      <c r="A3607" s="90" t="s">
        <v>4572</v>
      </c>
      <c r="B3607" s="685" t="s">
        <v>4565</v>
      </c>
      <c r="C3607" s="693" t="str">
        <f t="shared" si="417"/>
        <v>深圳新阳蓝光能源管理科技股份有限公司</v>
      </c>
      <c r="D3607" s="687" t="s">
        <v>4564</v>
      </c>
      <c r="E3607" s="1037" t="s">
        <v>4573</v>
      </c>
      <c r="F3607" s="751"/>
      <c r="G3607" s="751"/>
      <c r="H3607" s="751"/>
      <c r="I3607" s="751"/>
      <c r="J3607" s="751"/>
      <c r="K3607" s="751"/>
      <c r="L3607" s="751"/>
      <c r="M3607" s="751"/>
      <c r="N3607" s="751"/>
      <c r="O3607" s="751"/>
      <c r="P3607" s="751"/>
      <c r="X3607" s="768" t="b">
        <f t="shared" si="416"/>
        <v>1</v>
      </c>
    </row>
    <row r="3608" outlineLevel="2" spans="1:24">
      <c r="A3608" s="90" t="s">
        <v>2809</v>
      </c>
      <c r="B3608" s="685" t="s">
        <v>4565</v>
      </c>
      <c r="C3608" s="693" t="str">
        <f t="shared" si="417"/>
        <v>深圳新阳蓝光能源管理科技股份有限公司</v>
      </c>
      <c r="D3608" s="687" t="s">
        <v>4564</v>
      </c>
      <c r="E3608" s="1037" t="s">
        <v>2829</v>
      </c>
      <c r="F3608" s="1477"/>
      <c r="G3608" s="1477"/>
      <c r="H3608" s="1477"/>
      <c r="I3608" s="1477"/>
      <c r="J3608" s="751"/>
      <c r="K3608" s="751"/>
      <c r="L3608" s="751"/>
      <c r="M3608" s="751"/>
      <c r="N3608" s="751"/>
      <c r="O3608" s="751"/>
      <c r="P3608" s="751"/>
      <c r="X3608" s="768" t="b">
        <f t="shared" si="416"/>
        <v>1</v>
      </c>
    </row>
    <row r="3609" outlineLevel="2" spans="2:24">
      <c r="B3609" s="685" t="s">
        <v>4565</v>
      </c>
      <c r="C3609" s="693" t="str">
        <f t="shared" si="417"/>
        <v>深圳新阳蓝光能源管理科技股份有限公司</v>
      </c>
      <c r="D3609" s="687" t="s">
        <v>4564</v>
      </c>
      <c r="E3609" s="1037"/>
      <c r="F3609" s="751"/>
      <c r="G3609" s="751"/>
      <c r="H3609" s="751"/>
      <c r="I3609" s="751"/>
      <c r="J3609" s="751"/>
      <c r="K3609" s="751"/>
      <c r="L3609" s="751"/>
      <c r="M3609" s="751"/>
      <c r="N3609" s="751"/>
      <c r="O3609" s="751"/>
      <c r="P3609" s="751"/>
      <c r="X3609" s="768" t="b">
        <f t="shared" si="416"/>
        <v>1</v>
      </c>
    </row>
    <row r="3610" spans="1:24">
      <c r="A3610" s="90" t="s">
        <v>4574</v>
      </c>
      <c r="B3610" s="685" t="s">
        <v>4575</v>
      </c>
      <c r="C3610" s="693" t="str">
        <f t="shared" si="417"/>
        <v>深圳新阳蓝光能源管理科技股份有限公司</v>
      </c>
      <c r="D3610" s="687" t="s">
        <v>4574</v>
      </c>
      <c r="E3610" s="1808" t="s">
        <v>4574</v>
      </c>
      <c r="F3610" s="751"/>
      <c r="G3610" s="751"/>
      <c r="H3610" s="751"/>
      <c r="I3610" s="751"/>
      <c r="J3610" s="751"/>
      <c r="K3610" s="751"/>
      <c r="L3610" s="751"/>
      <c r="M3610" s="751"/>
      <c r="N3610" s="751"/>
      <c r="O3610" s="751"/>
      <c r="P3610" s="751"/>
      <c r="X3610" s="768" t="b">
        <f t="shared" si="416"/>
        <v>1</v>
      </c>
    </row>
    <row r="3611" outlineLevel="2" spans="1:24">
      <c r="A3611" s="90" t="s">
        <v>4576</v>
      </c>
      <c r="B3611" s="685" t="s">
        <v>4575</v>
      </c>
      <c r="C3611" s="693" t="str">
        <f t="shared" si="417"/>
        <v>深圳新阳蓝光能源管理科技股份有限公司</v>
      </c>
      <c r="D3611" s="687" t="s">
        <v>4574</v>
      </c>
      <c r="E3611" s="1037" t="s">
        <v>4577</v>
      </c>
      <c r="F3611" s="751"/>
      <c r="G3611" s="751"/>
      <c r="H3611" s="751"/>
      <c r="I3611" s="751"/>
      <c r="J3611" s="751"/>
      <c r="K3611" s="751"/>
      <c r="L3611" s="751"/>
      <c r="M3611" s="751"/>
      <c r="N3611" s="751"/>
      <c r="O3611" s="751"/>
      <c r="P3611" s="751"/>
      <c r="X3611" s="768" t="b">
        <f t="shared" si="416"/>
        <v>1</v>
      </c>
    </row>
    <row r="3612" outlineLevel="2" spans="1:24">
      <c r="A3612" s="90" t="s">
        <v>4578</v>
      </c>
      <c r="B3612" s="685" t="s">
        <v>4575</v>
      </c>
      <c r="C3612" s="693" t="str">
        <f t="shared" si="417"/>
        <v>深圳新阳蓝光能源管理科技股份有限公司</v>
      </c>
      <c r="D3612" s="687" t="s">
        <v>4574</v>
      </c>
      <c r="E3612" s="1037" t="s">
        <v>4579</v>
      </c>
      <c r="F3612" s="751"/>
      <c r="G3612" s="751"/>
      <c r="H3612" s="751"/>
      <c r="I3612" s="751"/>
      <c r="J3612" s="751"/>
      <c r="K3612" s="751"/>
      <c r="L3612" s="751"/>
      <c r="M3612" s="751"/>
      <c r="N3612" s="751"/>
      <c r="O3612" s="751"/>
      <c r="P3612" s="751"/>
      <c r="X3612" s="768" t="b">
        <f t="shared" si="416"/>
        <v>1</v>
      </c>
    </row>
    <row r="3613" outlineLevel="2" spans="1:24">
      <c r="A3613" s="90" t="s">
        <v>4580</v>
      </c>
      <c r="B3613" s="685" t="s">
        <v>4575</v>
      </c>
      <c r="C3613" s="693" t="str">
        <f t="shared" si="417"/>
        <v>深圳新阳蓝光能源管理科技股份有限公司</v>
      </c>
      <c r="D3613" s="687" t="s">
        <v>4574</v>
      </c>
      <c r="E3613" s="1037" t="s">
        <v>4581</v>
      </c>
      <c r="F3613" s="751"/>
      <c r="G3613" s="751"/>
      <c r="H3613" s="751"/>
      <c r="I3613" s="751"/>
      <c r="J3613" s="751"/>
      <c r="K3613" s="751"/>
      <c r="L3613" s="751"/>
      <c r="M3613" s="751"/>
      <c r="N3613" s="751"/>
      <c r="O3613" s="751"/>
      <c r="P3613" s="751"/>
      <c r="X3613" s="768" t="b">
        <f t="shared" si="416"/>
        <v>1</v>
      </c>
    </row>
    <row r="3614" outlineLevel="2" spans="1:24">
      <c r="A3614" s="90" t="s">
        <v>4582</v>
      </c>
      <c r="B3614" s="685" t="s">
        <v>4575</v>
      </c>
      <c r="C3614" s="693" t="str">
        <f t="shared" si="417"/>
        <v>深圳新阳蓝光能源管理科技股份有限公司</v>
      </c>
      <c r="D3614" s="687" t="s">
        <v>4574</v>
      </c>
      <c r="E3614" s="1037" t="s">
        <v>4583</v>
      </c>
      <c r="F3614" s="751"/>
      <c r="G3614" s="751"/>
      <c r="H3614" s="751"/>
      <c r="I3614" s="751"/>
      <c r="J3614" s="751"/>
      <c r="K3614" s="751"/>
      <c r="L3614" s="751"/>
      <c r="M3614" s="751"/>
      <c r="N3614" s="751"/>
      <c r="O3614" s="751"/>
      <c r="P3614" s="751"/>
      <c r="X3614" s="768" t="b">
        <f t="shared" si="416"/>
        <v>1</v>
      </c>
    </row>
    <row r="3615" outlineLevel="2" spans="1:24">
      <c r="A3615" s="90" t="s">
        <v>2809</v>
      </c>
      <c r="B3615" s="685" t="s">
        <v>4575</v>
      </c>
      <c r="C3615" s="693" t="str">
        <f t="shared" si="417"/>
        <v>深圳新阳蓝光能源管理科技股份有限公司</v>
      </c>
      <c r="D3615" s="687" t="s">
        <v>4574</v>
      </c>
      <c r="E3615" s="1037" t="s">
        <v>2829</v>
      </c>
      <c r="F3615" s="1477"/>
      <c r="G3615" s="1477"/>
      <c r="H3615" s="1477"/>
      <c r="I3615" s="1477"/>
      <c r="J3615" s="751"/>
      <c r="K3615" s="751"/>
      <c r="L3615" s="751"/>
      <c r="M3615" s="751"/>
      <c r="N3615" s="751"/>
      <c r="O3615" s="751"/>
      <c r="P3615" s="751"/>
      <c r="X3615" s="768" t="b">
        <f t="shared" si="416"/>
        <v>1</v>
      </c>
    </row>
    <row r="3616" outlineLevel="2" spans="2:24">
      <c r="B3616" s="685" t="s">
        <v>4575</v>
      </c>
      <c r="C3616" s="693" t="str">
        <f t="shared" si="417"/>
        <v>深圳新阳蓝光能源管理科技股份有限公司</v>
      </c>
      <c r="D3616" s="687" t="s">
        <v>4574</v>
      </c>
      <c r="E3616" s="1037"/>
      <c r="F3616" s="751"/>
      <c r="G3616" s="751"/>
      <c r="H3616" s="751"/>
      <c r="I3616" s="751"/>
      <c r="J3616" s="751"/>
      <c r="K3616" s="751"/>
      <c r="L3616" s="751"/>
      <c r="M3616" s="751"/>
      <c r="N3616" s="751"/>
      <c r="O3616" s="751"/>
      <c r="P3616" s="751"/>
      <c r="X3616" s="768" t="b">
        <f t="shared" si="416"/>
        <v>1</v>
      </c>
    </row>
    <row r="3617" outlineLevel="2" spans="2:24">
      <c r="B3617" s="685" t="s">
        <v>4575</v>
      </c>
      <c r="C3617" s="693" t="str">
        <f t="shared" si="417"/>
        <v>深圳新阳蓝光能源管理科技股份有限公司</v>
      </c>
      <c r="D3617" s="687" t="s">
        <v>4574</v>
      </c>
      <c r="E3617" s="1037"/>
      <c r="F3617" s="751"/>
      <c r="G3617" s="751"/>
      <c r="H3617" s="751"/>
      <c r="I3617" s="751"/>
      <c r="J3617" s="751"/>
      <c r="K3617" s="751"/>
      <c r="L3617" s="751"/>
      <c r="M3617" s="751"/>
      <c r="N3617" s="751"/>
      <c r="O3617" s="751"/>
      <c r="P3617" s="751"/>
      <c r="X3617" s="768" t="b">
        <f t="shared" si="416"/>
        <v>1</v>
      </c>
    </row>
    <row r="3618" collapsed="1" spans="1:24">
      <c r="A3618" s="90" t="s">
        <v>4584</v>
      </c>
      <c r="B3618" s="685" t="s">
        <v>4585</v>
      </c>
      <c r="C3618" s="693" t="str">
        <f t="shared" si="417"/>
        <v>深圳新阳蓝光能源管理科技股份有限公司</v>
      </c>
      <c r="D3618" s="687" t="s">
        <v>4584</v>
      </c>
      <c r="E3618" s="1808" t="s">
        <v>4584</v>
      </c>
      <c r="F3618" s="751"/>
      <c r="G3618" s="751"/>
      <c r="H3618" s="751"/>
      <c r="I3618" s="751"/>
      <c r="J3618" s="751"/>
      <c r="K3618" s="751"/>
      <c r="L3618" s="751"/>
      <c r="M3618" s="751"/>
      <c r="N3618" s="751"/>
      <c r="O3618" s="751"/>
      <c r="P3618" s="751"/>
      <c r="X3618" s="768" t="b">
        <f t="shared" si="416"/>
        <v>1</v>
      </c>
    </row>
    <row r="3619" hidden="1" outlineLevel="2" spans="1:24">
      <c r="A3619" s="90" t="s">
        <v>4586</v>
      </c>
      <c r="B3619" s="685" t="s">
        <v>4585</v>
      </c>
      <c r="C3619" s="693" t="str">
        <f t="shared" si="417"/>
        <v>深圳新阳蓝光能源管理科技股份有限公司</v>
      </c>
      <c r="D3619" s="687" t="s">
        <v>4584</v>
      </c>
      <c r="E3619" s="1037" t="s">
        <v>4587</v>
      </c>
      <c r="F3619" s="751"/>
      <c r="G3619" s="751"/>
      <c r="H3619" s="751"/>
      <c r="I3619" s="751"/>
      <c r="J3619" s="751"/>
      <c r="K3619" s="751"/>
      <c r="L3619" s="751"/>
      <c r="M3619" s="751"/>
      <c r="N3619" s="751"/>
      <c r="O3619" s="751"/>
      <c r="P3619" s="751"/>
      <c r="X3619" s="768" t="b">
        <f t="shared" si="416"/>
        <v>1</v>
      </c>
    </row>
    <row r="3620" hidden="1" outlineLevel="2" spans="1:24">
      <c r="A3620" s="90" t="s">
        <v>4588</v>
      </c>
      <c r="B3620" s="685" t="s">
        <v>4585</v>
      </c>
      <c r="C3620" s="693" t="str">
        <f t="shared" si="417"/>
        <v>深圳新阳蓝光能源管理科技股份有限公司</v>
      </c>
      <c r="D3620" s="687" t="s">
        <v>4584</v>
      </c>
      <c r="E3620" s="1037" t="s">
        <v>4589</v>
      </c>
      <c r="F3620" s="751"/>
      <c r="G3620" s="751"/>
      <c r="H3620" s="751"/>
      <c r="I3620" s="751"/>
      <c r="J3620" s="751"/>
      <c r="K3620" s="751"/>
      <c r="L3620" s="751"/>
      <c r="M3620" s="751"/>
      <c r="N3620" s="751"/>
      <c r="O3620" s="751"/>
      <c r="P3620" s="751"/>
      <c r="X3620" s="768" t="b">
        <f t="shared" si="416"/>
        <v>1</v>
      </c>
    </row>
    <row r="3621" hidden="1" outlineLevel="2" spans="1:24">
      <c r="A3621" s="90" t="s">
        <v>4590</v>
      </c>
      <c r="B3621" s="685" t="s">
        <v>4585</v>
      </c>
      <c r="C3621" s="693" t="str">
        <f t="shared" si="417"/>
        <v>深圳新阳蓝光能源管理科技股份有限公司</v>
      </c>
      <c r="D3621" s="687" t="s">
        <v>4584</v>
      </c>
      <c r="E3621" s="1037" t="s">
        <v>4591</v>
      </c>
      <c r="F3621" s="751"/>
      <c r="G3621" s="751"/>
      <c r="H3621" s="751"/>
      <c r="I3621" s="751"/>
      <c r="J3621" s="751"/>
      <c r="K3621" s="751"/>
      <c r="L3621" s="751"/>
      <c r="M3621" s="751"/>
      <c r="N3621" s="751"/>
      <c r="O3621" s="751"/>
      <c r="P3621" s="751"/>
      <c r="X3621" s="768" t="b">
        <f t="shared" ref="X3621:X3684" si="418">EXACT(A3621,E3621)</f>
        <v>1</v>
      </c>
    </row>
    <row r="3622" hidden="1" outlineLevel="2" spans="1:24">
      <c r="A3622" s="90" t="s">
        <v>4592</v>
      </c>
      <c r="B3622" s="685" t="s">
        <v>4585</v>
      </c>
      <c r="C3622" s="693" t="str">
        <f t="shared" si="417"/>
        <v>深圳新阳蓝光能源管理科技股份有限公司</v>
      </c>
      <c r="D3622" s="687" t="s">
        <v>4584</v>
      </c>
      <c r="E3622" s="1037" t="s">
        <v>4593</v>
      </c>
      <c r="F3622" s="751"/>
      <c r="G3622" s="751"/>
      <c r="H3622" s="751"/>
      <c r="I3622" s="751"/>
      <c r="J3622" s="751"/>
      <c r="K3622" s="751"/>
      <c r="L3622" s="751"/>
      <c r="M3622" s="751"/>
      <c r="N3622" s="751"/>
      <c r="O3622" s="751"/>
      <c r="P3622" s="751"/>
      <c r="X3622" s="768" t="b">
        <f t="shared" si="418"/>
        <v>1</v>
      </c>
    </row>
    <row r="3623" hidden="1" outlineLevel="2" spans="1:24">
      <c r="A3623" s="90" t="s">
        <v>4594</v>
      </c>
      <c r="B3623" s="685" t="s">
        <v>4585</v>
      </c>
      <c r="C3623" s="693" t="str">
        <f t="shared" si="417"/>
        <v>深圳新阳蓝光能源管理科技股份有限公司</v>
      </c>
      <c r="D3623" s="687" t="s">
        <v>4584</v>
      </c>
      <c r="E3623" s="1037" t="s">
        <v>4595</v>
      </c>
      <c r="F3623" s="751"/>
      <c r="G3623" s="751"/>
      <c r="H3623" s="751"/>
      <c r="I3623" s="751"/>
      <c r="J3623" s="751"/>
      <c r="K3623" s="751"/>
      <c r="L3623" s="751"/>
      <c r="M3623" s="751"/>
      <c r="N3623" s="751"/>
      <c r="O3623" s="751"/>
      <c r="P3623" s="751"/>
      <c r="X3623" s="768" t="b">
        <f t="shared" si="418"/>
        <v>1</v>
      </c>
    </row>
    <row r="3624" hidden="1" outlineLevel="2" spans="1:24">
      <c r="A3624" s="90" t="s">
        <v>4596</v>
      </c>
      <c r="B3624" s="685" t="s">
        <v>4585</v>
      </c>
      <c r="C3624" s="693" t="str">
        <f t="shared" si="417"/>
        <v>深圳新阳蓝光能源管理科技股份有限公司</v>
      </c>
      <c r="D3624" s="687" t="s">
        <v>4584</v>
      </c>
      <c r="E3624" s="1037" t="s">
        <v>4597</v>
      </c>
      <c r="F3624" s="751"/>
      <c r="G3624" s="751"/>
      <c r="H3624" s="751"/>
      <c r="I3624" s="751"/>
      <c r="J3624" s="751"/>
      <c r="K3624" s="751"/>
      <c r="L3624" s="751"/>
      <c r="M3624" s="751"/>
      <c r="N3624" s="751"/>
      <c r="O3624" s="751"/>
      <c r="P3624" s="751"/>
      <c r="X3624" s="768" t="b">
        <f t="shared" si="418"/>
        <v>1</v>
      </c>
    </row>
    <row r="3625" hidden="1" outlineLevel="2" spans="1:24">
      <c r="A3625" s="90" t="s">
        <v>4598</v>
      </c>
      <c r="B3625" s="685" t="s">
        <v>4585</v>
      </c>
      <c r="C3625" s="693" t="str">
        <f t="shared" si="417"/>
        <v>深圳新阳蓝光能源管理科技股份有限公司</v>
      </c>
      <c r="D3625" s="687" t="s">
        <v>4584</v>
      </c>
      <c r="E3625" s="1037" t="s">
        <v>4598</v>
      </c>
      <c r="F3625" s="751"/>
      <c r="G3625" s="751"/>
      <c r="H3625" s="751"/>
      <c r="I3625" s="751"/>
      <c r="J3625" s="751"/>
      <c r="K3625" s="751"/>
      <c r="L3625" s="751"/>
      <c r="M3625" s="751"/>
      <c r="N3625" s="751"/>
      <c r="O3625" s="751"/>
      <c r="P3625" s="751"/>
      <c r="X3625" s="768" t="b">
        <f t="shared" si="418"/>
        <v>1</v>
      </c>
    </row>
    <row r="3626" hidden="1" outlineLevel="2" spans="1:24">
      <c r="A3626" s="90" t="s">
        <v>4599</v>
      </c>
      <c r="B3626" s="685" t="s">
        <v>4585</v>
      </c>
      <c r="C3626" s="693" t="str">
        <f t="shared" si="417"/>
        <v>深圳新阳蓝光能源管理科技股份有限公司</v>
      </c>
      <c r="D3626" s="687" t="s">
        <v>4584</v>
      </c>
      <c r="E3626" s="1037" t="s">
        <v>4600</v>
      </c>
      <c r="F3626" s="751"/>
      <c r="G3626" s="751"/>
      <c r="H3626" s="751"/>
      <c r="I3626" s="751"/>
      <c r="J3626" s="751"/>
      <c r="K3626" s="751"/>
      <c r="L3626" s="751"/>
      <c r="M3626" s="751"/>
      <c r="N3626" s="751"/>
      <c r="O3626" s="751"/>
      <c r="P3626" s="751"/>
      <c r="X3626" s="768" t="b">
        <f t="shared" si="418"/>
        <v>1</v>
      </c>
    </row>
    <row r="3627" hidden="1" outlineLevel="2" spans="1:24">
      <c r="A3627" s="90" t="s">
        <v>4601</v>
      </c>
      <c r="B3627" s="685" t="s">
        <v>4585</v>
      </c>
      <c r="C3627" s="693" t="str">
        <f t="shared" si="417"/>
        <v>深圳新阳蓝光能源管理科技股份有限公司</v>
      </c>
      <c r="D3627" s="687" t="s">
        <v>4584</v>
      </c>
      <c r="E3627" s="1037" t="s">
        <v>4602</v>
      </c>
      <c r="F3627" s="751"/>
      <c r="G3627" s="751"/>
      <c r="H3627" s="751"/>
      <c r="I3627" s="751"/>
      <c r="J3627" s="751"/>
      <c r="K3627" s="751"/>
      <c r="L3627" s="751"/>
      <c r="M3627" s="751"/>
      <c r="N3627" s="751"/>
      <c r="O3627" s="751"/>
      <c r="P3627" s="751"/>
      <c r="X3627" s="768" t="b">
        <f t="shared" si="418"/>
        <v>1</v>
      </c>
    </row>
    <row r="3628" hidden="1" outlineLevel="2" spans="1:24">
      <c r="A3628" s="90" t="s">
        <v>4603</v>
      </c>
      <c r="B3628" s="685" t="s">
        <v>4585</v>
      </c>
      <c r="C3628" s="693" t="str">
        <f t="shared" si="417"/>
        <v>深圳新阳蓝光能源管理科技股份有限公司</v>
      </c>
      <c r="D3628" s="687" t="s">
        <v>4584</v>
      </c>
      <c r="E3628" s="1037" t="s">
        <v>4604</v>
      </c>
      <c r="F3628" s="751"/>
      <c r="G3628" s="751"/>
      <c r="H3628" s="751"/>
      <c r="I3628" s="751"/>
      <c r="J3628" s="751"/>
      <c r="K3628" s="751"/>
      <c r="L3628" s="751"/>
      <c r="M3628" s="751"/>
      <c r="N3628" s="751"/>
      <c r="O3628" s="751"/>
      <c r="P3628" s="751"/>
      <c r="X3628" s="768" t="b">
        <f t="shared" si="418"/>
        <v>1</v>
      </c>
    </row>
    <row r="3629" hidden="1" outlineLevel="2" spans="1:24">
      <c r="A3629" s="90" t="s">
        <v>4605</v>
      </c>
      <c r="B3629" s="685" t="s">
        <v>4585</v>
      </c>
      <c r="C3629" s="693" t="str">
        <f t="shared" si="417"/>
        <v>深圳新阳蓝光能源管理科技股份有限公司</v>
      </c>
      <c r="D3629" s="687" t="s">
        <v>4584</v>
      </c>
      <c r="E3629" s="1037" t="s">
        <v>4606</v>
      </c>
      <c r="F3629" s="751"/>
      <c r="G3629" s="751"/>
      <c r="H3629" s="751"/>
      <c r="I3629" s="751"/>
      <c r="J3629" s="751"/>
      <c r="K3629" s="751"/>
      <c r="L3629" s="751"/>
      <c r="M3629" s="751"/>
      <c r="N3629" s="751"/>
      <c r="O3629" s="751"/>
      <c r="P3629" s="751"/>
      <c r="X3629" s="768" t="b">
        <f t="shared" si="418"/>
        <v>1</v>
      </c>
    </row>
    <row r="3630" hidden="1" outlineLevel="2" spans="1:24">
      <c r="A3630" s="90" t="s">
        <v>2809</v>
      </c>
      <c r="B3630" s="685" t="s">
        <v>4585</v>
      </c>
      <c r="C3630" s="693" t="str">
        <f t="shared" si="417"/>
        <v>深圳新阳蓝光能源管理科技股份有限公司</v>
      </c>
      <c r="D3630" s="687" t="s">
        <v>4584</v>
      </c>
      <c r="E3630" s="1037" t="s">
        <v>2829</v>
      </c>
      <c r="F3630" s="1477"/>
      <c r="G3630" s="1477"/>
      <c r="H3630" s="1477"/>
      <c r="I3630" s="1477"/>
      <c r="J3630" s="751"/>
      <c r="K3630" s="751"/>
      <c r="L3630" s="751"/>
      <c r="M3630" s="751"/>
      <c r="N3630" s="751"/>
      <c r="O3630" s="751"/>
      <c r="P3630" s="751"/>
      <c r="X3630" s="768" t="b">
        <f t="shared" si="418"/>
        <v>1</v>
      </c>
    </row>
    <row r="3631" hidden="1" outlineLevel="2" spans="2:24">
      <c r="B3631" s="685" t="s">
        <v>4585</v>
      </c>
      <c r="C3631" s="693" t="str">
        <f t="shared" si="417"/>
        <v>深圳新阳蓝光能源管理科技股份有限公司</v>
      </c>
      <c r="D3631" s="687" t="s">
        <v>4584</v>
      </c>
      <c r="E3631" s="1037"/>
      <c r="F3631" s="751"/>
      <c r="G3631" s="751"/>
      <c r="H3631" s="751"/>
      <c r="I3631" s="751"/>
      <c r="J3631" s="751"/>
      <c r="K3631" s="751"/>
      <c r="L3631" s="751"/>
      <c r="M3631" s="751"/>
      <c r="N3631" s="751"/>
      <c r="O3631" s="751"/>
      <c r="P3631" s="751"/>
      <c r="X3631" s="768" t="b">
        <f t="shared" si="418"/>
        <v>1</v>
      </c>
    </row>
    <row r="3632" hidden="1" outlineLevel="2" spans="2:24">
      <c r="B3632" s="685" t="s">
        <v>4585</v>
      </c>
      <c r="C3632" s="693" t="str">
        <f t="shared" si="417"/>
        <v>深圳新阳蓝光能源管理科技股份有限公司</v>
      </c>
      <c r="D3632" s="687" t="s">
        <v>4584</v>
      </c>
      <c r="E3632" s="1037"/>
      <c r="F3632" s="751"/>
      <c r="G3632" s="751"/>
      <c r="H3632" s="751"/>
      <c r="I3632" s="751"/>
      <c r="J3632" s="751"/>
      <c r="K3632" s="751"/>
      <c r="L3632" s="751"/>
      <c r="M3632" s="751"/>
      <c r="N3632" s="751"/>
      <c r="O3632" s="751"/>
      <c r="P3632" s="751"/>
      <c r="X3632" s="768" t="b">
        <f t="shared" si="418"/>
        <v>1</v>
      </c>
    </row>
    <row r="3633" hidden="1" outlineLevel="2" spans="2:24">
      <c r="B3633" s="685" t="s">
        <v>4585</v>
      </c>
      <c r="C3633" s="693" t="str">
        <f t="shared" si="417"/>
        <v>深圳新阳蓝光能源管理科技股份有限公司</v>
      </c>
      <c r="D3633" s="687" t="s">
        <v>4584</v>
      </c>
      <c r="E3633" s="1037"/>
      <c r="F3633" s="751"/>
      <c r="G3633" s="751"/>
      <c r="H3633" s="751"/>
      <c r="I3633" s="751"/>
      <c r="J3633" s="751"/>
      <c r="K3633" s="751"/>
      <c r="L3633" s="751"/>
      <c r="M3633" s="751"/>
      <c r="N3633" s="751"/>
      <c r="O3633" s="751"/>
      <c r="P3633" s="751"/>
      <c r="X3633" s="768" t="b">
        <f t="shared" si="418"/>
        <v>1</v>
      </c>
    </row>
    <row r="3634" collapsed="1" spans="1:24">
      <c r="A3634" s="90" t="s">
        <v>4607</v>
      </c>
      <c r="B3634" s="685" t="s">
        <v>4608</v>
      </c>
      <c r="C3634" s="693" t="str">
        <f t="shared" si="417"/>
        <v>深圳新阳蓝光能源管理科技股份有限公司</v>
      </c>
      <c r="D3634" s="687" t="s">
        <v>4607</v>
      </c>
      <c r="E3634" s="1808" t="s">
        <v>4607</v>
      </c>
      <c r="F3634" s="751"/>
      <c r="G3634" s="751"/>
      <c r="H3634" s="751"/>
      <c r="I3634" s="751"/>
      <c r="J3634" s="751"/>
      <c r="K3634" s="751"/>
      <c r="L3634" s="751"/>
      <c r="M3634" s="751"/>
      <c r="N3634" s="751"/>
      <c r="O3634" s="751"/>
      <c r="P3634" s="751"/>
      <c r="X3634" s="768" t="b">
        <f t="shared" si="418"/>
        <v>1</v>
      </c>
    </row>
    <row r="3635" hidden="1" outlineLevel="2" spans="1:24">
      <c r="A3635" s="90" t="s">
        <v>4576</v>
      </c>
      <c r="B3635" s="685" t="s">
        <v>4608</v>
      </c>
      <c r="C3635" s="693" t="str">
        <f t="shared" si="417"/>
        <v>深圳新阳蓝光能源管理科技股份有限公司</v>
      </c>
      <c r="D3635" s="687" t="s">
        <v>4607</v>
      </c>
      <c r="E3635" s="1037" t="s">
        <v>4577</v>
      </c>
      <c r="F3635" s="751"/>
      <c r="G3635" s="751"/>
      <c r="H3635" s="751"/>
      <c r="I3635" s="751"/>
      <c r="J3635" s="751"/>
      <c r="K3635" s="751"/>
      <c r="L3635" s="751"/>
      <c r="M3635" s="751"/>
      <c r="N3635" s="751"/>
      <c r="O3635" s="751"/>
      <c r="P3635" s="751"/>
      <c r="X3635" s="768" t="b">
        <f t="shared" si="418"/>
        <v>1</v>
      </c>
    </row>
    <row r="3636" hidden="1" outlineLevel="2" spans="1:24">
      <c r="A3636" s="90" t="s">
        <v>4609</v>
      </c>
      <c r="B3636" s="685" t="s">
        <v>4608</v>
      </c>
      <c r="C3636" s="693" t="str">
        <f t="shared" si="417"/>
        <v>深圳新阳蓝光能源管理科技股份有限公司</v>
      </c>
      <c r="D3636" s="687" t="s">
        <v>4607</v>
      </c>
      <c r="E3636" s="1037" t="s">
        <v>4610</v>
      </c>
      <c r="F3636" s="751"/>
      <c r="G3636" s="751"/>
      <c r="H3636" s="751"/>
      <c r="I3636" s="751"/>
      <c r="J3636" s="751"/>
      <c r="K3636" s="751"/>
      <c r="L3636" s="751"/>
      <c r="M3636" s="751"/>
      <c r="N3636" s="751"/>
      <c r="O3636" s="751"/>
      <c r="P3636" s="751"/>
      <c r="X3636" s="768" t="b">
        <f t="shared" si="418"/>
        <v>1</v>
      </c>
    </row>
    <row r="3637" hidden="1" outlineLevel="2" spans="1:24">
      <c r="A3637" s="90" t="s">
        <v>4611</v>
      </c>
      <c r="B3637" s="685" t="s">
        <v>4608</v>
      </c>
      <c r="C3637" s="693" t="str">
        <f t="shared" si="417"/>
        <v>深圳新阳蓝光能源管理科技股份有限公司</v>
      </c>
      <c r="D3637" s="687" t="s">
        <v>4607</v>
      </c>
      <c r="E3637" s="1037" t="s">
        <v>4612</v>
      </c>
      <c r="F3637" s="751"/>
      <c r="G3637" s="751"/>
      <c r="H3637" s="751"/>
      <c r="I3637" s="751"/>
      <c r="J3637" s="751"/>
      <c r="K3637" s="751"/>
      <c r="L3637" s="751"/>
      <c r="M3637" s="751"/>
      <c r="N3637" s="751"/>
      <c r="O3637" s="751"/>
      <c r="P3637" s="751"/>
      <c r="X3637" s="768" t="b">
        <f t="shared" si="418"/>
        <v>1</v>
      </c>
    </row>
    <row r="3638" hidden="1" outlineLevel="2" spans="1:24">
      <c r="A3638" s="90" t="s">
        <v>2809</v>
      </c>
      <c r="B3638" s="685" t="s">
        <v>4608</v>
      </c>
      <c r="C3638" s="693" t="str">
        <f t="shared" si="417"/>
        <v>深圳新阳蓝光能源管理科技股份有限公司</v>
      </c>
      <c r="D3638" s="687" t="s">
        <v>4607</v>
      </c>
      <c r="E3638" s="1037" t="s">
        <v>2829</v>
      </c>
      <c r="F3638" s="1477"/>
      <c r="G3638" s="1477"/>
      <c r="H3638" s="1477"/>
      <c r="I3638" s="1477"/>
      <c r="J3638" s="751"/>
      <c r="K3638" s="751"/>
      <c r="L3638" s="751"/>
      <c r="M3638" s="751"/>
      <c r="N3638" s="751"/>
      <c r="O3638" s="751"/>
      <c r="P3638" s="751"/>
      <c r="X3638" s="768" t="b">
        <f t="shared" si="418"/>
        <v>1</v>
      </c>
    </row>
    <row r="3639" hidden="1" outlineLevel="2" spans="2:24">
      <c r="B3639" s="685" t="s">
        <v>4608</v>
      </c>
      <c r="C3639" s="693" t="str">
        <f t="shared" si="417"/>
        <v>深圳新阳蓝光能源管理科技股份有限公司</v>
      </c>
      <c r="D3639" s="687" t="s">
        <v>4607</v>
      </c>
      <c r="E3639" s="1037"/>
      <c r="F3639" s="751"/>
      <c r="G3639" s="751"/>
      <c r="H3639" s="751"/>
      <c r="I3639" s="751"/>
      <c r="J3639" s="751"/>
      <c r="K3639" s="751"/>
      <c r="L3639" s="751"/>
      <c r="M3639" s="751"/>
      <c r="N3639" s="751"/>
      <c r="O3639" s="751"/>
      <c r="P3639" s="751"/>
      <c r="X3639" s="768" t="b">
        <f t="shared" si="418"/>
        <v>1</v>
      </c>
    </row>
    <row r="3640" collapsed="1" spans="1:24">
      <c r="A3640" s="90" t="s">
        <v>4613</v>
      </c>
      <c r="B3640" s="685" t="s">
        <v>4614</v>
      </c>
      <c r="C3640" s="693" t="str">
        <f t="shared" si="417"/>
        <v>深圳新阳蓝光能源管理科技股份有限公司</v>
      </c>
      <c r="D3640" s="687" t="s">
        <v>4613</v>
      </c>
      <c r="E3640" s="1808" t="s">
        <v>4613</v>
      </c>
      <c r="F3640" s="751"/>
      <c r="G3640" s="751"/>
      <c r="H3640" s="751"/>
      <c r="I3640" s="751"/>
      <c r="J3640" s="751"/>
      <c r="K3640" s="751"/>
      <c r="L3640" s="751"/>
      <c r="M3640" s="751"/>
      <c r="N3640" s="751"/>
      <c r="O3640" s="751"/>
      <c r="P3640" s="751"/>
      <c r="X3640" s="768" t="b">
        <f t="shared" si="418"/>
        <v>1</v>
      </c>
    </row>
    <row r="3641" hidden="1" outlineLevel="2" spans="1:24">
      <c r="A3641" s="90" t="s">
        <v>4576</v>
      </c>
      <c r="B3641" s="685" t="s">
        <v>4614</v>
      </c>
      <c r="C3641" s="693" t="str">
        <f t="shared" si="417"/>
        <v>深圳新阳蓝光能源管理科技股份有限公司</v>
      </c>
      <c r="D3641" s="687" t="s">
        <v>4613</v>
      </c>
      <c r="E3641" s="1037" t="s">
        <v>4577</v>
      </c>
      <c r="F3641" s="751"/>
      <c r="G3641" s="751"/>
      <c r="H3641" s="751"/>
      <c r="I3641" s="751"/>
      <c r="J3641" s="751"/>
      <c r="K3641" s="751"/>
      <c r="L3641" s="751"/>
      <c r="M3641" s="751"/>
      <c r="N3641" s="751"/>
      <c r="O3641" s="751"/>
      <c r="P3641" s="751"/>
      <c r="X3641" s="768" t="b">
        <f t="shared" si="418"/>
        <v>1</v>
      </c>
    </row>
    <row r="3642" hidden="1" outlineLevel="2" spans="1:24">
      <c r="A3642" s="90" t="s">
        <v>4615</v>
      </c>
      <c r="B3642" s="685" t="s">
        <v>4614</v>
      </c>
      <c r="C3642" s="693" t="str">
        <f t="shared" si="417"/>
        <v>深圳新阳蓝光能源管理科技股份有限公司</v>
      </c>
      <c r="D3642" s="687" t="s">
        <v>4613</v>
      </c>
      <c r="E3642" s="1037" t="s">
        <v>4616</v>
      </c>
      <c r="F3642" s="751"/>
      <c r="G3642" s="751"/>
      <c r="H3642" s="751"/>
      <c r="I3642" s="751"/>
      <c r="J3642" s="751"/>
      <c r="K3642" s="751"/>
      <c r="L3642" s="751"/>
      <c r="M3642" s="751"/>
      <c r="N3642" s="751"/>
      <c r="O3642" s="751"/>
      <c r="P3642" s="751"/>
      <c r="X3642" s="768" t="b">
        <f t="shared" si="418"/>
        <v>1</v>
      </c>
    </row>
    <row r="3643" hidden="1" outlineLevel="2" spans="1:24">
      <c r="A3643" s="90" t="s">
        <v>4617</v>
      </c>
      <c r="B3643" s="685" t="s">
        <v>4614</v>
      </c>
      <c r="C3643" s="693" t="str">
        <f t="shared" si="417"/>
        <v>深圳新阳蓝光能源管理科技股份有限公司</v>
      </c>
      <c r="D3643" s="687" t="s">
        <v>4613</v>
      </c>
      <c r="E3643" s="1037" t="s">
        <v>4618</v>
      </c>
      <c r="F3643" s="751"/>
      <c r="G3643" s="751"/>
      <c r="H3643" s="751"/>
      <c r="I3643" s="751"/>
      <c r="J3643" s="751"/>
      <c r="K3643" s="751"/>
      <c r="L3643" s="751"/>
      <c r="M3643" s="751"/>
      <c r="N3643" s="751"/>
      <c r="O3643" s="751"/>
      <c r="P3643" s="751"/>
      <c r="X3643" s="768" t="b">
        <f t="shared" si="418"/>
        <v>1</v>
      </c>
    </row>
    <row r="3644" hidden="1" outlineLevel="2" spans="1:24">
      <c r="A3644" s="90" t="s">
        <v>2809</v>
      </c>
      <c r="B3644" s="685" t="s">
        <v>4614</v>
      </c>
      <c r="C3644" s="693" t="str">
        <f t="shared" si="417"/>
        <v>深圳新阳蓝光能源管理科技股份有限公司</v>
      </c>
      <c r="D3644" s="687" t="s">
        <v>4613</v>
      </c>
      <c r="E3644" s="1037" t="s">
        <v>2829</v>
      </c>
      <c r="F3644" s="1477"/>
      <c r="G3644" s="1477"/>
      <c r="H3644" s="1477"/>
      <c r="I3644" s="1477"/>
      <c r="J3644" s="751"/>
      <c r="K3644" s="751"/>
      <c r="L3644" s="751"/>
      <c r="M3644" s="751"/>
      <c r="N3644" s="751"/>
      <c r="O3644" s="751"/>
      <c r="P3644" s="751"/>
      <c r="X3644" s="768" t="b">
        <f t="shared" si="418"/>
        <v>1</v>
      </c>
    </row>
    <row r="3645" hidden="1" outlineLevel="2" spans="2:24">
      <c r="B3645" s="685" t="s">
        <v>4614</v>
      </c>
      <c r="C3645" s="693" t="str">
        <f t="shared" si="417"/>
        <v>深圳新阳蓝光能源管理科技股份有限公司</v>
      </c>
      <c r="D3645" s="687" t="s">
        <v>4613</v>
      </c>
      <c r="E3645" s="1037"/>
      <c r="F3645" s="751"/>
      <c r="G3645" s="751"/>
      <c r="H3645" s="751"/>
      <c r="I3645" s="751"/>
      <c r="J3645" s="751"/>
      <c r="K3645" s="751"/>
      <c r="L3645" s="751"/>
      <c r="M3645" s="751"/>
      <c r="N3645" s="751"/>
      <c r="O3645" s="751"/>
      <c r="P3645" s="751"/>
      <c r="X3645" s="768" t="b">
        <f t="shared" si="418"/>
        <v>1</v>
      </c>
    </row>
    <row r="3646" hidden="1" outlineLevel="2" spans="2:24">
      <c r="B3646" s="685" t="s">
        <v>4614</v>
      </c>
      <c r="C3646" s="693" t="str">
        <f t="shared" si="417"/>
        <v>深圳新阳蓝光能源管理科技股份有限公司</v>
      </c>
      <c r="D3646" s="687" t="s">
        <v>4613</v>
      </c>
      <c r="E3646" s="1037"/>
      <c r="F3646" s="751"/>
      <c r="G3646" s="751"/>
      <c r="H3646" s="751"/>
      <c r="I3646" s="751"/>
      <c r="J3646" s="751"/>
      <c r="K3646" s="751"/>
      <c r="L3646" s="751"/>
      <c r="M3646" s="751"/>
      <c r="N3646" s="751"/>
      <c r="O3646" s="751"/>
      <c r="P3646" s="751"/>
      <c r="X3646" s="768" t="b">
        <f t="shared" si="418"/>
        <v>1</v>
      </c>
    </row>
    <row r="3647" spans="1:24">
      <c r="A3647" s="90" t="s">
        <v>4619</v>
      </c>
      <c r="B3647" s="685" t="s">
        <v>4620</v>
      </c>
      <c r="C3647" s="693" t="str">
        <f t="shared" si="417"/>
        <v>深圳新阳蓝光能源管理科技股份有限公司</v>
      </c>
      <c r="D3647" s="687" t="s">
        <v>4621</v>
      </c>
      <c r="E3647" s="1808" t="s">
        <v>4619</v>
      </c>
      <c r="F3647" s="751"/>
      <c r="G3647" s="751"/>
      <c r="H3647" s="751"/>
      <c r="I3647" s="751"/>
      <c r="J3647" s="751"/>
      <c r="K3647" s="751"/>
      <c r="L3647" s="751"/>
      <c r="M3647" s="751"/>
      <c r="N3647" s="751"/>
      <c r="O3647" s="751"/>
      <c r="P3647" s="751"/>
      <c r="X3647" s="768" t="b">
        <f t="shared" si="418"/>
        <v>1</v>
      </c>
    </row>
    <row r="3648" outlineLevel="2" spans="1:24">
      <c r="A3648" s="90" t="s">
        <v>4621</v>
      </c>
      <c r="B3648" s="685" t="s">
        <v>4620</v>
      </c>
      <c r="C3648" s="693" t="str">
        <f t="shared" si="417"/>
        <v>深圳新阳蓝光能源管理科技股份有限公司</v>
      </c>
      <c r="D3648" s="687" t="s">
        <v>4621</v>
      </c>
      <c r="E3648" s="1037" t="s">
        <v>4622</v>
      </c>
      <c r="F3648" s="751"/>
      <c r="G3648" s="751"/>
      <c r="H3648" s="751"/>
      <c r="I3648" s="751"/>
      <c r="J3648" s="751"/>
      <c r="K3648" s="751"/>
      <c r="L3648" s="751"/>
      <c r="M3648" s="751"/>
      <c r="N3648" s="751"/>
      <c r="O3648" s="751"/>
      <c r="P3648" s="751"/>
      <c r="X3648" s="768" t="b">
        <f t="shared" si="418"/>
        <v>1</v>
      </c>
    </row>
    <row r="3649" outlineLevel="2" spans="1:24">
      <c r="A3649" s="90" t="s">
        <v>4623</v>
      </c>
      <c r="B3649" s="685" t="s">
        <v>4620</v>
      </c>
      <c r="C3649" s="693" t="str">
        <f t="shared" si="417"/>
        <v>深圳新阳蓝光能源管理科技股份有限公司</v>
      </c>
      <c r="D3649" s="687" t="s">
        <v>4621</v>
      </c>
      <c r="E3649" s="1234" t="s">
        <v>4623</v>
      </c>
      <c r="F3649" s="1234" t="s">
        <v>4624</v>
      </c>
      <c r="G3649" s="751"/>
      <c r="H3649" s="751"/>
      <c r="I3649" s="751"/>
      <c r="J3649" s="751"/>
      <c r="K3649" s="751"/>
      <c r="L3649" s="751"/>
      <c r="M3649" s="751"/>
      <c r="N3649" s="751"/>
      <c r="O3649" s="751"/>
      <c r="P3649" s="751"/>
      <c r="X3649" s="768" t="b">
        <f t="shared" si="418"/>
        <v>1</v>
      </c>
    </row>
    <row r="3650" outlineLevel="2" spans="1:24">
      <c r="A3650" s="90" t="s">
        <v>2026</v>
      </c>
      <c r="B3650" s="685" t="s">
        <v>4620</v>
      </c>
      <c r="C3650" s="693" t="str">
        <f t="shared" si="417"/>
        <v>深圳新阳蓝光能源管理科技股份有限公司</v>
      </c>
      <c r="D3650" s="687" t="s">
        <v>4621</v>
      </c>
      <c r="E3650" s="1325" t="s">
        <v>2921</v>
      </c>
      <c r="F3650" s="1323"/>
      <c r="G3650" s="751"/>
      <c r="H3650" s="751"/>
      <c r="I3650" s="751"/>
      <c r="J3650" s="751"/>
      <c r="K3650" s="751"/>
      <c r="L3650" s="751"/>
      <c r="M3650" s="751"/>
      <c r="N3650" s="751"/>
      <c r="O3650" s="751"/>
      <c r="P3650" s="751"/>
      <c r="X3650" s="768" t="b">
        <f t="shared" si="418"/>
        <v>1</v>
      </c>
    </row>
    <row r="3651" outlineLevel="2" spans="1:24">
      <c r="A3651" s="90" t="s">
        <v>4625</v>
      </c>
      <c r="B3651" s="685" t="s">
        <v>4620</v>
      </c>
      <c r="C3651" s="693" t="str">
        <f t="shared" si="417"/>
        <v>深圳新阳蓝光能源管理科技股份有限公司</v>
      </c>
      <c r="D3651" s="687" t="s">
        <v>4621</v>
      </c>
      <c r="E3651" s="1325" t="s">
        <v>4626</v>
      </c>
      <c r="F3651" s="1323"/>
      <c r="G3651" s="751"/>
      <c r="H3651" s="751"/>
      <c r="I3651" s="751"/>
      <c r="J3651" s="751"/>
      <c r="K3651" s="751"/>
      <c r="L3651" s="751"/>
      <c r="M3651" s="751"/>
      <c r="N3651" s="751"/>
      <c r="O3651" s="751"/>
      <c r="P3651" s="751"/>
      <c r="X3651" s="768" t="b">
        <f t="shared" si="418"/>
        <v>1</v>
      </c>
    </row>
    <row r="3652" outlineLevel="2" spans="1:24">
      <c r="A3652" s="90" t="s">
        <v>4627</v>
      </c>
      <c r="B3652" s="685" t="s">
        <v>4620</v>
      </c>
      <c r="C3652" s="693" t="str">
        <f t="shared" si="417"/>
        <v>深圳新阳蓝光能源管理科技股份有限公司</v>
      </c>
      <c r="D3652" s="687" t="s">
        <v>4621</v>
      </c>
      <c r="E3652" s="1325" t="s">
        <v>4628</v>
      </c>
      <c r="F3652" s="1323"/>
      <c r="G3652" s="751"/>
      <c r="H3652" s="751"/>
      <c r="I3652" s="751"/>
      <c r="J3652" s="751"/>
      <c r="K3652" s="751"/>
      <c r="L3652" s="751"/>
      <c r="M3652" s="751"/>
      <c r="N3652" s="751"/>
      <c r="O3652" s="751"/>
      <c r="P3652" s="751"/>
      <c r="X3652" s="768" t="b">
        <f t="shared" si="418"/>
        <v>1</v>
      </c>
    </row>
    <row r="3653" outlineLevel="2" spans="1:24">
      <c r="A3653" s="90" t="s">
        <v>4629</v>
      </c>
      <c r="B3653" s="685" t="s">
        <v>4620</v>
      </c>
      <c r="C3653" s="693" t="str">
        <f t="shared" si="417"/>
        <v>深圳新阳蓝光能源管理科技股份有限公司</v>
      </c>
      <c r="D3653" s="687" t="s">
        <v>4621</v>
      </c>
      <c r="E3653" s="1325" t="s">
        <v>2624</v>
      </c>
      <c r="F3653" s="1323"/>
      <c r="G3653" s="751"/>
      <c r="H3653" s="751"/>
      <c r="I3653" s="751"/>
      <c r="J3653" s="751"/>
      <c r="K3653" s="751"/>
      <c r="L3653" s="751"/>
      <c r="M3653" s="751"/>
      <c r="N3653" s="751"/>
      <c r="O3653" s="751"/>
      <c r="P3653" s="751"/>
      <c r="X3653" s="768" t="b">
        <f t="shared" si="418"/>
        <v>1</v>
      </c>
    </row>
    <row r="3654" outlineLevel="2" spans="1:24">
      <c r="A3654" s="90" t="s">
        <v>2018</v>
      </c>
      <c r="B3654" s="685" t="s">
        <v>4620</v>
      </c>
      <c r="C3654" s="693" t="str">
        <f t="shared" si="417"/>
        <v>深圳新阳蓝光能源管理科技股份有限公司</v>
      </c>
      <c r="D3654" s="687" t="s">
        <v>4621</v>
      </c>
      <c r="E3654" s="1834" t="s">
        <v>3545</v>
      </c>
      <c r="F3654" s="1071">
        <f>SUM(F3650:F3653)</f>
        <v>0</v>
      </c>
      <c r="G3654" s="751"/>
      <c r="H3654" s="751"/>
      <c r="I3654" s="751"/>
      <c r="J3654" s="751"/>
      <c r="K3654" s="751"/>
      <c r="L3654" s="751"/>
      <c r="M3654" s="751"/>
      <c r="N3654" s="751"/>
      <c r="O3654" s="751"/>
      <c r="P3654" s="751"/>
      <c r="X3654" s="768" t="b">
        <f t="shared" si="418"/>
        <v>1</v>
      </c>
    </row>
    <row r="3655" outlineLevel="2" spans="1:24">
      <c r="A3655" s="90" t="s">
        <v>4630</v>
      </c>
      <c r="B3655" s="685" t="s">
        <v>4620</v>
      </c>
      <c r="C3655" s="693" t="str">
        <f t="shared" si="417"/>
        <v>深圳新阳蓝光能源管理科技股份有限公司</v>
      </c>
      <c r="D3655" s="687" t="s">
        <v>4621</v>
      </c>
      <c r="E3655" s="1037" t="s">
        <v>4630</v>
      </c>
      <c r="F3655" s="751"/>
      <c r="G3655" s="751"/>
      <c r="H3655" s="751"/>
      <c r="I3655" s="751"/>
      <c r="J3655" s="751"/>
      <c r="K3655" s="751"/>
      <c r="L3655" s="751"/>
      <c r="M3655" s="751"/>
      <c r="N3655" s="751"/>
      <c r="O3655" s="751"/>
      <c r="P3655" s="751"/>
      <c r="X3655" s="768" t="b">
        <f t="shared" si="418"/>
        <v>1</v>
      </c>
    </row>
    <row r="3656" outlineLevel="2" spans="1:24">
      <c r="A3656" s="90" t="s">
        <v>2809</v>
      </c>
      <c r="B3656" s="685" t="s">
        <v>4620</v>
      </c>
      <c r="C3656" s="693" t="str">
        <f t="shared" si="417"/>
        <v>深圳新阳蓝光能源管理科技股份有限公司</v>
      </c>
      <c r="D3656" s="687" t="s">
        <v>4621</v>
      </c>
      <c r="E3656" s="1037" t="s">
        <v>2829</v>
      </c>
      <c r="F3656" s="1477"/>
      <c r="G3656" s="1477"/>
      <c r="H3656" s="1477"/>
      <c r="I3656" s="1477"/>
      <c r="J3656" s="751"/>
      <c r="K3656" s="751"/>
      <c r="L3656" s="751"/>
      <c r="M3656" s="751"/>
      <c r="N3656" s="751"/>
      <c r="O3656" s="751"/>
      <c r="P3656" s="751"/>
      <c r="X3656" s="768" t="b">
        <f t="shared" si="418"/>
        <v>1</v>
      </c>
    </row>
    <row r="3657" outlineLevel="2" spans="2:24">
      <c r="B3657" s="685" t="s">
        <v>4620</v>
      </c>
      <c r="C3657" s="693" t="str">
        <f t="shared" si="417"/>
        <v>深圳新阳蓝光能源管理科技股份有限公司</v>
      </c>
      <c r="D3657" s="687" t="s">
        <v>4621</v>
      </c>
      <c r="E3657" s="1037"/>
      <c r="F3657" s="751"/>
      <c r="G3657" s="751"/>
      <c r="H3657" s="751"/>
      <c r="I3657" s="751"/>
      <c r="J3657" s="751"/>
      <c r="K3657" s="751"/>
      <c r="L3657" s="751"/>
      <c r="M3657" s="751"/>
      <c r="N3657" s="751"/>
      <c r="O3657" s="751"/>
      <c r="P3657" s="751"/>
      <c r="X3657" s="768" t="b">
        <f t="shared" si="418"/>
        <v>1</v>
      </c>
    </row>
    <row r="3658" outlineLevel="2" spans="2:24">
      <c r="B3658" s="685" t="s">
        <v>4620</v>
      </c>
      <c r="C3658" s="693" t="str">
        <f t="shared" si="417"/>
        <v>深圳新阳蓝光能源管理科技股份有限公司</v>
      </c>
      <c r="D3658" s="687" t="s">
        <v>4621</v>
      </c>
      <c r="E3658" s="1037"/>
      <c r="F3658" s="751"/>
      <c r="G3658" s="751"/>
      <c r="H3658" s="751"/>
      <c r="I3658" s="751"/>
      <c r="J3658" s="751"/>
      <c r="K3658" s="751"/>
      <c r="L3658" s="751"/>
      <c r="M3658" s="751"/>
      <c r="N3658" s="751"/>
      <c r="O3658" s="751"/>
      <c r="P3658" s="751"/>
      <c r="X3658" s="768" t="b">
        <f t="shared" si="418"/>
        <v>1</v>
      </c>
    </row>
    <row r="3659" outlineLevel="2" spans="1:24">
      <c r="A3659" s="90" t="s">
        <v>4631</v>
      </c>
      <c r="B3659" s="685" t="s">
        <v>4620</v>
      </c>
      <c r="C3659" s="693" t="str">
        <f t="shared" si="417"/>
        <v>深圳新阳蓝光能源管理科技股份有限公司</v>
      </c>
      <c r="D3659" s="687" t="s">
        <v>4631</v>
      </c>
      <c r="E3659" s="1037" t="s">
        <v>4632</v>
      </c>
      <c r="F3659" s="751"/>
      <c r="G3659" s="751"/>
      <c r="H3659" s="751"/>
      <c r="I3659" s="751"/>
      <c r="J3659" s="751"/>
      <c r="K3659" s="751"/>
      <c r="L3659" s="751"/>
      <c r="M3659" s="751"/>
      <c r="N3659" s="751"/>
      <c r="O3659" s="751"/>
      <c r="P3659" s="751"/>
      <c r="X3659" s="768" t="b">
        <f t="shared" si="418"/>
        <v>1</v>
      </c>
    </row>
    <row r="3660" outlineLevel="2" spans="1:24">
      <c r="A3660" s="90" t="s">
        <v>4633</v>
      </c>
      <c r="B3660" s="685" t="s">
        <v>4620</v>
      </c>
      <c r="C3660" s="693" t="str">
        <f t="shared" si="417"/>
        <v>深圳新阳蓝光能源管理科技股份有限公司</v>
      </c>
      <c r="D3660" s="687" t="s">
        <v>4631</v>
      </c>
      <c r="E3660" s="851" t="s">
        <v>4633</v>
      </c>
      <c r="F3660" s="851" t="s">
        <v>627</v>
      </c>
      <c r="G3660" s="851" t="s">
        <v>3130</v>
      </c>
      <c r="H3660" s="751"/>
      <c r="I3660" s="751"/>
      <c r="J3660" s="751"/>
      <c r="K3660" s="751"/>
      <c r="L3660" s="751"/>
      <c r="M3660" s="751"/>
      <c r="N3660" s="751"/>
      <c r="O3660" s="751"/>
      <c r="P3660" s="751"/>
      <c r="X3660" s="768" t="b">
        <f t="shared" si="418"/>
        <v>1</v>
      </c>
    </row>
    <row r="3661" outlineLevel="2" spans="1:24">
      <c r="A3661" s="90" t="s">
        <v>4634</v>
      </c>
      <c r="B3661" s="685" t="s">
        <v>4620</v>
      </c>
      <c r="C3661" s="693" t="str">
        <f t="shared" ref="C3661:C3724" si="419">$G$1</f>
        <v>深圳新阳蓝光能源管理科技股份有限公司</v>
      </c>
      <c r="D3661" s="687" t="s">
        <v>4631</v>
      </c>
      <c r="E3661" s="933" t="s">
        <v>4635</v>
      </c>
      <c r="F3661" s="1296"/>
      <c r="G3661" s="1296"/>
      <c r="H3661" s="751"/>
      <c r="I3661" s="751"/>
      <c r="J3661" s="751"/>
      <c r="K3661" s="751"/>
      <c r="L3661" s="751"/>
      <c r="M3661" s="751"/>
      <c r="N3661" s="751"/>
      <c r="O3661" s="751"/>
      <c r="P3661" s="751"/>
      <c r="X3661" s="768" t="b">
        <f t="shared" si="418"/>
        <v>1</v>
      </c>
    </row>
    <row r="3662" outlineLevel="2" spans="1:24">
      <c r="A3662" s="90" t="s">
        <v>4636</v>
      </c>
      <c r="B3662" s="685" t="s">
        <v>4620</v>
      </c>
      <c r="C3662" s="693" t="str">
        <f t="shared" si="419"/>
        <v>深圳新阳蓝光能源管理科技股份有限公司</v>
      </c>
      <c r="D3662" s="687" t="s">
        <v>4631</v>
      </c>
      <c r="E3662" s="933" t="s">
        <v>4637</v>
      </c>
      <c r="F3662" s="1296"/>
      <c r="G3662" s="1296"/>
      <c r="H3662" s="751"/>
      <c r="I3662" s="751"/>
      <c r="J3662" s="751"/>
      <c r="K3662" s="751"/>
      <c r="L3662" s="751"/>
      <c r="M3662" s="751"/>
      <c r="N3662" s="751"/>
      <c r="O3662" s="751"/>
      <c r="P3662" s="751"/>
      <c r="X3662" s="768" t="b">
        <f t="shared" si="418"/>
        <v>1</v>
      </c>
    </row>
    <row r="3663" outlineLevel="2" spans="1:24">
      <c r="A3663" s="90" t="s">
        <v>4638</v>
      </c>
      <c r="B3663" s="685" t="s">
        <v>4620</v>
      </c>
      <c r="C3663" s="693" t="str">
        <f t="shared" si="419"/>
        <v>深圳新阳蓝光能源管理科技股份有限公司</v>
      </c>
      <c r="D3663" s="687" t="s">
        <v>4631</v>
      </c>
      <c r="E3663" s="933" t="s">
        <v>4638</v>
      </c>
      <c r="F3663" s="1296"/>
      <c r="G3663" s="1296"/>
      <c r="H3663" s="751"/>
      <c r="I3663" s="751"/>
      <c r="J3663" s="751"/>
      <c r="K3663" s="751"/>
      <c r="L3663" s="751"/>
      <c r="M3663" s="751"/>
      <c r="N3663" s="751"/>
      <c r="O3663" s="751"/>
      <c r="P3663" s="751"/>
      <c r="X3663" s="768" t="b">
        <f t="shared" si="418"/>
        <v>1</v>
      </c>
    </row>
    <row r="3664" outlineLevel="2" spans="1:24">
      <c r="A3664" s="90" t="s">
        <v>347</v>
      </c>
      <c r="B3664" s="685" t="s">
        <v>4620</v>
      </c>
      <c r="C3664" s="693" t="str">
        <f t="shared" si="419"/>
        <v>深圳新阳蓝光能源管理科技股份有限公司</v>
      </c>
      <c r="D3664" s="687" t="s">
        <v>4631</v>
      </c>
      <c r="E3664" s="1447" t="s">
        <v>3692</v>
      </c>
      <c r="F3664" s="1153">
        <f>SUM(F3661:F3663)</f>
        <v>0</v>
      </c>
      <c r="G3664" s="1153">
        <f>SUM(G3661:G3663)</f>
        <v>0</v>
      </c>
      <c r="H3664" s="751"/>
      <c r="I3664" s="751"/>
      <c r="J3664" s="751"/>
      <c r="K3664" s="751"/>
      <c r="L3664" s="751"/>
      <c r="M3664" s="751"/>
      <c r="N3664" s="751"/>
      <c r="O3664" s="751"/>
      <c r="P3664" s="751"/>
      <c r="X3664" s="768" t="b">
        <f t="shared" si="418"/>
        <v>1</v>
      </c>
    </row>
    <row r="3665" outlineLevel="2" spans="2:24">
      <c r="B3665" s="685" t="s">
        <v>4620</v>
      </c>
      <c r="C3665" s="693" t="str">
        <f t="shared" si="419"/>
        <v>深圳新阳蓝光能源管理科技股份有限公司</v>
      </c>
      <c r="D3665" s="687" t="s">
        <v>4631</v>
      </c>
      <c r="E3665" s="1037"/>
      <c r="F3665" s="751"/>
      <c r="G3665" s="751"/>
      <c r="H3665" s="751"/>
      <c r="I3665" s="751"/>
      <c r="J3665" s="751"/>
      <c r="K3665" s="751"/>
      <c r="L3665" s="751"/>
      <c r="M3665" s="751"/>
      <c r="N3665" s="751"/>
      <c r="O3665" s="751"/>
      <c r="P3665" s="751"/>
      <c r="X3665" s="768" t="b">
        <f t="shared" si="418"/>
        <v>1</v>
      </c>
    </row>
    <row r="3666" outlineLevel="2" spans="1:24">
      <c r="A3666" s="90" t="s">
        <v>4639</v>
      </c>
      <c r="B3666" s="685" t="s">
        <v>4620</v>
      </c>
      <c r="C3666" s="693" t="str">
        <f t="shared" si="419"/>
        <v>深圳新阳蓝光能源管理科技股份有限公司</v>
      </c>
      <c r="D3666" s="687" t="s">
        <v>4639</v>
      </c>
      <c r="E3666" s="1037" t="s">
        <v>4640</v>
      </c>
      <c r="F3666" s="751"/>
      <c r="G3666" s="751"/>
      <c r="H3666" s="751"/>
      <c r="I3666" s="751"/>
      <c r="J3666" s="751"/>
      <c r="K3666" s="751"/>
      <c r="L3666" s="751"/>
      <c r="M3666" s="751"/>
      <c r="N3666" s="751"/>
      <c r="O3666" s="751"/>
      <c r="P3666" s="751"/>
      <c r="X3666" s="768" t="b">
        <f t="shared" si="418"/>
        <v>1</v>
      </c>
    </row>
    <row r="3667" outlineLevel="2" spans="1:24">
      <c r="A3667" s="90" t="s">
        <v>4641</v>
      </c>
      <c r="B3667" s="685" t="s">
        <v>4620</v>
      </c>
      <c r="C3667" s="693" t="str">
        <f t="shared" si="419"/>
        <v>深圳新阳蓝光能源管理科技股份有限公司</v>
      </c>
      <c r="D3667" s="687" t="s">
        <v>4639</v>
      </c>
      <c r="E3667" s="1037" t="s">
        <v>4642</v>
      </c>
      <c r="F3667" s="751"/>
      <c r="G3667" s="751"/>
      <c r="H3667" s="751"/>
      <c r="I3667" s="751"/>
      <c r="J3667" s="751"/>
      <c r="K3667" s="751"/>
      <c r="L3667" s="751"/>
      <c r="M3667" s="751"/>
      <c r="N3667" s="751"/>
      <c r="O3667" s="751"/>
      <c r="P3667" s="751"/>
      <c r="X3667" s="768" t="b">
        <f t="shared" si="418"/>
        <v>1</v>
      </c>
    </row>
    <row r="3668" outlineLevel="2" spans="1:24">
      <c r="A3668" s="90" t="s">
        <v>4633</v>
      </c>
      <c r="B3668" s="685" t="s">
        <v>4620</v>
      </c>
      <c r="C3668" s="693" t="str">
        <f t="shared" si="419"/>
        <v>深圳新阳蓝光能源管理科技股份有限公司</v>
      </c>
      <c r="D3668" s="687" t="s">
        <v>4639</v>
      </c>
      <c r="E3668" s="851" t="s">
        <v>4633</v>
      </c>
      <c r="F3668" s="851" t="s">
        <v>671</v>
      </c>
      <c r="G3668" s="851"/>
      <c r="H3668" s="851"/>
      <c r="I3668" s="851" t="s">
        <v>516</v>
      </c>
      <c r="J3668" s="851"/>
      <c r="K3668" s="851"/>
      <c r="L3668" s="751"/>
      <c r="M3668" s="751"/>
      <c r="N3668" s="751"/>
      <c r="O3668" s="751"/>
      <c r="P3668" s="751"/>
      <c r="X3668" s="768" t="b">
        <f t="shared" si="418"/>
        <v>1</v>
      </c>
    </row>
    <row r="3669" outlineLevel="2" spans="2:24">
      <c r="B3669" s="685" t="s">
        <v>4620</v>
      </c>
      <c r="C3669" s="693" t="str">
        <f t="shared" si="419"/>
        <v>深圳新阳蓝光能源管理科技股份有限公司</v>
      </c>
      <c r="D3669" s="687" t="s">
        <v>4639</v>
      </c>
      <c r="E3669" s="851"/>
      <c r="F3669" s="851" t="s">
        <v>4643</v>
      </c>
      <c r="G3669" s="851" t="s">
        <v>860</v>
      </c>
      <c r="H3669" s="851" t="s">
        <v>4644</v>
      </c>
      <c r="I3669" s="851" t="s">
        <v>4643</v>
      </c>
      <c r="J3669" s="851" t="s">
        <v>860</v>
      </c>
      <c r="K3669" s="851" t="s">
        <v>4644</v>
      </c>
      <c r="L3669" s="751"/>
      <c r="M3669" s="751"/>
      <c r="N3669" s="751"/>
      <c r="O3669" s="751"/>
      <c r="P3669" s="751"/>
      <c r="X3669" s="768" t="b">
        <f t="shared" si="418"/>
        <v>1</v>
      </c>
    </row>
    <row r="3670" outlineLevel="2" spans="2:24">
      <c r="B3670" s="685" t="s">
        <v>4620</v>
      </c>
      <c r="C3670" s="693" t="str">
        <f t="shared" si="419"/>
        <v>深圳新阳蓝光能源管理科技股份有限公司</v>
      </c>
      <c r="D3670" s="687" t="s">
        <v>4639</v>
      </c>
      <c r="E3670" s="1835"/>
      <c r="F3670" s="1835"/>
      <c r="G3670" s="1835"/>
      <c r="H3670" s="1835"/>
      <c r="I3670" s="1835"/>
      <c r="J3670" s="1835"/>
      <c r="K3670" s="1835"/>
      <c r="L3670" s="751"/>
      <c r="M3670" s="751"/>
      <c r="N3670" s="751"/>
      <c r="O3670" s="751"/>
      <c r="P3670" s="751"/>
      <c r="X3670" s="768" t="b">
        <f t="shared" si="418"/>
        <v>1</v>
      </c>
    </row>
    <row r="3671" outlineLevel="2" spans="2:24">
      <c r="B3671" s="685" t="s">
        <v>4620</v>
      </c>
      <c r="C3671" s="693" t="str">
        <f t="shared" si="419"/>
        <v>深圳新阳蓝光能源管理科技股份有限公司</v>
      </c>
      <c r="D3671" s="687" t="s">
        <v>4639</v>
      </c>
      <c r="E3671" s="1836"/>
      <c r="F3671" s="1836"/>
      <c r="G3671" s="1836"/>
      <c r="H3671" s="1837"/>
      <c r="I3671" s="1837"/>
      <c r="J3671" s="1837"/>
      <c r="K3671" s="1837"/>
      <c r="L3671" s="751"/>
      <c r="M3671" s="751"/>
      <c r="N3671" s="751"/>
      <c r="O3671" s="751"/>
      <c r="P3671" s="751"/>
      <c r="X3671" s="768" t="b">
        <f t="shared" si="418"/>
        <v>1</v>
      </c>
    </row>
    <row r="3672" outlineLevel="2" spans="2:24">
      <c r="B3672" s="685" t="s">
        <v>4620</v>
      </c>
      <c r="C3672" s="693" t="str">
        <f t="shared" si="419"/>
        <v>深圳新阳蓝光能源管理科技股份有限公司</v>
      </c>
      <c r="D3672" s="687" t="s">
        <v>4639</v>
      </c>
      <c r="E3672" s="1838"/>
      <c r="F3672" s="1838"/>
      <c r="G3672" s="1838"/>
      <c r="H3672" s="1839"/>
      <c r="I3672" s="1839"/>
      <c r="J3672" s="1839"/>
      <c r="K3672" s="1839"/>
      <c r="L3672" s="751"/>
      <c r="M3672" s="751"/>
      <c r="N3672" s="751"/>
      <c r="O3672" s="751"/>
      <c r="P3672" s="751"/>
      <c r="X3672" s="768" t="b">
        <f t="shared" si="418"/>
        <v>1</v>
      </c>
    </row>
    <row r="3673" outlineLevel="2" spans="2:24">
      <c r="B3673" s="685" t="s">
        <v>4620</v>
      </c>
      <c r="C3673" s="693" t="str">
        <f t="shared" si="419"/>
        <v>深圳新阳蓝光能源管理科技股份有限公司</v>
      </c>
      <c r="D3673" s="687" t="s">
        <v>4639</v>
      </c>
      <c r="E3673" s="1840" t="s">
        <v>347</v>
      </c>
      <c r="F3673" s="1841">
        <f>SUM(F3670:F3672)</f>
        <v>0</v>
      </c>
      <c r="G3673" s="1841">
        <f t="shared" ref="G3673:K3673" si="420">SUM(G3670:G3672)</f>
        <v>0</v>
      </c>
      <c r="H3673" s="1841">
        <f t="shared" si="420"/>
        <v>0</v>
      </c>
      <c r="I3673" s="1841">
        <f t="shared" si="420"/>
        <v>0</v>
      </c>
      <c r="J3673" s="1841">
        <f t="shared" si="420"/>
        <v>0</v>
      </c>
      <c r="K3673" s="1841">
        <f t="shared" si="420"/>
        <v>0</v>
      </c>
      <c r="L3673" s="751"/>
      <c r="M3673" s="751"/>
      <c r="N3673" s="751"/>
      <c r="O3673" s="751"/>
      <c r="P3673" s="751"/>
      <c r="X3673" s="768" t="b">
        <f t="shared" si="418"/>
        <v>0</v>
      </c>
    </row>
    <row r="3674" outlineLevel="2" spans="1:24">
      <c r="A3674" s="90" t="s">
        <v>4645</v>
      </c>
      <c r="B3674" s="685" t="s">
        <v>4620</v>
      </c>
      <c r="C3674" s="693" t="str">
        <f t="shared" si="419"/>
        <v>深圳新阳蓝光能源管理科技股份有限公司</v>
      </c>
      <c r="D3674" s="687" t="s">
        <v>4639</v>
      </c>
      <c r="E3674" s="1037" t="s">
        <v>4646</v>
      </c>
      <c r="F3674" s="751"/>
      <c r="G3674" s="751"/>
      <c r="H3674" s="751"/>
      <c r="I3674" s="751"/>
      <c r="J3674" s="751"/>
      <c r="K3674" s="751"/>
      <c r="L3674" s="751"/>
      <c r="M3674" s="751"/>
      <c r="N3674" s="751"/>
      <c r="O3674" s="751"/>
      <c r="P3674" s="751"/>
      <c r="X3674" s="768" t="b">
        <f t="shared" si="418"/>
        <v>1</v>
      </c>
    </row>
    <row r="3675" outlineLevel="2" spans="1:24">
      <c r="A3675" s="90" t="s">
        <v>2809</v>
      </c>
      <c r="B3675" s="685" t="s">
        <v>4620</v>
      </c>
      <c r="C3675" s="693" t="str">
        <f t="shared" si="419"/>
        <v>深圳新阳蓝光能源管理科技股份有限公司</v>
      </c>
      <c r="D3675" s="687" t="s">
        <v>4639</v>
      </c>
      <c r="E3675" s="1037" t="s">
        <v>2829</v>
      </c>
      <c r="F3675" s="1477"/>
      <c r="G3675" s="1477"/>
      <c r="H3675" s="751"/>
      <c r="I3675" s="751"/>
      <c r="J3675" s="751"/>
      <c r="K3675" s="751"/>
      <c r="L3675" s="751"/>
      <c r="M3675" s="751"/>
      <c r="N3675" s="751"/>
      <c r="O3675" s="751"/>
      <c r="P3675" s="751"/>
      <c r="X3675" s="768" t="b">
        <f t="shared" si="418"/>
        <v>1</v>
      </c>
    </row>
    <row r="3676" outlineLevel="2" spans="1:24">
      <c r="A3676" s="90" t="s">
        <v>4647</v>
      </c>
      <c r="B3676" s="685" t="s">
        <v>4620</v>
      </c>
      <c r="C3676" s="693" t="str">
        <f t="shared" si="419"/>
        <v>深圳新阳蓝光能源管理科技股份有限公司</v>
      </c>
      <c r="D3676" s="687" t="s">
        <v>4639</v>
      </c>
      <c r="E3676" s="1037" t="s">
        <v>4648</v>
      </c>
      <c r="F3676" s="751"/>
      <c r="G3676" s="751"/>
      <c r="H3676" s="751"/>
      <c r="I3676" s="751"/>
      <c r="J3676" s="751"/>
      <c r="K3676" s="751"/>
      <c r="L3676" s="751"/>
      <c r="M3676" s="751"/>
      <c r="N3676" s="751"/>
      <c r="O3676" s="751"/>
      <c r="P3676" s="751"/>
      <c r="X3676" s="768" t="b">
        <f t="shared" si="418"/>
        <v>1</v>
      </c>
    </row>
    <row r="3677" outlineLevel="2" spans="1:24">
      <c r="A3677" s="90" t="s">
        <v>4623</v>
      </c>
      <c r="B3677" s="685" t="s">
        <v>4620</v>
      </c>
      <c r="C3677" s="693" t="str">
        <f t="shared" si="419"/>
        <v>深圳新阳蓝光能源管理科技股份有限公司</v>
      </c>
      <c r="D3677" s="687" t="s">
        <v>4639</v>
      </c>
      <c r="E3677" s="1842" t="s">
        <v>4623</v>
      </c>
      <c r="F3677" s="1842" t="s">
        <v>4649</v>
      </c>
      <c r="G3677" s="751"/>
      <c r="H3677" s="751"/>
      <c r="I3677" s="751"/>
      <c r="J3677" s="751"/>
      <c r="K3677" s="751"/>
      <c r="L3677" s="751"/>
      <c r="M3677" s="751"/>
      <c r="N3677" s="751"/>
      <c r="O3677" s="751"/>
      <c r="P3677" s="751"/>
      <c r="X3677" s="768" t="b">
        <f t="shared" si="418"/>
        <v>1</v>
      </c>
    </row>
    <row r="3678" outlineLevel="2" spans="1:24">
      <c r="A3678" s="90" t="s">
        <v>4650</v>
      </c>
      <c r="B3678" s="685" t="s">
        <v>4620</v>
      </c>
      <c r="C3678" s="693" t="str">
        <f t="shared" si="419"/>
        <v>深圳新阳蓝光能源管理科技股份有限公司</v>
      </c>
      <c r="D3678" s="687" t="s">
        <v>4639</v>
      </c>
      <c r="E3678" s="789" t="s">
        <v>4651</v>
      </c>
      <c r="F3678" s="1244"/>
      <c r="G3678" s="751"/>
      <c r="H3678" s="751"/>
      <c r="I3678" s="751"/>
      <c r="J3678" s="751"/>
      <c r="K3678" s="751"/>
      <c r="L3678" s="751"/>
      <c r="M3678" s="751"/>
      <c r="N3678" s="751"/>
      <c r="O3678" s="751"/>
      <c r="P3678" s="751"/>
      <c r="X3678" s="768" t="b">
        <f t="shared" si="418"/>
        <v>1</v>
      </c>
    </row>
    <row r="3679" outlineLevel="2" spans="1:24">
      <c r="A3679" s="90" t="s">
        <v>4652</v>
      </c>
      <c r="B3679" s="685" t="s">
        <v>4620</v>
      </c>
      <c r="C3679" s="693" t="str">
        <f t="shared" si="419"/>
        <v>深圳新阳蓝光能源管理科技股份有限公司</v>
      </c>
      <c r="D3679" s="687" t="s">
        <v>4639</v>
      </c>
      <c r="E3679" s="789" t="s">
        <v>4653</v>
      </c>
      <c r="F3679" s="1244"/>
      <c r="G3679" s="751"/>
      <c r="H3679" s="751"/>
      <c r="I3679" s="751"/>
      <c r="J3679" s="751"/>
      <c r="K3679" s="751"/>
      <c r="L3679" s="751"/>
      <c r="M3679" s="751"/>
      <c r="N3679" s="751"/>
      <c r="O3679" s="751"/>
      <c r="P3679" s="751"/>
      <c r="X3679" s="768" t="b">
        <f t="shared" si="418"/>
        <v>1</v>
      </c>
    </row>
    <row r="3680" outlineLevel="2" spans="1:24">
      <c r="A3680" s="90" t="s">
        <v>4654</v>
      </c>
      <c r="B3680" s="685" t="s">
        <v>4620</v>
      </c>
      <c r="C3680" s="693" t="str">
        <f t="shared" si="419"/>
        <v>深圳新阳蓝光能源管理科技股份有限公司</v>
      </c>
      <c r="D3680" s="687" t="s">
        <v>4639</v>
      </c>
      <c r="E3680" s="789" t="s">
        <v>4655</v>
      </c>
      <c r="F3680" s="1244"/>
      <c r="G3680" s="751"/>
      <c r="H3680" s="751"/>
      <c r="I3680" s="751"/>
      <c r="J3680" s="751"/>
      <c r="K3680" s="751"/>
      <c r="L3680" s="751"/>
      <c r="M3680" s="751"/>
      <c r="N3680" s="751"/>
      <c r="O3680" s="751"/>
      <c r="P3680" s="751"/>
      <c r="X3680" s="768" t="b">
        <f t="shared" si="418"/>
        <v>1</v>
      </c>
    </row>
    <row r="3681" outlineLevel="2" spans="1:24">
      <c r="A3681" s="90" t="s">
        <v>4656</v>
      </c>
      <c r="B3681" s="685" t="s">
        <v>4620</v>
      </c>
      <c r="C3681" s="693" t="str">
        <f t="shared" si="419"/>
        <v>深圳新阳蓝光能源管理科技股份有限公司</v>
      </c>
      <c r="D3681" s="687" t="s">
        <v>4639</v>
      </c>
      <c r="E3681" s="789" t="s">
        <v>4657</v>
      </c>
      <c r="F3681" s="1244"/>
      <c r="G3681" s="751"/>
      <c r="H3681" s="751"/>
      <c r="I3681" s="751"/>
      <c r="J3681" s="751"/>
      <c r="K3681" s="751"/>
      <c r="L3681" s="751"/>
      <c r="M3681" s="751"/>
      <c r="N3681" s="751"/>
      <c r="O3681" s="751"/>
      <c r="P3681" s="751"/>
      <c r="X3681" s="768" t="b">
        <f t="shared" si="418"/>
        <v>1</v>
      </c>
    </row>
    <row r="3682" outlineLevel="2" spans="1:24">
      <c r="A3682" s="90" t="s">
        <v>347</v>
      </c>
      <c r="B3682" s="685" t="s">
        <v>4620</v>
      </c>
      <c r="C3682" s="693" t="str">
        <f t="shared" si="419"/>
        <v>深圳新阳蓝光能源管理科技股份有限公司</v>
      </c>
      <c r="D3682" s="687" t="s">
        <v>4639</v>
      </c>
      <c r="E3682" s="1239" t="s">
        <v>3692</v>
      </c>
      <c r="F3682" s="790">
        <f>SUM(F3678:F3681)</f>
        <v>0</v>
      </c>
      <c r="G3682" s="751"/>
      <c r="H3682" s="751"/>
      <c r="I3682" s="751"/>
      <c r="J3682" s="751"/>
      <c r="K3682" s="751"/>
      <c r="L3682" s="751"/>
      <c r="M3682" s="751"/>
      <c r="N3682" s="751"/>
      <c r="O3682" s="751"/>
      <c r="P3682" s="751"/>
      <c r="X3682" s="768" t="b">
        <f t="shared" si="418"/>
        <v>1</v>
      </c>
    </row>
    <row r="3683" outlineLevel="2" spans="2:24">
      <c r="B3683" s="685" t="s">
        <v>4620</v>
      </c>
      <c r="C3683" s="693" t="str">
        <f t="shared" si="419"/>
        <v>深圳新阳蓝光能源管理科技股份有限公司</v>
      </c>
      <c r="D3683" s="687" t="s">
        <v>4639</v>
      </c>
      <c r="E3683" s="1037"/>
      <c r="F3683" s="751"/>
      <c r="G3683" s="751"/>
      <c r="H3683" s="751"/>
      <c r="I3683" s="751"/>
      <c r="J3683" s="751"/>
      <c r="K3683" s="751"/>
      <c r="L3683" s="751"/>
      <c r="M3683" s="751"/>
      <c r="N3683" s="751"/>
      <c r="O3683" s="751"/>
      <c r="P3683" s="751"/>
      <c r="X3683" s="768" t="b">
        <f t="shared" si="418"/>
        <v>1</v>
      </c>
    </row>
    <row r="3684" outlineLevel="2" spans="1:24">
      <c r="A3684" s="90" t="s">
        <v>4658</v>
      </c>
      <c r="B3684" s="685" t="s">
        <v>4620</v>
      </c>
      <c r="C3684" s="693" t="str">
        <f t="shared" si="419"/>
        <v>深圳新阳蓝光能源管理科技股份有限公司</v>
      </c>
      <c r="D3684" s="687" t="s">
        <v>4658</v>
      </c>
      <c r="E3684" s="1037" t="s">
        <v>4659</v>
      </c>
      <c r="F3684" s="751"/>
      <c r="G3684" s="751"/>
      <c r="H3684" s="751"/>
      <c r="I3684" s="751"/>
      <c r="J3684" s="751"/>
      <c r="K3684" s="751"/>
      <c r="L3684" s="751"/>
      <c r="M3684" s="751"/>
      <c r="N3684" s="751"/>
      <c r="O3684" s="751"/>
      <c r="P3684" s="751"/>
      <c r="X3684" s="768" t="b">
        <f t="shared" si="418"/>
        <v>1</v>
      </c>
    </row>
    <row r="3685" outlineLevel="2" spans="1:24">
      <c r="A3685" s="90" t="s">
        <v>4623</v>
      </c>
      <c r="B3685" s="685" t="s">
        <v>4620</v>
      </c>
      <c r="C3685" s="693" t="str">
        <f t="shared" si="419"/>
        <v>深圳新阳蓝光能源管理科技股份有限公司</v>
      </c>
      <c r="D3685" s="687" t="s">
        <v>4658</v>
      </c>
      <c r="E3685" s="1842" t="s">
        <v>4623</v>
      </c>
      <c r="F3685" s="1842" t="s">
        <v>4649</v>
      </c>
      <c r="G3685" s="751"/>
      <c r="H3685" s="751"/>
      <c r="I3685" s="751"/>
      <c r="J3685" s="751"/>
      <c r="K3685" s="751"/>
      <c r="L3685" s="751"/>
      <c r="M3685" s="751"/>
      <c r="N3685" s="751"/>
      <c r="O3685" s="751"/>
      <c r="P3685" s="751"/>
      <c r="X3685" s="768" t="b">
        <f t="shared" ref="X3685:X3746" si="421">EXACT(A3685,E3685)</f>
        <v>1</v>
      </c>
    </row>
    <row r="3686" outlineLevel="2" spans="1:24">
      <c r="A3686" s="90" t="s">
        <v>4650</v>
      </c>
      <c r="B3686" s="685" t="s">
        <v>4620</v>
      </c>
      <c r="C3686" s="693" t="str">
        <f t="shared" si="419"/>
        <v>深圳新阳蓝光能源管理科技股份有限公司</v>
      </c>
      <c r="D3686" s="687" t="s">
        <v>4658</v>
      </c>
      <c r="E3686" s="789" t="s">
        <v>4651</v>
      </c>
      <c r="F3686" s="1244"/>
      <c r="G3686" s="751"/>
      <c r="H3686" s="751"/>
      <c r="I3686" s="751"/>
      <c r="J3686" s="751"/>
      <c r="K3686" s="751"/>
      <c r="L3686" s="751"/>
      <c r="M3686" s="751"/>
      <c r="N3686" s="751"/>
      <c r="O3686" s="751"/>
      <c r="P3686" s="751"/>
      <c r="X3686" s="768" t="b">
        <f t="shared" si="421"/>
        <v>1</v>
      </c>
    </row>
    <row r="3687" outlineLevel="2" spans="1:24">
      <c r="A3687" s="90" t="s">
        <v>4652</v>
      </c>
      <c r="B3687" s="685" t="s">
        <v>4620</v>
      </c>
      <c r="C3687" s="693" t="str">
        <f t="shared" si="419"/>
        <v>深圳新阳蓝光能源管理科技股份有限公司</v>
      </c>
      <c r="D3687" s="687" t="s">
        <v>4658</v>
      </c>
      <c r="E3687" s="789" t="s">
        <v>4653</v>
      </c>
      <c r="F3687" s="1244"/>
      <c r="G3687" s="751"/>
      <c r="H3687" s="751"/>
      <c r="I3687" s="751"/>
      <c r="J3687" s="751"/>
      <c r="K3687" s="751"/>
      <c r="L3687" s="751"/>
      <c r="M3687" s="751"/>
      <c r="N3687" s="751"/>
      <c r="O3687" s="751"/>
      <c r="P3687" s="751"/>
      <c r="X3687" s="768" t="b">
        <f t="shared" si="421"/>
        <v>1</v>
      </c>
    </row>
    <row r="3688" outlineLevel="2" spans="1:24">
      <c r="A3688" s="90" t="s">
        <v>4654</v>
      </c>
      <c r="B3688" s="685" t="s">
        <v>4620</v>
      </c>
      <c r="C3688" s="693" t="str">
        <f t="shared" si="419"/>
        <v>深圳新阳蓝光能源管理科技股份有限公司</v>
      </c>
      <c r="D3688" s="687" t="s">
        <v>4658</v>
      </c>
      <c r="E3688" s="789" t="s">
        <v>4655</v>
      </c>
      <c r="F3688" s="1244"/>
      <c r="G3688" s="751"/>
      <c r="H3688" s="751"/>
      <c r="I3688" s="751"/>
      <c r="J3688" s="751"/>
      <c r="K3688" s="751"/>
      <c r="L3688" s="751"/>
      <c r="M3688" s="751"/>
      <c r="N3688" s="751"/>
      <c r="O3688" s="751"/>
      <c r="P3688" s="751"/>
      <c r="X3688" s="768" t="b">
        <f t="shared" si="421"/>
        <v>1</v>
      </c>
    </row>
    <row r="3689" outlineLevel="2" spans="1:24">
      <c r="A3689" s="90" t="s">
        <v>4656</v>
      </c>
      <c r="B3689" s="685" t="s">
        <v>4620</v>
      </c>
      <c r="C3689" s="693" t="str">
        <f t="shared" si="419"/>
        <v>深圳新阳蓝光能源管理科技股份有限公司</v>
      </c>
      <c r="D3689" s="687" t="s">
        <v>4658</v>
      </c>
      <c r="E3689" s="789" t="s">
        <v>4657</v>
      </c>
      <c r="F3689" s="1244"/>
      <c r="G3689" s="751"/>
      <c r="H3689" s="751"/>
      <c r="I3689" s="751"/>
      <c r="J3689" s="751"/>
      <c r="K3689" s="751"/>
      <c r="L3689" s="751"/>
      <c r="M3689" s="751"/>
      <c r="N3689" s="751"/>
      <c r="O3689" s="751"/>
      <c r="P3689" s="751"/>
      <c r="X3689" s="768" t="b">
        <f t="shared" si="421"/>
        <v>1</v>
      </c>
    </row>
    <row r="3690" outlineLevel="2" spans="1:24">
      <c r="A3690" s="90" t="s">
        <v>347</v>
      </c>
      <c r="B3690" s="685" t="s">
        <v>4620</v>
      </c>
      <c r="C3690" s="693" t="str">
        <f t="shared" si="419"/>
        <v>深圳新阳蓝光能源管理科技股份有限公司</v>
      </c>
      <c r="D3690" s="687" t="s">
        <v>4658</v>
      </c>
      <c r="E3690" s="1239" t="s">
        <v>3692</v>
      </c>
      <c r="F3690" s="1240">
        <f>SUM(F3686:F3689)</f>
        <v>0</v>
      </c>
      <c r="G3690" s="751"/>
      <c r="H3690" s="751"/>
      <c r="I3690" s="751"/>
      <c r="J3690" s="751"/>
      <c r="K3690" s="751"/>
      <c r="L3690" s="751"/>
      <c r="M3690" s="751"/>
      <c r="N3690" s="751"/>
      <c r="O3690" s="751"/>
      <c r="P3690" s="751"/>
      <c r="X3690" s="768" t="b">
        <f t="shared" si="421"/>
        <v>1</v>
      </c>
    </row>
    <row r="3691" outlineLevel="2" spans="2:24">
      <c r="B3691" s="685" t="s">
        <v>4620</v>
      </c>
      <c r="C3691" s="693" t="str">
        <f t="shared" si="419"/>
        <v>深圳新阳蓝光能源管理科技股份有限公司</v>
      </c>
      <c r="D3691" s="687" t="s">
        <v>4658</v>
      </c>
      <c r="E3691" s="1037"/>
      <c r="F3691" s="751"/>
      <c r="G3691" s="751"/>
      <c r="H3691" s="751"/>
      <c r="I3691" s="751"/>
      <c r="J3691" s="751"/>
      <c r="K3691" s="751"/>
      <c r="L3691" s="751"/>
      <c r="M3691" s="751"/>
      <c r="N3691" s="751"/>
      <c r="O3691" s="751"/>
      <c r="P3691" s="751"/>
      <c r="X3691" s="768" t="b">
        <f t="shared" si="421"/>
        <v>1</v>
      </c>
    </row>
    <row r="3692" outlineLevel="2" spans="1:24">
      <c r="A3692" s="90" t="s">
        <v>4660</v>
      </c>
      <c r="B3692" s="685" t="s">
        <v>4620</v>
      </c>
      <c r="C3692" s="693" t="str">
        <f t="shared" si="419"/>
        <v>深圳新阳蓝光能源管理科技股份有限公司</v>
      </c>
      <c r="D3692" s="687" t="s">
        <v>4660</v>
      </c>
      <c r="E3692" s="1037" t="s">
        <v>4661</v>
      </c>
      <c r="F3692" s="751"/>
      <c r="G3692" s="751"/>
      <c r="H3692" s="751"/>
      <c r="I3692" s="751"/>
      <c r="J3692" s="751"/>
      <c r="K3692" s="751"/>
      <c r="L3692" s="751"/>
      <c r="M3692" s="751"/>
      <c r="N3692" s="751"/>
      <c r="O3692" s="751"/>
      <c r="P3692" s="751"/>
      <c r="X3692" s="768" t="b">
        <f t="shared" si="421"/>
        <v>1</v>
      </c>
    </row>
    <row r="3693" outlineLevel="2" spans="1:24">
      <c r="A3693" s="90" t="s">
        <v>2809</v>
      </c>
      <c r="B3693" s="685" t="s">
        <v>4620</v>
      </c>
      <c r="C3693" s="693" t="str">
        <f t="shared" si="419"/>
        <v>深圳新阳蓝光能源管理科技股份有限公司</v>
      </c>
      <c r="D3693" s="687" t="s">
        <v>4660</v>
      </c>
      <c r="E3693" s="1037" t="s">
        <v>2829</v>
      </c>
      <c r="F3693" s="1477"/>
      <c r="G3693" s="1477"/>
      <c r="H3693" s="751"/>
      <c r="I3693" s="751"/>
      <c r="J3693" s="751"/>
      <c r="K3693" s="751"/>
      <c r="L3693" s="751"/>
      <c r="M3693" s="751"/>
      <c r="N3693" s="751"/>
      <c r="O3693" s="751"/>
      <c r="P3693" s="751"/>
      <c r="X3693" s="768" t="b">
        <f t="shared" si="421"/>
        <v>1</v>
      </c>
    </row>
    <row r="3694" outlineLevel="2" spans="2:24">
      <c r="B3694" s="685" t="s">
        <v>4620</v>
      </c>
      <c r="C3694" s="693" t="str">
        <f t="shared" si="419"/>
        <v>深圳新阳蓝光能源管理科技股份有限公司</v>
      </c>
      <c r="D3694" s="687" t="s">
        <v>4660</v>
      </c>
      <c r="E3694" s="1037"/>
      <c r="F3694" s="751"/>
      <c r="G3694" s="751"/>
      <c r="H3694" s="751"/>
      <c r="I3694" s="751"/>
      <c r="J3694" s="751"/>
      <c r="K3694" s="751"/>
      <c r="L3694" s="751"/>
      <c r="M3694" s="751"/>
      <c r="N3694" s="751"/>
      <c r="O3694" s="751"/>
      <c r="P3694" s="751"/>
      <c r="X3694" s="768" t="b">
        <f t="shared" si="421"/>
        <v>1</v>
      </c>
    </row>
    <row r="3695" customHeight="1" collapsed="1" spans="1:24">
      <c r="A3695" s="90" t="s">
        <v>4662</v>
      </c>
      <c r="B3695" s="685" t="s">
        <v>4663</v>
      </c>
      <c r="C3695" s="693" t="str">
        <f t="shared" si="419"/>
        <v>深圳新阳蓝光能源管理科技股份有限公司</v>
      </c>
      <c r="D3695" s="687" t="s">
        <v>4662</v>
      </c>
      <c r="E3695" s="1233" t="s">
        <v>4662</v>
      </c>
      <c r="F3695" s="751"/>
      <c r="G3695" s="751"/>
      <c r="H3695" s="751"/>
      <c r="I3695" s="751"/>
      <c r="J3695" s="751"/>
      <c r="K3695" s="751"/>
      <c r="L3695" s="751"/>
      <c r="M3695" s="751"/>
      <c r="N3695" s="751"/>
      <c r="O3695" s="751"/>
      <c r="P3695" s="751"/>
      <c r="X3695" s="768" t="b">
        <f t="shared" si="421"/>
        <v>1</v>
      </c>
    </row>
    <row r="3696" hidden="1" outlineLevel="2" spans="1:24">
      <c r="A3696" s="90" t="s">
        <v>2809</v>
      </c>
      <c r="B3696" s="685" t="s">
        <v>4663</v>
      </c>
      <c r="C3696" s="693" t="str">
        <f t="shared" si="419"/>
        <v>深圳新阳蓝光能源管理科技股份有限公司</v>
      </c>
      <c r="D3696" s="687" t="s">
        <v>4662</v>
      </c>
      <c r="E3696" s="1037" t="s">
        <v>2829</v>
      </c>
      <c r="F3696" s="1477"/>
      <c r="G3696" s="1477"/>
      <c r="H3696" s="751"/>
      <c r="I3696" s="751"/>
      <c r="J3696" s="751"/>
      <c r="K3696" s="751"/>
      <c r="L3696" s="751"/>
      <c r="M3696" s="751"/>
      <c r="N3696" s="751"/>
      <c r="O3696" s="751"/>
      <c r="P3696" s="751"/>
      <c r="X3696" s="768" t="b">
        <f t="shared" si="421"/>
        <v>1</v>
      </c>
    </row>
    <row r="3697" hidden="1" outlineLevel="2" spans="2:24">
      <c r="B3697" s="685" t="s">
        <v>4663</v>
      </c>
      <c r="C3697" s="693" t="str">
        <f t="shared" si="419"/>
        <v>深圳新阳蓝光能源管理科技股份有限公司</v>
      </c>
      <c r="D3697" s="687" t="s">
        <v>4662</v>
      </c>
      <c r="E3697" s="1808"/>
      <c r="F3697" s="751"/>
      <c r="G3697" s="751"/>
      <c r="H3697" s="751"/>
      <c r="I3697" s="751"/>
      <c r="J3697" s="751"/>
      <c r="K3697" s="751"/>
      <c r="L3697" s="751"/>
      <c r="M3697" s="751"/>
      <c r="N3697" s="751"/>
      <c r="O3697" s="751"/>
      <c r="P3697" s="751"/>
      <c r="X3697" s="768" t="b">
        <f t="shared" si="421"/>
        <v>1</v>
      </c>
    </row>
    <row r="3698" spans="1:24">
      <c r="A3698" s="90" t="s">
        <v>4664</v>
      </c>
      <c r="B3698" s="685" t="s">
        <v>4665</v>
      </c>
      <c r="C3698" s="693" t="str">
        <f t="shared" si="419"/>
        <v>深圳新阳蓝光能源管理科技股份有限公司</v>
      </c>
      <c r="D3698" s="687" t="s">
        <v>4664</v>
      </c>
      <c r="E3698" s="1808" t="s">
        <v>4664</v>
      </c>
      <c r="F3698" s="751"/>
      <c r="G3698" s="751"/>
      <c r="H3698" s="751"/>
      <c r="I3698" s="751"/>
      <c r="J3698" s="751"/>
      <c r="K3698" s="751"/>
      <c r="L3698" s="751"/>
      <c r="M3698" s="751"/>
      <c r="N3698" s="751"/>
      <c r="O3698" s="751"/>
      <c r="P3698" s="751"/>
      <c r="X3698" s="768" t="b">
        <f t="shared" si="421"/>
        <v>1</v>
      </c>
    </row>
    <row r="3699" outlineLevel="2" spans="1:24">
      <c r="A3699" s="90" t="s">
        <v>61</v>
      </c>
      <c r="B3699" s="685" t="s">
        <v>4665</v>
      </c>
      <c r="C3699" s="693" t="str">
        <f t="shared" si="419"/>
        <v>深圳新阳蓝光能源管理科技股份有限公司</v>
      </c>
      <c r="D3699" s="687" t="s">
        <v>4664</v>
      </c>
      <c r="E3699" s="851" t="s">
        <v>61</v>
      </c>
      <c r="F3699" s="851" t="s">
        <v>2454</v>
      </c>
      <c r="G3699" s="851" t="s">
        <v>4666</v>
      </c>
      <c r="H3699" s="851" t="s">
        <v>4667</v>
      </c>
      <c r="I3699" s="851" t="s">
        <v>4668</v>
      </c>
      <c r="J3699" s="851" t="s">
        <v>2453</v>
      </c>
      <c r="K3699" s="751"/>
      <c r="L3699" s="751"/>
      <c r="M3699" s="751"/>
      <c r="N3699" s="751"/>
      <c r="O3699" s="751"/>
      <c r="P3699" s="751"/>
      <c r="X3699" s="768" t="b">
        <f t="shared" si="421"/>
        <v>1</v>
      </c>
    </row>
    <row r="3700" outlineLevel="2" spans="1:24">
      <c r="A3700" s="90" t="s">
        <v>4669</v>
      </c>
      <c r="B3700" s="685" t="s">
        <v>4665</v>
      </c>
      <c r="C3700" s="693" t="str">
        <f t="shared" si="419"/>
        <v>深圳新阳蓝光能源管理科技股份有限公司</v>
      </c>
      <c r="D3700" s="687" t="s">
        <v>4664</v>
      </c>
      <c r="E3700" s="789" t="s">
        <v>4669</v>
      </c>
      <c r="F3700" s="789"/>
      <c r="G3700" s="789"/>
      <c r="H3700" s="789"/>
      <c r="I3700" s="789"/>
      <c r="J3700" s="789"/>
      <c r="K3700" s="751"/>
      <c r="L3700" s="751"/>
      <c r="M3700" s="751"/>
      <c r="N3700" s="751"/>
      <c r="O3700" s="751"/>
      <c r="P3700" s="751"/>
      <c r="X3700" s="768" t="b">
        <f t="shared" si="421"/>
        <v>1</v>
      </c>
    </row>
    <row r="3701" ht="24.75" outlineLevel="2" spans="1:24">
      <c r="A3701" s="90" t="s">
        <v>4670</v>
      </c>
      <c r="B3701" s="685" t="s">
        <v>4665</v>
      </c>
      <c r="C3701" s="693" t="str">
        <f t="shared" si="419"/>
        <v>深圳新阳蓝光能源管理科技股份有限公司</v>
      </c>
      <c r="D3701" s="687" t="s">
        <v>4664</v>
      </c>
      <c r="E3701" s="789" t="s">
        <v>4671</v>
      </c>
      <c r="F3701" s="1244"/>
      <c r="G3701" s="752"/>
      <c r="H3701" s="752"/>
      <c r="I3701" s="752"/>
      <c r="J3701" s="752"/>
      <c r="K3701" s="751"/>
      <c r="L3701" s="751"/>
      <c r="M3701" s="751"/>
      <c r="N3701" s="751"/>
      <c r="O3701" s="751"/>
      <c r="P3701" s="751"/>
      <c r="X3701" s="768" t="b">
        <f t="shared" si="421"/>
        <v>1</v>
      </c>
    </row>
    <row r="3702" outlineLevel="2" spans="1:24">
      <c r="A3702" s="90" t="s">
        <v>4672</v>
      </c>
      <c r="B3702" s="685" t="s">
        <v>4665</v>
      </c>
      <c r="C3702" s="693" t="str">
        <f t="shared" si="419"/>
        <v>深圳新阳蓝光能源管理科技股份有限公司</v>
      </c>
      <c r="D3702" s="687" t="s">
        <v>4664</v>
      </c>
      <c r="E3702" s="789" t="s">
        <v>4673</v>
      </c>
      <c r="F3702" s="1244"/>
      <c r="G3702" s="752"/>
      <c r="H3702" s="752"/>
      <c r="I3702" s="752"/>
      <c r="J3702" s="752"/>
      <c r="K3702" s="751"/>
      <c r="L3702" s="751"/>
      <c r="M3702" s="751"/>
      <c r="N3702" s="751"/>
      <c r="O3702" s="751"/>
      <c r="P3702" s="751"/>
      <c r="X3702" s="768" t="b">
        <f t="shared" si="421"/>
        <v>1</v>
      </c>
    </row>
    <row r="3703" outlineLevel="2" spans="1:24">
      <c r="A3703" s="90" t="s">
        <v>4674</v>
      </c>
      <c r="B3703" s="685" t="s">
        <v>4665</v>
      </c>
      <c r="C3703" s="693" t="str">
        <f t="shared" si="419"/>
        <v>深圳新阳蓝光能源管理科技股份有限公司</v>
      </c>
      <c r="D3703" s="687" t="s">
        <v>4664</v>
      </c>
      <c r="E3703" s="789" t="s">
        <v>4675</v>
      </c>
      <c r="F3703" s="1244"/>
      <c r="G3703" s="752"/>
      <c r="H3703" s="752"/>
      <c r="I3703" s="752"/>
      <c r="J3703" s="752"/>
      <c r="K3703" s="751"/>
      <c r="L3703" s="751"/>
      <c r="M3703" s="751"/>
      <c r="N3703" s="751"/>
      <c r="O3703" s="751"/>
      <c r="P3703" s="751"/>
      <c r="X3703" s="768" t="b">
        <f t="shared" si="421"/>
        <v>1</v>
      </c>
    </row>
    <row r="3704" outlineLevel="2" spans="1:24">
      <c r="A3704" s="90" t="s">
        <v>4676</v>
      </c>
      <c r="B3704" s="685" t="s">
        <v>4665</v>
      </c>
      <c r="C3704" s="693" t="str">
        <f t="shared" si="419"/>
        <v>深圳新阳蓝光能源管理科技股份有限公司</v>
      </c>
      <c r="D3704" s="687" t="s">
        <v>4664</v>
      </c>
      <c r="E3704" s="789" t="s">
        <v>4676</v>
      </c>
      <c r="F3704" s="1244"/>
      <c r="G3704" s="752"/>
      <c r="H3704" s="752"/>
      <c r="I3704" s="752"/>
      <c r="J3704" s="752"/>
      <c r="K3704" s="751"/>
      <c r="L3704" s="751"/>
      <c r="M3704" s="751"/>
      <c r="N3704" s="751"/>
      <c r="O3704" s="751"/>
      <c r="P3704" s="751"/>
      <c r="X3704" s="768" t="b">
        <f t="shared" si="421"/>
        <v>1</v>
      </c>
    </row>
    <row r="3705" outlineLevel="2" spans="1:24">
      <c r="A3705" s="90" t="s">
        <v>232</v>
      </c>
      <c r="B3705" s="685" t="s">
        <v>4665</v>
      </c>
      <c r="C3705" s="693" t="str">
        <f t="shared" si="419"/>
        <v>深圳新阳蓝光能源管理科技股份有限公司</v>
      </c>
      <c r="D3705" s="687" t="s">
        <v>4664</v>
      </c>
      <c r="E3705" s="789" t="s">
        <v>232</v>
      </c>
      <c r="F3705" s="1244"/>
      <c r="G3705" s="752"/>
      <c r="H3705" s="752"/>
      <c r="I3705" s="752"/>
      <c r="J3705" s="752"/>
      <c r="K3705" s="751"/>
      <c r="L3705" s="751"/>
      <c r="M3705" s="751"/>
      <c r="N3705" s="751"/>
      <c r="O3705" s="751"/>
      <c r="P3705" s="751"/>
      <c r="X3705" s="768" t="b">
        <f t="shared" si="421"/>
        <v>1</v>
      </c>
    </row>
    <row r="3706" outlineLevel="2" spans="1:24">
      <c r="A3706" s="90" t="s">
        <v>242</v>
      </c>
      <c r="B3706" s="685" t="s">
        <v>4665</v>
      </c>
      <c r="C3706" s="693" t="str">
        <f t="shared" si="419"/>
        <v>深圳新阳蓝光能源管理科技股份有限公司</v>
      </c>
      <c r="D3706" s="687" t="s">
        <v>4664</v>
      </c>
      <c r="E3706" s="789" t="s">
        <v>242</v>
      </c>
      <c r="F3706" s="1244"/>
      <c r="G3706" s="752"/>
      <c r="H3706" s="752"/>
      <c r="I3706" s="752"/>
      <c r="J3706" s="752"/>
      <c r="K3706" s="751"/>
      <c r="L3706" s="751"/>
      <c r="M3706" s="751"/>
      <c r="N3706" s="751"/>
      <c r="O3706" s="751"/>
      <c r="P3706" s="751"/>
      <c r="X3706" s="768" t="b">
        <f t="shared" si="421"/>
        <v>1</v>
      </c>
    </row>
    <row r="3707" outlineLevel="2" spans="1:24">
      <c r="A3707" s="90" t="s">
        <v>280</v>
      </c>
      <c r="B3707" s="685" t="s">
        <v>4665</v>
      </c>
      <c r="C3707" s="693" t="str">
        <f t="shared" si="419"/>
        <v>深圳新阳蓝光能源管理科技股份有限公司</v>
      </c>
      <c r="D3707" s="687" t="s">
        <v>4664</v>
      </c>
      <c r="E3707" s="789" t="s">
        <v>280</v>
      </c>
      <c r="F3707" s="1244"/>
      <c r="G3707" s="752"/>
      <c r="H3707" s="752"/>
      <c r="I3707" s="752"/>
      <c r="J3707" s="752"/>
      <c r="K3707" s="751"/>
      <c r="L3707" s="751"/>
      <c r="M3707" s="751"/>
      <c r="N3707" s="751"/>
      <c r="O3707" s="751"/>
      <c r="P3707" s="751"/>
      <c r="X3707" s="768" t="b">
        <f t="shared" si="421"/>
        <v>1</v>
      </c>
    </row>
    <row r="3708" outlineLevel="2" spans="1:24">
      <c r="A3708" s="90" t="s">
        <v>4677</v>
      </c>
      <c r="B3708" s="685" t="s">
        <v>4665</v>
      </c>
      <c r="C3708" s="693" t="str">
        <f t="shared" si="419"/>
        <v>深圳新阳蓝光能源管理科技股份有限公司</v>
      </c>
      <c r="D3708" s="687" t="s">
        <v>4664</v>
      </c>
      <c r="E3708" s="789" t="s">
        <v>4677</v>
      </c>
      <c r="F3708" s="790">
        <f>SUM(F3701:F3707)</f>
        <v>0</v>
      </c>
      <c r="G3708" s="790">
        <f t="shared" ref="G3708:J3708" si="422">SUM(G3701:G3707)</f>
        <v>0</v>
      </c>
      <c r="H3708" s="790">
        <f t="shared" si="422"/>
        <v>0</v>
      </c>
      <c r="I3708" s="790">
        <f t="shared" si="422"/>
        <v>0</v>
      </c>
      <c r="J3708" s="790">
        <f t="shared" si="422"/>
        <v>0</v>
      </c>
      <c r="K3708" s="751"/>
      <c r="L3708" s="751"/>
      <c r="M3708" s="751"/>
      <c r="N3708" s="751"/>
      <c r="O3708" s="751"/>
      <c r="P3708" s="751"/>
      <c r="X3708" s="768" t="b">
        <f t="shared" si="421"/>
        <v>1</v>
      </c>
    </row>
    <row r="3709" outlineLevel="2" spans="1:24">
      <c r="A3709" s="90" t="s">
        <v>4678</v>
      </c>
      <c r="B3709" s="685" t="s">
        <v>4665</v>
      </c>
      <c r="C3709" s="693" t="str">
        <f t="shared" si="419"/>
        <v>深圳新阳蓝光能源管理科技股份有限公司</v>
      </c>
      <c r="D3709" s="687" t="s">
        <v>4664</v>
      </c>
      <c r="E3709" s="789" t="s">
        <v>4678</v>
      </c>
      <c r="F3709" s="1244"/>
      <c r="G3709" s="752"/>
      <c r="H3709" s="752"/>
      <c r="I3709" s="752"/>
      <c r="J3709" s="752"/>
      <c r="K3709" s="751"/>
      <c r="L3709" s="751"/>
      <c r="M3709" s="751"/>
      <c r="N3709" s="751"/>
      <c r="O3709" s="751"/>
      <c r="P3709" s="751"/>
      <c r="X3709" s="768" t="b">
        <f t="shared" si="421"/>
        <v>1</v>
      </c>
    </row>
    <row r="3710" collapsed="1" spans="1:24">
      <c r="A3710" s="90" t="s">
        <v>4679</v>
      </c>
      <c r="B3710" s="685" t="s">
        <v>4680</v>
      </c>
      <c r="C3710" s="693" t="str">
        <f t="shared" si="419"/>
        <v>深圳新阳蓝光能源管理科技股份有限公司</v>
      </c>
      <c r="D3710" s="687" t="s">
        <v>4679</v>
      </c>
      <c r="E3710" s="1808" t="s">
        <v>4679</v>
      </c>
      <c r="F3710" s="751"/>
      <c r="G3710" s="751"/>
      <c r="H3710" s="751"/>
      <c r="I3710" s="751"/>
      <c r="J3710" s="751"/>
      <c r="K3710" s="751"/>
      <c r="L3710" s="751"/>
      <c r="M3710" s="751"/>
      <c r="N3710" s="751"/>
      <c r="O3710" s="751"/>
      <c r="P3710" s="751"/>
      <c r="X3710" s="768" t="b">
        <f t="shared" si="421"/>
        <v>1</v>
      </c>
    </row>
    <row r="3711" hidden="1" outlineLevel="2" spans="1:24">
      <c r="A3711" s="90" t="s">
        <v>61</v>
      </c>
      <c r="B3711" s="685" t="s">
        <v>4680</v>
      </c>
      <c r="C3711" s="693" t="str">
        <f t="shared" si="419"/>
        <v>深圳新阳蓝光能源管理科技股份有限公司</v>
      </c>
      <c r="D3711" s="687" t="s">
        <v>4679</v>
      </c>
      <c r="E3711" s="851" t="s">
        <v>61</v>
      </c>
      <c r="F3711" s="851" t="s">
        <v>2454</v>
      </c>
      <c r="G3711" s="851" t="s">
        <v>4666</v>
      </c>
      <c r="H3711" s="851" t="s">
        <v>4667</v>
      </c>
      <c r="I3711" s="851" t="s">
        <v>4668</v>
      </c>
      <c r="J3711" s="851" t="s">
        <v>2453</v>
      </c>
      <c r="K3711" s="751"/>
      <c r="L3711" s="751"/>
      <c r="M3711" s="751"/>
      <c r="N3711" s="751"/>
      <c r="O3711" s="751"/>
      <c r="P3711" s="751"/>
      <c r="X3711" s="768" t="b">
        <f t="shared" si="421"/>
        <v>1</v>
      </c>
    </row>
    <row r="3712" hidden="1" outlineLevel="2" spans="1:24">
      <c r="A3712" s="90" t="s">
        <v>4669</v>
      </c>
      <c r="B3712" s="685" t="s">
        <v>4680</v>
      </c>
      <c r="C3712" s="693" t="str">
        <f t="shared" si="419"/>
        <v>深圳新阳蓝光能源管理科技股份有限公司</v>
      </c>
      <c r="D3712" s="687" t="s">
        <v>4679</v>
      </c>
      <c r="E3712" s="789" t="s">
        <v>4669</v>
      </c>
      <c r="F3712" s="789"/>
      <c r="G3712" s="789"/>
      <c r="H3712" s="789"/>
      <c r="I3712" s="789"/>
      <c r="J3712" s="789"/>
      <c r="K3712" s="751"/>
      <c r="L3712" s="751"/>
      <c r="M3712" s="751"/>
      <c r="N3712" s="751"/>
      <c r="O3712" s="751"/>
      <c r="P3712" s="751"/>
      <c r="X3712" s="768" t="b">
        <f t="shared" si="421"/>
        <v>1</v>
      </c>
    </row>
    <row r="3713" ht="24.75" hidden="1" outlineLevel="2" spans="1:24">
      <c r="A3713" s="90" t="s">
        <v>4670</v>
      </c>
      <c r="B3713" s="685" t="s">
        <v>4680</v>
      </c>
      <c r="C3713" s="693" t="str">
        <f t="shared" si="419"/>
        <v>深圳新阳蓝光能源管理科技股份有限公司</v>
      </c>
      <c r="D3713" s="687" t="s">
        <v>4679</v>
      </c>
      <c r="E3713" s="789" t="s">
        <v>4671</v>
      </c>
      <c r="F3713" s="1244"/>
      <c r="G3713" s="1244"/>
      <c r="H3713" s="1244"/>
      <c r="I3713" s="1244"/>
      <c r="J3713" s="1244"/>
      <c r="K3713" s="751"/>
      <c r="L3713" s="751"/>
      <c r="M3713" s="751"/>
      <c r="N3713" s="751"/>
      <c r="O3713" s="751"/>
      <c r="P3713" s="751"/>
      <c r="X3713" s="768" t="b">
        <f t="shared" si="421"/>
        <v>1</v>
      </c>
    </row>
    <row r="3714" hidden="1" outlineLevel="2" spans="1:24">
      <c r="A3714" s="90" t="s">
        <v>4672</v>
      </c>
      <c r="B3714" s="685" t="s">
        <v>4680</v>
      </c>
      <c r="C3714" s="693" t="str">
        <f t="shared" si="419"/>
        <v>深圳新阳蓝光能源管理科技股份有限公司</v>
      </c>
      <c r="D3714" s="687" t="s">
        <v>4679</v>
      </c>
      <c r="E3714" s="789" t="s">
        <v>4673</v>
      </c>
      <c r="F3714" s="1244"/>
      <c r="G3714" s="1244"/>
      <c r="H3714" s="1244"/>
      <c r="I3714" s="1244"/>
      <c r="J3714" s="1244"/>
      <c r="K3714" s="751"/>
      <c r="L3714" s="751"/>
      <c r="M3714" s="751"/>
      <c r="N3714" s="751"/>
      <c r="O3714" s="751"/>
      <c r="P3714" s="751"/>
      <c r="X3714" s="768" t="b">
        <f t="shared" si="421"/>
        <v>1</v>
      </c>
    </row>
    <row r="3715" hidden="1" outlineLevel="2" spans="1:24">
      <c r="A3715" s="90" t="s">
        <v>4681</v>
      </c>
      <c r="B3715" s="685" t="s">
        <v>4680</v>
      </c>
      <c r="C3715" s="693" t="str">
        <f t="shared" si="419"/>
        <v>深圳新阳蓝光能源管理科技股份有限公司</v>
      </c>
      <c r="D3715" s="687" t="s">
        <v>4679</v>
      </c>
      <c r="E3715" s="789" t="s">
        <v>4682</v>
      </c>
      <c r="F3715" s="1244"/>
      <c r="G3715" s="1244"/>
      <c r="H3715" s="1244"/>
      <c r="I3715" s="1244"/>
      <c r="J3715" s="1244"/>
      <c r="K3715" s="751"/>
      <c r="L3715" s="751"/>
      <c r="M3715" s="751"/>
      <c r="N3715" s="751"/>
      <c r="O3715" s="751"/>
      <c r="P3715" s="751"/>
      <c r="X3715" s="768" t="b">
        <f t="shared" si="421"/>
        <v>1</v>
      </c>
    </row>
    <row r="3716" hidden="1" outlineLevel="2" spans="1:24">
      <c r="A3716" s="90" t="s">
        <v>4683</v>
      </c>
      <c r="B3716" s="685" t="s">
        <v>4680</v>
      </c>
      <c r="C3716" s="693" t="str">
        <f t="shared" si="419"/>
        <v>深圳新阳蓝光能源管理科技股份有限公司</v>
      </c>
      <c r="D3716" s="687" t="s">
        <v>4679</v>
      </c>
      <c r="E3716" s="789" t="s">
        <v>4684</v>
      </c>
      <c r="F3716" s="1244"/>
      <c r="G3716" s="1244"/>
      <c r="H3716" s="1244"/>
      <c r="I3716" s="1244"/>
      <c r="J3716" s="1244"/>
      <c r="K3716" s="751"/>
      <c r="L3716" s="751"/>
      <c r="M3716" s="751"/>
      <c r="N3716" s="751"/>
      <c r="O3716" s="751"/>
      <c r="P3716" s="751"/>
      <c r="X3716" s="768" t="b">
        <f t="shared" si="421"/>
        <v>1</v>
      </c>
    </row>
    <row r="3717" hidden="1" outlineLevel="2" spans="1:24">
      <c r="A3717" s="90" t="s">
        <v>4685</v>
      </c>
      <c r="B3717" s="685" t="s">
        <v>4680</v>
      </c>
      <c r="C3717" s="693" t="str">
        <f t="shared" si="419"/>
        <v>深圳新阳蓝光能源管理科技股份有限公司</v>
      </c>
      <c r="D3717" s="687" t="s">
        <v>4679</v>
      </c>
      <c r="E3717" s="789" t="s">
        <v>4686</v>
      </c>
      <c r="F3717" s="1244"/>
      <c r="G3717" s="1244"/>
      <c r="H3717" s="1244"/>
      <c r="I3717" s="1244"/>
      <c r="J3717" s="1244"/>
      <c r="K3717" s="751"/>
      <c r="L3717" s="751"/>
      <c r="M3717" s="751"/>
      <c r="N3717" s="751"/>
      <c r="O3717" s="751"/>
      <c r="P3717" s="751"/>
      <c r="X3717" s="768" t="b">
        <f t="shared" si="421"/>
        <v>1</v>
      </c>
    </row>
    <row r="3718" hidden="1" outlineLevel="2" spans="1:24">
      <c r="A3718" s="90" t="s">
        <v>4676</v>
      </c>
      <c r="B3718" s="685" t="s">
        <v>4680</v>
      </c>
      <c r="C3718" s="693" t="str">
        <f t="shared" si="419"/>
        <v>深圳新阳蓝光能源管理科技股份有限公司</v>
      </c>
      <c r="D3718" s="687" t="s">
        <v>4679</v>
      </c>
      <c r="E3718" s="789" t="s">
        <v>4676</v>
      </c>
      <c r="F3718" s="790">
        <f>SUM(F3713:F3717)</f>
        <v>0</v>
      </c>
      <c r="G3718" s="790">
        <f t="shared" ref="G3718:J3718" si="423">SUM(G3713:G3717)</f>
        <v>0</v>
      </c>
      <c r="H3718" s="790">
        <f t="shared" si="423"/>
        <v>0</v>
      </c>
      <c r="I3718" s="790">
        <f t="shared" si="423"/>
        <v>0</v>
      </c>
      <c r="J3718" s="790">
        <f t="shared" si="423"/>
        <v>0</v>
      </c>
      <c r="K3718" s="751"/>
      <c r="L3718" s="751"/>
      <c r="M3718" s="751"/>
      <c r="N3718" s="751"/>
      <c r="O3718" s="751"/>
      <c r="P3718" s="751"/>
      <c r="X3718" s="768" t="b">
        <f t="shared" si="421"/>
        <v>1</v>
      </c>
    </row>
    <row r="3719" hidden="1" outlineLevel="2" spans="1:24">
      <c r="A3719" s="90" t="s">
        <v>4678</v>
      </c>
      <c r="B3719" s="685" t="s">
        <v>4680</v>
      </c>
      <c r="C3719" s="693" t="str">
        <f t="shared" si="419"/>
        <v>深圳新阳蓝光能源管理科技股份有限公司</v>
      </c>
      <c r="D3719" s="687" t="s">
        <v>4679</v>
      </c>
      <c r="E3719" s="789" t="s">
        <v>4678</v>
      </c>
      <c r="F3719" s="1244"/>
      <c r="G3719" s="1244"/>
      <c r="H3719" s="1244"/>
      <c r="I3719" s="1244"/>
      <c r="J3719" s="1244"/>
      <c r="K3719" s="751"/>
      <c r="L3719" s="751"/>
      <c r="M3719" s="751"/>
      <c r="N3719" s="751"/>
      <c r="O3719" s="751"/>
      <c r="P3719" s="751"/>
      <c r="X3719" s="768" t="b">
        <f t="shared" si="421"/>
        <v>1</v>
      </c>
    </row>
    <row r="3720" hidden="1" outlineLevel="2" spans="2:24">
      <c r="B3720" s="685" t="s">
        <v>4680</v>
      </c>
      <c r="C3720" s="693" t="str">
        <f t="shared" si="419"/>
        <v>深圳新阳蓝光能源管理科技股份有限公司</v>
      </c>
      <c r="D3720" s="687" t="s">
        <v>4679</v>
      </c>
      <c r="E3720" s="1808"/>
      <c r="F3720" s="751"/>
      <c r="G3720" s="751"/>
      <c r="H3720" s="751"/>
      <c r="I3720" s="751"/>
      <c r="J3720" s="751"/>
      <c r="K3720" s="751"/>
      <c r="L3720" s="751"/>
      <c r="M3720" s="751"/>
      <c r="N3720" s="751"/>
      <c r="O3720" s="751"/>
      <c r="P3720" s="751"/>
      <c r="X3720" s="768" t="b">
        <f t="shared" si="421"/>
        <v>1</v>
      </c>
    </row>
    <row r="3721" collapsed="1" spans="1:24">
      <c r="A3721" s="90" t="s">
        <v>4687</v>
      </c>
      <c r="B3721" s="685" t="s">
        <v>4688</v>
      </c>
      <c r="C3721" s="693" t="str">
        <f t="shared" si="419"/>
        <v>深圳新阳蓝光能源管理科技股份有限公司</v>
      </c>
      <c r="D3721" s="687" t="s">
        <v>4687</v>
      </c>
      <c r="E3721" s="1808" t="s">
        <v>4687</v>
      </c>
      <c r="F3721" s="751"/>
      <c r="G3721" s="751"/>
      <c r="H3721" s="751"/>
      <c r="I3721" s="751"/>
      <c r="J3721" s="751"/>
      <c r="K3721" s="751"/>
      <c r="L3721" s="751"/>
      <c r="M3721" s="751"/>
      <c r="N3721" s="751"/>
      <c r="O3721" s="751"/>
      <c r="P3721" s="751"/>
      <c r="X3721" s="768" t="b">
        <f t="shared" si="421"/>
        <v>1</v>
      </c>
    </row>
    <row r="3722" ht="15" hidden="1" outlineLevel="2" spans="1:24">
      <c r="A3722" s="90" t="s">
        <v>315</v>
      </c>
      <c r="B3722" s="685" t="s">
        <v>4688</v>
      </c>
      <c r="C3722" s="693" t="str">
        <f t="shared" si="419"/>
        <v>深圳新阳蓝光能源管理科技股份有限公司</v>
      </c>
      <c r="D3722" s="687" t="s">
        <v>4687</v>
      </c>
      <c r="E3722" s="1843" t="s">
        <v>3742</v>
      </c>
      <c r="F3722" s="1843" t="s">
        <v>1242</v>
      </c>
      <c r="G3722" s="1843" t="s">
        <v>1243</v>
      </c>
      <c r="H3722" s="751"/>
      <c r="I3722" s="751"/>
      <c r="J3722" s="751"/>
      <c r="K3722" s="751"/>
      <c r="L3722" s="751"/>
      <c r="M3722" s="751"/>
      <c r="N3722" s="751"/>
      <c r="O3722" s="751"/>
      <c r="P3722" s="751"/>
      <c r="X3722" s="768" t="b">
        <f t="shared" si="421"/>
        <v>1</v>
      </c>
    </row>
    <row r="3723" hidden="1" outlineLevel="2" spans="1:24">
      <c r="A3723" s="90" t="s">
        <v>4689</v>
      </c>
      <c r="B3723" s="685" t="s">
        <v>4688</v>
      </c>
      <c r="C3723" s="693" t="str">
        <f t="shared" si="419"/>
        <v>深圳新阳蓝光能源管理科技股份有限公司</v>
      </c>
      <c r="D3723" s="687" t="s">
        <v>4687</v>
      </c>
      <c r="E3723" s="1844" t="s">
        <v>4690</v>
      </c>
      <c r="F3723" s="1845"/>
      <c r="G3723" s="1845"/>
      <c r="H3723" s="751"/>
      <c r="I3723" s="751"/>
      <c r="J3723" s="751"/>
      <c r="K3723" s="751"/>
      <c r="L3723" s="751"/>
      <c r="M3723" s="751"/>
      <c r="N3723" s="751"/>
      <c r="O3723" s="751"/>
      <c r="P3723" s="751"/>
      <c r="X3723" s="768" t="b">
        <f t="shared" si="421"/>
        <v>1</v>
      </c>
    </row>
    <row r="3724" hidden="1" outlineLevel="2" spans="1:24">
      <c r="A3724" s="90" t="s">
        <v>4691</v>
      </c>
      <c r="B3724" s="685" t="s">
        <v>4688</v>
      </c>
      <c r="C3724" s="693" t="str">
        <f t="shared" si="419"/>
        <v>深圳新阳蓝光能源管理科技股份有限公司</v>
      </c>
      <c r="D3724" s="687" t="s">
        <v>4687</v>
      </c>
      <c r="E3724" s="1844" t="s">
        <v>4691</v>
      </c>
      <c r="F3724" s="1845"/>
      <c r="G3724" s="1845"/>
      <c r="H3724" s="751"/>
      <c r="I3724" s="751"/>
      <c r="J3724" s="751"/>
      <c r="K3724" s="751"/>
      <c r="L3724" s="751"/>
      <c r="M3724" s="751"/>
      <c r="N3724" s="751"/>
      <c r="O3724" s="751"/>
      <c r="P3724" s="751"/>
      <c r="X3724" s="768" t="b">
        <f t="shared" si="421"/>
        <v>1</v>
      </c>
    </row>
    <row r="3725" hidden="1" outlineLevel="2" spans="1:24">
      <c r="A3725" s="90" t="s">
        <v>4692</v>
      </c>
      <c r="B3725" s="685" t="s">
        <v>4688</v>
      </c>
      <c r="C3725" s="693" t="str">
        <f t="shared" ref="C3725:C3749" si="424">$G$1</f>
        <v>深圳新阳蓝光能源管理科技股份有限公司</v>
      </c>
      <c r="D3725" s="687" t="s">
        <v>4687</v>
      </c>
      <c r="E3725" s="1844" t="s">
        <v>4693</v>
      </c>
      <c r="F3725" s="1845"/>
      <c r="G3725" s="1845"/>
      <c r="H3725" s="751"/>
      <c r="I3725" s="751"/>
      <c r="J3725" s="751"/>
      <c r="K3725" s="751"/>
      <c r="L3725" s="751"/>
      <c r="M3725" s="751"/>
      <c r="N3725" s="751"/>
      <c r="O3725" s="751"/>
      <c r="P3725" s="751"/>
      <c r="X3725" s="768" t="b">
        <f t="shared" si="421"/>
        <v>1</v>
      </c>
    </row>
    <row r="3726" hidden="1" outlineLevel="2" spans="1:24">
      <c r="A3726" s="90" t="s">
        <v>4694</v>
      </c>
      <c r="B3726" s="685" t="s">
        <v>4688</v>
      </c>
      <c r="C3726" s="693" t="str">
        <f t="shared" si="424"/>
        <v>深圳新阳蓝光能源管理科技股份有限公司</v>
      </c>
      <c r="D3726" s="687" t="s">
        <v>4687</v>
      </c>
      <c r="E3726" s="1844" t="s">
        <v>4694</v>
      </c>
      <c r="F3726" s="1845"/>
      <c r="G3726" s="1845"/>
      <c r="H3726" s="751"/>
      <c r="I3726" s="751"/>
      <c r="J3726" s="751"/>
      <c r="K3726" s="751"/>
      <c r="L3726" s="751"/>
      <c r="M3726" s="751"/>
      <c r="N3726" s="751"/>
      <c r="O3726" s="751"/>
      <c r="P3726" s="751"/>
      <c r="X3726" s="768" t="b">
        <f t="shared" si="421"/>
        <v>1</v>
      </c>
    </row>
    <row r="3727" hidden="1" outlineLevel="2" spans="1:24">
      <c r="A3727" s="90" t="s">
        <v>4695</v>
      </c>
      <c r="B3727" s="685" t="s">
        <v>4688</v>
      </c>
      <c r="C3727" s="693" t="str">
        <f t="shared" si="424"/>
        <v>深圳新阳蓝光能源管理科技股份有限公司</v>
      </c>
      <c r="D3727" s="687" t="s">
        <v>4687</v>
      </c>
      <c r="E3727" s="1844" t="s">
        <v>4696</v>
      </c>
      <c r="F3727" s="1845"/>
      <c r="G3727" s="1845"/>
      <c r="H3727" s="751"/>
      <c r="I3727" s="751"/>
      <c r="J3727" s="751"/>
      <c r="K3727" s="751"/>
      <c r="L3727" s="751"/>
      <c r="M3727" s="751"/>
      <c r="N3727" s="751"/>
      <c r="O3727" s="751"/>
      <c r="P3727" s="751"/>
      <c r="X3727" s="768" t="b">
        <f t="shared" si="421"/>
        <v>1</v>
      </c>
    </row>
    <row r="3728" hidden="1" outlineLevel="2" spans="2:24">
      <c r="B3728" s="685" t="s">
        <v>4688</v>
      </c>
      <c r="C3728" s="693" t="str">
        <f t="shared" si="424"/>
        <v>深圳新阳蓝光能源管理科技股份有限公司</v>
      </c>
      <c r="D3728" s="687" t="s">
        <v>4687</v>
      </c>
      <c r="E3728" s="1808"/>
      <c r="F3728" s="751"/>
      <c r="G3728" s="751"/>
      <c r="H3728" s="751"/>
      <c r="I3728" s="751"/>
      <c r="J3728" s="751"/>
      <c r="K3728" s="751"/>
      <c r="L3728" s="751"/>
      <c r="M3728" s="751"/>
      <c r="N3728" s="751"/>
      <c r="O3728" s="751"/>
      <c r="P3728" s="751"/>
      <c r="X3728" s="768" t="b">
        <f t="shared" si="421"/>
        <v>1</v>
      </c>
    </row>
    <row r="3729" spans="1:24">
      <c r="A3729" s="90" t="s">
        <v>4697</v>
      </c>
      <c r="B3729" s="685" t="s">
        <v>4698</v>
      </c>
      <c r="C3729" s="693" t="str">
        <f t="shared" si="424"/>
        <v>深圳新阳蓝光能源管理科技股份有限公司</v>
      </c>
      <c r="D3729" s="687" t="s">
        <v>4697</v>
      </c>
      <c r="E3729" s="1808" t="s">
        <v>4697</v>
      </c>
      <c r="F3729" s="751"/>
      <c r="G3729" s="751"/>
      <c r="H3729" s="751"/>
      <c r="I3729" s="751"/>
      <c r="J3729" s="751"/>
      <c r="K3729" s="751"/>
      <c r="L3729" s="751"/>
      <c r="M3729" s="751"/>
      <c r="N3729" s="751"/>
      <c r="O3729" s="751"/>
      <c r="P3729" s="751"/>
      <c r="X3729" s="768" t="b">
        <f t="shared" si="421"/>
        <v>1</v>
      </c>
    </row>
    <row r="3730" hidden="1" spans="1:24">
      <c r="A3730" s="90" t="s">
        <v>4699</v>
      </c>
      <c r="B3730" s="685" t="s">
        <v>4698</v>
      </c>
      <c r="C3730" s="693" t="str">
        <f t="shared" si="424"/>
        <v>深圳新阳蓝光能源管理科技股份有限公司</v>
      </c>
      <c r="D3730" s="687" t="s">
        <v>4697</v>
      </c>
      <c r="E3730" s="1037" t="s">
        <v>4700</v>
      </c>
      <c r="F3730" s="751"/>
      <c r="G3730" s="751"/>
      <c r="H3730" s="751"/>
      <c r="I3730" s="751"/>
      <c r="J3730" s="751"/>
      <c r="K3730" s="751"/>
      <c r="L3730" s="751"/>
      <c r="M3730" s="751"/>
      <c r="N3730" s="751"/>
      <c r="O3730" s="751"/>
      <c r="P3730" s="751"/>
      <c r="X3730" s="768" t="b">
        <f t="shared" si="421"/>
        <v>1</v>
      </c>
    </row>
    <row r="3731" ht="11.25" hidden="1" customHeight="1" spans="1:24">
      <c r="A3731" s="90" t="s">
        <v>61</v>
      </c>
      <c r="B3731" s="685" t="s">
        <v>4698</v>
      </c>
      <c r="C3731" s="693" t="str">
        <f t="shared" si="424"/>
        <v>深圳新阳蓝光能源管理科技股份有限公司</v>
      </c>
      <c r="D3731" s="687" t="s">
        <v>4697</v>
      </c>
      <c r="E3731" s="1846" t="s">
        <v>61</v>
      </c>
      <c r="F3731" s="1846" t="s">
        <v>4701</v>
      </c>
      <c r="G3731" s="1846"/>
      <c r="H3731" s="1846" t="s">
        <v>4701</v>
      </c>
      <c r="I3731" s="1846"/>
      <c r="J3731" s="1846" t="s">
        <v>4638</v>
      </c>
      <c r="K3731" s="1846" t="s">
        <v>280</v>
      </c>
      <c r="L3731" s="1846"/>
      <c r="M3731" s="1846" t="s">
        <v>4702</v>
      </c>
      <c r="N3731" s="1846"/>
      <c r="O3731" s="1846" t="s">
        <v>2021</v>
      </c>
      <c r="P3731" s="1846"/>
      <c r="X3731" s="768" t="b">
        <f t="shared" si="421"/>
        <v>1</v>
      </c>
    </row>
    <row r="3732" ht="15" hidden="1" spans="2:24">
      <c r="B3732" s="685" t="s">
        <v>4698</v>
      </c>
      <c r="C3732" s="693" t="str">
        <f t="shared" si="424"/>
        <v>深圳新阳蓝光能源管理科技股份有限公司</v>
      </c>
      <c r="D3732" s="687" t="s">
        <v>4697</v>
      </c>
      <c r="E3732" s="1847"/>
      <c r="F3732" s="1847" t="s">
        <v>24</v>
      </c>
      <c r="G3732" s="1847" t="s">
        <v>20</v>
      </c>
      <c r="H3732" s="1847" t="s">
        <v>24</v>
      </c>
      <c r="I3732" s="1847" t="s">
        <v>20</v>
      </c>
      <c r="J3732" s="1847"/>
      <c r="K3732" s="1847" t="s">
        <v>24</v>
      </c>
      <c r="L3732" s="1847" t="s">
        <v>20</v>
      </c>
      <c r="M3732" s="1847" t="s">
        <v>24</v>
      </c>
      <c r="N3732" s="1847" t="s">
        <v>20</v>
      </c>
      <c r="O3732" s="1847" t="s">
        <v>24</v>
      </c>
      <c r="P3732" s="1847" t="s">
        <v>20</v>
      </c>
      <c r="X3732" s="768" t="b">
        <f t="shared" si="421"/>
        <v>1</v>
      </c>
    </row>
    <row r="3733" hidden="1" spans="1:24">
      <c r="A3733" s="90" t="s">
        <v>77</v>
      </c>
      <c r="B3733" s="685" t="s">
        <v>4698</v>
      </c>
      <c r="C3733" s="693" t="str">
        <f t="shared" si="424"/>
        <v>深圳新阳蓝光能源管理科技股份有限公司</v>
      </c>
      <c r="D3733" s="687" t="s">
        <v>4697</v>
      </c>
      <c r="E3733" s="1844" t="s">
        <v>77</v>
      </c>
      <c r="F3733" s="1848"/>
      <c r="G3733" s="1848"/>
      <c r="H3733" s="1848"/>
      <c r="I3733" s="1848"/>
      <c r="J3733" s="1848"/>
      <c r="K3733" s="1848"/>
      <c r="L3733" s="1848"/>
      <c r="M3733" s="1848"/>
      <c r="N3733" s="1848"/>
      <c r="O3733" s="1848"/>
      <c r="P3733" s="1848"/>
      <c r="X3733" s="768" t="b">
        <f t="shared" si="421"/>
        <v>1</v>
      </c>
    </row>
    <row r="3734" hidden="1" spans="1:24">
      <c r="A3734" s="90" t="s">
        <v>4703</v>
      </c>
      <c r="B3734" s="685" t="s">
        <v>4698</v>
      </c>
      <c r="C3734" s="693" t="str">
        <f t="shared" si="424"/>
        <v>深圳新阳蓝光能源管理科技股份有限公司</v>
      </c>
      <c r="D3734" s="687" t="s">
        <v>4697</v>
      </c>
      <c r="E3734" s="1844" t="s">
        <v>4703</v>
      </c>
      <c r="F3734" s="1848"/>
      <c r="G3734" s="1848"/>
      <c r="H3734" s="1848"/>
      <c r="I3734" s="1848"/>
      <c r="J3734" s="1848"/>
      <c r="K3734" s="1848"/>
      <c r="L3734" s="1848"/>
      <c r="M3734" s="1848"/>
      <c r="N3734" s="1848"/>
      <c r="O3734" s="1848"/>
      <c r="P3734" s="1848"/>
      <c r="X3734" s="768" t="b">
        <f t="shared" si="421"/>
        <v>1</v>
      </c>
    </row>
    <row r="3735" hidden="1" spans="1:24">
      <c r="A3735" s="90" t="s">
        <v>4704</v>
      </c>
      <c r="B3735" s="685" t="s">
        <v>4698</v>
      </c>
      <c r="C3735" s="693" t="str">
        <f t="shared" si="424"/>
        <v>深圳新阳蓝光能源管理科技股份有限公司</v>
      </c>
      <c r="D3735" s="687" t="s">
        <v>4697</v>
      </c>
      <c r="E3735" s="1844" t="s">
        <v>4704</v>
      </c>
      <c r="F3735" s="1848"/>
      <c r="G3735" s="1848"/>
      <c r="H3735" s="1848"/>
      <c r="I3735" s="1848"/>
      <c r="J3735" s="1848"/>
      <c r="K3735" s="1848"/>
      <c r="L3735" s="1848"/>
      <c r="M3735" s="1848"/>
      <c r="N3735" s="1848"/>
      <c r="O3735" s="1848"/>
      <c r="P3735" s="1848"/>
      <c r="X3735" s="768" t="b">
        <f t="shared" si="421"/>
        <v>1</v>
      </c>
    </row>
    <row r="3736" hidden="1" spans="1:24">
      <c r="A3736" s="90" t="s">
        <v>4705</v>
      </c>
      <c r="B3736" s="685" t="s">
        <v>4698</v>
      </c>
      <c r="C3736" s="693" t="str">
        <f t="shared" si="424"/>
        <v>深圳新阳蓝光能源管理科技股份有限公司</v>
      </c>
      <c r="D3736" s="687" t="s">
        <v>4697</v>
      </c>
      <c r="E3736" s="1844" t="s">
        <v>4705</v>
      </c>
      <c r="F3736" s="1848"/>
      <c r="G3736" s="1848"/>
      <c r="H3736" s="1848"/>
      <c r="I3736" s="1848"/>
      <c r="J3736" s="1848"/>
      <c r="K3736" s="1848"/>
      <c r="L3736" s="1848"/>
      <c r="M3736" s="1848"/>
      <c r="N3736" s="1848"/>
      <c r="O3736" s="1848"/>
      <c r="P3736" s="1848"/>
      <c r="X3736" s="768" t="b">
        <f t="shared" si="421"/>
        <v>1</v>
      </c>
    </row>
    <row r="3737" hidden="1" spans="1:24">
      <c r="A3737" s="90" t="s">
        <v>4706</v>
      </c>
      <c r="B3737" s="685" t="s">
        <v>4698</v>
      </c>
      <c r="C3737" s="693" t="str">
        <f t="shared" si="424"/>
        <v>深圳新阳蓝光能源管理科技股份有限公司</v>
      </c>
      <c r="D3737" s="687" t="s">
        <v>4697</v>
      </c>
      <c r="E3737" s="1844" t="s">
        <v>4706</v>
      </c>
      <c r="F3737" s="1848"/>
      <c r="G3737" s="1848"/>
      <c r="H3737" s="1848"/>
      <c r="I3737" s="1848"/>
      <c r="J3737" s="1848"/>
      <c r="K3737" s="1848"/>
      <c r="L3737" s="1848"/>
      <c r="M3737" s="1848"/>
      <c r="N3737" s="1848"/>
      <c r="O3737" s="1848"/>
      <c r="P3737" s="1848"/>
      <c r="X3737" s="768" t="b">
        <f t="shared" si="421"/>
        <v>1</v>
      </c>
    </row>
    <row r="3738" hidden="1" spans="1:24">
      <c r="A3738" s="90" t="s">
        <v>4707</v>
      </c>
      <c r="B3738" s="685" t="s">
        <v>4698</v>
      </c>
      <c r="C3738" s="693" t="str">
        <f t="shared" si="424"/>
        <v>深圳新阳蓝光能源管理科技股份有限公司</v>
      </c>
      <c r="D3738" s="687" t="s">
        <v>4697</v>
      </c>
      <c r="E3738" s="1844" t="s">
        <v>4707</v>
      </c>
      <c r="F3738" s="1848"/>
      <c r="G3738" s="1848"/>
      <c r="H3738" s="1848"/>
      <c r="I3738" s="1848"/>
      <c r="J3738" s="1848"/>
      <c r="K3738" s="1848"/>
      <c r="L3738" s="1848"/>
      <c r="M3738" s="1848"/>
      <c r="N3738" s="1848"/>
      <c r="O3738" s="1848"/>
      <c r="P3738" s="1848"/>
      <c r="X3738" s="768" t="b">
        <f t="shared" si="421"/>
        <v>1</v>
      </c>
    </row>
    <row r="3739" hidden="1" spans="1:24">
      <c r="A3739" s="90" t="s">
        <v>4708</v>
      </c>
      <c r="B3739" s="685" t="s">
        <v>4698</v>
      </c>
      <c r="C3739" s="693" t="str">
        <f t="shared" si="424"/>
        <v>深圳新阳蓝光能源管理科技股份有限公司</v>
      </c>
      <c r="D3739" s="687" t="s">
        <v>4697</v>
      </c>
      <c r="E3739" s="1844" t="s">
        <v>4708</v>
      </c>
      <c r="F3739" s="1848"/>
      <c r="G3739" s="1848"/>
      <c r="H3739" s="1848"/>
      <c r="I3739" s="1848"/>
      <c r="J3739" s="1848"/>
      <c r="K3739" s="1848"/>
      <c r="L3739" s="1848"/>
      <c r="M3739" s="1848"/>
      <c r="N3739" s="1848"/>
      <c r="O3739" s="1848"/>
      <c r="P3739" s="1848"/>
      <c r="X3739" s="768" t="b">
        <f t="shared" si="421"/>
        <v>1</v>
      </c>
    </row>
    <row r="3740" hidden="1" spans="1:24">
      <c r="A3740" s="90" t="s">
        <v>4709</v>
      </c>
      <c r="B3740" s="685" t="s">
        <v>4698</v>
      </c>
      <c r="C3740" s="693" t="str">
        <f t="shared" si="424"/>
        <v>深圳新阳蓝光能源管理科技股份有限公司</v>
      </c>
      <c r="D3740" s="687" t="s">
        <v>4697</v>
      </c>
      <c r="E3740" s="1844" t="s">
        <v>4709</v>
      </c>
      <c r="F3740" s="1848"/>
      <c r="G3740" s="1848"/>
      <c r="H3740" s="1848"/>
      <c r="I3740" s="1848"/>
      <c r="J3740" s="1848"/>
      <c r="K3740" s="1848"/>
      <c r="L3740" s="1848"/>
      <c r="M3740" s="1848"/>
      <c r="N3740" s="1848"/>
      <c r="O3740" s="1848"/>
      <c r="P3740" s="1848"/>
      <c r="X3740" s="768" t="b">
        <f t="shared" si="421"/>
        <v>1</v>
      </c>
    </row>
    <row r="3741" hidden="1" spans="1:24">
      <c r="A3741" s="90" t="s">
        <v>4710</v>
      </c>
      <c r="B3741" s="685" t="s">
        <v>4698</v>
      </c>
      <c r="C3741" s="693" t="str">
        <f t="shared" si="424"/>
        <v>深圳新阳蓝光能源管理科技股份有限公司</v>
      </c>
      <c r="D3741" s="687" t="s">
        <v>4697</v>
      </c>
      <c r="E3741" s="1844" t="s">
        <v>4711</v>
      </c>
      <c r="F3741" s="1848"/>
      <c r="G3741" s="1848"/>
      <c r="H3741" s="1848"/>
      <c r="I3741" s="1848"/>
      <c r="J3741" s="1848"/>
      <c r="K3741" s="1848"/>
      <c r="L3741" s="1848"/>
      <c r="M3741" s="1848"/>
      <c r="N3741" s="1848"/>
      <c r="O3741" s="1848"/>
      <c r="P3741" s="1848"/>
      <c r="X3741" s="768" t="b">
        <f t="shared" si="421"/>
        <v>1</v>
      </c>
    </row>
    <row r="3742" hidden="1" spans="1:24">
      <c r="A3742" s="90" t="s">
        <v>4712</v>
      </c>
      <c r="B3742" s="685" t="s">
        <v>4698</v>
      </c>
      <c r="C3742" s="693" t="str">
        <f t="shared" si="424"/>
        <v>深圳新阳蓝光能源管理科技股份有限公司</v>
      </c>
      <c r="D3742" s="687" t="s">
        <v>4697</v>
      </c>
      <c r="E3742" s="1844" t="s">
        <v>4713</v>
      </c>
      <c r="F3742" s="1848"/>
      <c r="G3742" s="1848"/>
      <c r="H3742" s="1848"/>
      <c r="I3742" s="1848"/>
      <c r="J3742" s="1848"/>
      <c r="K3742" s="1848"/>
      <c r="L3742" s="1848"/>
      <c r="M3742" s="1848"/>
      <c r="N3742" s="1848"/>
      <c r="O3742" s="1848"/>
      <c r="P3742" s="1848"/>
      <c r="X3742" s="768" t="b">
        <f t="shared" si="421"/>
        <v>1</v>
      </c>
    </row>
    <row r="3743" hidden="1" spans="1:24">
      <c r="A3743" s="90" t="s">
        <v>4714</v>
      </c>
      <c r="B3743" s="685" t="s">
        <v>4698</v>
      </c>
      <c r="C3743" s="693" t="str">
        <f t="shared" si="424"/>
        <v>深圳新阳蓝光能源管理科技股份有限公司</v>
      </c>
      <c r="D3743" s="687" t="s">
        <v>4697</v>
      </c>
      <c r="E3743" s="1844" t="s">
        <v>4715</v>
      </c>
      <c r="F3743" s="1848"/>
      <c r="G3743" s="1848"/>
      <c r="H3743" s="1848"/>
      <c r="I3743" s="1848"/>
      <c r="J3743" s="1848"/>
      <c r="K3743" s="1848"/>
      <c r="L3743" s="1848"/>
      <c r="M3743" s="1848"/>
      <c r="N3743" s="1848"/>
      <c r="O3743" s="1848"/>
      <c r="P3743" s="1848"/>
      <c r="X3743" s="768" t="b">
        <f t="shared" si="421"/>
        <v>1</v>
      </c>
    </row>
    <row r="3744" hidden="1" spans="2:24">
      <c r="B3744" s="685" t="s">
        <v>4698</v>
      </c>
      <c r="C3744" s="693" t="str">
        <f t="shared" si="424"/>
        <v>深圳新阳蓝光能源管理科技股份有限公司</v>
      </c>
      <c r="D3744" s="687" t="s">
        <v>4697</v>
      </c>
      <c r="E3744" s="1824"/>
      <c r="F3744" s="751"/>
      <c r="G3744" s="751"/>
      <c r="H3744" s="751"/>
      <c r="I3744" s="751"/>
      <c r="J3744" s="751"/>
      <c r="K3744" s="751"/>
      <c r="L3744" s="751"/>
      <c r="M3744" s="751"/>
      <c r="N3744" s="751"/>
      <c r="O3744" s="751"/>
      <c r="P3744" s="751"/>
      <c r="X3744" s="768" t="b">
        <f t="shared" si="421"/>
        <v>1</v>
      </c>
    </row>
    <row r="3745" hidden="1" spans="1:24">
      <c r="A3745" s="90" t="s">
        <v>4716</v>
      </c>
      <c r="B3745" s="685" t="s">
        <v>4698</v>
      </c>
      <c r="C3745" s="693" t="str">
        <f t="shared" si="424"/>
        <v>深圳新阳蓝光能源管理科技股份有限公司</v>
      </c>
      <c r="D3745" s="687" t="s">
        <v>4697</v>
      </c>
      <c r="E3745" s="153" t="s">
        <v>4717</v>
      </c>
      <c r="F3745" s="751"/>
      <c r="G3745" s="751"/>
      <c r="H3745" s="751"/>
      <c r="I3745" s="751"/>
      <c r="J3745" s="751"/>
      <c r="K3745" s="751"/>
      <c r="L3745" s="751"/>
      <c r="M3745" s="751"/>
      <c r="N3745" s="751"/>
      <c r="O3745" s="751"/>
      <c r="P3745" s="751"/>
      <c r="X3745" s="768" t="b">
        <f t="shared" si="421"/>
        <v>1</v>
      </c>
    </row>
    <row r="3746" ht="11.25" hidden="1" customHeight="1" spans="1:24">
      <c r="A3746" s="90" t="s">
        <v>4718</v>
      </c>
      <c r="B3746" s="685" t="s">
        <v>4698</v>
      </c>
      <c r="C3746" s="693" t="str">
        <f t="shared" si="424"/>
        <v>深圳新阳蓝光能源管理科技股份有限公司</v>
      </c>
      <c r="D3746" s="687" t="s">
        <v>4697</v>
      </c>
      <c r="E3746" s="153" t="s">
        <v>4719</v>
      </c>
      <c r="F3746" s="751"/>
      <c r="G3746" s="751"/>
      <c r="H3746" s="751"/>
      <c r="I3746" s="751"/>
      <c r="J3746" s="751"/>
      <c r="K3746" s="751"/>
      <c r="L3746" s="751"/>
      <c r="M3746" s="751"/>
      <c r="N3746" s="751"/>
      <c r="O3746" s="751"/>
      <c r="P3746" s="751"/>
      <c r="X3746" s="768" t="b">
        <f t="shared" si="421"/>
        <v>1</v>
      </c>
    </row>
    <row r="3747" spans="2:4">
      <c r="B3747" s="1849"/>
      <c r="C3747" s="1850" t="str">
        <f t="shared" si="424"/>
        <v>深圳新阳蓝光能源管理科技股份有限公司</v>
      </c>
      <c r="D3747" s="1851"/>
    </row>
    <row r="3748" spans="3:3">
      <c r="C3748" s="693" t="str">
        <f t="shared" si="424"/>
        <v>深圳新阳蓝光能源管理科技股份有限公司</v>
      </c>
    </row>
    <row r="3749" spans="3:6">
      <c r="C3749" s="693" t="str">
        <f t="shared" si="424"/>
        <v>深圳新阳蓝光能源管理科技股份有限公司</v>
      </c>
      <c r="D3749" s="687" t="s">
        <v>2079</v>
      </c>
      <c r="E3749" s="70" t="s">
        <v>3239</v>
      </c>
      <c r="F3749" s="71" t="s">
        <v>4720</v>
      </c>
    </row>
    <row r="3750" outlineLevel="1" spans="1:5">
      <c r="A3750" s="1852" t="s">
        <v>4721</v>
      </c>
      <c r="B3750" s="685" t="s">
        <v>4722</v>
      </c>
      <c r="C3750" s="693"/>
      <c r="D3750" s="687" t="s">
        <v>2079</v>
      </c>
      <c r="E3750" s="70" t="s">
        <v>4723</v>
      </c>
    </row>
    <row r="3751" outlineLevel="1" spans="1:9">
      <c r="A3751" s="1852" t="s">
        <v>4724</v>
      </c>
      <c r="B3751" s="685" t="s">
        <v>4725</v>
      </c>
      <c r="C3751" s="693" t="str">
        <f t="shared" ref="C3751:C3782" si="425">$G$1</f>
        <v>深圳新阳蓝光能源管理科技股份有限公司</v>
      </c>
      <c r="D3751" s="687" t="s">
        <v>2079</v>
      </c>
      <c r="E3751" s="74" t="s">
        <v>61</v>
      </c>
      <c r="F3751" s="74" t="s">
        <v>2443</v>
      </c>
      <c r="G3751" s="74" t="s">
        <v>4726</v>
      </c>
      <c r="H3751" s="74" t="s">
        <v>236</v>
      </c>
      <c r="I3751" s="74" t="s">
        <v>2021</v>
      </c>
    </row>
    <row r="3752" outlineLevel="1" spans="1:9">
      <c r="A3752" s="1852" t="s">
        <v>4727</v>
      </c>
      <c r="B3752" s="685" t="s">
        <v>4728</v>
      </c>
      <c r="C3752" s="693" t="str">
        <f t="shared" si="425"/>
        <v>深圳新阳蓝光能源管理科技股份有限公司</v>
      </c>
      <c r="D3752" s="687" t="s">
        <v>2079</v>
      </c>
      <c r="E3752" s="75" t="s">
        <v>4729</v>
      </c>
      <c r="F3752" s="76"/>
      <c r="G3752" s="76"/>
      <c r="H3752" s="76"/>
      <c r="I3752" s="76"/>
    </row>
    <row r="3753" outlineLevel="1" spans="1:9">
      <c r="A3753" s="1852" t="s">
        <v>4730</v>
      </c>
      <c r="B3753" s="685" t="s">
        <v>4731</v>
      </c>
      <c r="C3753" s="693" t="str">
        <f t="shared" si="425"/>
        <v>深圳新阳蓝光能源管理科技股份有限公司</v>
      </c>
      <c r="D3753" s="687" t="s">
        <v>2079</v>
      </c>
      <c r="E3753" s="75" t="s">
        <v>4732</v>
      </c>
      <c r="F3753" s="1853"/>
      <c r="G3753" s="1853"/>
      <c r="H3753" s="1854"/>
      <c r="I3753" s="1855">
        <f>ROUND(SUM(F3753:H3753),2)</f>
        <v>0</v>
      </c>
    </row>
    <row r="3754" outlineLevel="1" spans="1:9">
      <c r="A3754" s="1852" t="s">
        <v>4733</v>
      </c>
      <c r="B3754" s="685" t="s">
        <v>4734</v>
      </c>
      <c r="C3754" s="693" t="str">
        <f t="shared" si="425"/>
        <v>深圳新阳蓝光能源管理科技股份有限公司</v>
      </c>
      <c r="D3754" s="687" t="s">
        <v>2079</v>
      </c>
      <c r="E3754" s="75" t="s">
        <v>4735</v>
      </c>
      <c r="F3754" s="1855">
        <f>ROUND(SUM(F3755:F3758),2)</f>
        <v>0</v>
      </c>
      <c r="G3754" s="1855">
        <f t="shared" ref="G3754:H3754" si="426">ROUND(SUM(G3755:G3758),2)</f>
        <v>0</v>
      </c>
      <c r="H3754" s="1855">
        <f t="shared" si="426"/>
        <v>0</v>
      </c>
      <c r="I3754" s="1855">
        <f t="shared" ref="I3754:I3787" si="427">ROUND(SUM(F3754:H3754),2)</f>
        <v>0</v>
      </c>
    </row>
    <row r="3755" outlineLevel="1" spans="1:9">
      <c r="A3755" s="1852" t="s">
        <v>4736</v>
      </c>
      <c r="B3755" s="685" t="s">
        <v>4737</v>
      </c>
      <c r="C3755" s="693" t="str">
        <f t="shared" si="425"/>
        <v>深圳新阳蓝光能源管理科技股份有限公司</v>
      </c>
      <c r="D3755" s="687" t="s">
        <v>2079</v>
      </c>
      <c r="E3755" s="75" t="s">
        <v>4738</v>
      </c>
      <c r="F3755" s="1854"/>
      <c r="G3755" s="1854"/>
      <c r="H3755" s="1854"/>
      <c r="I3755" s="1855">
        <f t="shared" si="427"/>
        <v>0</v>
      </c>
    </row>
    <row r="3756" outlineLevel="1" spans="1:9">
      <c r="A3756" s="1852" t="s">
        <v>4739</v>
      </c>
      <c r="B3756" s="685" t="s">
        <v>4740</v>
      </c>
      <c r="C3756" s="693" t="str">
        <f t="shared" si="425"/>
        <v>深圳新阳蓝光能源管理科技股份有限公司</v>
      </c>
      <c r="D3756" s="687" t="s">
        <v>2079</v>
      </c>
      <c r="E3756" s="75" t="s">
        <v>4741</v>
      </c>
      <c r="F3756" s="1853"/>
      <c r="G3756" s="1854"/>
      <c r="H3756" s="1854"/>
      <c r="I3756" s="1855">
        <f t="shared" si="427"/>
        <v>0</v>
      </c>
    </row>
    <row r="3757" outlineLevel="1" spans="1:9">
      <c r="A3757" s="1852" t="s">
        <v>4742</v>
      </c>
      <c r="B3757" s="685" t="s">
        <v>4743</v>
      </c>
      <c r="C3757" s="693" t="str">
        <f t="shared" si="425"/>
        <v>深圳新阳蓝光能源管理科技股份有限公司</v>
      </c>
      <c r="D3757" s="687" t="s">
        <v>2079</v>
      </c>
      <c r="E3757" s="75" t="s">
        <v>4744</v>
      </c>
      <c r="F3757" s="1854"/>
      <c r="G3757" s="1854"/>
      <c r="H3757" s="1854"/>
      <c r="I3757" s="1855">
        <f t="shared" si="427"/>
        <v>0</v>
      </c>
    </row>
    <row r="3758" outlineLevel="1" spans="1:9">
      <c r="A3758" s="1852" t="s">
        <v>4745</v>
      </c>
      <c r="B3758" s="685" t="s">
        <v>4746</v>
      </c>
      <c r="C3758" s="693" t="str">
        <f t="shared" si="425"/>
        <v>深圳新阳蓝光能源管理科技股份有限公司</v>
      </c>
      <c r="D3758" s="687" t="s">
        <v>2079</v>
      </c>
      <c r="E3758" s="75"/>
      <c r="F3758" s="76"/>
      <c r="G3758" s="76"/>
      <c r="H3758" s="76"/>
      <c r="I3758" s="1855">
        <f t="shared" si="427"/>
        <v>0</v>
      </c>
    </row>
    <row r="3759" outlineLevel="1" spans="1:9">
      <c r="A3759" s="1852" t="s">
        <v>4747</v>
      </c>
      <c r="B3759" s="685" t="s">
        <v>4748</v>
      </c>
      <c r="C3759" s="693" t="str">
        <f t="shared" si="425"/>
        <v>深圳新阳蓝光能源管理科技股份有限公司</v>
      </c>
      <c r="D3759" s="687" t="s">
        <v>2079</v>
      </c>
      <c r="E3759" s="75" t="s">
        <v>4749</v>
      </c>
      <c r="F3759" s="1855">
        <f>ROUND(SUM(F3760:F3762),2)</f>
        <v>0</v>
      </c>
      <c r="G3759" s="1855">
        <f t="shared" ref="G3759:H3759" si="428">ROUND(SUM(G3760:G3762),2)</f>
        <v>0</v>
      </c>
      <c r="H3759" s="1855">
        <f t="shared" si="428"/>
        <v>0</v>
      </c>
      <c r="I3759" s="1855">
        <f t="shared" si="427"/>
        <v>0</v>
      </c>
    </row>
    <row r="3760" outlineLevel="1" spans="1:9">
      <c r="A3760" s="1852" t="s">
        <v>4750</v>
      </c>
      <c r="B3760" s="685" t="s">
        <v>4751</v>
      </c>
      <c r="C3760" s="693" t="str">
        <f t="shared" si="425"/>
        <v>深圳新阳蓝光能源管理科技股份有限公司</v>
      </c>
      <c r="D3760" s="687" t="s">
        <v>2079</v>
      </c>
      <c r="E3760" s="75" t="s">
        <v>4752</v>
      </c>
      <c r="F3760" s="1854"/>
      <c r="G3760" s="1854"/>
      <c r="H3760" s="1854"/>
      <c r="I3760" s="1855">
        <f t="shared" si="427"/>
        <v>0</v>
      </c>
    </row>
    <row r="3761" outlineLevel="1" spans="1:9">
      <c r="A3761" s="1852" t="s">
        <v>4753</v>
      </c>
      <c r="B3761" s="685" t="s">
        <v>4754</v>
      </c>
      <c r="C3761" s="693" t="str">
        <f t="shared" si="425"/>
        <v>深圳新阳蓝光能源管理科技股份有限公司</v>
      </c>
      <c r="D3761" s="687" t="s">
        <v>2079</v>
      </c>
      <c r="E3761" s="75" t="s">
        <v>4755</v>
      </c>
      <c r="F3761" s="1853"/>
      <c r="G3761" s="1854"/>
      <c r="H3761" s="1854"/>
      <c r="I3761" s="1855">
        <f t="shared" si="427"/>
        <v>0</v>
      </c>
    </row>
    <row r="3762" outlineLevel="1" spans="1:9">
      <c r="A3762" s="1852" t="s">
        <v>4756</v>
      </c>
      <c r="B3762" s="685" t="s">
        <v>4757</v>
      </c>
      <c r="C3762" s="693" t="str">
        <f t="shared" si="425"/>
        <v>深圳新阳蓝光能源管理科技股份有限公司</v>
      </c>
      <c r="D3762" s="687" t="s">
        <v>2079</v>
      </c>
      <c r="E3762" s="75" t="s">
        <v>4758</v>
      </c>
      <c r="F3762" s="1856"/>
      <c r="G3762" s="1856"/>
      <c r="H3762" s="1856"/>
      <c r="I3762" s="1855">
        <f t="shared" si="427"/>
        <v>0</v>
      </c>
    </row>
    <row r="3763" outlineLevel="1" spans="1:9">
      <c r="A3763" s="1852" t="s">
        <v>4759</v>
      </c>
      <c r="B3763" s="685" t="s">
        <v>4760</v>
      </c>
      <c r="C3763" s="693" t="str">
        <f t="shared" si="425"/>
        <v>深圳新阳蓝光能源管理科技股份有限公司</v>
      </c>
      <c r="D3763" s="687" t="s">
        <v>2079</v>
      </c>
      <c r="E3763" s="75" t="s">
        <v>4761</v>
      </c>
      <c r="F3763" s="1855">
        <f>ROUND(F3753+F3754-F3759,2)</f>
        <v>0</v>
      </c>
      <c r="G3763" s="1855">
        <f t="shared" ref="G3763:H3763" si="429">ROUND(G3753+G3754-G3759,2)</f>
        <v>0</v>
      </c>
      <c r="H3763" s="1855">
        <f t="shared" si="429"/>
        <v>0</v>
      </c>
      <c r="I3763" s="1855">
        <f t="shared" si="427"/>
        <v>0</v>
      </c>
    </row>
    <row r="3764" outlineLevel="1" spans="1:9">
      <c r="A3764" s="1852" t="s">
        <v>4762</v>
      </c>
      <c r="B3764" s="685" t="s">
        <v>4763</v>
      </c>
      <c r="C3764" s="693" t="str">
        <f t="shared" si="425"/>
        <v>深圳新阳蓝光能源管理科技股份有限公司</v>
      </c>
      <c r="D3764" s="687" t="s">
        <v>2079</v>
      </c>
      <c r="E3764" s="75" t="s">
        <v>4764</v>
      </c>
      <c r="F3764" s="76"/>
      <c r="G3764" s="76"/>
      <c r="H3764" s="76"/>
      <c r="I3764" s="1855">
        <f t="shared" si="427"/>
        <v>0</v>
      </c>
    </row>
    <row r="3765" outlineLevel="1" spans="1:9">
      <c r="A3765" s="1852" t="s">
        <v>4765</v>
      </c>
      <c r="B3765" s="685" t="s">
        <v>4766</v>
      </c>
      <c r="C3765" s="693" t="str">
        <f t="shared" si="425"/>
        <v>深圳新阳蓝光能源管理科技股份有限公司</v>
      </c>
      <c r="D3765" s="687" t="s">
        <v>2079</v>
      </c>
      <c r="E3765" s="75" t="s">
        <v>4732</v>
      </c>
      <c r="F3765" s="1853"/>
      <c r="G3765" s="1853"/>
      <c r="H3765" s="1854"/>
      <c r="I3765" s="1855">
        <f t="shared" si="427"/>
        <v>0</v>
      </c>
    </row>
    <row r="3766" outlineLevel="1" spans="1:9">
      <c r="A3766" s="1852" t="s">
        <v>4767</v>
      </c>
      <c r="B3766" s="685" t="s">
        <v>4768</v>
      </c>
      <c r="C3766" s="693" t="str">
        <f t="shared" si="425"/>
        <v>深圳新阳蓝光能源管理科技股份有限公司</v>
      </c>
      <c r="D3766" s="687" t="s">
        <v>2079</v>
      </c>
      <c r="E3766" s="75" t="s">
        <v>4735</v>
      </c>
      <c r="F3766" s="1855">
        <f>ROUND(SUM(F3767:F3768),2)</f>
        <v>0</v>
      </c>
      <c r="G3766" s="1855">
        <f t="shared" ref="G3766:H3766" si="430">ROUND(SUM(G3767:G3768),2)</f>
        <v>0</v>
      </c>
      <c r="H3766" s="1855">
        <f t="shared" si="430"/>
        <v>0</v>
      </c>
      <c r="I3766" s="1855">
        <f t="shared" si="427"/>
        <v>0</v>
      </c>
    </row>
    <row r="3767" outlineLevel="1" spans="1:9">
      <c r="A3767" s="1852" t="s">
        <v>4769</v>
      </c>
      <c r="B3767" s="685" t="s">
        <v>4770</v>
      </c>
      <c r="C3767" s="693" t="str">
        <f t="shared" si="425"/>
        <v>深圳新阳蓝光能源管理科技股份有限公司</v>
      </c>
      <c r="D3767" s="687" t="s">
        <v>2079</v>
      </c>
      <c r="E3767" s="75" t="s">
        <v>4771</v>
      </c>
      <c r="F3767" s="1853"/>
      <c r="G3767" s="1853"/>
      <c r="H3767" s="1854"/>
      <c r="I3767" s="1855">
        <f t="shared" si="427"/>
        <v>0</v>
      </c>
    </row>
    <row r="3768" outlineLevel="1" spans="1:9">
      <c r="A3768" s="1852" t="s">
        <v>4772</v>
      </c>
      <c r="B3768" s="685" t="s">
        <v>4773</v>
      </c>
      <c r="C3768" s="693" t="str">
        <f t="shared" si="425"/>
        <v>深圳新阳蓝光能源管理科技股份有限公司</v>
      </c>
      <c r="D3768" s="687" t="s">
        <v>2079</v>
      </c>
      <c r="E3768" s="75" t="s">
        <v>4774</v>
      </c>
      <c r="F3768" s="1857"/>
      <c r="G3768" s="1854"/>
      <c r="H3768" s="1854"/>
      <c r="I3768" s="1855">
        <f t="shared" si="427"/>
        <v>0</v>
      </c>
    </row>
    <row r="3769" outlineLevel="1" spans="1:9">
      <c r="A3769" s="1852" t="s">
        <v>4775</v>
      </c>
      <c r="B3769" s="685" t="s">
        <v>4776</v>
      </c>
      <c r="C3769" s="693" t="str">
        <f t="shared" si="425"/>
        <v>深圳新阳蓝光能源管理科技股份有限公司</v>
      </c>
      <c r="D3769" s="687" t="s">
        <v>2079</v>
      </c>
      <c r="E3769" s="75" t="s">
        <v>4777</v>
      </c>
      <c r="F3769" s="1857"/>
      <c r="G3769" s="1854"/>
      <c r="H3769" s="1854"/>
      <c r="I3769" s="87"/>
    </row>
    <row r="3770" outlineLevel="1" spans="1:9">
      <c r="A3770" s="1852" t="s">
        <v>4778</v>
      </c>
      <c r="B3770" s="685" t="s">
        <v>4779</v>
      </c>
      <c r="C3770" s="693" t="str">
        <f t="shared" si="425"/>
        <v>深圳新阳蓝光能源管理科技股份有限公司</v>
      </c>
      <c r="D3770" s="687" t="s">
        <v>2079</v>
      </c>
      <c r="E3770" s="75" t="s">
        <v>4749</v>
      </c>
      <c r="F3770" s="1855">
        <f>ROUND(SUM(F3771:F3772),2)</f>
        <v>0</v>
      </c>
      <c r="G3770" s="1855">
        <f t="shared" ref="G3770:H3770" si="431">ROUND(SUM(G3771:G3772),2)</f>
        <v>0</v>
      </c>
      <c r="H3770" s="1855">
        <f t="shared" si="431"/>
        <v>0</v>
      </c>
      <c r="I3770" s="1855">
        <f t="shared" si="427"/>
        <v>0</v>
      </c>
    </row>
    <row r="3771" outlineLevel="1" spans="1:9">
      <c r="A3771" s="1852" t="s">
        <v>4780</v>
      </c>
      <c r="B3771" s="685" t="s">
        <v>4781</v>
      </c>
      <c r="C3771" s="693" t="str">
        <f t="shared" si="425"/>
        <v>深圳新阳蓝光能源管理科技股份有限公司</v>
      </c>
      <c r="D3771" s="687" t="s">
        <v>2079</v>
      </c>
      <c r="E3771" s="75" t="s">
        <v>4752</v>
      </c>
      <c r="F3771" s="1854"/>
      <c r="G3771" s="1854"/>
      <c r="H3771" s="1854"/>
      <c r="I3771" s="1855">
        <f t="shared" si="427"/>
        <v>0</v>
      </c>
    </row>
    <row r="3772" outlineLevel="1" spans="1:9">
      <c r="A3772" s="1852" t="s">
        <v>4782</v>
      </c>
      <c r="B3772" s="685" t="s">
        <v>4783</v>
      </c>
      <c r="C3772" s="693" t="str">
        <f t="shared" si="425"/>
        <v>深圳新阳蓝光能源管理科技股份有限公司</v>
      </c>
      <c r="D3772" s="687" t="s">
        <v>2079</v>
      </c>
      <c r="E3772" s="75" t="s">
        <v>4755</v>
      </c>
      <c r="F3772" s="1853"/>
      <c r="G3772" s="1854"/>
      <c r="H3772" s="1854"/>
      <c r="I3772" s="1855">
        <f t="shared" si="427"/>
        <v>0</v>
      </c>
    </row>
    <row r="3773" outlineLevel="1" spans="1:9">
      <c r="A3773" s="1852" t="s">
        <v>4784</v>
      </c>
      <c r="B3773" s="685" t="s">
        <v>4785</v>
      </c>
      <c r="C3773" s="693" t="str">
        <f t="shared" si="425"/>
        <v>深圳新阳蓝光能源管理科技股份有限公司</v>
      </c>
      <c r="D3773" s="687" t="s">
        <v>2079</v>
      </c>
      <c r="E3773" s="83" t="s">
        <v>4786</v>
      </c>
      <c r="F3773" s="1856"/>
      <c r="G3773" s="1856"/>
      <c r="H3773" s="1856"/>
      <c r="I3773" s="1855">
        <f t="shared" si="427"/>
        <v>0</v>
      </c>
    </row>
    <row r="3774" outlineLevel="1" spans="1:9">
      <c r="A3774" s="1852" t="s">
        <v>4787</v>
      </c>
      <c r="B3774" s="685" t="s">
        <v>4788</v>
      </c>
      <c r="C3774" s="693" t="str">
        <f t="shared" si="425"/>
        <v>深圳新阳蓝光能源管理科技股份有限公司</v>
      </c>
      <c r="D3774" s="687" t="s">
        <v>2079</v>
      </c>
      <c r="E3774" s="75" t="s">
        <v>4761</v>
      </c>
      <c r="F3774" s="1855">
        <f>ROUND(F3765+F3766-F3770,2)</f>
        <v>0</v>
      </c>
      <c r="G3774" s="1855">
        <f t="shared" ref="G3774:H3774" si="432">ROUND(G3765+G3766-G3770,2)</f>
        <v>0</v>
      </c>
      <c r="H3774" s="1855">
        <f t="shared" si="432"/>
        <v>0</v>
      </c>
      <c r="I3774" s="1855">
        <f t="shared" si="427"/>
        <v>0</v>
      </c>
    </row>
    <row r="3775" outlineLevel="1" spans="1:9">
      <c r="A3775" s="1852" t="s">
        <v>4789</v>
      </c>
      <c r="B3775" s="685" t="s">
        <v>4790</v>
      </c>
      <c r="C3775" s="693" t="str">
        <f t="shared" si="425"/>
        <v>深圳新阳蓝光能源管理科技股份有限公司</v>
      </c>
      <c r="D3775" s="687" t="s">
        <v>2079</v>
      </c>
      <c r="E3775" s="75" t="s">
        <v>4791</v>
      </c>
      <c r="F3775" s="76"/>
      <c r="G3775" s="76"/>
      <c r="H3775" s="76"/>
      <c r="I3775" s="1855">
        <f t="shared" si="427"/>
        <v>0</v>
      </c>
    </row>
    <row r="3776" outlineLevel="1" spans="1:9">
      <c r="A3776" s="1852" t="s">
        <v>4792</v>
      </c>
      <c r="B3776" s="685" t="s">
        <v>4793</v>
      </c>
      <c r="C3776" s="693" t="str">
        <f t="shared" si="425"/>
        <v>深圳新阳蓝光能源管理科技股份有限公司</v>
      </c>
      <c r="D3776" s="687" t="s">
        <v>2079</v>
      </c>
      <c r="E3776" s="75" t="s">
        <v>4732</v>
      </c>
      <c r="F3776" s="1854"/>
      <c r="G3776" s="1854"/>
      <c r="H3776" s="1854"/>
      <c r="I3776" s="1855">
        <f t="shared" si="427"/>
        <v>0</v>
      </c>
    </row>
    <row r="3777" outlineLevel="1" spans="1:9">
      <c r="A3777" s="1852" t="s">
        <v>4794</v>
      </c>
      <c r="B3777" s="685" t="s">
        <v>4795</v>
      </c>
      <c r="C3777" s="693" t="str">
        <f t="shared" si="425"/>
        <v>深圳新阳蓝光能源管理科技股份有限公司</v>
      </c>
      <c r="D3777" s="687" t="s">
        <v>2079</v>
      </c>
      <c r="E3777" s="75" t="s">
        <v>4735</v>
      </c>
      <c r="F3777" s="1855">
        <f>ROUND(SUM(F3778:F3779),2)</f>
        <v>0</v>
      </c>
      <c r="G3777" s="1855">
        <f t="shared" ref="G3777:H3777" si="433">ROUND(SUM(G3778:G3779),2)</f>
        <v>0</v>
      </c>
      <c r="H3777" s="1855">
        <f t="shared" si="433"/>
        <v>0</v>
      </c>
      <c r="I3777" s="1855">
        <f t="shared" si="427"/>
        <v>0</v>
      </c>
    </row>
    <row r="3778" outlineLevel="1" spans="1:9">
      <c r="A3778" s="1852" t="s">
        <v>4796</v>
      </c>
      <c r="B3778" s="685" t="s">
        <v>4797</v>
      </c>
      <c r="C3778" s="693" t="str">
        <f t="shared" si="425"/>
        <v>深圳新阳蓝光能源管理科技股份有限公司</v>
      </c>
      <c r="D3778" s="687" t="s">
        <v>2079</v>
      </c>
      <c r="E3778" s="75" t="s">
        <v>4798</v>
      </c>
      <c r="F3778" s="1854"/>
      <c r="G3778" s="1854"/>
      <c r="H3778" s="1854"/>
      <c r="I3778" s="1855">
        <f t="shared" si="427"/>
        <v>0</v>
      </c>
    </row>
    <row r="3779" outlineLevel="1" spans="1:9">
      <c r="A3779" s="1852" t="s">
        <v>4799</v>
      </c>
      <c r="B3779" s="685" t="s">
        <v>4800</v>
      </c>
      <c r="C3779" s="693" t="str">
        <f t="shared" si="425"/>
        <v>深圳新阳蓝光能源管理科技股份有限公司</v>
      </c>
      <c r="D3779" s="687" t="s">
        <v>2079</v>
      </c>
      <c r="E3779" s="83"/>
      <c r="F3779" s="76"/>
      <c r="G3779" s="76"/>
      <c r="H3779" s="76"/>
      <c r="I3779" s="1855">
        <f t="shared" si="427"/>
        <v>0</v>
      </c>
    </row>
    <row r="3780" outlineLevel="1" spans="1:9">
      <c r="A3780" s="1852" t="s">
        <v>4801</v>
      </c>
      <c r="B3780" s="685" t="s">
        <v>4802</v>
      </c>
      <c r="C3780" s="693" t="str">
        <f t="shared" si="425"/>
        <v>深圳新阳蓝光能源管理科技股份有限公司</v>
      </c>
      <c r="D3780" s="687" t="s">
        <v>2079</v>
      </c>
      <c r="E3780" s="75" t="s">
        <v>4803</v>
      </c>
      <c r="F3780" s="1855">
        <f>ROUND(SUM(F3781:F3783),2)</f>
        <v>0</v>
      </c>
      <c r="G3780" s="1855">
        <f t="shared" ref="G3780:H3780" si="434">ROUND(SUM(G3781:G3783),2)</f>
        <v>0</v>
      </c>
      <c r="H3780" s="1855">
        <f t="shared" si="434"/>
        <v>0</v>
      </c>
      <c r="I3780" s="1855">
        <f t="shared" si="427"/>
        <v>0</v>
      </c>
    </row>
    <row r="3781" outlineLevel="1" spans="1:9">
      <c r="A3781" s="1852" t="s">
        <v>4804</v>
      </c>
      <c r="B3781" s="685" t="s">
        <v>4805</v>
      </c>
      <c r="C3781" s="693" t="str">
        <f t="shared" si="425"/>
        <v>深圳新阳蓝光能源管理科技股份有限公司</v>
      </c>
      <c r="D3781" s="687" t="s">
        <v>2079</v>
      </c>
      <c r="E3781" s="75" t="s">
        <v>4752</v>
      </c>
      <c r="F3781" s="1854"/>
      <c r="G3781" s="1854"/>
      <c r="H3781" s="1854"/>
      <c r="I3781" s="1855">
        <f t="shared" si="427"/>
        <v>0</v>
      </c>
    </row>
    <row r="3782" outlineLevel="1" spans="1:9">
      <c r="A3782" s="1852" t="s">
        <v>4806</v>
      </c>
      <c r="B3782" s="685" t="s">
        <v>4807</v>
      </c>
      <c r="C3782" s="693" t="str">
        <f t="shared" si="425"/>
        <v>深圳新阳蓝光能源管理科技股份有限公司</v>
      </c>
      <c r="D3782" s="687" t="s">
        <v>2079</v>
      </c>
      <c r="E3782" s="75" t="s">
        <v>4755</v>
      </c>
      <c r="F3782" s="1854"/>
      <c r="G3782" s="1854"/>
      <c r="H3782" s="1854"/>
      <c r="I3782" s="1855">
        <f t="shared" si="427"/>
        <v>0</v>
      </c>
    </row>
    <row r="3783" outlineLevel="1" spans="1:9">
      <c r="A3783" s="1852" t="s">
        <v>4808</v>
      </c>
      <c r="B3783" s="685" t="s">
        <v>4809</v>
      </c>
      <c r="C3783" s="693" t="str">
        <f t="shared" ref="C3783:C3814" si="435">$G$1</f>
        <v>深圳新阳蓝光能源管理科技股份有限公司</v>
      </c>
      <c r="D3783" s="687" t="s">
        <v>2079</v>
      </c>
      <c r="E3783" s="83"/>
      <c r="F3783" s="76"/>
      <c r="G3783" s="76"/>
      <c r="H3783" s="76"/>
      <c r="I3783" s="1855">
        <f t="shared" si="427"/>
        <v>0</v>
      </c>
    </row>
    <row r="3784" outlineLevel="1" spans="1:9">
      <c r="A3784" s="1852" t="s">
        <v>4810</v>
      </c>
      <c r="B3784" s="685" t="s">
        <v>4811</v>
      </c>
      <c r="C3784" s="693" t="str">
        <f t="shared" si="435"/>
        <v>深圳新阳蓝光能源管理科技股份有限公司</v>
      </c>
      <c r="D3784" s="687" t="s">
        <v>2079</v>
      </c>
      <c r="E3784" s="75" t="s">
        <v>4761</v>
      </c>
      <c r="F3784" s="1855">
        <f>ROUND(F3776+F3777-F3780,2)</f>
        <v>0</v>
      </c>
      <c r="G3784" s="1855">
        <f t="shared" ref="G3784:H3784" si="436">ROUND(G3776+G3777-G3780,2)</f>
        <v>0</v>
      </c>
      <c r="H3784" s="1855">
        <f t="shared" si="436"/>
        <v>0</v>
      </c>
      <c r="I3784" s="1855">
        <f t="shared" si="427"/>
        <v>0</v>
      </c>
    </row>
    <row r="3785" outlineLevel="1" spans="1:9">
      <c r="A3785" s="1852" t="s">
        <v>4812</v>
      </c>
      <c r="B3785" s="685" t="s">
        <v>4813</v>
      </c>
      <c r="C3785" s="693" t="str">
        <f t="shared" si="435"/>
        <v>深圳新阳蓝光能源管理科技股份有限公司</v>
      </c>
      <c r="D3785" s="687" t="s">
        <v>2079</v>
      </c>
      <c r="E3785" s="75" t="s">
        <v>4814</v>
      </c>
      <c r="F3785" s="1854"/>
      <c r="G3785" s="1854"/>
      <c r="H3785" s="1854"/>
      <c r="I3785" s="1855">
        <f t="shared" si="427"/>
        <v>0</v>
      </c>
    </row>
    <row r="3786" outlineLevel="1" spans="1:9">
      <c r="A3786" s="1852" t="s">
        <v>4815</v>
      </c>
      <c r="B3786" s="685" t="s">
        <v>4816</v>
      </c>
      <c r="C3786" s="693" t="str">
        <f t="shared" si="435"/>
        <v>深圳新阳蓝光能源管理科技股份有限公司</v>
      </c>
      <c r="D3786" s="687" t="s">
        <v>2079</v>
      </c>
      <c r="E3786" s="75" t="s">
        <v>4817</v>
      </c>
      <c r="F3786" s="1855">
        <f>ROUND(F3763-F3774-F3784,2)</f>
        <v>0</v>
      </c>
      <c r="G3786" s="1855">
        <f t="shared" ref="G3786:H3786" si="437">ROUND(G3763-G3774-G3784,2)</f>
        <v>0</v>
      </c>
      <c r="H3786" s="1855">
        <f t="shared" si="437"/>
        <v>0</v>
      </c>
      <c r="I3786" s="1866">
        <f t="shared" si="427"/>
        <v>0</v>
      </c>
    </row>
    <row r="3787" outlineLevel="1" spans="1:9">
      <c r="A3787" s="1852" t="s">
        <v>4818</v>
      </c>
      <c r="B3787" s="685" t="s">
        <v>4819</v>
      </c>
      <c r="C3787" s="693" t="str">
        <f t="shared" si="435"/>
        <v>深圳新阳蓝光能源管理科技股份有限公司</v>
      </c>
      <c r="D3787" s="687" t="s">
        <v>2079</v>
      </c>
      <c r="E3787" s="75" t="s">
        <v>4820</v>
      </c>
      <c r="F3787" s="1855">
        <f>ROUND(F3753-F3765-F3776,2)</f>
        <v>0</v>
      </c>
      <c r="G3787" s="1855">
        <f t="shared" ref="G3787:H3787" si="438">ROUND(G3753-G3765-G3776,2)</f>
        <v>0</v>
      </c>
      <c r="H3787" s="1855">
        <f t="shared" si="438"/>
        <v>0</v>
      </c>
      <c r="I3787" s="1866">
        <f t="shared" si="427"/>
        <v>0</v>
      </c>
    </row>
    <row r="3788" outlineLevel="1" spans="1:9">
      <c r="A3788" s="1852" t="s">
        <v>4821</v>
      </c>
      <c r="B3788" s="685" t="s">
        <v>4822</v>
      </c>
      <c r="C3788" s="693" t="str">
        <f t="shared" si="435"/>
        <v>深圳新阳蓝光能源管理科技股份有限公司</v>
      </c>
      <c r="D3788" s="687" t="s">
        <v>2079</v>
      </c>
      <c r="E3788" s="1115" t="s">
        <v>4823</v>
      </c>
      <c r="I3788" s="93">
        <f>审定资负表!C26</f>
        <v>0</v>
      </c>
    </row>
    <row r="3789" outlineLevel="1" spans="1:9">
      <c r="A3789" s="1852" t="s">
        <v>4824</v>
      </c>
      <c r="B3789" s="685" t="s">
        <v>4825</v>
      </c>
      <c r="C3789" s="693" t="str">
        <f t="shared" si="435"/>
        <v>深圳新阳蓝光能源管理科技股份有限公司</v>
      </c>
      <c r="D3789" s="687" t="s">
        <v>2079</v>
      </c>
      <c r="E3789" s="1115" t="s">
        <v>1395</v>
      </c>
      <c r="F3789" s="1858" t="s">
        <v>4826</v>
      </c>
      <c r="G3789" s="1858" t="s">
        <v>4827</v>
      </c>
      <c r="H3789" s="145"/>
      <c r="I3789" s="92">
        <f>ROUND(I3788-I3786,2)</f>
        <v>0</v>
      </c>
    </row>
    <row r="3790" outlineLevel="1" spans="1:9">
      <c r="A3790" s="1852" t="s">
        <v>4828</v>
      </c>
      <c r="B3790" s="685" t="s">
        <v>4829</v>
      </c>
      <c r="C3790" s="693" t="str">
        <f t="shared" si="435"/>
        <v>深圳新阳蓝光能源管理科技股份有限公司</v>
      </c>
      <c r="D3790" s="687" t="s">
        <v>2079</v>
      </c>
      <c r="E3790" s="1115" t="s">
        <v>4830</v>
      </c>
      <c r="F3790" s="92">
        <f>F3761-F3803</f>
        <v>0</v>
      </c>
      <c r="G3790" s="92">
        <f>G3761-F3858</f>
        <v>0</v>
      </c>
      <c r="I3790" s="93">
        <f>审定资负表!D26</f>
        <v>0</v>
      </c>
    </row>
    <row r="3791" outlineLevel="1" spans="1:9">
      <c r="A3791" s="1852" t="s">
        <v>4831</v>
      </c>
      <c r="B3791" s="685" t="s">
        <v>4832</v>
      </c>
      <c r="C3791" s="693" t="str">
        <f t="shared" si="435"/>
        <v>深圳新阳蓝光能源管理科技股份有限公司</v>
      </c>
      <c r="D3791" s="687" t="s">
        <v>2079</v>
      </c>
      <c r="E3791" s="1859" t="s">
        <v>1395</v>
      </c>
      <c r="F3791" s="92">
        <f>F3768-F3821</f>
        <v>0</v>
      </c>
      <c r="G3791" s="92">
        <f>G3768-F3875</f>
        <v>0</v>
      </c>
      <c r="H3791" s="145"/>
      <c r="I3791" s="92">
        <f>ROUND(I3790-I3787,2)</f>
        <v>0</v>
      </c>
    </row>
    <row r="3792" outlineLevel="1" spans="1:9">
      <c r="A3792" s="1852" t="s">
        <v>4833</v>
      </c>
      <c r="B3792" s="685" t="s">
        <v>4834</v>
      </c>
      <c r="C3792" s="693" t="str">
        <f t="shared" si="435"/>
        <v>深圳新阳蓝光能源管理科技股份有限公司</v>
      </c>
      <c r="D3792" s="687" t="s">
        <v>2079</v>
      </c>
      <c r="E3792" s="1859" t="s">
        <v>1395</v>
      </c>
      <c r="F3792" s="92">
        <f>F3772-F3817</f>
        <v>0</v>
      </c>
      <c r="G3792" s="92">
        <f>G3772-F3871</f>
        <v>0</v>
      </c>
      <c r="H3792" s="145"/>
      <c r="I3792" s="145"/>
    </row>
    <row r="3793" outlineLevel="1" spans="1:9">
      <c r="A3793" s="1852"/>
      <c r="C3793" s="693" t="str">
        <f t="shared" si="435"/>
        <v>深圳新阳蓝光能源管理科技股份有限公司</v>
      </c>
      <c r="E3793" s="106" t="s">
        <v>4835</v>
      </c>
      <c r="F3793" s="107"/>
      <c r="G3793" s="107"/>
      <c r="H3793" s="107"/>
      <c r="I3793" s="107"/>
    </row>
    <row r="3794" outlineLevel="1" spans="1:3">
      <c r="A3794" s="1852"/>
      <c r="C3794" s="693" t="str">
        <f t="shared" si="435"/>
        <v>深圳新阳蓝光能源管理科技股份有限公司</v>
      </c>
    </row>
    <row r="3795" spans="1:6">
      <c r="A3795" s="1852" t="s">
        <v>4836</v>
      </c>
      <c r="B3795" s="685" t="s">
        <v>4837</v>
      </c>
      <c r="C3795" s="693" t="str">
        <f t="shared" si="435"/>
        <v>深圳新阳蓝光能源管理科技股份有限公司</v>
      </c>
      <c r="D3795" s="687" t="s">
        <v>2098</v>
      </c>
      <c r="E3795" s="70" t="s">
        <v>4838</v>
      </c>
      <c r="F3795" s="71" t="s">
        <v>4720</v>
      </c>
    </row>
    <row r="3796" outlineLevel="2" spans="1:10">
      <c r="A3796" s="1852" t="s">
        <v>4839</v>
      </c>
      <c r="B3796" s="685" t="s">
        <v>4840</v>
      </c>
      <c r="C3796" s="693" t="str">
        <f t="shared" si="435"/>
        <v>深圳新阳蓝光能源管理科技股份有限公司</v>
      </c>
      <c r="D3796" s="687" t="s">
        <v>2098</v>
      </c>
      <c r="E3796" s="112" t="s">
        <v>61</v>
      </c>
      <c r="F3796" s="112" t="s">
        <v>4841</v>
      </c>
      <c r="G3796" s="112" t="s">
        <v>2100</v>
      </c>
      <c r="H3796" s="112" t="s">
        <v>4842</v>
      </c>
      <c r="I3796" s="112" t="s">
        <v>4843</v>
      </c>
      <c r="J3796" s="112" t="s">
        <v>2021</v>
      </c>
    </row>
    <row r="3797" outlineLevel="2" spans="1:10">
      <c r="A3797" s="1852" t="s">
        <v>4844</v>
      </c>
      <c r="B3797" s="685" t="s">
        <v>4845</v>
      </c>
      <c r="C3797" s="693" t="str">
        <f t="shared" si="435"/>
        <v>深圳新阳蓝光能源管理科技股份有限公司</v>
      </c>
      <c r="D3797" s="687" t="s">
        <v>2098</v>
      </c>
      <c r="E3797" s="84" t="s">
        <v>4846</v>
      </c>
      <c r="F3797" s="84"/>
      <c r="G3797" s="84"/>
      <c r="H3797" s="84"/>
      <c r="I3797" s="84"/>
      <c r="J3797" s="84"/>
    </row>
    <row r="3798" outlineLevel="2" spans="1:10">
      <c r="A3798" s="1852" t="s">
        <v>4847</v>
      </c>
      <c r="B3798" s="685" t="s">
        <v>4848</v>
      </c>
      <c r="C3798" s="693" t="str">
        <f t="shared" si="435"/>
        <v>深圳新阳蓝光能源管理科技股份有限公司</v>
      </c>
      <c r="D3798" s="687" t="s">
        <v>2098</v>
      </c>
      <c r="E3798" s="84" t="s">
        <v>4849</v>
      </c>
      <c r="F3798" s="1860">
        <v>81847437.29</v>
      </c>
      <c r="G3798" s="1860">
        <v>300000</v>
      </c>
      <c r="H3798" s="1860">
        <v>1717158</v>
      </c>
      <c r="I3798" s="1860">
        <v>416187.98</v>
      </c>
      <c r="J3798" s="80">
        <f>ROUND(SUM(F3798:I3798),2)</f>
        <v>84280783.27</v>
      </c>
    </row>
    <row r="3799" outlineLevel="2" spans="1:10">
      <c r="A3799" s="1852" t="s">
        <v>4850</v>
      </c>
      <c r="B3799" s="685" t="s">
        <v>4851</v>
      </c>
      <c r="C3799" s="693" t="str">
        <f t="shared" si="435"/>
        <v>深圳新阳蓝光能源管理科技股份有限公司</v>
      </c>
      <c r="D3799" s="687" t="s">
        <v>2098</v>
      </c>
      <c r="E3799" s="84" t="s">
        <v>4852</v>
      </c>
      <c r="F3799" s="80">
        <f>ROUND(SUM(F3800:F3805),2)</f>
        <v>6792196.69</v>
      </c>
      <c r="G3799" s="80">
        <f t="shared" ref="G3799:I3799" si="439">ROUND(SUM(G3800:G3805),2)</f>
        <v>0</v>
      </c>
      <c r="H3799" s="80">
        <f t="shared" si="439"/>
        <v>78343.34</v>
      </c>
      <c r="I3799" s="80">
        <f t="shared" si="439"/>
        <v>47775.65</v>
      </c>
      <c r="J3799" s="80">
        <f t="shared" ref="J3799:J3836" si="440">ROUND(SUM(F3799:I3799),2)</f>
        <v>6918315.68</v>
      </c>
    </row>
    <row r="3800" outlineLevel="2" spans="1:10">
      <c r="A3800" s="1852" t="s">
        <v>4853</v>
      </c>
      <c r="B3800" s="685" t="s">
        <v>4854</v>
      </c>
      <c r="C3800" s="693" t="str">
        <f t="shared" si="435"/>
        <v>深圳新阳蓝光能源管理科技股份有限公司</v>
      </c>
      <c r="D3800" s="687" t="s">
        <v>2098</v>
      </c>
      <c r="E3800" s="119" t="s">
        <v>4855</v>
      </c>
      <c r="F3800" s="1860"/>
      <c r="G3800" s="1860"/>
      <c r="H3800" s="1860">
        <v>78343.34</v>
      </c>
      <c r="I3800" s="1860">
        <v>47775.65</v>
      </c>
      <c r="J3800" s="80">
        <f t="shared" si="440"/>
        <v>126118.99</v>
      </c>
    </row>
    <row r="3801" outlineLevel="2" spans="1:10">
      <c r="A3801" s="1852" t="s">
        <v>4856</v>
      </c>
      <c r="B3801" s="685" t="s">
        <v>4857</v>
      </c>
      <c r="C3801" s="693" t="str">
        <f t="shared" si="435"/>
        <v>深圳新阳蓝光能源管理科技股份有限公司</v>
      </c>
      <c r="D3801" s="687" t="s">
        <v>2098</v>
      </c>
      <c r="E3801" s="119" t="s">
        <v>4858</v>
      </c>
      <c r="F3801" s="1861">
        <v>6792196.69</v>
      </c>
      <c r="G3801" s="1861"/>
      <c r="H3801" s="1861"/>
      <c r="I3801" s="1861"/>
      <c r="J3801" s="80">
        <f t="shared" si="440"/>
        <v>6792196.69</v>
      </c>
    </row>
    <row r="3802" outlineLevel="2" spans="1:10">
      <c r="A3802" s="1852" t="s">
        <v>4859</v>
      </c>
      <c r="B3802" s="685" t="s">
        <v>4860</v>
      </c>
      <c r="C3802" s="693" t="str">
        <f t="shared" si="435"/>
        <v>深圳新阳蓝光能源管理科技股份有限公司</v>
      </c>
      <c r="D3802" s="687" t="s">
        <v>2098</v>
      </c>
      <c r="E3802" s="119" t="s">
        <v>4861</v>
      </c>
      <c r="F3802" s="1861"/>
      <c r="G3802" s="1861"/>
      <c r="H3802" s="1861"/>
      <c r="I3802" s="1861"/>
      <c r="J3802" s="80">
        <f t="shared" si="440"/>
        <v>0</v>
      </c>
    </row>
    <row r="3803" outlineLevel="2" spans="1:10">
      <c r="A3803" s="1852" t="s">
        <v>4862</v>
      </c>
      <c r="B3803" s="685" t="s">
        <v>4863</v>
      </c>
      <c r="C3803" s="693" t="str">
        <f t="shared" si="435"/>
        <v>深圳新阳蓝光能源管理科技股份有限公司</v>
      </c>
      <c r="D3803" s="687" t="s">
        <v>2098</v>
      </c>
      <c r="E3803" s="84" t="s">
        <v>4864</v>
      </c>
      <c r="F3803" s="1861"/>
      <c r="G3803" s="1861"/>
      <c r="H3803" s="1861"/>
      <c r="I3803" s="1861"/>
      <c r="J3803" s="80">
        <f t="shared" si="440"/>
        <v>0</v>
      </c>
    </row>
    <row r="3804" outlineLevel="2" spans="1:10">
      <c r="A3804" s="1852" t="s">
        <v>4865</v>
      </c>
      <c r="B3804" s="685" t="s">
        <v>4866</v>
      </c>
      <c r="C3804" s="693" t="str">
        <f t="shared" si="435"/>
        <v>深圳新阳蓝光能源管理科技股份有限公司</v>
      </c>
      <c r="D3804" s="687" t="s">
        <v>2098</v>
      </c>
      <c r="E3804" s="84" t="s">
        <v>4867</v>
      </c>
      <c r="F3804" s="1861"/>
      <c r="G3804" s="1861"/>
      <c r="H3804" s="1861"/>
      <c r="I3804" s="1861"/>
      <c r="J3804" s="80">
        <f t="shared" si="440"/>
        <v>0</v>
      </c>
    </row>
    <row r="3805" outlineLevel="2" spans="1:10">
      <c r="A3805" s="1852" t="s">
        <v>4868</v>
      </c>
      <c r="B3805" s="685" t="s">
        <v>4869</v>
      </c>
      <c r="C3805" s="693" t="str">
        <f t="shared" si="435"/>
        <v>深圳新阳蓝光能源管理科技股份有限公司</v>
      </c>
      <c r="D3805" s="687" t="s">
        <v>2098</v>
      </c>
      <c r="E3805" s="84" t="s">
        <v>4870</v>
      </c>
      <c r="F3805" s="1861"/>
      <c r="G3805" s="1861"/>
      <c r="H3805" s="1861"/>
      <c r="I3805" s="1861"/>
      <c r="J3805" s="80">
        <f t="shared" si="440"/>
        <v>0</v>
      </c>
    </row>
    <row r="3806" outlineLevel="2" spans="1:10">
      <c r="A3806" s="1852" t="s">
        <v>4871</v>
      </c>
      <c r="B3806" s="685" t="s">
        <v>4872</v>
      </c>
      <c r="C3806" s="693" t="str">
        <f t="shared" si="435"/>
        <v>深圳新阳蓝光能源管理科技股份有限公司</v>
      </c>
      <c r="D3806" s="687" t="s">
        <v>2098</v>
      </c>
      <c r="E3806" s="84" t="s">
        <v>4873</v>
      </c>
      <c r="F3806" s="80">
        <f>ROUND(SUM(F3807:F3810),2)</f>
        <v>0</v>
      </c>
      <c r="G3806" s="80">
        <f t="shared" ref="G3806:I3806" si="441">ROUND(SUM(G3807:G3810),2)</f>
        <v>0</v>
      </c>
      <c r="H3806" s="80">
        <f t="shared" si="441"/>
        <v>300000</v>
      </c>
      <c r="I3806" s="80">
        <f t="shared" si="441"/>
        <v>176159.98</v>
      </c>
      <c r="J3806" s="80">
        <f t="shared" si="440"/>
        <v>476159.98</v>
      </c>
    </row>
    <row r="3807" outlineLevel="2" spans="1:10">
      <c r="A3807" s="1852" t="s">
        <v>4874</v>
      </c>
      <c r="B3807" s="685" t="s">
        <v>4875</v>
      </c>
      <c r="C3807" s="693" t="str">
        <f t="shared" si="435"/>
        <v>深圳新阳蓝光能源管理科技股份有限公司</v>
      </c>
      <c r="D3807" s="687" t="s">
        <v>2098</v>
      </c>
      <c r="E3807" s="119" t="s">
        <v>4876</v>
      </c>
      <c r="F3807" s="1860"/>
      <c r="G3807" s="1860"/>
      <c r="H3807" s="1860">
        <v>300000</v>
      </c>
      <c r="I3807" s="1860">
        <v>176159.98</v>
      </c>
      <c r="J3807" s="80">
        <f t="shared" si="440"/>
        <v>476159.98</v>
      </c>
    </row>
    <row r="3808" outlineLevel="2" spans="1:10">
      <c r="A3808" s="1852" t="s">
        <v>4877</v>
      </c>
      <c r="B3808" s="685" t="s">
        <v>4878</v>
      </c>
      <c r="C3808" s="693" t="str">
        <f t="shared" si="435"/>
        <v>深圳新阳蓝光能源管理科技股份有限公司</v>
      </c>
      <c r="D3808" s="687" t="s">
        <v>2098</v>
      </c>
      <c r="E3808" s="84" t="s">
        <v>4879</v>
      </c>
      <c r="F3808" s="1861"/>
      <c r="G3808" s="1861"/>
      <c r="H3808" s="1862"/>
      <c r="I3808" s="1862"/>
      <c r="J3808" s="80">
        <f t="shared" si="440"/>
        <v>0</v>
      </c>
    </row>
    <row r="3809" outlineLevel="2" spans="1:10">
      <c r="A3809" s="1852" t="s">
        <v>4880</v>
      </c>
      <c r="B3809" s="685" t="s">
        <v>4881</v>
      </c>
      <c r="C3809" s="693" t="str">
        <f t="shared" si="435"/>
        <v>深圳新阳蓝光能源管理科技股份有限公司</v>
      </c>
      <c r="D3809" s="687" t="s">
        <v>2098</v>
      </c>
      <c r="E3809" s="84" t="s">
        <v>4882</v>
      </c>
      <c r="F3809" s="1861"/>
      <c r="G3809" s="1861"/>
      <c r="H3809" s="1862"/>
      <c r="I3809" s="1862"/>
      <c r="J3809" s="80">
        <f t="shared" si="440"/>
        <v>0</v>
      </c>
    </row>
    <row r="3810" outlineLevel="2" spans="1:10">
      <c r="A3810" s="1852" t="s">
        <v>4883</v>
      </c>
      <c r="B3810" s="685" t="s">
        <v>4884</v>
      </c>
      <c r="C3810" s="693" t="str">
        <f t="shared" si="435"/>
        <v>深圳新阳蓝光能源管理科技股份有限公司</v>
      </c>
      <c r="D3810" s="687" t="s">
        <v>2098</v>
      </c>
      <c r="E3810" s="84" t="s">
        <v>4885</v>
      </c>
      <c r="F3810" s="1861"/>
      <c r="G3810" s="1861"/>
      <c r="H3810" s="1862"/>
      <c r="I3810" s="1862"/>
      <c r="J3810" s="80">
        <f t="shared" si="440"/>
        <v>0</v>
      </c>
    </row>
    <row r="3811" outlineLevel="2" spans="1:10">
      <c r="A3811" s="1852" t="s">
        <v>4886</v>
      </c>
      <c r="B3811" s="685" t="s">
        <v>4887</v>
      </c>
      <c r="C3811" s="693" t="str">
        <f t="shared" si="435"/>
        <v>深圳新阳蓝光能源管理科技股份有限公司</v>
      </c>
      <c r="D3811" s="687" t="s">
        <v>2098</v>
      </c>
      <c r="E3811" s="84" t="s">
        <v>4888</v>
      </c>
      <c r="F3811" s="80">
        <f>ROUND(F3798+F3799-F3806,2)</f>
        <v>88639633.98</v>
      </c>
      <c r="G3811" s="80">
        <f t="shared" ref="G3811:I3811" si="442">ROUND(G3798+G3799-G3806,2)</f>
        <v>300000</v>
      </c>
      <c r="H3811" s="80">
        <f t="shared" si="442"/>
        <v>1495501.34</v>
      </c>
      <c r="I3811" s="80">
        <f t="shared" si="442"/>
        <v>287803.65</v>
      </c>
      <c r="J3811" s="80">
        <f t="shared" si="440"/>
        <v>90722938.97</v>
      </c>
    </row>
    <row r="3812" outlineLevel="2" spans="1:10">
      <c r="A3812" s="1852" t="s">
        <v>4889</v>
      </c>
      <c r="B3812" s="685" t="s">
        <v>4890</v>
      </c>
      <c r="C3812" s="693" t="str">
        <f t="shared" si="435"/>
        <v>深圳新阳蓝光能源管理科技股份有限公司</v>
      </c>
      <c r="D3812" s="687" t="s">
        <v>2098</v>
      </c>
      <c r="E3812" s="84" t="s">
        <v>4891</v>
      </c>
      <c r="F3812" s="84"/>
      <c r="G3812" s="84"/>
      <c r="H3812" s="84"/>
      <c r="I3812" s="84"/>
      <c r="J3812" s="80">
        <f t="shared" si="440"/>
        <v>0</v>
      </c>
    </row>
    <row r="3813" outlineLevel="2" spans="1:10">
      <c r="A3813" s="1852" t="s">
        <v>4892</v>
      </c>
      <c r="B3813" s="685" t="s">
        <v>4893</v>
      </c>
      <c r="C3813" s="693" t="str">
        <f t="shared" si="435"/>
        <v>深圳新阳蓝光能源管理科技股份有限公司</v>
      </c>
      <c r="D3813" s="687" t="s">
        <v>2098</v>
      </c>
      <c r="E3813" s="84" t="s">
        <v>4849</v>
      </c>
      <c r="F3813" s="1860">
        <v>15277280.8</v>
      </c>
      <c r="G3813" s="1860">
        <v>78375</v>
      </c>
      <c r="H3813" s="1860">
        <v>1007572.78</v>
      </c>
      <c r="I3813" s="1860">
        <v>303764.39</v>
      </c>
      <c r="J3813" s="80">
        <f t="shared" si="440"/>
        <v>16666992.97</v>
      </c>
    </row>
    <row r="3814" outlineLevel="2" spans="1:10">
      <c r="A3814" s="1852" t="s">
        <v>4894</v>
      </c>
      <c r="B3814" s="685" t="s">
        <v>4895</v>
      </c>
      <c r="C3814" s="693" t="str">
        <f t="shared" si="435"/>
        <v>深圳新阳蓝光能源管理科技股份有限公司</v>
      </c>
      <c r="D3814" s="687" t="s">
        <v>2098</v>
      </c>
      <c r="E3814" s="84" t="s">
        <v>4852</v>
      </c>
      <c r="F3814" s="80">
        <f>ROUND(SUM(F3815:F3818),2)</f>
        <v>10829306.89</v>
      </c>
      <c r="G3814" s="80">
        <f t="shared" ref="G3814:I3814" si="443">ROUND(SUM(G3815:G3818),2)</f>
        <v>28500</v>
      </c>
      <c r="H3814" s="80">
        <f t="shared" si="443"/>
        <v>351042.55</v>
      </c>
      <c r="I3814" s="80">
        <f t="shared" si="443"/>
        <v>65814.94</v>
      </c>
      <c r="J3814" s="80">
        <f t="shared" si="440"/>
        <v>11274664.38</v>
      </c>
    </row>
    <row r="3815" outlineLevel="2" spans="1:10">
      <c r="A3815" s="1852" t="s">
        <v>4896</v>
      </c>
      <c r="B3815" s="685" t="s">
        <v>4897</v>
      </c>
      <c r="C3815" s="693" t="str">
        <f t="shared" ref="C3815:C3840" si="444">$G$1</f>
        <v>深圳新阳蓝光能源管理科技股份有限公司</v>
      </c>
      <c r="D3815" s="687" t="s">
        <v>2098</v>
      </c>
      <c r="E3815" s="119" t="s">
        <v>4898</v>
      </c>
      <c r="F3815" s="1860">
        <v>10829306.89</v>
      </c>
      <c r="G3815" s="1860">
        <v>28500</v>
      </c>
      <c r="H3815" s="1860">
        <v>351042.55</v>
      </c>
      <c r="I3815" s="1860">
        <v>65814.94</v>
      </c>
      <c r="J3815" s="80">
        <f t="shared" si="440"/>
        <v>11274664.38</v>
      </c>
    </row>
    <row r="3816" outlineLevel="2" spans="1:10">
      <c r="A3816" s="1852" t="s">
        <v>4899</v>
      </c>
      <c r="B3816" s="685" t="s">
        <v>4900</v>
      </c>
      <c r="C3816" s="693" t="str">
        <f t="shared" si="444"/>
        <v>深圳新阳蓝光能源管理科技股份有限公司</v>
      </c>
      <c r="D3816" s="687" t="s">
        <v>2098</v>
      </c>
      <c r="E3816" s="84" t="s">
        <v>4901</v>
      </c>
      <c r="F3816" s="1860"/>
      <c r="G3816" s="1860"/>
      <c r="H3816" s="1860"/>
      <c r="I3816" s="1860"/>
      <c r="J3816" s="80">
        <f t="shared" si="440"/>
        <v>0</v>
      </c>
    </row>
    <row r="3817" outlineLevel="2" spans="1:10">
      <c r="A3817" s="1852" t="s">
        <v>4902</v>
      </c>
      <c r="B3817" s="685" t="s">
        <v>4903</v>
      </c>
      <c r="C3817" s="693" t="str">
        <f t="shared" si="444"/>
        <v>深圳新阳蓝光能源管理科技股份有限公司</v>
      </c>
      <c r="D3817" s="687" t="s">
        <v>2098</v>
      </c>
      <c r="E3817" s="84" t="s">
        <v>4904</v>
      </c>
      <c r="F3817" s="1861"/>
      <c r="G3817" s="1861"/>
      <c r="H3817" s="1861"/>
      <c r="I3817" s="1861"/>
      <c r="J3817" s="80">
        <f t="shared" si="440"/>
        <v>0</v>
      </c>
    </row>
    <row r="3818" outlineLevel="2" spans="1:10">
      <c r="A3818" s="1852" t="s">
        <v>4905</v>
      </c>
      <c r="B3818" s="685" t="s">
        <v>4906</v>
      </c>
      <c r="C3818" s="693" t="str">
        <f t="shared" si="444"/>
        <v>深圳新阳蓝光能源管理科技股份有限公司</v>
      </c>
      <c r="D3818" s="687" t="s">
        <v>2098</v>
      </c>
      <c r="E3818" s="84" t="s">
        <v>4907</v>
      </c>
      <c r="F3818" s="1861"/>
      <c r="G3818" s="1861"/>
      <c r="H3818" s="1861"/>
      <c r="I3818" s="1861"/>
      <c r="J3818" s="80">
        <f t="shared" si="440"/>
        <v>0</v>
      </c>
    </row>
    <row r="3819" outlineLevel="2" spans="1:10">
      <c r="A3819" s="1852" t="s">
        <v>4908</v>
      </c>
      <c r="B3819" s="685" t="s">
        <v>4909</v>
      </c>
      <c r="C3819" s="693" t="str">
        <f t="shared" si="444"/>
        <v>深圳新阳蓝光能源管理科技股份有限公司</v>
      </c>
      <c r="D3819" s="687" t="s">
        <v>2098</v>
      </c>
      <c r="E3819" s="84" t="s">
        <v>4873</v>
      </c>
      <c r="F3819" s="80">
        <f>ROUND(SUM(F3820:F3823),2)</f>
        <v>0</v>
      </c>
      <c r="G3819" s="80">
        <f t="shared" ref="G3819:I3819" si="445">ROUND(SUM(G3820:G3823),2)</f>
        <v>0</v>
      </c>
      <c r="H3819" s="80">
        <f t="shared" si="445"/>
        <v>190000</v>
      </c>
      <c r="I3819" s="80">
        <f t="shared" si="445"/>
        <v>166910.75</v>
      </c>
      <c r="J3819" s="80">
        <f t="shared" si="440"/>
        <v>356910.75</v>
      </c>
    </row>
    <row r="3820" outlineLevel="2" spans="1:10">
      <c r="A3820" s="1852" t="s">
        <v>4910</v>
      </c>
      <c r="B3820" s="685" t="s">
        <v>4911</v>
      </c>
      <c r="C3820" s="693" t="str">
        <f t="shared" si="444"/>
        <v>深圳新阳蓝光能源管理科技股份有限公司</v>
      </c>
      <c r="D3820" s="687" t="s">
        <v>2098</v>
      </c>
      <c r="E3820" s="119" t="s">
        <v>4876</v>
      </c>
      <c r="F3820" s="1863"/>
      <c r="G3820" s="1863"/>
      <c r="H3820" s="1863">
        <v>190000</v>
      </c>
      <c r="I3820" s="1863">
        <v>166910.75</v>
      </c>
      <c r="J3820" s="80">
        <f t="shared" si="440"/>
        <v>356910.75</v>
      </c>
    </row>
    <row r="3821" outlineLevel="2" spans="1:10">
      <c r="A3821" s="1852" t="s">
        <v>4912</v>
      </c>
      <c r="B3821" s="685" t="s">
        <v>4913</v>
      </c>
      <c r="C3821" s="693" t="str">
        <f t="shared" si="444"/>
        <v>深圳新阳蓝光能源管理科技股份有限公司</v>
      </c>
      <c r="D3821" s="687" t="s">
        <v>2098</v>
      </c>
      <c r="E3821" s="84" t="s">
        <v>4879</v>
      </c>
      <c r="F3821" s="1864"/>
      <c r="G3821" s="1864"/>
      <c r="H3821" s="1864"/>
      <c r="I3821" s="1864"/>
      <c r="J3821" s="80">
        <f t="shared" si="440"/>
        <v>0</v>
      </c>
    </row>
    <row r="3822" outlineLevel="2" spans="1:10">
      <c r="A3822" s="1852" t="s">
        <v>4914</v>
      </c>
      <c r="B3822" s="685" t="s">
        <v>4915</v>
      </c>
      <c r="C3822" s="693" t="str">
        <f t="shared" si="444"/>
        <v>深圳新阳蓝光能源管理科技股份有限公司</v>
      </c>
      <c r="D3822" s="687" t="s">
        <v>2098</v>
      </c>
      <c r="E3822" s="84" t="s">
        <v>4882</v>
      </c>
      <c r="F3822" s="1864"/>
      <c r="G3822" s="1864"/>
      <c r="H3822" s="1864"/>
      <c r="I3822" s="1864"/>
      <c r="J3822" s="80">
        <f t="shared" si="440"/>
        <v>0</v>
      </c>
    </row>
    <row r="3823" outlineLevel="2" spans="1:10">
      <c r="A3823" s="1852" t="s">
        <v>4916</v>
      </c>
      <c r="B3823" s="685" t="s">
        <v>4917</v>
      </c>
      <c r="C3823" s="693" t="str">
        <f t="shared" si="444"/>
        <v>深圳新阳蓝光能源管理科技股份有限公司</v>
      </c>
      <c r="D3823" s="687" t="s">
        <v>2098</v>
      </c>
      <c r="E3823" s="84" t="s">
        <v>4918</v>
      </c>
      <c r="F3823" s="1864"/>
      <c r="G3823" s="1864"/>
      <c r="H3823" s="1864"/>
      <c r="I3823" s="1864"/>
      <c r="J3823" s="80">
        <f t="shared" si="440"/>
        <v>0</v>
      </c>
    </row>
    <row r="3824" outlineLevel="2" spans="1:10">
      <c r="A3824" s="1852" t="s">
        <v>4919</v>
      </c>
      <c r="B3824" s="685" t="s">
        <v>4920</v>
      </c>
      <c r="C3824" s="693" t="str">
        <f t="shared" si="444"/>
        <v>深圳新阳蓝光能源管理科技股份有限公司</v>
      </c>
      <c r="D3824" s="687" t="s">
        <v>2098</v>
      </c>
      <c r="E3824" s="84" t="s">
        <v>4888</v>
      </c>
      <c r="F3824" s="80">
        <f>ROUND(F3813+F3814-F3819,2)</f>
        <v>26106587.69</v>
      </c>
      <c r="G3824" s="80">
        <f t="shared" ref="G3824:I3824" si="446">ROUND(G3813+G3814-G3819,2)</f>
        <v>106875</v>
      </c>
      <c r="H3824" s="80">
        <f t="shared" si="446"/>
        <v>1168615.33</v>
      </c>
      <c r="I3824" s="80">
        <f t="shared" si="446"/>
        <v>202668.58</v>
      </c>
      <c r="J3824" s="80">
        <f t="shared" si="440"/>
        <v>27584746.6</v>
      </c>
    </row>
    <row r="3825" outlineLevel="2" spans="1:10">
      <c r="A3825" s="1852" t="s">
        <v>4921</v>
      </c>
      <c r="B3825" s="685" t="s">
        <v>4922</v>
      </c>
      <c r="C3825" s="693" t="str">
        <f t="shared" si="444"/>
        <v>深圳新阳蓝光能源管理科技股份有限公司</v>
      </c>
      <c r="D3825" s="687" t="s">
        <v>2098</v>
      </c>
      <c r="E3825" s="84" t="s">
        <v>4791</v>
      </c>
      <c r="F3825" s="84"/>
      <c r="G3825" s="84"/>
      <c r="H3825" s="84"/>
      <c r="I3825" s="84"/>
      <c r="J3825" s="80">
        <f t="shared" si="440"/>
        <v>0</v>
      </c>
    </row>
    <row r="3826" outlineLevel="2" spans="1:10">
      <c r="A3826" s="1852" t="s">
        <v>4923</v>
      </c>
      <c r="B3826" s="685" t="s">
        <v>4924</v>
      </c>
      <c r="C3826" s="693" t="str">
        <f t="shared" si="444"/>
        <v>深圳新阳蓝光能源管理科技股份有限公司</v>
      </c>
      <c r="D3826" s="687" t="s">
        <v>2098</v>
      </c>
      <c r="E3826" s="84" t="s">
        <v>4849</v>
      </c>
      <c r="F3826" s="1860"/>
      <c r="G3826" s="1860"/>
      <c r="H3826" s="1860"/>
      <c r="I3826" s="1860"/>
      <c r="J3826" s="80">
        <f t="shared" si="440"/>
        <v>0</v>
      </c>
    </row>
    <row r="3827" outlineLevel="2" spans="1:10">
      <c r="A3827" s="1852" t="s">
        <v>4925</v>
      </c>
      <c r="B3827" s="685" t="s">
        <v>4926</v>
      </c>
      <c r="C3827" s="693" t="str">
        <f t="shared" si="444"/>
        <v>深圳新阳蓝光能源管理科技股份有限公司</v>
      </c>
      <c r="D3827" s="687" t="s">
        <v>2098</v>
      </c>
      <c r="E3827" s="84" t="s">
        <v>4852</v>
      </c>
      <c r="F3827" s="80">
        <f>ROUND(SUM(F3828:F3829),2)</f>
        <v>0</v>
      </c>
      <c r="G3827" s="80">
        <f t="shared" ref="G3827:I3827" si="447">ROUND(SUM(G3828:G3829),2)</f>
        <v>0</v>
      </c>
      <c r="H3827" s="80">
        <f t="shared" si="447"/>
        <v>0</v>
      </c>
      <c r="I3827" s="80">
        <f t="shared" si="447"/>
        <v>0</v>
      </c>
      <c r="J3827" s="80">
        <f t="shared" si="440"/>
        <v>0</v>
      </c>
    </row>
    <row r="3828" outlineLevel="2" spans="1:10">
      <c r="A3828" s="1852" t="s">
        <v>4927</v>
      </c>
      <c r="B3828" s="685" t="s">
        <v>4928</v>
      </c>
      <c r="C3828" s="693" t="str">
        <f t="shared" si="444"/>
        <v>深圳新阳蓝光能源管理科技股份有限公司</v>
      </c>
      <c r="D3828" s="687" t="s">
        <v>2098</v>
      </c>
      <c r="E3828" s="119" t="s">
        <v>4898</v>
      </c>
      <c r="F3828" s="1860"/>
      <c r="G3828" s="1860"/>
      <c r="H3828" s="1860"/>
      <c r="I3828" s="1860"/>
      <c r="J3828" s="80">
        <f t="shared" si="440"/>
        <v>0</v>
      </c>
    </row>
    <row r="3829" outlineLevel="2" spans="1:10">
      <c r="A3829" s="1852" t="s">
        <v>4929</v>
      </c>
      <c r="B3829" s="685" t="s">
        <v>4930</v>
      </c>
      <c r="C3829" s="693" t="str">
        <f t="shared" si="444"/>
        <v>深圳新阳蓝光能源管理科技股份有限公司</v>
      </c>
      <c r="D3829" s="687" t="s">
        <v>2098</v>
      </c>
      <c r="E3829" s="84"/>
      <c r="F3829" s="1862"/>
      <c r="G3829" s="1862"/>
      <c r="H3829" s="1862"/>
      <c r="I3829" s="1862"/>
      <c r="J3829" s="80">
        <f t="shared" si="440"/>
        <v>0</v>
      </c>
    </row>
    <row r="3830" outlineLevel="2" spans="1:10">
      <c r="A3830" s="1852" t="s">
        <v>4931</v>
      </c>
      <c r="B3830" s="685" t="s">
        <v>4932</v>
      </c>
      <c r="C3830" s="693" t="str">
        <f t="shared" si="444"/>
        <v>深圳新阳蓝光能源管理科技股份有限公司</v>
      </c>
      <c r="D3830" s="687" t="s">
        <v>2098</v>
      </c>
      <c r="E3830" s="84" t="s">
        <v>4873</v>
      </c>
      <c r="F3830" s="80">
        <f>ROUND(SUM(F3831:F3832),2)</f>
        <v>0</v>
      </c>
      <c r="G3830" s="80">
        <f t="shared" ref="G3830:I3830" si="448">ROUND(SUM(G3831:G3832),2)</f>
        <v>0</v>
      </c>
      <c r="H3830" s="80">
        <f t="shared" si="448"/>
        <v>0</v>
      </c>
      <c r="I3830" s="80">
        <f t="shared" si="448"/>
        <v>0</v>
      </c>
      <c r="J3830" s="80">
        <f t="shared" si="440"/>
        <v>0</v>
      </c>
    </row>
    <row r="3831" outlineLevel="2" spans="1:10">
      <c r="A3831" s="1852" t="s">
        <v>4933</v>
      </c>
      <c r="B3831" s="685" t="s">
        <v>4934</v>
      </c>
      <c r="C3831" s="693" t="str">
        <f t="shared" si="444"/>
        <v>深圳新阳蓝光能源管理科技股份有限公司</v>
      </c>
      <c r="D3831" s="687" t="s">
        <v>2098</v>
      </c>
      <c r="E3831" s="119" t="s">
        <v>4876</v>
      </c>
      <c r="F3831" s="1860"/>
      <c r="G3831" s="1860"/>
      <c r="H3831" s="1860"/>
      <c r="I3831" s="1860"/>
      <c r="J3831" s="80">
        <f t="shared" si="440"/>
        <v>0</v>
      </c>
    </row>
    <row r="3832" outlineLevel="2" spans="1:10">
      <c r="A3832" s="1852" t="s">
        <v>4935</v>
      </c>
      <c r="B3832" s="685" t="s">
        <v>4936</v>
      </c>
      <c r="C3832" s="693" t="str">
        <f t="shared" si="444"/>
        <v>深圳新阳蓝光能源管理科技股份有限公司</v>
      </c>
      <c r="D3832" s="687" t="s">
        <v>2098</v>
      </c>
      <c r="E3832" s="84"/>
      <c r="F3832" s="1862"/>
      <c r="G3832" s="1862"/>
      <c r="H3832" s="1862"/>
      <c r="I3832" s="1862"/>
      <c r="J3832" s="80">
        <f t="shared" si="440"/>
        <v>0</v>
      </c>
    </row>
    <row r="3833" outlineLevel="2" spans="1:10">
      <c r="A3833" s="1852" t="s">
        <v>4937</v>
      </c>
      <c r="B3833" s="685" t="s">
        <v>4938</v>
      </c>
      <c r="C3833" s="693" t="str">
        <f t="shared" si="444"/>
        <v>深圳新阳蓝光能源管理科技股份有限公司</v>
      </c>
      <c r="D3833" s="687" t="s">
        <v>2098</v>
      </c>
      <c r="E3833" s="84" t="s">
        <v>4888</v>
      </c>
      <c r="F3833" s="80">
        <f>ROUND(F3826+F3827-F3830,2)</f>
        <v>0</v>
      </c>
      <c r="G3833" s="80">
        <f t="shared" ref="G3833:I3833" si="449">ROUND(G3826+G3827-G3830,2)</f>
        <v>0</v>
      </c>
      <c r="H3833" s="80">
        <f t="shared" si="449"/>
        <v>0</v>
      </c>
      <c r="I3833" s="80">
        <f t="shared" si="449"/>
        <v>0</v>
      </c>
      <c r="J3833" s="80">
        <f t="shared" si="440"/>
        <v>0</v>
      </c>
    </row>
    <row r="3834" outlineLevel="2" spans="1:10">
      <c r="A3834" s="1852" t="s">
        <v>4939</v>
      </c>
      <c r="B3834" s="685" t="s">
        <v>4940</v>
      </c>
      <c r="C3834" s="693" t="str">
        <f t="shared" si="444"/>
        <v>深圳新阳蓝光能源管理科技股份有限公司</v>
      </c>
      <c r="D3834" s="687" t="s">
        <v>2098</v>
      </c>
      <c r="E3834" s="84" t="s">
        <v>4814</v>
      </c>
      <c r="F3834" s="84"/>
      <c r="G3834" s="84"/>
      <c r="H3834" s="84"/>
      <c r="I3834" s="84"/>
      <c r="J3834" s="80">
        <f t="shared" si="440"/>
        <v>0</v>
      </c>
    </row>
    <row r="3835" outlineLevel="2" spans="1:10">
      <c r="A3835" s="1852" t="s">
        <v>4941</v>
      </c>
      <c r="B3835" s="685" t="s">
        <v>4942</v>
      </c>
      <c r="C3835" s="693" t="str">
        <f t="shared" si="444"/>
        <v>深圳新阳蓝光能源管理科技股份有限公司</v>
      </c>
      <c r="D3835" s="687" t="s">
        <v>2098</v>
      </c>
      <c r="E3835" s="84" t="s">
        <v>4943</v>
      </c>
      <c r="F3835" s="80">
        <f>ROUND(F3811-F3824-F3833,2)</f>
        <v>62533046.29</v>
      </c>
      <c r="G3835" s="80">
        <f t="shared" ref="G3835:I3835" si="450">ROUND(G3811-G3824-G3833,2)</f>
        <v>193125</v>
      </c>
      <c r="H3835" s="80">
        <f t="shared" si="450"/>
        <v>326886.01</v>
      </c>
      <c r="I3835" s="80">
        <f t="shared" si="450"/>
        <v>85135.07</v>
      </c>
      <c r="J3835" s="80">
        <f t="shared" si="440"/>
        <v>63138192.37</v>
      </c>
    </row>
    <row r="3836" outlineLevel="2" spans="1:10">
      <c r="A3836" s="1852" t="s">
        <v>4944</v>
      </c>
      <c r="B3836" s="685" t="s">
        <v>4945</v>
      </c>
      <c r="C3836" s="693" t="str">
        <f t="shared" si="444"/>
        <v>深圳新阳蓝光能源管理科技股份有限公司</v>
      </c>
      <c r="D3836" s="687" t="s">
        <v>2098</v>
      </c>
      <c r="E3836" s="84" t="s">
        <v>4946</v>
      </c>
      <c r="F3836" s="1865">
        <f>ROUND(F3798-F3813-F3826,2)</f>
        <v>66570156.49</v>
      </c>
      <c r="G3836" s="1865">
        <f t="shared" ref="G3836:I3836" si="451">ROUND(G3798-G3813-G3826,2)</f>
        <v>221625</v>
      </c>
      <c r="H3836" s="1865">
        <f t="shared" si="451"/>
        <v>709585.22</v>
      </c>
      <c r="I3836" s="1865">
        <f t="shared" si="451"/>
        <v>112423.59</v>
      </c>
      <c r="J3836" s="80">
        <f t="shared" si="440"/>
        <v>67613790.3</v>
      </c>
    </row>
    <row r="3837" outlineLevel="2" spans="1:10">
      <c r="A3837" s="1852" t="s">
        <v>4947</v>
      </c>
      <c r="B3837" s="685" t="s">
        <v>4948</v>
      </c>
      <c r="C3837" s="693" t="str">
        <f t="shared" si="444"/>
        <v>深圳新阳蓝光能源管理科技股份有限公司</v>
      </c>
      <c r="D3837" s="687" t="s">
        <v>2098</v>
      </c>
      <c r="E3837" s="89" t="s">
        <v>4823</v>
      </c>
      <c r="F3837" s="123"/>
      <c r="G3837" s="123"/>
      <c r="H3837" s="123"/>
      <c r="I3837" s="123"/>
      <c r="J3837" s="91">
        <f>审定资负表!C27</f>
        <v>63138192.37</v>
      </c>
    </row>
    <row r="3838" outlineLevel="2" spans="1:10">
      <c r="A3838" s="1852" t="s">
        <v>4949</v>
      </c>
      <c r="B3838" s="685" t="s">
        <v>4950</v>
      </c>
      <c r="C3838" s="693" t="str">
        <f t="shared" si="444"/>
        <v>深圳新阳蓝光能源管理科技股份有限公司</v>
      </c>
      <c r="D3838" s="687" t="s">
        <v>2098</v>
      </c>
      <c r="E3838" s="89" t="s">
        <v>1395</v>
      </c>
      <c r="F3838" s="123"/>
      <c r="G3838" s="123"/>
      <c r="H3838" s="123"/>
      <c r="I3838" s="126"/>
      <c r="J3838" s="92">
        <f>ROUND(J3837-J3835,2)</f>
        <v>0</v>
      </c>
    </row>
    <row r="3839" outlineLevel="2" spans="1:10">
      <c r="A3839" s="1852" t="s">
        <v>4951</v>
      </c>
      <c r="B3839" s="685" t="s">
        <v>4952</v>
      </c>
      <c r="C3839" s="693" t="str">
        <f t="shared" si="444"/>
        <v>深圳新阳蓝光能源管理科技股份有限公司</v>
      </c>
      <c r="D3839" s="687" t="s">
        <v>2098</v>
      </c>
      <c r="E3839" s="89" t="s">
        <v>4830</v>
      </c>
      <c r="F3839" s="123"/>
      <c r="G3839" s="123"/>
      <c r="H3839" s="123"/>
      <c r="I3839" s="126"/>
      <c r="J3839" s="93">
        <f>审定资负表!D27</f>
        <v>67613790.3</v>
      </c>
    </row>
    <row r="3840" outlineLevel="2" spans="1:10">
      <c r="A3840" s="1852" t="s">
        <v>4953</v>
      </c>
      <c r="B3840" s="685" t="s">
        <v>4954</v>
      </c>
      <c r="C3840" s="693" t="str">
        <f t="shared" si="444"/>
        <v>深圳新阳蓝光能源管理科技股份有限公司</v>
      </c>
      <c r="D3840" s="687" t="s">
        <v>2098</v>
      </c>
      <c r="E3840" s="89" t="s">
        <v>1395</v>
      </c>
      <c r="F3840" s="123"/>
      <c r="G3840" s="123"/>
      <c r="H3840" s="123"/>
      <c r="I3840" s="126"/>
      <c r="J3840" s="92">
        <f>ROUND(J3839-J3836,2)</f>
        <v>0</v>
      </c>
    </row>
    <row r="3841" outlineLevel="2" spans="1:10">
      <c r="A3841" s="1852"/>
      <c r="C3841" s="693"/>
      <c r="E3841" s="127" t="s">
        <v>4955</v>
      </c>
      <c r="F3841" s="126"/>
      <c r="G3841" s="126"/>
      <c r="H3841" s="126"/>
      <c r="I3841" s="126"/>
      <c r="J3841" s="93">
        <f>$I$1309</f>
        <v>6792196.69</v>
      </c>
    </row>
    <row r="3842" outlineLevel="1" spans="1:10">
      <c r="A3842" s="1852" t="s">
        <v>4956</v>
      </c>
      <c r="B3842" s="685" t="s">
        <v>4957</v>
      </c>
      <c r="C3842" s="693" t="str">
        <f t="shared" ref="C3842:C3873" si="452">$G$1</f>
        <v>深圳新阳蓝光能源管理科技股份有限公司</v>
      </c>
      <c r="D3842" s="687" t="s">
        <v>2098</v>
      </c>
      <c r="E3842" s="89" t="s">
        <v>1395</v>
      </c>
      <c r="F3842" s="126"/>
      <c r="G3842" s="126"/>
      <c r="H3842" s="126"/>
      <c r="I3842" s="126"/>
      <c r="J3842" s="92">
        <f>ROUND(J3841-J3801,2)</f>
        <v>0</v>
      </c>
    </row>
    <row r="3843" outlineLevel="2" spans="1:10">
      <c r="A3843" s="1852" t="s">
        <v>4958</v>
      </c>
      <c r="B3843" s="685" t="s">
        <v>4959</v>
      </c>
      <c r="C3843" s="693" t="str">
        <f t="shared" si="452"/>
        <v>深圳新阳蓝光能源管理科技股份有限公司</v>
      </c>
      <c r="D3843" s="687" t="s">
        <v>2098</v>
      </c>
      <c r="E3843" s="96" t="s">
        <v>61</v>
      </c>
      <c r="F3843" s="97" t="s">
        <v>4960</v>
      </c>
      <c r="G3843" s="97" t="s">
        <v>2100</v>
      </c>
      <c r="H3843" s="97" t="s">
        <v>4842</v>
      </c>
      <c r="I3843" s="97" t="s">
        <v>4843</v>
      </c>
      <c r="J3843" s="98" t="s">
        <v>2021</v>
      </c>
    </row>
    <row r="3844" outlineLevel="2" spans="1:10">
      <c r="A3844" s="1852" t="s">
        <v>4961</v>
      </c>
      <c r="B3844" s="685" t="s">
        <v>4962</v>
      </c>
      <c r="C3844" s="693" t="str">
        <f t="shared" si="452"/>
        <v>深圳新阳蓝光能源管理科技股份有限公司</v>
      </c>
      <c r="D3844" s="687" t="s">
        <v>2098</v>
      </c>
      <c r="E3844" s="99" t="s">
        <v>4963</v>
      </c>
      <c r="F3844" s="100">
        <f>F3807-F3820-F3831</f>
        <v>0</v>
      </c>
      <c r="G3844" s="100">
        <f t="shared" ref="G3844:J3844" si="453">G3807-G3820-G3831</f>
        <v>0</v>
      </c>
      <c r="H3844" s="100">
        <f t="shared" si="453"/>
        <v>110000</v>
      </c>
      <c r="I3844" s="100">
        <f t="shared" si="453"/>
        <v>9249.23000000001</v>
      </c>
      <c r="J3844" s="100">
        <f t="shared" si="453"/>
        <v>119249.23</v>
      </c>
    </row>
    <row r="3845" outlineLevel="2" spans="1:10">
      <c r="A3845" s="1852" t="s">
        <v>4964</v>
      </c>
      <c r="B3845" s="685" t="s">
        <v>4965</v>
      </c>
      <c r="C3845" s="693" t="str">
        <f t="shared" si="452"/>
        <v>深圳新阳蓝光能源管理科技股份有限公司</v>
      </c>
      <c r="D3845" s="687" t="s">
        <v>2098</v>
      </c>
      <c r="E3845" s="104" t="s">
        <v>4966</v>
      </c>
      <c r="F3845" s="102"/>
      <c r="G3845" s="103"/>
      <c r="H3845" s="103"/>
      <c r="I3845" s="103"/>
      <c r="J3845" s="103"/>
    </row>
    <row r="3846" outlineLevel="2" spans="1:10">
      <c r="A3846" s="1852" t="s">
        <v>4967</v>
      </c>
      <c r="B3846" s="685" t="s">
        <v>4968</v>
      </c>
      <c r="C3846" s="693" t="str">
        <f t="shared" si="452"/>
        <v>深圳新阳蓝光能源管理科技股份有限公司</v>
      </c>
      <c r="D3846" s="687" t="s">
        <v>2098</v>
      </c>
      <c r="E3846" s="104" t="s">
        <v>4969</v>
      </c>
      <c r="F3846" s="100">
        <f>F3844-F3845</f>
        <v>0</v>
      </c>
      <c r="G3846" s="100">
        <f t="shared" ref="G3846:J3846" si="454">G3844-G3845</f>
        <v>0</v>
      </c>
      <c r="H3846" s="100">
        <f t="shared" si="454"/>
        <v>110000</v>
      </c>
      <c r="I3846" s="100">
        <f t="shared" si="454"/>
        <v>9249.23000000001</v>
      </c>
      <c r="J3846" s="100">
        <f t="shared" si="454"/>
        <v>119249.23</v>
      </c>
    </row>
    <row r="3847" outlineLevel="2" spans="1:10">
      <c r="A3847" s="1852" t="s">
        <v>4970</v>
      </c>
      <c r="B3847" s="685" t="s">
        <v>4971</v>
      </c>
      <c r="C3847" s="693" t="str">
        <f t="shared" si="452"/>
        <v>深圳新阳蓝光能源管理科技股份有限公司</v>
      </c>
      <c r="D3847" s="687" t="s">
        <v>2098</v>
      </c>
      <c r="E3847" s="128"/>
      <c r="F3847" s="105"/>
      <c r="G3847" s="105"/>
      <c r="H3847" s="105"/>
      <c r="I3847" s="105"/>
      <c r="J3847" s="105"/>
    </row>
    <row r="3848" outlineLevel="2" spans="1:10">
      <c r="A3848" s="1852" t="s">
        <v>4972</v>
      </c>
      <c r="B3848" s="685" t="s">
        <v>4973</v>
      </c>
      <c r="C3848" s="693" t="str">
        <f t="shared" si="452"/>
        <v>深圳新阳蓝光能源管理科技股份有限公司</v>
      </c>
      <c r="D3848" s="687" t="s">
        <v>2098</v>
      </c>
      <c r="E3848" s="106" t="s">
        <v>4835</v>
      </c>
      <c r="F3848" s="108"/>
      <c r="G3848" s="108"/>
      <c r="H3848" s="108"/>
      <c r="I3848" s="108"/>
      <c r="J3848" s="108"/>
    </row>
    <row r="3849" outlineLevel="1" spans="1:3">
      <c r="A3849" s="1852"/>
      <c r="C3849" s="693" t="str">
        <f t="shared" si="452"/>
        <v>深圳新阳蓝光能源管理科技股份有限公司</v>
      </c>
    </row>
    <row r="3850" spans="1:10">
      <c r="A3850" s="1852" t="s">
        <v>4974</v>
      </c>
      <c r="B3850" s="685" t="s">
        <v>4975</v>
      </c>
      <c r="C3850" s="693" t="str">
        <f t="shared" si="452"/>
        <v>深圳新阳蓝光能源管理科技股份有限公司</v>
      </c>
      <c r="D3850" s="687" t="s">
        <v>2127</v>
      </c>
      <c r="E3850" s="70" t="s">
        <v>4976</v>
      </c>
      <c r="F3850" s="71" t="s">
        <v>4720</v>
      </c>
      <c r="G3850" s="72"/>
      <c r="H3850" s="72"/>
      <c r="I3850" s="72"/>
      <c r="J3850" s="72"/>
    </row>
    <row r="3851" outlineLevel="1" spans="1:10">
      <c r="A3851" s="1852" t="s">
        <v>4977</v>
      </c>
      <c r="B3851" s="685" t="s">
        <v>4978</v>
      </c>
      <c r="C3851" s="693" t="str">
        <f t="shared" si="452"/>
        <v>深圳新阳蓝光能源管理科技股份有限公司</v>
      </c>
      <c r="D3851" s="687" t="s">
        <v>2127</v>
      </c>
      <c r="E3851" s="74" t="s">
        <v>61</v>
      </c>
      <c r="F3851" s="74" t="s">
        <v>4726</v>
      </c>
      <c r="G3851" s="74" t="s">
        <v>4979</v>
      </c>
      <c r="H3851" s="74" t="s">
        <v>4980</v>
      </c>
      <c r="I3851" s="74" t="s">
        <v>280</v>
      </c>
      <c r="J3851" s="74" t="s">
        <v>2021</v>
      </c>
    </row>
    <row r="3852" outlineLevel="1" spans="1:10">
      <c r="A3852" s="1852" t="s">
        <v>4981</v>
      </c>
      <c r="B3852" s="685" t="s">
        <v>4982</v>
      </c>
      <c r="C3852" s="693" t="str">
        <f t="shared" si="452"/>
        <v>深圳新阳蓝光能源管理科技股份有限公司</v>
      </c>
      <c r="D3852" s="687" t="s">
        <v>2127</v>
      </c>
      <c r="E3852" s="75" t="s">
        <v>4729</v>
      </c>
      <c r="F3852" s="76"/>
      <c r="G3852" s="76"/>
      <c r="H3852" s="76"/>
      <c r="I3852" s="76"/>
      <c r="J3852" s="76"/>
    </row>
    <row r="3853" outlineLevel="1" spans="1:10">
      <c r="A3853" s="1852" t="s">
        <v>4983</v>
      </c>
      <c r="B3853" s="685" t="s">
        <v>4984</v>
      </c>
      <c r="C3853" s="693" t="str">
        <f t="shared" si="452"/>
        <v>深圳新阳蓝光能源管理科技股份有限公司</v>
      </c>
      <c r="D3853" s="687" t="s">
        <v>2127</v>
      </c>
      <c r="E3853" s="75" t="s">
        <v>4732</v>
      </c>
      <c r="F3853" s="1867"/>
      <c r="G3853" s="1867"/>
      <c r="H3853" s="1867">
        <v>18000</v>
      </c>
      <c r="I3853" s="1867"/>
      <c r="J3853" s="78">
        <f>ROUND(SUM(F3853:I3853),2)</f>
        <v>18000</v>
      </c>
    </row>
    <row r="3854" outlineLevel="1" spans="1:10">
      <c r="A3854" s="1852" t="s">
        <v>4985</v>
      </c>
      <c r="B3854" s="685" t="s">
        <v>4986</v>
      </c>
      <c r="C3854" s="693" t="str">
        <f t="shared" si="452"/>
        <v>深圳新阳蓝光能源管理科技股份有限公司</v>
      </c>
      <c r="D3854" s="687" t="s">
        <v>2127</v>
      </c>
      <c r="E3854" s="75" t="s">
        <v>4735</v>
      </c>
      <c r="F3854" s="78">
        <f>ROUND(SUM(F3855:F3859),2)</f>
        <v>0</v>
      </c>
      <c r="G3854" s="78">
        <f t="shared" ref="G3854:I3854" si="455">ROUND(SUM(G3855:G3859),2)</f>
        <v>0</v>
      </c>
      <c r="H3854" s="78">
        <f t="shared" si="455"/>
        <v>0</v>
      </c>
      <c r="I3854" s="78">
        <f t="shared" si="455"/>
        <v>0</v>
      </c>
      <c r="J3854" s="78">
        <f>ROUND(SUM(F3854:I3854),2)</f>
        <v>0</v>
      </c>
    </row>
    <row r="3855" outlineLevel="1" spans="1:10">
      <c r="A3855" s="1852" t="s">
        <v>4987</v>
      </c>
      <c r="B3855" s="685" t="s">
        <v>4988</v>
      </c>
      <c r="C3855" s="693" t="str">
        <f t="shared" si="452"/>
        <v>深圳新阳蓝光能源管理科技股份有限公司</v>
      </c>
      <c r="D3855" s="687" t="s">
        <v>2127</v>
      </c>
      <c r="E3855" s="81" t="s">
        <v>4989</v>
      </c>
      <c r="F3855" s="1868"/>
      <c r="G3855" s="1867"/>
      <c r="H3855" s="1867"/>
      <c r="I3855" s="1868"/>
      <c r="J3855" s="78">
        <f t="shared" ref="J3855:J3890" si="456">ROUND(SUM(F3855:I3855),2)</f>
        <v>0</v>
      </c>
    </row>
    <row r="3856" outlineLevel="1" spans="1:10">
      <c r="A3856" s="1852" t="s">
        <v>4990</v>
      </c>
      <c r="B3856" s="685" t="s">
        <v>4991</v>
      </c>
      <c r="C3856" s="693" t="str">
        <f t="shared" si="452"/>
        <v>深圳新阳蓝光能源管理科技股份有限公司</v>
      </c>
      <c r="D3856" s="687" t="s">
        <v>2127</v>
      </c>
      <c r="E3856" s="81" t="s">
        <v>4992</v>
      </c>
      <c r="F3856" s="1868"/>
      <c r="G3856" s="1867"/>
      <c r="H3856" s="1867"/>
      <c r="I3856" s="1868"/>
      <c r="J3856" s="78">
        <f t="shared" si="456"/>
        <v>0</v>
      </c>
    </row>
    <row r="3857" outlineLevel="1" spans="1:10">
      <c r="A3857" s="1852" t="s">
        <v>4993</v>
      </c>
      <c r="B3857" s="685" t="s">
        <v>4994</v>
      </c>
      <c r="C3857" s="693" t="str">
        <f t="shared" si="452"/>
        <v>深圳新阳蓝光能源管理科技股份有限公司</v>
      </c>
      <c r="D3857" s="687" t="s">
        <v>2127</v>
      </c>
      <c r="E3857" s="81" t="s">
        <v>4995</v>
      </c>
      <c r="F3857" s="1868"/>
      <c r="G3857" s="1867"/>
      <c r="H3857" s="1867"/>
      <c r="I3857" s="1868"/>
      <c r="J3857" s="78">
        <f t="shared" si="456"/>
        <v>0</v>
      </c>
    </row>
    <row r="3858" outlineLevel="1" spans="1:10">
      <c r="A3858" s="1852" t="s">
        <v>4996</v>
      </c>
      <c r="B3858" s="685" t="s">
        <v>4997</v>
      </c>
      <c r="C3858" s="693" t="str">
        <f t="shared" si="452"/>
        <v>深圳新阳蓝光能源管理科技股份有限公司</v>
      </c>
      <c r="D3858" s="687" t="s">
        <v>2127</v>
      </c>
      <c r="E3858" s="83" t="s">
        <v>4864</v>
      </c>
      <c r="F3858" s="1868"/>
      <c r="G3858" s="1867"/>
      <c r="H3858" s="1867"/>
      <c r="I3858" s="1868"/>
      <c r="J3858" s="78">
        <f t="shared" si="456"/>
        <v>0</v>
      </c>
    </row>
    <row r="3859" outlineLevel="1" spans="1:10">
      <c r="A3859" s="1852" t="s">
        <v>4998</v>
      </c>
      <c r="B3859" s="685" t="s">
        <v>4999</v>
      </c>
      <c r="C3859" s="693" t="str">
        <f t="shared" si="452"/>
        <v>深圳新阳蓝光能源管理科技股份有限公司</v>
      </c>
      <c r="D3859" s="687" t="s">
        <v>2127</v>
      </c>
      <c r="E3859" s="84" t="s">
        <v>5000</v>
      </c>
      <c r="F3859" s="1868"/>
      <c r="G3859" s="1867"/>
      <c r="H3859" s="1867"/>
      <c r="I3859" s="1868"/>
      <c r="J3859" s="78">
        <f t="shared" si="456"/>
        <v>0</v>
      </c>
    </row>
    <row r="3860" outlineLevel="1" spans="1:10">
      <c r="A3860" s="1852" t="s">
        <v>5001</v>
      </c>
      <c r="B3860" s="685" t="s">
        <v>5002</v>
      </c>
      <c r="C3860" s="693" t="str">
        <f t="shared" si="452"/>
        <v>深圳新阳蓝光能源管理科技股份有限公司</v>
      </c>
      <c r="D3860" s="687" t="s">
        <v>2127</v>
      </c>
      <c r="E3860" s="75" t="s">
        <v>4749</v>
      </c>
      <c r="F3860" s="78">
        <f>ROUND(SUM(F3861:F3864),2)</f>
        <v>0</v>
      </c>
      <c r="G3860" s="78">
        <f t="shared" ref="G3860:I3860" si="457">ROUND(SUM(G3861:G3864),2)</f>
        <v>0</v>
      </c>
      <c r="H3860" s="78">
        <f t="shared" si="457"/>
        <v>0</v>
      </c>
      <c r="I3860" s="78">
        <f t="shared" si="457"/>
        <v>0</v>
      </c>
      <c r="J3860" s="78">
        <f t="shared" si="456"/>
        <v>0</v>
      </c>
    </row>
    <row r="3861" outlineLevel="1" spans="1:10">
      <c r="A3861" s="1852" t="s">
        <v>5003</v>
      </c>
      <c r="B3861" s="685" t="s">
        <v>5004</v>
      </c>
      <c r="C3861" s="693" t="str">
        <f t="shared" si="452"/>
        <v>深圳新阳蓝光能源管理科技股份有限公司</v>
      </c>
      <c r="D3861" s="687" t="s">
        <v>2127</v>
      </c>
      <c r="E3861" s="81" t="s">
        <v>5005</v>
      </c>
      <c r="F3861" s="1868"/>
      <c r="G3861" s="1867"/>
      <c r="H3861" s="1867"/>
      <c r="I3861" s="1867"/>
      <c r="J3861" s="78">
        <f t="shared" si="456"/>
        <v>0</v>
      </c>
    </row>
    <row r="3862" outlineLevel="1" spans="1:10">
      <c r="A3862" s="1852" t="s">
        <v>5006</v>
      </c>
      <c r="B3862" s="685" t="s">
        <v>5007</v>
      </c>
      <c r="C3862" s="693" t="str">
        <f t="shared" si="452"/>
        <v>深圳新阳蓝光能源管理科技股份有限公司</v>
      </c>
      <c r="D3862" s="687" t="s">
        <v>2127</v>
      </c>
      <c r="E3862" s="84" t="s">
        <v>4879</v>
      </c>
      <c r="F3862" s="1868"/>
      <c r="G3862" s="1867"/>
      <c r="H3862" s="1867"/>
      <c r="I3862" s="1867"/>
      <c r="J3862" s="78">
        <f t="shared" si="456"/>
        <v>0</v>
      </c>
    </row>
    <row r="3863" outlineLevel="1" spans="1:10">
      <c r="A3863" s="1852" t="s">
        <v>5008</v>
      </c>
      <c r="B3863" s="685" t="s">
        <v>5009</v>
      </c>
      <c r="C3863" s="693" t="str">
        <f t="shared" si="452"/>
        <v>深圳新阳蓝光能源管理科技股份有限公司</v>
      </c>
      <c r="D3863" s="687" t="s">
        <v>2127</v>
      </c>
      <c r="E3863" s="84" t="s">
        <v>4882</v>
      </c>
      <c r="F3863" s="1868"/>
      <c r="G3863" s="1867"/>
      <c r="H3863" s="1867"/>
      <c r="I3863" s="1867"/>
      <c r="J3863" s="78">
        <f t="shared" si="456"/>
        <v>0</v>
      </c>
    </row>
    <row r="3864" outlineLevel="1" spans="1:10">
      <c r="A3864" s="1852" t="s">
        <v>5010</v>
      </c>
      <c r="B3864" s="685" t="s">
        <v>5011</v>
      </c>
      <c r="C3864" s="693" t="str">
        <f t="shared" si="452"/>
        <v>深圳新阳蓝光能源管理科技股份有限公司</v>
      </c>
      <c r="D3864" s="687" t="s">
        <v>2127</v>
      </c>
      <c r="E3864" s="84" t="s">
        <v>4885</v>
      </c>
      <c r="F3864" s="1868"/>
      <c r="G3864" s="1867"/>
      <c r="H3864" s="1867"/>
      <c r="I3864" s="1867"/>
      <c r="J3864" s="78">
        <f t="shared" si="456"/>
        <v>0</v>
      </c>
    </row>
    <row r="3865" outlineLevel="1" spans="1:10">
      <c r="A3865" s="1852" t="s">
        <v>5012</v>
      </c>
      <c r="B3865" s="685" t="s">
        <v>5013</v>
      </c>
      <c r="C3865" s="693" t="str">
        <f t="shared" si="452"/>
        <v>深圳新阳蓝光能源管理科技股份有限公司</v>
      </c>
      <c r="D3865" s="687" t="s">
        <v>2127</v>
      </c>
      <c r="E3865" s="75" t="s">
        <v>4761</v>
      </c>
      <c r="F3865" s="78">
        <f>ROUND(F3853+F3854-F3860,2)</f>
        <v>0</v>
      </c>
      <c r="G3865" s="78">
        <f t="shared" ref="G3865:I3865" si="458">ROUND(G3853+G3854-G3860,2)</f>
        <v>0</v>
      </c>
      <c r="H3865" s="78">
        <f t="shared" si="458"/>
        <v>18000</v>
      </c>
      <c r="I3865" s="78">
        <f t="shared" si="458"/>
        <v>0</v>
      </c>
      <c r="J3865" s="78">
        <f t="shared" si="456"/>
        <v>18000</v>
      </c>
    </row>
    <row r="3866" outlineLevel="1" spans="1:10">
      <c r="A3866" s="1852" t="s">
        <v>5014</v>
      </c>
      <c r="B3866" s="685" t="s">
        <v>5015</v>
      </c>
      <c r="C3866" s="693" t="str">
        <f t="shared" si="452"/>
        <v>深圳新阳蓝光能源管理科技股份有限公司</v>
      </c>
      <c r="D3866" s="687" t="s">
        <v>2127</v>
      </c>
      <c r="E3866" s="75" t="s">
        <v>5016</v>
      </c>
      <c r="F3866" s="86"/>
      <c r="G3866" s="86"/>
      <c r="H3866" s="86"/>
      <c r="I3866" s="86"/>
      <c r="J3866" s="78">
        <f t="shared" si="456"/>
        <v>0</v>
      </c>
    </row>
    <row r="3867" outlineLevel="1" spans="1:10">
      <c r="A3867" s="1852" t="s">
        <v>5017</v>
      </c>
      <c r="B3867" s="685" t="s">
        <v>5018</v>
      </c>
      <c r="C3867" s="693" t="str">
        <f t="shared" si="452"/>
        <v>深圳新阳蓝光能源管理科技股份有限公司</v>
      </c>
      <c r="D3867" s="687" t="s">
        <v>2127</v>
      </c>
      <c r="E3867" s="75" t="s">
        <v>4732</v>
      </c>
      <c r="F3867" s="1867"/>
      <c r="G3867" s="1867"/>
      <c r="H3867" s="1867">
        <v>2000</v>
      </c>
      <c r="I3867" s="1867"/>
      <c r="J3867" s="78">
        <f t="shared" si="456"/>
        <v>2000</v>
      </c>
    </row>
    <row r="3868" outlineLevel="1" spans="1:10">
      <c r="A3868" s="1852" t="s">
        <v>5019</v>
      </c>
      <c r="B3868" s="685" t="s">
        <v>5020</v>
      </c>
      <c r="C3868" s="693" t="str">
        <f t="shared" si="452"/>
        <v>深圳新阳蓝光能源管理科技股份有限公司</v>
      </c>
      <c r="D3868" s="687" t="s">
        <v>2127</v>
      </c>
      <c r="E3868" s="75" t="s">
        <v>4735</v>
      </c>
      <c r="F3868" s="78">
        <f>ROUND(SUM(F3869:F3872),2)</f>
        <v>0</v>
      </c>
      <c r="G3868" s="78">
        <f t="shared" ref="G3868:I3868" si="459">ROUND(SUM(G3869:G3872),2)</f>
        <v>0</v>
      </c>
      <c r="H3868" s="78">
        <f t="shared" si="459"/>
        <v>6000</v>
      </c>
      <c r="I3868" s="78">
        <f t="shared" si="459"/>
        <v>0</v>
      </c>
      <c r="J3868" s="78">
        <f t="shared" si="456"/>
        <v>6000</v>
      </c>
    </row>
    <row r="3869" outlineLevel="1" spans="1:10">
      <c r="A3869" s="1852" t="s">
        <v>5021</v>
      </c>
      <c r="B3869" s="685" t="s">
        <v>5022</v>
      </c>
      <c r="C3869" s="693" t="str">
        <f t="shared" si="452"/>
        <v>深圳新阳蓝光能源管理科技股份有限公司</v>
      </c>
      <c r="D3869" s="687" t="s">
        <v>2127</v>
      </c>
      <c r="E3869" s="81" t="s">
        <v>5023</v>
      </c>
      <c r="F3869" s="1868"/>
      <c r="G3869" s="1867"/>
      <c r="H3869" s="1867">
        <v>6000</v>
      </c>
      <c r="I3869" s="1867"/>
      <c r="J3869" s="78">
        <f t="shared" si="456"/>
        <v>6000</v>
      </c>
    </row>
    <row r="3870" outlineLevel="1" spans="1:10">
      <c r="A3870" s="1852" t="s">
        <v>5024</v>
      </c>
      <c r="B3870" s="685" t="s">
        <v>5025</v>
      </c>
      <c r="C3870" s="693" t="str">
        <f t="shared" si="452"/>
        <v>深圳新阳蓝光能源管理科技股份有限公司</v>
      </c>
      <c r="D3870" s="687" t="s">
        <v>2127</v>
      </c>
      <c r="E3870" s="84" t="s">
        <v>4901</v>
      </c>
      <c r="F3870" s="1868"/>
      <c r="G3870" s="1867"/>
      <c r="H3870" s="1867"/>
      <c r="I3870" s="1867"/>
      <c r="J3870" s="78">
        <f t="shared" si="456"/>
        <v>0</v>
      </c>
    </row>
    <row r="3871" outlineLevel="1" spans="1:10">
      <c r="A3871" s="1852" t="s">
        <v>5026</v>
      </c>
      <c r="B3871" s="685" t="s">
        <v>5027</v>
      </c>
      <c r="C3871" s="693" t="str">
        <f t="shared" si="452"/>
        <v>深圳新阳蓝光能源管理科技股份有限公司</v>
      </c>
      <c r="D3871" s="687" t="s">
        <v>2127</v>
      </c>
      <c r="E3871" s="84" t="s">
        <v>4904</v>
      </c>
      <c r="F3871" s="1868"/>
      <c r="G3871" s="1867"/>
      <c r="H3871" s="1867"/>
      <c r="I3871" s="1867"/>
      <c r="J3871" s="78">
        <f t="shared" si="456"/>
        <v>0</v>
      </c>
    </row>
    <row r="3872" outlineLevel="1" spans="1:10">
      <c r="A3872" s="1852" t="s">
        <v>5028</v>
      </c>
      <c r="B3872" s="685" t="s">
        <v>5029</v>
      </c>
      <c r="C3872" s="693" t="str">
        <f t="shared" si="452"/>
        <v>深圳新阳蓝光能源管理科技股份有限公司</v>
      </c>
      <c r="D3872" s="687" t="s">
        <v>2127</v>
      </c>
      <c r="E3872" s="84" t="s">
        <v>4907</v>
      </c>
      <c r="F3872" s="1868"/>
      <c r="G3872" s="1867"/>
      <c r="H3872" s="1867"/>
      <c r="I3872" s="1867"/>
      <c r="J3872" s="78">
        <f t="shared" si="456"/>
        <v>0</v>
      </c>
    </row>
    <row r="3873" outlineLevel="1" spans="1:10">
      <c r="A3873" s="1852" t="s">
        <v>5030</v>
      </c>
      <c r="B3873" s="685" t="s">
        <v>5031</v>
      </c>
      <c r="C3873" s="693" t="str">
        <f t="shared" si="452"/>
        <v>深圳新阳蓝光能源管理科技股份有限公司</v>
      </c>
      <c r="D3873" s="687" t="s">
        <v>2127</v>
      </c>
      <c r="E3873" s="75" t="s">
        <v>4749</v>
      </c>
      <c r="F3873" s="78">
        <f>ROUND(SUM(F3874:F3877),2)</f>
        <v>0</v>
      </c>
      <c r="G3873" s="78">
        <f t="shared" ref="G3873:I3873" si="460">ROUND(SUM(G3874:G3877),2)</f>
        <v>0</v>
      </c>
      <c r="H3873" s="78">
        <f t="shared" si="460"/>
        <v>0</v>
      </c>
      <c r="I3873" s="78">
        <f t="shared" si="460"/>
        <v>0</v>
      </c>
      <c r="J3873" s="78">
        <f t="shared" si="456"/>
        <v>0</v>
      </c>
    </row>
    <row r="3874" outlineLevel="1" spans="1:10">
      <c r="A3874" s="1852" t="s">
        <v>5032</v>
      </c>
      <c r="B3874" s="685" t="s">
        <v>5033</v>
      </c>
      <c r="C3874" s="693" t="str">
        <f t="shared" ref="C3874:C3929" si="461">$G$1</f>
        <v>深圳新阳蓝光能源管理科技股份有限公司</v>
      </c>
      <c r="D3874" s="687" t="s">
        <v>2127</v>
      </c>
      <c r="E3874" s="81" t="s">
        <v>5005</v>
      </c>
      <c r="F3874" s="1867"/>
      <c r="G3874" s="1867"/>
      <c r="H3874" s="1867"/>
      <c r="I3874" s="1867"/>
      <c r="J3874" s="78">
        <f t="shared" si="456"/>
        <v>0</v>
      </c>
    </row>
    <row r="3875" outlineLevel="1" spans="1:10">
      <c r="A3875" s="1852" t="s">
        <v>5034</v>
      </c>
      <c r="B3875" s="685" t="s">
        <v>5035</v>
      </c>
      <c r="C3875" s="693" t="str">
        <f t="shared" si="461"/>
        <v>深圳新阳蓝光能源管理科技股份有限公司</v>
      </c>
      <c r="D3875" s="687" t="s">
        <v>2127</v>
      </c>
      <c r="E3875" s="84" t="s">
        <v>4879</v>
      </c>
      <c r="F3875" s="1867"/>
      <c r="G3875" s="1867"/>
      <c r="H3875" s="1867"/>
      <c r="I3875" s="1867"/>
      <c r="J3875" s="78">
        <f t="shared" si="456"/>
        <v>0</v>
      </c>
    </row>
    <row r="3876" outlineLevel="1" spans="1:10">
      <c r="A3876" s="1852" t="s">
        <v>5036</v>
      </c>
      <c r="B3876" s="685" t="s">
        <v>5037</v>
      </c>
      <c r="C3876" s="693" t="str">
        <f t="shared" si="461"/>
        <v>深圳新阳蓝光能源管理科技股份有限公司</v>
      </c>
      <c r="D3876" s="687" t="s">
        <v>2127</v>
      </c>
      <c r="E3876" s="84" t="s">
        <v>4882</v>
      </c>
      <c r="F3876" s="1867"/>
      <c r="G3876" s="1867"/>
      <c r="H3876" s="1867"/>
      <c r="I3876" s="1867"/>
      <c r="J3876" s="78">
        <f t="shared" si="456"/>
        <v>0</v>
      </c>
    </row>
    <row r="3877" outlineLevel="1" spans="1:10">
      <c r="A3877" s="1852" t="s">
        <v>5038</v>
      </c>
      <c r="B3877" s="685" t="s">
        <v>5039</v>
      </c>
      <c r="C3877" s="693" t="str">
        <f t="shared" si="461"/>
        <v>深圳新阳蓝光能源管理科技股份有限公司</v>
      </c>
      <c r="D3877" s="687" t="s">
        <v>2127</v>
      </c>
      <c r="E3877" s="84" t="s">
        <v>4918</v>
      </c>
      <c r="F3877" s="1867"/>
      <c r="G3877" s="1867"/>
      <c r="H3877" s="1867"/>
      <c r="I3877" s="1867"/>
      <c r="J3877" s="78">
        <f t="shared" si="456"/>
        <v>0</v>
      </c>
    </row>
    <row r="3878" outlineLevel="1" spans="1:10">
      <c r="A3878" s="1852" t="s">
        <v>5040</v>
      </c>
      <c r="B3878" s="685" t="s">
        <v>5041</v>
      </c>
      <c r="C3878" s="693" t="str">
        <f t="shared" si="461"/>
        <v>深圳新阳蓝光能源管理科技股份有限公司</v>
      </c>
      <c r="D3878" s="687" t="s">
        <v>2127</v>
      </c>
      <c r="E3878" s="75" t="s">
        <v>4761</v>
      </c>
      <c r="F3878" s="78">
        <f>ROUND(F3867+F3868-F3873,2)</f>
        <v>0</v>
      </c>
      <c r="G3878" s="78">
        <f t="shared" ref="G3878:I3878" si="462">ROUND(G3867+G3868-G3873,2)</f>
        <v>0</v>
      </c>
      <c r="H3878" s="78">
        <f t="shared" si="462"/>
        <v>8000</v>
      </c>
      <c r="I3878" s="78">
        <f t="shared" si="462"/>
        <v>0</v>
      </c>
      <c r="J3878" s="78">
        <f t="shared" si="456"/>
        <v>8000</v>
      </c>
    </row>
    <row r="3879" outlineLevel="1" spans="1:10">
      <c r="A3879" s="1852" t="s">
        <v>5042</v>
      </c>
      <c r="B3879" s="685" t="s">
        <v>5043</v>
      </c>
      <c r="C3879" s="693" t="str">
        <f t="shared" si="461"/>
        <v>深圳新阳蓝光能源管理科技股份有限公司</v>
      </c>
      <c r="D3879" s="687" t="s">
        <v>2127</v>
      </c>
      <c r="E3879" s="75" t="s">
        <v>4791</v>
      </c>
      <c r="F3879" s="86"/>
      <c r="G3879" s="86"/>
      <c r="H3879" s="86"/>
      <c r="I3879" s="86"/>
      <c r="J3879" s="78">
        <f t="shared" si="456"/>
        <v>0</v>
      </c>
    </row>
    <row r="3880" outlineLevel="1" spans="1:10">
      <c r="A3880" s="1852" t="s">
        <v>5044</v>
      </c>
      <c r="B3880" s="685" t="s">
        <v>5045</v>
      </c>
      <c r="C3880" s="693" t="str">
        <f t="shared" si="461"/>
        <v>深圳新阳蓝光能源管理科技股份有限公司</v>
      </c>
      <c r="D3880" s="687" t="s">
        <v>2127</v>
      </c>
      <c r="E3880" s="75" t="s">
        <v>4732</v>
      </c>
      <c r="F3880" s="1867"/>
      <c r="G3880" s="1867"/>
      <c r="H3880" s="1867"/>
      <c r="I3880" s="1867"/>
      <c r="J3880" s="78">
        <f t="shared" si="456"/>
        <v>0</v>
      </c>
    </row>
    <row r="3881" outlineLevel="1" spans="1:10">
      <c r="A3881" s="1852" t="s">
        <v>5046</v>
      </c>
      <c r="B3881" s="685" t="s">
        <v>5047</v>
      </c>
      <c r="C3881" s="693" t="str">
        <f t="shared" si="461"/>
        <v>深圳新阳蓝光能源管理科技股份有限公司</v>
      </c>
      <c r="D3881" s="687" t="s">
        <v>2127</v>
      </c>
      <c r="E3881" s="75" t="s">
        <v>4735</v>
      </c>
      <c r="F3881" s="78">
        <f>ROUND(SUM(F3882:F3883),2)</f>
        <v>0</v>
      </c>
      <c r="G3881" s="78">
        <f t="shared" ref="G3881:I3881" si="463">ROUND(SUM(G3882:G3883),2)</f>
        <v>0</v>
      </c>
      <c r="H3881" s="78">
        <f t="shared" si="463"/>
        <v>0</v>
      </c>
      <c r="I3881" s="78">
        <f t="shared" si="463"/>
        <v>0</v>
      </c>
      <c r="J3881" s="78">
        <f t="shared" si="456"/>
        <v>0</v>
      </c>
    </row>
    <row r="3882" outlineLevel="1" spans="1:10">
      <c r="A3882" s="1852" t="s">
        <v>5048</v>
      </c>
      <c r="B3882" s="685" t="s">
        <v>5049</v>
      </c>
      <c r="C3882" s="693" t="str">
        <f t="shared" si="461"/>
        <v>深圳新阳蓝光能源管理科技股份有限公司</v>
      </c>
      <c r="D3882" s="687" t="s">
        <v>2127</v>
      </c>
      <c r="E3882" s="81" t="s">
        <v>5023</v>
      </c>
      <c r="F3882" s="1867"/>
      <c r="G3882" s="1867"/>
      <c r="H3882" s="1867"/>
      <c r="I3882" s="1867"/>
      <c r="J3882" s="78">
        <f t="shared" si="456"/>
        <v>0</v>
      </c>
    </row>
    <row r="3883" outlineLevel="1" spans="1:10">
      <c r="A3883" s="1852" t="s">
        <v>5050</v>
      </c>
      <c r="B3883" s="685" t="s">
        <v>5051</v>
      </c>
      <c r="C3883" s="693" t="str">
        <f t="shared" si="461"/>
        <v>深圳新阳蓝光能源管理科技股份有限公司</v>
      </c>
      <c r="D3883" s="687" t="s">
        <v>2127</v>
      </c>
      <c r="E3883" s="83"/>
      <c r="F3883" s="1867"/>
      <c r="G3883" s="1867"/>
      <c r="H3883" s="1867"/>
      <c r="I3883" s="1867"/>
      <c r="J3883" s="78">
        <f t="shared" si="456"/>
        <v>0</v>
      </c>
    </row>
    <row r="3884" outlineLevel="1" spans="1:10">
      <c r="A3884" s="1852" t="s">
        <v>5052</v>
      </c>
      <c r="B3884" s="685" t="s">
        <v>5053</v>
      </c>
      <c r="C3884" s="693" t="str">
        <f t="shared" si="461"/>
        <v>深圳新阳蓝光能源管理科技股份有限公司</v>
      </c>
      <c r="D3884" s="687" t="s">
        <v>2127</v>
      </c>
      <c r="E3884" s="75" t="s">
        <v>4749</v>
      </c>
      <c r="F3884" s="78">
        <f>ROUND(SUM(F3885:F3886),2)</f>
        <v>0</v>
      </c>
      <c r="G3884" s="78">
        <f t="shared" ref="G3884:I3884" si="464">ROUND(SUM(G3885:G3886),2)</f>
        <v>0</v>
      </c>
      <c r="H3884" s="78">
        <f t="shared" si="464"/>
        <v>0</v>
      </c>
      <c r="I3884" s="78">
        <f t="shared" si="464"/>
        <v>0</v>
      </c>
      <c r="J3884" s="78">
        <f t="shared" si="456"/>
        <v>0</v>
      </c>
    </row>
    <row r="3885" outlineLevel="1" spans="1:10">
      <c r="A3885" s="1852" t="s">
        <v>5054</v>
      </c>
      <c r="B3885" s="685" t="s">
        <v>5055</v>
      </c>
      <c r="C3885" s="693" t="str">
        <f t="shared" si="461"/>
        <v>深圳新阳蓝光能源管理科技股份有限公司</v>
      </c>
      <c r="D3885" s="687" t="s">
        <v>2127</v>
      </c>
      <c r="E3885" s="81" t="s">
        <v>5056</v>
      </c>
      <c r="F3885" s="1867"/>
      <c r="G3885" s="1867"/>
      <c r="H3885" s="1867"/>
      <c r="I3885" s="1867"/>
      <c r="J3885" s="78">
        <f t="shared" si="456"/>
        <v>0</v>
      </c>
    </row>
    <row r="3886" outlineLevel="1" spans="1:10">
      <c r="A3886" s="1852" t="s">
        <v>5057</v>
      </c>
      <c r="B3886" s="685" t="s">
        <v>5058</v>
      </c>
      <c r="C3886" s="693" t="str">
        <f t="shared" si="461"/>
        <v>深圳新阳蓝光能源管理科技股份有限公司</v>
      </c>
      <c r="D3886" s="687" t="s">
        <v>2127</v>
      </c>
      <c r="E3886" s="83"/>
      <c r="F3886" s="1867"/>
      <c r="G3886" s="1867"/>
      <c r="H3886" s="1867"/>
      <c r="I3886" s="1867"/>
      <c r="J3886" s="78">
        <f t="shared" si="456"/>
        <v>0</v>
      </c>
    </row>
    <row r="3887" outlineLevel="1" spans="1:10">
      <c r="A3887" s="1852" t="s">
        <v>5059</v>
      </c>
      <c r="B3887" s="685" t="s">
        <v>5060</v>
      </c>
      <c r="C3887" s="693" t="str">
        <f t="shared" si="461"/>
        <v>深圳新阳蓝光能源管理科技股份有限公司</v>
      </c>
      <c r="D3887" s="687" t="s">
        <v>2127</v>
      </c>
      <c r="E3887" s="75" t="s">
        <v>4761</v>
      </c>
      <c r="F3887" s="78">
        <f>ROUND(F3880+F3881-F3884,2)</f>
        <v>0</v>
      </c>
      <c r="G3887" s="78">
        <f t="shared" ref="G3887:I3887" si="465">ROUND(G3880+G3881-G3884,2)</f>
        <v>0</v>
      </c>
      <c r="H3887" s="78">
        <f t="shared" si="465"/>
        <v>0</v>
      </c>
      <c r="I3887" s="78">
        <f t="shared" si="465"/>
        <v>0</v>
      </c>
      <c r="J3887" s="78">
        <f t="shared" si="456"/>
        <v>0</v>
      </c>
    </row>
    <row r="3888" outlineLevel="1" spans="1:10">
      <c r="A3888" s="1852" t="s">
        <v>5061</v>
      </c>
      <c r="B3888" s="685" t="s">
        <v>5062</v>
      </c>
      <c r="C3888" s="693" t="str">
        <f t="shared" si="461"/>
        <v>深圳新阳蓝光能源管理科技股份有限公司</v>
      </c>
      <c r="D3888" s="687" t="s">
        <v>2127</v>
      </c>
      <c r="E3888" s="75" t="s">
        <v>4814</v>
      </c>
      <c r="F3888" s="86"/>
      <c r="G3888" s="86"/>
      <c r="H3888" s="86"/>
      <c r="I3888" s="86"/>
      <c r="J3888" s="78">
        <f t="shared" si="456"/>
        <v>0</v>
      </c>
    </row>
    <row r="3889" outlineLevel="1" spans="1:10">
      <c r="A3889" s="1852" t="s">
        <v>5063</v>
      </c>
      <c r="B3889" s="685" t="s">
        <v>5064</v>
      </c>
      <c r="C3889" s="693" t="str">
        <f t="shared" si="461"/>
        <v>深圳新阳蓝光能源管理科技股份有限公司</v>
      </c>
      <c r="D3889" s="687" t="s">
        <v>2127</v>
      </c>
      <c r="E3889" s="75" t="s">
        <v>4817</v>
      </c>
      <c r="F3889" s="78">
        <f>ROUND(F3865-F3878-F3887,2)</f>
        <v>0</v>
      </c>
      <c r="G3889" s="78">
        <f t="shared" ref="G3889:I3889" si="466">ROUND(G3865-G3878-G3887,2)</f>
        <v>0</v>
      </c>
      <c r="H3889" s="78">
        <f t="shared" si="466"/>
        <v>10000</v>
      </c>
      <c r="I3889" s="78">
        <f t="shared" si="466"/>
        <v>0</v>
      </c>
      <c r="J3889" s="78">
        <f t="shared" si="456"/>
        <v>10000</v>
      </c>
    </row>
    <row r="3890" outlineLevel="1" spans="1:10">
      <c r="A3890" s="1852" t="s">
        <v>5065</v>
      </c>
      <c r="B3890" s="685" t="s">
        <v>5066</v>
      </c>
      <c r="C3890" s="693" t="str">
        <f t="shared" si="461"/>
        <v>深圳新阳蓝光能源管理科技股份有限公司</v>
      </c>
      <c r="D3890" s="687" t="s">
        <v>2127</v>
      </c>
      <c r="E3890" s="75" t="s">
        <v>4820</v>
      </c>
      <c r="F3890" s="78">
        <f>ROUND(F3853-F3867-F3880,2)</f>
        <v>0</v>
      </c>
      <c r="G3890" s="78">
        <f t="shared" ref="G3890:I3890" si="467">ROUND(G3853-G3867-G3880,2)</f>
        <v>0</v>
      </c>
      <c r="H3890" s="78">
        <f t="shared" si="467"/>
        <v>16000</v>
      </c>
      <c r="I3890" s="78">
        <f t="shared" si="467"/>
        <v>0</v>
      </c>
      <c r="J3890" s="78">
        <f t="shared" si="456"/>
        <v>16000</v>
      </c>
    </row>
    <row r="3891" outlineLevel="1" spans="1:10">
      <c r="A3891" s="1852" t="s">
        <v>5067</v>
      </c>
      <c r="B3891" s="685" t="s">
        <v>5068</v>
      </c>
      <c r="C3891" s="693" t="str">
        <f t="shared" si="461"/>
        <v>深圳新阳蓝光能源管理科技股份有限公司</v>
      </c>
      <c r="D3891" s="687" t="s">
        <v>2127</v>
      </c>
      <c r="E3891" s="89" t="s">
        <v>4823</v>
      </c>
      <c r="J3891" s="91">
        <f>审定资负表!C33</f>
        <v>10000</v>
      </c>
    </row>
    <row r="3892" outlineLevel="1" spans="1:10">
      <c r="A3892" s="1852" t="s">
        <v>5069</v>
      </c>
      <c r="B3892" s="685" t="s">
        <v>5070</v>
      </c>
      <c r="C3892" s="693" t="str">
        <f t="shared" si="461"/>
        <v>深圳新阳蓝光能源管理科技股份有限公司</v>
      </c>
      <c r="D3892" s="687" t="s">
        <v>2127</v>
      </c>
      <c r="E3892" s="89" t="s">
        <v>1395</v>
      </c>
      <c r="J3892" s="92">
        <f>ROUND(J3889-J3891,2)</f>
        <v>0</v>
      </c>
    </row>
    <row r="3893" outlineLevel="1" spans="1:10">
      <c r="A3893" s="1852" t="s">
        <v>5071</v>
      </c>
      <c r="B3893" s="685" t="s">
        <v>5072</v>
      </c>
      <c r="C3893" s="693" t="str">
        <f t="shared" si="461"/>
        <v>深圳新阳蓝光能源管理科技股份有限公司</v>
      </c>
      <c r="D3893" s="687" t="s">
        <v>2127</v>
      </c>
      <c r="E3893" s="89" t="s">
        <v>4830</v>
      </c>
      <c r="J3893" s="93">
        <f>审定资负表!D33</f>
        <v>16000</v>
      </c>
    </row>
    <row r="3894" outlineLevel="1" spans="1:10">
      <c r="A3894" s="1852" t="s">
        <v>5073</v>
      </c>
      <c r="B3894" s="685" t="s">
        <v>5074</v>
      </c>
      <c r="C3894" s="693" t="str">
        <f t="shared" si="461"/>
        <v>深圳新阳蓝光能源管理科技股份有限公司</v>
      </c>
      <c r="D3894" s="687" t="s">
        <v>2127</v>
      </c>
      <c r="E3894" s="89" t="s">
        <v>1395</v>
      </c>
      <c r="J3894" s="92">
        <f>ROUND(J3893-J3890,2)</f>
        <v>0</v>
      </c>
    </row>
    <row r="3895" outlineLevel="1" spans="1:10">
      <c r="A3895" s="1852" t="s">
        <v>5075</v>
      </c>
      <c r="B3895" s="685" t="s">
        <v>5076</v>
      </c>
      <c r="C3895" s="693" t="str">
        <f t="shared" si="461"/>
        <v>深圳新阳蓝光能源管理科技股份有限公司</v>
      </c>
      <c r="D3895" s="687" t="s">
        <v>2127</v>
      </c>
      <c r="E3895" s="94" t="s">
        <v>5077</v>
      </c>
      <c r="J3895" s="95"/>
    </row>
    <row r="3896" outlineLevel="2" spans="1:10">
      <c r="A3896" s="1852" t="s">
        <v>5078</v>
      </c>
      <c r="B3896" s="685" t="s">
        <v>5079</v>
      </c>
      <c r="C3896" s="693" t="str">
        <f t="shared" si="461"/>
        <v>深圳新阳蓝光能源管理科技股份有限公司</v>
      </c>
      <c r="D3896" s="687" t="s">
        <v>2127</v>
      </c>
      <c r="E3896" s="96" t="s">
        <v>61</v>
      </c>
      <c r="F3896" s="97" t="s">
        <v>4726</v>
      </c>
      <c r="G3896" s="97" t="s">
        <v>4979</v>
      </c>
      <c r="H3896" s="97" t="s">
        <v>5080</v>
      </c>
      <c r="I3896" s="97" t="s">
        <v>280</v>
      </c>
      <c r="J3896" s="98" t="s">
        <v>2021</v>
      </c>
    </row>
    <row r="3897" outlineLevel="2" spans="1:10">
      <c r="A3897" s="1852" t="s">
        <v>5081</v>
      </c>
      <c r="B3897" s="685" t="s">
        <v>5082</v>
      </c>
      <c r="C3897" s="693" t="str">
        <f t="shared" si="461"/>
        <v>深圳新阳蓝光能源管理科技股份有限公司</v>
      </c>
      <c r="D3897" s="687" t="s">
        <v>2127</v>
      </c>
      <c r="E3897" s="99" t="s">
        <v>4963</v>
      </c>
      <c r="F3897" s="100">
        <f>F3861-F3874-F3885</f>
        <v>0</v>
      </c>
      <c r="G3897" s="100">
        <f t="shared" ref="G3897:J3897" si="468">G3861-G3874-G3885</f>
        <v>0</v>
      </c>
      <c r="H3897" s="100">
        <f t="shared" si="468"/>
        <v>0</v>
      </c>
      <c r="I3897" s="100">
        <f t="shared" si="468"/>
        <v>0</v>
      </c>
      <c r="J3897" s="100">
        <f t="shared" si="468"/>
        <v>0</v>
      </c>
    </row>
    <row r="3898" outlineLevel="2" spans="1:10">
      <c r="A3898" s="1852" t="s">
        <v>5083</v>
      </c>
      <c r="B3898" s="685" t="s">
        <v>5084</v>
      </c>
      <c r="C3898" s="693" t="str">
        <f t="shared" si="461"/>
        <v>深圳新阳蓝光能源管理科技股份有限公司</v>
      </c>
      <c r="D3898" s="687" t="s">
        <v>2127</v>
      </c>
      <c r="E3898" s="101" t="s">
        <v>4966</v>
      </c>
      <c r="F3898" s="102"/>
      <c r="G3898" s="103"/>
      <c r="H3898" s="103"/>
      <c r="I3898" s="103"/>
      <c r="J3898" s="103"/>
    </row>
    <row r="3899" outlineLevel="2" spans="1:10">
      <c r="A3899" s="1852" t="s">
        <v>5085</v>
      </c>
      <c r="B3899" s="685" t="s">
        <v>5086</v>
      </c>
      <c r="C3899" s="693" t="str">
        <f t="shared" si="461"/>
        <v>深圳新阳蓝光能源管理科技股份有限公司</v>
      </c>
      <c r="D3899" s="687" t="s">
        <v>2127</v>
      </c>
      <c r="E3899" s="104" t="s">
        <v>4969</v>
      </c>
      <c r="F3899" s="100">
        <f>F3897-F3898</f>
        <v>0</v>
      </c>
      <c r="G3899" s="100">
        <f t="shared" ref="G3899" si="469">G3897-G3898</f>
        <v>0</v>
      </c>
      <c r="H3899" s="100">
        <f t="shared" ref="H3899" si="470">H3897-H3898</f>
        <v>0</v>
      </c>
      <c r="I3899" s="100">
        <f t="shared" ref="I3899" si="471">I3897-I3898</f>
        <v>0</v>
      </c>
      <c r="J3899" s="100">
        <f t="shared" ref="J3899" si="472">J3897-J3898</f>
        <v>0</v>
      </c>
    </row>
    <row r="3900" outlineLevel="2" spans="1:10">
      <c r="A3900" s="1852" t="s">
        <v>5087</v>
      </c>
      <c r="B3900" s="685" t="s">
        <v>5088</v>
      </c>
      <c r="C3900" s="693" t="str">
        <f t="shared" si="461"/>
        <v>深圳新阳蓝光能源管理科技股份有限公司</v>
      </c>
      <c r="D3900" s="687" t="s">
        <v>2127</v>
      </c>
      <c r="E3900" s="95"/>
      <c r="F3900" s="105"/>
      <c r="G3900" s="105"/>
      <c r="H3900" s="105"/>
      <c r="I3900" s="105"/>
      <c r="J3900" s="105"/>
    </row>
    <row r="3901" outlineLevel="2" spans="1:10">
      <c r="A3901" s="1852" t="s">
        <v>5089</v>
      </c>
      <c r="B3901" s="685" t="s">
        <v>5090</v>
      </c>
      <c r="C3901" s="693" t="str">
        <f t="shared" si="461"/>
        <v>深圳新阳蓝光能源管理科技股份有限公司</v>
      </c>
      <c r="D3901" s="687" t="s">
        <v>2127</v>
      </c>
      <c r="E3901" s="106" t="s">
        <v>4835</v>
      </c>
      <c r="F3901" s="107"/>
      <c r="G3901" s="107"/>
      <c r="H3901" s="107"/>
      <c r="I3901" s="107"/>
      <c r="J3901" s="108"/>
    </row>
    <row r="3902" outlineLevel="1" spans="3:3">
      <c r="C3902" s="693" t="str">
        <f t="shared" si="461"/>
        <v>深圳新阳蓝光能源管理科技股份有限公司</v>
      </c>
    </row>
    <row r="3903" spans="3:5">
      <c r="C3903" s="693" t="str">
        <f t="shared" si="461"/>
        <v>深圳新阳蓝光能源管理科技股份有限公司</v>
      </c>
      <c r="D3903" s="687" t="s">
        <v>5091</v>
      </c>
      <c r="E3903" s="1869" t="s">
        <v>5092</v>
      </c>
    </row>
    <row r="3904" outlineLevel="1" spans="2:5">
      <c r="B3904" s="685" t="s">
        <v>2831</v>
      </c>
      <c r="C3904" s="693" t="str">
        <f t="shared" si="461"/>
        <v>深圳新阳蓝光能源管理科技股份有限公司</v>
      </c>
      <c r="D3904" s="687" t="s">
        <v>5091</v>
      </c>
      <c r="E3904" s="90" t="s">
        <v>2834</v>
      </c>
    </row>
    <row r="3905" outlineLevel="1" spans="2:13">
      <c r="B3905" s="685" t="s">
        <v>2831</v>
      </c>
      <c r="C3905" s="693" t="str">
        <f t="shared" si="461"/>
        <v>深圳新阳蓝光能源管理科技股份有限公司</v>
      </c>
      <c r="D3905" s="687" t="s">
        <v>5091</v>
      </c>
      <c r="E3905" s="98" t="s">
        <v>315</v>
      </c>
      <c r="F3905" s="98" t="s">
        <v>5093</v>
      </c>
      <c r="G3905" s="98" t="s">
        <v>5094</v>
      </c>
      <c r="H3905" s="98" t="s">
        <v>2020</v>
      </c>
      <c r="I3905" s="98" t="s">
        <v>672</v>
      </c>
      <c r="J3905" s="98" t="s">
        <v>5095</v>
      </c>
      <c r="K3905" s="98" t="s">
        <v>5096</v>
      </c>
      <c r="L3905" s="98" t="s">
        <v>316</v>
      </c>
      <c r="M3905" s="1888" t="s">
        <v>5097</v>
      </c>
    </row>
    <row r="3906" outlineLevel="1" spans="2:13">
      <c r="B3906" s="685" t="s">
        <v>2831</v>
      </c>
      <c r="C3906" s="693" t="str">
        <f t="shared" si="461"/>
        <v>深圳新阳蓝光能源管理科技股份有限公司</v>
      </c>
      <c r="D3906" s="687" t="s">
        <v>5091</v>
      </c>
      <c r="E3906" s="103" t="s">
        <v>4113</v>
      </c>
      <c r="F3906" s="815">
        <v>434360.08</v>
      </c>
      <c r="G3906" s="815"/>
      <c r="H3906" s="802">
        <f>ROUND(SUM(F3906-G3906),2)</f>
        <v>434360.08</v>
      </c>
      <c r="I3906" s="815">
        <v>0</v>
      </c>
      <c r="J3906" s="815">
        <v>56046.48</v>
      </c>
      <c r="K3906" s="815"/>
      <c r="L3906" s="802">
        <f>ROUND(H3906+I3906-J3906-K3906,2)</f>
        <v>378313.6</v>
      </c>
      <c r="M3906" s="103"/>
    </row>
    <row r="3907" outlineLevel="1" spans="2:13">
      <c r="B3907" s="685" t="s">
        <v>2831</v>
      </c>
      <c r="C3907" s="693" t="str">
        <f t="shared" si="461"/>
        <v>深圳新阳蓝光能源管理科技股份有限公司</v>
      </c>
      <c r="D3907" s="687" t="s">
        <v>5091</v>
      </c>
      <c r="E3907" s="103" t="s">
        <v>4114</v>
      </c>
      <c r="F3907" s="815">
        <v>391328.4</v>
      </c>
      <c r="G3907" s="815"/>
      <c r="H3907" s="802">
        <f t="shared" ref="H3907:H3915" si="473">ROUND(SUM(F3907-G3907),2)</f>
        <v>391328.4</v>
      </c>
      <c r="I3907" s="815">
        <v>99010.8</v>
      </c>
      <c r="J3907" s="815">
        <f>56577.6+4013.94</f>
        <v>60591.54</v>
      </c>
      <c r="K3907" s="815"/>
      <c r="L3907" s="802">
        <f t="shared" ref="L3907:L3915" si="474">ROUND(H3907+I3907-J3907-K3907,2)</f>
        <v>429747.66</v>
      </c>
      <c r="M3907" s="103"/>
    </row>
    <row r="3908" outlineLevel="1" spans="2:13">
      <c r="B3908" s="685" t="s">
        <v>2831</v>
      </c>
      <c r="C3908" s="693" t="str">
        <f t="shared" si="461"/>
        <v>深圳新阳蓝光能源管理科技股份有限公司</v>
      </c>
      <c r="D3908" s="687" t="s">
        <v>5091</v>
      </c>
      <c r="E3908" s="103" t="s">
        <v>4112</v>
      </c>
      <c r="F3908" s="815">
        <v>1256835.52</v>
      </c>
      <c r="G3908" s="815"/>
      <c r="H3908" s="802">
        <f t="shared" si="473"/>
        <v>1256835.52</v>
      </c>
      <c r="I3908" s="815">
        <v>0</v>
      </c>
      <c r="J3908" s="815">
        <v>290039.04</v>
      </c>
      <c r="K3908" s="815"/>
      <c r="L3908" s="802">
        <f t="shared" si="474"/>
        <v>966796.48</v>
      </c>
      <c r="M3908" s="103"/>
    </row>
    <row r="3909" outlineLevel="1" spans="2:13">
      <c r="B3909" s="685" t="s">
        <v>2831</v>
      </c>
      <c r="C3909" s="693" t="str">
        <f t="shared" si="461"/>
        <v>深圳新阳蓝光能源管理科技股份有限公司</v>
      </c>
      <c r="D3909" s="687" t="s">
        <v>5091</v>
      </c>
      <c r="E3909" s="103" t="s">
        <v>4115</v>
      </c>
      <c r="F3909" s="815"/>
      <c r="G3909" s="815"/>
      <c r="H3909" s="802">
        <f t="shared" ref="H3909:H3910" si="475">ROUND(SUM(F3909-G3909),2)</f>
        <v>0</v>
      </c>
      <c r="I3909" s="815">
        <v>1895200</v>
      </c>
      <c r="J3909" s="815">
        <v>189520.02</v>
      </c>
      <c r="K3909" s="815"/>
      <c r="L3909" s="802">
        <f t="shared" ref="L3909:L3910" si="476">ROUND(H3909+I3909-J3909-K3909,2)</f>
        <v>1705679.98</v>
      </c>
      <c r="M3909" s="103"/>
    </row>
    <row r="3910" outlineLevel="1" spans="2:13">
      <c r="B3910" s="685" t="s">
        <v>2831</v>
      </c>
      <c r="C3910" s="693" t="str">
        <f t="shared" si="461"/>
        <v>深圳新阳蓝光能源管理科技股份有限公司</v>
      </c>
      <c r="D3910" s="687" t="s">
        <v>5091</v>
      </c>
      <c r="E3910" s="103" t="s">
        <v>4116</v>
      </c>
      <c r="F3910" s="815"/>
      <c r="G3910" s="815"/>
      <c r="H3910" s="802">
        <f t="shared" si="475"/>
        <v>0</v>
      </c>
      <c r="I3910" s="815">
        <v>554600</v>
      </c>
      <c r="J3910" s="815">
        <v>61622.19</v>
      </c>
      <c r="K3910" s="815"/>
      <c r="L3910" s="802">
        <f t="shared" si="476"/>
        <v>492977.81</v>
      </c>
      <c r="M3910" s="103"/>
    </row>
    <row r="3911" outlineLevel="1" spans="2:13">
      <c r="B3911" s="685" t="s">
        <v>2831</v>
      </c>
      <c r="C3911" s="693" t="str">
        <f t="shared" si="461"/>
        <v>深圳新阳蓝光能源管理科技股份有限公司</v>
      </c>
      <c r="D3911" s="687" t="s">
        <v>5091</v>
      </c>
      <c r="E3911" s="103"/>
      <c r="F3911" s="815"/>
      <c r="G3911" s="815"/>
      <c r="H3911" s="802">
        <f t="shared" si="473"/>
        <v>0</v>
      </c>
      <c r="I3911" s="815"/>
      <c r="J3911" s="815"/>
      <c r="K3911" s="815"/>
      <c r="L3911" s="802">
        <f t="shared" si="474"/>
        <v>0</v>
      </c>
      <c r="M3911" s="103"/>
    </row>
    <row r="3912" outlineLevel="1" spans="2:13">
      <c r="B3912" s="685" t="s">
        <v>2831</v>
      </c>
      <c r="C3912" s="693" t="str">
        <f t="shared" si="461"/>
        <v>深圳新阳蓝光能源管理科技股份有限公司</v>
      </c>
      <c r="D3912" s="687" t="s">
        <v>5091</v>
      </c>
      <c r="E3912" s="103"/>
      <c r="F3912" s="815"/>
      <c r="G3912" s="815"/>
      <c r="H3912" s="802">
        <f t="shared" si="473"/>
        <v>0</v>
      </c>
      <c r="I3912" s="815"/>
      <c r="J3912" s="815"/>
      <c r="K3912" s="815"/>
      <c r="L3912" s="802">
        <f t="shared" si="474"/>
        <v>0</v>
      </c>
      <c r="M3912" s="103"/>
    </row>
    <row r="3913" outlineLevel="1" spans="2:13">
      <c r="B3913" s="685" t="s">
        <v>2831</v>
      </c>
      <c r="C3913" s="693" t="str">
        <f t="shared" si="461"/>
        <v>深圳新阳蓝光能源管理科技股份有限公司</v>
      </c>
      <c r="D3913" s="687" t="s">
        <v>5091</v>
      </c>
      <c r="E3913" s="103"/>
      <c r="F3913" s="815"/>
      <c r="G3913" s="815"/>
      <c r="H3913" s="802">
        <f t="shared" si="473"/>
        <v>0</v>
      </c>
      <c r="I3913" s="815"/>
      <c r="J3913" s="815"/>
      <c r="K3913" s="815"/>
      <c r="L3913" s="802">
        <f t="shared" si="474"/>
        <v>0</v>
      </c>
      <c r="M3913" s="103"/>
    </row>
    <row r="3914" outlineLevel="1" spans="2:13">
      <c r="B3914" s="685" t="s">
        <v>2831</v>
      </c>
      <c r="C3914" s="693" t="str">
        <f t="shared" si="461"/>
        <v>深圳新阳蓝光能源管理科技股份有限公司</v>
      </c>
      <c r="D3914" s="687" t="s">
        <v>5091</v>
      </c>
      <c r="E3914" s="103"/>
      <c r="F3914" s="815"/>
      <c r="G3914" s="815"/>
      <c r="H3914" s="802">
        <f t="shared" si="473"/>
        <v>0</v>
      </c>
      <c r="I3914" s="815"/>
      <c r="J3914" s="815"/>
      <c r="K3914" s="815"/>
      <c r="L3914" s="802">
        <f t="shared" si="474"/>
        <v>0</v>
      </c>
      <c r="M3914" s="103"/>
    </row>
    <row r="3915" outlineLevel="1" spans="2:13">
      <c r="B3915" s="685" t="s">
        <v>2831</v>
      </c>
      <c r="C3915" s="693" t="str">
        <f t="shared" si="461"/>
        <v>深圳新阳蓝光能源管理科技股份有限公司</v>
      </c>
      <c r="D3915" s="687" t="s">
        <v>5091</v>
      </c>
      <c r="E3915" s="103"/>
      <c r="F3915" s="815"/>
      <c r="G3915" s="815"/>
      <c r="H3915" s="802">
        <f t="shared" si="473"/>
        <v>0</v>
      </c>
      <c r="I3915" s="815"/>
      <c r="J3915" s="815"/>
      <c r="K3915" s="815"/>
      <c r="L3915" s="802">
        <f t="shared" si="474"/>
        <v>0</v>
      </c>
      <c r="M3915" s="103"/>
    </row>
    <row r="3916" outlineLevel="1" spans="2:13">
      <c r="B3916" s="685" t="s">
        <v>2831</v>
      </c>
      <c r="C3916" s="693" t="str">
        <f t="shared" si="461"/>
        <v>深圳新阳蓝光能源管理科技股份有限公司</v>
      </c>
      <c r="D3916" s="687" t="s">
        <v>5091</v>
      </c>
      <c r="E3916" s="98" t="s">
        <v>2021</v>
      </c>
      <c r="F3916" s="802">
        <f>ROUND(SUM(F3906:F3915),2)</f>
        <v>2082524</v>
      </c>
      <c r="G3916" s="802">
        <f t="shared" ref="G3916:H3916" si="477">ROUND(SUM(G3906:G3915),2)</f>
        <v>0</v>
      </c>
      <c r="H3916" s="802">
        <f t="shared" si="477"/>
        <v>2082524</v>
      </c>
      <c r="I3916" s="802">
        <f t="shared" ref="I3916" si="478">ROUND(SUM(I3906:I3915),2)</f>
        <v>2548810.8</v>
      </c>
      <c r="J3916" s="802">
        <f t="shared" ref="J3916:K3916" si="479">ROUND(SUM(J3906:J3915),2)</f>
        <v>657819.27</v>
      </c>
      <c r="K3916" s="802">
        <f t="shared" si="479"/>
        <v>0</v>
      </c>
      <c r="L3916" s="802">
        <f t="shared" ref="L3916" si="480">ROUND(SUM(L3906:L3915),2)</f>
        <v>3973515.53</v>
      </c>
      <c r="M3916" s="104"/>
    </row>
    <row r="3917" outlineLevel="1" spans="2:12">
      <c r="B3917" s="685" t="s">
        <v>2831</v>
      </c>
      <c r="C3917" s="693" t="str">
        <f t="shared" si="461"/>
        <v>深圳新阳蓝光能源管理科技股份有限公司</v>
      </c>
      <c r="D3917" s="687" t="s">
        <v>5091</v>
      </c>
      <c r="E3917" s="1633" t="s">
        <v>1723</v>
      </c>
      <c r="H3917" s="1712">
        <f>审定资负表!H30</f>
        <v>2082524</v>
      </c>
      <c r="J3917" s="1892">
        <f>F2920</f>
        <v>853546.58</v>
      </c>
      <c r="L3917" s="1712">
        <f>审定资负表!G30</f>
        <v>3973515.53</v>
      </c>
    </row>
    <row r="3918" outlineLevel="1" spans="2:12">
      <c r="B3918" s="685" t="s">
        <v>2831</v>
      </c>
      <c r="C3918" s="693" t="str">
        <f t="shared" si="461"/>
        <v>深圳新阳蓝光能源管理科技股份有限公司</v>
      </c>
      <c r="D3918" s="687" t="s">
        <v>5091</v>
      </c>
      <c r="E3918" s="1633" t="s">
        <v>1395</v>
      </c>
      <c r="H3918" s="1007">
        <f>ROUND(H3916-H3917,2)</f>
        <v>0</v>
      </c>
      <c r="J3918" s="1007">
        <f>IF(ROUND(J3916-J3917,2)&gt;0,J3916-J3917,0)</f>
        <v>0</v>
      </c>
      <c r="L3918" s="1007">
        <f>ROUND(L3916-L3917,2)</f>
        <v>0</v>
      </c>
    </row>
    <row r="3919" outlineLevel="1" spans="2:5">
      <c r="B3919" s="685" t="s">
        <v>5098</v>
      </c>
      <c r="C3919" s="693" t="str">
        <f t="shared" si="461"/>
        <v>深圳新阳蓝光能源管理科技股份有限公司</v>
      </c>
      <c r="D3919" s="687" t="s">
        <v>5091</v>
      </c>
      <c r="E3919" s="90" t="s">
        <v>5099</v>
      </c>
    </row>
    <row r="3920" outlineLevel="1" spans="2:13">
      <c r="B3920" s="685" t="s">
        <v>5098</v>
      </c>
      <c r="C3920" s="693" t="str">
        <f t="shared" si="461"/>
        <v>深圳新阳蓝光能源管理科技股份有限公司</v>
      </c>
      <c r="D3920" s="687" t="s">
        <v>5091</v>
      </c>
      <c r="E3920" s="2953" t="s">
        <v>5100</v>
      </c>
      <c r="F3920" s="1870"/>
      <c r="G3920" s="1871"/>
      <c r="H3920" s="1871"/>
      <c r="I3920" s="1871"/>
      <c r="J3920" s="1871"/>
      <c r="K3920" s="1871"/>
      <c r="L3920" s="1871"/>
      <c r="M3920" s="1871"/>
    </row>
    <row r="3921" outlineLevel="1" spans="2:13">
      <c r="B3921" s="685" t="s">
        <v>5098</v>
      </c>
      <c r="C3921" s="693" t="str">
        <f t="shared" si="461"/>
        <v>深圳新阳蓝光能源管理科技股份有限公司</v>
      </c>
      <c r="D3921" s="687" t="s">
        <v>5091</v>
      </c>
      <c r="E3921" s="2953" t="s">
        <v>5101</v>
      </c>
      <c r="F3921" s="1870"/>
      <c r="G3921" s="1871"/>
      <c r="H3921" s="1871"/>
      <c r="I3921" s="1871"/>
      <c r="J3921" s="1871"/>
      <c r="K3921" s="1871"/>
      <c r="L3921" s="1871"/>
      <c r="M3921" s="1871"/>
    </row>
    <row r="3922" outlineLevel="1" spans="2:13">
      <c r="B3922" s="685" t="s">
        <v>5098</v>
      </c>
      <c r="C3922" s="693" t="str">
        <f t="shared" si="461"/>
        <v>深圳新阳蓝光能源管理科技股份有限公司</v>
      </c>
      <c r="D3922" s="687" t="s">
        <v>5091</v>
      </c>
      <c r="E3922" s="2953" t="s">
        <v>5102</v>
      </c>
      <c r="F3922" s="1870"/>
      <c r="G3922" s="1871"/>
      <c r="H3922" s="1871"/>
      <c r="I3922" s="1871"/>
      <c r="J3922" s="1871"/>
      <c r="K3922" s="1871"/>
      <c r="L3922" s="1871"/>
      <c r="M3922" s="1871"/>
    </row>
    <row r="3923" outlineLevel="1" spans="2:13">
      <c r="B3923" s="685" t="s">
        <v>5098</v>
      </c>
      <c r="C3923" s="693" t="str">
        <f t="shared" si="461"/>
        <v>深圳新阳蓝光能源管理科技股份有限公司</v>
      </c>
      <c r="D3923" s="687" t="s">
        <v>5091</v>
      </c>
      <c r="E3923" s="2953" t="s">
        <v>5103</v>
      </c>
      <c r="F3923" s="1870"/>
      <c r="G3923" s="1871"/>
      <c r="H3923" s="1871"/>
      <c r="I3923" s="1871"/>
      <c r="J3923" s="1871"/>
      <c r="K3923" s="1871"/>
      <c r="L3923" s="1871"/>
      <c r="M3923" s="1871"/>
    </row>
    <row r="3924" outlineLevel="1" spans="2:13">
      <c r="B3924" s="685" t="s">
        <v>5098</v>
      </c>
      <c r="C3924" s="693" t="str">
        <f t="shared" si="461"/>
        <v>深圳新阳蓝光能源管理科技股份有限公司</v>
      </c>
      <c r="D3924" s="687" t="s">
        <v>5091</v>
      </c>
      <c r="E3924" s="2953" t="s">
        <v>5104</v>
      </c>
      <c r="F3924" s="1870"/>
      <c r="G3924" s="1871"/>
      <c r="H3924" s="1871"/>
      <c r="I3924" s="1871"/>
      <c r="J3924" s="1871"/>
      <c r="K3924" s="1871"/>
      <c r="L3924" s="1871"/>
      <c r="M3924" s="1871"/>
    </row>
    <row r="3925" outlineLevel="1" spans="2:13">
      <c r="B3925" s="685" t="s">
        <v>5098</v>
      </c>
      <c r="C3925" s="693" t="str">
        <f t="shared" si="461"/>
        <v>深圳新阳蓝光能源管理科技股份有限公司</v>
      </c>
      <c r="D3925" s="687" t="s">
        <v>5091</v>
      </c>
      <c r="E3925" s="2953" t="s">
        <v>5105</v>
      </c>
      <c r="F3925" s="1870"/>
      <c r="G3925" s="1871"/>
      <c r="H3925" s="1871"/>
      <c r="I3925" s="1871"/>
      <c r="J3925" s="1871"/>
      <c r="K3925" s="1871"/>
      <c r="L3925" s="1871"/>
      <c r="M3925" s="1871"/>
    </row>
    <row r="3926" outlineLevel="1" spans="2:13">
      <c r="B3926" s="685" t="s">
        <v>5098</v>
      </c>
      <c r="C3926" s="693" t="str">
        <f t="shared" si="461"/>
        <v>深圳新阳蓝光能源管理科技股份有限公司</v>
      </c>
      <c r="D3926" s="687" t="s">
        <v>5091</v>
      </c>
      <c r="E3926" s="2953" t="s">
        <v>5106</v>
      </c>
      <c r="F3926" s="1870"/>
      <c r="G3926" s="1871"/>
      <c r="H3926" s="1871"/>
      <c r="I3926" s="1871"/>
      <c r="J3926" s="1871"/>
      <c r="K3926" s="1871"/>
      <c r="L3926" s="1871"/>
      <c r="M3926" s="1871"/>
    </row>
    <row r="3927" outlineLevel="1" spans="2:13">
      <c r="B3927" s="685" t="s">
        <v>5098</v>
      </c>
      <c r="C3927" s="693" t="str">
        <f t="shared" si="461"/>
        <v>深圳新阳蓝光能源管理科技股份有限公司</v>
      </c>
      <c r="D3927" s="687" t="s">
        <v>5091</v>
      </c>
      <c r="E3927" s="2953" t="s">
        <v>5107</v>
      </c>
      <c r="F3927" s="1870"/>
      <c r="G3927" s="1871"/>
      <c r="H3927" s="1871"/>
      <c r="I3927" s="1871"/>
      <c r="J3927" s="1871"/>
      <c r="K3927" s="1871"/>
      <c r="L3927" s="1871"/>
      <c r="M3927" s="1871"/>
    </row>
    <row r="3928" outlineLevel="1" spans="2:13">
      <c r="B3928" s="685" t="s">
        <v>5098</v>
      </c>
      <c r="C3928" s="693" t="str">
        <f t="shared" si="461"/>
        <v>深圳新阳蓝光能源管理科技股份有限公司</v>
      </c>
      <c r="D3928" s="687" t="s">
        <v>5091</v>
      </c>
      <c r="E3928" s="2953" t="s">
        <v>5108</v>
      </c>
      <c r="F3928" s="1870"/>
      <c r="G3928" s="1871"/>
      <c r="H3928" s="1871"/>
      <c r="I3928" s="1871"/>
      <c r="J3928" s="1871"/>
      <c r="K3928" s="1871"/>
      <c r="L3928" s="1871"/>
      <c r="M3928" s="1871"/>
    </row>
    <row r="3929" outlineLevel="1" spans="2:13">
      <c r="B3929" s="685" t="s">
        <v>5098</v>
      </c>
      <c r="C3929" s="693" t="str">
        <f t="shared" si="461"/>
        <v>深圳新阳蓝光能源管理科技股份有限公司</v>
      </c>
      <c r="D3929" s="687" t="s">
        <v>5091</v>
      </c>
      <c r="E3929" s="2953" t="s">
        <v>5109</v>
      </c>
      <c r="F3929" s="1870"/>
      <c r="G3929" s="1871"/>
      <c r="H3929" s="1871"/>
      <c r="I3929" s="1871"/>
      <c r="J3929" s="1871"/>
      <c r="K3929" s="1871"/>
      <c r="L3929" s="1871"/>
      <c r="M3929" s="1871"/>
    </row>
    <row r="3930" outlineLevel="1" spans="3:3">
      <c r="C3930" s="1872"/>
    </row>
    <row r="3932" spans="5:5">
      <c r="E3932" s="70" t="s">
        <v>3208</v>
      </c>
    </row>
    <row r="3933" spans="5:5">
      <c r="E3933" s="70" t="s">
        <v>5110</v>
      </c>
    </row>
    <row r="3934" ht="13.5" customHeight="1" spans="5:12">
      <c r="E3934" s="1873" t="s">
        <v>669</v>
      </c>
      <c r="F3934" s="1873" t="s">
        <v>5111</v>
      </c>
      <c r="G3934" s="1873" t="s">
        <v>699</v>
      </c>
      <c r="H3934" s="1873" t="s">
        <v>700</v>
      </c>
      <c r="I3934" s="1893" t="s">
        <v>5112</v>
      </c>
      <c r="J3934" s="1894"/>
      <c r="K3934" s="1895" t="s">
        <v>5113</v>
      </c>
      <c r="L3934" s="1895" t="s">
        <v>5114</v>
      </c>
    </row>
    <row r="3935" spans="5:12">
      <c r="E3935" s="1874"/>
      <c r="F3935" s="1874"/>
      <c r="G3935" s="1874"/>
      <c r="H3935" s="1874"/>
      <c r="I3935" s="1030" t="s">
        <v>5115</v>
      </c>
      <c r="J3935" s="1030" t="s">
        <v>5116</v>
      </c>
      <c r="K3935" s="1896"/>
      <c r="L3935" s="1896"/>
    </row>
    <row r="3936" spans="5:12">
      <c r="E3936" s="1875" t="s">
        <v>4423</v>
      </c>
      <c r="F3936" s="935"/>
      <c r="G3936" s="935"/>
      <c r="H3936" s="935"/>
      <c r="I3936" s="935"/>
      <c r="J3936" s="935"/>
      <c r="K3936" s="935"/>
      <c r="L3936" s="935"/>
    </row>
    <row r="3937" hidden="1" spans="5:12">
      <c r="E3937" s="1876"/>
      <c r="F3937" s="1877"/>
      <c r="G3937" s="1878"/>
      <c r="H3937" s="1879"/>
      <c r="I3937" s="1878"/>
      <c r="J3937" s="1878"/>
      <c r="K3937" s="1878"/>
      <c r="L3937" s="1878"/>
    </row>
    <row r="3938" hidden="1" spans="5:12">
      <c r="E3938" s="1880"/>
      <c r="F3938" s="1877"/>
      <c r="G3938" s="1878"/>
      <c r="H3938" s="1879"/>
      <c r="I3938" s="1878"/>
      <c r="J3938" s="1878"/>
      <c r="K3938" s="1878"/>
      <c r="L3938" s="1878"/>
    </row>
    <row r="3939" hidden="1" spans="5:12">
      <c r="E3939" s="1880"/>
      <c r="F3939" s="1877"/>
      <c r="G3939" s="1878"/>
      <c r="H3939" s="1879"/>
      <c r="I3939" s="1878"/>
      <c r="J3939" s="1878"/>
      <c r="K3939" s="1878"/>
      <c r="L3939" s="1878"/>
    </row>
    <row r="3940" hidden="1" spans="5:12">
      <c r="E3940" s="1876"/>
      <c r="F3940" s="1877"/>
      <c r="G3940" s="1878"/>
      <c r="H3940" s="1879"/>
      <c r="I3940" s="1878"/>
      <c r="J3940" s="1878"/>
      <c r="K3940" s="1878"/>
      <c r="L3940" s="1878"/>
    </row>
    <row r="3941" hidden="1" spans="5:12">
      <c r="E3941" s="1876"/>
      <c r="F3941" s="1877"/>
      <c r="G3941" s="1878"/>
      <c r="H3941" s="1879"/>
      <c r="I3941" s="1878"/>
      <c r="J3941" s="1878"/>
      <c r="K3941" s="1878"/>
      <c r="L3941" s="1878"/>
    </row>
    <row r="3942" hidden="1" spans="5:12">
      <c r="E3942" s="1876"/>
      <c r="F3942" s="1877"/>
      <c r="G3942" s="1878"/>
      <c r="H3942" s="1879"/>
      <c r="I3942" s="1878"/>
      <c r="J3942" s="1878"/>
      <c r="K3942" s="1878"/>
      <c r="L3942" s="1878"/>
    </row>
    <row r="3943" hidden="1" spans="5:12">
      <c r="E3943" s="1880"/>
      <c r="F3943" s="1877"/>
      <c r="G3943" s="1877"/>
      <c r="H3943" s="1879"/>
      <c r="I3943" s="1878"/>
      <c r="J3943" s="1878"/>
      <c r="K3943" s="1878"/>
      <c r="L3943" s="1878"/>
    </row>
    <row r="3944" spans="5:12">
      <c r="E3944" s="935" t="s">
        <v>4428</v>
      </c>
      <c r="F3944" s="935"/>
      <c r="G3944" s="935"/>
      <c r="H3944" s="935"/>
      <c r="I3944" s="935"/>
      <c r="J3944" s="935"/>
      <c r="K3944" s="935"/>
      <c r="L3944" s="935"/>
    </row>
    <row r="3945" spans="5:12">
      <c r="E3945" s="1876"/>
      <c r="F3945" s="1877"/>
      <c r="G3945" s="1878"/>
      <c r="H3945" s="1879"/>
      <c r="I3945" s="1878"/>
      <c r="J3945" s="1878"/>
      <c r="K3945" s="1878"/>
      <c r="L3945" s="1878"/>
    </row>
    <row r="3946" spans="5:12">
      <c r="E3946" s="1880"/>
      <c r="F3946" s="1877"/>
      <c r="G3946" s="1878"/>
      <c r="H3946" s="1879"/>
      <c r="I3946" s="1878"/>
      <c r="J3946" s="1878"/>
      <c r="K3946" s="1878"/>
      <c r="L3946" s="1878"/>
    </row>
    <row r="3947" spans="5:12">
      <c r="E3947" s="1880"/>
      <c r="F3947" s="1881"/>
      <c r="G3947" s="1881"/>
      <c r="H3947" s="1882"/>
      <c r="I3947" s="1897"/>
      <c r="J3947" s="1897"/>
      <c r="K3947" s="1897"/>
      <c r="L3947" s="1897"/>
    </row>
    <row r="3948" spans="5:12">
      <c r="E3948" s="1876"/>
      <c r="F3948" s="1881"/>
      <c r="G3948" s="1881"/>
      <c r="H3948" s="1882"/>
      <c r="I3948" s="1897"/>
      <c r="J3948" s="1897"/>
      <c r="K3948" s="1897"/>
      <c r="L3948" s="1897"/>
    </row>
    <row r="3949" spans="5:12">
      <c r="E3949" s="1876"/>
      <c r="F3949" s="1881"/>
      <c r="G3949" s="1881"/>
      <c r="H3949" s="1882"/>
      <c r="I3949" s="1897"/>
      <c r="J3949" s="1897"/>
      <c r="K3949" s="1897"/>
      <c r="L3949" s="1897"/>
    </row>
    <row r="3950" spans="5:12">
      <c r="E3950" s="1876"/>
      <c r="F3950" s="1881"/>
      <c r="G3950" s="1881"/>
      <c r="H3950" s="1882"/>
      <c r="I3950" s="1897"/>
      <c r="J3950" s="1897"/>
      <c r="K3950" s="1897"/>
      <c r="L3950" s="1897"/>
    </row>
    <row r="3951" spans="5:12">
      <c r="E3951" s="1880"/>
      <c r="F3951" s="1881"/>
      <c r="G3951" s="1881"/>
      <c r="H3951" s="1882"/>
      <c r="I3951" s="1897"/>
      <c r="J3951" s="1897"/>
      <c r="K3951" s="1897"/>
      <c r="L3951" s="1897"/>
    </row>
    <row r="3952" spans="5:13">
      <c r="E3952" s="1869" t="s">
        <v>5117</v>
      </c>
      <c r="F3952" s="1869"/>
      <c r="G3952" s="1869"/>
      <c r="H3952" s="1869"/>
      <c r="I3952" s="1869"/>
      <c r="J3952" s="1869"/>
      <c r="K3952" s="1869"/>
      <c r="M3952" s="1869"/>
    </row>
    <row r="3953" spans="5:12">
      <c r="E3953" s="98" t="s">
        <v>61</v>
      </c>
      <c r="F3953" s="1883" t="s">
        <v>5118</v>
      </c>
      <c r="G3953" s="1884"/>
      <c r="H3953" s="1884"/>
      <c r="I3953" s="1884"/>
      <c r="J3953" s="1884"/>
      <c r="K3953" s="1884"/>
      <c r="L3953" s="1884"/>
    </row>
    <row r="3954" spans="5:12">
      <c r="E3954" s="1885" t="s">
        <v>706</v>
      </c>
      <c r="F3954" s="1886">
        <f>E3937</f>
        <v>0</v>
      </c>
      <c r="G3954" s="1887">
        <f>E3938</f>
        <v>0</v>
      </c>
      <c r="H3954" s="1887">
        <f>E3939</f>
        <v>0</v>
      </c>
      <c r="I3954" s="1887">
        <f>E3940</f>
        <v>0</v>
      </c>
      <c r="J3954" s="1887">
        <f>E3941</f>
        <v>0</v>
      </c>
      <c r="K3954" s="1887">
        <f>E3942</f>
        <v>0</v>
      </c>
      <c r="L3954" s="1887">
        <f>E3943</f>
        <v>0</v>
      </c>
    </row>
    <row r="3955" hidden="1" spans="5:12">
      <c r="E3955" s="1888" t="s">
        <v>5119</v>
      </c>
      <c r="F3955" s="762"/>
      <c r="G3955" s="762"/>
      <c r="H3955" s="762"/>
      <c r="I3955" s="762"/>
      <c r="J3955" s="762"/>
      <c r="K3955" s="762"/>
      <c r="L3955" s="762"/>
    </row>
    <row r="3956" hidden="1" spans="5:12">
      <c r="E3956" s="1888" t="s">
        <v>5120</v>
      </c>
      <c r="F3956" s="762"/>
      <c r="G3956" s="762"/>
      <c r="H3956" s="762"/>
      <c r="I3956" s="762"/>
      <c r="J3956" s="762"/>
      <c r="K3956" s="762"/>
      <c r="L3956" s="762"/>
    </row>
    <row r="3957" hidden="1" spans="5:12">
      <c r="E3957" s="1888" t="s">
        <v>5121</v>
      </c>
      <c r="F3957" s="935">
        <f t="shared" ref="F3957:L3957" si="481">ROUND(SUM(F3955:F3956),2)</f>
        <v>0</v>
      </c>
      <c r="G3957" s="935">
        <f t="shared" si="481"/>
        <v>0</v>
      </c>
      <c r="H3957" s="935">
        <f t="shared" si="481"/>
        <v>0</v>
      </c>
      <c r="I3957" s="935">
        <f t="shared" si="481"/>
        <v>0</v>
      </c>
      <c r="J3957" s="935">
        <f t="shared" si="481"/>
        <v>0</v>
      </c>
      <c r="K3957" s="935">
        <f t="shared" si="481"/>
        <v>0</v>
      </c>
      <c r="L3957" s="935">
        <f t="shared" si="481"/>
        <v>0</v>
      </c>
    </row>
    <row r="3958" hidden="1" spans="5:12">
      <c r="E3958" s="1888" t="s">
        <v>5122</v>
      </c>
      <c r="F3958" s="762"/>
      <c r="G3958" s="762"/>
      <c r="H3958" s="762"/>
      <c r="I3958" s="762"/>
      <c r="J3958" s="762"/>
      <c r="K3958" s="762"/>
      <c r="L3958" s="762"/>
    </row>
    <row r="3959" hidden="1" spans="5:12">
      <c r="E3959" s="1888" t="s">
        <v>5123</v>
      </c>
      <c r="F3959" s="762"/>
      <c r="G3959" s="762"/>
      <c r="H3959" s="762"/>
      <c r="I3959" s="762"/>
      <c r="J3959" s="762"/>
      <c r="K3959" s="762"/>
      <c r="L3959" s="762"/>
    </row>
    <row r="3960" hidden="1" spans="5:12">
      <c r="E3960" s="1888" t="s">
        <v>246</v>
      </c>
      <c r="F3960" s="935">
        <f t="shared" ref="F3960:G3960" si="482">ROUND(SUM(F3958:F3959),2)</f>
        <v>0</v>
      </c>
      <c r="G3960" s="935">
        <f t="shared" si="482"/>
        <v>0</v>
      </c>
      <c r="H3960" s="935">
        <f t="shared" ref="H3960" si="483">ROUND(SUM(H3958:H3959),2)</f>
        <v>0</v>
      </c>
      <c r="I3960" s="935">
        <f t="shared" ref="I3960" si="484">ROUND(SUM(I3958:I3959),2)</f>
        <v>0</v>
      </c>
      <c r="J3960" s="935">
        <f t="shared" ref="J3960:L3960" si="485">ROUND(SUM(J3958:J3959),2)</f>
        <v>0</v>
      </c>
      <c r="K3960" s="935">
        <f t="shared" si="485"/>
        <v>0</v>
      </c>
      <c r="L3960" s="935">
        <f t="shared" si="485"/>
        <v>0</v>
      </c>
    </row>
    <row r="3961" hidden="1" spans="5:12">
      <c r="E3961" s="1888" t="s">
        <v>5124</v>
      </c>
      <c r="F3961" s="935">
        <f t="shared" ref="F3961:L3961" si="486">ROUND(F3957-F3960,2)</f>
        <v>0</v>
      </c>
      <c r="G3961" s="935">
        <f t="shared" si="486"/>
        <v>0</v>
      </c>
      <c r="H3961" s="935">
        <f t="shared" si="486"/>
        <v>0</v>
      </c>
      <c r="I3961" s="935">
        <f t="shared" si="486"/>
        <v>0</v>
      </c>
      <c r="J3961" s="935">
        <f t="shared" si="486"/>
        <v>0</v>
      </c>
      <c r="K3961" s="935">
        <f t="shared" si="486"/>
        <v>0</v>
      </c>
      <c r="L3961" s="935">
        <f t="shared" si="486"/>
        <v>0</v>
      </c>
    </row>
    <row r="3962" hidden="1" spans="5:12">
      <c r="E3962" s="1888" t="s">
        <v>5125</v>
      </c>
      <c r="F3962" s="1889"/>
      <c r="G3962" s="1889"/>
      <c r="H3962" s="1889"/>
      <c r="I3962" s="1889"/>
      <c r="J3962" s="1889"/>
      <c r="K3962" s="1889"/>
      <c r="L3962" s="1889"/>
    </row>
    <row r="3963" hidden="1" spans="5:12">
      <c r="E3963" s="1890" t="s">
        <v>5126</v>
      </c>
      <c r="F3963" s="1891">
        <f>F3964-F3962</f>
        <v>0</v>
      </c>
      <c r="G3963" s="1891">
        <f>G3964-G3962</f>
        <v>0</v>
      </c>
      <c r="H3963" s="1891">
        <f t="shared" ref="H3963:K3963" si="487">H3964-H3962</f>
        <v>0</v>
      </c>
      <c r="I3963" s="1891">
        <f t="shared" si="487"/>
        <v>0</v>
      </c>
      <c r="J3963" s="1891">
        <f t="shared" si="487"/>
        <v>0</v>
      </c>
      <c r="K3963" s="1891">
        <f t="shared" si="487"/>
        <v>0</v>
      </c>
      <c r="L3963" s="1891">
        <f t="shared" ref="L3963" si="488">L3964-L3962</f>
        <v>0</v>
      </c>
    </row>
    <row r="3964" hidden="1" spans="5:12">
      <c r="E3964" s="1888" t="s">
        <v>5127</v>
      </c>
      <c r="F3964" s="762"/>
      <c r="G3964" s="762"/>
      <c r="H3964" s="762"/>
      <c r="I3964" s="762"/>
      <c r="J3964" s="762"/>
      <c r="K3964" s="762"/>
      <c r="L3964" s="762"/>
    </row>
    <row r="3965" hidden="1" spans="5:12">
      <c r="E3965" s="1888" t="s">
        <v>5128</v>
      </c>
      <c r="F3965" s="762"/>
      <c r="G3965" s="762"/>
      <c r="H3965" s="762"/>
      <c r="I3965" s="762"/>
      <c r="J3965" s="762"/>
      <c r="K3965" s="762"/>
      <c r="L3965" s="762"/>
    </row>
    <row r="3966" hidden="1" spans="5:12">
      <c r="E3966" s="1888" t="s">
        <v>1559</v>
      </c>
      <c r="F3966" s="762"/>
      <c r="G3966" s="762"/>
      <c r="H3966" s="762"/>
      <c r="I3966" s="762"/>
      <c r="J3966" s="762"/>
      <c r="K3966" s="762"/>
      <c r="L3966" s="762"/>
    </row>
    <row r="3967" hidden="1" spans="5:12">
      <c r="E3967" s="1888" t="s">
        <v>110</v>
      </c>
      <c r="F3967" s="762"/>
      <c r="G3967" s="762"/>
      <c r="H3967" s="762"/>
      <c r="I3967" s="762"/>
      <c r="J3967" s="762"/>
      <c r="K3967" s="762"/>
      <c r="L3967" s="762"/>
    </row>
    <row r="3968" hidden="1" spans="5:12">
      <c r="E3968" s="1888" t="s">
        <v>260</v>
      </c>
      <c r="F3968" s="762"/>
      <c r="G3968" s="762"/>
      <c r="H3968" s="762"/>
      <c r="I3968" s="762"/>
      <c r="J3968" s="762"/>
      <c r="K3968" s="762"/>
      <c r="L3968" s="762"/>
    </row>
    <row r="3969" hidden="1" spans="5:12">
      <c r="E3969" s="1888" t="s">
        <v>5129</v>
      </c>
      <c r="F3969" s="935">
        <f t="shared" ref="F3969:L3969" si="489">F3967+F3968</f>
        <v>0</v>
      </c>
      <c r="G3969" s="935">
        <f t="shared" si="489"/>
        <v>0</v>
      </c>
      <c r="H3969" s="935">
        <f t="shared" si="489"/>
        <v>0</v>
      </c>
      <c r="I3969" s="935">
        <f t="shared" si="489"/>
        <v>0</v>
      </c>
      <c r="J3969" s="935">
        <f t="shared" si="489"/>
        <v>0</v>
      </c>
      <c r="K3969" s="935">
        <f t="shared" si="489"/>
        <v>0</v>
      </c>
      <c r="L3969" s="935">
        <f t="shared" si="489"/>
        <v>0</v>
      </c>
    </row>
    <row r="3970" hidden="1" spans="5:12">
      <c r="E3970" s="1888" t="s">
        <v>5130</v>
      </c>
      <c r="F3970" s="762"/>
      <c r="G3970" s="762"/>
      <c r="H3970" s="762"/>
      <c r="I3970" s="762"/>
      <c r="J3970" s="762"/>
      <c r="K3970" s="762"/>
      <c r="L3970" s="762"/>
    </row>
    <row r="3971" hidden="1" spans="5:5">
      <c r="E3971" s="94" t="s">
        <v>5131</v>
      </c>
    </row>
    <row r="3972" hidden="1" customHeight="1" spans="5:12">
      <c r="E3972" s="98" t="s">
        <v>61</v>
      </c>
      <c r="F3972" s="1883" t="s">
        <v>5132</v>
      </c>
      <c r="G3972" s="1884"/>
      <c r="H3972" s="1884"/>
      <c r="I3972" s="1884"/>
      <c r="J3972" s="1884"/>
      <c r="K3972" s="1884"/>
      <c r="L3972" s="1884"/>
    </row>
    <row r="3973" hidden="1" spans="5:12">
      <c r="E3973" s="1888" t="s">
        <v>706</v>
      </c>
      <c r="F3973" s="1886">
        <f>F3954</f>
        <v>0</v>
      </c>
      <c r="G3973" s="1886">
        <f t="shared" ref="G3973:L3973" si="490">G3954</f>
        <v>0</v>
      </c>
      <c r="H3973" s="1886">
        <f t="shared" si="490"/>
        <v>0</v>
      </c>
      <c r="I3973" s="1886">
        <f t="shared" si="490"/>
        <v>0</v>
      </c>
      <c r="J3973" s="1886">
        <f t="shared" si="490"/>
        <v>0</v>
      </c>
      <c r="K3973" s="1886">
        <f t="shared" si="490"/>
        <v>0</v>
      </c>
      <c r="L3973" s="1886">
        <f t="shared" si="490"/>
        <v>0</v>
      </c>
    </row>
    <row r="3974" hidden="1" spans="5:12">
      <c r="E3974" s="1888" t="s">
        <v>5119</v>
      </c>
      <c r="F3974" s="762"/>
      <c r="G3974" s="762"/>
      <c r="H3974" s="762"/>
      <c r="I3974" s="762"/>
      <c r="J3974" s="762"/>
      <c r="K3974" s="762"/>
      <c r="L3974" s="762"/>
    </row>
    <row r="3975" hidden="1" spans="5:12">
      <c r="E3975" s="1888" t="s">
        <v>5120</v>
      </c>
      <c r="F3975" s="762"/>
      <c r="G3975" s="762"/>
      <c r="H3975" s="762"/>
      <c r="I3975" s="762"/>
      <c r="J3975" s="762"/>
      <c r="K3975" s="762"/>
      <c r="L3975" s="762"/>
    </row>
    <row r="3976" hidden="1" spans="5:12">
      <c r="E3976" s="1888" t="s">
        <v>5121</v>
      </c>
      <c r="F3976" s="935">
        <f t="shared" ref="F3976:G3976" si="491">ROUND(SUM(F3974:F3975),2)</f>
        <v>0</v>
      </c>
      <c r="G3976" s="935">
        <f t="shared" si="491"/>
        <v>0</v>
      </c>
      <c r="H3976" s="935">
        <f t="shared" ref="H3976" si="492">ROUND(SUM(H3974:H3975),2)</f>
        <v>0</v>
      </c>
      <c r="I3976" s="935">
        <f t="shared" ref="I3976" si="493">ROUND(SUM(I3974:I3975),2)</f>
        <v>0</v>
      </c>
      <c r="J3976" s="935">
        <f t="shared" ref="J3976" si="494">ROUND(SUM(J3974:J3975),2)</f>
        <v>0</v>
      </c>
      <c r="K3976" s="935">
        <f t="shared" ref="K3976" si="495">ROUND(SUM(K3974:K3975),2)</f>
        <v>0</v>
      </c>
      <c r="L3976" s="935">
        <f t="shared" ref="L3976" si="496">ROUND(SUM(L3974:L3975),2)</f>
        <v>0</v>
      </c>
    </row>
    <row r="3977" hidden="1" spans="5:12">
      <c r="E3977" s="1888" t="s">
        <v>5122</v>
      </c>
      <c r="F3977" s="762"/>
      <c r="G3977" s="762"/>
      <c r="H3977" s="762"/>
      <c r="I3977" s="762"/>
      <c r="J3977" s="762"/>
      <c r="K3977" s="762"/>
      <c r="L3977" s="762"/>
    </row>
    <row r="3978" hidden="1" spans="5:12">
      <c r="E3978" s="1888" t="s">
        <v>5123</v>
      </c>
      <c r="F3978" s="762"/>
      <c r="G3978" s="762"/>
      <c r="H3978" s="762"/>
      <c r="I3978" s="762"/>
      <c r="J3978" s="762"/>
      <c r="K3978" s="762"/>
      <c r="L3978" s="762"/>
    </row>
    <row r="3979" hidden="1" spans="5:12">
      <c r="E3979" s="1888" t="s">
        <v>246</v>
      </c>
      <c r="F3979" s="935">
        <f t="shared" ref="F3979:G3979" si="497">ROUND(SUM(F3977:F3978),2)</f>
        <v>0</v>
      </c>
      <c r="G3979" s="935">
        <f t="shared" si="497"/>
        <v>0</v>
      </c>
      <c r="H3979" s="935">
        <f t="shared" ref="H3979" si="498">ROUND(SUM(H3977:H3978),2)</f>
        <v>0</v>
      </c>
      <c r="I3979" s="935">
        <f t="shared" ref="I3979" si="499">ROUND(SUM(I3977:I3978),2)</f>
        <v>0</v>
      </c>
      <c r="J3979" s="935">
        <f t="shared" ref="J3979" si="500">ROUND(SUM(J3977:J3978),2)</f>
        <v>0</v>
      </c>
      <c r="K3979" s="935">
        <f t="shared" ref="K3979" si="501">ROUND(SUM(K3977:K3978),2)</f>
        <v>0</v>
      </c>
      <c r="L3979" s="935">
        <f t="shared" ref="L3979" si="502">ROUND(SUM(L3977:L3978),2)</f>
        <v>0</v>
      </c>
    </row>
    <row r="3980" hidden="1" spans="5:12">
      <c r="E3980" s="1888" t="s">
        <v>5124</v>
      </c>
      <c r="F3980" s="935">
        <f t="shared" ref="F3980:G3980" si="503">ROUND(F3976-F3979,2)</f>
        <v>0</v>
      </c>
      <c r="G3980" s="935">
        <f t="shared" si="503"/>
        <v>0</v>
      </c>
      <c r="H3980" s="935">
        <f t="shared" ref="H3980" si="504">ROUND(H3976-H3979,2)</f>
        <v>0</v>
      </c>
      <c r="I3980" s="935">
        <f t="shared" ref="I3980" si="505">ROUND(I3976-I3979,2)</f>
        <v>0</v>
      </c>
      <c r="J3980" s="935">
        <f t="shared" ref="J3980" si="506">ROUND(J3976-J3979,2)</f>
        <v>0</v>
      </c>
      <c r="K3980" s="935">
        <f t="shared" ref="K3980" si="507">ROUND(K3976-K3979,2)</f>
        <v>0</v>
      </c>
      <c r="L3980" s="935">
        <f t="shared" ref="L3980" si="508">ROUND(L3976-L3979,2)</f>
        <v>0</v>
      </c>
    </row>
    <row r="3981" hidden="1" spans="5:12">
      <c r="E3981" s="1888" t="s">
        <v>5125</v>
      </c>
      <c r="F3981" s="1889"/>
      <c r="G3981" s="1889"/>
      <c r="H3981" s="1889"/>
      <c r="I3981" s="1889"/>
      <c r="J3981" s="1889"/>
      <c r="K3981" s="1889"/>
      <c r="L3981" s="1889"/>
    </row>
    <row r="3982" hidden="1" spans="5:12">
      <c r="E3982" s="1890" t="s">
        <v>5126</v>
      </c>
      <c r="F3982" s="1891">
        <f>F3983-F3981</f>
        <v>0</v>
      </c>
      <c r="G3982" s="1891">
        <f>G3983-G3981</f>
        <v>0</v>
      </c>
      <c r="H3982" s="1891">
        <f t="shared" ref="H3982:L3982" si="509">H3983-H3981</f>
        <v>0</v>
      </c>
      <c r="I3982" s="1891">
        <f t="shared" si="509"/>
        <v>0</v>
      </c>
      <c r="J3982" s="1891">
        <f t="shared" si="509"/>
        <v>0</v>
      </c>
      <c r="K3982" s="1891">
        <f t="shared" si="509"/>
        <v>0</v>
      </c>
      <c r="L3982" s="1891">
        <f t="shared" si="509"/>
        <v>0</v>
      </c>
    </row>
    <row r="3983" hidden="1" spans="5:12">
      <c r="E3983" s="1888" t="s">
        <v>5127</v>
      </c>
      <c r="F3983" s="762"/>
      <c r="G3983" s="762"/>
      <c r="H3983" s="762"/>
      <c r="I3983" s="762"/>
      <c r="J3983" s="762"/>
      <c r="K3983" s="762"/>
      <c r="L3983" s="762"/>
    </row>
    <row r="3984" hidden="1" spans="5:12">
      <c r="E3984" s="1888" t="s">
        <v>5128</v>
      </c>
      <c r="F3984" s="762"/>
      <c r="G3984" s="762"/>
      <c r="H3984" s="762"/>
      <c r="I3984" s="762"/>
      <c r="J3984" s="762"/>
      <c r="K3984" s="762"/>
      <c r="L3984" s="762"/>
    </row>
    <row r="3985" hidden="1" spans="5:12">
      <c r="E3985" s="1888" t="s">
        <v>1559</v>
      </c>
      <c r="F3985" s="762"/>
      <c r="G3985" s="762"/>
      <c r="H3985" s="762"/>
      <c r="I3985" s="762"/>
      <c r="J3985" s="762"/>
      <c r="K3985" s="762"/>
      <c r="L3985" s="762"/>
    </row>
    <row r="3986" hidden="1" spans="5:12">
      <c r="E3986" s="1888" t="s">
        <v>110</v>
      </c>
      <c r="F3986" s="762"/>
      <c r="G3986" s="762"/>
      <c r="H3986" s="762"/>
      <c r="I3986" s="762"/>
      <c r="J3986" s="762"/>
      <c r="K3986" s="762"/>
      <c r="L3986" s="762"/>
    </row>
    <row r="3987" hidden="1" spans="5:12">
      <c r="E3987" s="1888" t="s">
        <v>260</v>
      </c>
      <c r="F3987" s="762"/>
      <c r="G3987" s="762"/>
      <c r="H3987" s="762"/>
      <c r="I3987" s="762"/>
      <c r="J3987" s="762"/>
      <c r="K3987" s="762"/>
      <c r="L3987" s="762"/>
    </row>
    <row r="3988" hidden="1" spans="5:12">
      <c r="E3988" s="1888" t="s">
        <v>5129</v>
      </c>
      <c r="F3988" s="935">
        <f t="shared" ref="F3988:G3988" si="510">F3986+F3987</f>
        <v>0</v>
      </c>
      <c r="G3988" s="935">
        <f t="shared" si="510"/>
        <v>0</v>
      </c>
      <c r="H3988" s="935">
        <f t="shared" ref="H3988" si="511">H3986+H3987</f>
        <v>0</v>
      </c>
      <c r="I3988" s="935">
        <f t="shared" ref="I3988" si="512">I3986+I3987</f>
        <v>0</v>
      </c>
      <c r="J3988" s="935">
        <f t="shared" ref="J3988" si="513">J3986+J3987</f>
        <v>0</v>
      </c>
      <c r="K3988" s="935">
        <f t="shared" ref="K3988" si="514">K3986+K3987</f>
        <v>0</v>
      </c>
      <c r="L3988" s="935">
        <f t="shared" ref="L3988" si="515">L3986+L3987</f>
        <v>0</v>
      </c>
    </row>
    <row r="3989" hidden="1" spans="5:12">
      <c r="E3989" s="1888" t="s">
        <v>5130</v>
      </c>
      <c r="F3989" s="762"/>
      <c r="G3989" s="762"/>
      <c r="H3989" s="762"/>
      <c r="I3989" s="762"/>
      <c r="J3989" s="762"/>
      <c r="K3989" s="762"/>
      <c r="L3989" s="762"/>
    </row>
    <row r="3990" hidden="1" spans="5:12">
      <c r="E3990" s="1898" t="s">
        <v>5133</v>
      </c>
      <c r="F3990" s="1899">
        <f>ROUND((F3961-F3980-F3967),2)</f>
        <v>0</v>
      </c>
      <c r="G3990" s="1899">
        <f t="shared" ref="G3990:L3990" si="516">ROUND((G3961-G3980-G3967),2)</f>
        <v>0</v>
      </c>
      <c r="H3990" s="1899">
        <f t="shared" si="516"/>
        <v>0</v>
      </c>
      <c r="I3990" s="1899">
        <f t="shared" si="516"/>
        <v>0</v>
      </c>
      <c r="J3990" s="1899">
        <f t="shared" si="516"/>
        <v>0</v>
      </c>
      <c r="K3990" s="1899">
        <f t="shared" si="516"/>
        <v>0</v>
      </c>
      <c r="L3990" s="1899">
        <f t="shared" si="516"/>
        <v>0</v>
      </c>
    </row>
    <row r="3991" hidden="1" spans="5:12">
      <c r="E3991" s="1898" t="s">
        <v>1722</v>
      </c>
      <c r="F3991" s="1900"/>
      <c r="G3991" s="1900"/>
      <c r="H3991" s="1900"/>
      <c r="I3991" s="1900"/>
      <c r="J3991" s="1900"/>
      <c r="K3991" s="1900"/>
      <c r="L3991" s="1900"/>
    </row>
    <row r="3992" hidden="1" spans="5:11">
      <c r="E3992" s="1869"/>
      <c r="F3992" s="1869"/>
      <c r="G3992" s="1869"/>
      <c r="H3992" s="1869"/>
      <c r="I3992" s="1869"/>
      <c r="J3992" s="1869"/>
      <c r="K3992" s="1869"/>
    </row>
    <row r="3993" spans="5:12">
      <c r="E3993" s="1901" t="s">
        <v>61</v>
      </c>
      <c r="F3993" s="1883" t="s">
        <v>5118</v>
      </c>
      <c r="G3993" s="1884"/>
      <c r="H3993" s="1884"/>
      <c r="I3993" s="1884"/>
      <c r="J3993" s="1884"/>
      <c r="K3993" s="1884"/>
      <c r="L3993" s="1884"/>
    </row>
    <row r="3994" spans="5:12">
      <c r="E3994" s="1885" t="s">
        <v>4428</v>
      </c>
      <c r="F3994" s="1886">
        <f>E3945</f>
        <v>0</v>
      </c>
      <c r="G3994" s="1887">
        <f>E3946</f>
        <v>0</v>
      </c>
      <c r="H3994" s="1887">
        <f>E3947</f>
        <v>0</v>
      </c>
      <c r="I3994" s="1887">
        <f>E3948</f>
        <v>0</v>
      </c>
      <c r="J3994" s="1887">
        <f>E3949</f>
        <v>0</v>
      </c>
      <c r="K3994" s="1887">
        <f>E3950</f>
        <v>0</v>
      </c>
      <c r="L3994" s="1887">
        <f>E3951</f>
        <v>0</v>
      </c>
    </row>
    <row r="3995" spans="5:12">
      <c r="E3995" s="1888" t="s">
        <v>5119</v>
      </c>
      <c r="F3995" s="762"/>
      <c r="G3995" s="762"/>
      <c r="H3995" s="762"/>
      <c r="I3995" s="762"/>
      <c r="J3995" s="762"/>
      <c r="K3995" s="762"/>
      <c r="L3995" s="762"/>
    </row>
    <row r="3996" spans="5:12">
      <c r="E3996" s="1888" t="s">
        <v>5120</v>
      </c>
      <c r="F3996" s="762"/>
      <c r="G3996" s="762"/>
      <c r="H3996" s="762"/>
      <c r="I3996" s="762"/>
      <c r="J3996" s="762"/>
      <c r="K3996" s="762"/>
      <c r="L3996" s="762"/>
    </row>
    <row r="3997" spans="5:12">
      <c r="E3997" s="1888" t="s">
        <v>5121</v>
      </c>
      <c r="F3997" s="935">
        <f>ROUND(SUM(F3995:F3996),2)</f>
        <v>0</v>
      </c>
      <c r="G3997" s="935">
        <f t="shared" ref="G3997" si="517">ROUND(SUM(G3995:G3996),2)</f>
        <v>0</v>
      </c>
      <c r="H3997" s="935">
        <f t="shared" ref="H3997" si="518">ROUND(SUM(H3995:H3996),2)</f>
        <v>0</v>
      </c>
      <c r="I3997" s="935">
        <f t="shared" ref="I3997" si="519">ROUND(SUM(I3995:I3996),2)</f>
        <v>0</v>
      </c>
      <c r="J3997" s="935">
        <f t="shared" ref="J3997" si="520">ROUND(SUM(J3995:J3996),2)</f>
        <v>0</v>
      </c>
      <c r="K3997" s="935">
        <f t="shared" ref="K3997" si="521">ROUND(SUM(K3995:K3996),2)</f>
        <v>0</v>
      </c>
      <c r="L3997" s="935">
        <f t="shared" ref="L3997" si="522">ROUND(SUM(L3995:L3996),2)</f>
        <v>0</v>
      </c>
    </row>
    <row r="3998" spans="5:12">
      <c r="E3998" s="1888" t="s">
        <v>5122</v>
      </c>
      <c r="F3998" s="762"/>
      <c r="G3998" s="762"/>
      <c r="H3998" s="762"/>
      <c r="I3998" s="762"/>
      <c r="J3998" s="762"/>
      <c r="K3998" s="762"/>
      <c r="L3998" s="762"/>
    </row>
    <row r="3999" spans="5:12">
      <c r="E3999" s="1888" t="s">
        <v>5123</v>
      </c>
      <c r="F3999" s="762"/>
      <c r="G3999" s="762"/>
      <c r="H3999" s="762"/>
      <c r="I3999" s="762"/>
      <c r="J3999" s="762"/>
      <c r="K3999" s="762"/>
      <c r="L3999" s="762"/>
    </row>
    <row r="4000" spans="5:12">
      <c r="E4000" s="1888" t="s">
        <v>246</v>
      </c>
      <c r="F4000" s="935">
        <f>ROUND(SUM(F3998:F3999),2)</f>
        <v>0</v>
      </c>
      <c r="G4000" s="935">
        <f t="shared" ref="G4000" si="523">ROUND(SUM(G3998:G3999),2)</f>
        <v>0</v>
      </c>
      <c r="H4000" s="935">
        <f t="shared" ref="H4000" si="524">ROUND(SUM(H3998:H3999),2)</f>
        <v>0</v>
      </c>
      <c r="I4000" s="935">
        <f t="shared" ref="I4000" si="525">ROUND(SUM(I3998:I3999),2)</f>
        <v>0</v>
      </c>
      <c r="J4000" s="935">
        <f t="shared" ref="J4000" si="526">ROUND(SUM(J3998:J3999),2)</f>
        <v>0</v>
      </c>
      <c r="K4000" s="935">
        <f t="shared" ref="K4000" si="527">ROUND(SUM(K3998:K3999),2)</f>
        <v>0</v>
      </c>
      <c r="L4000" s="935">
        <f t="shared" ref="L4000" si="528">ROUND(SUM(L3998:L3999),2)</f>
        <v>0</v>
      </c>
    </row>
    <row r="4001" spans="5:12">
      <c r="E4001" s="1888" t="s">
        <v>5124</v>
      </c>
      <c r="F4001" s="935">
        <f>ROUND(F3997-F4000,2)</f>
        <v>0</v>
      </c>
      <c r="G4001" s="935">
        <f t="shared" ref="G4001" si="529">ROUND(G3997-G4000,2)</f>
        <v>0</v>
      </c>
      <c r="H4001" s="935">
        <f t="shared" ref="H4001" si="530">ROUND(H3997-H4000,2)</f>
        <v>0</v>
      </c>
      <c r="I4001" s="935">
        <f t="shared" ref="I4001" si="531">ROUND(I3997-I4000,2)</f>
        <v>0</v>
      </c>
      <c r="J4001" s="935">
        <f t="shared" ref="J4001" si="532">ROUND(J3997-J4000,2)</f>
        <v>0</v>
      </c>
      <c r="K4001" s="935">
        <f t="shared" ref="K4001" si="533">ROUND(K3997-K4000,2)</f>
        <v>0</v>
      </c>
      <c r="L4001" s="935">
        <f t="shared" ref="L4001" si="534">ROUND(L3997-L4000,2)</f>
        <v>0</v>
      </c>
    </row>
    <row r="4002" spans="5:12">
      <c r="E4002" s="1888" t="s">
        <v>5125</v>
      </c>
      <c r="F4002" s="1889"/>
      <c r="G4002" s="1889"/>
      <c r="H4002" s="1889"/>
      <c r="I4002" s="1889"/>
      <c r="J4002" s="1889"/>
      <c r="K4002" s="1889"/>
      <c r="L4002" s="1889"/>
    </row>
    <row r="4003" spans="5:12">
      <c r="E4003" s="1890" t="s">
        <v>5126</v>
      </c>
      <c r="F4003" s="1891">
        <f>F4004-F4002</f>
        <v>0</v>
      </c>
      <c r="G4003" s="1891">
        <f>G4004-G4002</f>
        <v>0</v>
      </c>
      <c r="H4003" s="1891">
        <f t="shared" ref="H4003:L4003" si="535">H4004-H4002</f>
        <v>0</v>
      </c>
      <c r="I4003" s="1891">
        <f t="shared" si="535"/>
        <v>0</v>
      </c>
      <c r="J4003" s="1891">
        <f t="shared" si="535"/>
        <v>0</v>
      </c>
      <c r="K4003" s="1891">
        <f t="shared" si="535"/>
        <v>0</v>
      </c>
      <c r="L4003" s="1891">
        <f t="shared" si="535"/>
        <v>0</v>
      </c>
    </row>
    <row r="4004" spans="5:12">
      <c r="E4004" s="1888" t="s">
        <v>5127</v>
      </c>
      <c r="F4004" s="762"/>
      <c r="G4004" s="762"/>
      <c r="H4004" s="762"/>
      <c r="I4004" s="762"/>
      <c r="J4004" s="762"/>
      <c r="K4004" s="762"/>
      <c r="L4004" s="762"/>
    </row>
    <row r="4005" spans="5:12">
      <c r="E4005" s="1888" t="s">
        <v>5128</v>
      </c>
      <c r="F4005" s="762"/>
      <c r="G4005" s="762"/>
      <c r="H4005" s="762"/>
      <c r="I4005" s="762"/>
      <c r="J4005" s="762"/>
      <c r="K4005" s="762"/>
      <c r="L4005" s="762"/>
    </row>
    <row r="4006" spans="5:12">
      <c r="E4006" s="1888" t="s">
        <v>1559</v>
      </c>
      <c r="F4006" s="762"/>
      <c r="G4006" s="762"/>
      <c r="H4006" s="762"/>
      <c r="I4006" s="762"/>
      <c r="J4006" s="762"/>
      <c r="K4006" s="762"/>
      <c r="L4006" s="762"/>
    </row>
    <row r="4007" spans="5:12">
      <c r="E4007" s="1888" t="s">
        <v>110</v>
      </c>
      <c r="F4007" s="762"/>
      <c r="G4007" s="762"/>
      <c r="H4007" s="762"/>
      <c r="I4007" s="762"/>
      <c r="J4007" s="762"/>
      <c r="K4007" s="762"/>
      <c r="L4007" s="762"/>
    </row>
    <row r="4008" spans="5:12">
      <c r="E4008" s="1888" t="s">
        <v>260</v>
      </c>
      <c r="F4008" s="762"/>
      <c r="G4008" s="762"/>
      <c r="H4008" s="762"/>
      <c r="I4008" s="762"/>
      <c r="J4008" s="762"/>
      <c r="K4008" s="762"/>
      <c r="L4008" s="762"/>
    </row>
    <row r="4009" spans="5:12">
      <c r="E4009" s="1888" t="s">
        <v>5129</v>
      </c>
      <c r="F4009" s="935">
        <f>F4007+F4008</f>
        <v>0</v>
      </c>
      <c r="G4009" s="935">
        <f t="shared" ref="G4009" si="536">G4007+G4008</f>
        <v>0</v>
      </c>
      <c r="H4009" s="935">
        <f t="shared" ref="H4009" si="537">H4007+H4008</f>
        <v>0</v>
      </c>
      <c r="I4009" s="935">
        <f t="shared" ref="I4009" si="538">I4007+I4008</f>
        <v>0</v>
      </c>
      <c r="J4009" s="935">
        <f t="shared" ref="J4009" si="539">J4007+J4008</f>
        <v>0</v>
      </c>
      <c r="K4009" s="935">
        <f t="shared" ref="K4009" si="540">K4007+K4008</f>
        <v>0</v>
      </c>
      <c r="L4009" s="935">
        <f t="shared" ref="L4009" si="541">L4007+L4008</f>
        <v>0</v>
      </c>
    </row>
    <row r="4010" spans="5:12">
      <c r="E4010" s="1888" t="s">
        <v>5130</v>
      </c>
      <c r="F4010" s="762"/>
      <c r="G4010" s="762"/>
      <c r="H4010" s="762"/>
      <c r="I4010" s="762"/>
      <c r="J4010" s="762"/>
      <c r="K4010" s="762"/>
      <c r="L4010" s="762"/>
    </row>
    <row r="4011" spans="5:5">
      <c r="E4011" s="94" t="s">
        <v>5134</v>
      </c>
    </row>
    <row r="4012" spans="5:12">
      <c r="E4012" s="1901" t="s">
        <v>61</v>
      </c>
      <c r="F4012" s="1883" t="s">
        <v>5132</v>
      </c>
      <c r="G4012" s="1884"/>
      <c r="H4012" s="1884"/>
      <c r="I4012" s="1884"/>
      <c r="J4012" s="1884"/>
      <c r="K4012" s="1884"/>
      <c r="L4012" s="1884"/>
    </row>
    <row r="4013" spans="5:12">
      <c r="E4013" s="1888" t="s">
        <v>4428</v>
      </c>
      <c r="F4013" s="1886">
        <f>F3994</f>
        <v>0</v>
      </c>
      <c r="G4013" s="1886">
        <f t="shared" ref="G4013:L4013" si="542">G3994</f>
        <v>0</v>
      </c>
      <c r="H4013" s="1886">
        <f t="shared" si="542"/>
        <v>0</v>
      </c>
      <c r="I4013" s="1886">
        <f t="shared" si="542"/>
        <v>0</v>
      </c>
      <c r="J4013" s="1886">
        <f t="shared" si="542"/>
        <v>0</v>
      </c>
      <c r="K4013" s="1886">
        <f t="shared" si="542"/>
        <v>0</v>
      </c>
      <c r="L4013" s="1886">
        <f t="shared" si="542"/>
        <v>0</v>
      </c>
    </row>
    <row r="4014" spans="5:12">
      <c r="E4014" s="1888" t="s">
        <v>5119</v>
      </c>
      <c r="F4014" s="762"/>
      <c r="G4014" s="762"/>
      <c r="H4014" s="762"/>
      <c r="I4014" s="762"/>
      <c r="J4014" s="762"/>
      <c r="K4014" s="762"/>
      <c r="L4014" s="762"/>
    </row>
    <row r="4015" spans="5:12">
      <c r="E4015" s="1888" t="s">
        <v>5120</v>
      </c>
      <c r="F4015" s="762"/>
      <c r="G4015" s="762"/>
      <c r="H4015" s="762"/>
      <c r="I4015" s="762"/>
      <c r="J4015" s="762"/>
      <c r="K4015" s="762"/>
      <c r="L4015" s="762"/>
    </row>
    <row r="4016" spans="5:12">
      <c r="E4016" s="1888" t="s">
        <v>5121</v>
      </c>
      <c r="F4016" s="935">
        <f>ROUND(SUM(F4014:F4015),2)</f>
        <v>0</v>
      </c>
      <c r="G4016" s="935">
        <f t="shared" ref="G4016" si="543">ROUND(SUM(G4014:G4015),2)</f>
        <v>0</v>
      </c>
      <c r="H4016" s="935">
        <f t="shared" ref="H4016" si="544">ROUND(SUM(H4014:H4015),2)</f>
        <v>0</v>
      </c>
      <c r="I4016" s="935">
        <f t="shared" ref="I4016" si="545">ROUND(SUM(I4014:I4015),2)</f>
        <v>0</v>
      </c>
      <c r="J4016" s="935">
        <f t="shared" ref="J4016" si="546">ROUND(SUM(J4014:J4015),2)</f>
        <v>0</v>
      </c>
      <c r="K4016" s="935">
        <f t="shared" ref="K4016" si="547">ROUND(SUM(K4014:K4015),2)</f>
        <v>0</v>
      </c>
      <c r="L4016" s="935">
        <f t="shared" ref="L4016" si="548">ROUND(SUM(L4014:L4015),2)</f>
        <v>0</v>
      </c>
    </row>
    <row r="4017" spans="5:12">
      <c r="E4017" s="1888" t="s">
        <v>5122</v>
      </c>
      <c r="F4017" s="762"/>
      <c r="G4017" s="762"/>
      <c r="H4017" s="762"/>
      <c r="I4017" s="762"/>
      <c r="J4017" s="762"/>
      <c r="K4017" s="762"/>
      <c r="L4017" s="762"/>
    </row>
    <row r="4018" spans="5:12">
      <c r="E4018" s="1888" t="s">
        <v>5123</v>
      </c>
      <c r="F4018" s="762"/>
      <c r="G4018" s="762"/>
      <c r="H4018" s="762"/>
      <c r="I4018" s="762"/>
      <c r="J4018" s="762"/>
      <c r="K4018" s="762"/>
      <c r="L4018" s="762"/>
    </row>
    <row r="4019" spans="5:12">
      <c r="E4019" s="1888" t="s">
        <v>246</v>
      </c>
      <c r="F4019" s="935">
        <f>ROUND(SUM(F4017:F4018),2)</f>
        <v>0</v>
      </c>
      <c r="G4019" s="935">
        <f t="shared" ref="G4019" si="549">ROUND(SUM(G4017:G4018),2)</f>
        <v>0</v>
      </c>
      <c r="H4019" s="935">
        <f t="shared" ref="H4019" si="550">ROUND(SUM(H4017:H4018),2)</f>
        <v>0</v>
      </c>
      <c r="I4019" s="935">
        <f t="shared" ref="I4019" si="551">ROUND(SUM(I4017:I4018),2)</f>
        <v>0</v>
      </c>
      <c r="J4019" s="935">
        <f t="shared" ref="J4019" si="552">ROUND(SUM(J4017:J4018),2)</f>
        <v>0</v>
      </c>
      <c r="K4019" s="935">
        <f t="shared" ref="K4019" si="553">ROUND(SUM(K4017:K4018),2)</f>
        <v>0</v>
      </c>
      <c r="L4019" s="935">
        <f t="shared" ref="L4019" si="554">ROUND(SUM(L4017:L4018),2)</f>
        <v>0</v>
      </c>
    </row>
    <row r="4020" spans="5:12">
      <c r="E4020" s="1888" t="s">
        <v>5124</v>
      </c>
      <c r="F4020" s="935">
        <f>ROUND(F4016-F4019,2)</f>
        <v>0</v>
      </c>
      <c r="G4020" s="935">
        <f t="shared" ref="G4020" si="555">ROUND(G4016-G4019,2)</f>
        <v>0</v>
      </c>
      <c r="H4020" s="935">
        <f t="shared" ref="H4020" si="556">ROUND(H4016-H4019,2)</f>
        <v>0</v>
      </c>
      <c r="I4020" s="935">
        <f t="shared" ref="I4020" si="557">ROUND(I4016-I4019,2)</f>
        <v>0</v>
      </c>
      <c r="J4020" s="935">
        <f t="shared" ref="J4020" si="558">ROUND(J4016-J4019,2)</f>
        <v>0</v>
      </c>
      <c r="K4020" s="935">
        <f t="shared" ref="K4020" si="559">ROUND(K4016-K4019,2)</f>
        <v>0</v>
      </c>
      <c r="L4020" s="935">
        <f t="shared" ref="L4020" si="560">ROUND(L4016-L4019,2)</f>
        <v>0</v>
      </c>
    </row>
    <row r="4021" spans="5:12">
      <c r="E4021" s="1888" t="s">
        <v>5125</v>
      </c>
      <c r="F4021" s="1889"/>
      <c r="G4021" s="1889"/>
      <c r="H4021" s="1889"/>
      <c r="I4021" s="1889"/>
      <c r="J4021" s="1889"/>
      <c r="K4021" s="1889"/>
      <c r="L4021" s="1889"/>
    </row>
    <row r="4022" spans="5:12">
      <c r="E4022" s="1890" t="s">
        <v>5126</v>
      </c>
      <c r="F4022" s="1891">
        <f>F4023-F4021</f>
        <v>0</v>
      </c>
      <c r="G4022" s="1891">
        <f>G4023-G4021</f>
        <v>0</v>
      </c>
      <c r="H4022" s="1891">
        <f t="shared" ref="H4022:L4022" si="561">H4023-H4021</f>
        <v>0</v>
      </c>
      <c r="I4022" s="1891">
        <f t="shared" si="561"/>
        <v>0</v>
      </c>
      <c r="J4022" s="1891">
        <f t="shared" si="561"/>
        <v>0</v>
      </c>
      <c r="K4022" s="1891">
        <f t="shared" si="561"/>
        <v>0</v>
      </c>
      <c r="L4022" s="1891">
        <f t="shared" si="561"/>
        <v>0</v>
      </c>
    </row>
    <row r="4023" spans="5:12">
      <c r="E4023" s="1888" t="s">
        <v>5127</v>
      </c>
      <c r="F4023" s="762"/>
      <c r="G4023" s="762"/>
      <c r="H4023" s="762"/>
      <c r="I4023" s="762"/>
      <c r="J4023" s="762"/>
      <c r="K4023" s="762"/>
      <c r="L4023" s="762"/>
    </row>
    <row r="4024" spans="5:12">
      <c r="E4024" s="1888" t="s">
        <v>5128</v>
      </c>
      <c r="F4024" s="762"/>
      <c r="G4024" s="762"/>
      <c r="H4024" s="762"/>
      <c r="I4024" s="762"/>
      <c r="J4024" s="762"/>
      <c r="K4024" s="762"/>
      <c r="L4024" s="762"/>
    </row>
    <row r="4025" spans="5:12">
      <c r="E4025" s="1888" t="s">
        <v>1559</v>
      </c>
      <c r="F4025" s="762"/>
      <c r="G4025" s="762"/>
      <c r="H4025" s="762"/>
      <c r="I4025" s="762"/>
      <c r="J4025" s="762"/>
      <c r="K4025" s="762"/>
      <c r="L4025" s="762"/>
    </row>
    <row r="4026" spans="5:12">
      <c r="E4026" s="1888" t="s">
        <v>110</v>
      </c>
      <c r="F4026" s="762"/>
      <c r="G4026" s="762"/>
      <c r="H4026" s="762"/>
      <c r="I4026" s="762"/>
      <c r="J4026" s="762"/>
      <c r="K4026" s="762"/>
      <c r="L4026" s="762"/>
    </row>
    <row r="4027" spans="5:12">
      <c r="E4027" s="1888" t="s">
        <v>260</v>
      </c>
      <c r="F4027" s="762"/>
      <c r="G4027" s="762"/>
      <c r="H4027" s="762"/>
      <c r="I4027" s="762"/>
      <c r="J4027" s="762"/>
      <c r="K4027" s="762"/>
      <c r="L4027" s="762"/>
    </row>
    <row r="4028" spans="5:12">
      <c r="E4028" s="1888" t="s">
        <v>5129</v>
      </c>
      <c r="F4028" s="935">
        <f>F4026+F4027</f>
        <v>0</v>
      </c>
      <c r="G4028" s="935">
        <f t="shared" ref="G4028" si="562">G4026+G4027</f>
        <v>0</v>
      </c>
      <c r="H4028" s="935">
        <f t="shared" ref="H4028" si="563">H4026+H4027</f>
        <v>0</v>
      </c>
      <c r="I4028" s="935">
        <f t="shared" ref="I4028" si="564">I4026+I4027</f>
        <v>0</v>
      </c>
      <c r="J4028" s="935">
        <f t="shared" ref="J4028" si="565">J4026+J4027</f>
        <v>0</v>
      </c>
      <c r="K4028" s="935">
        <f t="shared" ref="K4028" si="566">K4026+K4027</f>
        <v>0</v>
      </c>
      <c r="L4028" s="935">
        <f t="shared" ref="L4028" si="567">L4026+L4027</f>
        <v>0</v>
      </c>
    </row>
    <row r="4029" spans="5:12">
      <c r="E4029" s="1888" t="s">
        <v>5130</v>
      </c>
      <c r="F4029" s="762"/>
      <c r="G4029" s="762"/>
      <c r="H4029" s="762"/>
      <c r="I4029" s="762"/>
      <c r="J4029" s="762"/>
      <c r="K4029" s="762"/>
      <c r="L4029" s="762"/>
    </row>
    <row r="4030" spans="5:12">
      <c r="E4030" s="1898" t="s">
        <v>5133</v>
      </c>
      <c r="F4030" s="1899">
        <f>ROUND((F4001-F4020-F4007),2)</f>
        <v>0</v>
      </c>
      <c r="G4030" s="1899">
        <f t="shared" ref="G4030:L4030" si="568">ROUND((G4001-G4020-G4007),2)</f>
        <v>0</v>
      </c>
      <c r="H4030" s="1899">
        <f t="shared" si="568"/>
        <v>0</v>
      </c>
      <c r="I4030" s="1899">
        <f t="shared" si="568"/>
        <v>0</v>
      </c>
      <c r="J4030" s="1899">
        <f t="shared" si="568"/>
        <v>0</v>
      </c>
      <c r="K4030" s="1899">
        <f t="shared" si="568"/>
        <v>0</v>
      </c>
      <c r="L4030" s="1899">
        <f t="shared" si="568"/>
        <v>0</v>
      </c>
    </row>
    <row r="4031" spans="5:12">
      <c r="E4031" s="1898" t="s">
        <v>1722</v>
      </c>
      <c r="F4031" s="1902"/>
      <c r="G4031" s="1902"/>
      <c r="H4031" s="1902"/>
      <c r="I4031" s="1902"/>
      <c r="J4031" s="1902"/>
      <c r="K4031" s="1902"/>
      <c r="L4031" s="1902"/>
    </row>
    <row r="4033" spans="5:5">
      <c r="E4033" s="94" t="s">
        <v>5135</v>
      </c>
    </row>
    <row r="4034" spans="5:12">
      <c r="E4034" s="1903" t="s">
        <v>5136</v>
      </c>
      <c r="F4034" s="1904"/>
      <c r="G4034" s="1905"/>
      <c r="H4034" s="1905"/>
      <c r="I4034" s="1905"/>
      <c r="J4034" s="1905"/>
      <c r="K4034" s="1905"/>
      <c r="L4034" s="1913"/>
    </row>
    <row r="4035" spans="5:12">
      <c r="E4035" s="1903" t="s">
        <v>5137</v>
      </c>
      <c r="F4035" s="1904"/>
      <c r="G4035" s="1905"/>
      <c r="H4035" s="1905"/>
      <c r="I4035" s="1905"/>
      <c r="J4035" s="1905"/>
      <c r="K4035" s="1905"/>
      <c r="L4035" s="1913"/>
    </row>
    <row r="4038" spans="5:5">
      <c r="E4038" s="70" t="s">
        <v>5138</v>
      </c>
    </row>
    <row r="4039" spans="5:12">
      <c r="E4039" s="98" t="s">
        <v>61</v>
      </c>
      <c r="F4039" s="98" t="s">
        <v>671</v>
      </c>
      <c r="G4039" s="1906" t="s">
        <v>1242</v>
      </c>
      <c r="H4039" s="1907"/>
      <c r="I4039" s="1907"/>
      <c r="J4039" s="1907"/>
      <c r="K4039" s="1914"/>
      <c r="L4039" s="1915" t="s">
        <v>516</v>
      </c>
    </row>
    <row r="4040" spans="5:12">
      <c r="E4040" s="104"/>
      <c r="F4040" s="98"/>
      <c r="G4040" s="98" t="s">
        <v>5139</v>
      </c>
      <c r="H4040" s="98" t="s">
        <v>5140</v>
      </c>
      <c r="I4040" s="98" t="s">
        <v>101</v>
      </c>
      <c r="J4040" s="98" t="s">
        <v>5141</v>
      </c>
      <c r="K4040" s="98" t="s">
        <v>5142</v>
      </c>
      <c r="L4040" s="1916"/>
    </row>
    <row r="4041" spans="5:12">
      <c r="E4041" s="104" t="s">
        <v>5143</v>
      </c>
      <c r="F4041" s="935">
        <f>SUM(F4042:F4043)</f>
        <v>0</v>
      </c>
      <c r="G4041" s="935">
        <f t="shared" ref="G4041:K4041" si="569">SUM(G4042:G4043)</f>
        <v>0</v>
      </c>
      <c r="H4041" s="935">
        <f t="shared" si="569"/>
        <v>0</v>
      </c>
      <c r="I4041" s="935">
        <f t="shared" si="569"/>
        <v>0</v>
      </c>
      <c r="J4041" s="935">
        <f t="shared" si="569"/>
        <v>0</v>
      </c>
      <c r="K4041" s="935">
        <f t="shared" si="569"/>
        <v>0</v>
      </c>
      <c r="L4041" s="935">
        <f>F4041+J4041</f>
        <v>0</v>
      </c>
    </row>
    <row r="4042" spans="5:12">
      <c r="E4042" s="104" t="s">
        <v>5144</v>
      </c>
      <c r="F4042" s="1908"/>
      <c r="G4042" s="1908"/>
      <c r="H4042" s="1908"/>
      <c r="I4042" s="1908"/>
      <c r="J4042" s="1908"/>
      <c r="K4042" s="1908"/>
      <c r="L4042" s="1917">
        <f t="shared" ref="L4042:L4052" si="570">F4042+J4042</f>
        <v>0</v>
      </c>
    </row>
    <row r="4043" spans="5:12">
      <c r="E4043" s="104" t="s">
        <v>5145</v>
      </c>
      <c r="F4043" s="1908"/>
      <c r="G4043" s="1908"/>
      <c r="H4043" s="1908"/>
      <c r="I4043" s="1908"/>
      <c r="J4043" s="1908"/>
      <c r="K4043" s="1908"/>
      <c r="L4043" s="1917">
        <f t="shared" si="570"/>
        <v>0</v>
      </c>
    </row>
    <row r="4044" spans="5:12">
      <c r="E4044" s="104"/>
      <c r="F4044" s="1908"/>
      <c r="G4044" s="1908"/>
      <c r="H4044" s="1908"/>
      <c r="I4044" s="1908"/>
      <c r="J4044" s="1908"/>
      <c r="K4044" s="1908"/>
      <c r="L4044" s="1917">
        <f t="shared" si="570"/>
        <v>0</v>
      </c>
    </row>
    <row r="4045" spans="5:12">
      <c r="E4045" s="104" t="s">
        <v>5146</v>
      </c>
      <c r="F4045" s="935">
        <f>SUM(F4046:F4050)</f>
        <v>0</v>
      </c>
      <c r="G4045" s="935">
        <f t="shared" ref="G4045:K4045" si="571">SUM(G4046:G4050)</f>
        <v>0</v>
      </c>
      <c r="H4045" s="935">
        <f t="shared" si="571"/>
        <v>0</v>
      </c>
      <c r="I4045" s="935">
        <f t="shared" si="571"/>
        <v>0</v>
      </c>
      <c r="J4045" s="935">
        <f t="shared" si="571"/>
        <v>0</v>
      </c>
      <c r="K4045" s="935">
        <f t="shared" si="571"/>
        <v>0</v>
      </c>
      <c r="L4045" s="1917">
        <f t="shared" si="570"/>
        <v>0</v>
      </c>
    </row>
    <row r="4046" spans="5:12">
      <c r="E4046" s="104" t="s">
        <v>5147</v>
      </c>
      <c r="F4046" s="1908"/>
      <c r="G4046" s="1908"/>
      <c r="H4046" s="1908"/>
      <c r="I4046" s="1908"/>
      <c r="J4046" s="1908"/>
      <c r="K4046" s="1908"/>
      <c r="L4046" s="1917">
        <f t="shared" si="570"/>
        <v>0</v>
      </c>
    </row>
    <row r="4047" spans="5:12">
      <c r="E4047" s="104" t="s">
        <v>5148</v>
      </c>
      <c r="F4047" s="1908"/>
      <c r="G4047" s="1908"/>
      <c r="H4047" s="1908"/>
      <c r="I4047" s="1908"/>
      <c r="J4047" s="1908"/>
      <c r="K4047" s="1908"/>
      <c r="L4047" s="1917">
        <f t="shared" si="570"/>
        <v>0</v>
      </c>
    </row>
    <row r="4048" spans="5:12">
      <c r="E4048" s="104" t="s">
        <v>5149</v>
      </c>
      <c r="F4048" s="1908"/>
      <c r="G4048" s="1908"/>
      <c r="H4048" s="1908"/>
      <c r="I4048" s="1908"/>
      <c r="J4048" s="1908"/>
      <c r="K4048" s="1908"/>
      <c r="L4048" s="1917">
        <f t="shared" si="570"/>
        <v>0</v>
      </c>
    </row>
    <row r="4049" spans="5:12">
      <c r="E4049" s="104" t="s">
        <v>5150</v>
      </c>
      <c r="F4049" s="1908"/>
      <c r="G4049" s="1908"/>
      <c r="H4049" s="1908"/>
      <c r="I4049" s="1908"/>
      <c r="J4049" s="1908"/>
      <c r="K4049" s="1908"/>
      <c r="L4049" s="1917">
        <f t="shared" si="570"/>
        <v>0</v>
      </c>
    </row>
    <row r="4050" spans="5:12">
      <c r="E4050" s="104" t="s">
        <v>5151</v>
      </c>
      <c r="F4050" s="1909"/>
      <c r="G4050" s="1909"/>
      <c r="H4050" s="1908"/>
      <c r="I4050" s="1908"/>
      <c r="J4050" s="1909"/>
      <c r="K4050" s="1908"/>
      <c r="L4050" s="1917">
        <f t="shared" si="570"/>
        <v>0</v>
      </c>
    </row>
    <row r="4051" spans="5:12">
      <c r="E4051" s="104"/>
      <c r="F4051" s="1908"/>
      <c r="G4051" s="1908"/>
      <c r="H4051" s="1908"/>
      <c r="I4051" s="1908"/>
      <c r="J4051" s="1908"/>
      <c r="K4051" s="1908"/>
      <c r="L4051" s="1917">
        <f t="shared" si="570"/>
        <v>0</v>
      </c>
    </row>
    <row r="4052" spans="5:12">
      <c r="E4052" s="104" t="s">
        <v>5152</v>
      </c>
      <c r="F4052" s="935">
        <f t="shared" ref="F4052:K4052" si="572">F4041+F4045</f>
        <v>0</v>
      </c>
      <c r="G4052" s="935">
        <f t="shared" si="572"/>
        <v>0</v>
      </c>
      <c r="H4052" s="935">
        <f t="shared" si="572"/>
        <v>0</v>
      </c>
      <c r="I4052" s="935">
        <f t="shared" si="572"/>
        <v>0</v>
      </c>
      <c r="J4052" s="935">
        <f t="shared" si="572"/>
        <v>0</v>
      </c>
      <c r="K4052" s="935">
        <f t="shared" si="572"/>
        <v>0</v>
      </c>
      <c r="L4052" s="1917">
        <f t="shared" si="570"/>
        <v>0</v>
      </c>
    </row>
    <row r="4053" ht="13.5" customHeight="1" spans="5:5">
      <c r="E4053" s="90" t="s">
        <v>5153</v>
      </c>
    </row>
    <row r="4054" spans="5:5">
      <c r="E4054" s="1386" t="s">
        <v>5154</v>
      </c>
    </row>
    <row r="4055" spans="5:12">
      <c r="E4055" s="1910" t="s">
        <v>5155</v>
      </c>
      <c r="F4055" s="1911"/>
      <c r="G4055" s="1911"/>
      <c r="H4055" s="1911"/>
      <c r="I4055" s="1911"/>
      <c r="J4055" s="1911"/>
      <c r="K4055" s="1911"/>
      <c r="L4055" s="1918"/>
    </row>
    <row r="4056" spans="5:12">
      <c r="E4056" s="90" t="s">
        <v>5156</v>
      </c>
      <c r="F4056" s="838">
        <f>审定资负表!H42</f>
        <v>0</v>
      </c>
      <c r="J4056" s="838">
        <f>审定利润表!C29</f>
        <v>0</v>
      </c>
      <c r="L4056" s="838">
        <f>审定资负表!G42</f>
        <v>0</v>
      </c>
    </row>
    <row r="4057" spans="5:12">
      <c r="E4057" s="90" t="s">
        <v>1395</v>
      </c>
      <c r="F4057" s="92">
        <f>ROUND(F4052-F4056,2)</f>
        <v>0</v>
      </c>
      <c r="J4057" s="92">
        <f>ROUND(J4052-J4056,2)</f>
        <v>0</v>
      </c>
      <c r="L4057" s="92">
        <f>ROUND(L4052-L4056,2)</f>
        <v>0</v>
      </c>
    </row>
    <row r="4059" spans="5:7">
      <c r="E4059" s="70" t="s">
        <v>5157</v>
      </c>
      <c r="F4059" s="1075" t="s">
        <v>3163</v>
      </c>
      <c r="G4059" s="1055"/>
    </row>
    <row r="4060" spans="5:7">
      <c r="E4060" s="153" t="s">
        <v>3165</v>
      </c>
      <c r="F4060" s="1055"/>
      <c r="G4060" s="1055"/>
    </row>
    <row r="4061" spans="5:11">
      <c r="E4061" s="1728" t="s">
        <v>61</v>
      </c>
      <c r="F4061" s="1728" t="s">
        <v>516</v>
      </c>
      <c r="G4061" s="1728" t="s">
        <v>671</v>
      </c>
      <c r="H4061" s="1912" t="s">
        <v>627</v>
      </c>
      <c r="I4061" s="1912" t="s">
        <v>374</v>
      </c>
      <c r="J4061" s="1912" t="s">
        <v>2113</v>
      </c>
      <c r="K4061" s="1912" t="s">
        <v>3299</v>
      </c>
    </row>
    <row r="4062" spans="5:11">
      <c r="E4062" s="1031"/>
      <c r="F4062" s="719"/>
      <c r="G4062" s="719"/>
      <c r="H4062" s="719"/>
      <c r="I4062" s="719"/>
      <c r="J4062" s="719"/>
      <c r="K4062" s="719"/>
    </row>
    <row r="4063" spans="5:11">
      <c r="E4063" s="1031"/>
      <c r="F4063" s="719"/>
      <c r="G4063" s="719"/>
      <c r="H4063" s="719"/>
      <c r="I4063" s="719"/>
      <c r="J4063" s="719"/>
      <c r="K4063" s="719"/>
    </row>
    <row r="4064" spans="5:11">
      <c r="E4064" s="1031"/>
      <c r="F4064" s="719"/>
      <c r="G4064" s="719"/>
      <c r="H4064" s="719"/>
      <c r="I4064" s="719"/>
      <c r="J4064" s="719"/>
      <c r="K4064" s="719"/>
    </row>
    <row r="4065" spans="5:11">
      <c r="E4065" s="1031"/>
      <c r="F4065" s="719"/>
      <c r="G4065" s="719"/>
      <c r="H4065" s="719"/>
      <c r="I4065" s="719"/>
      <c r="J4065" s="719"/>
      <c r="K4065" s="719"/>
    </row>
    <row r="4066" spans="5:11">
      <c r="E4066" s="1031"/>
      <c r="F4066" s="719"/>
      <c r="G4066" s="719"/>
      <c r="H4066" s="719"/>
      <c r="I4066" s="719"/>
      <c r="J4066" s="719"/>
      <c r="K4066" s="719"/>
    </row>
    <row r="4067" spans="5:11">
      <c r="E4067" s="1031"/>
      <c r="F4067" s="719"/>
      <c r="G4067" s="719"/>
      <c r="H4067" s="719"/>
      <c r="I4067" s="719"/>
      <c r="J4067" s="719"/>
      <c r="K4067" s="719"/>
    </row>
    <row r="4068" spans="5:11">
      <c r="E4068" s="719"/>
      <c r="F4068" s="719"/>
      <c r="G4068" s="719"/>
      <c r="H4068" s="719"/>
      <c r="I4068" s="719"/>
      <c r="J4068" s="719"/>
      <c r="K4068" s="719"/>
    </row>
    <row r="4069" spans="5:11">
      <c r="E4069" s="719"/>
      <c r="F4069" s="719"/>
      <c r="G4069" s="719"/>
      <c r="H4069" s="719"/>
      <c r="I4069" s="719"/>
      <c r="J4069" s="719"/>
      <c r="K4069" s="719"/>
    </row>
    <row r="4070" spans="5:11">
      <c r="E4070" s="1031" t="s">
        <v>2021</v>
      </c>
      <c r="F4070" s="1078">
        <f t="shared" ref="F4070:K4070" si="573">SUM(F4062:F4069)</f>
        <v>0</v>
      </c>
      <c r="G4070" s="1078">
        <f t="shared" si="573"/>
        <v>0</v>
      </c>
      <c r="H4070" s="1078">
        <f t="shared" si="573"/>
        <v>0</v>
      </c>
      <c r="I4070" s="1078">
        <f t="shared" si="573"/>
        <v>0</v>
      </c>
      <c r="J4070" s="1078">
        <f t="shared" si="573"/>
        <v>0</v>
      </c>
      <c r="K4070" s="1078">
        <f t="shared" si="573"/>
        <v>0</v>
      </c>
    </row>
    <row r="4071" spans="5:7">
      <c r="E4071" s="90" t="s">
        <v>5156</v>
      </c>
      <c r="F4071" s="838">
        <f>审定资负表!C18</f>
        <v>0</v>
      </c>
      <c r="G4071" s="838">
        <f>审定资负表!D18</f>
        <v>0</v>
      </c>
    </row>
    <row r="4072" spans="5:7">
      <c r="E4072" s="90" t="s">
        <v>1395</v>
      </c>
      <c r="F4072" s="92">
        <f>ROUND(F4070-F4071,2)</f>
        <v>0</v>
      </c>
      <c r="G4072" s="92">
        <f>ROUND(G4070-G4071,2)</f>
        <v>0</v>
      </c>
    </row>
    <row r="4074" spans="5:7">
      <c r="E4074" s="70" t="s">
        <v>5158</v>
      </c>
      <c r="F4074" s="1075" t="s">
        <v>3163</v>
      </c>
      <c r="G4074" s="1055"/>
    </row>
    <row r="4075" spans="5:7">
      <c r="E4075" s="153" t="s">
        <v>3165</v>
      </c>
      <c r="F4075" s="1055"/>
      <c r="G4075" s="1055"/>
    </row>
    <row r="4076" spans="5:7">
      <c r="E4076" s="1728" t="s">
        <v>61</v>
      </c>
      <c r="F4076" s="1728" t="s">
        <v>516</v>
      </c>
      <c r="G4076" s="1728" t="s">
        <v>671</v>
      </c>
    </row>
    <row r="4077" spans="5:7">
      <c r="E4077" s="1031"/>
      <c r="F4077" s="719"/>
      <c r="G4077" s="719"/>
    </row>
    <row r="4078" spans="5:7">
      <c r="E4078" s="1031"/>
      <c r="F4078" s="719"/>
      <c r="G4078" s="719"/>
    </row>
    <row r="4079" spans="5:7">
      <c r="E4079" s="1031"/>
      <c r="F4079" s="719"/>
      <c r="G4079" s="719"/>
    </row>
    <row r="4080" spans="5:7">
      <c r="E4080" s="1031"/>
      <c r="F4080" s="719"/>
      <c r="G4080" s="719"/>
    </row>
    <row r="4081" spans="5:7">
      <c r="E4081" s="1031"/>
      <c r="F4081" s="719"/>
      <c r="G4081" s="719"/>
    </row>
    <row r="4082" spans="5:7">
      <c r="E4082" s="1031"/>
      <c r="F4082" s="719"/>
      <c r="G4082" s="719"/>
    </row>
    <row r="4083" spans="5:7">
      <c r="E4083" s="719"/>
      <c r="F4083" s="719"/>
      <c r="G4083" s="719"/>
    </row>
    <row r="4084" spans="5:7">
      <c r="E4084" s="719"/>
      <c r="F4084" s="719"/>
      <c r="G4084" s="719"/>
    </row>
    <row r="4085" spans="5:7">
      <c r="E4085" s="1031" t="s">
        <v>2021</v>
      </c>
      <c r="F4085" s="1078">
        <f>SUM(F4077:F4084)</f>
        <v>0</v>
      </c>
      <c r="G4085" s="1078">
        <f>SUM(G4077:G4084)</f>
        <v>0</v>
      </c>
    </row>
    <row r="4086" spans="5:7">
      <c r="E4086" s="90" t="s">
        <v>5156</v>
      </c>
      <c r="F4086" s="838">
        <f>审定资负表!G19</f>
        <v>0</v>
      </c>
      <c r="G4086" s="838">
        <f>审定资负表!H19</f>
        <v>0</v>
      </c>
    </row>
    <row r="4087" spans="5:7">
      <c r="E4087" s="90" t="s">
        <v>1395</v>
      </c>
      <c r="F4087" s="92">
        <f>ROUND(F4085-F4086,2)</f>
        <v>0</v>
      </c>
      <c r="G4087" s="92">
        <f>ROUND(G4085-G4086,2)</f>
        <v>0</v>
      </c>
    </row>
    <row r="4089" spans="5:5">
      <c r="E4089" s="1708" t="s">
        <v>5159</v>
      </c>
    </row>
    <row r="4090" spans="5:7">
      <c r="E4090" s="153" t="s">
        <v>3165</v>
      </c>
      <c r="F4090" s="1055"/>
      <c r="G4090" s="1055"/>
    </row>
    <row r="4091" spans="5:7">
      <c r="E4091" s="1728" t="s">
        <v>61</v>
      </c>
      <c r="F4091" s="1728" t="s">
        <v>516</v>
      </c>
      <c r="G4091" s="1728" t="s">
        <v>671</v>
      </c>
    </row>
    <row r="4092" spans="5:7">
      <c r="E4092" s="1031" t="s">
        <v>661</v>
      </c>
      <c r="F4092" s="719"/>
      <c r="G4092" s="719"/>
    </row>
    <row r="4093" spans="5:7">
      <c r="E4093" s="1031" t="s">
        <v>663</v>
      </c>
      <c r="F4093" s="719">
        <v>10231163.73</v>
      </c>
      <c r="G4093" s="719">
        <v>2192971</v>
      </c>
    </row>
    <row r="4094" spans="5:7">
      <c r="E4094" s="1031"/>
      <c r="F4094" s="719"/>
      <c r="G4094" s="719"/>
    </row>
    <row r="4095" spans="5:7">
      <c r="E4095" s="1031"/>
      <c r="F4095" s="719"/>
      <c r="G4095" s="719"/>
    </row>
    <row r="4096" spans="5:7">
      <c r="E4096" s="1031"/>
      <c r="F4096" s="719"/>
      <c r="G4096" s="719"/>
    </row>
    <row r="4097" spans="5:7">
      <c r="E4097" s="1031"/>
      <c r="F4097" s="719"/>
      <c r="G4097" s="719"/>
    </row>
    <row r="4098" spans="5:7">
      <c r="E4098" s="719"/>
      <c r="F4098" s="719"/>
      <c r="G4098" s="719"/>
    </row>
    <row r="4099" spans="5:7">
      <c r="E4099" s="719"/>
      <c r="F4099" s="719"/>
      <c r="G4099" s="719"/>
    </row>
    <row r="4100" spans="5:7">
      <c r="E4100" s="1031" t="s">
        <v>2021</v>
      </c>
      <c r="F4100" s="1078">
        <f>SUM(F4092:F4099)</f>
        <v>10231163.73</v>
      </c>
      <c r="G4100" s="1078">
        <f>SUM(G4092:G4099)</f>
        <v>2192971</v>
      </c>
    </row>
    <row r="4101" spans="5:7">
      <c r="E4101" s="90" t="s">
        <v>5156</v>
      </c>
      <c r="F4101" s="838">
        <f>审定资负表!C16</f>
        <v>10231163.73</v>
      </c>
      <c r="G4101" s="838">
        <f>审定资负表!D16</f>
        <v>2192971</v>
      </c>
    </row>
    <row r="4102" spans="5:7">
      <c r="E4102" s="90" t="s">
        <v>1395</v>
      </c>
      <c r="F4102" s="92">
        <f>ROUND(F4100-F4101,2)</f>
        <v>0</v>
      </c>
      <c r="G4102" s="92">
        <f>ROUND(G4100-G4101,2)</f>
        <v>0</v>
      </c>
    </row>
    <row r="4103" spans="7:7">
      <c r="G4103" s="1387"/>
    </row>
    <row r="4104" spans="5:5">
      <c r="E4104" s="1708" t="s">
        <v>5160</v>
      </c>
    </row>
    <row r="4105" spans="5:7">
      <c r="E4105" s="153" t="s">
        <v>3165</v>
      </c>
      <c r="F4105" s="1055"/>
      <c r="G4105" s="1055"/>
    </row>
    <row r="4106" spans="5:7">
      <c r="E4106" s="1728" t="s">
        <v>61</v>
      </c>
      <c r="F4106" s="147" t="s">
        <v>63</v>
      </c>
      <c r="G4106" s="147" t="s">
        <v>2448</v>
      </c>
    </row>
    <row r="4107" spans="5:7">
      <c r="E4107" s="1031"/>
      <c r="F4107" s="719"/>
      <c r="G4107" s="719"/>
    </row>
    <row r="4108" spans="5:7">
      <c r="E4108" s="1031"/>
      <c r="F4108" s="719"/>
      <c r="G4108" s="719"/>
    </row>
    <row r="4109" spans="5:7">
      <c r="E4109" s="1031"/>
      <c r="F4109" s="719"/>
      <c r="G4109" s="719"/>
    </row>
    <row r="4110" spans="5:7">
      <c r="E4110" s="1031"/>
      <c r="F4110" s="719"/>
      <c r="G4110" s="719"/>
    </row>
    <row r="4111" spans="5:7">
      <c r="E4111" s="1031"/>
      <c r="F4111" s="719"/>
      <c r="G4111" s="719"/>
    </row>
    <row r="4112" spans="5:7">
      <c r="E4112" s="1031"/>
      <c r="F4112" s="719"/>
      <c r="G4112" s="719"/>
    </row>
    <row r="4113" spans="5:7">
      <c r="E4113" s="719"/>
      <c r="F4113" s="719"/>
      <c r="G4113" s="719"/>
    </row>
    <row r="4114" spans="5:7">
      <c r="E4114" s="719"/>
      <c r="F4114" s="719"/>
      <c r="G4114" s="719"/>
    </row>
    <row r="4115" spans="5:7">
      <c r="E4115" s="1031" t="s">
        <v>2021</v>
      </c>
      <c r="F4115" s="1078">
        <f>SUM(F4107:F4114)</f>
        <v>0</v>
      </c>
      <c r="G4115" s="1078">
        <f>SUM(G4107:G4114)</f>
        <v>0</v>
      </c>
    </row>
    <row r="4116" spans="5:7">
      <c r="E4116" s="90" t="s">
        <v>5156</v>
      </c>
      <c r="F4116" s="838">
        <f>审定利润表!C16</f>
        <v>0</v>
      </c>
      <c r="G4116" s="838">
        <f>审定利润表!D16</f>
        <v>0</v>
      </c>
    </row>
    <row r="4117" spans="5:7">
      <c r="E4117" s="90" t="s">
        <v>1395</v>
      </c>
      <c r="F4117" s="92">
        <f>ROUND(F4115-F4116,2)</f>
        <v>0</v>
      </c>
      <c r="G4117" s="92">
        <f>ROUND(G4115-G4116,2)</f>
        <v>0</v>
      </c>
    </row>
    <row r="4119" spans="5:8">
      <c r="E4119" s="1708" t="s">
        <v>5161</v>
      </c>
      <c r="F4119" s="751"/>
      <c r="G4119" s="751"/>
      <c r="H4119" s="751"/>
    </row>
    <row r="4120" spans="5:8">
      <c r="E4120" s="147" t="s">
        <v>61</v>
      </c>
      <c r="F4120" s="147" t="s">
        <v>63</v>
      </c>
      <c r="G4120" s="147" t="s">
        <v>2448</v>
      </c>
      <c r="H4120" s="147" t="s">
        <v>4111</v>
      </c>
    </row>
    <row r="4121" spans="5:8">
      <c r="E4121" s="1709"/>
      <c r="F4121" s="136"/>
      <c r="G4121" s="1021"/>
      <c r="H4121" s="1482"/>
    </row>
    <row r="4122" spans="5:8">
      <c r="E4122" s="1709"/>
      <c r="F4122" s="1021"/>
      <c r="G4122" s="1021"/>
      <c r="H4122" s="1482"/>
    </row>
    <row r="4123" spans="5:8">
      <c r="E4123" s="1709"/>
      <c r="F4123" s="1021"/>
      <c r="G4123" s="1021"/>
      <c r="H4123" s="1482"/>
    </row>
    <row r="4124" spans="5:8">
      <c r="E4124" s="1709"/>
      <c r="F4124" s="1021"/>
      <c r="G4124" s="1021"/>
      <c r="H4124" s="1482"/>
    </row>
    <row r="4125" spans="5:8">
      <c r="E4125" s="1709"/>
      <c r="F4125" s="1021"/>
      <c r="G4125" s="1021"/>
      <c r="H4125" s="1482"/>
    </row>
    <row r="4126" spans="5:8">
      <c r="E4126" s="1709"/>
      <c r="F4126" s="1021"/>
      <c r="G4126" s="1021"/>
      <c r="H4126" s="1482"/>
    </row>
    <row r="4127" spans="5:8">
      <c r="E4127" s="1482"/>
      <c r="F4127" s="1021"/>
      <c r="G4127" s="1021"/>
      <c r="H4127" s="1482"/>
    </row>
    <row r="4128" spans="5:8">
      <c r="E4128" s="1482"/>
      <c r="F4128" s="1021"/>
      <c r="G4128" s="1021"/>
      <c r="H4128" s="1482"/>
    </row>
    <row r="4129" spans="5:8">
      <c r="E4129" s="1482"/>
      <c r="F4129" s="1021"/>
      <c r="G4129" s="1021"/>
      <c r="H4129" s="1482"/>
    </row>
    <row r="4130" spans="5:8">
      <c r="E4130" s="1482"/>
      <c r="F4130" s="1021"/>
      <c r="G4130" s="1021"/>
      <c r="H4130" s="1482"/>
    </row>
    <row r="4131" spans="5:8">
      <c r="E4131" s="1481"/>
      <c r="F4131" s="1492"/>
      <c r="G4131" s="1492"/>
      <c r="H4131" s="1481"/>
    </row>
    <row r="4132" spans="5:8">
      <c r="E4132" s="1481"/>
      <c r="F4132" s="1492"/>
      <c r="G4132" s="1492"/>
      <c r="H4132" s="1481"/>
    </row>
    <row r="4133" spans="5:8">
      <c r="E4133" s="1481"/>
      <c r="F4133" s="1492"/>
      <c r="G4133" s="1492"/>
      <c r="H4133" s="1481"/>
    </row>
    <row r="4134" spans="5:8">
      <c r="E4134" s="1481"/>
      <c r="F4134" s="1492"/>
      <c r="G4134" s="1492"/>
      <c r="H4134" s="1481"/>
    </row>
    <row r="4135" spans="5:8">
      <c r="E4135" s="1481"/>
      <c r="F4135" s="1492"/>
      <c r="G4135" s="1492"/>
      <c r="H4135" s="1481"/>
    </row>
    <row r="4136" spans="5:8">
      <c r="E4136" s="1481"/>
      <c r="F4136" s="1492"/>
      <c r="G4136" s="1492"/>
      <c r="H4136" s="1481"/>
    </row>
    <row r="4137" spans="5:8">
      <c r="E4137" s="1481"/>
      <c r="F4137" s="1492"/>
      <c r="G4137" s="1492"/>
      <c r="H4137" s="1481"/>
    </row>
    <row r="4138" spans="5:8">
      <c r="E4138" s="1481"/>
      <c r="F4138" s="1492"/>
      <c r="G4138" s="1492"/>
      <c r="H4138" s="1481"/>
    </row>
    <row r="4139" spans="5:8">
      <c r="E4139" s="1481"/>
      <c r="F4139" s="1492"/>
      <c r="G4139" s="1492"/>
      <c r="H4139" s="1481"/>
    </row>
    <row r="4140" spans="5:8">
      <c r="E4140" s="1481"/>
      <c r="F4140" s="1492"/>
      <c r="G4140" s="1492"/>
      <c r="H4140" s="1481"/>
    </row>
    <row r="4141" spans="5:8">
      <c r="E4141" s="1481"/>
      <c r="F4141" s="1492"/>
      <c r="G4141" s="1492"/>
      <c r="H4141" s="1481"/>
    </row>
    <row r="4142" spans="5:8">
      <c r="E4142" s="1481"/>
      <c r="F4142" s="1492"/>
      <c r="G4142" s="1492"/>
      <c r="H4142" s="1481"/>
    </row>
    <row r="4143" spans="5:8">
      <c r="E4143" s="1481"/>
      <c r="F4143" s="1492"/>
      <c r="G4143" s="1492"/>
      <c r="H4143" s="1481"/>
    </row>
    <row r="4144" spans="5:8">
      <c r="E4144" s="1481"/>
      <c r="F4144" s="1492"/>
      <c r="G4144" s="1492"/>
      <c r="H4144" s="1481"/>
    </row>
    <row r="4145" spans="5:8">
      <c r="E4145" s="1481"/>
      <c r="F4145" s="1492"/>
      <c r="G4145" s="1492"/>
      <c r="H4145" s="1481"/>
    </row>
    <row r="4146" spans="5:8">
      <c r="E4146" s="1482"/>
      <c r="F4146" s="1021"/>
      <c r="G4146" s="1021"/>
      <c r="H4146" s="1482"/>
    </row>
    <row r="4147" spans="5:8">
      <c r="E4147" s="716" t="s">
        <v>2021</v>
      </c>
      <c r="F4147" s="909">
        <f>SUM(F4121:F4146)</f>
        <v>0</v>
      </c>
      <c r="G4147" s="909">
        <f>SUM(G4121:G4146)</f>
        <v>0</v>
      </c>
      <c r="H4147" s="1483"/>
    </row>
    <row r="4148" spans="5:8">
      <c r="E4148" s="1633" t="s">
        <v>1723</v>
      </c>
      <c r="F4148" s="1712">
        <f>审定利润表!C18</f>
        <v>0</v>
      </c>
      <c r="G4148" s="1712">
        <f>审定利润表!D18</f>
        <v>0</v>
      </c>
      <c r="H4148" s="1713"/>
    </row>
    <row r="4149" spans="5:8">
      <c r="E4149" s="1633" t="s">
        <v>1395</v>
      </c>
      <c r="F4149" s="1007">
        <f>ROUND(F4147-F4148,2)</f>
        <v>0</v>
      </c>
      <c r="G4149" s="1007">
        <f>ROUND(G4147-G4148,2)</f>
        <v>0</v>
      </c>
      <c r="H4149" s="1714"/>
    </row>
    <row r="4151" spans="5:10">
      <c r="E4151" s="70" t="s">
        <v>5162</v>
      </c>
      <c r="F4151" s="1558"/>
      <c r="G4151" s="1495"/>
      <c r="H4151" s="1495"/>
      <c r="I4151" s="1493"/>
      <c r="J4151" s="1493"/>
    </row>
    <row r="4152" spans="5:10">
      <c r="E4152" s="1919" t="s">
        <v>61</v>
      </c>
      <c r="F4152" s="1919" t="s">
        <v>2020</v>
      </c>
      <c r="G4152" s="1919" t="s">
        <v>672</v>
      </c>
      <c r="H4152" s="1919" t="s">
        <v>673</v>
      </c>
      <c r="I4152" s="1919" t="s">
        <v>316</v>
      </c>
      <c r="J4152" s="1919" t="s">
        <v>1197</v>
      </c>
    </row>
    <row r="4153" spans="5:10">
      <c r="E4153" s="1562" t="s">
        <v>3844</v>
      </c>
      <c r="F4153" s="743"/>
      <c r="G4153" s="136"/>
      <c r="H4153" s="136"/>
      <c r="I4153" s="139">
        <f>F4153+G4153-H4153</f>
        <v>0</v>
      </c>
      <c r="J4153" s="1577"/>
    </row>
    <row r="4154" spans="5:10">
      <c r="E4154" s="1562" t="s">
        <v>3845</v>
      </c>
      <c r="F4154" s="743"/>
      <c r="G4154" s="136"/>
      <c r="H4154" s="136"/>
      <c r="I4154" s="139">
        <f>F4154+G4154-H4154</f>
        <v>0</v>
      </c>
      <c r="J4154" s="1577"/>
    </row>
    <row r="4155" spans="5:10">
      <c r="E4155" s="1561" t="s">
        <v>2021</v>
      </c>
      <c r="F4155" s="834">
        <f>F4153+F4154</f>
        <v>0</v>
      </c>
      <c r="G4155" s="834">
        <f t="shared" ref="G4155:I4155" si="574">G4153+G4154</f>
        <v>0</v>
      </c>
      <c r="H4155" s="834">
        <f t="shared" si="574"/>
        <v>0</v>
      </c>
      <c r="I4155" s="834">
        <f t="shared" si="574"/>
        <v>0</v>
      </c>
      <c r="J4155" s="1578"/>
    </row>
    <row r="4156" spans="5:10">
      <c r="E4156" s="1361" t="s">
        <v>1723</v>
      </c>
      <c r="F4156" s="835">
        <f>审定资负表!H38</f>
        <v>0</v>
      </c>
      <c r="G4156" s="715"/>
      <c r="H4156" s="715"/>
      <c r="I4156" s="835">
        <f>审定资负表!G38</f>
        <v>0</v>
      </c>
      <c r="J4156" s="1579"/>
    </row>
    <row r="4157" spans="5:10">
      <c r="E4157" s="1361" t="s">
        <v>1395</v>
      </c>
      <c r="F4157" s="92">
        <f>ROUND(F4155-F4156,2)</f>
        <v>0</v>
      </c>
      <c r="G4157" s="715"/>
      <c r="H4157" s="715"/>
      <c r="I4157" s="92">
        <f>ROUND(I4155-I4156,2)</f>
        <v>0</v>
      </c>
      <c r="J4157" s="1579"/>
    </row>
  </sheetData>
  <sheetProtection formatCells="0" formatColumns="0" formatRows="0" insertHyperlinks="0" sort="0" autoFilter="0" pivotTables="0"/>
  <mergeCells count="195">
    <mergeCell ref="F2:H2"/>
    <mergeCell ref="I2:K2"/>
    <mergeCell ref="E58:G58"/>
    <mergeCell ref="E59:G59"/>
    <mergeCell ref="E96:I96"/>
    <mergeCell ref="E98:I98"/>
    <mergeCell ref="E119:I119"/>
    <mergeCell ref="E121:I121"/>
    <mergeCell ref="F197:I197"/>
    <mergeCell ref="J197:M197"/>
    <mergeCell ref="F209:I209"/>
    <mergeCell ref="J209:M209"/>
    <mergeCell ref="F320:I320"/>
    <mergeCell ref="J320:M320"/>
    <mergeCell ref="F563:I563"/>
    <mergeCell ref="J563:M563"/>
    <mergeCell ref="F575:I575"/>
    <mergeCell ref="J575:M575"/>
    <mergeCell ref="F687:I687"/>
    <mergeCell ref="J687:M687"/>
    <mergeCell ref="H903:J903"/>
    <mergeCell ref="E1053:K1053"/>
    <mergeCell ref="E1086:K1086"/>
    <mergeCell ref="G1120:I1120"/>
    <mergeCell ref="J1120:K1120"/>
    <mergeCell ref="G1143:H1143"/>
    <mergeCell ref="F1228:H1228"/>
    <mergeCell ref="I1228:K1228"/>
    <mergeCell ref="H1507:I1507"/>
    <mergeCell ref="H1728:J1728"/>
    <mergeCell ref="E2119:F2119"/>
    <mergeCell ref="H2195:K2195"/>
    <mergeCell ref="L2195:O2195"/>
    <mergeCell ref="F2355:G2355"/>
    <mergeCell ref="H2355:I2355"/>
    <mergeCell ref="G2403:K2403"/>
    <mergeCell ref="F2536:G2536"/>
    <mergeCell ref="H2536:I2536"/>
    <mergeCell ref="J2536:K2536"/>
    <mergeCell ref="F2555:G2555"/>
    <mergeCell ref="F2573:G2573"/>
    <mergeCell ref="I2660:J2660"/>
    <mergeCell ref="I3079:M3079"/>
    <mergeCell ref="I3080:M3080"/>
    <mergeCell ref="I3088:M3088"/>
    <mergeCell ref="E3089:N3089"/>
    <mergeCell ref="H3122:I3122"/>
    <mergeCell ref="H3138:I3138"/>
    <mergeCell ref="J3138:K3138"/>
    <mergeCell ref="I3359:J3359"/>
    <mergeCell ref="K3359:L3359"/>
    <mergeCell ref="E3468:I3468"/>
    <mergeCell ref="E3471:I3471"/>
    <mergeCell ref="I3475:J3475"/>
    <mergeCell ref="K3475:L3475"/>
    <mergeCell ref="F3668:H3668"/>
    <mergeCell ref="I3668:K3668"/>
    <mergeCell ref="E3700:J3700"/>
    <mergeCell ref="E3712:J3712"/>
    <mergeCell ref="F3731:G3731"/>
    <mergeCell ref="H3731:I3731"/>
    <mergeCell ref="K3731:L3731"/>
    <mergeCell ref="M3731:N3731"/>
    <mergeCell ref="O3731:P3731"/>
    <mergeCell ref="I3934:J3934"/>
    <mergeCell ref="F4034:L4034"/>
    <mergeCell ref="F4035:L4035"/>
    <mergeCell ref="G4039:K4039"/>
    <mergeCell ref="E4055:L4055"/>
    <mergeCell ref="E197:E198"/>
    <mergeCell ref="E209:E210"/>
    <mergeCell ref="E388:E389"/>
    <mergeCell ref="E563:E564"/>
    <mergeCell ref="E575:E577"/>
    <mergeCell ref="E731:E732"/>
    <mergeCell ref="E903:E904"/>
    <mergeCell ref="E1120:E1121"/>
    <mergeCell ref="E1228:E1229"/>
    <mergeCell ref="E1507:E1508"/>
    <mergeCell ref="E1728:E1729"/>
    <mergeCell ref="E2195:E2196"/>
    <mergeCell ref="E2283:E2284"/>
    <mergeCell ref="E2355:E2356"/>
    <mergeCell ref="E2403:E2404"/>
    <mergeCell ref="E2536:E2537"/>
    <mergeCell ref="E2555:E2556"/>
    <mergeCell ref="E2573:E2574"/>
    <mergeCell ref="E3079:E3082"/>
    <mergeCell ref="E3359:E3360"/>
    <mergeCell ref="E3388:E3389"/>
    <mergeCell ref="E3398:E3399"/>
    <mergeCell ref="E3409:E3410"/>
    <mergeCell ref="E3418:E3419"/>
    <mergeCell ref="E3432:E3433"/>
    <mergeCell ref="E3443:E3444"/>
    <mergeCell ref="E3475:E3476"/>
    <mergeCell ref="E3668:E3669"/>
    <mergeCell ref="E3731:E3732"/>
    <mergeCell ref="E3934:E3935"/>
    <mergeCell ref="F388:F389"/>
    <mergeCell ref="F576:F577"/>
    <mergeCell ref="F731:F732"/>
    <mergeCell ref="F903:F904"/>
    <mergeCell ref="F1507:F1508"/>
    <mergeCell ref="F1728:F1729"/>
    <mergeCell ref="F2195:F2196"/>
    <mergeCell ref="F2283:F2284"/>
    <mergeCell ref="F2403:F2404"/>
    <mergeCell ref="F3079:F3082"/>
    <mergeCell ref="F3359:F3360"/>
    <mergeCell ref="F3388:F3389"/>
    <mergeCell ref="F3398:F3399"/>
    <mergeCell ref="F3409:F3410"/>
    <mergeCell ref="F3418:F3419"/>
    <mergeCell ref="F3432:F3433"/>
    <mergeCell ref="F3443:F3444"/>
    <mergeCell ref="F3475:F3476"/>
    <mergeCell ref="F3934:F3935"/>
    <mergeCell ref="F4039:F4040"/>
    <mergeCell ref="G388:G389"/>
    <mergeCell ref="G576:G577"/>
    <mergeCell ref="G731:G732"/>
    <mergeCell ref="G903:G904"/>
    <mergeCell ref="G1507:G1508"/>
    <mergeCell ref="G1728:G1729"/>
    <mergeCell ref="G2195:G2196"/>
    <mergeCell ref="G2283:G2284"/>
    <mergeCell ref="G2604:G2605"/>
    <mergeCell ref="G3079:G3081"/>
    <mergeCell ref="G3359:G3360"/>
    <mergeCell ref="G3475:G3476"/>
    <mergeCell ref="G3934:G3935"/>
    <mergeCell ref="H388:H389"/>
    <mergeCell ref="H576:H577"/>
    <mergeCell ref="H731:H732"/>
    <mergeCell ref="H2283:H2284"/>
    <mergeCell ref="H3079:H3081"/>
    <mergeCell ref="H3359:H3360"/>
    <mergeCell ref="H3388:H3389"/>
    <mergeCell ref="H3398:H3399"/>
    <mergeCell ref="H3409:H3410"/>
    <mergeCell ref="H3418:H3419"/>
    <mergeCell ref="H3432:H3433"/>
    <mergeCell ref="H3443:H3444"/>
    <mergeCell ref="H3475:H3476"/>
    <mergeCell ref="H3934:H3935"/>
    <mergeCell ref="I388:I389"/>
    <mergeCell ref="I576:I577"/>
    <mergeCell ref="I731:I732"/>
    <mergeCell ref="I2283:I2284"/>
    <mergeCell ref="I3388:I3389"/>
    <mergeCell ref="I3398:I3399"/>
    <mergeCell ref="I3409:I3410"/>
    <mergeCell ref="I3418:I3419"/>
    <mergeCell ref="I3432:I3433"/>
    <mergeCell ref="I3443:I3444"/>
    <mergeCell ref="J388:J389"/>
    <mergeCell ref="J576:J577"/>
    <mergeCell ref="J731:J732"/>
    <mergeCell ref="J1507:J1508"/>
    <mergeCell ref="J2283:J2284"/>
    <mergeCell ref="J3388:J3389"/>
    <mergeCell ref="J3398:J3399"/>
    <mergeCell ref="J3409:J3410"/>
    <mergeCell ref="J3418:J3419"/>
    <mergeCell ref="J3432:J3433"/>
    <mergeCell ref="J3443:J3444"/>
    <mergeCell ref="J3731:J3732"/>
    <mergeCell ref="K576:K577"/>
    <mergeCell ref="K903:K904"/>
    <mergeCell ref="K1728:K1729"/>
    <mergeCell ref="K3388:K3389"/>
    <mergeCell ref="K3398:K3399"/>
    <mergeCell ref="K3409:K3410"/>
    <mergeCell ref="K3418:K3419"/>
    <mergeCell ref="K3432:K3433"/>
    <mergeCell ref="K3443:K3444"/>
    <mergeCell ref="K3934:K3935"/>
    <mergeCell ref="L576:L577"/>
    <mergeCell ref="L1728:L1729"/>
    <mergeCell ref="L2403:L2404"/>
    <mergeCell ref="L3934:L3935"/>
    <mergeCell ref="L4039:L4040"/>
    <mergeCell ref="M576:M577"/>
    <mergeCell ref="M1728:M1729"/>
    <mergeCell ref="N1728:N1729"/>
    <mergeCell ref="N3079:N3081"/>
    <mergeCell ref="O1728:O1729"/>
    <mergeCell ref="O3079:O3081"/>
    <mergeCell ref="P1728:P1729"/>
    <mergeCell ref="P3079:P3081"/>
    <mergeCell ref="Q1728:Q1729"/>
    <mergeCell ref="R1728:R1729"/>
    <mergeCell ref="S1728:S1729"/>
    <mergeCell ref="E2604:F2605"/>
  </mergeCells>
  <conditionalFormatting sqref="G27">
    <cfRule type="cellIs" dxfId="8" priority="79" operator="notEqual">
      <formula>0</formula>
    </cfRule>
  </conditionalFormatting>
  <conditionalFormatting sqref="E40">
    <cfRule type="containsText" dxfId="6" priority="80" operator="between" text="文字描述">
      <formula>NOT(ISERROR(SEARCH("文字描述",E40)))</formula>
    </cfRule>
  </conditionalFormatting>
  <conditionalFormatting sqref="H72">
    <cfRule type="containsText" dxfId="6" priority="72" operator="between" text="文字描述">
      <formula>NOT(ISERROR(SEARCH("文字描述",H72)))</formula>
    </cfRule>
  </conditionalFormatting>
  <conditionalFormatting sqref="E550">
    <cfRule type="containsText" dxfId="6" priority="5" operator="between" text="文字描述">
      <formula>NOT(ISERROR(SEARCH("文字描述",E550)))</formula>
    </cfRule>
  </conditionalFormatting>
  <conditionalFormatting sqref="E551">
    <cfRule type="containsText" dxfId="6" priority="3" operator="between" text="文字描述">
      <formula>NOT(ISERROR(SEARCH("文字描述",E551)))</formula>
    </cfRule>
  </conditionalFormatting>
  <conditionalFormatting sqref="E553">
    <cfRule type="containsText" dxfId="6" priority="2" operator="between" text="文字描述">
      <formula>NOT(ISERROR(SEARCH("文字描述",E553)))</formula>
    </cfRule>
  </conditionalFormatting>
  <conditionalFormatting sqref="E554">
    <cfRule type="containsText" dxfId="6" priority="1" operator="between" text="文字描述">
      <formula>NOT(ISERROR(SEARCH("文字描述",E554)))</formula>
    </cfRule>
  </conditionalFormatting>
  <conditionalFormatting sqref="E1145">
    <cfRule type="containsText" dxfId="6" priority="6" operator="between" text="文字描述">
      <formula>NOT(ISERROR(SEARCH("文字描述",E1145)))</formula>
    </cfRule>
  </conditionalFormatting>
  <conditionalFormatting sqref="I1310">
    <cfRule type="cellIs" dxfId="8" priority="87" operator="notEqual">
      <formula>0</formula>
    </cfRule>
    <cfRule type="containsText" dxfId="7" priority="88" operator="between" text="不">
      <formula>NOT(ISERROR(SEARCH("不",I1310)))</formula>
    </cfRule>
  </conditionalFormatting>
  <conditionalFormatting sqref="F1982">
    <cfRule type="cellIs" dxfId="8" priority="99" operator="notEqual">
      <formula>0</formula>
    </cfRule>
    <cfRule type="containsText" dxfId="7" priority="100" operator="between" text="不">
      <formula>NOT(ISERROR(SEARCH("不",F1982)))</formula>
    </cfRule>
  </conditionalFormatting>
  <conditionalFormatting sqref="H1982">
    <cfRule type="cellIs" dxfId="8" priority="83" operator="notEqual">
      <formula>0</formula>
    </cfRule>
    <cfRule type="containsText" dxfId="7" priority="84" operator="between" text="不">
      <formula>NOT(ISERROR(SEARCH("不",H1982)))</formula>
    </cfRule>
  </conditionalFormatting>
  <conditionalFormatting sqref="E2566">
    <cfRule type="containsText" dxfId="6" priority="37" operator="between" text="文字描述">
      <formula>NOT(ISERROR(SEARCH("文字描述",E2566)))</formula>
    </cfRule>
  </conditionalFormatting>
  <conditionalFormatting sqref="G2995">
    <cfRule type="cellIs" dxfId="8" priority="75" operator="notEqual">
      <formula>0</formula>
    </cfRule>
    <cfRule type="containsText" dxfId="7" priority="76" operator="between" text="不">
      <formula>NOT(ISERROR(SEARCH("不",G2995)))</formula>
    </cfRule>
  </conditionalFormatting>
  <conditionalFormatting sqref="F3005:G3005">
    <cfRule type="cellIs" dxfId="8" priority="85" operator="notEqual">
      <formula>0</formula>
    </cfRule>
    <cfRule type="containsText" dxfId="7" priority="86" operator="between" text="不">
      <formula>NOT(ISERROR(SEARCH("不",F3005)))</formula>
    </cfRule>
  </conditionalFormatting>
  <conditionalFormatting sqref="E3051">
    <cfRule type="containsText" dxfId="6" priority="41" operator="between" text="文字描述">
      <formula>NOT(ISERROR(SEARCH("文字描述",E3051)))</formula>
    </cfRule>
  </conditionalFormatting>
  <conditionalFormatting sqref="I3158">
    <cfRule type="containsText" dxfId="7" priority="42" operator="between" text="不">
      <formula>NOT(ISERROR(SEARCH("不",I3158)))</formula>
    </cfRule>
  </conditionalFormatting>
  <conditionalFormatting sqref="E3166">
    <cfRule type="containsText" dxfId="6" priority="44" operator="between" text="文字描述">
      <formula>NOT(ISERROR(SEARCH("文字描述",E3166)))</formula>
    </cfRule>
  </conditionalFormatting>
  <conditionalFormatting sqref="F3792:G3792">
    <cfRule type="cellIs" dxfId="8" priority="64" operator="notEqual">
      <formula>0</formula>
    </cfRule>
    <cfRule type="containsText" dxfId="7" priority="65" operator="between" text="不">
      <formula>NOT(ISERROR(SEARCH("不",F3792)))</formula>
    </cfRule>
  </conditionalFormatting>
  <conditionalFormatting sqref="E3793">
    <cfRule type="containsText" dxfId="6" priority="66" operator="between" text="文字描述">
      <formula>NOT(ISERROR(SEARCH("文字描述",E3793)))</formula>
    </cfRule>
  </conditionalFormatting>
  <conditionalFormatting sqref="J3842">
    <cfRule type="cellIs" dxfId="8" priority="101" operator="notEqual">
      <formula>0</formula>
    </cfRule>
    <cfRule type="containsText" dxfId="7" priority="102" operator="between" text="不">
      <formula>NOT(ISERROR(SEARCH("不",J3842)))</formula>
    </cfRule>
  </conditionalFormatting>
  <conditionalFormatting sqref="H3918">
    <cfRule type="cellIs" dxfId="8" priority="95" operator="notEqual">
      <formula>0</formula>
    </cfRule>
    <cfRule type="containsText" dxfId="7" priority="96" operator="between" text="不">
      <formula>NOT(ISERROR(SEARCH("不",H3918)))</formula>
    </cfRule>
  </conditionalFormatting>
  <conditionalFormatting sqref="J3918">
    <cfRule type="cellIs" dxfId="8" priority="89" operator="notEqual">
      <formula>0</formula>
    </cfRule>
    <cfRule type="containsText" dxfId="7" priority="90" operator="between" text="不">
      <formula>NOT(ISERROR(SEARCH("不",J3918)))</formula>
    </cfRule>
  </conditionalFormatting>
  <conditionalFormatting sqref="L3918">
    <cfRule type="cellIs" dxfId="8" priority="91" operator="notEqual">
      <formula>0</formula>
    </cfRule>
    <cfRule type="containsText" dxfId="7" priority="92" operator="between" text="不">
      <formula>NOT(ISERROR(SEARCH("不",L3918)))</formula>
    </cfRule>
  </conditionalFormatting>
  <conditionalFormatting sqref="E4036">
    <cfRule type="containsText" dxfId="6" priority="69" operator="between" text="文字描述">
      <formula>NOT(ISERROR(SEARCH("文字描述",E4036)))</formula>
    </cfRule>
  </conditionalFormatting>
  <conditionalFormatting sqref="E4038">
    <cfRule type="containsText" dxfId="6" priority="51" operator="between" text="文字描述">
      <formula>NOT(ISERROR(SEARCH("文字描述",E4038)))</formula>
    </cfRule>
  </conditionalFormatting>
  <conditionalFormatting sqref="F4038:L4038">
    <cfRule type="containsText" dxfId="6" priority="52" operator="between" text="文字描述">
      <formula>NOT(ISERROR(SEARCH("文字描述",F4038)))</formula>
    </cfRule>
  </conditionalFormatting>
  <conditionalFormatting sqref="G4039">
    <cfRule type="containsText" dxfId="6" priority="56" operator="between" text="文字描述">
      <formula>NOT(ISERROR(SEARCH("文字描述",G4039)))</formula>
    </cfRule>
  </conditionalFormatting>
  <conditionalFormatting sqref="L4039">
    <cfRule type="containsText" dxfId="6" priority="53" operator="between" text="文字描述">
      <formula>NOT(ISERROR(SEARCH("文字描述",L4039)))</formula>
    </cfRule>
  </conditionalFormatting>
  <conditionalFormatting sqref="G4040">
    <cfRule type="containsText" dxfId="6" priority="55" operator="between" text="文字描述">
      <formula>NOT(ISERROR(SEARCH("文字描述",G4040)))</formula>
    </cfRule>
  </conditionalFormatting>
  <conditionalFormatting sqref="H4040:K4040">
    <cfRule type="containsText" dxfId="6" priority="54" operator="between" text="文字描述">
      <formula>NOT(ISERROR(SEARCH("文字描述",H4040)))</formula>
    </cfRule>
  </conditionalFormatting>
  <conditionalFormatting sqref="F4057">
    <cfRule type="cellIs" dxfId="8" priority="49" operator="notEqual">
      <formula>0</formula>
    </cfRule>
    <cfRule type="containsText" dxfId="7" priority="50" operator="between" text="不">
      <formula>NOT(ISERROR(SEARCH("不",F4057)))</formula>
    </cfRule>
  </conditionalFormatting>
  <conditionalFormatting sqref="J4057">
    <cfRule type="cellIs" dxfId="8" priority="11" operator="notEqual">
      <formula>0</formula>
    </cfRule>
    <cfRule type="containsText" dxfId="7" priority="12" operator="between" text="不">
      <formula>NOT(ISERROR(SEARCH("不",J4057)))</formula>
    </cfRule>
  </conditionalFormatting>
  <conditionalFormatting sqref="L4057">
    <cfRule type="cellIs" dxfId="8" priority="45" operator="notEqual">
      <formula>0</formula>
    </cfRule>
    <cfRule type="containsText" dxfId="7" priority="46" operator="between" text="不">
      <formula>NOT(ISERROR(SEARCH("不",L4057)))</formula>
    </cfRule>
  </conditionalFormatting>
  <conditionalFormatting sqref="F4072:G4072">
    <cfRule type="cellIs" dxfId="8" priority="33" operator="notEqual">
      <formula>0</formula>
    </cfRule>
    <cfRule type="containsText" dxfId="7" priority="34" operator="between" text="不">
      <formula>NOT(ISERROR(SEARCH("不",F4072)))</formula>
    </cfRule>
  </conditionalFormatting>
  <conditionalFormatting sqref="F4087:G4087">
    <cfRule type="cellIs" dxfId="8" priority="29" operator="notEqual">
      <formula>0</formula>
    </cfRule>
    <cfRule type="containsText" dxfId="7" priority="30" operator="between" text="不">
      <formula>NOT(ISERROR(SEARCH("不",F4087)))</formula>
    </cfRule>
  </conditionalFormatting>
  <conditionalFormatting sqref="E4089">
    <cfRule type="containsText" dxfId="6" priority="28" operator="between" text="文字描述">
      <formula>NOT(ISERROR(SEARCH("文字描述",E4089)))</formula>
    </cfRule>
  </conditionalFormatting>
  <conditionalFormatting sqref="F4102:G4102">
    <cfRule type="cellIs" dxfId="8" priority="24" operator="notEqual">
      <formula>0</formula>
    </cfRule>
    <cfRule type="containsText" dxfId="7" priority="25" operator="between" text="不">
      <formula>NOT(ISERROR(SEARCH("不",F4102)))</formula>
    </cfRule>
  </conditionalFormatting>
  <conditionalFormatting sqref="E4104">
    <cfRule type="containsText" dxfId="6" priority="23" operator="between" text="文字描述">
      <formula>NOT(ISERROR(SEARCH("文字描述",E4104)))</formula>
    </cfRule>
  </conditionalFormatting>
  <conditionalFormatting sqref="E4106">
    <cfRule type="containsText" dxfId="6" priority="7" operator="between" text="文字描述">
      <formula>NOT(ISERROR(SEARCH("文字描述",E4106)))</formula>
    </cfRule>
  </conditionalFormatting>
  <conditionalFormatting sqref="F4117:G4117">
    <cfRule type="cellIs" dxfId="8" priority="19" operator="notEqual">
      <formula>0</formula>
    </cfRule>
    <cfRule type="containsText" dxfId="7" priority="20" operator="between" text="不">
      <formula>NOT(ISERROR(SEARCH("不",F4117)))</formula>
    </cfRule>
  </conditionalFormatting>
  <conditionalFormatting sqref="E4119">
    <cfRule type="containsText" dxfId="6" priority="15" operator="between" text="文字描述">
      <formula>NOT(ISERROR(SEARCH("文字描述",E4119)))</formula>
    </cfRule>
  </conditionalFormatting>
  <conditionalFormatting sqref="F4149:G4149">
    <cfRule type="cellIs" dxfId="8" priority="16" operator="notEqual">
      <formula>0</formula>
    </cfRule>
    <cfRule type="containsText" dxfId="7" priority="17" operator="between" text="不">
      <formula>NOT(ISERROR(SEARCH("不",F4149)))</formula>
    </cfRule>
  </conditionalFormatting>
  <conditionalFormatting sqref="E849:E854">
    <cfRule type="containsText" dxfId="6" priority="74" operator="between" text="文字描述">
      <formula>NOT(ISERROR(SEARCH("文字描述",E849)))</formula>
    </cfRule>
  </conditionalFormatting>
  <conditionalFormatting sqref="E905:E910">
    <cfRule type="containsText" dxfId="6" priority="73" operator="between" text="文字描述">
      <formula>NOT(ISERROR(SEARCH("文字描述",E905)))</formula>
    </cfRule>
  </conditionalFormatting>
  <conditionalFormatting sqref="E2040:E2042">
    <cfRule type="containsText" dxfId="6" priority="59" operator="between" text="文字描述">
      <formula>NOT(ISERROR(SEARCH("文字描述",E2040)))</formula>
    </cfRule>
  </conditionalFormatting>
  <conditionalFormatting sqref="E3128:E3130">
    <cfRule type="containsText" dxfId="6" priority="38" operator="between" text="文字描述">
      <formula>NOT(ISERROR(SEARCH("文字描述",E3128)))</formula>
    </cfRule>
  </conditionalFormatting>
  <conditionalFormatting sqref="E3178:E3179">
    <cfRule type="containsText" dxfId="6" priority="43" operator="between" text="文字描述">
      <formula>NOT(ISERROR(SEARCH("文字描述",E3178)))</formula>
    </cfRule>
  </conditionalFormatting>
  <conditionalFormatting sqref="E3921:E3929">
    <cfRule type="containsText" dxfId="6" priority="82" operator="between" text="文字描述">
      <formula>NOT(ISERROR(SEARCH("文字描述",E3921)))</formula>
    </cfRule>
  </conditionalFormatting>
  <conditionalFormatting sqref="E4030:E4031">
    <cfRule type="containsText" dxfId="6" priority="70" operator="between" text="文字描述">
      <formula>NOT(ISERROR(SEARCH("文字描述",E4030)))</formula>
    </cfRule>
  </conditionalFormatting>
  <conditionalFormatting sqref="E4059:E4070">
    <cfRule type="containsText" dxfId="6" priority="36" operator="between" text="文字描述">
      <formula>NOT(ISERROR(SEARCH("文字描述",E4059)))</formula>
    </cfRule>
  </conditionalFormatting>
  <conditionalFormatting sqref="E4071:E4072">
    <cfRule type="containsText" dxfId="6" priority="35" operator="between" text="文字描述">
      <formula>NOT(ISERROR(SEARCH("文字描述",E4071)))</formula>
    </cfRule>
  </conditionalFormatting>
  <conditionalFormatting sqref="E4074:E4085">
    <cfRule type="containsText" dxfId="6" priority="32" operator="between" text="文字描述">
      <formula>NOT(ISERROR(SEARCH("文字描述",E4074)))</formula>
    </cfRule>
  </conditionalFormatting>
  <conditionalFormatting sqref="E4086:E4087">
    <cfRule type="containsText" dxfId="6" priority="31" operator="between" text="文字描述">
      <formula>NOT(ISERROR(SEARCH("文字描述",E4086)))</formula>
    </cfRule>
  </conditionalFormatting>
  <conditionalFormatting sqref="E4090:E4100">
    <cfRule type="containsText" dxfId="6" priority="27" operator="between" text="文字描述">
      <formula>NOT(ISERROR(SEARCH("文字描述",E4090)))</formula>
    </cfRule>
  </conditionalFormatting>
  <conditionalFormatting sqref="E4101:E4102">
    <cfRule type="containsText" dxfId="6" priority="26" operator="between" text="文字描述">
      <formula>NOT(ISERROR(SEARCH("文字描述",E4101)))</formula>
    </cfRule>
  </conditionalFormatting>
  <conditionalFormatting sqref="E4116:E4117">
    <cfRule type="containsText" dxfId="6" priority="21" operator="between" text="文字描述">
      <formula>NOT(ISERROR(SEARCH("文字描述",E4116)))</formula>
    </cfRule>
  </conditionalFormatting>
  <conditionalFormatting sqref="E4120:E4149">
    <cfRule type="containsText" dxfId="6" priority="18" operator="between" text="文字描述">
      <formula>NOT(ISERROR(SEARCH("文字描述",E4120)))</formula>
    </cfRule>
  </conditionalFormatting>
  <conditionalFormatting sqref="E4151:E4157">
    <cfRule type="containsText" dxfId="6" priority="10" operator="between" text="文字描述">
      <formula>NOT(ISERROR(SEARCH("文字描述",E4151)))</formula>
    </cfRule>
  </conditionalFormatting>
  <conditionalFormatting sqref="E118:E220 E3844:E3850 E2912:E2961 F2887:G2887 E2197:O2200 E2144:I2144 F2752:G2752 I3549:J3549 E2847 E2877:E2883 F2823:G2823 E2817:E2819 E2821:E2838 E2145:E2196 E2283:H2305 E2885:E2902 E2776 E2763:E2767 I2914:I2925 D1567:D1578 F582:M582 E109 E95:E100 E319:E329 E455:E457 E89 E1657:F1657 E1667:F1667 E1658:E1666 E60:E82 E856:E904 E1668:E1900 E3895:E3903 E1902:E2039 E3920 E1:E34 E41:E56 E2547:E2556 E2567:E2574 E3154:E3165 E1426:E1656 E3990:E3991 E3930:E3933 E3937:E3943 E3945:E3951 E1039 E1049:E1144 E4032:E4035 E3794:E3795 E3749:E3792 E2043:E2143 E2578:E2754 E4055:E4058 E4037 E4039:E4052 E3167:E3177 E911:E1031 E3180:E3747 E2963:E3035 E3037:E3050 E3052:E3127 E3131:E3152 E4073 E4088 E4103 E4118 E4150 E4158:E1048576 E499:E549 E1222:E1421 E1146:E1220 E2201:E2537 E3905:E3918 E552 E555:E848">
    <cfRule type="containsText" dxfId="6" priority="233" operator="between" text="文字描述">
      <formula>NOT(ISERROR(SEARCH("文字描述",D1)))</formula>
    </cfRule>
  </conditionalFormatting>
  <conditionalFormatting sqref="J3894 J3892 F3223:G3223 F3221:G3221 N2233:N2235 F2436 J2436 F2467 I2467 F2553:I2553 F2571:I2571 F2589:I2589 F2653:G2653 F2533:I2533 F2675:G2675 F2728:G2728 F2748:G2748 F2822:G2822 F2886:G2886 F2927:G2927 F2959:G2959 F3155:G3155 F3157:G3157 F1780:G1780 F1804:G1804 F1818:G1818 F1835:G1835 F1899:G1899 F1362:G1362 I1982 F2019 I2019 F2059:G2059 F2073:G2073 F2169 I2169 F2182:G2182 F2191:G2191 F2265:G2265 F2280:G2280 N2327 G2344:H2344 F2379 I2379 F2396:G2396 F2421 L2421 F2489 I2489 F2512:G2512 F2476 I2476 F2632:G2632 F3004:G3004 F2703:G2703 F2033:G2033 J2327 F2995 I3789 I3791 J3840 H1083 K1083 F1512:H1512 F1575 I1575 F1631 I556 F584:F587 H584:H587 J584:J587 L584:L587 H27 F207 J207 F217:F220 L330:L498 J456:J498 H456:H457 F456:F457 H217:H220 J217:J220 L217:L220 H469:H498 G727:H727 I776 H804 F319 L319 J319 H319 F1117 K27 F56:G56 F78:G78 F508 H508 F573 J573 F151 I151 F182 I182 H866 K866 F956:G956 F968:G968 F996:G996 F1022:G1022 J1170 H1276 K1276 F1346 I1346 F1389 I1389 F1412 I1412 F1482 G1554 K1554 F1504 I1504 G1593:H1593 H1631 F1633 G1310 F1320 I1320 Q1310 F1170 F2993:G2993 I1117 I1482 H1633 F3190:G3190 F3192:G3192 J3838">
    <cfRule type="cellIs" dxfId="8" priority="227" operator="notEqual">
      <formula>0</formula>
    </cfRule>
  </conditionalFormatting>
  <conditionalFormatting sqref="H1828:H1832 H1894:H1896 H2066:H2070 J503:J505 O565:O570 R572 O199:O204 R206 O322:O327 O689:O694">
    <cfRule type="containsText" dxfId="7" priority="232" operator="between" text="不合理">
      <formula>NOT(ISERROR(SEARCH("不合理",H199)))</formula>
    </cfRule>
  </conditionalFormatting>
  <conditionalFormatting sqref="G506 I506 G581 G571 K581 K571 G205 K205 G214 K214 G695 K695">
    <cfRule type="cellIs" dxfId="8" priority="226" operator="between">
      <formula>0.0001</formula>
      <formula>0.9999</formula>
    </cfRule>
  </conditionalFormatting>
  <conditionalFormatting sqref="J3894 J3892 F3221:G3221 F3223:G3223 G2909:G2911 I3156:I3157 N2233:N2235 F2265:G2265 F2436 J2436 F2467 I2467 F2553:I2553 F2571:I2571 F2589:I2589 F2653:G2653 H2711:I2725 F2533:I2533 F2675:G2675 F2728:G2728 F2748:G2748 F2822:G2822 F2886:G2886 F2927:G2927 F2959:G2959 F3155:G3155 F3157:G3157 F1780:G1780 F1804:G1804 F1818:G1818 F1835:G1835 F1899:G1899 F1362:G1362 I1982 F2019 I2019 F2059:G2059 F2073:G2073 F2169 I2169 F2182:G2182 F2191:G2191 F2280:G2280 N2327 G2344:H2344 F2379 I2379 F2396:G2396 F2421 L2421 F2489 I2489 F2512:G2512 F2476 I2476 F2632:G2632 F3004:G3004 F2703:G2703 F2033:G2033 J2327 F2995 I3789 I3791 J3840 H866 K866 H1083 K1083 F1512:H1512 F1575 I1575 F1631 R1734:S1736 R1738:S1739 R1741:S1743 F508 H508 G507 I507 I556 F573 J573 J584:J587 G584 G572 K572 G206 K206 L584:L587 H469 R1730:S1731 G217:G220 G319 K319 F1117 K584 G727:H727 I776 K330:K411 H804 K217:K220 G456:G457 F584:F587 H584:H587 F956:G956 F968:G968 F996:G996 F1022:G1022 J1170 H1276 K1276 F1346 I1346 F1389 I1389 F1412 I1412 F1482 G1554 K1554 F1504 I1504 G1593:H1593 H1631 F1633 G1310 F1320 I1320 Q1310 F1170 F2993:G2993 I1117 I1482 H1633 F3190:G3190 F3192:G3192 J3838 K414:K428 K434:K439 K430:K432 K441:K498">
    <cfRule type="containsText" dxfId="7" priority="228" operator="between" text="不">
      <formula>NOT(ISERROR(SEARCH("不",F206)))</formula>
    </cfRule>
  </conditionalFormatting>
  <conditionalFormatting sqref="Q272:Q318 Q223:Q269 Q590:Q636 Q639:Q685">
    <cfRule type="containsText" dxfId="7" priority="231" operator="between" text="错误请核对">
      <formula>NOT(ISERROR(SEARCH("错误请核对",Q223)))</formula>
    </cfRule>
  </conditionalFormatting>
  <conditionalFormatting sqref="I3155 K1509 J1602:J1629">
    <cfRule type="containsText" dxfId="7" priority="229" operator="between" text="不">
      <formula>NOT(ISERROR(SEARCH("不",I1509)))</formula>
    </cfRule>
    <cfRule type="containsText" priority="230" operator="between" text="不">
      <formula>NOT(ISERROR(SEARCH("不",I1509)))</formula>
    </cfRule>
  </conditionalFormatting>
  <conditionalFormatting sqref="F3790:G3791">
    <cfRule type="cellIs" dxfId="8" priority="60" operator="notEqual">
      <formula>0</formula>
    </cfRule>
    <cfRule type="containsText" dxfId="7" priority="61" operator="between" text="不">
      <formula>NOT(ISERROR(SEARCH("不",F3790)))</formula>
    </cfRule>
  </conditionalFormatting>
  <conditionalFormatting sqref="E4105 E4107:E4115">
    <cfRule type="containsText" dxfId="6" priority="22" operator="between" text="文字描述">
      <formula>NOT(ISERROR(SEARCH("文字描述",E4105)))</formula>
    </cfRule>
  </conditionalFormatting>
  <conditionalFormatting sqref="F4157 I4157">
    <cfRule type="cellIs" dxfId="8" priority="8" operator="notEqual">
      <formula>0</formula>
    </cfRule>
    <cfRule type="containsText" dxfId="7" priority="9" operator="between" text="不">
      <formula>NOT(ISERROR(SEARCH("不",F4157)))</formula>
    </cfRule>
  </conditionalFormatting>
  <dataValidations count="1">
    <dataValidation type="list" allowBlank="1" showInputMessage="1" showErrorMessage="1" sqref="E40">
      <formula1>"4、贷款质押的银行存款,5、证券账户资金,6、保函保证金,7、土地保证金,8其他"</formula1>
    </dataValidation>
  </dataValidations>
  <hyperlinks>
    <hyperlink ref="F2752" location="'1.管理费用'!A1" display="连接表“1.管理费用”"/>
    <hyperlink ref="F2823" location="'2.销售费用'!A1" display="连接表“2.销售费用”"/>
    <hyperlink ref="G2732" location="报表附注合并期初用!C2312" display="(上期请点击连接填写)"/>
    <hyperlink ref="G2913" location="报表附注合并期初用!C2342" display="(上期请点击连接填写)"/>
    <hyperlink ref="G2979" location="报表附注合并期初用!C2392" display="(上期请点击连接填写)"/>
    <hyperlink ref="G2710" location="报表附注合并期初用!C2278" display="(上期请点击连接填写)"/>
    <hyperlink ref="G2659" location="报表附注合并期初用!C2248" display="(上期请点击连接填写)"/>
    <hyperlink ref="F1991" location="报表附注合并期初用!C1834" display="(期初请点击连接填写)"/>
    <hyperlink ref="F1952" location="报表附注合并期初用!C1726" display="(期初请点击连接填写)"/>
    <hyperlink ref="F1727" location="报表附注合并期初用!C1541" display="(期初请点击连接填写)"/>
    <hyperlink ref="G2621" location="报表附注合并期初用!C2226" display="(上期请点击连接填写)"/>
    <hyperlink ref="G2998" location="报表附注合并期初用!C2442" display="(上期请点击连接填写)"/>
    <hyperlink ref="F1418" location="报表附注!E3850" display="《无形资产》请点击连接填写"/>
    <hyperlink ref="F1142" location="报表附注!E3795" display="《固定资产》请点击连接填写"/>
    <hyperlink ref="F3795" location="报表附注!E1142" display="（返回公式连接表）"/>
    <hyperlink ref="F3850" location="报表附注!E1418" display="（返回公式连接表）"/>
    <hyperlink ref="F3749" location="报表附注!E1101" display="（返回公式连接表）"/>
    <hyperlink ref="G1770" location="报表附注合并期初用!C1562" display="(期初请点击连接填写)"/>
    <hyperlink ref="G1809" location="报表附注合并期初用!C1594" display="(期初请点击连接填写)"/>
    <hyperlink ref="G1824" location="报表附注合并期初用!C1610" display="(期初请点击连接填写)"/>
    <hyperlink ref="G1890" location="报表附注合并期初用!C1628" display="(期初请点击连接填写)"/>
    <hyperlink ref="G2063" location="报表附注合并期初用!C1872" display="(期初请点击连接填写)"/>
    <hyperlink ref="G2174" location="报表附注合并期初用!C1921" display="(期初请点击连接填写)"/>
    <hyperlink ref="F2470" location="报表附注合并期初用!C1979" display="(期初请点击连接填写)"/>
    <hyperlink ref="F2481" location="报表附注合并期初用!C1993" display="(期初请点击连接填写)"/>
    <hyperlink ref="G2527" location="报表附注合并期初用!C2016" display="(上期请点击连接填写)"/>
    <hyperlink ref="F1101" location="报表附注!E3749" display="《投资性房地产》请点击连接填写"/>
    <hyperlink ref="H1599" location="报表附注合并期初用!C1191" display="(期初请点击连接填写)"/>
    <hyperlink ref="I1599" location="报表附注合并期初用!C1220" display="(期初请点击连接填写)"/>
    <hyperlink ref="H1" location="附注、报表核对!A1" display="【返回】附注、报表核对"/>
    <hyperlink ref="I1" location="现流表勾稽!A1" display="【返回】现流表勾稽"/>
    <hyperlink ref="J1" location="审定资负表!A1" display="【返回】审定资负表"/>
    <hyperlink ref="K1" location="本月审定利润表!A1" display="【返回】本月审定利润表"/>
    <hyperlink ref="L1" location="本月审定现流表!A1" display="【返回】本月审定现流表"/>
    <hyperlink ref="I2527" location="报表附注合并期初用!C2024" display="(上期请点击连接填写)"/>
    <hyperlink ref="F2158" location="报表附注合并期初用!C1890" display="(期初请点击连接填写)"/>
    <hyperlink ref="G2272" location="报表附注合并期初用!C1951" display="(期初请点击连接填写)"/>
  </hyperlinks>
  <pageMargins left="0.7" right="0.7" top="0.75" bottom="0.75" header="0.3" footer="0.3"/>
  <pageSetup paperSize="9" orientation="portrait"/>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93"/>
  <sheetViews>
    <sheetView topLeftCell="C3" workbookViewId="0">
      <selection activeCell="E18" sqref="E18"/>
    </sheetView>
  </sheetViews>
  <sheetFormatPr defaultColWidth="9" defaultRowHeight="14.25"/>
  <cols>
    <col min="1" max="1" width="6.625" hidden="1" customWidth="1"/>
    <col min="2" max="2" width="30.375" hidden="1" customWidth="1"/>
    <col min="3" max="3" width="34.25" customWidth="1"/>
    <col min="4" max="4" width="19.625" customWidth="1"/>
    <col min="5" max="5" width="18.875" customWidth="1"/>
    <col min="6" max="6" width="18.625" customWidth="1"/>
    <col min="7" max="7" width="15.375" customWidth="1"/>
    <col min="8" max="8" width="14" customWidth="1"/>
    <col min="9" max="9" width="16.375" customWidth="1"/>
    <col min="10" max="10" width="13.125" customWidth="1"/>
  </cols>
  <sheetData>
    <row r="1" ht="65.25" hidden="1" spans="1:6">
      <c r="A1" s="650" t="s">
        <v>5163</v>
      </c>
      <c r="B1" s="651"/>
      <c r="C1" s="651"/>
      <c r="D1" s="431"/>
      <c r="E1" s="651"/>
      <c r="F1" s="651"/>
    </row>
    <row r="2" hidden="1" spans="1:6">
      <c r="A2" s="651" t="s">
        <v>5164</v>
      </c>
      <c r="B2" s="651" t="s">
        <v>5164</v>
      </c>
      <c r="C2" s="651"/>
      <c r="D2" s="431"/>
      <c r="E2" s="651"/>
      <c r="F2" s="651"/>
    </row>
    <row r="3" ht="30.2" customHeight="1" spans="1:6">
      <c r="A3" s="652" t="s">
        <v>5165</v>
      </c>
      <c r="B3" s="653"/>
      <c r="C3" s="653" t="s">
        <v>5166</v>
      </c>
      <c r="D3" s="653"/>
      <c r="E3" s="653"/>
      <c r="F3" s="653"/>
    </row>
    <row r="4" ht="52.5" customHeight="1" spans="1:6">
      <c r="A4" s="652" t="s">
        <v>5165</v>
      </c>
      <c r="B4" s="652"/>
      <c r="C4" s="402" t="s">
        <v>5167</v>
      </c>
      <c r="D4" s="402"/>
      <c r="E4" s="402"/>
      <c r="F4" s="402"/>
    </row>
    <row r="5" ht="13.5" customHeight="1" spans="1:10">
      <c r="A5" s="667"/>
      <c r="B5" s="667"/>
      <c r="C5" s="432" t="s">
        <v>61</v>
      </c>
      <c r="D5" s="433" t="s">
        <v>5168</v>
      </c>
      <c r="E5" s="434" t="s">
        <v>5169</v>
      </c>
      <c r="F5" s="432" t="s">
        <v>5170</v>
      </c>
      <c r="G5" s="432" t="s">
        <v>5171</v>
      </c>
      <c r="H5" s="675"/>
      <c r="J5" s="452"/>
    </row>
    <row r="6" ht="13.5" customHeight="1" spans="1:10">
      <c r="A6" s="669" t="s">
        <v>5172</v>
      </c>
      <c r="B6" s="409" t="s">
        <v>5173</v>
      </c>
      <c r="C6" s="676" t="s">
        <v>5174</v>
      </c>
      <c r="D6" s="437">
        <f t="shared" ref="D6:D15" si="0">SUMIF($D$22:$D$92,C6,$E$22:$E$92)</f>
        <v>1334310.25</v>
      </c>
      <c r="E6" s="437">
        <f>SUMIF($D$22:$D$92,C6,$F$22:$F$92)</f>
        <v>1501096.57</v>
      </c>
      <c r="F6" s="437">
        <f>SUMIF($D$22:$D$92,C6,$G$22:$G$92)</f>
        <v>2366350.84</v>
      </c>
      <c r="G6" s="437">
        <f>SUMIF($D$22:$D$92,C6,$H$22:$H$92)</f>
        <v>3586726.23</v>
      </c>
      <c r="H6" s="677"/>
      <c r="J6" s="452"/>
    </row>
    <row r="7" ht="13.5" customHeight="1" spans="1:10">
      <c r="A7" s="669"/>
      <c r="B7" s="409"/>
      <c r="C7" s="678" t="s">
        <v>5175</v>
      </c>
      <c r="D7" s="437">
        <f t="shared" si="0"/>
        <v>178574.58</v>
      </c>
      <c r="E7" s="437">
        <f t="shared" ref="E7:E15" si="1">SUMIF($D$22:$D$92,C7,$F$22:$F$92)</f>
        <v>271657.2</v>
      </c>
      <c r="F7" s="437">
        <f t="shared" ref="F7:F15" si="2">SUMIF($D$22:$D$92,C7,$G$22:$G$92)</f>
        <v>522137.91</v>
      </c>
      <c r="G7" s="437">
        <f t="shared" ref="G7:G15" si="3">SUMIF($D$22:$D$92,C7,$H$22:$H$92)</f>
        <v>812697.65</v>
      </c>
      <c r="H7" s="677"/>
      <c r="J7" s="452"/>
    </row>
    <row r="8" ht="13.5" customHeight="1" spans="1:10">
      <c r="A8" s="669" t="s">
        <v>5176</v>
      </c>
      <c r="B8" s="409" t="s">
        <v>5173</v>
      </c>
      <c r="C8" s="678" t="s">
        <v>5177</v>
      </c>
      <c r="D8" s="437">
        <f t="shared" si="0"/>
        <v>403244.94</v>
      </c>
      <c r="E8" s="437">
        <f t="shared" si="1"/>
        <v>380175.66</v>
      </c>
      <c r="F8" s="437">
        <f t="shared" si="2"/>
        <v>222697.82</v>
      </c>
      <c r="G8" s="437">
        <f t="shared" si="3"/>
        <v>107545.75</v>
      </c>
      <c r="H8" s="677"/>
      <c r="J8" s="452"/>
    </row>
    <row r="9" ht="13.5" customHeight="1" spans="1:10">
      <c r="A9" s="669"/>
      <c r="B9" s="409"/>
      <c r="C9" s="678" t="s">
        <v>5178</v>
      </c>
      <c r="D9" s="437">
        <f t="shared" si="0"/>
        <v>2489554.08</v>
      </c>
      <c r="E9" s="437">
        <f t="shared" si="1"/>
        <v>3702244.82</v>
      </c>
      <c r="F9" s="437">
        <f t="shared" si="2"/>
        <v>6468317.45</v>
      </c>
      <c r="G9" s="437">
        <f t="shared" si="3"/>
        <v>8903294.03</v>
      </c>
      <c r="H9" s="677"/>
      <c r="J9" s="452"/>
    </row>
    <row r="10" ht="13.5" customHeight="1" spans="1:10">
      <c r="A10" s="669"/>
      <c r="B10" s="409"/>
      <c r="C10" s="678" t="s">
        <v>4154</v>
      </c>
      <c r="D10" s="437">
        <f t="shared" si="0"/>
        <v>116087.6</v>
      </c>
      <c r="E10" s="437">
        <f t="shared" si="1"/>
        <v>139832.6</v>
      </c>
      <c r="F10" s="437">
        <f t="shared" si="2"/>
        <v>237552.15</v>
      </c>
      <c r="G10" s="437">
        <f t="shared" si="3"/>
        <v>550867.98</v>
      </c>
      <c r="H10" s="677"/>
      <c r="J10" s="452"/>
    </row>
    <row r="11" ht="13.5" customHeight="1" spans="1:10">
      <c r="A11" s="669"/>
      <c r="B11" s="409"/>
      <c r="C11" s="678" t="s">
        <v>5179</v>
      </c>
      <c r="D11" s="437">
        <f t="shared" si="0"/>
        <v>134943.53</v>
      </c>
      <c r="E11" s="437">
        <f t="shared" si="1"/>
        <v>212971.34</v>
      </c>
      <c r="F11" s="437">
        <f t="shared" si="2"/>
        <v>323796.03</v>
      </c>
      <c r="G11" s="437">
        <f t="shared" si="3"/>
        <v>534884.2</v>
      </c>
      <c r="H11" s="677"/>
      <c r="J11" s="452"/>
    </row>
    <row r="12" ht="13.5" customHeight="1" spans="1:10">
      <c r="A12" s="669"/>
      <c r="B12" s="409"/>
      <c r="C12" s="678" t="s">
        <v>5180</v>
      </c>
      <c r="D12" s="437">
        <f t="shared" si="0"/>
        <v>286869.78</v>
      </c>
      <c r="E12" s="437">
        <f t="shared" si="1"/>
        <v>410570.54</v>
      </c>
      <c r="F12" s="437">
        <f t="shared" si="2"/>
        <v>490460.66</v>
      </c>
      <c r="G12" s="437">
        <f t="shared" si="3"/>
        <v>426476.51</v>
      </c>
      <c r="H12" s="677"/>
      <c r="J12" s="452"/>
    </row>
    <row r="13" ht="13.5" customHeight="1" spans="1:10">
      <c r="A13" s="669"/>
      <c r="B13" s="409"/>
      <c r="C13" s="678" t="s">
        <v>5181</v>
      </c>
      <c r="D13" s="437">
        <f t="shared" si="0"/>
        <v>271433</v>
      </c>
      <c r="E13" s="437">
        <f t="shared" si="1"/>
        <v>314796.9</v>
      </c>
      <c r="F13" s="437">
        <f t="shared" si="2"/>
        <v>1189518.26</v>
      </c>
      <c r="G13" s="437">
        <f t="shared" si="3"/>
        <v>2083408.35</v>
      </c>
      <c r="H13" s="677"/>
      <c r="J13" s="452"/>
    </row>
    <row r="14" ht="13.5" customHeight="1" spans="1:10">
      <c r="A14" s="669"/>
      <c r="B14" s="409"/>
      <c r="C14" s="678" t="s">
        <v>4522</v>
      </c>
      <c r="D14" s="437">
        <f t="shared" si="0"/>
        <v>0</v>
      </c>
      <c r="E14" s="437">
        <f t="shared" si="1"/>
        <v>5756259.26</v>
      </c>
      <c r="F14" s="437">
        <f t="shared" si="2"/>
        <v>0</v>
      </c>
      <c r="G14" s="437">
        <f t="shared" si="3"/>
        <v>0</v>
      </c>
      <c r="H14" s="677"/>
      <c r="J14" s="452"/>
    </row>
    <row r="15" ht="13.5" customHeight="1" spans="1:10">
      <c r="A15" s="669" t="s">
        <v>5182</v>
      </c>
      <c r="B15" s="409" t="s">
        <v>5173</v>
      </c>
      <c r="C15" s="678" t="s">
        <v>280</v>
      </c>
      <c r="D15" s="437">
        <f t="shared" si="0"/>
        <v>24080.9</v>
      </c>
      <c r="E15" s="437">
        <f t="shared" si="1"/>
        <v>144341.19</v>
      </c>
      <c r="F15" s="437">
        <f t="shared" si="2"/>
        <v>89505</v>
      </c>
      <c r="G15" s="437">
        <f t="shared" si="3"/>
        <v>20100.92</v>
      </c>
      <c r="H15" s="677"/>
      <c r="J15" s="452"/>
    </row>
    <row r="16" spans="3:10">
      <c r="C16" s="441" t="s">
        <v>2021</v>
      </c>
      <c r="D16" s="679">
        <f>SUM(D6:D15)</f>
        <v>5239098.66</v>
      </c>
      <c r="E16" s="443">
        <f>SUM(E6:E15)</f>
        <v>12833946.08</v>
      </c>
      <c r="F16" s="443">
        <f>SUM(F6:F15)</f>
        <v>11910336.12</v>
      </c>
      <c r="G16" s="443">
        <f>SUM(G6:G15)</f>
        <v>17026001.62</v>
      </c>
      <c r="H16" s="677"/>
      <c r="J16" s="424"/>
    </row>
    <row r="17" spans="3:7">
      <c r="C17" s="444" t="s">
        <v>1723</v>
      </c>
      <c r="D17" s="445">
        <v>5230098.66</v>
      </c>
      <c r="E17" s="445">
        <v>12833946.08</v>
      </c>
      <c r="F17" s="445">
        <v>12163717.23</v>
      </c>
      <c r="G17" s="680">
        <v>17043112.33</v>
      </c>
    </row>
    <row r="18" spans="3:7">
      <c r="C18" s="444" t="s">
        <v>1395</v>
      </c>
      <c r="D18" s="445">
        <f>D16-D17</f>
        <v>9000</v>
      </c>
      <c r="E18" s="447">
        <f>E16-E17</f>
        <v>0</v>
      </c>
      <c r="F18" s="447">
        <f>F16-F17</f>
        <v>-253381.110000001</v>
      </c>
      <c r="G18" s="681">
        <f>G16-G17</f>
        <v>-17110.7099999972</v>
      </c>
    </row>
    <row r="21" spans="8:10">
      <c r="H21" s="682"/>
      <c r="I21" s="675"/>
      <c r="J21" s="452"/>
    </row>
    <row r="22" spans="3:8">
      <c r="C22" s="426" t="s">
        <v>5183</v>
      </c>
      <c r="D22" s="426" t="s">
        <v>5184</v>
      </c>
      <c r="E22" s="406" t="s">
        <v>5168</v>
      </c>
      <c r="F22" s="406" t="s">
        <v>5185</v>
      </c>
      <c r="G22" s="426" t="s">
        <v>5186</v>
      </c>
      <c r="H22" s="426" t="s">
        <v>5187</v>
      </c>
    </row>
    <row r="23" hidden="1" spans="3:8">
      <c r="C23" s="426" t="str">
        <f>'[45]2016明细表'!A9</f>
        <v>开办费摊销</v>
      </c>
      <c r="D23" s="426" t="s">
        <v>5177</v>
      </c>
      <c r="E23" s="406">
        <f>'[45]2015明细表 '!X9</f>
        <v>0</v>
      </c>
      <c r="F23" s="406">
        <f>'[45]2015明细表 '!V9</f>
        <v>0</v>
      </c>
      <c r="G23" s="419">
        <f>'[45]2016明细表'!V9</f>
        <v>0</v>
      </c>
      <c r="H23" s="419">
        <f>'[45]2017明细表'!V9</f>
        <v>0</v>
      </c>
    </row>
    <row r="24" spans="3:8">
      <c r="C24" s="426" t="str">
        <f>'[45]2016明细表'!A10</f>
        <v>公司经费-行管人员工资</v>
      </c>
      <c r="D24" s="426" t="s">
        <v>5174</v>
      </c>
      <c r="E24" s="406">
        <f>'[45]2015明细表 '!X10</f>
        <v>1024384.96</v>
      </c>
      <c r="F24" s="406">
        <f>'[45]2015明细表 '!V10</f>
        <v>1321726.85</v>
      </c>
      <c r="G24" s="451">
        <f>'[45]2016明细表'!V10</f>
        <v>1945403.86</v>
      </c>
      <c r="H24" s="419">
        <f>'[45]2017明细表'!V10</f>
        <v>2915753.24</v>
      </c>
    </row>
    <row r="25" hidden="1" spans="3:8">
      <c r="C25" s="426" t="str">
        <f>'[45]2016明细表'!A11</f>
        <v>公司经费-物料消耗</v>
      </c>
      <c r="D25" s="426" t="s">
        <v>5175</v>
      </c>
      <c r="E25" s="406">
        <f>'[45]2015明细表 '!X11</f>
        <v>10717</v>
      </c>
      <c r="F25" s="406">
        <f>'[45]2015明细表 '!V11</f>
        <v>27122.36</v>
      </c>
      <c r="G25" s="419">
        <f>'[45]2016明细表'!V11</f>
        <v>17499.19</v>
      </c>
      <c r="H25" s="419">
        <f>'[45]2017明细表'!V11</f>
        <v>2815</v>
      </c>
    </row>
    <row r="26" hidden="1" spans="3:8">
      <c r="C26" s="426" t="str">
        <f>'[45]2016明细表'!A12</f>
        <v>公司经费-低值易耗品摊销</v>
      </c>
      <c r="D26" s="426" t="s">
        <v>5175</v>
      </c>
      <c r="E26" s="406">
        <f>'[45]2015明细表 '!X12</f>
        <v>3790</v>
      </c>
      <c r="F26" s="406">
        <f>'[45]2015明细表 '!V12</f>
        <v>12469.8</v>
      </c>
      <c r="G26" s="419">
        <f>'[45]2016明细表'!V12</f>
        <v>53286.41</v>
      </c>
      <c r="H26" s="419">
        <f>'[45]2017明细表'!V12</f>
        <v>14015.76</v>
      </c>
    </row>
    <row r="27" hidden="1" spans="3:8">
      <c r="C27" s="426" t="str">
        <f>'[45]2016明细表'!A13</f>
        <v>公司经费-办公费</v>
      </c>
      <c r="D27" s="426" t="s">
        <v>5175</v>
      </c>
      <c r="E27" s="406">
        <f>'[45]2015明细表 '!X13</f>
        <v>118952.8</v>
      </c>
      <c r="F27" s="406">
        <f>'[45]2015明细表 '!V13</f>
        <v>124959.33</v>
      </c>
      <c r="G27" s="419">
        <f>'[45]2016明细表'!V13</f>
        <v>248448.27</v>
      </c>
      <c r="H27" s="419">
        <f>'[45]2017明细表'!V13</f>
        <v>424760.55</v>
      </c>
    </row>
    <row r="28" hidden="1" spans="3:8">
      <c r="C28" s="426" t="str">
        <f>'[45]2016明细表'!A14</f>
        <v>公司经费-交通差旅费</v>
      </c>
      <c r="D28" s="426" t="s">
        <v>5179</v>
      </c>
      <c r="E28" s="406">
        <f>'[45]2015明细表 '!X14</f>
        <v>87818.5</v>
      </c>
      <c r="F28" s="406">
        <f>'[45]2015明细表 '!V14</f>
        <v>146520.96</v>
      </c>
      <c r="G28" s="419">
        <f>'[45]2016明细表'!V14</f>
        <v>156299.73</v>
      </c>
      <c r="H28" s="419">
        <f>'[45]2017明细表'!V14</f>
        <v>327272.85</v>
      </c>
    </row>
    <row r="29" hidden="1" spans="3:8">
      <c r="C29" s="426" t="str">
        <f>'[45]2016明细表'!A15</f>
        <v>公司经费-汽车费用</v>
      </c>
      <c r="D29" s="426" t="s">
        <v>5179</v>
      </c>
      <c r="E29" s="406">
        <f>'[45]2015明细表 '!X15</f>
        <v>47125.03</v>
      </c>
      <c r="F29" s="406">
        <f>'[45]2015明细表 '!V15</f>
        <v>66450.38</v>
      </c>
      <c r="G29" s="419">
        <f>'[45]2016明细表'!V15</f>
        <v>167496.3</v>
      </c>
      <c r="H29" s="419">
        <f>'[45]2017明细表'!V15</f>
        <v>207611.35</v>
      </c>
    </row>
    <row r="30" hidden="1" spans="3:8">
      <c r="C30" s="426" t="str">
        <f>'[45]2016明细表'!A16</f>
        <v>公司经费-水电物管费等</v>
      </c>
      <c r="D30" s="426" t="s">
        <v>5180</v>
      </c>
      <c r="E30" s="406">
        <f>'[45]2015明细表 '!X16</f>
        <v>58332.45</v>
      </c>
      <c r="F30" s="406">
        <f>'[45]2015明细表 '!V16</f>
        <v>33001.57</v>
      </c>
      <c r="G30" s="419">
        <f>'[45]2016明细表'!V16</f>
        <v>23755.85</v>
      </c>
      <c r="H30" s="419">
        <f>'[45]2017明细表'!V16</f>
        <v>22299.7</v>
      </c>
    </row>
    <row r="31" hidden="1" spans="3:8">
      <c r="C31" s="426" t="str">
        <f>'[45]2016明细表'!A17</f>
        <v>公司经费-通讯网络费</v>
      </c>
      <c r="D31" s="426" t="s">
        <v>5175</v>
      </c>
      <c r="E31" s="406">
        <f>'[45]2015明细表 '!X17</f>
        <v>20745.68</v>
      </c>
      <c r="F31" s="406">
        <f>'[45]2015明细表 '!V17</f>
        <v>28807.71</v>
      </c>
      <c r="G31" s="419">
        <f>'[45]2016明细表'!V17</f>
        <v>15377.15</v>
      </c>
      <c r="H31" s="419">
        <f>'[45]2017明细表'!V17</f>
        <v>26765.5</v>
      </c>
    </row>
    <row r="32" hidden="1" spans="3:8">
      <c r="C32" s="426" t="str">
        <f>'[45]2016明细表'!A18</f>
        <v>公司经费-折旧费用</v>
      </c>
      <c r="D32" s="426" t="s">
        <v>5177</v>
      </c>
      <c r="E32" s="406">
        <f>'[45]2015明细表 '!X18</f>
        <v>119256.78</v>
      </c>
      <c r="F32" s="406">
        <f>'[45]2015明细表 '!V18</f>
        <v>84111.59</v>
      </c>
      <c r="G32" s="419">
        <f>'[45]2016明细表'!V18</f>
        <v>77241.21</v>
      </c>
      <c r="H32" s="419">
        <f>'[45]2017明细表'!V18</f>
        <v>53535.79</v>
      </c>
    </row>
    <row r="33" hidden="1" spans="3:8">
      <c r="C33" s="426" t="str">
        <f>'[45]2016明细表'!A19</f>
        <v>公司经费-房屋租赁费</v>
      </c>
      <c r="D33" s="426" t="s">
        <v>5180</v>
      </c>
      <c r="E33" s="406">
        <f>'[45]2015明细表 '!X19</f>
        <v>228537.33</v>
      </c>
      <c r="F33" s="406">
        <f>'[45]2015明细表 '!V19</f>
        <v>377568.97</v>
      </c>
      <c r="G33" s="419">
        <f>'[45]2016明细表'!V19</f>
        <v>466704.81</v>
      </c>
      <c r="H33" s="419">
        <f>'[45]2017明细表'!V19</f>
        <v>404176.81</v>
      </c>
    </row>
    <row r="34" hidden="1" spans="3:8">
      <c r="C34" s="426" t="str">
        <f>'[45]2016明细表'!A20</f>
        <v>公司经费-长期费用摊销</v>
      </c>
      <c r="D34" s="426" t="s">
        <v>5177</v>
      </c>
      <c r="E34" s="406">
        <f>'[45]2015明细表 '!X20</f>
        <v>274988.16</v>
      </c>
      <c r="F34" s="406">
        <f>'[45]2015明细表 '!V20</f>
        <v>284704.82</v>
      </c>
      <c r="G34" s="419">
        <f>'[45]2016明细表'!V20</f>
        <v>156815.86</v>
      </c>
      <c r="H34" s="419">
        <f>'[45]2017明细表'!V20</f>
        <v>45999.96</v>
      </c>
    </row>
    <row r="35" spans="3:8">
      <c r="C35" s="426" t="str">
        <f>'[45]2016明细表'!A21</f>
        <v>公司经费-行管人员福利费</v>
      </c>
      <c r="D35" s="426" t="s">
        <v>5174</v>
      </c>
      <c r="E35" s="406">
        <f>'[45]2015明细表 '!X21</f>
        <v>3501</v>
      </c>
      <c r="F35" s="406">
        <f>'[45]2015明细表 '!V21</f>
        <v>0</v>
      </c>
      <c r="G35" s="419">
        <f>'[45]2016明细表'!V21</f>
        <v>0</v>
      </c>
      <c r="H35" s="419">
        <f>'[45]2017明细表'!V21</f>
        <v>0</v>
      </c>
    </row>
    <row r="36" hidden="1" spans="3:8">
      <c r="C36" s="426" t="str">
        <f>'[45]2016明细表'!A22</f>
        <v>公司经费-邮运费</v>
      </c>
      <c r="D36" s="426" t="s">
        <v>5175</v>
      </c>
      <c r="E36" s="406">
        <f>'[45]2015明细表 '!X22</f>
        <v>6463</v>
      </c>
      <c r="F36" s="406">
        <f>'[45]2015明细表 '!V22</f>
        <v>9340</v>
      </c>
      <c r="G36" s="419">
        <f>'[45]2016明细表'!V22</f>
        <v>31841.95</v>
      </c>
      <c r="H36" s="419">
        <f>'[45]2017明细表'!V22</f>
        <v>35026.34</v>
      </c>
    </row>
    <row r="37" spans="3:8">
      <c r="C37" s="426" t="str">
        <f>'[45]2016明细表'!A23</f>
        <v>公司经费-餐费补贴</v>
      </c>
      <c r="D37" s="426" t="s">
        <v>5174</v>
      </c>
      <c r="E37" s="406">
        <f>'[45]2015明细表 '!X23</f>
        <v>0</v>
      </c>
      <c r="F37" s="406">
        <f>'[45]2015明细表 '!V23</f>
        <v>0</v>
      </c>
      <c r="G37" s="419">
        <f>'[45]2016明细表'!V23</f>
        <v>0</v>
      </c>
      <c r="H37" s="419">
        <f>'[45]2017明细表'!V23</f>
        <v>0</v>
      </c>
    </row>
    <row r="38" hidden="1" spans="3:8">
      <c r="C38" s="426" t="str">
        <f>'[45]2016明细表'!A24</f>
        <v>公司经费-培训费</v>
      </c>
      <c r="D38" s="426" t="s">
        <v>5175</v>
      </c>
      <c r="E38" s="406">
        <f>'[45]2015明细表 '!X24</f>
        <v>2500</v>
      </c>
      <c r="F38" s="406">
        <f>'[45]2015明细表 '!V24</f>
        <v>29218</v>
      </c>
      <c r="G38" s="419">
        <f>'[45]2016明细表'!V24</f>
        <v>0</v>
      </c>
      <c r="H38" s="419">
        <f>'[45]2017明细表'!V24</f>
        <v>41788.35</v>
      </c>
    </row>
    <row r="39" hidden="1" spans="3:8">
      <c r="C39" s="426" t="str">
        <f>'[45]2016明细表'!A25</f>
        <v>公司经费-社会团体行业协会会员费</v>
      </c>
      <c r="D39" s="426" t="s">
        <v>5175</v>
      </c>
      <c r="E39" s="406">
        <f>'[45]2015明细表 '!X25</f>
        <v>0</v>
      </c>
      <c r="F39" s="406">
        <f>'[45]2015明细表 '!V25</f>
        <v>0</v>
      </c>
      <c r="G39" s="419">
        <f>'[45]2016明细表'!V25</f>
        <v>0</v>
      </c>
      <c r="H39" s="419">
        <f>'[45]2017明细表'!V25</f>
        <v>30000</v>
      </c>
    </row>
    <row r="40" spans="3:8">
      <c r="C40" s="426" t="str">
        <f>'[45]2016明细表'!A26</f>
        <v>工会经费</v>
      </c>
      <c r="D40" s="426" t="s">
        <v>5174</v>
      </c>
      <c r="E40" s="406">
        <f>'[45]2015明细表 '!X26</f>
        <v>480</v>
      </c>
      <c r="F40" s="406">
        <f>'[45]2015明细表 '!V26</f>
        <v>192</v>
      </c>
      <c r="G40" s="451">
        <f>'[45]2016明细表'!V26</f>
        <v>6363.82</v>
      </c>
      <c r="H40" s="419">
        <f>'[45]2017明细表'!V26</f>
        <v>0</v>
      </c>
    </row>
    <row r="41" spans="3:8">
      <c r="C41" s="426" t="str">
        <f>'[45]2016明细表'!A27</f>
        <v>社保公积金（五险一金）</v>
      </c>
      <c r="D41" s="426" t="s">
        <v>5174</v>
      </c>
      <c r="E41" s="406">
        <f>'[45]2015明细表 '!X27</f>
        <v>260226.29</v>
      </c>
      <c r="F41" s="406">
        <f>'[45]2015明细表 '!V27</f>
        <v>0</v>
      </c>
      <c r="G41" s="419">
        <f>'[45]2016明细表'!V27</f>
        <v>0</v>
      </c>
      <c r="H41" s="419">
        <f>'[45]2017明细表'!V27</f>
        <v>0</v>
      </c>
    </row>
    <row r="42" spans="3:8">
      <c r="C42" s="426" t="str">
        <f>'[45]2016明细表'!A28</f>
        <v>董事会费-成员津贴</v>
      </c>
      <c r="D42" s="426" t="s">
        <v>5174</v>
      </c>
      <c r="E42" s="406">
        <f>'[45]2015明细表 '!X28</f>
        <v>0</v>
      </c>
      <c r="F42" s="406">
        <f>'[45]2015明细表 '!V28</f>
        <v>0</v>
      </c>
      <c r="G42" s="451">
        <f>'[45]2016明细表'!V28</f>
        <v>50000</v>
      </c>
      <c r="H42" s="451">
        <f>'[45]2017明细表'!V28</f>
        <v>205000</v>
      </c>
    </row>
    <row r="43" hidden="1" spans="3:8">
      <c r="C43" s="426" t="str">
        <f>'[45]2016明细表'!A29</f>
        <v>董事会费-会议费</v>
      </c>
      <c r="D43" s="426" t="s">
        <v>5175</v>
      </c>
      <c r="E43" s="406">
        <f>'[45]2015明细表 '!X29</f>
        <v>0</v>
      </c>
      <c r="F43" s="406">
        <f>'[45]2015明细表 '!V29</f>
        <v>0</v>
      </c>
      <c r="G43" s="419">
        <f>'[45]2016明细表'!V29</f>
        <v>7980</v>
      </c>
      <c r="H43" s="419">
        <f>'[45]2017明细表'!V29</f>
        <v>0</v>
      </c>
    </row>
    <row r="44" hidden="1" spans="3:8">
      <c r="C44" s="426" t="str">
        <f>'[45]2016明细表'!A30</f>
        <v>董事会费-培训费</v>
      </c>
      <c r="D44" s="426" t="s">
        <v>5175</v>
      </c>
      <c r="E44" s="406">
        <f>'[45]2015明细表 '!X30</f>
        <v>0</v>
      </c>
      <c r="F44" s="406">
        <f>'[45]2015明细表 '!V30</f>
        <v>0</v>
      </c>
      <c r="G44" s="419">
        <f>'[45]2016明细表'!V30</f>
        <v>0</v>
      </c>
      <c r="H44" s="419">
        <f>'[45]2017明细表'!V30</f>
        <v>5094.34</v>
      </c>
    </row>
    <row r="45" hidden="1" spans="3:8">
      <c r="C45" s="426" t="str">
        <f>'[45]2016明细表'!A31</f>
        <v>中介机构费</v>
      </c>
      <c r="D45" s="426" t="s">
        <v>5181</v>
      </c>
      <c r="E45" s="406">
        <f>'[45]2015明细表 '!X31</f>
        <v>223815</v>
      </c>
      <c r="F45" s="406">
        <f>'[45]2015明细表 '!V31</f>
        <v>309634</v>
      </c>
      <c r="G45" s="419">
        <f>'[45]2016明细表'!V31</f>
        <v>1135891.59</v>
      </c>
      <c r="H45" s="419">
        <f>'[45]2017明细表'!V31</f>
        <v>1656223.88</v>
      </c>
    </row>
    <row r="46" hidden="1" spans="3:8">
      <c r="C46" s="426" t="str">
        <f>'[45]2016明细表'!A32</f>
        <v>咨询及顾问费</v>
      </c>
      <c r="D46" s="426" t="s">
        <v>5181</v>
      </c>
      <c r="E46" s="406">
        <f>'[45]2015明细表 '!X32</f>
        <v>47618</v>
      </c>
      <c r="F46" s="406">
        <f>'[45]2015明细表 '!V32</f>
        <v>5162.9</v>
      </c>
      <c r="G46" s="419">
        <f>'[45]2016明细表'!V32</f>
        <v>53626.67</v>
      </c>
      <c r="H46" s="419">
        <f>'[45]2017明细表'!V32</f>
        <v>427184.47</v>
      </c>
    </row>
    <row r="47" hidden="1" spans="3:8">
      <c r="C47" s="426" t="str">
        <f>'[45]2016明细表'!A33</f>
        <v>诉讼费</v>
      </c>
      <c r="D47" s="426" t="s">
        <v>280</v>
      </c>
      <c r="E47" s="406">
        <f>'[45]2015明细表 '!X33</f>
        <v>0</v>
      </c>
      <c r="F47" s="406">
        <f>'[45]2015明细表 '!V33</f>
        <v>0</v>
      </c>
      <c r="G47" s="419">
        <f>'[45]2016明细表'!V33</f>
        <v>0</v>
      </c>
      <c r="H47" s="419">
        <f>'[45]2017明细表'!V33</f>
        <v>0</v>
      </c>
    </row>
    <row r="48" hidden="1" spans="3:8">
      <c r="C48" s="426" t="str">
        <f>'[45]2016明细表'!A34</f>
        <v>业务招待费</v>
      </c>
      <c r="D48" s="426" t="s">
        <v>4154</v>
      </c>
      <c r="E48" s="406">
        <f>'[45]2015明细表 '!X34</f>
        <v>116087.6</v>
      </c>
      <c r="F48" s="406">
        <f>'[45]2015明细表 '!V34</f>
        <v>139832.6</v>
      </c>
      <c r="G48" s="419">
        <f>'[45]2016明细表'!V34</f>
        <v>237552.15</v>
      </c>
      <c r="H48" s="419">
        <f>'[45]2017明细表'!V34</f>
        <v>550867.98</v>
      </c>
    </row>
    <row r="49" hidden="1" spans="3:8">
      <c r="C49" s="426" t="str">
        <f>'[45]2016明细表'!A35</f>
        <v>税费（其它税费）</v>
      </c>
      <c r="D49" s="426" t="s">
        <v>280</v>
      </c>
      <c r="E49" s="406">
        <f>'[45]2015明细表 '!X35</f>
        <v>6847.85</v>
      </c>
      <c r="F49" s="406">
        <f>'[45]2015明细表 '!V35</f>
        <v>4331.43</v>
      </c>
      <c r="G49" s="419">
        <f>'[45]2016明细表'!V35</f>
        <v>65131.39</v>
      </c>
      <c r="H49" s="419">
        <f>'[45]2017明细表'!V35</f>
        <v>0</v>
      </c>
    </row>
    <row r="50" hidden="1" spans="3:8">
      <c r="C50" s="426" t="str">
        <f>'[45]2016明细表'!A36</f>
        <v>技术转让费</v>
      </c>
      <c r="D50" s="426" t="s">
        <v>280</v>
      </c>
      <c r="E50" s="406">
        <f>'[45]2015明细表 '!X36</f>
        <v>0</v>
      </c>
      <c r="F50" s="406">
        <f>'[45]2015明细表 '!V36</f>
        <v>0</v>
      </c>
      <c r="G50" s="419">
        <f>'[45]2016明细表'!V36</f>
        <v>0</v>
      </c>
      <c r="H50" s="419">
        <f>'[45]2017明细表'!V36</f>
        <v>0</v>
      </c>
    </row>
    <row r="51" hidden="1" spans="3:8">
      <c r="C51" s="426" t="str">
        <f>'[45]2016明细表'!A37</f>
        <v>资源补偿费</v>
      </c>
      <c r="D51" s="426" t="s">
        <v>280</v>
      </c>
      <c r="E51" s="406">
        <f>'[45]2015明细表 '!X37</f>
        <v>0</v>
      </c>
      <c r="F51" s="406">
        <f>'[45]2015明细表 '!V37</f>
        <v>0</v>
      </c>
      <c r="G51" s="419">
        <f>'[45]2016明细表'!V37</f>
        <v>0</v>
      </c>
      <c r="H51" s="419">
        <f>'[45]2017明细表'!V37</f>
        <v>0</v>
      </c>
    </row>
    <row r="52" hidden="1" spans="3:8">
      <c r="C52" s="426" t="str">
        <f>'[45]2016明细表'!A38</f>
        <v>研发费用-原研发费用201511前</v>
      </c>
      <c r="D52" s="426" t="s">
        <v>5178</v>
      </c>
      <c r="E52" s="406">
        <f>'[45]2015明细表 '!X38</f>
        <v>0</v>
      </c>
      <c r="F52" s="406">
        <f>'[45]2015明细表 '!V38</f>
        <v>0</v>
      </c>
      <c r="G52" s="419">
        <f>'[45]2016明细表'!V38</f>
        <v>0</v>
      </c>
      <c r="H52" s="419">
        <f>'[45]2017明细表'!V38</f>
        <v>0</v>
      </c>
    </row>
    <row r="53" hidden="1" spans="1:8">
      <c r="A53" s="426"/>
      <c r="B53" s="426"/>
      <c r="C53" s="426" t="str">
        <f>'[45]2016明细表'!A39</f>
        <v>研发费用-工资</v>
      </c>
      <c r="D53" s="683" t="s">
        <v>5178</v>
      </c>
      <c r="E53" s="406">
        <f>'[45]2015明细表 '!X39</f>
        <v>829791.33</v>
      </c>
      <c r="F53" s="406">
        <f>'[45]2015明细表 '!V39</f>
        <v>1000621.9</v>
      </c>
      <c r="G53" s="419">
        <f>'[45]2016明细表'!V39</f>
        <v>1307893.22</v>
      </c>
      <c r="H53" s="419">
        <f>'[45]2017明细表'!V39</f>
        <v>2028140.52</v>
      </c>
    </row>
    <row r="54" hidden="1" spans="1:8">
      <c r="A54" s="426"/>
      <c r="B54" s="426"/>
      <c r="C54" s="426" t="str">
        <f>'[45]2016明细表'!A40</f>
        <v>研发费用-认证检测费</v>
      </c>
      <c r="D54" s="683" t="s">
        <v>5178</v>
      </c>
      <c r="E54" s="406">
        <f>'[45]2015明细表 '!X40</f>
        <v>114000</v>
      </c>
      <c r="F54" s="406">
        <f>'[45]2015明细表 '!V40</f>
        <v>300239</v>
      </c>
      <c r="G54" s="419">
        <f>'[45]2016明细表'!V40</f>
        <v>144648.87</v>
      </c>
      <c r="H54" s="419">
        <f>'[45]2017明细表'!V40</f>
        <v>224517.14</v>
      </c>
    </row>
    <row r="55" hidden="1" spans="3:8">
      <c r="C55" s="426" t="str">
        <f>'[45]2016明细表'!A41</f>
        <v>研发费用-材料费</v>
      </c>
      <c r="D55" s="426" t="s">
        <v>5178</v>
      </c>
      <c r="E55" s="406">
        <f>'[45]2015明细表 '!X41</f>
        <v>940943.06</v>
      </c>
      <c r="F55" s="406">
        <f>'[45]2015明细表 '!V41</f>
        <v>1852034.19</v>
      </c>
      <c r="G55" s="419">
        <f>'[45]2016明细表'!V41</f>
        <v>2613652.69</v>
      </c>
      <c r="H55" s="419">
        <f>'[45]2017明细表'!V41</f>
        <v>2701523.75</v>
      </c>
    </row>
    <row r="56" hidden="1" spans="1:8">
      <c r="A56" s="426"/>
      <c r="B56" s="426"/>
      <c r="C56" s="426" t="str">
        <f>'[45]2016明细表'!A42</f>
        <v>研发费用-折旧费</v>
      </c>
      <c r="D56" s="683" t="s">
        <v>5178</v>
      </c>
      <c r="E56" s="406">
        <f>'[45]2015明细表 '!X42</f>
        <v>35913.63</v>
      </c>
      <c r="F56" s="406">
        <f>'[45]2015明细表 '!V42</f>
        <v>39403.3</v>
      </c>
      <c r="G56" s="419">
        <f>'[45]2016明细表'!V42</f>
        <v>40782.99</v>
      </c>
      <c r="H56" s="419">
        <f>'[45]2017明细表'!V42</f>
        <v>37007.49</v>
      </c>
    </row>
    <row r="57" hidden="1" spans="1:8">
      <c r="A57" s="426"/>
      <c r="B57" s="426"/>
      <c r="C57" s="426" t="str">
        <f>'[45]2016明细表'!A43</f>
        <v>研发费用-相关机构服务费</v>
      </c>
      <c r="D57" s="683" t="s">
        <v>5178</v>
      </c>
      <c r="E57" s="406">
        <f>'[45]2015明细表 '!X43</f>
        <v>5700</v>
      </c>
      <c r="F57" s="406">
        <f>'[45]2015明细表 '!V43</f>
        <v>14700</v>
      </c>
      <c r="G57" s="419">
        <f>'[45]2016明细表'!V43</f>
        <v>56571.33</v>
      </c>
      <c r="H57" s="419">
        <f>'[45]2017明细表'!V43</f>
        <v>867924.58</v>
      </c>
    </row>
    <row r="58" hidden="1" spans="1:8">
      <c r="A58" s="426"/>
      <c r="B58" s="426"/>
      <c r="C58" s="426" t="str">
        <f>'[45]2016明细表'!A44</f>
        <v>研发费用-交通差旅费</v>
      </c>
      <c r="D58" s="683" t="s">
        <v>5178</v>
      </c>
      <c r="E58" s="406">
        <f>'[45]2015明细表 '!X44</f>
        <v>0</v>
      </c>
      <c r="F58" s="406">
        <f>'[45]2015明细表 '!V44</f>
        <v>36881.9</v>
      </c>
      <c r="G58" s="419">
        <f>'[45]2016明细表'!V44</f>
        <v>35390</v>
      </c>
      <c r="H58" s="419">
        <f>'[45]2017明细表'!V44</f>
        <v>35373.63</v>
      </c>
    </row>
    <row r="59" hidden="1" spans="1:8">
      <c r="A59" s="426"/>
      <c r="B59" s="426"/>
      <c r="C59" s="426" t="str">
        <f>'[45]2016明细表'!A45</f>
        <v>研发费用-工具、器具、易耗品</v>
      </c>
      <c r="D59" s="683" t="s">
        <v>5178</v>
      </c>
      <c r="E59" s="406">
        <f>'[45]2015明细表 '!X45</f>
        <v>0</v>
      </c>
      <c r="F59" s="406">
        <f>'[45]2015明细表 '!V45</f>
        <v>4889.45</v>
      </c>
      <c r="G59" s="419">
        <f>'[45]2016明细表'!V45</f>
        <v>3814.41</v>
      </c>
      <c r="H59" s="419">
        <f>'[45]2017明细表'!V45</f>
        <v>0</v>
      </c>
    </row>
    <row r="60" hidden="1" spans="1:8">
      <c r="A60" s="426"/>
      <c r="B60" s="426"/>
      <c r="C60" s="426" t="str">
        <f>'[45]2016明细表'!A46</f>
        <v>研发费用-其它研发相关费用</v>
      </c>
      <c r="D60" s="683" t="s">
        <v>5178</v>
      </c>
      <c r="E60" s="406">
        <f>'[45]2015明细表 '!X46</f>
        <v>0</v>
      </c>
      <c r="F60" s="406">
        <f>'[45]2015明细表 '!V46</f>
        <v>22200</v>
      </c>
      <c r="G60" s="419">
        <f>'[45]2016明细表'!V46</f>
        <v>271598.73</v>
      </c>
      <c r="H60" s="419">
        <f>'[45]2017明细表'!V46</f>
        <v>1009936.12</v>
      </c>
    </row>
    <row r="61" hidden="1" spans="1:8">
      <c r="A61" s="426"/>
      <c r="B61" s="426"/>
      <c r="C61" s="426" t="str">
        <f>'[45]2016明细表'!A47</f>
        <v>研发费用-培训费</v>
      </c>
      <c r="D61" s="683" t="s">
        <v>5178</v>
      </c>
      <c r="E61" s="406">
        <f>'[45]2015明细表 '!X47</f>
        <v>0</v>
      </c>
      <c r="F61" s="406">
        <f>'[45]2015明细表 '!V47</f>
        <v>36000</v>
      </c>
      <c r="G61" s="419">
        <f>'[45]2016明细表'!V47</f>
        <v>0</v>
      </c>
      <c r="H61" s="419">
        <f>'[45]2017明细表'!V47</f>
        <v>194174.76</v>
      </c>
    </row>
    <row r="62" hidden="1" spans="1:8">
      <c r="A62" s="426"/>
      <c r="B62" s="426"/>
      <c r="C62" s="426" t="str">
        <f>'[45]2016明细表'!A48</f>
        <v>研发费用-办公费</v>
      </c>
      <c r="D62" s="683" t="s">
        <v>5178</v>
      </c>
      <c r="E62" s="406">
        <f>'[45]2015明细表 '!X48</f>
        <v>683</v>
      </c>
      <c r="F62" s="406">
        <f>'[45]2015明细表 '!V48</f>
        <v>2625.9</v>
      </c>
      <c r="G62" s="419">
        <f>'[45]2016明细表'!V48</f>
        <v>23881</v>
      </c>
      <c r="H62" s="419">
        <f>'[45]2017明细表'!V48</f>
        <v>62026.75</v>
      </c>
    </row>
    <row r="63" hidden="1" spans="1:8">
      <c r="A63" s="426"/>
      <c r="B63" s="426"/>
      <c r="C63" s="426" t="str">
        <f>'[45]2016明细表'!A49</f>
        <v>研发费用-业务招待费</v>
      </c>
      <c r="D63" s="683" t="s">
        <v>5178</v>
      </c>
      <c r="E63" s="406">
        <f>'[45]2015明细表 '!X49</f>
        <v>0</v>
      </c>
      <c r="F63" s="406">
        <f>'[45]2015明细表 '!V49</f>
        <v>5906</v>
      </c>
      <c r="G63" s="419">
        <f>'[45]2016明细表'!V49</f>
        <v>20417.8</v>
      </c>
      <c r="H63" s="419">
        <f>'[45]2017明细表'!V49</f>
        <v>14866.4</v>
      </c>
    </row>
    <row r="64" hidden="1" spans="1:8">
      <c r="A64" s="426"/>
      <c r="B64" s="426"/>
      <c r="C64" s="426" t="str">
        <f>'[45]2016明细表'!A50</f>
        <v>研发费用-汽车费用</v>
      </c>
      <c r="D64" s="683" t="s">
        <v>5178</v>
      </c>
      <c r="E64" s="406">
        <f>'[45]2015明细表 '!X50</f>
        <v>0</v>
      </c>
      <c r="F64" s="406">
        <f>'[45]2015明细表 '!V50</f>
        <v>0</v>
      </c>
      <c r="G64" s="419">
        <f>'[45]2016明细表'!V50</f>
        <v>7472</v>
      </c>
      <c r="H64" s="419">
        <f>'[45]2017明细表'!V50</f>
        <v>744</v>
      </c>
    </row>
    <row r="65" hidden="1" spans="1:8">
      <c r="A65" s="426"/>
      <c r="B65" s="426"/>
      <c r="C65" s="426" t="str">
        <f>'[45]2016明细表'!A51</f>
        <v>研发费用-福利费</v>
      </c>
      <c r="D65" s="683" t="s">
        <v>5178</v>
      </c>
      <c r="E65" s="406">
        <f>'[45]2015明细表 '!X51</f>
        <v>0</v>
      </c>
      <c r="F65" s="406">
        <f>'[45]2015明细表 '!V51</f>
        <v>0</v>
      </c>
      <c r="G65" s="419">
        <f>'[45]2016明细表'!V51</f>
        <v>2850</v>
      </c>
      <c r="H65" s="419">
        <f>'[45]2017明细表'!V51</f>
        <v>17010</v>
      </c>
    </row>
    <row r="66" hidden="1" spans="1:8">
      <c r="A66" s="426"/>
      <c r="B66" s="426"/>
      <c r="C66" s="426" t="str">
        <f>'[45]2016明细表'!A52</f>
        <v>研发费用-房租费</v>
      </c>
      <c r="D66" s="683" t="s">
        <v>5178</v>
      </c>
      <c r="E66" s="406">
        <f>'[45]2015明细表 '!X52</f>
        <v>204537.34</v>
      </c>
      <c r="F66" s="406">
        <f>'[45]2015明细表 '!V52</f>
        <v>232389.02</v>
      </c>
      <c r="G66" s="419">
        <f>'[45]2016明细表'!V52</f>
        <v>974163.3</v>
      </c>
      <c r="H66" s="419">
        <f>'[45]2017明细表'!V52</f>
        <v>528395.47</v>
      </c>
    </row>
    <row r="67" hidden="1" spans="3:8">
      <c r="C67" s="426" t="str">
        <f>'[45]2016明细表'!A53</f>
        <v>研发费用-样品（样灯等）</v>
      </c>
      <c r="D67" s="426" t="s">
        <v>5178</v>
      </c>
      <c r="E67" s="406">
        <f>'[45]2015明细表 '!X53</f>
        <v>0</v>
      </c>
      <c r="F67" s="406">
        <f>'[45]2015明细表 '!V53</f>
        <v>0</v>
      </c>
      <c r="G67" s="419">
        <f>'[45]2016明细表'!V53</f>
        <v>0</v>
      </c>
      <c r="H67" s="419">
        <f>'[45]2017明细表'!V53</f>
        <v>0</v>
      </c>
    </row>
    <row r="68" hidden="1" spans="1:8">
      <c r="A68" s="426"/>
      <c r="B68" s="426"/>
      <c r="C68" s="426" t="str">
        <f>'[45]2016明细表'!A54</f>
        <v>研发费用-水电费</v>
      </c>
      <c r="D68" s="683" t="s">
        <v>5178</v>
      </c>
      <c r="E68" s="406">
        <f>'[45]2015明细表 '!X54</f>
        <v>58332.48</v>
      </c>
      <c r="F68" s="406">
        <f>'[45]2015明细表 '!V54</f>
        <v>22033.5</v>
      </c>
      <c r="G68" s="419">
        <f>'[45]2016明细表'!V54</f>
        <v>18886.33</v>
      </c>
      <c r="H68" s="419">
        <f>'[45]2017明细表'!V54</f>
        <v>18607.71</v>
      </c>
    </row>
    <row r="69" hidden="1" spans="1:8">
      <c r="A69" s="426"/>
      <c r="B69" s="426"/>
      <c r="C69" s="426" t="str">
        <f>'[45]2016明细表'!A55</f>
        <v>研发费用-社会保险金</v>
      </c>
      <c r="D69" s="683" t="s">
        <v>5178</v>
      </c>
      <c r="E69" s="406">
        <f>'[45]2015明细表 '!X55</f>
        <v>73392.24</v>
      </c>
      <c r="F69" s="406">
        <f>'[45]2015明细表 '!V55</f>
        <v>101019.66</v>
      </c>
      <c r="G69" s="419">
        <f>'[45]2016明细表'!V55</f>
        <v>110915.4</v>
      </c>
      <c r="H69" s="419">
        <f>'[45]2017明细表'!V55</f>
        <v>205155.59</v>
      </c>
    </row>
    <row r="70" hidden="1" spans="1:8">
      <c r="A70" s="426"/>
      <c r="B70" s="426"/>
      <c r="C70" s="426" t="str">
        <f>'[45]2016明细表'!A56</f>
        <v>研发费用-住房公积金</v>
      </c>
      <c r="D70" s="683" t="s">
        <v>5178</v>
      </c>
      <c r="E70" s="406">
        <f>'[45]2015明细表 '!X56</f>
        <v>6585</v>
      </c>
      <c r="F70" s="406">
        <f>'[45]2015明细表 '!V56</f>
        <v>9810</v>
      </c>
      <c r="G70" s="419">
        <f>'[45]2016明细表'!V56</f>
        <v>9492</v>
      </c>
      <c r="H70" s="419">
        <f>'[45]2017明细表'!V56</f>
        <v>23928</v>
      </c>
    </row>
    <row r="71" hidden="1" spans="1:8">
      <c r="A71" s="426"/>
      <c r="B71" s="426"/>
      <c r="C71" s="426" t="str">
        <f>'[45]2016明细表'!A57</f>
        <v>研发费用-委托开发费</v>
      </c>
      <c r="D71" s="683" t="s">
        <v>5178</v>
      </c>
      <c r="E71" s="406">
        <f>'[45]2015明细表 '!X57</f>
        <v>0</v>
      </c>
      <c r="F71" s="406">
        <f>'[45]2015明细表 '!V57</f>
        <v>0</v>
      </c>
      <c r="G71" s="419">
        <f>'[45]2016明细表'!V57</f>
        <v>0</v>
      </c>
      <c r="H71" s="419">
        <f>'[45]2017明细表'!V57</f>
        <v>933962.12</v>
      </c>
    </row>
    <row r="72" hidden="1" spans="1:8">
      <c r="A72" s="426"/>
      <c r="B72" s="426"/>
      <c r="C72" s="426" t="str">
        <f>'[45]2016明细表'!A58</f>
        <v>排污费</v>
      </c>
      <c r="D72" s="683" t="s">
        <v>5178</v>
      </c>
      <c r="E72" s="406">
        <f>'[45]2015明细表 '!X58</f>
        <v>0</v>
      </c>
      <c r="F72" s="406">
        <f>'[45]2015明细表 '!V58</f>
        <v>0</v>
      </c>
      <c r="G72" s="419">
        <f>'[45]2016明细表'!V58</f>
        <v>0</v>
      </c>
      <c r="H72" s="419">
        <f>'[45]2017明细表'!V58</f>
        <v>0</v>
      </c>
    </row>
    <row r="73" hidden="1" spans="3:8">
      <c r="C73" s="426" t="str">
        <f>'[45]2016明细表'!A59</f>
        <v>研发费用-试验段</v>
      </c>
      <c r="D73" s="426" t="s">
        <v>5178</v>
      </c>
      <c r="E73" s="406">
        <f>'[45]2015明细表 '!X59</f>
        <v>219676</v>
      </c>
      <c r="F73" s="406">
        <f>'[45]2015明细表 '!V59</f>
        <v>21491</v>
      </c>
      <c r="G73" s="419">
        <f>'[45]2016明细表'!V59</f>
        <v>825887.38</v>
      </c>
      <c r="H73" s="419">
        <f>'[45]2017明细表'!V59</f>
        <v>0</v>
      </c>
    </row>
    <row r="74" hidden="1" spans="3:8">
      <c r="C74" s="426" t="str">
        <f>'[45]2016明细表'!A60</f>
        <v>行管资产修理费</v>
      </c>
      <c r="D74" s="426" t="s">
        <v>5175</v>
      </c>
      <c r="E74" s="406">
        <f>'[45]2015明细表 '!X60</f>
        <v>1954</v>
      </c>
      <c r="F74" s="406">
        <f>'[45]2015明细表 '!V60</f>
        <v>10691</v>
      </c>
      <c r="G74" s="419">
        <f>'[45]2016明细表'!V60</f>
        <v>2570</v>
      </c>
      <c r="H74" s="419">
        <f>'[45]2017明细表'!V60</f>
        <v>0</v>
      </c>
    </row>
    <row r="75" hidden="1" spans="3:8">
      <c r="C75" s="426" t="str">
        <f>'[45]2016明细表'!A61</f>
        <v>会议费</v>
      </c>
      <c r="D75" s="426" t="s">
        <v>5175</v>
      </c>
      <c r="E75" s="406">
        <f>'[45]2015明细表 '!X61</f>
        <v>4452.1</v>
      </c>
      <c r="F75" s="406">
        <f>'[45]2015明细表 '!V61</f>
        <v>20049</v>
      </c>
      <c r="G75" s="419">
        <f>'[45]2016明细表'!V61</f>
        <v>87676.36</v>
      </c>
      <c r="H75" s="419">
        <f>'[45]2017明细表'!V61</f>
        <v>162362.18</v>
      </c>
    </row>
    <row r="76" spans="3:8">
      <c r="C76" s="426" t="str">
        <f>'[45]2016明细表'!A62</f>
        <v>员工福利费</v>
      </c>
      <c r="D76" s="426" t="s">
        <v>5174</v>
      </c>
      <c r="E76" s="406">
        <f>'[45]2015明细表 '!X62</f>
        <v>45718</v>
      </c>
      <c r="F76" s="406">
        <f>'[45]2015明细表 '!V62</f>
        <v>0</v>
      </c>
      <c r="G76" s="451">
        <f>'[45]2016明细表'!V62</f>
        <v>86133.2</v>
      </c>
      <c r="H76" s="451">
        <f>'[45]2017明细表'!V62</f>
        <v>99824.81</v>
      </c>
    </row>
    <row r="77" hidden="1" spans="3:8">
      <c r="C77" s="426" t="str">
        <f>'[45]2016明细表'!A63</f>
        <v>保险费</v>
      </c>
      <c r="D77" s="426" t="s">
        <v>280</v>
      </c>
      <c r="E77" s="406">
        <f>'[45]2015明细表 '!X63</f>
        <v>9091.17</v>
      </c>
      <c r="F77" s="406">
        <f>'[45]2015明细表 '!V63</f>
        <v>7627.13</v>
      </c>
      <c r="G77" s="419">
        <f>'[45]2016明细表'!V63</f>
        <v>4339.31</v>
      </c>
      <c r="H77" s="419">
        <f>'[45]2017明细表'!V63</f>
        <v>0</v>
      </c>
    </row>
    <row r="78" hidden="1" spans="3:8">
      <c r="C78" s="426" t="str">
        <f>'[45]2016明细表'!A64</f>
        <v>股份支付</v>
      </c>
      <c r="D78" s="426" t="s">
        <v>4522</v>
      </c>
      <c r="E78" s="406">
        <f>'[45]2015明细表 '!X64</f>
        <v>0</v>
      </c>
      <c r="F78" s="406">
        <f>'[45]2015明细表 '!V64</f>
        <v>5756259.26</v>
      </c>
      <c r="G78" s="419">
        <f>'[45]2016明细表'!V64</f>
        <v>0</v>
      </c>
      <c r="H78" s="419">
        <f>'[45]2017明细表'!V64</f>
        <v>0</v>
      </c>
    </row>
    <row r="79" spans="3:8">
      <c r="C79" s="426" t="str">
        <f>'[45]2016明细表'!A65</f>
        <v>辞退补偿</v>
      </c>
      <c r="D79" s="426" t="s">
        <v>5174</v>
      </c>
      <c r="E79" s="406">
        <f>'[45]2015明细表 '!X65</f>
        <v>0</v>
      </c>
      <c r="F79" s="406">
        <f>'[45]2015明细表 '!V65</f>
        <v>0</v>
      </c>
      <c r="G79" s="451">
        <f>'[45]2016明细表'!V65</f>
        <v>6000</v>
      </c>
      <c r="H79" s="451">
        <f>'[45]2017明细表'!V65</f>
        <v>13500</v>
      </c>
    </row>
    <row r="80" hidden="1" spans="3:8">
      <c r="C80" s="426" t="str">
        <f>'[45]2016明细表'!A66</f>
        <v>车辆保险</v>
      </c>
      <c r="D80" s="426" t="s">
        <v>5175</v>
      </c>
      <c r="E80" s="406">
        <f>'[45]2015明细表 '!X66</f>
        <v>0</v>
      </c>
      <c r="F80" s="406">
        <f>'[45]2015明细表 '!V66</f>
        <v>0</v>
      </c>
      <c r="G80" s="419">
        <f>'[45]2016明细表'!V66</f>
        <v>47438.58</v>
      </c>
      <c r="H80" s="419">
        <f>'[45]2017明细表'!V66</f>
        <v>62059.63</v>
      </c>
    </row>
    <row r="81" hidden="1" spans="3:8">
      <c r="C81" s="426" t="str">
        <f>'[45]2016明细表'!A67</f>
        <v>残疾人保障金</v>
      </c>
      <c r="D81" s="426" t="s">
        <v>280</v>
      </c>
      <c r="E81" s="406">
        <f>'[45]2015明细表 '!X67</f>
        <v>0</v>
      </c>
      <c r="F81" s="406">
        <f>'[45]2015明细表 '!V67</f>
        <v>9608.07</v>
      </c>
      <c r="G81" s="419">
        <f>'[45]2016明细表'!V67</f>
        <v>12296.88</v>
      </c>
      <c r="H81" s="419">
        <f>'[45]2017明细表'!V67</f>
        <v>19050.92</v>
      </c>
    </row>
    <row r="82" hidden="1" spans="3:8">
      <c r="C82" s="426" t="str">
        <f>'[45]2016明细表'!A68</f>
        <v>欠薪保证金</v>
      </c>
      <c r="D82" s="426" t="s">
        <v>280</v>
      </c>
      <c r="E82" s="406">
        <f>'[45]2015明细表 '!X68</f>
        <v>400</v>
      </c>
      <c r="F82" s="406">
        <f>'[45]2015明细表 '!V68</f>
        <v>400</v>
      </c>
      <c r="G82" s="419">
        <f>'[45]2016明细表'!V68</f>
        <v>400</v>
      </c>
      <c r="H82" s="419">
        <f>'[45]2017明细表'!V68</f>
        <v>400</v>
      </c>
    </row>
    <row r="83" hidden="1" spans="3:8">
      <c r="C83" s="426" t="str">
        <f>'[45]2016明细表'!A69</f>
        <v>其他</v>
      </c>
      <c r="D83" s="426" t="s">
        <v>280</v>
      </c>
      <c r="E83" s="406">
        <f>'[45]2015明细表 '!X69</f>
        <v>7398.23</v>
      </c>
      <c r="F83" s="406">
        <f>'[45]2015明细表 '!V69</f>
        <v>94595.47</v>
      </c>
      <c r="G83" s="419">
        <f>'[45]2016明细表'!V69</f>
        <v>618</v>
      </c>
      <c r="H83" s="419">
        <f>'[45]2017明细表'!V69</f>
        <v>650</v>
      </c>
    </row>
    <row r="84" hidden="1" spans="3:8">
      <c r="C84" s="426" t="str">
        <f>'[45]2016明细表'!A70</f>
        <v>印花税金</v>
      </c>
      <c r="D84" s="426" t="s">
        <v>280</v>
      </c>
      <c r="E84" s="406">
        <f>'[45]2015明细表 '!X70</f>
        <v>343.65</v>
      </c>
      <c r="F84" s="406">
        <f>'[45]2015明细表 '!V70</f>
        <v>27779.09</v>
      </c>
      <c r="G84" s="419">
        <f>'[45]2016明细表'!V70</f>
        <v>6719.42000000001</v>
      </c>
      <c r="H84" s="419">
        <f>'[45]2017明细表'!V70</f>
        <v>0</v>
      </c>
    </row>
    <row r="85" spans="3:8">
      <c r="C85" s="426" t="str">
        <f>'[45]2016明细表'!A71</f>
        <v>社会保险金-养老</v>
      </c>
      <c r="D85" s="426" t="s">
        <v>5174</v>
      </c>
      <c r="E85" s="406">
        <f>'[45]2015明细表 '!X71</f>
        <v>0</v>
      </c>
      <c r="F85" s="406">
        <f>'[45]2015明细表 '!V71</f>
        <v>106464.59</v>
      </c>
      <c r="G85" s="451">
        <f>'[45]2016明细表'!V71</f>
        <v>182305.63</v>
      </c>
      <c r="H85" s="419">
        <f>'[45]2017明细表'!V71</f>
        <v>237558.35</v>
      </c>
    </row>
    <row r="86" spans="3:8">
      <c r="C86" s="426" t="str">
        <f>'[45]2016明细表'!A72</f>
        <v>社会保险金-医疗</v>
      </c>
      <c r="D86" s="426" t="s">
        <v>5174</v>
      </c>
      <c r="E86" s="406">
        <f>'[45]2015明细表 '!X72</f>
        <v>0</v>
      </c>
      <c r="F86" s="406">
        <f>'[45]2015明细表 '!V72</f>
        <v>29615.14</v>
      </c>
      <c r="G86" s="451">
        <f>'[45]2016明细表'!V72</f>
        <v>40399.12</v>
      </c>
      <c r="H86" s="419">
        <f>'[45]2017明细表'!V72</f>
        <v>49855.67</v>
      </c>
    </row>
    <row r="87" spans="3:8">
      <c r="C87" s="426" t="str">
        <f>'[45]2016明细表'!A73</f>
        <v>社会保险金-工伤</v>
      </c>
      <c r="D87" s="426" t="s">
        <v>5174</v>
      </c>
      <c r="E87" s="406">
        <f>'[45]2015明细表 '!X73</f>
        <v>0</v>
      </c>
      <c r="F87" s="406">
        <f>'[45]2015明细表 '!V73</f>
        <v>1397.98</v>
      </c>
      <c r="G87" s="451">
        <f>'[45]2016明细表'!V73</f>
        <v>5177.76</v>
      </c>
      <c r="H87" s="419">
        <f>'[45]2017明细表'!V73</f>
        <v>10029.54</v>
      </c>
    </row>
    <row r="88" spans="3:8">
      <c r="C88" s="426" t="str">
        <f>'[45]2016明细表'!A74</f>
        <v>社会保险金-失业</v>
      </c>
      <c r="D88" s="426" t="s">
        <v>5174</v>
      </c>
      <c r="E88" s="406">
        <f>'[45]2015明细表 '!X74</f>
        <v>0</v>
      </c>
      <c r="F88" s="406">
        <f>'[45]2015明细表 '!V74</f>
        <v>6833.07</v>
      </c>
      <c r="G88" s="451">
        <f>'[45]2016明细表'!V74</f>
        <v>4106.85</v>
      </c>
      <c r="H88" s="419">
        <f>'[45]2017明细表'!V74</f>
        <v>5620.67</v>
      </c>
    </row>
    <row r="89" spans="3:8">
      <c r="C89" s="426" t="str">
        <f>'[45]2016明细表'!A75</f>
        <v>社会保险金-生育</v>
      </c>
      <c r="D89" s="426" t="s">
        <v>5174</v>
      </c>
      <c r="E89" s="406">
        <f>'[45]2015明细表 '!X75</f>
        <v>0</v>
      </c>
      <c r="F89" s="406">
        <f>'[45]2015明细表 '!V75</f>
        <v>5741.94</v>
      </c>
      <c r="G89" s="451">
        <f>'[45]2016明细表'!V75</f>
        <v>5539.6</v>
      </c>
      <c r="H89" s="419">
        <f>'[45]2017明细表'!V75</f>
        <v>7959.95</v>
      </c>
    </row>
    <row r="90" spans="3:8">
      <c r="C90" s="426" t="str">
        <f>'[45]2016明细表'!A76</f>
        <v>住房公积金</v>
      </c>
      <c r="D90" s="426" t="s">
        <v>5174</v>
      </c>
      <c r="E90" s="406">
        <f>'[45]2015明细表 '!X76</f>
        <v>0</v>
      </c>
      <c r="F90" s="406">
        <f>'[45]2015明细表 '!V76</f>
        <v>29125</v>
      </c>
      <c r="G90" s="451">
        <f>'[45]2016明细表'!V76</f>
        <v>34921</v>
      </c>
      <c r="H90" s="419">
        <f>'[45]2017明细表'!V76</f>
        <v>41624</v>
      </c>
    </row>
    <row r="91" hidden="1" spans="3:8">
      <c r="C91" s="426" t="str">
        <f>'[45]2016明细表'!A77</f>
        <v>无形资产摊销</v>
      </c>
      <c r="D91" s="426" t="s">
        <v>5177</v>
      </c>
      <c r="E91" s="406">
        <f>'[45]2015明细表 '!X77</f>
        <v>9000</v>
      </c>
      <c r="F91" s="406">
        <f>'[45]2015明细表 '!V77</f>
        <v>11359.25</v>
      </c>
      <c r="G91" s="419">
        <f>'[45]2016明细表'!V77</f>
        <v>-11359.25</v>
      </c>
      <c r="H91" s="419">
        <f>'[45]2017明细表'!V77</f>
        <v>8010</v>
      </c>
    </row>
    <row r="92" hidden="1" spans="3:8">
      <c r="C92" s="426" t="str">
        <f>'[45]2016明细表'!A78</f>
        <v>花木租赁费</v>
      </c>
      <c r="D92" s="426" t="s">
        <v>5175</v>
      </c>
      <c r="E92" s="406">
        <f>'[45]2015明细表 '!X78</f>
        <v>9000</v>
      </c>
      <c r="F92" s="406">
        <f>'[45]2015明细表 '!V78</f>
        <v>9000</v>
      </c>
      <c r="G92" s="419">
        <f>'[45]2016明细表'!V78</f>
        <v>10020</v>
      </c>
      <c r="H92" s="419">
        <f>'[45]2017明细表'!V78</f>
        <v>8010</v>
      </c>
    </row>
    <row r="93" spans="5:8">
      <c r="E93" s="684"/>
      <c r="F93" s="684"/>
      <c r="G93" s="684"/>
      <c r="H93" s="684"/>
    </row>
  </sheetData>
  <autoFilter ref="C22:H92">
    <filterColumn colId="1">
      <customFilters>
        <customFilter operator="equal" val="职工薪酬"/>
      </customFilters>
    </filterColumn>
    <extLst/>
  </autoFilter>
  <mergeCells count="2">
    <mergeCell ref="C3:F3"/>
    <mergeCell ref="C4:F4"/>
  </mergeCells>
  <printOptions horizontalCentered="1"/>
  <pageMargins left="0.748031496062992" right="0.748031496062992" top="0.984251968503937" bottom="0.984251968503937" header="0.511811023622047" footer="0.511811023622047"/>
  <pageSetup paperSize="9" scale="85" orientation="landscape"/>
  <headerFooter alignWithMargins="0">
    <oddFooter>&amp;C第 &amp;P 页，共 &amp;N 页</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pageSetUpPr fitToPage="1"/>
  </sheetPr>
  <dimension ref="A1:Q200"/>
  <sheetViews>
    <sheetView topLeftCell="C5" workbookViewId="0">
      <pane xSplit="1" ySplit="1" topLeftCell="D6" activePane="bottomRight" state="frozen"/>
      <selection/>
      <selection pane="topRight"/>
      <selection pane="bottomLeft"/>
      <selection pane="bottomRight" activeCell="H14" sqref="H14"/>
    </sheetView>
  </sheetViews>
  <sheetFormatPr defaultColWidth="9" defaultRowHeight="14.25"/>
  <cols>
    <col min="1" max="1" width="6.625" hidden="1" customWidth="1"/>
    <col min="2" max="2" width="30.375" hidden="1" customWidth="1"/>
    <col min="3" max="3" width="35.5" customWidth="1"/>
    <col min="4" max="4" width="14" customWidth="1"/>
    <col min="5" max="5" width="14.375" customWidth="1"/>
    <col min="6" max="8" width="15.375" customWidth="1"/>
    <col min="9" max="9" width="17" customWidth="1"/>
    <col min="10" max="10" width="14.375" customWidth="1"/>
    <col min="11" max="11" width="17" customWidth="1"/>
    <col min="12" max="12" width="9.375" customWidth="1"/>
    <col min="13" max="13" width="14.375" customWidth="1"/>
    <col min="15" max="15" width="14.375" customWidth="1"/>
  </cols>
  <sheetData>
    <row r="1" ht="65.25" hidden="1" spans="1:6">
      <c r="A1" s="650" t="s">
        <v>5163</v>
      </c>
      <c r="B1" s="651"/>
      <c r="C1" s="651"/>
      <c r="D1" s="397"/>
      <c r="E1" s="666"/>
      <c r="F1" s="398"/>
    </row>
    <row r="2" hidden="1" spans="1:6">
      <c r="A2" s="651" t="s">
        <v>5164</v>
      </c>
      <c r="B2" s="651" t="s">
        <v>5164</v>
      </c>
      <c r="C2" s="651"/>
      <c r="D2" s="397"/>
      <c r="E2" s="666"/>
      <c r="F2" s="398"/>
    </row>
    <row r="3" ht="30.2" customHeight="1" spans="1:13">
      <c r="A3" s="652" t="s">
        <v>5165</v>
      </c>
      <c r="B3" s="653"/>
      <c r="C3" s="653" t="s">
        <v>5188</v>
      </c>
      <c r="D3" s="653"/>
      <c r="E3" s="653"/>
      <c r="F3" s="653"/>
      <c r="J3" s="401"/>
      <c r="M3" s="401"/>
    </row>
    <row r="4" ht="51" customHeight="1" spans="1:13">
      <c r="A4" s="652" t="s">
        <v>5165</v>
      </c>
      <c r="B4" s="652"/>
      <c r="C4" s="402" t="s">
        <v>5189</v>
      </c>
      <c r="D4" s="402"/>
      <c r="E4" s="402"/>
      <c r="F4" s="402"/>
      <c r="J4" s="403"/>
      <c r="M4" s="403"/>
    </row>
    <row r="5" ht="13.5" customHeight="1" spans="1:13">
      <c r="A5" s="667"/>
      <c r="B5" s="667"/>
      <c r="C5" s="405" t="s">
        <v>61</v>
      </c>
      <c r="D5" s="407" t="s">
        <v>5190</v>
      </c>
      <c r="E5" s="407" t="s">
        <v>5191</v>
      </c>
      <c r="F5" s="668" t="s">
        <v>5170</v>
      </c>
      <c r="G5" s="668" t="s">
        <v>5171</v>
      </c>
      <c r="J5" s="406"/>
      <c r="M5" s="406"/>
    </row>
    <row r="6" ht="13.5" customHeight="1" spans="1:15">
      <c r="A6" s="669" t="s">
        <v>5192</v>
      </c>
      <c r="B6" s="409" t="s">
        <v>5173</v>
      </c>
      <c r="C6" s="670" t="s">
        <v>5174</v>
      </c>
      <c r="D6" s="411">
        <f t="shared" ref="D6:D14" si="0">SUMIF($D$20:$D$175,$C6,$E$20:$E$175)</f>
        <v>3500032.56</v>
      </c>
      <c r="E6" s="411">
        <f t="shared" ref="E6:E14" si="1">SUMIF($D$20:$D$175,$C6,$F$20:$F$175)</f>
        <v>3133997.58</v>
      </c>
      <c r="F6" s="411">
        <f t="shared" ref="F6:F14" si="2">SUMIF($D$20:$D$175,$C6,$G$20:$G$175)</f>
        <v>7284037.43</v>
      </c>
      <c r="G6" s="411">
        <f t="shared" ref="G6:G14" si="3">SUMIF($D$20:$D$175,$C6,$H$20:$H$175)</f>
        <v>7049912.18</v>
      </c>
      <c r="J6" s="406"/>
      <c r="M6" s="406"/>
      <c r="N6" s="425"/>
      <c r="O6" s="424"/>
    </row>
    <row r="7" ht="13.5" customHeight="1" spans="1:17">
      <c r="A7" s="669" t="s">
        <v>5193</v>
      </c>
      <c r="B7" s="409" t="s">
        <v>5173</v>
      </c>
      <c r="C7" s="671" t="s">
        <v>5179</v>
      </c>
      <c r="D7" s="411">
        <f t="shared" si="0"/>
        <v>411454.61</v>
      </c>
      <c r="E7" s="411">
        <f t="shared" si="1"/>
        <v>569559.55</v>
      </c>
      <c r="F7" s="411">
        <f t="shared" si="2"/>
        <v>1960126.9</v>
      </c>
      <c r="G7" s="411">
        <f t="shared" si="3"/>
        <v>1798079.29</v>
      </c>
      <c r="J7" s="406"/>
      <c r="M7" s="406"/>
      <c r="N7" s="425"/>
      <c r="O7" s="424"/>
      <c r="Q7" s="418" t="s">
        <v>59</v>
      </c>
    </row>
    <row r="8" ht="13.5" customHeight="1" spans="1:15">
      <c r="A8" s="669"/>
      <c r="B8" s="409"/>
      <c r="C8" s="671" t="s">
        <v>4154</v>
      </c>
      <c r="D8" s="411">
        <f t="shared" si="0"/>
        <v>609754.26</v>
      </c>
      <c r="E8" s="411">
        <f t="shared" si="1"/>
        <v>785338.15</v>
      </c>
      <c r="F8" s="411">
        <f t="shared" si="2"/>
        <v>889648.14</v>
      </c>
      <c r="G8" s="411">
        <f t="shared" si="3"/>
        <v>1570520.72</v>
      </c>
      <c r="J8" s="406"/>
      <c r="M8" s="406"/>
      <c r="N8" s="425"/>
      <c r="O8" s="424"/>
    </row>
    <row r="9" ht="13.5" customHeight="1" spans="1:15">
      <c r="A9" s="669" t="s">
        <v>5194</v>
      </c>
      <c r="B9" s="409" t="s">
        <v>5173</v>
      </c>
      <c r="C9" s="670" t="s">
        <v>5195</v>
      </c>
      <c r="D9" s="411">
        <f t="shared" si="0"/>
        <v>334211.42</v>
      </c>
      <c r="E9" s="411">
        <f t="shared" si="1"/>
        <v>409595.9</v>
      </c>
      <c r="F9" s="411">
        <f t="shared" si="2"/>
        <v>395833.25</v>
      </c>
      <c r="G9" s="411">
        <f t="shared" si="3"/>
        <v>170393.33</v>
      </c>
      <c r="J9" s="406"/>
      <c r="M9" s="406"/>
      <c r="N9" s="425"/>
      <c r="O9" s="424"/>
    </row>
    <row r="10" spans="3:15">
      <c r="C10" s="672" t="s">
        <v>5196</v>
      </c>
      <c r="D10" s="411">
        <f t="shared" si="0"/>
        <v>4177</v>
      </c>
      <c r="E10" s="411">
        <f t="shared" si="1"/>
        <v>2335</v>
      </c>
      <c r="F10" s="411">
        <f t="shared" si="2"/>
        <v>536691.16</v>
      </c>
      <c r="G10" s="411">
        <f t="shared" si="3"/>
        <v>932730.51</v>
      </c>
      <c r="J10" s="406"/>
      <c r="M10" s="406"/>
      <c r="N10" s="425"/>
      <c r="O10" s="424"/>
    </row>
    <row r="11" spans="3:15">
      <c r="C11" s="672" t="s">
        <v>5175</v>
      </c>
      <c r="D11" s="411">
        <f t="shared" si="0"/>
        <v>1866771.98</v>
      </c>
      <c r="E11" s="411">
        <f t="shared" si="1"/>
        <v>801055.43</v>
      </c>
      <c r="F11" s="411">
        <f t="shared" si="2"/>
        <v>828210.92</v>
      </c>
      <c r="G11" s="411">
        <f t="shared" si="3"/>
        <v>880724.75</v>
      </c>
      <c r="J11" s="406"/>
      <c r="M11" s="406"/>
      <c r="N11" s="425"/>
      <c r="O11" s="424"/>
    </row>
    <row r="12" spans="3:15">
      <c r="C12" s="672" t="s">
        <v>5197</v>
      </c>
      <c r="D12" s="411">
        <f t="shared" si="0"/>
        <v>4355</v>
      </c>
      <c r="E12" s="411">
        <f t="shared" si="1"/>
        <v>150827.25</v>
      </c>
      <c r="F12" s="411">
        <f t="shared" si="2"/>
        <v>280423.71</v>
      </c>
      <c r="G12" s="411">
        <f t="shared" si="3"/>
        <v>882634.14</v>
      </c>
      <c r="H12" s="417"/>
      <c r="J12" s="406"/>
      <c r="M12" s="406"/>
      <c r="N12" s="425"/>
      <c r="O12" s="424"/>
    </row>
    <row r="13" spans="3:15">
      <c r="C13" s="672" t="s">
        <v>5198</v>
      </c>
      <c r="D13" s="411">
        <f t="shared" si="0"/>
        <v>400000</v>
      </c>
      <c r="E13" s="411">
        <f t="shared" si="1"/>
        <v>5575030.41</v>
      </c>
      <c r="F13" s="411">
        <f t="shared" si="2"/>
        <v>600000</v>
      </c>
      <c r="G13" s="411">
        <f t="shared" si="3"/>
        <v>156627.92</v>
      </c>
      <c r="J13" s="406"/>
      <c r="M13" s="406"/>
      <c r="N13" s="425"/>
      <c r="O13" s="424"/>
    </row>
    <row r="14" spans="3:15">
      <c r="C14" s="672" t="s">
        <v>280</v>
      </c>
      <c r="D14" s="411">
        <f t="shared" si="0"/>
        <v>141500</v>
      </c>
      <c r="E14" s="411">
        <f t="shared" si="1"/>
        <v>4753</v>
      </c>
      <c r="F14" s="411">
        <f t="shared" si="2"/>
        <v>324</v>
      </c>
      <c r="G14" s="411">
        <f t="shared" si="3"/>
        <v>0</v>
      </c>
      <c r="J14" s="406"/>
      <c r="M14" s="406"/>
      <c r="N14" s="425"/>
      <c r="O14" s="424"/>
    </row>
    <row r="15" spans="3:13">
      <c r="C15" s="415" t="s">
        <v>2021</v>
      </c>
      <c r="D15" s="407">
        <f>SUM(D6:D14)</f>
        <v>7272256.83</v>
      </c>
      <c r="E15" s="407">
        <f>SUM(E6:E14)</f>
        <v>11432492.27</v>
      </c>
      <c r="F15" s="407">
        <f>SUM(F6:F14)</f>
        <v>12775295.51</v>
      </c>
      <c r="G15" s="407">
        <f>SUM(G6:G14)</f>
        <v>13441622.84</v>
      </c>
      <c r="J15" s="406"/>
      <c r="K15" s="426"/>
      <c r="L15" s="426"/>
      <c r="M15" s="419"/>
    </row>
    <row r="16" spans="3:13">
      <c r="C16" s="416" t="s">
        <v>1723</v>
      </c>
      <c r="D16" s="417">
        <v>7272256.83</v>
      </c>
      <c r="E16" s="417">
        <v>11380941.86</v>
      </c>
      <c r="F16" s="417">
        <v>12798618.16</v>
      </c>
      <c r="G16" s="417">
        <v>13125984.84</v>
      </c>
      <c r="J16" s="406"/>
      <c r="K16" s="426"/>
      <c r="L16" s="426"/>
      <c r="M16" s="419"/>
    </row>
    <row r="17" spans="3:13">
      <c r="C17" s="418" t="s">
        <v>1395</v>
      </c>
      <c r="D17" s="424">
        <f>D15-D16</f>
        <v>0</v>
      </c>
      <c r="E17" s="417">
        <f>E15-E16</f>
        <v>51550.4100000001</v>
      </c>
      <c r="F17" s="417">
        <f>F15-F16</f>
        <v>-23322.6499999985</v>
      </c>
      <c r="G17" s="417">
        <f t="shared" ref="G17" si="4">G15-G16</f>
        <v>315638.000000002</v>
      </c>
      <c r="J17" s="406"/>
      <c r="K17" s="426"/>
      <c r="L17" s="426"/>
      <c r="M17" s="419"/>
    </row>
    <row r="20" spans="3:12">
      <c r="C20" s="426" t="s">
        <v>5183</v>
      </c>
      <c r="D20" s="426" t="s">
        <v>5199</v>
      </c>
      <c r="E20" s="419" t="s">
        <v>5168</v>
      </c>
      <c r="F20" s="419" t="s">
        <v>5185</v>
      </c>
      <c r="G20" s="419" t="s">
        <v>5186</v>
      </c>
      <c r="H20" s="419" t="s">
        <v>5187</v>
      </c>
      <c r="I20" s="419"/>
      <c r="K20" s="419"/>
      <c r="L20" s="419"/>
    </row>
    <row r="21" hidden="1" spans="3:8">
      <c r="C21" s="426" t="str">
        <f>'[46]15明细表 '!B9</f>
        <v>保险费</v>
      </c>
      <c r="D21" s="426" t="s">
        <v>5179</v>
      </c>
      <c r="E21" s="419">
        <f>'[46]15明细表 '!Z9</f>
        <v>64052.31</v>
      </c>
      <c r="F21" s="419">
        <f>'[46]15明细表 '!X9</f>
        <v>55939.06</v>
      </c>
      <c r="G21" s="422">
        <f>'[46]16明细表'!X9</f>
        <v>15258.57</v>
      </c>
      <c r="H21" s="422">
        <f>'[46]17明细表'!X9</f>
        <v>23584.91</v>
      </c>
    </row>
    <row r="22" hidden="1" spans="3:8">
      <c r="C22" s="426" t="str">
        <f>'[46]15明细表 '!B10</f>
        <v>交通差旅费</v>
      </c>
      <c r="D22" s="426" t="s">
        <v>5179</v>
      </c>
      <c r="E22" s="419">
        <f>'[46]15明细表 '!Z10</f>
        <v>53843.2</v>
      </c>
      <c r="F22" s="419">
        <f>'[46]15明细表 '!X10</f>
        <v>102135.9</v>
      </c>
      <c r="G22" s="422">
        <f>'[46]16明细表'!X10</f>
        <v>194433.44</v>
      </c>
      <c r="H22" s="422">
        <f>'[46]17明细表'!X10</f>
        <v>164670.77</v>
      </c>
    </row>
    <row r="23" hidden="1" spans="3:8">
      <c r="C23" s="426" t="str">
        <f>'[46]15明细表 '!B11</f>
        <v>展览和广告费</v>
      </c>
      <c r="D23" s="426" t="s">
        <v>5175</v>
      </c>
      <c r="E23" s="419">
        <f>'[46]15明细表 '!Z11</f>
        <v>1270105</v>
      </c>
      <c r="F23" s="419">
        <f>'[46]15明细表 '!X11</f>
        <v>390040</v>
      </c>
      <c r="G23" s="422">
        <f>'[46]16明细表'!X11</f>
        <v>93062</v>
      </c>
      <c r="H23" s="422">
        <f>'[46]17明细表'!X11</f>
        <v>0</v>
      </c>
    </row>
    <row r="24" hidden="1" spans="3:8">
      <c r="C24" s="426" t="str">
        <f>'[46]15明细表 '!B12</f>
        <v>商品维修费</v>
      </c>
      <c r="D24" s="426" t="s">
        <v>5197</v>
      </c>
      <c r="E24" s="419">
        <f>'[46]15明细表 '!Z12</f>
        <v>0</v>
      </c>
      <c r="F24" s="419">
        <f>'[46]15明细表 '!X12</f>
        <v>69592.25</v>
      </c>
      <c r="G24" s="422">
        <f>'[46]16明细表'!X12</f>
        <v>0</v>
      </c>
      <c r="H24" s="422">
        <f>'[46]17明细表'!X12</f>
        <v>0</v>
      </c>
    </row>
    <row r="25" hidden="1" spans="3:8">
      <c r="C25" s="426" t="str">
        <f>'[46]15明细表 '!B13</f>
        <v>预计质保损失</v>
      </c>
      <c r="D25" s="426" t="s">
        <v>280</v>
      </c>
      <c r="E25" s="419">
        <f>'[46]15明细表 '!Z13</f>
        <v>0</v>
      </c>
      <c r="F25" s="419">
        <f>'[46]15明细表 '!X13</f>
        <v>0</v>
      </c>
      <c r="G25" s="422">
        <f>'[46]16明细表'!X13</f>
        <v>0</v>
      </c>
      <c r="H25" s="422">
        <f>'[46]17明细表'!X13</f>
        <v>0</v>
      </c>
    </row>
    <row r="26" hidden="1" spans="3:8">
      <c r="C26" s="426" t="str">
        <f>'[46]15明细表 '!B14</f>
        <v>运杂装卸费等</v>
      </c>
      <c r="D26" s="426" t="s">
        <v>5175</v>
      </c>
      <c r="E26" s="419">
        <f>'[46]15明细表 '!Z14</f>
        <v>437</v>
      </c>
      <c r="F26" s="419">
        <f>'[46]15明细表 '!X14</f>
        <v>405</v>
      </c>
      <c r="G26" s="422">
        <f>'[46]16明细表'!X14</f>
        <v>0</v>
      </c>
      <c r="H26" s="422">
        <f>'[46]17明细表'!X14</f>
        <v>6601.95</v>
      </c>
    </row>
    <row r="27" spans="3:8">
      <c r="C27" s="426" t="str">
        <f>'[46]15明细表 '!B15</f>
        <v>营销机构职工薪酬</v>
      </c>
      <c r="D27" s="426" t="s">
        <v>5174</v>
      </c>
      <c r="E27" s="419">
        <f>'[46]15明细表 '!Z15</f>
        <v>2285032.56</v>
      </c>
      <c r="F27" s="419">
        <f>'[46]15明细表 '!X15</f>
        <v>349775.68</v>
      </c>
      <c r="G27" s="422">
        <f>'[46]16明细表'!X15</f>
        <v>523536.66</v>
      </c>
      <c r="H27" s="422">
        <f>'[46]17明细表'!X15</f>
        <v>2203919.12</v>
      </c>
    </row>
    <row r="28" hidden="1" spans="3:8">
      <c r="C28" s="426" t="str">
        <f>'[46]15明细表 '!B16</f>
        <v>业务招待费</v>
      </c>
      <c r="D28" s="426" t="s">
        <v>4154</v>
      </c>
      <c r="E28" s="419">
        <f>'[46]15明细表 '!Z16</f>
        <v>347460.5</v>
      </c>
      <c r="F28" s="419">
        <f>'[46]15明细表 '!X16</f>
        <v>104511</v>
      </c>
      <c r="G28" s="422">
        <f>'[46]16明细表'!X16</f>
        <v>96427.9</v>
      </c>
      <c r="H28" s="422">
        <f>'[46]17明细表'!X16</f>
        <v>264087.36</v>
      </c>
    </row>
    <row r="29" hidden="1" spans="3:8">
      <c r="C29" s="426" t="str">
        <f>'[46]15明细表 '!B17</f>
        <v>折旧费</v>
      </c>
      <c r="D29" s="426" t="s">
        <v>5195</v>
      </c>
      <c r="E29" s="419">
        <f>'[46]15明细表 '!Z17</f>
        <v>334211.42</v>
      </c>
      <c r="F29" s="419">
        <f>'[46]15明细表 '!X17</f>
        <v>358220.93</v>
      </c>
      <c r="G29" s="422">
        <f>'[46]16明细表'!X17</f>
        <v>327333.29</v>
      </c>
      <c r="H29" s="422">
        <f>'[46]17明细表'!X17</f>
        <v>153268.26</v>
      </c>
    </row>
    <row r="30" hidden="1" spans="3:8">
      <c r="C30" s="426" t="str">
        <f>'[46]15明细表 '!B18</f>
        <v>营销机构资产修理费</v>
      </c>
      <c r="D30" s="426" t="s">
        <v>5197</v>
      </c>
      <c r="E30" s="419">
        <f>'[46]15明细表 '!Z18</f>
        <v>4355</v>
      </c>
      <c r="F30" s="419">
        <f>'[46]15明细表 '!X18</f>
        <v>3885</v>
      </c>
      <c r="G30" s="422">
        <f>'[46]16明细表'!X18</f>
        <v>205987.3</v>
      </c>
      <c r="H30" s="422">
        <f>'[46]17明细表'!X18</f>
        <v>0</v>
      </c>
    </row>
    <row r="31" hidden="1" spans="3:8">
      <c r="C31" s="426" t="str">
        <f>'[46]15明细表 '!B19</f>
        <v>项目设计费</v>
      </c>
      <c r="D31" s="426" t="s">
        <v>5175</v>
      </c>
      <c r="E31" s="419">
        <f>'[46]15明细表 '!Z19</f>
        <v>0</v>
      </c>
      <c r="F31" s="419">
        <f>'[46]15明细表 '!X19</f>
        <v>0</v>
      </c>
      <c r="G31" s="422">
        <f>'[46]16明细表'!X19</f>
        <v>0</v>
      </c>
      <c r="H31" s="422">
        <f>'[46]17明细表'!X19</f>
        <v>0</v>
      </c>
    </row>
    <row r="32" hidden="1" spans="3:8">
      <c r="C32" s="426" t="str">
        <f>'[46]15明细表 '!B20</f>
        <v>中介机构费</v>
      </c>
      <c r="D32" s="426" t="s">
        <v>5175</v>
      </c>
      <c r="E32" s="419">
        <f>'[46]15明细表 '!Z20</f>
        <v>52044</v>
      </c>
      <c r="F32" s="419">
        <f>'[46]15明细表 '!X20</f>
        <v>17921</v>
      </c>
      <c r="G32" s="422">
        <f>'[46]16明细表'!X20</f>
        <v>43350.94</v>
      </c>
      <c r="H32" s="422">
        <f>'[46]17明细表'!X20</f>
        <v>19367.92</v>
      </c>
    </row>
    <row r="33" hidden="1" spans="3:8">
      <c r="C33" s="426" t="str">
        <f>'[46]15明细表 '!B21</f>
        <v>低耗品摊销</v>
      </c>
      <c r="D33" s="426" t="s">
        <v>5175</v>
      </c>
      <c r="E33" s="419">
        <f>'[46]15明细表 '!Z21</f>
        <v>17128</v>
      </c>
      <c r="F33" s="419">
        <f>'[46]15明细表 '!X21</f>
        <v>10075.95</v>
      </c>
      <c r="G33" s="422">
        <f>'[46]16明细表'!X21</f>
        <v>0</v>
      </c>
      <c r="H33" s="422">
        <f>'[46]17明细表'!X21</f>
        <v>796</v>
      </c>
    </row>
    <row r="34" hidden="1" spans="3:8">
      <c r="C34" s="426" t="str">
        <f>'[46]15明细表 '!B22</f>
        <v>房租水电费</v>
      </c>
      <c r="D34" s="426" t="s">
        <v>5175</v>
      </c>
      <c r="E34" s="419">
        <f>'[46]15明细表 '!Z22</f>
        <v>262869.8</v>
      </c>
      <c r="F34" s="419">
        <f>'[46]15明细表 '!X22</f>
        <v>253304.54</v>
      </c>
      <c r="G34" s="422">
        <f>'[46]16明细表'!X22</f>
        <v>313569.28</v>
      </c>
      <c r="H34" s="422">
        <f>'[46]17明细表'!X22</f>
        <v>342503.7</v>
      </c>
    </row>
    <row r="35" hidden="1" spans="3:8">
      <c r="C35" s="426" t="str">
        <f>'[46]15明细表 '!B23</f>
        <v>办公费</v>
      </c>
      <c r="D35" s="426" t="s">
        <v>5175</v>
      </c>
      <c r="E35" s="419">
        <f>'[46]15明细表 '!Z23</f>
        <v>10356.8</v>
      </c>
      <c r="F35" s="419">
        <f>'[46]15明细表 '!X23</f>
        <v>23051</v>
      </c>
      <c r="G35" s="673">
        <f>'[46]16明细表'!X23</f>
        <v>72400.73</v>
      </c>
      <c r="H35" s="422">
        <f>'[46]17明细表'!X23</f>
        <v>70225.84</v>
      </c>
    </row>
    <row r="36" hidden="1" spans="3:8">
      <c r="C36" s="426" t="str">
        <f>'[46]15明细表 '!B24</f>
        <v>邮运费</v>
      </c>
      <c r="D36" s="426" t="s">
        <v>5175</v>
      </c>
      <c r="E36" s="419">
        <f>'[46]15明细表 '!Z24</f>
        <v>0</v>
      </c>
      <c r="F36" s="419">
        <f>'[46]15明细表 '!X24</f>
        <v>0</v>
      </c>
      <c r="G36" s="422">
        <f>'[46]16明细表'!X24</f>
        <v>3323.3</v>
      </c>
      <c r="H36" s="422">
        <f>'[46]17明细表'!X24</f>
        <v>4335</v>
      </c>
    </row>
    <row r="37" spans="3:8">
      <c r="C37" s="426" t="str">
        <f>'[46]15明细表 '!B25</f>
        <v>员工福利费</v>
      </c>
      <c r="D37" s="426" t="s">
        <v>5174</v>
      </c>
      <c r="E37" s="419">
        <f>'[46]15明细表 '!Z25</f>
        <v>0</v>
      </c>
      <c r="F37" s="419">
        <f>'[46]15明细表 '!X25</f>
        <v>23000</v>
      </c>
      <c r="G37" s="422">
        <f>'[46]16明细表'!X25</f>
        <v>5800</v>
      </c>
      <c r="H37" s="422">
        <f>'[46]17明细表'!X25</f>
        <v>30675</v>
      </c>
    </row>
    <row r="38" hidden="1" spans="3:8">
      <c r="C38" s="426" t="str">
        <f>'[46]15明细表 '!B26</f>
        <v>通讯费</v>
      </c>
      <c r="D38" s="426" t="s">
        <v>5175</v>
      </c>
      <c r="E38" s="419">
        <f>'[46]15明细表 '!Z26</f>
        <v>0</v>
      </c>
      <c r="F38" s="419">
        <f>'[46]15明细表 '!X26</f>
        <v>200</v>
      </c>
      <c r="G38" s="422">
        <f>'[46]16明细表'!X26</f>
        <v>300</v>
      </c>
      <c r="H38" s="422">
        <f>'[46]17明细表'!X26</f>
        <v>0</v>
      </c>
    </row>
    <row r="39" spans="3:8">
      <c r="C39" s="426" t="str">
        <f>'[46]15明细表 '!B27</f>
        <v>社保公积金（五险一金）</v>
      </c>
      <c r="D39" s="426" t="s">
        <v>5174</v>
      </c>
      <c r="E39" s="419">
        <f>'[46]15明细表 '!Z27</f>
        <v>0</v>
      </c>
      <c r="F39" s="419">
        <f>'[46]15明细表 '!X27</f>
        <v>45250.89</v>
      </c>
      <c r="G39" s="422">
        <f>'[46]16明细表'!X27</f>
        <v>78766.81</v>
      </c>
      <c r="H39" s="422">
        <f>'[46]17明细表'!X27</f>
        <v>155087.08</v>
      </c>
    </row>
    <row r="40" hidden="1" spans="3:8">
      <c r="C40" s="426" t="str">
        <f>'[46]15明细表 '!B28</f>
        <v>汽车费用</v>
      </c>
      <c r="D40" s="426" t="s">
        <v>5179</v>
      </c>
      <c r="E40" s="419">
        <f>'[46]15明细表 '!Z28</f>
        <v>2061</v>
      </c>
      <c r="F40" s="419">
        <f>'[46]15明细表 '!X28</f>
        <v>0</v>
      </c>
      <c r="G40" s="422">
        <f>'[46]16明细表'!X28</f>
        <v>40613.97</v>
      </c>
      <c r="H40" s="422">
        <f>'[46]17明细表'!X28</f>
        <v>76118.2</v>
      </c>
    </row>
    <row r="41" hidden="1" spans="3:8">
      <c r="C41" s="426" t="str">
        <f>'[46]15明细表 '!B29</f>
        <v>宣传制作费</v>
      </c>
      <c r="D41" s="426" t="s">
        <v>5175</v>
      </c>
      <c r="E41" s="419">
        <f>'[46]15明细表 '!Z29</f>
        <v>0</v>
      </c>
      <c r="F41" s="419">
        <f>'[46]15明细表 '!X29</f>
        <v>0</v>
      </c>
      <c r="G41" s="422">
        <f>'[46]16明细表'!X29</f>
        <v>0</v>
      </c>
      <c r="H41" s="422">
        <f>'[46]17明细表'!X29</f>
        <v>8888.89</v>
      </c>
    </row>
    <row r="42" hidden="1" spans="3:8">
      <c r="C42" s="426" t="str">
        <f>'[46]15明细表 '!B30</f>
        <v>其他</v>
      </c>
      <c r="D42" s="426" t="s">
        <v>280</v>
      </c>
      <c r="E42" s="419">
        <f>'[46]15明细表 '!Z30</f>
        <v>141500</v>
      </c>
      <c r="F42" s="419">
        <f>'[46]15明细表 '!X30</f>
        <v>4753</v>
      </c>
      <c r="G42" s="422">
        <f>'[46]16明细表'!X30</f>
        <v>324</v>
      </c>
      <c r="H42" s="422">
        <f>'[46]17明细表'!X30</f>
        <v>0</v>
      </c>
    </row>
    <row r="43" hidden="1" spans="3:8">
      <c r="C43" s="426" t="str">
        <f>'[46]15明细表 '!B31</f>
        <v>投标费用</v>
      </c>
      <c r="D43" s="426" t="s">
        <v>5196</v>
      </c>
      <c r="E43" s="419">
        <f>'[46]15明细表 '!Z31</f>
        <v>0</v>
      </c>
      <c r="F43" s="419">
        <f>'[46]15明细表 '!X31</f>
        <v>0</v>
      </c>
      <c r="G43" s="422">
        <f>'[46]16明细表'!X31</f>
        <v>527378.16</v>
      </c>
      <c r="H43" s="673">
        <f>'[46]17明细表'!X31</f>
        <v>932230.51</v>
      </c>
    </row>
    <row r="44" hidden="1" spans="3:8">
      <c r="C44" s="426" t="str">
        <f>'[46]15明细表 '!B32</f>
        <v>培训费</v>
      </c>
      <c r="D44" s="426" t="s">
        <v>5175</v>
      </c>
      <c r="E44" s="419">
        <f>'[46]15明细表 '!Z32</f>
        <v>0</v>
      </c>
      <c r="F44" s="419">
        <f>'[46]15明细表 '!X32</f>
        <v>0</v>
      </c>
      <c r="G44" s="422">
        <f>'[46]16明细表'!X32</f>
        <v>4880.78</v>
      </c>
      <c r="H44" s="673">
        <f>'[46]17明细表'!X32</f>
        <v>49463.69</v>
      </c>
    </row>
    <row r="45" hidden="1" spans="3:8">
      <c r="C45" s="426" t="str">
        <f>'[46]15明细表 '!B33</f>
        <v>项目维护费</v>
      </c>
      <c r="D45" s="426" t="s">
        <v>5197</v>
      </c>
      <c r="E45" s="419">
        <f>'[46]15明细表 '!Z33</f>
        <v>0</v>
      </c>
      <c r="F45" s="419">
        <f>'[46]15明细表 '!X33</f>
        <v>77350</v>
      </c>
      <c r="G45" s="422">
        <f>'[46]16明细表'!X33</f>
        <v>74436.4100000003</v>
      </c>
      <c r="H45" s="422">
        <f>'[46]17明细表'!X33</f>
        <v>882634.14</v>
      </c>
    </row>
    <row r="46" hidden="1" spans="3:8">
      <c r="C46" s="426" t="str">
        <f>'[46]15明细表 '!B34</f>
        <v>湖南办-交通差旅费</v>
      </c>
      <c r="D46" s="426" t="s">
        <v>5179</v>
      </c>
      <c r="E46" s="419">
        <f>'[46]15明细表 '!Z34</f>
        <v>74565</v>
      </c>
      <c r="F46" s="419">
        <f>'[46]15明细表 '!X34</f>
        <v>56892.4</v>
      </c>
      <c r="G46" s="422">
        <f>'[46]16明细表'!X34</f>
        <v>1384</v>
      </c>
      <c r="H46" s="422">
        <f>'[46]17明细表'!X34</f>
        <v>0</v>
      </c>
    </row>
    <row r="47" hidden="1" spans="3:8">
      <c r="C47" s="426" t="str">
        <f>'[46]15明细表 '!B35</f>
        <v>湖南办-办公及物料</v>
      </c>
      <c r="D47" s="426" t="s">
        <v>5175</v>
      </c>
      <c r="E47" s="419">
        <f>'[46]15明细表 '!Z35</f>
        <v>21195</v>
      </c>
      <c r="F47" s="419">
        <f>'[46]15明细表 '!X35</f>
        <v>6153</v>
      </c>
      <c r="G47" s="422">
        <f>'[46]16明细表'!X35</f>
        <v>0</v>
      </c>
      <c r="H47" s="422">
        <f>'[46]17明细表'!X35</f>
        <v>0</v>
      </c>
    </row>
    <row r="48" hidden="1" spans="3:8">
      <c r="C48" s="426" t="str">
        <f>'[46]15明细表 '!B36</f>
        <v>湖南办-工程项目费</v>
      </c>
      <c r="D48" s="426"/>
      <c r="E48" s="419">
        <f>'[46]15明细表 '!Z36</f>
        <v>0</v>
      </c>
      <c r="F48" s="419">
        <f>'[46]15明细表 '!X36</f>
        <v>0</v>
      </c>
      <c r="G48" s="422">
        <f>'[46]16明细表'!X36</f>
        <v>0</v>
      </c>
      <c r="H48" s="422">
        <f>'[46]17明细表'!X36</f>
        <v>0</v>
      </c>
    </row>
    <row r="49" hidden="1" spans="3:8">
      <c r="C49" s="426" t="str">
        <f>'[46]15明细表 '!B37</f>
        <v>湖南办-房租物管费</v>
      </c>
      <c r="D49" s="426" t="s">
        <v>5175</v>
      </c>
      <c r="E49" s="419">
        <f>'[46]15明细表 '!Z37</f>
        <v>7200</v>
      </c>
      <c r="F49" s="419">
        <f>'[46]15明细表 '!X37</f>
        <v>0</v>
      </c>
      <c r="G49" s="422">
        <f>'[46]16明细表'!X37</f>
        <v>0</v>
      </c>
      <c r="H49" s="422">
        <f>'[46]17明细表'!X37</f>
        <v>0</v>
      </c>
    </row>
    <row r="50" spans="3:8">
      <c r="C50" s="426" t="str">
        <f>'[46]15明细表 '!B38</f>
        <v>湖南办-工资及福利</v>
      </c>
      <c r="D50" s="426" t="s">
        <v>5174</v>
      </c>
      <c r="E50" s="419">
        <f>'[46]15明细表 '!Z38</f>
        <v>360031</v>
      </c>
      <c r="F50" s="419">
        <f>'[46]15明细表 '!X38</f>
        <v>272035.08</v>
      </c>
      <c r="G50" s="422">
        <f>'[46]16明细表'!X38</f>
        <v>0</v>
      </c>
      <c r="H50" s="422">
        <f>'[46]17明细表'!X38</f>
        <v>0</v>
      </c>
    </row>
    <row r="51" hidden="1" spans="3:8">
      <c r="C51" s="426" t="str">
        <f>'[46]15明细表 '!B39</f>
        <v>湖南办-招标费用</v>
      </c>
      <c r="D51" s="426"/>
      <c r="E51" s="419">
        <f>'[46]15明细表 '!Z39</f>
        <v>0</v>
      </c>
      <c r="F51" s="419">
        <f>'[46]15明细表 '!X39</f>
        <v>0</v>
      </c>
      <c r="G51" s="422">
        <f>'[46]16明细表'!X39</f>
        <v>0</v>
      </c>
      <c r="H51" s="422">
        <f>'[46]17明细表'!X39</f>
        <v>0</v>
      </c>
    </row>
    <row r="52" hidden="1" spans="3:8">
      <c r="C52" s="426" t="str">
        <f>'[46]15明细表 '!B40</f>
        <v>湖南办-保险费</v>
      </c>
      <c r="D52" s="426" t="s">
        <v>5175</v>
      </c>
      <c r="E52" s="419">
        <f>'[46]15明细表 '!Z40</f>
        <v>4030.38</v>
      </c>
      <c r="F52" s="419">
        <f>'[46]15明细表 '!X40</f>
        <v>0</v>
      </c>
      <c r="G52" s="422">
        <f>'[46]16明细表'!X40</f>
        <v>0</v>
      </c>
      <c r="H52" s="422">
        <f>'[46]17明细表'!X40</f>
        <v>0</v>
      </c>
    </row>
    <row r="53" hidden="1" spans="3:8">
      <c r="C53" s="426" t="str">
        <f>'[46]15明细表 '!B41</f>
        <v>湖南办-业务招待费</v>
      </c>
      <c r="D53" s="426" t="s">
        <v>4154</v>
      </c>
      <c r="E53" s="419">
        <f>'[46]15明细表 '!Z41</f>
        <v>43753</v>
      </c>
      <c r="F53" s="419">
        <f>'[46]15明细表 '!X41</f>
        <v>115625</v>
      </c>
      <c r="G53" s="422">
        <f>'[46]16明细表'!X41</f>
        <v>2160</v>
      </c>
      <c r="H53" s="422">
        <f>'[46]17明细表'!X41</f>
        <v>0</v>
      </c>
    </row>
    <row r="54" hidden="1" spans="3:8">
      <c r="C54" s="426" t="str">
        <f>'[46]15明细表 '!B42</f>
        <v>湖北区域-交通差旅费</v>
      </c>
      <c r="D54" s="426" t="s">
        <v>5179</v>
      </c>
      <c r="E54" s="419">
        <f>'[46]15明细表 '!Z42</f>
        <v>0</v>
      </c>
      <c r="F54" s="419">
        <f>'[46]15明细表 '!X42</f>
        <v>0</v>
      </c>
      <c r="G54" s="422">
        <f>'[46]16明细表'!X42</f>
        <v>0</v>
      </c>
      <c r="H54" s="422">
        <f>'[46]17明细表'!X42</f>
        <v>0</v>
      </c>
    </row>
    <row r="55" hidden="1" spans="3:8">
      <c r="C55" s="426" t="str">
        <f>'[46]15明细表 '!B43</f>
        <v>湖北区域-办公及物料</v>
      </c>
      <c r="D55" s="426"/>
      <c r="E55" s="419">
        <f>'[46]15明细表 '!Z43</f>
        <v>0</v>
      </c>
      <c r="F55" s="419">
        <f>'[46]15明细表 '!X43</f>
        <v>0</v>
      </c>
      <c r="G55" s="422">
        <f>'[46]16明细表'!X43</f>
        <v>0</v>
      </c>
      <c r="H55" s="422">
        <f>'[46]17明细表'!X43</f>
        <v>0</v>
      </c>
    </row>
    <row r="56" hidden="1" spans="3:8">
      <c r="C56" s="426" t="str">
        <f>'[46]15明细表 '!B44</f>
        <v>湖北区域-工程项目费</v>
      </c>
      <c r="D56" s="426"/>
      <c r="E56" s="419">
        <f>'[46]15明细表 '!Z44</f>
        <v>0</v>
      </c>
      <c r="F56" s="419">
        <f>'[46]15明细表 '!X44</f>
        <v>0</v>
      </c>
      <c r="G56" s="422">
        <f>'[46]16明细表'!X44</f>
        <v>0</v>
      </c>
      <c r="H56" s="422">
        <f>'[46]17明细表'!X44</f>
        <v>0</v>
      </c>
    </row>
    <row r="57" hidden="1" spans="3:8">
      <c r="C57" s="426" t="str">
        <f>'[46]15明细表 '!B45</f>
        <v>湖北区域-房租物管费</v>
      </c>
      <c r="D57" s="426" t="s">
        <v>5175</v>
      </c>
      <c r="E57" s="419">
        <f>'[46]15明细表 '!Z45</f>
        <v>0</v>
      </c>
      <c r="F57" s="419">
        <f>'[46]15明细表 '!X45</f>
        <v>0</v>
      </c>
      <c r="G57" s="422">
        <f>'[46]16明细表'!X45</f>
        <v>0</v>
      </c>
      <c r="H57" s="422">
        <f>'[46]17明细表'!X45</f>
        <v>0</v>
      </c>
    </row>
    <row r="58" spans="3:8">
      <c r="C58" s="426" t="str">
        <f>'[46]15明细表 '!B46</f>
        <v>湖北区域-工资及福利</v>
      </c>
      <c r="D58" s="426" t="s">
        <v>5174</v>
      </c>
      <c r="E58" s="419">
        <f>'[46]15明细表 '!Z46</f>
        <v>0</v>
      </c>
      <c r="F58" s="419">
        <f>'[46]15明细表 '!X46</f>
        <v>0</v>
      </c>
      <c r="G58" s="422">
        <f>'[46]16明细表'!X46</f>
        <v>0</v>
      </c>
      <c r="H58" s="422">
        <f>'[46]17明细表'!X46</f>
        <v>0</v>
      </c>
    </row>
    <row r="59" hidden="1" spans="3:8">
      <c r="C59" s="426" t="str">
        <f>'[46]15明细表 '!B47</f>
        <v>湖北区域-业务招待费</v>
      </c>
      <c r="D59" s="426" t="s">
        <v>4154</v>
      </c>
      <c r="E59" s="419">
        <f>'[46]15明细表 '!Z47</f>
        <v>0</v>
      </c>
      <c r="F59" s="419">
        <f>'[46]15明细表 '!X47</f>
        <v>0</v>
      </c>
      <c r="G59" s="422">
        <f>'[46]16明细表'!X47</f>
        <v>0</v>
      </c>
      <c r="H59" s="422">
        <f>'[46]17明细表'!X47</f>
        <v>0</v>
      </c>
    </row>
    <row r="60" hidden="1" spans="3:8">
      <c r="C60" s="426" t="str">
        <f>'[46]15明细表 '!B48</f>
        <v>山东区域-交通差旅费</v>
      </c>
      <c r="D60" s="426" t="s">
        <v>5179</v>
      </c>
      <c r="E60" s="419">
        <f>'[46]15明细表 '!Z48</f>
        <v>0</v>
      </c>
      <c r="F60" s="419">
        <f>'[46]15明细表 '!X48</f>
        <v>0</v>
      </c>
      <c r="G60" s="422">
        <f>'[46]16明细表'!X48</f>
        <v>0</v>
      </c>
      <c r="H60" s="422">
        <f>'[46]17明细表'!X48</f>
        <v>0</v>
      </c>
    </row>
    <row r="61" hidden="1" spans="3:8">
      <c r="C61" s="426" t="str">
        <f>'[46]15明细表 '!B49</f>
        <v>山东区域-办公及物料</v>
      </c>
      <c r="D61" s="426"/>
      <c r="E61" s="419">
        <f>'[46]15明细表 '!Z49</f>
        <v>0</v>
      </c>
      <c r="F61" s="419">
        <f>'[46]15明细表 '!X49</f>
        <v>0</v>
      </c>
      <c r="G61" s="422">
        <f>'[46]16明细表'!X49</f>
        <v>0</v>
      </c>
      <c r="H61" s="422">
        <f>'[46]17明细表'!X49</f>
        <v>0</v>
      </c>
    </row>
    <row r="62" hidden="1" spans="3:8">
      <c r="C62" s="426" t="str">
        <f>'[46]15明细表 '!B50</f>
        <v>山东区域-工程项目费</v>
      </c>
      <c r="D62" s="426"/>
      <c r="E62" s="419">
        <f>'[46]15明细表 '!Z50</f>
        <v>0</v>
      </c>
      <c r="F62" s="419">
        <f>'[46]15明细表 '!X50</f>
        <v>0</v>
      </c>
      <c r="G62" s="422">
        <f>'[46]16明细表'!X50</f>
        <v>0</v>
      </c>
      <c r="H62" s="422">
        <f>'[46]17明细表'!X50</f>
        <v>0</v>
      </c>
    </row>
    <row r="63" hidden="1" spans="3:8">
      <c r="C63" s="426" t="str">
        <f>'[46]15明细表 '!B51</f>
        <v>山东区域-房租物管费</v>
      </c>
      <c r="D63" s="426" t="s">
        <v>5175</v>
      </c>
      <c r="E63" s="419">
        <f>'[46]15明细表 '!Z51</f>
        <v>0</v>
      </c>
      <c r="F63" s="419">
        <f>'[46]15明细表 '!X51</f>
        <v>0</v>
      </c>
      <c r="G63" s="422">
        <f>'[46]16明细表'!X51</f>
        <v>0</v>
      </c>
      <c r="H63" s="422">
        <f>'[46]17明细表'!X51</f>
        <v>0</v>
      </c>
    </row>
    <row r="64" spans="3:8">
      <c r="C64" s="426" t="str">
        <f>'[46]15明细表 '!B52</f>
        <v>山东区域-工资及福利</v>
      </c>
      <c r="D64" s="426" t="s">
        <v>5174</v>
      </c>
      <c r="E64" s="419">
        <f>'[46]15明细表 '!Z52</f>
        <v>0</v>
      </c>
      <c r="F64" s="419">
        <f>'[46]15明细表 '!X52</f>
        <v>0</v>
      </c>
      <c r="G64" s="422">
        <f>'[46]16明细表'!X52</f>
        <v>0</v>
      </c>
      <c r="H64" s="422">
        <f>'[46]17明细表'!X52</f>
        <v>0</v>
      </c>
    </row>
    <row r="65" hidden="1" spans="3:8">
      <c r="C65" s="426" t="str">
        <f>'[46]15明细表 '!B53</f>
        <v>山东区域-业务招待费</v>
      </c>
      <c r="D65" s="426" t="s">
        <v>4154</v>
      </c>
      <c r="E65" s="419">
        <f>'[46]15明细表 '!Z53</f>
        <v>0</v>
      </c>
      <c r="F65" s="419">
        <f>'[46]15明细表 '!X53</f>
        <v>0</v>
      </c>
      <c r="G65" s="422">
        <f>'[46]16明细表'!X53</f>
        <v>0</v>
      </c>
      <c r="H65" s="422">
        <f>'[46]17明细表'!X53</f>
        <v>0</v>
      </c>
    </row>
    <row r="66" hidden="1" spans="3:8">
      <c r="C66" s="426" t="str">
        <f>'[46]15明细表 '!B54</f>
        <v>东北区域-交通差旅费</v>
      </c>
      <c r="D66" s="426" t="s">
        <v>5179</v>
      </c>
      <c r="E66" s="419">
        <f>'[46]15明细表 '!Z54</f>
        <v>0</v>
      </c>
      <c r="F66" s="419">
        <f>'[46]15明细表 '!X54</f>
        <v>0</v>
      </c>
      <c r="G66" s="422">
        <f>'[46]16明细表'!X54</f>
        <v>0</v>
      </c>
      <c r="H66" s="422">
        <f>'[46]17明细表'!X54</f>
        <v>0</v>
      </c>
    </row>
    <row r="67" hidden="1" spans="3:8">
      <c r="C67" s="426" t="str">
        <f>'[46]15明细表 '!B55</f>
        <v>东北区域-办公及物料</v>
      </c>
      <c r="D67" s="426"/>
      <c r="E67" s="419">
        <f>'[46]15明细表 '!Z55</f>
        <v>0</v>
      </c>
      <c r="F67" s="419">
        <f>'[46]15明细表 '!X55</f>
        <v>0</v>
      </c>
      <c r="G67" s="422">
        <f>'[46]16明细表'!X55</f>
        <v>0</v>
      </c>
      <c r="H67" s="422">
        <f>'[46]17明细表'!X55</f>
        <v>0</v>
      </c>
    </row>
    <row r="68" hidden="1" spans="3:8">
      <c r="C68" s="426" t="str">
        <f>'[46]15明细表 '!B56</f>
        <v>东北区域-工程项目费</v>
      </c>
      <c r="D68" s="426"/>
      <c r="E68" s="419">
        <f>'[46]15明细表 '!Z56</f>
        <v>0</v>
      </c>
      <c r="F68" s="419">
        <f>'[46]15明细表 '!X56</f>
        <v>0</v>
      </c>
      <c r="G68" s="422">
        <f>'[46]16明细表'!X56</f>
        <v>0</v>
      </c>
      <c r="H68" s="422">
        <f>'[46]17明细表'!X56</f>
        <v>0</v>
      </c>
    </row>
    <row r="69" hidden="1" spans="3:8">
      <c r="C69" s="426" t="str">
        <f>'[46]15明细表 '!B57</f>
        <v>东北区域-房租物管费</v>
      </c>
      <c r="D69" s="426" t="s">
        <v>5175</v>
      </c>
      <c r="E69" s="419">
        <f>'[46]15明细表 '!Z57</f>
        <v>0</v>
      </c>
      <c r="F69" s="419">
        <f>'[46]15明细表 '!X57</f>
        <v>0</v>
      </c>
      <c r="G69" s="422">
        <f>'[46]16明细表'!X57</f>
        <v>0</v>
      </c>
      <c r="H69" s="422">
        <f>'[46]17明细表'!X57</f>
        <v>0</v>
      </c>
    </row>
    <row r="70" spans="3:8">
      <c r="C70" s="426" t="str">
        <f>'[46]15明细表 '!B58</f>
        <v>东北区域-工资及福利</v>
      </c>
      <c r="D70" s="426" t="s">
        <v>5174</v>
      </c>
      <c r="E70" s="419">
        <f>'[46]15明细表 '!Z58</f>
        <v>0</v>
      </c>
      <c r="F70" s="419">
        <f>'[46]15明细表 '!X58</f>
        <v>0</v>
      </c>
      <c r="G70" s="422">
        <f>'[46]16明细表'!X58</f>
        <v>0</v>
      </c>
      <c r="H70" s="422">
        <f>'[46]17明细表'!X58</f>
        <v>0</v>
      </c>
    </row>
    <row r="71" hidden="1" spans="3:8">
      <c r="C71" s="426" t="str">
        <f>'[46]15明细表 '!B59</f>
        <v>东北区域-业务招待费</v>
      </c>
      <c r="D71" s="426" t="s">
        <v>4154</v>
      </c>
      <c r="E71" s="419">
        <f>'[46]15明细表 '!Z59</f>
        <v>0</v>
      </c>
      <c r="F71" s="419">
        <f>'[46]15明细表 '!X59</f>
        <v>0</v>
      </c>
      <c r="G71" s="422">
        <f>'[46]16明细表'!X59</f>
        <v>0</v>
      </c>
      <c r="H71" s="422">
        <f>'[46]17明细表'!X59</f>
        <v>0</v>
      </c>
    </row>
    <row r="72" hidden="1" spans="3:8">
      <c r="C72" s="426" t="str">
        <f>'[46]15明细表 '!B60</f>
        <v>照明事业三部（吕诚团队）-交通差旅费</v>
      </c>
      <c r="D72" s="426" t="s">
        <v>5179</v>
      </c>
      <c r="E72" s="419">
        <f>'[46]15明细表 '!Z60</f>
        <v>139789.5</v>
      </c>
      <c r="F72" s="419">
        <f>'[46]15明细表 '!X60</f>
        <v>234530.59</v>
      </c>
      <c r="G72" s="422">
        <f>'[46]16明细表'!X60</f>
        <v>374952.92</v>
      </c>
      <c r="H72" s="422">
        <f>'[46]17明细表'!X60</f>
        <v>226067.31</v>
      </c>
    </row>
    <row r="73" hidden="1" spans="3:8">
      <c r="C73" s="426" t="str">
        <f>'[46]15明细表 '!B61</f>
        <v>照明事业三部（吕诚团队）-办公及物料</v>
      </c>
      <c r="D73" s="426" t="s">
        <v>5175</v>
      </c>
      <c r="E73" s="419">
        <f>'[46]15明细表 '!Z61</f>
        <v>13135</v>
      </c>
      <c r="F73" s="419">
        <f>'[46]15明细表 '!X61</f>
        <v>12433</v>
      </c>
      <c r="G73" s="673">
        <f>'[46]16明细表'!X61</f>
        <v>123718.2</v>
      </c>
      <c r="H73" s="422">
        <f>'[46]17明细表'!X61</f>
        <v>8904.64</v>
      </c>
    </row>
    <row r="74" hidden="1" spans="3:8">
      <c r="C74" s="426" t="str">
        <f>'[46]15明细表 '!B62</f>
        <v>照明事业三部（吕诚团队）-工程项目费</v>
      </c>
      <c r="D74" s="426"/>
      <c r="E74" s="419">
        <f>'[46]15明细表 '!Z62</f>
        <v>0</v>
      </c>
      <c r="F74" s="419">
        <f>'[46]15明细表 '!X62</f>
        <v>0</v>
      </c>
      <c r="G74" s="422">
        <f>'[46]16明细表'!X62</f>
        <v>0</v>
      </c>
      <c r="H74" s="422">
        <f>'[46]17明细表'!X62</f>
        <v>0</v>
      </c>
    </row>
    <row r="75" hidden="1" spans="3:8">
      <c r="C75" s="426" t="str">
        <f>'[46]15明细表 '!B63</f>
        <v>照明事业三部（吕诚团队）-房租物管水电费</v>
      </c>
      <c r="D75" s="426" t="s">
        <v>5175</v>
      </c>
      <c r="E75" s="419">
        <f>'[46]15明细表 '!Z63</f>
        <v>33904</v>
      </c>
      <c r="F75" s="419">
        <f>'[46]15明细表 '!X63</f>
        <v>60239.94</v>
      </c>
      <c r="G75" s="422">
        <f>'[46]16明细表'!X63</f>
        <v>34650.11</v>
      </c>
      <c r="H75" s="422">
        <f>'[46]17明细表'!X63</f>
        <v>0</v>
      </c>
    </row>
    <row r="76" spans="3:8">
      <c r="C76" s="426" t="str">
        <f>'[46]15明细表 '!B64</f>
        <v>照明事业三部（吕诚团队）-工资及福利</v>
      </c>
      <c r="D76" s="426" t="s">
        <v>5174</v>
      </c>
      <c r="E76" s="419">
        <f>'[46]15明细表 '!Z64</f>
        <v>462809</v>
      </c>
      <c r="F76" s="419">
        <f>'[46]15明细表 '!X64</f>
        <v>1668987.31</v>
      </c>
      <c r="G76" s="422">
        <f>'[46]16明细表'!X64</f>
        <v>1082252.76</v>
      </c>
      <c r="H76" s="422">
        <f>'[46]17明细表'!X64</f>
        <v>871520</v>
      </c>
    </row>
    <row r="77" hidden="1" spans="3:8">
      <c r="C77" s="426" t="str">
        <f>'[46]15明细表 '!B65</f>
        <v>照明事业三部（吕诚团队）-投标费用</v>
      </c>
      <c r="D77" s="426" t="s">
        <v>5196</v>
      </c>
      <c r="E77" s="419">
        <f>'[46]15明细表 '!Z65</f>
        <v>3141</v>
      </c>
      <c r="F77" s="419">
        <f>'[46]15明细表 '!X65</f>
        <v>2335</v>
      </c>
      <c r="G77" s="422">
        <f>'[46]16明细表'!X65</f>
        <v>8513</v>
      </c>
      <c r="H77" s="422">
        <f>'[46]17明细表'!X65</f>
        <v>0</v>
      </c>
    </row>
    <row r="78" hidden="1" spans="3:8">
      <c r="C78" s="426" t="str">
        <f>'[46]15明细表 '!B66</f>
        <v>照明事业三部（吕诚团队）-咨询服务费</v>
      </c>
      <c r="D78" s="426" t="s">
        <v>5175</v>
      </c>
      <c r="E78" s="419">
        <f>'[46]15明细表 '!Z66</f>
        <v>99992</v>
      </c>
      <c r="F78" s="419">
        <f>'[46]15明细表 '!X66</f>
        <v>0</v>
      </c>
      <c r="G78" s="422">
        <f>'[46]16明细表'!X66</f>
        <v>0</v>
      </c>
      <c r="H78" s="422">
        <f>'[46]17明细表'!X66</f>
        <v>0</v>
      </c>
    </row>
    <row r="79" hidden="1" spans="3:8">
      <c r="C79" s="426" t="str">
        <f>'[46]15明细表 '!B67</f>
        <v>照明事业三部（吕诚团队）-业务招待费</v>
      </c>
      <c r="D79" s="426" t="s">
        <v>4154</v>
      </c>
      <c r="E79" s="419">
        <f>'[46]15明细表 '!Z67</f>
        <v>188039.36</v>
      </c>
      <c r="F79" s="419">
        <f>'[46]15明细表 '!X67</f>
        <v>460937.35</v>
      </c>
      <c r="G79" s="422">
        <f>'[46]16明细表'!X67</f>
        <v>193941.95</v>
      </c>
      <c r="H79" s="422">
        <f>'[46]17明细表'!X67</f>
        <v>187094.49</v>
      </c>
    </row>
    <row r="80" hidden="1" spans="3:8">
      <c r="C80" s="426" t="str">
        <f>'[46]15明细表 '!B68</f>
        <v>照明事业三部（吕诚团队）-汽车费用</v>
      </c>
      <c r="D80" s="426" t="s">
        <v>5179</v>
      </c>
      <c r="E80" s="419">
        <f>'[46]15明细表 '!Z68</f>
        <v>0</v>
      </c>
      <c r="F80" s="419">
        <f>'[46]15明细表 '!X68</f>
        <v>8625.65</v>
      </c>
      <c r="G80" s="422">
        <f>'[46]16明细表'!X68</f>
        <v>108901.37</v>
      </c>
      <c r="H80" s="422">
        <f>'[46]17明细表'!X68</f>
        <v>98000.68</v>
      </c>
    </row>
    <row r="81" spans="3:8">
      <c r="C81" s="426" t="str">
        <f>'[46]15明细表 '!B69</f>
        <v>照明事业三部（吕诚团队）-社会保险金</v>
      </c>
      <c r="D81" s="426" t="s">
        <v>5174</v>
      </c>
      <c r="E81" s="419">
        <f>'[46]15明细表 '!Z69</f>
        <v>0</v>
      </c>
      <c r="F81" s="419">
        <f>'[46]15明细表 '!X69</f>
        <v>31659.1</v>
      </c>
      <c r="G81" s="422">
        <f>'[46]16明细表'!X69</f>
        <v>56967.97</v>
      </c>
      <c r="H81" s="422">
        <f>'[46]17明细表'!X69</f>
        <v>87144.6</v>
      </c>
    </row>
    <row r="82" spans="3:8">
      <c r="C82" s="426" t="str">
        <f>'[46]15明细表 '!B70</f>
        <v>照明事业三部（吕诚团队）-住房公积金</v>
      </c>
      <c r="D82" s="426" t="s">
        <v>5174</v>
      </c>
      <c r="E82" s="419">
        <f>'[46]15明细表 '!Z70</f>
        <v>0</v>
      </c>
      <c r="F82" s="419">
        <f>'[46]15明细表 '!X70</f>
        <v>9350</v>
      </c>
      <c r="G82" s="422">
        <f>'[46]16明细表'!X70</f>
        <v>13800</v>
      </c>
      <c r="H82" s="422">
        <f>'[46]17明细表'!X70</f>
        <v>14550</v>
      </c>
    </row>
    <row r="83" hidden="1" spans="3:8">
      <c r="C83" s="426" t="str">
        <f>'[46]15明细表 '!B71</f>
        <v>照明事业二部（刘泽飚团队）-差旅交通费</v>
      </c>
      <c r="D83" s="426" t="s">
        <v>5179</v>
      </c>
      <c r="E83" s="419">
        <f>'[46]15明细表 '!Z71</f>
        <v>68338.6</v>
      </c>
      <c r="F83" s="419">
        <f>'[46]15明细表 '!X71</f>
        <v>53465</v>
      </c>
      <c r="G83" s="422">
        <f>'[46]16明细表'!X71</f>
        <v>164000.5</v>
      </c>
      <c r="H83" s="422">
        <f>'[46]17明细表'!X71</f>
        <v>57227.73</v>
      </c>
    </row>
    <row r="84" hidden="1" spans="3:8">
      <c r="C84" s="426" t="str">
        <f>'[46]15明细表 '!B72</f>
        <v>照明事业二部（刘泽飚团队）-办公物料用品</v>
      </c>
      <c r="D84" s="426" t="s">
        <v>5175</v>
      </c>
      <c r="E84" s="419">
        <f>'[46]15明细表 '!Z72</f>
        <v>74375</v>
      </c>
      <c r="F84" s="419">
        <f>'[46]15明细表 '!X72</f>
        <v>26940</v>
      </c>
      <c r="G84" s="422">
        <f>'[46]16明细表'!X72</f>
        <v>13458.8</v>
      </c>
      <c r="H84" s="422">
        <f>'[46]17明细表'!X72</f>
        <v>0</v>
      </c>
    </row>
    <row r="85" hidden="1" spans="3:8">
      <c r="C85" s="426" t="str">
        <f>'[46]15明细表 '!B73</f>
        <v>照明事业二部（刘泽飚团队）-工程项目费</v>
      </c>
      <c r="D85" s="426"/>
      <c r="E85" s="419">
        <f>'[46]15明细表 '!Z73</f>
        <v>0</v>
      </c>
      <c r="F85" s="419">
        <f>'[46]15明细表 '!X73</f>
        <v>0</v>
      </c>
      <c r="G85" s="422">
        <f>'[46]16明细表'!X73</f>
        <v>0</v>
      </c>
      <c r="H85" s="422">
        <f>'[46]17明细表'!X73</f>
        <v>0</v>
      </c>
    </row>
    <row r="86" hidden="1" spans="3:8">
      <c r="C86" s="426" t="str">
        <f>'[46]15明细表 '!B74</f>
        <v>照明事业二部（刘泽飚团队）-房租物管水电</v>
      </c>
      <c r="D86" s="426" t="s">
        <v>5175</v>
      </c>
      <c r="E86" s="419">
        <f>'[46]15明细表 '!Z74</f>
        <v>0</v>
      </c>
      <c r="F86" s="419">
        <f>'[46]15明细表 '!X74</f>
        <v>0</v>
      </c>
      <c r="G86" s="422">
        <f>'[46]16明细表'!X74</f>
        <v>0</v>
      </c>
      <c r="H86" s="422">
        <f>'[46]17明细表'!X74</f>
        <v>0</v>
      </c>
    </row>
    <row r="87" spans="3:8">
      <c r="C87" s="426" t="str">
        <f>'[46]15明细表 '!B75</f>
        <v>照明事业二部（刘泽飚团队）-工资及福利</v>
      </c>
      <c r="D87" s="426" t="s">
        <v>5174</v>
      </c>
      <c r="E87" s="419">
        <f>'[46]15明细表 '!Z75</f>
        <v>392160</v>
      </c>
      <c r="F87" s="419">
        <f>'[46]15明细表 '!X75</f>
        <v>584833.78</v>
      </c>
      <c r="G87" s="422">
        <f>'[46]16明细表'!X75</f>
        <v>1368701.73</v>
      </c>
      <c r="H87" s="422">
        <f>'[46]17明细表'!X75</f>
        <v>489520</v>
      </c>
    </row>
    <row r="88" hidden="1" spans="3:8">
      <c r="C88" s="426" t="str">
        <f>'[46]15明细表 '!B76</f>
        <v>照明事业二部（刘泽飚团队）-投标费用</v>
      </c>
      <c r="D88" s="426" t="s">
        <v>5196</v>
      </c>
      <c r="E88" s="419">
        <f>'[46]15明细表 '!Z76</f>
        <v>1036</v>
      </c>
      <c r="F88" s="419">
        <f>'[46]15明细表 '!X76</f>
        <v>0</v>
      </c>
      <c r="G88" s="422">
        <f>'[46]16明细表'!X76</f>
        <v>800</v>
      </c>
      <c r="H88" s="422">
        <f>'[46]17明细表'!X76</f>
        <v>0</v>
      </c>
    </row>
    <row r="89" hidden="1" spans="3:8">
      <c r="C89" s="426" t="str">
        <f>'[46]15明细表 '!B77</f>
        <v>照明事业二部（刘泽飚团队）-咨询服务费</v>
      </c>
      <c r="D89" s="426" t="s">
        <v>5175</v>
      </c>
      <c r="E89" s="419">
        <f>'[46]15明细表 '!Z77</f>
        <v>0</v>
      </c>
      <c r="F89" s="419">
        <f>'[46]15明细表 '!X77</f>
        <v>0</v>
      </c>
      <c r="G89" s="422">
        <f>'[46]16明细表'!X77</f>
        <v>8199.54</v>
      </c>
      <c r="H89" s="422">
        <f>'[46]17明细表'!X77</f>
        <v>0</v>
      </c>
    </row>
    <row r="90" hidden="1" spans="3:8">
      <c r="C90" s="426" t="str">
        <f>'[46]15明细表 '!B78</f>
        <v>照明事业二部（刘泽飚团队）-业务招待费</v>
      </c>
      <c r="D90" s="426" t="s">
        <v>4154</v>
      </c>
      <c r="E90" s="419">
        <f>'[46]15明细表 '!Z78</f>
        <v>30501.4</v>
      </c>
      <c r="F90" s="419">
        <f>'[46]15明细表 '!X78</f>
        <v>68375.8</v>
      </c>
      <c r="G90" s="422">
        <f>'[46]16明细表'!X78</f>
        <v>217422.32</v>
      </c>
      <c r="H90" s="422">
        <f>'[46]17明细表'!X78</f>
        <v>6000</v>
      </c>
    </row>
    <row r="91" hidden="1" spans="3:8">
      <c r="C91" s="426" t="str">
        <f>'[46]15明细表 '!B79</f>
        <v>照明事业二部（刘泽飚团队）-汽车费用</v>
      </c>
      <c r="D91" s="426" t="s">
        <v>5179</v>
      </c>
      <c r="E91" s="419">
        <f>'[46]15明细表 '!Z79</f>
        <v>8805</v>
      </c>
      <c r="F91" s="419">
        <f>'[46]15明细表 '!X79</f>
        <v>8958.95</v>
      </c>
      <c r="G91" s="422">
        <f>'[46]16明细表'!X79</f>
        <v>68869.43</v>
      </c>
      <c r="H91" s="422">
        <f>'[46]17明细表'!X79</f>
        <v>25160</v>
      </c>
    </row>
    <row r="92" spans="3:8">
      <c r="C92" s="426" t="str">
        <f>'[46]15明细表 '!B80</f>
        <v>照明事业二部（刘泽飚团队）-社会保险金</v>
      </c>
      <c r="D92" s="426" t="s">
        <v>5174</v>
      </c>
      <c r="E92" s="419">
        <f>'[46]15明细表 '!Z80</f>
        <v>0</v>
      </c>
      <c r="F92" s="419">
        <f>'[46]15明细表 '!X80</f>
        <v>17375.74</v>
      </c>
      <c r="G92" s="422">
        <f>'[46]16明细表'!X80</f>
        <v>39346.72</v>
      </c>
      <c r="H92" s="422">
        <f>'[46]17明细表'!X80</f>
        <v>49496.78</v>
      </c>
    </row>
    <row r="93" spans="3:8">
      <c r="C93" s="426" t="str">
        <f>'[46]15明细表 '!B81</f>
        <v>照明事业二部（刘泽飚团队）-住房公积金</v>
      </c>
      <c r="D93" s="426" t="s">
        <v>5174</v>
      </c>
      <c r="E93" s="419">
        <f>'[46]15明细表 '!Z81</f>
        <v>0</v>
      </c>
      <c r="F93" s="419">
        <f>'[46]15明细表 '!X81</f>
        <v>6130</v>
      </c>
      <c r="G93" s="422">
        <f>'[46]16明细表'!X81</f>
        <v>9600</v>
      </c>
      <c r="H93" s="422">
        <f>'[46]17明细表'!X81</f>
        <v>9300</v>
      </c>
    </row>
    <row r="94" hidden="1" spans="3:8">
      <c r="C94" s="426" t="str">
        <f>'[46]15明细表 '!B82</f>
        <v>照明事业二部（刘泽飚团队）-厚街仓库摊销费用</v>
      </c>
      <c r="D94" s="426" t="s">
        <v>5195</v>
      </c>
      <c r="E94" s="419">
        <f>'[46]15明细表 '!Z82</f>
        <v>0</v>
      </c>
      <c r="F94" s="419">
        <f>'[46]15明细表 '!X82</f>
        <v>51374.97</v>
      </c>
      <c r="G94" s="422">
        <f>'[46]16明细表'!X82</f>
        <v>68499.96</v>
      </c>
      <c r="H94" s="422">
        <f>'[46]17明细表'!X82</f>
        <v>17125.07</v>
      </c>
    </row>
    <row r="95" hidden="1" spans="3:8">
      <c r="C95" s="426" t="str">
        <f>'[46]15明细表 '!B83</f>
        <v>华东办-交通差旅费</v>
      </c>
      <c r="D95" s="426" t="s">
        <v>5179</v>
      </c>
      <c r="E95" s="419">
        <f>'[46]15明细表 '!Z83</f>
        <v>0</v>
      </c>
      <c r="F95" s="419">
        <f>'[46]15明细表 '!X83</f>
        <v>45843.5</v>
      </c>
      <c r="G95" s="422">
        <f>'[46]16明细表'!X83</f>
        <v>1990.5</v>
      </c>
      <c r="H95" s="422">
        <f>'[46]17明细表'!X83</f>
        <v>0</v>
      </c>
    </row>
    <row r="96" hidden="1" spans="3:8">
      <c r="C96" s="426" t="str">
        <f>'[46]15明细表 '!B84</f>
        <v>华东办-办公及物料</v>
      </c>
      <c r="D96" s="426" t="s">
        <v>5175</v>
      </c>
      <c r="E96" s="419">
        <f>'[46]15明细表 '!Z84</f>
        <v>0</v>
      </c>
      <c r="F96" s="419">
        <f>'[46]15明细表 '!X84</f>
        <v>292</v>
      </c>
      <c r="G96" s="422">
        <f>'[46]16明细表'!X84</f>
        <v>0</v>
      </c>
      <c r="H96" s="422">
        <f>'[46]17明细表'!X84</f>
        <v>0</v>
      </c>
    </row>
    <row r="97" hidden="1" spans="3:8">
      <c r="C97" s="426" t="str">
        <f>'[46]15明细表 '!B85</f>
        <v>华东办-工程项目费</v>
      </c>
      <c r="D97" s="426"/>
      <c r="E97" s="419">
        <f>'[46]15明细表 '!Z85</f>
        <v>0</v>
      </c>
      <c r="F97" s="419">
        <f>'[46]15明细表 '!X85</f>
        <v>0</v>
      </c>
      <c r="G97" s="422">
        <f>'[46]16明细表'!X85</f>
        <v>0</v>
      </c>
      <c r="H97" s="422">
        <f>'[46]17明细表'!X85</f>
        <v>0</v>
      </c>
    </row>
    <row r="98" hidden="1" spans="3:8">
      <c r="C98" s="426" t="str">
        <f>'[46]15明细表 '!B86</f>
        <v>华东办-房租物管费</v>
      </c>
      <c r="D98" s="426" t="s">
        <v>5175</v>
      </c>
      <c r="E98" s="419">
        <f>'[46]15明细表 '!Z86</f>
        <v>0</v>
      </c>
      <c r="F98" s="419">
        <f>'[46]15明细表 '!X86</f>
        <v>0</v>
      </c>
      <c r="G98" s="422">
        <f>'[46]16明细表'!X86</f>
        <v>0</v>
      </c>
      <c r="H98" s="422">
        <f>'[46]17明细表'!X86</f>
        <v>0</v>
      </c>
    </row>
    <row r="99" spans="3:8">
      <c r="C99" s="426" t="str">
        <f>'[46]15明细表 '!B87</f>
        <v>华东办-工资及福利</v>
      </c>
      <c r="D99" s="426" t="s">
        <v>5174</v>
      </c>
      <c r="E99" s="419">
        <f>'[46]15明细表 '!Z87</f>
        <v>0</v>
      </c>
      <c r="F99" s="419">
        <f>'[46]15明细表 '!X87</f>
        <v>110500</v>
      </c>
      <c r="G99" s="422">
        <f>'[46]16明细表'!X87</f>
        <v>13000</v>
      </c>
      <c r="H99" s="422">
        <f>'[46]17明细表'!X87</f>
        <v>0</v>
      </c>
    </row>
    <row r="100" hidden="1" spans="3:8">
      <c r="C100" s="426" t="str">
        <f>'[46]15明细表 '!B88</f>
        <v>华东办-投标费用</v>
      </c>
      <c r="D100" s="426" t="s">
        <v>5196</v>
      </c>
      <c r="E100" s="419">
        <f>'[46]15明细表 '!Z88</f>
        <v>0</v>
      </c>
      <c r="F100" s="419">
        <f>'[46]15明细表 '!X88</f>
        <v>0</v>
      </c>
      <c r="G100" s="422">
        <f>'[46]16明细表'!X88</f>
        <v>0</v>
      </c>
      <c r="H100" s="422">
        <f>'[46]17明细表'!X88</f>
        <v>0</v>
      </c>
    </row>
    <row r="101" hidden="1" spans="3:8">
      <c r="C101" s="426" t="str">
        <f>'[46]15明细表 '!B89</f>
        <v>华东办-业务招待费</v>
      </c>
      <c r="D101" s="426" t="s">
        <v>4154</v>
      </c>
      <c r="E101" s="419">
        <f>'[46]15明细表 '!Z89</f>
        <v>0</v>
      </c>
      <c r="F101" s="419">
        <f>'[46]15明细表 '!X89</f>
        <v>24581</v>
      </c>
      <c r="G101" s="422">
        <f>'[46]16明细表'!X89</f>
        <v>0</v>
      </c>
      <c r="H101" s="422">
        <f>'[46]17明细表'!X89</f>
        <v>0</v>
      </c>
    </row>
    <row r="102" hidden="1" spans="3:8">
      <c r="C102" s="426" t="str">
        <f>'[46]15明细表 '!B90</f>
        <v>华东办-汽车费用</v>
      </c>
      <c r="D102" s="426" t="s">
        <v>5179</v>
      </c>
      <c r="E102" s="419">
        <f>'[46]15明细表 '!Z90</f>
        <v>0</v>
      </c>
      <c r="F102" s="419">
        <f>'[46]15明细表 '!X90</f>
        <v>0</v>
      </c>
      <c r="G102" s="422">
        <f>'[46]16明细表'!X90</f>
        <v>1930</v>
      </c>
      <c r="H102" s="422">
        <f>'[46]17明细表'!X90</f>
        <v>0</v>
      </c>
    </row>
    <row r="103" hidden="1" spans="3:8">
      <c r="C103" s="426" t="str">
        <f>'[46]15明细表 '!B91</f>
        <v>变压器/三联供事业部-差旅交通费</v>
      </c>
      <c r="D103" s="426" t="s">
        <v>5179</v>
      </c>
      <c r="E103" s="419">
        <f>'[46]15明细表 '!Z91</f>
        <v>0</v>
      </c>
      <c r="F103" s="419">
        <f>'[46]15明细表 '!X91</f>
        <v>0</v>
      </c>
      <c r="G103" s="422">
        <f>'[46]16明细表'!X91</f>
        <v>0</v>
      </c>
      <c r="H103" s="422">
        <f>'[46]17明细表'!X91</f>
        <v>0</v>
      </c>
    </row>
    <row r="104" hidden="1" spans="3:8">
      <c r="C104" s="426" t="str">
        <f>'[46]15明细表 '!B92</f>
        <v>变压器/三联供事业部-办公物料用品</v>
      </c>
      <c r="D104" s="426" t="s">
        <v>5175</v>
      </c>
      <c r="E104" s="419">
        <f>'[46]15明细表 '!Z92</f>
        <v>0</v>
      </c>
      <c r="F104" s="419">
        <f>'[46]15明细表 '!X92</f>
        <v>0</v>
      </c>
      <c r="G104" s="422">
        <f>'[46]16明细表'!X92</f>
        <v>0</v>
      </c>
      <c r="H104" s="422">
        <f>'[46]17明细表'!X92</f>
        <v>0</v>
      </c>
    </row>
    <row r="105" hidden="1" spans="3:8">
      <c r="C105" s="426" t="str">
        <f>'[46]15明细表 '!B93</f>
        <v>变压器/三联供事业部-工程项目费</v>
      </c>
      <c r="D105" s="426"/>
      <c r="E105" s="419">
        <f>'[46]15明细表 '!Z93</f>
        <v>0</v>
      </c>
      <c r="F105" s="419">
        <f>'[46]15明细表 '!X93</f>
        <v>0</v>
      </c>
      <c r="G105" s="422">
        <f>'[46]16明细表'!X93</f>
        <v>0</v>
      </c>
      <c r="H105" s="422">
        <f>'[46]17明细表'!X93</f>
        <v>0</v>
      </c>
    </row>
    <row r="106" hidden="1" spans="3:8">
      <c r="C106" s="426" t="str">
        <f>'[46]15明细表 '!B94</f>
        <v>变压器/三联供事业部-房租物管水电</v>
      </c>
      <c r="D106" s="426" t="s">
        <v>5175</v>
      </c>
      <c r="E106" s="419">
        <f>'[46]15明细表 '!Z94</f>
        <v>0</v>
      </c>
      <c r="F106" s="419">
        <f>'[46]15明细表 '!X94</f>
        <v>0</v>
      </c>
      <c r="G106" s="422">
        <f>'[46]16明细表'!X94</f>
        <v>0</v>
      </c>
      <c r="H106" s="422">
        <f>'[46]17明细表'!X94</f>
        <v>0</v>
      </c>
    </row>
    <row r="107" spans="3:8">
      <c r="C107" s="426" t="str">
        <f>'[46]15明细表 '!B95</f>
        <v>变压器/三联供事业部-工资及福利</v>
      </c>
      <c r="D107" s="426" t="s">
        <v>5174</v>
      </c>
      <c r="E107" s="419">
        <f>'[46]15明细表 '!Z95</f>
        <v>0</v>
      </c>
      <c r="F107" s="419">
        <f>'[46]15明细表 '!X95</f>
        <v>0</v>
      </c>
      <c r="G107" s="422">
        <f>'[46]16明细表'!X95</f>
        <v>0</v>
      </c>
      <c r="H107" s="422">
        <f>'[46]17明细表'!X95</f>
        <v>0</v>
      </c>
    </row>
    <row r="108" hidden="1" spans="3:8">
      <c r="C108" s="426" t="str">
        <f>'[46]15明细表 '!B96</f>
        <v>变压器/三联供事业部-投标费用</v>
      </c>
      <c r="D108" s="426" t="s">
        <v>5196</v>
      </c>
      <c r="E108" s="419">
        <f>'[46]15明细表 '!Z96</f>
        <v>0</v>
      </c>
      <c r="F108" s="419">
        <f>'[46]15明细表 '!X96</f>
        <v>0</v>
      </c>
      <c r="G108" s="422">
        <f>'[46]16明细表'!X96</f>
        <v>0</v>
      </c>
      <c r="H108" s="422">
        <f>'[46]17明细表'!X96</f>
        <v>0</v>
      </c>
    </row>
    <row r="109" hidden="1" spans="3:8">
      <c r="C109" s="426" t="str">
        <f>'[46]15明细表 '!B97</f>
        <v>变压器/三联供事业部-业务招待费</v>
      </c>
      <c r="D109" s="426" t="s">
        <v>4154</v>
      </c>
      <c r="E109" s="419">
        <f>'[46]15明细表 '!Z97</f>
        <v>0</v>
      </c>
      <c r="F109" s="419">
        <f>'[46]15明细表 '!X97</f>
        <v>0</v>
      </c>
      <c r="G109" s="422">
        <f>'[46]16明细表'!X97</f>
        <v>0</v>
      </c>
      <c r="H109" s="422">
        <f>'[46]17明细表'!X97</f>
        <v>0</v>
      </c>
    </row>
    <row r="110" hidden="1" spans="3:8">
      <c r="C110" s="426" t="str">
        <f>'[46]15明细表 '!B98</f>
        <v>变压器/三联供事业部-汽车费用</v>
      </c>
      <c r="D110" s="426" t="s">
        <v>5179</v>
      </c>
      <c r="E110" s="419">
        <f>'[46]15明细表 '!Z98</f>
        <v>0</v>
      </c>
      <c r="F110" s="419">
        <f>'[46]15明细表 '!X98</f>
        <v>0</v>
      </c>
      <c r="G110" s="422">
        <f>'[46]16明细表'!X98</f>
        <v>0</v>
      </c>
      <c r="H110" s="422">
        <f>'[46]17明细表'!X98</f>
        <v>0</v>
      </c>
    </row>
    <row r="111" hidden="1" spans="3:8">
      <c r="C111" s="426" t="str">
        <f>'[46]15明细表 '!B99</f>
        <v>太阳能光伏事业部-差旅交通费</v>
      </c>
      <c r="D111" s="426" t="s">
        <v>5179</v>
      </c>
      <c r="E111" s="419">
        <f>'[46]15明细表 '!Z99</f>
        <v>0</v>
      </c>
      <c r="F111" s="419">
        <f>'[46]15明细表 '!X99</f>
        <v>0</v>
      </c>
      <c r="G111" s="422">
        <f>'[46]16明细表'!X99</f>
        <v>0</v>
      </c>
      <c r="H111" s="422">
        <f>'[46]17明细表'!X99</f>
        <v>0</v>
      </c>
    </row>
    <row r="112" hidden="1" spans="3:8">
      <c r="C112" s="426" t="str">
        <f>'[46]15明细表 '!B100</f>
        <v>太阳能光伏事业部-办公物料费</v>
      </c>
      <c r="D112" s="426" t="s">
        <v>5175</v>
      </c>
      <c r="E112" s="419">
        <f>'[46]15明细表 '!Z100</f>
        <v>0</v>
      </c>
      <c r="F112" s="419">
        <f>'[46]15明细表 '!X100</f>
        <v>0</v>
      </c>
      <c r="G112" s="422">
        <f>'[46]16明细表'!X100</f>
        <v>0</v>
      </c>
      <c r="H112" s="422">
        <f>'[46]17明细表'!X100</f>
        <v>0</v>
      </c>
    </row>
    <row r="113" hidden="1" spans="3:8">
      <c r="C113" s="426" t="str">
        <f>'[46]15明细表 '!B101</f>
        <v>太阳能光伏事业部-工程项目费</v>
      </c>
      <c r="D113" s="426"/>
      <c r="E113" s="419">
        <f>'[46]15明细表 '!Z101</f>
        <v>0</v>
      </c>
      <c r="F113" s="419">
        <f>'[46]15明细表 '!X101</f>
        <v>0</v>
      </c>
      <c r="G113" s="422">
        <f>'[46]16明细表'!X101</f>
        <v>0</v>
      </c>
      <c r="H113" s="422">
        <f>'[46]17明细表'!X101</f>
        <v>0</v>
      </c>
    </row>
    <row r="114" hidden="1" spans="3:8">
      <c r="C114" s="426" t="str">
        <f>'[46]15明细表 '!B102</f>
        <v>太阳能光伏事业部-房租物管费</v>
      </c>
      <c r="D114" s="426" t="s">
        <v>5175</v>
      </c>
      <c r="E114" s="419">
        <f>'[46]15明细表 '!Z102</f>
        <v>0</v>
      </c>
      <c r="F114" s="419">
        <f>'[46]15明细表 '!X102</f>
        <v>0</v>
      </c>
      <c r="G114" s="422">
        <f>'[46]16明细表'!X102</f>
        <v>0</v>
      </c>
      <c r="H114" s="422">
        <f>'[46]17明细表'!X102</f>
        <v>0</v>
      </c>
    </row>
    <row r="115" spans="3:8">
      <c r="C115" s="426" t="str">
        <f>'[46]15明细表 '!B103</f>
        <v>太阳能光伏事业部-工资及福利</v>
      </c>
      <c r="D115" s="426" t="s">
        <v>5174</v>
      </c>
      <c r="E115" s="419">
        <f>'[46]15明细表 '!Z103</f>
        <v>0</v>
      </c>
      <c r="F115" s="419">
        <f>'[46]15明细表 '!X103</f>
        <v>0</v>
      </c>
      <c r="G115" s="422">
        <f>'[46]16明细表'!X103</f>
        <v>0</v>
      </c>
      <c r="H115" s="422">
        <f>'[46]17明细表'!X103</f>
        <v>0</v>
      </c>
    </row>
    <row r="116" hidden="1" spans="3:8">
      <c r="C116" s="426" t="str">
        <f>'[46]15明细表 '!B104</f>
        <v>太阳能光伏事业部-业务招待费</v>
      </c>
      <c r="D116" s="426" t="s">
        <v>4154</v>
      </c>
      <c r="E116" s="419">
        <f>'[46]15明细表 '!Z104</f>
        <v>0</v>
      </c>
      <c r="F116" s="419">
        <f>'[46]15明细表 '!X104</f>
        <v>0</v>
      </c>
      <c r="G116" s="422">
        <f>'[46]16明细表'!X104</f>
        <v>0</v>
      </c>
      <c r="H116" s="422">
        <f>'[46]17明细表'!X104</f>
        <v>0</v>
      </c>
    </row>
    <row r="117" hidden="1" spans="3:8">
      <c r="C117" s="426" t="str">
        <f>'[46]15明细表 '!B105</f>
        <v>太阳能光伏事业部-汽车费用</v>
      </c>
      <c r="D117" s="426" t="s">
        <v>5179</v>
      </c>
      <c r="E117" s="419">
        <f>'[46]15明细表 '!Z105</f>
        <v>0</v>
      </c>
      <c r="F117" s="419">
        <f>'[46]15明细表 '!X105</f>
        <v>0</v>
      </c>
      <c r="G117" s="422">
        <f>'[46]16明细表'!X105</f>
        <v>0</v>
      </c>
      <c r="H117" s="422">
        <f>'[46]17明细表'!X105</f>
        <v>0</v>
      </c>
    </row>
    <row r="118" hidden="1" spans="3:8">
      <c r="C118" s="426" t="str">
        <f>'[46]15明细表 '!B106</f>
        <v>照明事业一部（史元新团队）-交通差旅费</v>
      </c>
      <c r="D118" s="426" t="s">
        <v>5179</v>
      </c>
      <c r="E118" s="419">
        <f>'[46]15明细表 '!Z106</f>
        <v>0</v>
      </c>
      <c r="F118" s="419">
        <f>'[46]15明细表 '!X106</f>
        <v>3168.5</v>
      </c>
      <c r="G118" s="422">
        <f>'[46]16明细表'!X106</f>
        <v>592307.17</v>
      </c>
      <c r="H118" s="422">
        <f>'[46]17明细表'!X106</f>
        <v>475332.57</v>
      </c>
    </row>
    <row r="119" hidden="1" spans="3:8">
      <c r="C119" s="426" t="str">
        <f>'[46]15明细表 '!B107</f>
        <v>照明事业一部（史元新团队）-办公及物料</v>
      </c>
      <c r="D119" s="426" t="s">
        <v>5175</v>
      </c>
      <c r="E119" s="419">
        <f>'[46]15明细表 '!Z107</f>
        <v>0</v>
      </c>
      <c r="F119" s="419">
        <f>'[46]15明细表 '!X107</f>
        <v>0</v>
      </c>
      <c r="G119" s="422">
        <f>'[46]16明细表'!X107</f>
        <v>17824.66</v>
      </c>
      <c r="H119" s="422">
        <f>'[46]17明细表'!X107</f>
        <v>25100.8</v>
      </c>
    </row>
    <row r="120" hidden="1" spans="3:8">
      <c r="C120" s="426" t="str">
        <f>'[46]15明细表 '!B108</f>
        <v>照明事业一部（史元新团队）-工程项目费</v>
      </c>
      <c r="D120" s="426"/>
      <c r="E120" s="419">
        <f>'[46]15明细表 '!Z108</f>
        <v>0</v>
      </c>
      <c r="F120" s="419">
        <f>'[46]15明细表 '!X108</f>
        <v>0</v>
      </c>
      <c r="G120" s="422">
        <f>'[46]16明细表'!X108</f>
        <v>0</v>
      </c>
      <c r="H120" s="422">
        <f>'[46]17明细表'!X108</f>
        <v>0</v>
      </c>
    </row>
    <row r="121" hidden="1" spans="3:8">
      <c r="C121" s="426" t="str">
        <f>'[46]15明细表 '!B109</f>
        <v>照明事业一部（史元新团队）-房租物管费</v>
      </c>
      <c r="D121" s="426" t="s">
        <v>5175</v>
      </c>
      <c r="E121" s="419">
        <f>'[46]15明细表 '!Z109</f>
        <v>0</v>
      </c>
      <c r="F121" s="419">
        <f>'[46]15明细表 '!X109</f>
        <v>0</v>
      </c>
      <c r="G121" s="422">
        <f>'[46]16明细表'!X109</f>
        <v>0</v>
      </c>
      <c r="H121" s="422">
        <f>'[46]17明细表'!X109</f>
        <v>59142.86</v>
      </c>
    </row>
    <row r="122" spans="3:8">
      <c r="C122" s="426" t="str">
        <f>'[46]15明细表 '!B110</f>
        <v>照明事业一部（史元新团队）-工资及福利</v>
      </c>
      <c r="D122" s="426" t="s">
        <v>5174</v>
      </c>
      <c r="E122" s="419">
        <f>'[46]15明细表 '!Z110</f>
        <v>0</v>
      </c>
      <c r="F122" s="419">
        <f>'[46]15明细表 '!X110</f>
        <v>2000</v>
      </c>
      <c r="G122" s="422">
        <f>'[46]16明细表'!X110</f>
        <v>2841529.62</v>
      </c>
      <c r="H122" s="422">
        <f>'[46]17明细表'!X110</f>
        <v>1327991.13</v>
      </c>
    </row>
    <row r="123" hidden="1" spans="3:8">
      <c r="C123" s="426" t="str">
        <f>'[46]15明细表 '!B111</f>
        <v>照明事业一部（史元新团队）-投标费用</v>
      </c>
      <c r="D123" s="426" t="s">
        <v>5196</v>
      </c>
      <c r="E123" s="419">
        <f>'[46]15明细表 '!Z111</f>
        <v>0</v>
      </c>
      <c r="F123" s="419">
        <f>'[46]15明细表 '!X111</f>
        <v>0</v>
      </c>
      <c r="G123" s="422">
        <f>'[46]16明细表'!X111</f>
        <v>0</v>
      </c>
      <c r="H123" s="422">
        <f>'[46]17明细表'!X111</f>
        <v>500</v>
      </c>
    </row>
    <row r="124" hidden="1" spans="3:8">
      <c r="C124" s="426" t="str">
        <f>'[46]15明细表 '!B112</f>
        <v>照明事业一部（史元新团队）-咨询服务费</v>
      </c>
      <c r="D124" s="426" t="s">
        <v>5175</v>
      </c>
      <c r="E124" s="419">
        <f>'[46]15明细表 '!Z112</f>
        <v>0</v>
      </c>
      <c r="F124" s="419">
        <f>'[46]15明细表 '!X112</f>
        <v>0</v>
      </c>
      <c r="G124" s="422">
        <f>'[46]16明细表'!X112</f>
        <v>0</v>
      </c>
      <c r="H124" s="422">
        <f>'[46]17明细表'!X112</f>
        <v>0</v>
      </c>
    </row>
    <row r="125" hidden="1" spans="3:8">
      <c r="C125" s="426" t="str">
        <f>'[46]15明细表 '!B113</f>
        <v>照明事业一部（史元新团队）-业务招待费</v>
      </c>
      <c r="D125" s="426" t="s">
        <v>4154</v>
      </c>
      <c r="E125" s="419">
        <f>'[46]15明细表 '!Z113</f>
        <v>0</v>
      </c>
      <c r="F125" s="419">
        <f>'[46]15明细表 '!X113</f>
        <v>11308</v>
      </c>
      <c r="G125" s="422">
        <f>'[46]16明细表'!X113</f>
        <v>315937.5</v>
      </c>
      <c r="H125" s="422">
        <f>'[46]17明细表'!X113</f>
        <v>582631.12</v>
      </c>
    </row>
    <row r="126" hidden="1" spans="3:8">
      <c r="C126" s="426" t="str">
        <f>'[46]15明细表 '!B114</f>
        <v>照明事业一部（史元新团队）-汽车费用</v>
      </c>
      <c r="D126" s="426" t="s">
        <v>5179</v>
      </c>
      <c r="E126" s="419">
        <f>'[46]15明细表 '!Z114</f>
        <v>0</v>
      </c>
      <c r="F126" s="419">
        <f>'[46]15明细表 '!X114</f>
        <v>0</v>
      </c>
      <c r="G126" s="422">
        <f>'[46]16明细表'!X114</f>
        <v>39514.47</v>
      </c>
      <c r="H126" s="422">
        <f>'[46]17明细表'!X114</f>
        <v>31454.75</v>
      </c>
    </row>
    <row r="127" spans="3:8">
      <c r="C127" s="426" t="str">
        <f>'[46]15明细表 '!B115</f>
        <v>照明事业一部（史元新团队）-社会保险金</v>
      </c>
      <c r="D127" s="426" t="s">
        <v>5174</v>
      </c>
      <c r="E127" s="419">
        <f>'[46]15明细表 '!Z115</f>
        <v>0</v>
      </c>
      <c r="F127" s="419">
        <f>'[46]15明细表 '!X115</f>
        <v>0</v>
      </c>
      <c r="G127" s="422">
        <f>'[46]16明细表'!X115</f>
        <v>59421.69</v>
      </c>
      <c r="H127" s="422">
        <f>'[46]17明细表'!X115</f>
        <v>112739.36</v>
      </c>
    </row>
    <row r="128" spans="3:8">
      <c r="C128" s="426" t="str">
        <f>'[46]15明细表 '!B116</f>
        <v>照明事业一部（史元新团队）-住房公积金</v>
      </c>
      <c r="D128" s="426" t="s">
        <v>5174</v>
      </c>
      <c r="E128" s="419">
        <f>'[46]15明细表 '!Z116</f>
        <v>0</v>
      </c>
      <c r="F128" s="419">
        <f>'[46]15明细表 '!X116</f>
        <v>0</v>
      </c>
      <c r="G128" s="422">
        <f>'[46]16明细表'!X116</f>
        <v>8350</v>
      </c>
      <c r="H128" s="422">
        <f>'[46]17明细表'!X116</f>
        <v>18100</v>
      </c>
    </row>
    <row r="129" hidden="1" spans="3:8">
      <c r="C129" s="426" t="str">
        <f>'[46]15明细表 '!B117</f>
        <v>照明事业一部（史元新团队）-广告宣传费</v>
      </c>
      <c r="D129" s="426" t="s">
        <v>5175</v>
      </c>
      <c r="E129" s="419">
        <f>'[46]15明细表 '!Z117</f>
        <v>0</v>
      </c>
      <c r="F129" s="419">
        <f>'[46]15明细表 '!X117</f>
        <v>0</v>
      </c>
      <c r="G129" s="422">
        <f>'[46]16明细表'!X117</f>
        <v>0</v>
      </c>
      <c r="H129" s="422">
        <f>'[46]17明细表'!X117</f>
        <v>154452.83</v>
      </c>
    </row>
    <row r="130" hidden="1" spans="3:8">
      <c r="C130" s="426" t="str">
        <f>'[46]15明细表 '!B118</f>
        <v>综合节能事业部-交通差旅费</v>
      </c>
      <c r="D130" s="426" t="s">
        <v>5179</v>
      </c>
      <c r="E130" s="419">
        <f>'[46]15明细表 '!Z118</f>
        <v>0</v>
      </c>
      <c r="F130" s="419">
        <f>'[46]15明细表 '!X118</f>
        <v>0</v>
      </c>
      <c r="G130" s="422">
        <f>'[46]16明细表'!X118</f>
        <v>256876.55</v>
      </c>
      <c r="H130" s="422">
        <f>'[46]17明细表'!X118</f>
        <v>117456.06</v>
      </c>
    </row>
    <row r="131" hidden="1" spans="3:8">
      <c r="C131" s="426" t="str">
        <f>'[46]15明细表 '!B119</f>
        <v>综合节能事业部-办公及物料</v>
      </c>
      <c r="D131" s="426" t="s">
        <v>5175</v>
      </c>
      <c r="E131" s="419">
        <f>'[46]15明细表 '!Z119</f>
        <v>0</v>
      </c>
      <c r="F131" s="419">
        <f>'[46]15明细表 '!X119</f>
        <v>0</v>
      </c>
      <c r="G131" s="422">
        <f>'[46]16明细表'!X119</f>
        <v>14288</v>
      </c>
      <c r="H131" s="422">
        <f>'[46]17明细表'!X119</f>
        <v>2532.52</v>
      </c>
    </row>
    <row r="132" hidden="1" spans="3:8">
      <c r="C132" s="426" t="str">
        <f>'[46]15明细表 '!B120</f>
        <v>综合节能事业部-工程项目费</v>
      </c>
      <c r="D132" s="426"/>
      <c r="E132" s="419">
        <f>'[46]15明细表 '!Z120</f>
        <v>0</v>
      </c>
      <c r="F132" s="419">
        <f>'[46]15明细表 '!X120</f>
        <v>0</v>
      </c>
      <c r="G132" s="422">
        <f>'[46]16明细表'!X120</f>
        <v>0</v>
      </c>
      <c r="H132" s="422">
        <f>'[46]17明细表'!X120</f>
        <v>0</v>
      </c>
    </row>
    <row r="133" hidden="1" spans="3:8">
      <c r="C133" s="426" t="str">
        <f>'[46]15明细表 '!B121</f>
        <v>综合节能事业部-房租及物管费</v>
      </c>
      <c r="D133" s="426" t="s">
        <v>5175</v>
      </c>
      <c r="E133" s="419">
        <f>'[46]15明细表 '!Z121</f>
        <v>0</v>
      </c>
      <c r="F133" s="419">
        <f>'[46]15明细表 '!X121</f>
        <v>0</v>
      </c>
      <c r="G133" s="422">
        <f>'[46]16明细表'!X121</f>
        <v>2300</v>
      </c>
      <c r="H133" s="422">
        <f>'[46]17明细表'!X121</f>
        <v>29400</v>
      </c>
    </row>
    <row r="134" spans="3:8">
      <c r="C134" s="426" t="str">
        <f>'[46]15明细表 '!B124</f>
        <v>综合节能事业部-工资及福利</v>
      </c>
      <c r="D134" s="426" t="s">
        <v>5174</v>
      </c>
      <c r="E134" s="419">
        <f>'[46]15明细表 '!Z122</f>
        <v>0</v>
      </c>
      <c r="F134" s="419">
        <f>'[46]15明细表 '!X124</f>
        <v>13100</v>
      </c>
      <c r="G134" s="422">
        <f>'[46]16明细表'!X122</f>
        <v>637049.43</v>
      </c>
      <c r="H134" s="422">
        <f>'[46]17明细表'!X122</f>
        <v>401070.69</v>
      </c>
    </row>
    <row r="135" hidden="1" spans="3:8">
      <c r="C135" s="426" t="str">
        <f>'[46]15明细表 '!B125</f>
        <v>综合节能事业部-业务招待费</v>
      </c>
      <c r="D135" s="426" t="s">
        <v>4154</v>
      </c>
      <c r="E135" s="419"/>
      <c r="F135" s="419">
        <f>'[46]15明细表 '!X125</f>
        <v>0</v>
      </c>
      <c r="G135" s="422">
        <f>'[46]16明细表'!X123</f>
        <v>31733.66</v>
      </c>
      <c r="H135" s="422">
        <f>'[46]17明细表'!X123</f>
        <v>23051.26</v>
      </c>
    </row>
    <row r="136" hidden="1" spans="3:8">
      <c r="C136" s="426" t="str">
        <f>'[46]15明细表 '!B126</f>
        <v>综合节能事业部-汽车费用</v>
      </c>
      <c r="D136" s="426" t="s">
        <v>5179</v>
      </c>
      <c r="E136" s="419">
        <f>'[46]15明细表 '!Z124</f>
        <v>0</v>
      </c>
      <c r="F136" s="419">
        <f>'[46]15明细表 '!X126</f>
        <v>0</v>
      </c>
      <c r="G136" s="422">
        <f>'[46]16明细表'!X124</f>
        <v>1721</v>
      </c>
      <c r="H136" s="422">
        <f>'[46]17明细表'!X124</f>
        <v>100</v>
      </c>
    </row>
    <row r="137" spans="3:8">
      <c r="C137" s="426" t="str">
        <f>'[46]15明细表 '!B127</f>
        <v>综合节能事业部-社会保险金</v>
      </c>
      <c r="D137" s="426" t="s">
        <v>5174</v>
      </c>
      <c r="E137" s="419">
        <f>'[46]15明细表 '!Z125</f>
        <v>0</v>
      </c>
      <c r="F137" s="419">
        <f>'[46]15明细表 '!X127</f>
        <v>0</v>
      </c>
      <c r="G137" s="422">
        <f>'[46]16明细表'!X125</f>
        <v>17893.84</v>
      </c>
      <c r="H137" s="422">
        <f>'[46]17明细表'!X125</f>
        <v>25310.14</v>
      </c>
    </row>
    <row r="138" spans="3:8">
      <c r="C138" s="426" t="str">
        <f>'[46]15明细表 '!B128</f>
        <v>综合节能事业部-住房公积金</v>
      </c>
      <c r="D138" s="426" t="s">
        <v>5174</v>
      </c>
      <c r="E138" s="419">
        <f>'[46]15明细表 '!Z126</f>
        <v>0</v>
      </c>
      <c r="F138" s="419">
        <f>'[46]15明细表 '!X128</f>
        <v>0</v>
      </c>
      <c r="G138" s="422">
        <f>'[46]16明细表'!X126</f>
        <v>3500</v>
      </c>
      <c r="H138" s="422">
        <f>'[46]17明细表'!X126</f>
        <v>1950</v>
      </c>
    </row>
    <row r="139" hidden="1" spans="3:8">
      <c r="C139" s="426" t="str">
        <f>'[46]15明细表 '!B129</f>
        <v>国际业务部-交通差旅费</v>
      </c>
      <c r="D139" s="426" t="s">
        <v>5179</v>
      </c>
      <c r="E139" s="419">
        <f>'[46]15明细表 '!Z127</f>
        <v>0</v>
      </c>
      <c r="F139" s="419">
        <f>'[46]15明细表 '!X129</f>
        <v>0</v>
      </c>
      <c r="G139" s="422">
        <f>'[46]16明细表'!X127</f>
        <v>88283.25</v>
      </c>
      <c r="H139" s="422">
        <f>'[46]17明细表'!X127</f>
        <v>300795.4</v>
      </c>
    </row>
    <row r="140" hidden="1" spans="3:8">
      <c r="C140" s="426" t="str">
        <f>'[46]15明细表 '!B130</f>
        <v>国际业务部-办公及物料</v>
      </c>
      <c r="D140" s="426" t="s">
        <v>5175</v>
      </c>
      <c r="E140" s="419">
        <f>'[46]15明细表 '!Z128</f>
        <v>0</v>
      </c>
      <c r="F140" s="419">
        <f>'[46]15明细表 '!X130</f>
        <v>0</v>
      </c>
      <c r="G140" s="422">
        <f>'[46]16明细表'!X128</f>
        <v>26205.58</v>
      </c>
      <c r="H140" s="422">
        <f>'[46]17明细表'!X128</f>
        <v>46606.25</v>
      </c>
    </row>
    <row r="141" hidden="1" spans="3:8">
      <c r="C141" s="426" t="str">
        <f>'[46]15明细表 '!B131</f>
        <v>国际业务部-工程项目费</v>
      </c>
      <c r="D141" s="426"/>
      <c r="E141" s="419">
        <f>'[46]15明细表 '!Z129</f>
        <v>0</v>
      </c>
      <c r="F141" s="419">
        <f>'[46]15明细表 '!X131</f>
        <v>0</v>
      </c>
      <c r="G141" s="422">
        <f>'[46]16明细表'!X129</f>
        <v>0</v>
      </c>
      <c r="H141" s="422">
        <f>'[46]17明细表'!X129</f>
        <v>0</v>
      </c>
    </row>
    <row r="142" hidden="1" spans="3:8">
      <c r="C142" s="426" t="str">
        <f>'[46]15明细表 '!B132</f>
        <v>国际业务部-房租物管费</v>
      </c>
      <c r="D142" s="426" t="s">
        <v>5175</v>
      </c>
      <c r="E142" s="419">
        <f>'[46]15明细表 '!Z130</f>
        <v>0</v>
      </c>
      <c r="F142" s="419">
        <f>'[46]15明细表 '!X132</f>
        <v>0</v>
      </c>
      <c r="G142" s="422">
        <f>'[46]16明细表'!X130</f>
        <v>0</v>
      </c>
      <c r="H142" s="422">
        <f>'[46]17明细表'!X130</f>
        <v>18161.36</v>
      </c>
    </row>
    <row r="143" spans="3:8">
      <c r="C143" s="426" t="str">
        <f>'[46]15明细表 '!B133</f>
        <v>国际业务部-工资及福利</v>
      </c>
      <c r="D143" s="426" t="s">
        <v>5174</v>
      </c>
      <c r="E143" s="419">
        <f>'[46]15明细表 '!Z131</f>
        <v>0</v>
      </c>
      <c r="F143" s="419">
        <f>'[46]15明细表 '!X133</f>
        <v>0</v>
      </c>
      <c r="G143" s="422">
        <f>'[46]16明细表'!X131</f>
        <v>227085.01</v>
      </c>
      <c r="H143" s="422">
        <f>'[46]17明细表'!X131</f>
        <v>640617.24</v>
      </c>
    </row>
    <row r="144" hidden="1" spans="3:8">
      <c r="C144" s="426" t="str">
        <f>'[46]15明细表 '!B134</f>
        <v>国际业务部-业务招待费</v>
      </c>
      <c r="D144" s="426" t="s">
        <v>4154</v>
      </c>
      <c r="E144" s="419">
        <f>'[46]15明细表 '!Z132</f>
        <v>0</v>
      </c>
      <c r="F144" s="419">
        <f>'[46]15明细表 '!X134</f>
        <v>0</v>
      </c>
      <c r="G144" s="422">
        <f>'[46]16明细表'!X132</f>
        <v>32024.81</v>
      </c>
      <c r="H144" s="422">
        <f>'[46]17明细表'!X132</f>
        <v>265435.02</v>
      </c>
    </row>
    <row r="145" hidden="1" spans="3:8">
      <c r="C145" s="426" t="str">
        <f>'[46]15明细表 '!B135</f>
        <v>国际业务部-汽车费用</v>
      </c>
      <c r="D145" s="426" t="s">
        <v>5179</v>
      </c>
      <c r="E145" s="419">
        <f>'[46]15明细表 '!Z133</f>
        <v>0</v>
      </c>
      <c r="F145" s="419">
        <f>'[46]15明细表 '!X135</f>
        <v>0</v>
      </c>
      <c r="G145" s="422">
        <f>'[46]16明细表'!X133</f>
        <v>9089.76</v>
      </c>
      <c r="H145" s="422">
        <f>'[46]17明细表'!X133</f>
        <v>31188.66</v>
      </c>
    </row>
    <row r="146" hidden="1" spans="3:8">
      <c r="C146" s="426" t="str">
        <f>'[46]15明细表 '!B136</f>
        <v>国际业务部-邮运费</v>
      </c>
      <c r="D146" s="426" t="s">
        <v>5175</v>
      </c>
      <c r="E146" s="419">
        <f>'[46]15明细表 '!Z134</f>
        <v>0</v>
      </c>
      <c r="F146" s="419">
        <f>'[46]15明细表 '!X136</f>
        <v>0</v>
      </c>
      <c r="G146" s="422">
        <f>'[46]16明细表'!X134</f>
        <v>709</v>
      </c>
      <c r="H146" s="422">
        <f>'[46]17明细表'!X134</f>
        <v>2207</v>
      </c>
    </row>
    <row r="147" hidden="1" spans="3:8">
      <c r="C147" s="426" t="str">
        <f>'[46]15明细表 '!B137</f>
        <v>国际业务部-展览和广告费</v>
      </c>
      <c r="D147" s="426" t="s">
        <v>5175</v>
      </c>
      <c r="E147" s="419">
        <f>'[46]15明细表 '!Z135</f>
        <v>0</v>
      </c>
      <c r="F147" s="419">
        <f>'[46]15明细表 '!X137</f>
        <v>0</v>
      </c>
      <c r="G147" s="422">
        <f>'[46]16明细表'!X135</f>
        <v>55970</v>
      </c>
      <c r="H147" s="422">
        <f>'[46]17明细表'!X135</f>
        <v>19350</v>
      </c>
    </row>
    <row r="148" spans="3:8">
      <c r="C148" s="426" t="str">
        <f>'[46]15明细表 '!B138</f>
        <v>国际业务部-社会保险金</v>
      </c>
      <c r="D148" s="426" t="s">
        <v>5174</v>
      </c>
      <c r="E148" s="419">
        <f>'[46]15明细表 '!Z136</f>
        <v>0</v>
      </c>
      <c r="F148" s="419">
        <f>'[46]15明细表 '!X138</f>
        <v>0</v>
      </c>
      <c r="G148" s="422">
        <f>'[46]16明细表'!X136</f>
        <v>11385.19</v>
      </c>
      <c r="H148" s="422">
        <f>'[46]17明细表'!X136</f>
        <v>53814.09</v>
      </c>
    </row>
    <row r="149" spans="3:8">
      <c r="C149" s="426" t="str">
        <f>'[46]15明细表 '!B139</f>
        <v>国际业务部-住房公积金</v>
      </c>
      <c r="D149" s="426" t="s">
        <v>5174</v>
      </c>
      <c r="E149" s="419">
        <f>'[46]15明细表 '!Z137</f>
        <v>0</v>
      </c>
      <c r="F149" s="419">
        <f>'[46]15明细表 '!X139</f>
        <v>0</v>
      </c>
      <c r="G149" s="422">
        <f>'[46]16明细表'!X137</f>
        <v>1050</v>
      </c>
      <c r="H149" s="422">
        <f>'[46]17明细表'!X137</f>
        <v>6300</v>
      </c>
    </row>
    <row r="150" hidden="1" spans="3:8">
      <c r="C150" s="426" t="str">
        <f>'[46]15明细表 '!B140</f>
        <v>国际业务部-中介机构费</v>
      </c>
      <c r="D150" s="426" t="s">
        <v>5175</v>
      </c>
      <c r="E150" s="419">
        <f>'[46]15明细表 '!Z138</f>
        <v>0</v>
      </c>
      <c r="F150" s="419">
        <f>'[46]15明细表 '!X140</f>
        <v>0</v>
      </c>
      <c r="G150" s="422">
        <f>'[46]16明细表'!X138</f>
        <v>0</v>
      </c>
      <c r="H150" s="422">
        <f>'[46]17明细表'!X138</f>
        <v>1081.5</v>
      </c>
    </row>
    <row r="151" spans="3:8">
      <c r="C151" s="426" t="str">
        <f>'[46]15明细表 '!B141</f>
        <v>国际业务部-员工福利费</v>
      </c>
      <c r="D151" s="426" t="s">
        <v>5174</v>
      </c>
      <c r="E151" s="419">
        <f>'[46]15明细表 '!Z139</f>
        <v>0</v>
      </c>
      <c r="F151" s="419">
        <f>'[46]15明细表 '!X141</f>
        <v>0</v>
      </c>
      <c r="G151" s="422">
        <f>'[46]16明细表'!X139</f>
        <v>0</v>
      </c>
      <c r="H151" s="422">
        <f>'[46]17明细表'!X139</f>
        <v>191.5</v>
      </c>
    </row>
    <row r="152" hidden="1" spans="3:8">
      <c r="C152" s="426" t="str">
        <f>'[46]15明细表 '!B142</f>
        <v>照明四部（李远飞团队）-交通差旅费</v>
      </c>
      <c r="D152" s="426" t="s">
        <v>5179</v>
      </c>
      <c r="E152" s="419">
        <f>'[46]15明细表 '!Z140</f>
        <v>0</v>
      </c>
      <c r="F152" s="419">
        <f>'[46]15明细表 '!X142</f>
        <v>0</v>
      </c>
      <c r="G152" s="422">
        <f>'[46]16明细表'!X140</f>
        <v>0</v>
      </c>
      <c r="H152" s="422">
        <f>'[46]17明细表'!X140</f>
        <v>143644.36</v>
      </c>
    </row>
    <row r="153" hidden="1" spans="3:8">
      <c r="C153" s="426" t="str">
        <f>'[46]15明细表 '!B143</f>
        <v>照明四部（李远飞团队）-办公及物料</v>
      </c>
      <c r="D153" s="426" t="s">
        <v>5175</v>
      </c>
      <c r="E153" s="419">
        <f>'[46]15明细表 '!Z141</f>
        <v>0</v>
      </c>
      <c r="F153" s="419">
        <f>'[46]15明细表 '!X143</f>
        <v>0</v>
      </c>
      <c r="G153" s="422">
        <f>'[46]16明细表'!X141</f>
        <v>0</v>
      </c>
      <c r="H153" s="422">
        <f>'[46]17明细表'!X141</f>
        <v>2082</v>
      </c>
    </row>
    <row r="154" hidden="1" spans="3:8">
      <c r="C154" s="426" t="str">
        <f>'[46]15明细表 '!B144</f>
        <v>照明四部（李远飞团队）-工程项目费</v>
      </c>
      <c r="D154" s="426"/>
      <c r="E154" s="419">
        <f>'[46]15明细表 '!Z142</f>
        <v>0</v>
      </c>
      <c r="F154" s="419">
        <f>'[46]15明细表 '!X144</f>
        <v>0</v>
      </c>
      <c r="G154" s="422">
        <f>'[46]16明细表'!X142</f>
        <v>0</v>
      </c>
      <c r="H154" s="422">
        <f>'[46]17明细表'!X142</f>
        <v>0</v>
      </c>
    </row>
    <row r="155" hidden="1" spans="3:8">
      <c r="C155" s="426" t="str">
        <f>'[46]15明细表 '!B145</f>
        <v>照明四部（李远飞团队）-房租及物管费</v>
      </c>
      <c r="D155" s="426" t="s">
        <v>5175</v>
      </c>
      <c r="E155" s="419">
        <f>'[46]15明细表 '!Z143</f>
        <v>0</v>
      </c>
      <c r="F155" s="419">
        <f>'[46]15明细表 '!X145</f>
        <v>0</v>
      </c>
      <c r="G155" s="422">
        <f>'[46]16明细表'!X143</f>
        <v>0</v>
      </c>
      <c r="H155" s="422">
        <f>'[46]17明细表'!X143</f>
        <v>0</v>
      </c>
    </row>
    <row r="156" spans="3:8">
      <c r="C156" s="426" t="str">
        <f>'[46]15明细表 '!B146</f>
        <v>照明四部（李远飞团队）-工资及福利</v>
      </c>
      <c r="D156" s="426" t="s">
        <v>5174</v>
      </c>
      <c r="E156" s="419">
        <f>'[46]15明细表 '!Z144</f>
        <v>0</v>
      </c>
      <c r="F156" s="419">
        <f>'[46]15明细表 '!X146</f>
        <v>0</v>
      </c>
      <c r="G156" s="422">
        <f>'[46]16明细表'!X144</f>
        <v>285000</v>
      </c>
      <c r="H156" s="422">
        <f>'[46]17明细表'!X144</f>
        <v>402171.26</v>
      </c>
    </row>
    <row r="157" hidden="1" spans="3:8">
      <c r="C157" s="426" t="str">
        <f>'[46]15明细表 '!B147</f>
        <v>照明四部（李远飞团队）-咨询服务费</v>
      </c>
      <c r="D157" s="426" t="s">
        <v>5175</v>
      </c>
      <c r="E157" s="419">
        <f>'[46]15明细表 '!Z145</f>
        <v>0</v>
      </c>
      <c r="F157" s="419">
        <f>'[46]15明细表 '!X147</f>
        <v>0</v>
      </c>
      <c r="G157" s="422">
        <f>'[46]16明细表'!X145</f>
        <v>0</v>
      </c>
      <c r="H157" s="422">
        <f>'[46]17明细表'!X145</f>
        <v>0</v>
      </c>
    </row>
    <row r="158" hidden="1" spans="3:8">
      <c r="C158" s="426" t="str">
        <f>'[46]15明细表 '!B148</f>
        <v>照明四部（李远飞团队）-业务招待费</v>
      </c>
      <c r="D158" s="426" t="s">
        <v>4154</v>
      </c>
      <c r="E158" s="419">
        <f>'[46]15明细表 '!Z146</f>
        <v>0</v>
      </c>
      <c r="F158" s="419">
        <f>'[46]15明细表 '!X148</f>
        <v>0</v>
      </c>
      <c r="G158" s="422">
        <f>'[46]16明细表'!X146</f>
        <v>0</v>
      </c>
      <c r="H158" s="422">
        <f>'[46]17明细表'!X146</f>
        <v>223853.47</v>
      </c>
    </row>
    <row r="159" hidden="1" spans="3:8">
      <c r="C159" s="426" t="str">
        <f>'[46]15明细表 '!B149</f>
        <v>照明四部（李远飞团队）-汽车费用</v>
      </c>
      <c r="D159" s="426" t="s">
        <v>5179</v>
      </c>
      <c r="E159" s="419">
        <f>'[46]15明细表 '!Z147</f>
        <v>0</v>
      </c>
      <c r="F159" s="419">
        <f>'[46]15明细表 '!X149</f>
        <v>0</v>
      </c>
      <c r="G159" s="422">
        <f>'[46]16明细表'!X147</f>
        <v>0</v>
      </c>
      <c r="H159" s="422">
        <f>'[46]17明细表'!X147</f>
        <v>17251.71</v>
      </c>
    </row>
    <row r="160" spans="3:8">
      <c r="C160" s="426" t="str">
        <f>'[46]15明细表 '!B150</f>
        <v>照明四部（李远飞团队）-社会保险金</v>
      </c>
      <c r="D160" s="426" t="s">
        <v>5174</v>
      </c>
      <c r="E160" s="419">
        <f>'[46]15明细表 '!Z148</f>
        <v>0</v>
      </c>
      <c r="F160" s="419">
        <f>'[46]15明细表 '!X150</f>
        <v>0</v>
      </c>
      <c r="G160" s="422">
        <f>'[46]16明细表'!X148</f>
        <v>0</v>
      </c>
      <c r="H160" s="422">
        <f>'[46]17明细表'!X148</f>
        <v>52188.86</v>
      </c>
    </row>
    <row r="161" spans="3:8">
      <c r="C161" s="426" t="str">
        <f>'[46]15明细表 '!B151</f>
        <v>照明四部（李远飞团队）-住房公积金</v>
      </c>
      <c r="D161" s="426" t="s">
        <v>5174</v>
      </c>
      <c r="E161" s="419">
        <f>'[46]15明细表 '!Z149</f>
        <v>0</v>
      </c>
      <c r="F161" s="419">
        <f>'[46]15明细表 '!X151</f>
        <v>0</v>
      </c>
      <c r="G161" s="422">
        <f>'[46]16明细表'!X149</f>
        <v>0</v>
      </c>
      <c r="H161" s="422">
        <f>'[46]17明细表'!X149</f>
        <v>5400</v>
      </c>
    </row>
    <row r="162" hidden="1" spans="3:8">
      <c r="C162" s="426" t="str">
        <f>'[46]15明细表 '!B152</f>
        <v>售电业务部-交通差旅费</v>
      </c>
      <c r="D162" s="426" t="s">
        <v>5179</v>
      </c>
      <c r="E162" s="419">
        <f>'[46]15明细表 '!Z150</f>
        <v>0</v>
      </c>
      <c r="F162" s="419">
        <f>'[46]15明细表 '!X152</f>
        <v>0</v>
      </c>
      <c r="G162" s="422">
        <f>'[46]16明细表'!X150</f>
        <v>0</v>
      </c>
      <c r="H162" s="422">
        <f>'[46]17明细表'!X150</f>
        <v>9726.18</v>
      </c>
    </row>
    <row r="163" hidden="1" spans="3:8">
      <c r="C163" s="426" t="str">
        <f>'[46]15明细表 '!B153</f>
        <v>售电业务部-办公物料用品</v>
      </c>
      <c r="D163" s="426" t="s">
        <v>5175</v>
      </c>
      <c r="E163" s="419">
        <f>'[46]15明细表 '!Z151</f>
        <v>0</v>
      </c>
      <c r="F163" s="419">
        <f>'[46]15明细表 '!X153</f>
        <v>0</v>
      </c>
      <c r="G163" s="422">
        <f>'[46]16明细表'!X151</f>
        <v>0</v>
      </c>
      <c r="H163" s="422">
        <f>'[46]17明细表'!X151</f>
        <v>9520</v>
      </c>
    </row>
    <row r="164" spans="3:8">
      <c r="C164" s="426" t="str">
        <f>'[46]15明细表 '!B154</f>
        <v>售电业务部-工资及福利</v>
      </c>
      <c r="D164" s="426" t="s">
        <v>5174</v>
      </c>
      <c r="E164" s="419">
        <f>'[46]15明细表 '!Z152</f>
        <v>0</v>
      </c>
      <c r="F164" s="419">
        <f>'[46]15明细表 '!X154</f>
        <v>0</v>
      </c>
      <c r="G164" s="422">
        <f>'[46]16明细表'!X152</f>
        <v>0</v>
      </c>
      <c r="H164" s="422">
        <f>'[46]17明细表'!X152</f>
        <v>78581.21</v>
      </c>
    </row>
    <row r="165" hidden="1" spans="3:8">
      <c r="C165" s="426" t="str">
        <f>'[46]15明细表 '!B155</f>
        <v>售电业务部-招标费用</v>
      </c>
      <c r="D165" s="426"/>
      <c r="E165" s="419">
        <f>'[46]15明细表 '!Z153</f>
        <v>0</v>
      </c>
      <c r="F165" s="419">
        <f>'[46]15明细表 '!X155</f>
        <v>0</v>
      </c>
      <c r="G165" s="422">
        <f>'[46]16明细表'!X153</f>
        <v>0</v>
      </c>
      <c r="H165" s="422">
        <f>'[46]17明细表'!X153</f>
        <v>0</v>
      </c>
    </row>
    <row r="166" hidden="1" spans="3:8">
      <c r="C166" s="426" t="str">
        <f>'[46]15明细表 '!B156</f>
        <v>售电业务部-业务招待费</v>
      </c>
      <c r="D166" s="426" t="s">
        <v>4154</v>
      </c>
      <c r="E166" s="419">
        <f>'[46]15明细表 '!Z154</f>
        <v>0</v>
      </c>
      <c r="F166" s="419">
        <f>'[46]15明细表 '!X156</f>
        <v>0</v>
      </c>
      <c r="G166" s="422">
        <f>'[46]16明细表'!X154</f>
        <v>0</v>
      </c>
      <c r="H166" s="422">
        <f>'[46]17明细表'!X154</f>
        <v>18368</v>
      </c>
    </row>
    <row r="167" hidden="1" spans="3:8">
      <c r="C167" s="426" t="str">
        <f>'[46]15明细表 '!B157</f>
        <v>售电业务部-汽车费用</v>
      </c>
      <c r="D167" s="426" t="s">
        <v>5179</v>
      </c>
      <c r="E167" s="419">
        <f>'[46]15明细表 '!Z155</f>
        <v>0</v>
      </c>
      <c r="F167" s="419">
        <f>'[46]15明细表 '!X157</f>
        <v>0</v>
      </c>
      <c r="G167" s="422">
        <f>'[46]16明细表'!X155</f>
        <v>0</v>
      </c>
      <c r="H167" s="422">
        <f>'[46]17明细表'!X155</f>
        <v>300</v>
      </c>
    </row>
    <row r="168" spans="3:8">
      <c r="C168" s="426" t="str">
        <f>'[46]15明细表 '!B158</f>
        <v>售电业务部-社会保险费</v>
      </c>
      <c r="D168" s="426" t="s">
        <v>5174</v>
      </c>
      <c r="E168" s="419">
        <f>'[46]15明细表 '!Z156</f>
        <v>0</v>
      </c>
      <c r="F168" s="419">
        <f>'[46]15明细表 '!X158</f>
        <v>0</v>
      </c>
      <c r="G168" s="422">
        <f>'[46]16明细表'!X156</f>
        <v>0</v>
      </c>
      <c r="H168" s="422">
        <f>'[46]17明细表'!X156</f>
        <v>10374.12</v>
      </c>
    </row>
    <row r="169" spans="3:8">
      <c r="C169" s="426" t="str">
        <f>'[46]15明细表 '!B159</f>
        <v>售电业务部-住房公积金</v>
      </c>
      <c r="D169" s="426" t="s">
        <v>5174</v>
      </c>
      <c r="E169" s="419">
        <f>'[46]15明细表 '!Z157</f>
        <v>0</v>
      </c>
      <c r="F169" s="419">
        <f>'[46]15明细表 '!X159</f>
        <v>0</v>
      </c>
      <c r="G169" s="422">
        <f>'[46]16明细表'!X157</f>
        <v>0</v>
      </c>
      <c r="H169" s="422">
        <f>'[46]17明细表'!X157</f>
        <v>1900</v>
      </c>
    </row>
    <row r="170" hidden="1" spans="3:8">
      <c r="C170" s="426" t="str">
        <f>'[46]15明细表 '!B160</f>
        <v>综合节能事业二部-交通差旅费</v>
      </c>
      <c r="D170" s="426" t="s">
        <v>5179</v>
      </c>
      <c r="E170" s="419">
        <f>'[46]15明细表 '!Z158</f>
        <v>0</v>
      </c>
      <c r="F170" s="419">
        <f>'[46]15明细表 '!X160</f>
        <v>0</v>
      </c>
      <c r="G170" s="422">
        <f>'[46]16明细表'!X158</f>
        <v>0</v>
      </c>
      <c r="H170" s="422">
        <f>'[46]17明细表'!X158</f>
        <v>0</v>
      </c>
    </row>
    <row r="171" hidden="1" spans="3:8">
      <c r="C171" s="426" t="str">
        <f>'[46]15明细表 '!B161</f>
        <v>综合节能事业二部-业务招待费</v>
      </c>
      <c r="D171" s="426" t="s">
        <v>4154</v>
      </c>
      <c r="E171" s="419">
        <f>'[46]15明细表 '!Z159</f>
        <v>0</v>
      </c>
      <c r="F171" s="419">
        <f>'[46]15明细表 '!X161</f>
        <v>0</v>
      </c>
      <c r="G171" s="422">
        <f>'[46]16明细表'!X159</f>
        <v>0</v>
      </c>
      <c r="H171" s="422">
        <f>'[46]17明细表'!X159</f>
        <v>0</v>
      </c>
    </row>
    <row r="172" hidden="1" spans="3:8">
      <c r="C172" s="426" t="str">
        <f>'[46]15明细表 '!B162</f>
        <v>综合节能事业二部-折旧费</v>
      </c>
      <c r="D172" s="426"/>
      <c r="E172" s="419">
        <f>'[46]15明细表 '!Z160</f>
        <v>0</v>
      </c>
      <c r="F172" s="419">
        <f>'[46]15明细表 '!X162</f>
        <v>0</v>
      </c>
      <c r="G172" s="422">
        <f>'[46]16明细表'!X160</f>
        <v>0</v>
      </c>
      <c r="H172" s="422">
        <f>'[46]17明细表'!X160</f>
        <v>0</v>
      </c>
    </row>
    <row r="173" hidden="1" spans="3:8">
      <c r="C173" s="426" t="str">
        <f>'[46]15明细表 '!B163</f>
        <v>沉没成本</v>
      </c>
      <c r="D173" s="426" t="s">
        <v>5198</v>
      </c>
      <c r="E173" s="419">
        <f>'[46]15明细表 '!Z123</f>
        <v>400000</v>
      </c>
      <c r="F173" s="419">
        <f>'[46]15明细表 '!X123</f>
        <v>3705600</v>
      </c>
      <c r="G173" s="422">
        <f>'[46]16明细表'!X162</f>
        <v>600000</v>
      </c>
      <c r="H173" s="422">
        <f>'[46]17明细表'!X161</f>
        <v>156627.92</v>
      </c>
    </row>
    <row r="174" hidden="1" spans="3:8">
      <c r="C174" s="426" t="s">
        <v>5200</v>
      </c>
      <c r="D174" s="426" t="s">
        <v>5198</v>
      </c>
      <c r="E174" s="419">
        <f>'[46]15明细表 '!Z162</f>
        <v>0</v>
      </c>
      <c r="F174" s="419">
        <f>'[46]15明细表 '!X122</f>
        <v>1869430.41</v>
      </c>
      <c r="G174" s="422">
        <f>'[46]16明细表'!X161</f>
        <v>0</v>
      </c>
      <c r="H174" s="422"/>
    </row>
    <row r="175" hidden="1" spans="3:8">
      <c r="C175" s="426" t="str">
        <f>'[46]15明细表 '!B164</f>
        <v>合计</v>
      </c>
      <c r="D175" s="426"/>
      <c r="E175" s="419">
        <f>SUM(E21:E174)</f>
        <v>7272256.83</v>
      </c>
      <c r="F175" s="419">
        <f>SUM(F21:F174)</f>
        <v>11432492.27</v>
      </c>
      <c r="G175" s="422">
        <f>'[46]16明细表'!X163</f>
        <v>12775295.51</v>
      </c>
      <c r="H175" s="422">
        <f>'[46]17明细表'!X162</f>
        <v>13441622.84</v>
      </c>
    </row>
    <row r="176" spans="5:7">
      <c r="E176" s="419"/>
      <c r="G176" s="422"/>
    </row>
    <row r="177" spans="5:7">
      <c r="E177" s="419"/>
      <c r="F177" s="419"/>
      <c r="G177" s="419"/>
    </row>
    <row r="194" spans="5:8">
      <c r="E194" s="674" t="s">
        <v>5186</v>
      </c>
      <c r="F194" s="422" t="s">
        <v>1654</v>
      </c>
      <c r="G194" s="426" t="s">
        <v>5201</v>
      </c>
      <c r="H194" s="426">
        <v>135000</v>
      </c>
    </row>
    <row r="195" spans="6:9">
      <c r="F195" s="422" t="s">
        <v>210</v>
      </c>
      <c r="G195" s="426" t="s">
        <v>5202</v>
      </c>
      <c r="I195" s="426">
        <v>135000</v>
      </c>
    </row>
    <row r="196" spans="6:8">
      <c r="F196" s="422" t="s">
        <v>207</v>
      </c>
      <c r="G196" s="426" t="s">
        <v>5201</v>
      </c>
      <c r="H196" s="426">
        <v>135000</v>
      </c>
    </row>
    <row r="197" spans="6:9">
      <c r="F197" s="422" t="s">
        <v>207</v>
      </c>
      <c r="G197" s="426" t="s">
        <v>5201</v>
      </c>
      <c r="I197" s="426">
        <v>135000</v>
      </c>
    </row>
    <row r="199" spans="5:8">
      <c r="E199" s="674" t="s">
        <v>5187</v>
      </c>
      <c r="F199" s="422" t="s">
        <v>1654</v>
      </c>
      <c r="G199" s="426" t="s">
        <v>5203</v>
      </c>
      <c r="H199" s="426">
        <v>-135000</v>
      </c>
    </row>
    <row r="200" spans="6:8">
      <c r="F200" s="422" t="s">
        <v>210</v>
      </c>
      <c r="G200" s="426" t="s">
        <v>5202</v>
      </c>
      <c r="H200" s="426">
        <v>135000</v>
      </c>
    </row>
  </sheetData>
  <autoFilter ref="C20:H175">
    <filterColumn colId="1">
      <customFilters>
        <customFilter operator="equal" val="职工薪酬"/>
      </customFilters>
    </filterColumn>
    <extLst/>
  </autoFilter>
  <mergeCells count="2">
    <mergeCell ref="C3:F3"/>
    <mergeCell ref="C4:F4"/>
  </mergeCells>
  <conditionalFormatting sqref="D5">
    <cfRule type="containsText" dxfId="6" priority="1" operator="between" text="文字描述">
      <formula>NOT(ISERROR(SEARCH("文字描述",D5)))</formula>
    </cfRule>
  </conditionalFormatting>
  <conditionalFormatting sqref="D14:G14">
    <cfRule type="containsText" dxfId="6" priority="3" operator="between" text="文字描述">
      <formula>NOT(ISERROR(SEARCH("文字描述",D14)))</formula>
    </cfRule>
  </conditionalFormatting>
  <conditionalFormatting sqref="D15:D16">
    <cfRule type="containsText" dxfId="6" priority="2" operator="between" text="文字描述">
      <formula>NOT(ISERROR(SEARCH("文字描述",D15)))</formula>
    </cfRule>
  </conditionalFormatting>
  <conditionalFormatting sqref="C16 E5:F5 H12 E15:G17 C14 C11:G13 C5:C10 D6:G10">
    <cfRule type="containsText" dxfId="6" priority="4" operator="between" text="文字描述">
      <formula>NOT(ISERROR(SEARCH("文字描述",C5)))</formula>
    </cfRule>
  </conditionalFormatting>
  <printOptions horizontalCentered="1"/>
  <pageMargins left="0.433070866141732" right="0.354330708661417" top="1.02362204724409" bottom="0.984251968503937" header="0.511811023622047" footer="0.511811023622047"/>
  <pageSetup paperSize="9" scale="18" orientation="landscape"/>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44"/>
  <sheetViews>
    <sheetView topLeftCell="B3" workbookViewId="0">
      <selection activeCell="F6" sqref="F6"/>
    </sheetView>
  </sheetViews>
  <sheetFormatPr defaultColWidth="7.875" defaultRowHeight="14.25" outlineLevelCol="6"/>
  <cols>
    <col min="1" max="1" width="6.625" hidden="1" customWidth="1"/>
    <col min="2" max="2" width="1" customWidth="1"/>
    <col min="3" max="3" width="35.625" customWidth="1"/>
    <col min="4" max="4" width="23.125" customWidth="1"/>
    <col min="5" max="5" width="22.875" customWidth="1"/>
    <col min="6" max="6" width="15.75" customWidth="1"/>
    <col min="257" max="258" width="7.875" hidden="1" customWidth="1"/>
    <col min="259" max="259" width="33" customWidth="1"/>
    <col min="260" max="261" width="18" customWidth="1"/>
    <col min="262" max="262" width="15.75" customWidth="1"/>
    <col min="513" max="514" width="7.875" hidden="1" customWidth="1"/>
    <col min="515" max="515" width="33" customWidth="1"/>
    <col min="516" max="517" width="18" customWidth="1"/>
    <col min="518" max="518" width="15.75" customWidth="1"/>
    <col min="769" max="770" width="7.875" hidden="1" customWidth="1"/>
    <col min="771" max="771" width="33" customWidth="1"/>
    <col min="772" max="773" width="18" customWidth="1"/>
    <col min="774" max="774" width="15.75" customWidth="1"/>
    <col min="1025" max="1026" width="7.875" hidden="1" customWidth="1"/>
    <col min="1027" max="1027" width="33" customWidth="1"/>
    <col min="1028" max="1029" width="18" customWidth="1"/>
    <col min="1030" max="1030" width="15.75" customWidth="1"/>
    <col min="1281" max="1282" width="7.875" hidden="1" customWidth="1"/>
    <col min="1283" max="1283" width="33" customWidth="1"/>
    <col min="1284" max="1285" width="18" customWidth="1"/>
    <col min="1286" max="1286" width="15.75" customWidth="1"/>
    <col min="1537" max="1538" width="7.875" hidden="1" customWidth="1"/>
    <col min="1539" max="1539" width="33" customWidth="1"/>
    <col min="1540" max="1541" width="18" customWidth="1"/>
    <col min="1542" max="1542" width="15.75" customWidth="1"/>
    <col min="1793" max="1794" width="7.875" hidden="1" customWidth="1"/>
    <col min="1795" max="1795" width="33" customWidth="1"/>
    <col min="1796" max="1797" width="18" customWidth="1"/>
    <col min="1798" max="1798" width="15.75" customWidth="1"/>
    <col min="2049" max="2050" width="7.875" hidden="1" customWidth="1"/>
    <col min="2051" max="2051" width="33" customWidth="1"/>
    <col min="2052" max="2053" width="18" customWidth="1"/>
    <col min="2054" max="2054" width="15.75" customWidth="1"/>
    <col min="2305" max="2306" width="7.875" hidden="1" customWidth="1"/>
    <col min="2307" max="2307" width="33" customWidth="1"/>
    <col min="2308" max="2309" width="18" customWidth="1"/>
    <col min="2310" max="2310" width="15.75" customWidth="1"/>
    <col min="2561" max="2562" width="7.875" hidden="1" customWidth="1"/>
    <col min="2563" max="2563" width="33" customWidth="1"/>
    <col min="2564" max="2565" width="18" customWidth="1"/>
    <col min="2566" max="2566" width="15.75" customWidth="1"/>
    <col min="2817" max="2818" width="7.875" hidden="1" customWidth="1"/>
    <col min="2819" max="2819" width="33" customWidth="1"/>
    <col min="2820" max="2821" width="18" customWidth="1"/>
    <col min="2822" max="2822" width="15.75" customWidth="1"/>
    <col min="3073" max="3074" width="7.875" hidden="1" customWidth="1"/>
    <col min="3075" max="3075" width="33" customWidth="1"/>
    <col min="3076" max="3077" width="18" customWidth="1"/>
    <col min="3078" max="3078" width="15.75" customWidth="1"/>
    <col min="3329" max="3330" width="7.875" hidden="1" customWidth="1"/>
    <col min="3331" max="3331" width="33" customWidth="1"/>
    <col min="3332" max="3333" width="18" customWidth="1"/>
    <col min="3334" max="3334" width="15.75" customWidth="1"/>
    <col min="3585" max="3586" width="7.875" hidden="1" customWidth="1"/>
    <col min="3587" max="3587" width="33" customWidth="1"/>
    <col min="3588" max="3589" width="18" customWidth="1"/>
    <col min="3590" max="3590" width="15.75" customWidth="1"/>
    <col min="3841" max="3842" width="7.875" hidden="1" customWidth="1"/>
    <col min="3843" max="3843" width="33" customWidth="1"/>
    <col min="3844" max="3845" width="18" customWidth="1"/>
    <col min="3846" max="3846" width="15.75" customWidth="1"/>
    <col min="4097" max="4098" width="7.875" hidden="1" customWidth="1"/>
    <col min="4099" max="4099" width="33" customWidth="1"/>
    <col min="4100" max="4101" width="18" customWidth="1"/>
    <col min="4102" max="4102" width="15.75" customWidth="1"/>
    <col min="4353" max="4354" width="7.875" hidden="1" customWidth="1"/>
    <col min="4355" max="4355" width="33" customWidth="1"/>
    <col min="4356" max="4357" width="18" customWidth="1"/>
    <col min="4358" max="4358" width="15.75" customWidth="1"/>
    <col min="4609" max="4610" width="7.875" hidden="1" customWidth="1"/>
    <col min="4611" max="4611" width="33" customWidth="1"/>
    <col min="4612" max="4613" width="18" customWidth="1"/>
    <col min="4614" max="4614" width="15.75" customWidth="1"/>
    <col min="4865" max="4866" width="7.875" hidden="1" customWidth="1"/>
    <col min="4867" max="4867" width="33" customWidth="1"/>
    <col min="4868" max="4869" width="18" customWidth="1"/>
    <col min="4870" max="4870" width="15.75" customWidth="1"/>
    <col min="5121" max="5122" width="7.875" hidden="1" customWidth="1"/>
    <col min="5123" max="5123" width="33" customWidth="1"/>
    <col min="5124" max="5125" width="18" customWidth="1"/>
    <col min="5126" max="5126" width="15.75" customWidth="1"/>
    <col min="5377" max="5378" width="7.875" hidden="1" customWidth="1"/>
    <col min="5379" max="5379" width="33" customWidth="1"/>
    <col min="5380" max="5381" width="18" customWidth="1"/>
    <col min="5382" max="5382" width="15.75" customWidth="1"/>
    <col min="5633" max="5634" width="7.875" hidden="1" customWidth="1"/>
    <col min="5635" max="5635" width="33" customWidth="1"/>
    <col min="5636" max="5637" width="18" customWidth="1"/>
    <col min="5638" max="5638" width="15.75" customWidth="1"/>
    <col min="5889" max="5890" width="7.875" hidden="1" customWidth="1"/>
    <col min="5891" max="5891" width="33" customWidth="1"/>
    <col min="5892" max="5893" width="18" customWidth="1"/>
    <col min="5894" max="5894" width="15.75" customWidth="1"/>
    <col min="6145" max="6146" width="7.875" hidden="1" customWidth="1"/>
    <col min="6147" max="6147" width="33" customWidth="1"/>
    <col min="6148" max="6149" width="18" customWidth="1"/>
    <col min="6150" max="6150" width="15.75" customWidth="1"/>
    <col min="6401" max="6402" width="7.875" hidden="1" customWidth="1"/>
    <col min="6403" max="6403" width="33" customWidth="1"/>
    <col min="6404" max="6405" width="18" customWidth="1"/>
    <col min="6406" max="6406" width="15.75" customWidth="1"/>
    <col min="6657" max="6658" width="7.875" hidden="1" customWidth="1"/>
    <col min="6659" max="6659" width="33" customWidth="1"/>
    <col min="6660" max="6661" width="18" customWidth="1"/>
    <col min="6662" max="6662" width="15.75" customWidth="1"/>
    <col min="6913" max="6914" width="7.875" hidden="1" customWidth="1"/>
    <col min="6915" max="6915" width="33" customWidth="1"/>
    <col min="6916" max="6917" width="18" customWidth="1"/>
    <col min="6918" max="6918" width="15.75" customWidth="1"/>
    <col min="7169" max="7170" width="7.875" hidden="1" customWidth="1"/>
    <col min="7171" max="7171" width="33" customWidth="1"/>
    <col min="7172" max="7173" width="18" customWidth="1"/>
    <col min="7174" max="7174" width="15.75" customWidth="1"/>
    <col min="7425" max="7426" width="7.875" hidden="1" customWidth="1"/>
    <col min="7427" max="7427" width="33" customWidth="1"/>
    <col min="7428" max="7429" width="18" customWidth="1"/>
    <col min="7430" max="7430" width="15.75" customWidth="1"/>
    <col min="7681" max="7682" width="7.875" hidden="1" customWidth="1"/>
    <col min="7683" max="7683" width="33" customWidth="1"/>
    <col min="7684" max="7685" width="18" customWidth="1"/>
    <col min="7686" max="7686" width="15.75" customWidth="1"/>
    <col min="7937" max="7938" width="7.875" hidden="1" customWidth="1"/>
    <col min="7939" max="7939" width="33" customWidth="1"/>
    <col min="7940" max="7941" width="18" customWidth="1"/>
    <col min="7942" max="7942" width="15.75" customWidth="1"/>
    <col min="8193" max="8194" width="7.875" hidden="1" customWidth="1"/>
    <col min="8195" max="8195" width="33" customWidth="1"/>
    <col min="8196" max="8197" width="18" customWidth="1"/>
    <col min="8198" max="8198" width="15.75" customWidth="1"/>
    <col min="8449" max="8450" width="7.875" hidden="1" customWidth="1"/>
    <col min="8451" max="8451" width="33" customWidth="1"/>
    <col min="8452" max="8453" width="18" customWidth="1"/>
    <col min="8454" max="8454" width="15.75" customWidth="1"/>
    <col min="8705" max="8706" width="7.875" hidden="1" customWidth="1"/>
    <col min="8707" max="8707" width="33" customWidth="1"/>
    <col min="8708" max="8709" width="18" customWidth="1"/>
    <col min="8710" max="8710" width="15.75" customWidth="1"/>
    <col min="8961" max="8962" width="7.875" hidden="1" customWidth="1"/>
    <col min="8963" max="8963" width="33" customWidth="1"/>
    <col min="8964" max="8965" width="18" customWidth="1"/>
    <col min="8966" max="8966" width="15.75" customWidth="1"/>
    <col min="9217" max="9218" width="7.875" hidden="1" customWidth="1"/>
    <col min="9219" max="9219" width="33" customWidth="1"/>
    <col min="9220" max="9221" width="18" customWidth="1"/>
    <col min="9222" max="9222" width="15.75" customWidth="1"/>
    <col min="9473" max="9474" width="7.875" hidden="1" customWidth="1"/>
    <col min="9475" max="9475" width="33" customWidth="1"/>
    <col min="9476" max="9477" width="18" customWidth="1"/>
    <col min="9478" max="9478" width="15.75" customWidth="1"/>
    <col min="9729" max="9730" width="7.875" hidden="1" customWidth="1"/>
    <col min="9731" max="9731" width="33" customWidth="1"/>
    <col min="9732" max="9733" width="18" customWidth="1"/>
    <col min="9734" max="9734" width="15.75" customWidth="1"/>
    <col min="9985" max="9986" width="7.875" hidden="1" customWidth="1"/>
    <col min="9987" max="9987" width="33" customWidth="1"/>
    <col min="9988" max="9989" width="18" customWidth="1"/>
    <col min="9990" max="9990" width="15.75" customWidth="1"/>
    <col min="10241" max="10242" width="7.875" hidden="1" customWidth="1"/>
    <col min="10243" max="10243" width="33" customWidth="1"/>
    <col min="10244" max="10245" width="18" customWidth="1"/>
    <col min="10246" max="10246" width="15.75" customWidth="1"/>
    <col min="10497" max="10498" width="7.875" hidden="1" customWidth="1"/>
    <col min="10499" max="10499" width="33" customWidth="1"/>
    <col min="10500" max="10501" width="18" customWidth="1"/>
    <col min="10502" max="10502" width="15.75" customWidth="1"/>
    <col min="10753" max="10754" width="7.875" hidden="1" customWidth="1"/>
    <col min="10755" max="10755" width="33" customWidth="1"/>
    <col min="10756" max="10757" width="18" customWidth="1"/>
    <col min="10758" max="10758" width="15.75" customWidth="1"/>
    <col min="11009" max="11010" width="7.875" hidden="1" customWidth="1"/>
    <col min="11011" max="11011" width="33" customWidth="1"/>
    <col min="11012" max="11013" width="18" customWidth="1"/>
    <col min="11014" max="11014" width="15.75" customWidth="1"/>
    <col min="11265" max="11266" width="7.875" hidden="1" customWidth="1"/>
    <col min="11267" max="11267" width="33" customWidth="1"/>
    <col min="11268" max="11269" width="18" customWidth="1"/>
    <col min="11270" max="11270" width="15.75" customWidth="1"/>
    <col min="11521" max="11522" width="7.875" hidden="1" customWidth="1"/>
    <col min="11523" max="11523" width="33" customWidth="1"/>
    <col min="11524" max="11525" width="18" customWidth="1"/>
    <col min="11526" max="11526" width="15.75" customWidth="1"/>
    <col min="11777" max="11778" width="7.875" hidden="1" customWidth="1"/>
    <col min="11779" max="11779" width="33" customWidth="1"/>
    <col min="11780" max="11781" width="18" customWidth="1"/>
    <col min="11782" max="11782" width="15.75" customWidth="1"/>
    <col min="12033" max="12034" width="7.875" hidden="1" customWidth="1"/>
    <col min="12035" max="12035" width="33" customWidth="1"/>
    <col min="12036" max="12037" width="18" customWidth="1"/>
    <col min="12038" max="12038" width="15.75" customWidth="1"/>
    <col min="12289" max="12290" width="7.875" hidden="1" customWidth="1"/>
    <col min="12291" max="12291" width="33" customWidth="1"/>
    <col min="12292" max="12293" width="18" customWidth="1"/>
    <col min="12294" max="12294" width="15.75" customWidth="1"/>
    <col min="12545" max="12546" width="7.875" hidden="1" customWidth="1"/>
    <col min="12547" max="12547" width="33" customWidth="1"/>
    <col min="12548" max="12549" width="18" customWidth="1"/>
    <col min="12550" max="12550" width="15.75" customWidth="1"/>
    <col min="12801" max="12802" width="7.875" hidden="1" customWidth="1"/>
    <col min="12803" max="12803" width="33" customWidth="1"/>
    <col min="12804" max="12805" width="18" customWidth="1"/>
    <col min="12806" max="12806" width="15.75" customWidth="1"/>
    <col min="13057" max="13058" width="7.875" hidden="1" customWidth="1"/>
    <col min="13059" max="13059" width="33" customWidth="1"/>
    <col min="13060" max="13061" width="18" customWidth="1"/>
    <col min="13062" max="13062" width="15.75" customWidth="1"/>
    <col min="13313" max="13314" width="7.875" hidden="1" customWidth="1"/>
    <col min="13315" max="13315" width="33" customWidth="1"/>
    <col min="13316" max="13317" width="18" customWidth="1"/>
    <col min="13318" max="13318" width="15.75" customWidth="1"/>
    <col min="13569" max="13570" width="7.875" hidden="1" customWidth="1"/>
    <col min="13571" max="13571" width="33" customWidth="1"/>
    <col min="13572" max="13573" width="18" customWidth="1"/>
    <col min="13574" max="13574" width="15.75" customWidth="1"/>
    <col min="13825" max="13826" width="7.875" hidden="1" customWidth="1"/>
    <col min="13827" max="13827" width="33" customWidth="1"/>
    <col min="13828" max="13829" width="18" customWidth="1"/>
    <col min="13830" max="13830" width="15.75" customWidth="1"/>
    <col min="14081" max="14082" width="7.875" hidden="1" customWidth="1"/>
    <col min="14083" max="14083" width="33" customWidth="1"/>
    <col min="14084" max="14085" width="18" customWidth="1"/>
    <col min="14086" max="14086" width="15.75" customWidth="1"/>
    <col min="14337" max="14338" width="7.875" hidden="1" customWidth="1"/>
    <col min="14339" max="14339" width="33" customWidth="1"/>
    <col min="14340" max="14341" width="18" customWidth="1"/>
    <col min="14342" max="14342" width="15.75" customWidth="1"/>
    <col min="14593" max="14594" width="7.875" hidden="1" customWidth="1"/>
    <col min="14595" max="14595" width="33" customWidth="1"/>
    <col min="14596" max="14597" width="18" customWidth="1"/>
    <col min="14598" max="14598" width="15.75" customWidth="1"/>
    <col min="14849" max="14850" width="7.875" hidden="1" customWidth="1"/>
    <col min="14851" max="14851" width="33" customWidth="1"/>
    <col min="14852" max="14853" width="18" customWidth="1"/>
    <col min="14854" max="14854" width="15.75" customWidth="1"/>
    <col min="15105" max="15106" width="7.875" hidden="1" customWidth="1"/>
    <col min="15107" max="15107" width="33" customWidth="1"/>
    <col min="15108" max="15109" width="18" customWidth="1"/>
    <col min="15110" max="15110" width="15.75" customWidth="1"/>
    <col min="15361" max="15362" width="7.875" hidden="1" customWidth="1"/>
    <col min="15363" max="15363" width="33" customWidth="1"/>
    <col min="15364" max="15365" width="18" customWidth="1"/>
    <col min="15366" max="15366" width="15.75" customWidth="1"/>
    <col min="15617" max="15618" width="7.875" hidden="1" customWidth="1"/>
    <col min="15619" max="15619" width="33" customWidth="1"/>
    <col min="15620" max="15621" width="18" customWidth="1"/>
    <col min="15622" max="15622" width="15.75" customWidth="1"/>
    <col min="15873" max="15874" width="7.875" hidden="1" customWidth="1"/>
    <col min="15875" max="15875" width="33" customWidth="1"/>
    <col min="15876" max="15877" width="18" customWidth="1"/>
    <col min="15878" max="15878" width="15.75" customWidth="1"/>
    <col min="16129" max="16130" width="7.875" hidden="1" customWidth="1"/>
    <col min="16131" max="16131" width="33" customWidth="1"/>
    <col min="16132" max="16133" width="18" customWidth="1"/>
    <col min="16134" max="16134" width="15.75" customWidth="1"/>
  </cols>
  <sheetData>
    <row r="1" ht="65.25" hidden="1" spans="1:5">
      <c r="A1" s="650" t="s">
        <v>5163</v>
      </c>
      <c r="B1" s="651"/>
      <c r="C1" s="651"/>
      <c r="D1" s="651"/>
      <c r="E1" s="651"/>
    </row>
    <row r="2" hidden="1" spans="1:5">
      <c r="A2" s="651"/>
      <c r="B2" s="651"/>
      <c r="C2" s="651"/>
      <c r="D2" s="651"/>
      <c r="E2" s="651"/>
    </row>
    <row r="3" ht="30.2" customHeight="1" spans="1:5">
      <c r="A3" s="652" t="s">
        <v>5165</v>
      </c>
      <c r="B3" s="653"/>
      <c r="C3" s="653" t="s">
        <v>5204</v>
      </c>
      <c r="D3" s="653"/>
      <c r="E3" s="653"/>
    </row>
    <row r="4" ht="50.25" customHeight="1" spans="1:7">
      <c r="A4" s="652" t="s">
        <v>5165</v>
      </c>
      <c r="B4" s="652"/>
      <c r="C4" s="402" t="s">
        <v>5205</v>
      </c>
      <c r="D4" s="402"/>
      <c r="E4" s="402"/>
      <c r="F4" s="654"/>
      <c r="G4" s="654"/>
    </row>
    <row r="5" spans="1:7">
      <c r="A5" s="652"/>
      <c r="B5" s="652"/>
      <c r="C5" s="655" t="s">
        <v>5185</v>
      </c>
      <c r="D5" s="655"/>
      <c r="E5" s="655"/>
      <c r="F5" s="654"/>
      <c r="G5" s="654"/>
    </row>
    <row r="6" spans="3:5">
      <c r="C6" s="656" t="s">
        <v>61</v>
      </c>
      <c r="D6" s="656" t="s">
        <v>2347</v>
      </c>
      <c r="E6" s="656" t="s">
        <v>2351</v>
      </c>
    </row>
    <row r="7" spans="3:5">
      <c r="C7" s="657" t="s">
        <v>1284</v>
      </c>
      <c r="D7" s="136">
        <f>'[47]6415.02.1 2015年明细表'!K6</f>
        <v>6623057.53</v>
      </c>
      <c r="E7" s="136">
        <f>'[47]6415.02.1 2015年明细表'!Q6</f>
        <v>5020685.58</v>
      </c>
    </row>
    <row r="8" spans="3:5">
      <c r="C8" s="658" t="s">
        <v>5206</v>
      </c>
      <c r="D8" s="136">
        <f>-'[47]6415.02.1 2015年明细表'!K5</f>
        <v>7053316.31</v>
      </c>
      <c r="E8" s="136">
        <f>-'[47]6415.02.1 2015年明细表'!Q5</f>
        <v>327203.29</v>
      </c>
    </row>
    <row r="9" spans="3:5">
      <c r="C9" s="658" t="s">
        <v>5207</v>
      </c>
      <c r="D9" s="659">
        <v>0</v>
      </c>
      <c r="E9" s="659">
        <f>SUM(E10:E10)</f>
        <v>0</v>
      </c>
    </row>
    <row r="10" spans="3:5">
      <c r="C10" s="658" t="s">
        <v>5208</v>
      </c>
      <c r="D10" s="136">
        <f>-'[47]6415.02.1 2015年明细表'!K9</f>
        <v>59680.03</v>
      </c>
      <c r="E10" s="136">
        <f>'[47]6415.02.1 2015年明细表'!Q9</f>
        <v>0</v>
      </c>
    </row>
    <row r="11" spans="3:5">
      <c r="C11" s="657" t="s">
        <v>2382</v>
      </c>
      <c r="D11" s="136">
        <f>'[47]6415.02.1 2015年明细表'!K7+'[47]6415.02.1 2015年明细表'!K10+'[47]6415.02.1 2015年明细表'!K8</f>
        <v>315433.67</v>
      </c>
      <c r="E11" s="136">
        <f>'[47]6415.02.1 2015年明细表'!Q7+'[47]6415.02.1 2015年明细表'!Q10+'[47]6415.02.1 2015年明细表'!Q8</f>
        <v>18310.51</v>
      </c>
    </row>
    <row r="12" spans="3:5">
      <c r="C12" s="658" t="s">
        <v>2563</v>
      </c>
      <c r="D12" s="136">
        <f>'[47]6415.02.1 2015年明细表'!K11</f>
        <v>0</v>
      </c>
      <c r="E12" s="136"/>
    </row>
    <row r="13" spans="3:5">
      <c r="C13" s="658" t="s">
        <v>280</v>
      </c>
      <c r="D13" s="136"/>
      <c r="E13" s="136"/>
    </row>
    <row r="14" spans="3:5">
      <c r="C14" s="657" t="s">
        <v>2021</v>
      </c>
      <c r="D14" s="660">
        <f>D7-D8+D9-D10+D11+D12+D13</f>
        <v>-174505.139999999</v>
      </c>
      <c r="E14" s="660">
        <f>E7-E8+E9-E10+E11+E12+E13</f>
        <v>4711792.8</v>
      </c>
    </row>
    <row r="15" spans="3:5">
      <c r="C15" s="661" t="s">
        <v>1723</v>
      </c>
      <c r="D15" s="662">
        <v>-351918.620000001</v>
      </c>
      <c r="E15" s="662">
        <v>4711792.8</v>
      </c>
    </row>
    <row r="16" spans="3:5">
      <c r="C16" s="663" t="s">
        <v>1395</v>
      </c>
      <c r="D16" s="664">
        <f>D14-D15</f>
        <v>177413.480000002</v>
      </c>
      <c r="E16" s="665">
        <f>E14-E15</f>
        <v>0</v>
      </c>
    </row>
    <row r="19" spans="3:5">
      <c r="C19" s="655" t="s">
        <v>5186</v>
      </c>
      <c r="D19" s="655"/>
      <c r="E19" s="655"/>
    </row>
    <row r="20" spans="3:5">
      <c r="C20" s="656" t="s">
        <v>61</v>
      </c>
      <c r="D20" s="656" t="s">
        <v>2347</v>
      </c>
      <c r="E20" s="656" t="s">
        <v>2351</v>
      </c>
    </row>
    <row r="21" spans="3:5">
      <c r="C21" s="657" t="s">
        <v>1284</v>
      </c>
      <c r="D21" s="136">
        <f>'[47]6415.02.2 2016年明细表'!G6+'[47]6415.02.2 2016年明细表'!G8</f>
        <v>6306599.21</v>
      </c>
      <c r="E21" s="136">
        <f>D7</f>
        <v>6623057.53</v>
      </c>
    </row>
    <row r="22" spans="3:5">
      <c r="C22" s="658" t="s">
        <v>5206</v>
      </c>
      <c r="D22" s="136">
        <f>-'[47]6415.02.2 2016年明细表'!G5</f>
        <v>1112994.49</v>
      </c>
      <c r="E22" s="136">
        <f t="shared" ref="E22:E27" si="0">D8</f>
        <v>7053316.31</v>
      </c>
    </row>
    <row r="23" spans="3:5">
      <c r="C23" s="658" t="s">
        <v>5207</v>
      </c>
      <c r="D23" s="659">
        <v>0</v>
      </c>
      <c r="E23" s="136">
        <f t="shared" si="0"/>
        <v>0</v>
      </c>
    </row>
    <row r="24" spans="3:5">
      <c r="C24" s="658" t="s">
        <v>5208</v>
      </c>
      <c r="D24" s="136">
        <f>-'[47]6415.02.2 2016年明细表'!G10</f>
        <v>116125.01</v>
      </c>
      <c r="E24" s="136">
        <f t="shared" si="0"/>
        <v>59680.03</v>
      </c>
    </row>
    <row r="25" spans="3:5">
      <c r="C25" s="657" t="s">
        <v>2382</v>
      </c>
      <c r="D25" s="136">
        <f>'[47]6415.02.2 2016年明细表'!G7+'[47]6415.02.2 2016年明细表'!G11+'[47]6415.02.2 2016年明细表'!G9</f>
        <v>483646.97</v>
      </c>
      <c r="E25" s="136">
        <f t="shared" si="0"/>
        <v>315433.67</v>
      </c>
    </row>
    <row r="26" spans="3:5">
      <c r="C26" s="658" t="s">
        <v>2563</v>
      </c>
      <c r="D26" s="136">
        <f>'[47]6415.02.2 2016年明细表'!G12</f>
        <v>12022800.98</v>
      </c>
      <c r="E26" s="136">
        <f t="shared" si="0"/>
        <v>0</v>
      </c>
    </row>
    <row r="27" spans="3:5">
      <c r="C27" s="658" t="s">
        <v>280</v>
      </c>
      <c r="D27" s="136"/>
      <c r="E27" s="136">
        <f t="shared" si="0"/>
        <v>0</v>
      </c>
    </row>
    <row r="28" spans="3:5">
      <c r="C28" s="657" t="s">
        <v>2021</v>
      </c>
      <c r="D28" s="660">
        <f>D21-D22+D23-D24+D25+D26+D27</f>
        <v>17583927.66</v>
      </c>
      <c r="E28" s="660">
        <f>E21-E22+E23-E24+E25+E26+E27</f>
        <v>-174505.139999999</v>
      </c>
    </row>
    <row r="29" spans="3:5">
      <c r="C29" s="661" t="s">
        <v>1723</v>
      </c>
      <c r="D29" s="662">
        <v>16947121.46</v>
      </c>
      <c r="E29" s="662">
        <v>-351918.620000001</v>
      </c>
    </row>
    <row r="30" spans="3:5">
      <c r="C30" s="663" t="s">
        <v>1395</v>
      </c>
      <c r="D30" s="664">
        <f>D28-D29</f>
        <v>636806.199999999</v>
      </c>
      <c r="E30" s="665">
        <f>E28-E29</f>
        <v>177413.480000002</v>
      </c>
    </row>
    <row r="31" spans="3:5">
      <c r="C31" s="663"/>
      <c r="D31" s="664"/>
      <c r="E31" s="665"/>
    </row>
    <row r="33" spans="3:5">
      <c r="C33" s="655" t="s">
        <v>5187</v>
      </c>
      <c r="D33" s="655"/>
      <c r="E33" s="655"/>
    </row>
    <row r="34" spans="3:5">
      <c r="C34" s="656" t="s">
        <v>61</v>
      </c>
      <c r="D34" s="656" t="s">
        <v>2347</v>
      </c>
      <c r="E34" s="656" t="s">
        <v>2351</v>
      </c>
    </row>
    <row r="35" spans="3:5">
      <c r="C35" s="657" t="s">
        <v>1284</v>
      </c>
      <c r="D35" s="136">
        <f>'[47]6415.02.3 2017年明细表'!G6</f>
        <v>4526644.93</v>
      </c>
      <c r="E35" s="136">
        <f>D21</f>
        <v>6306599.21</v>
      </c>
    </row>
    <row r="36" spans="3:5">
      <c r="C36" s="658" t="s">
        <v>5206</v>
      </c>
      <c r="D36" s="136">
        <f>-'[47]6415.02.3 2017年明细表'!G5</f>
        <v>2039943.52</v>
      </c>
      <c r="E36" s="136">
        <f t="shared" ref="E36:E41" si="1">D22</f>
        <v>1112994.49</v>
      </c>
    </row>
    <row r="37" spans="3:5">
      <c r="C37" s="658" t="s">
        <v>5207</v>
      </c>
      <c r="D37" s="659">
        <f>'[47]6415.02.3 2017年明细表'!G10</f>
        <v>35379.55</v>
      </c>
      <c r="E37" s="136">
        <f t="shared" si="1"/>
        <v>0</v>
      </c>
    </row>
    <row r="38" spans="3:5">
      <c r="C38" s="658" t="s">
        <v>5208</v>
      </c>
      <c r="D38" s="136"/>
      <c r="E38" s="136">
        <f t="shared" si="1"/>
        <v>116125.01</v>
      </c>
    </row>
    <row r="39" spans="3:5">
      <c r="C39" s="657" t="s">
        <v>2382</v>
      </c>
      <c r="D39" s="136">
        <f>'[47]6415.02.3 2017年明细表'!G7+'[47]6415.02.3 2017年明细表'!G11+'[47]6415.02.3 2017年明细表'!G9</f>
        <v>26325.69</v>
      </c>
      <c r="E39" s="136">
        <f t="shared" si="1"/>
        <v>483646.97</v>
      </c>
    </row>
    <row r="40" spans="3:5">
      <c r="C40" s="658" t="s">
        <v>2563</v>
      </c>
      <c r="D40" s="136">
        <f>'[47]6415.02.3 2017年明细表'!G12</f>
        <v>150000</v>
      </c>
      <c r="E40" s="136">
        <f t="shared" si="1"/>
        <v>12022800.98</v>
      </c>
    </row>
    <row r="41" spans="3:5">
      <c r="C41" s="658" t="s">
        <v>280</v>
      </c>
      <c r="D41" s="136"/>
      <c r="E41" s="136">
        <f t="shared" si="1"/>
        <v>0</v>
      </c>
    </row>
    <row r="42" spans="3:5">
      <c r="C42" s="657" t="s">
        <v>2021</v>
      </c>
      <c r="D42" s="660">
        <f>D35-D36+D37+D39+D40+D41</f>
        <v>2698406.65</v>
      </c>
      <c r="E42" s="660">
        <f>E35-E36+E37-E38+E39+E40+E41</f>
        <v>17583927.66</v>
      </c>
    </row>
    <row r="43" spans="3:5">
      <c r="C43" s="661" t="s">
        <v>1723</v>
      </c>
      <c r="D43" s="662">
        <v>2342163.74</v>
      </c>
      <c r="E43" s="662">
        <v>16947121.46</v>
      </c>
    </row>
    <row r="44" spans="3:5">
      <c r="C44" s="663" t="s">
        <v>1395</v>
      </c>
      <c r="D44" s="664">
        <f>D42-D43</f>
        <v>356242.909999999</v>
      </c>
      <c r="E44" s="665">
        <f>E42-E43</f>
        <v>636806.199999999</v>
      </c>
    </row>
  </sheetData>
  <mergeCells count="5">
    <mergeCell ref="C3:E3"/>
    <mergeCell ref="C4:E4"/>
    <mergeCell ref="C5:E5"/>
    <mergeCell ref="C19:E19"/>
    <mergeCell ref="C33:E33"/>
  </mergeCells>
  <conditionalFormatting sqref="C20">
    <cfRule type="containsText" dxfId="6" priority="4" operator="between" text="文字描述">
      <formula>NOT(ISERROR(SEARCH("文字描述",C20)))</formula>
    </cfRule>
  </conditionalFormatting>
  <conditionalFormatting sqref="C34">
    <cfRule type="containsText" dxfId="6" priority="3" operator="between" text="文字描述">
      <formula>NOT(ISERROR(SEARCH("文字描述",C34)))</formula>
    </cfRule>
  </conditionalFormatting>
  <conditionalFormatting sqref="C6:C15">
    <cfRule type="containsText" dxfId="6" priority="5" operator="between" text="文字描述">
      <formula>NOT(ISERROR(SEARCH("文字描述",C6)))</formula>
    </cfRule>
  </conditionalFormatting>
  <conditionalFormatting sqref="C21:C29">
    <cfRule type="containsText" dxfId="6" priority="2" operator="between" text="文字描述">
      <formula>NOT(ISERROR(SEARCH("文字描述",C21)))</formula>
    </cfRule>
  </conditionalFormatting>
  <conditionalFormatting sqref="C35:C43">
    <cfRule type="containsText" dxfId="6" priority="1" operator="between" text="文字描述">
      <formula>NOT(ISERROR(SEARCH("文字描述",C35)))</formula>
    </cfRule>
  </conditionalFormatting>
  <pageMargins left="1.40902777777778" right="0.379166666666667" top="1.32916666666667" bottom="0.984027777777778" header="0.511805555555556" footer="0.511805555555556"/>
  <pageSetup paperSize="9" fitToHeight="0" orientation="landscape" blackAndWhite="1"/>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BZ422"/>
  <sheetViews>
    <sheetView view="pageBreakPreview" zoomScaleNormal="100" zoomScaleSheetLayoutView="100" topLeftCell="A76" workbookViewId="0">
      <selection activeCell="C74" sqref="C74:D74"/>
    </sheetView>
  </sheetViews>
  <sheetFormatPr defaultColWidth="9" defaultRowHeight="14.25"/>
  <cols>
    <col min="1" max="1" width="43.25" customWidth="1"/>
    <col min="2" max="2" width="6.625" customWidth="1"/>
    <col min="3" max="4" width="15.125" customWidth="1"/>
    <col min="5" max="5" width="26.375" customWidth="1"/>
    <col min="6" max="6" width="14.125" customWidth="1"/>
    <col min="7" max="7" width="23.625" customWidth="1"/>
    <col min="8" max="8" width="12.125" customWidth="1"/>
    <col min="9" max="9" width="12.375" customWidth="1"/>
    <col min="10" max="10" width="13.5" customWidth="1"/>
    <col min="11" max="11" width="11.75" customWidth="1"/>
    <col min="12" max="12" width="12.375" customWidth="1"/>
    <col min="13" max="13" width="10.625" customWidth="1"/>
    <col min="14" max="14" width="10" customWidth="1"/>
  </cols>
  <sheetData>
    <row r="1" ht="25.5" customHeight="1" spans="1:9">
      <c r="A1" s="454" t="s">
        <v>5209</v>
      </c>
      <c r="B1" s="454"/>
      <c r="C1" s="454"/>
      <c r="D1" s="454"/>
      <c r="E1" s="454"/>
      <c r="F1" s="455" t="s">
        <v>5210</v>
      </c>
      <c r="G1" s="456"/>
      <c r="H1" s="456"/>
      <c r="I1" s="456"/>
    </row>
    <row r="2" hidden="1" spans="1:6">
      <c r="A2" s="457" t="str">
        <f>[48]目录!A2&amp;[48]目录!C2</f>
        <v>被审计单位：广东省佳迅建设工程经济事务所</v>
      </c>
      <c r="B2" s="458" t="str">
        <f>[48]目录!A4&amp;[48]目录!C4</f>
        <v>编制人：</v>
      </c>
      <c r="C2" s="457"/>
      <c r="D2" s="458" t="str">
        <f>[48]目录!A5&amp;[48]目录!C5</f>
        <v>日期：</v>
      </c>
      <c r="E2" s="459" t="s">
        <v>5211</v>
      </c>
      <c r="F2" s="460"/>
    </row>
    <row r="3" hidden="1" spans="1:8">
      <c r="A3" s="457" t="str">
        <f>[48]目录!D3&amp;[48]目录!F3</f>
        <v>财务报表截止日/期间：2016年12月31日</v>
      </c>
      <c r="B3" s="458" t="str">
        <f>[48]目录!D4&amp;[48]目录!F4</f>
        <v>复核人：</v>
      </c>
      <c r="C3" s="457"/>
      <c r="D3" s="458" t="str">
        <f>[48]目录!D5&amp;[48]目录!F5</f>
        <v>日期：</v>
      </c>
      <c r="F3" s="461"/>
      <c r="G3" s="462"/>
      <c r="H3" s="463"/>
    </row>
    <row r="4" spans="1:11">
      <c r="A4" s="461"/>
      <c r="B4" s="461"/>
      <c r="C4" s="461"/>
      <c r="D4" s="461"/>
      <c r="E4" s="462"/>
      <c r="F4" s="461"/>
      <c r="G4" s="462"/>
      <c r="H4" s="462"/>
      <c r="I4" s="462"/>
      <c r="J4" s="462"/>
      <c r="K4" s="463"/>
    </row>
    <row r="5" ht="22.5" customHeight="1" spans="1:9">
      <c r="A5" s="464" t="s">
        <v>5212</v>
      </c>
      <c r="B5" s="464"/>
      <c r="C5" s="464"/>
      <c r="D5" s="464"/>
      <c r="E5" s="464"/>
      <c r="F5" s="465"/>
      <c r="G5" s="466"/>
      <c r="H5" s="457" t="s">
        <v>1517</v>
      </c>
      <c r="I5" s="466"/>
    </row>
    <row r="6" ht="20.1" customHeight="1" spans="1:12">
      <c r="A6" s="467" t="s">
        <v>5213</v>
      </c>
      <c r="B6" s="468"/>
      <c r="C6" s="468"/>
      <c r="D6" s="468"/>
      <c r="E6" s="469"/>
      <c r="F6" s="470" t="s">
        <v>5214</v>
      </c>
      <c r="G6" s="470" t="s">
        <v>5215</v>
      </c>
      <c r="H6" s="471"/>
      <c r="I6" s="476" t="s">
        <v>2927</v>
      </c>
      <c r="J6" s="476" t="s">
        <v>5216</v>
      </c>
      <c r="K6" s="476" t="s">
        <v>5217</v>
      </c>
      <c r="L6" s="476" t="s">
        <v>516</v>
      </c>
    </row>
    <row r="7" ht="20.1" customHeight="1" spans="1:12">
      <c r="A7" s="472" t="s">
        <v>1861</v>
      </c>
      <c r="B7" s="473" t="s">
        <v>1493</v>
      </c>
      <c r="C7" s="473" t="s">
        <v>1862</v>
      </c>
      <c r="D7" s="473" t="s">
        <v>1863</v>
      </c>
      <c r="E7" s="474" t="s">
        <v>5218</v>
      </c>
      <c r="F7" s="465"/>
      <c r="G7" s="475">
        <f>2407271.25+20000000</f>
        <v>22407271.25</v>
      </c>
      <c r="H7" s="476" t="s">
        <v>5219</v>
      </c>
      <c r="I7" s="475">
        <v>30176.45</v>
      </c>
      <c r="J7" s="475">
        <v>567651.97</v>
      </c>
      <c r="K7" s="475">
        <v>506543.6</v>
      </c>
      <c r="L7" s="475">
        <f>I7+J7-K7</f>
        <v>91284.8199999999</v>
      </c>
    </row>
    <row r="8" ht="20.1" customHeight="1" spans="1:12">
      <c r="A8" s="477" t="s">
        <v>5220</v>
      </c>
      <c r="B8" s="478" t="s">
        <v>5221</v>
      </c>
      <c r="C8" s="479">
        <f>审定利润表!C6</f>
        <v>120097563.96</v>
      </c>
      <c r="D8" s="479">
        <f>审定利润表!D6</f>
        <v>54865717.44</v>
      </c>
      <c r="E8" s="480" t="s">
        <v>5220</v>
      </c>
      <c r="F8" s="465">
        <v>6001</v>
      </c>
      <c r="G8" s="475">
        <f>审定现流表!C2</f>
        <v>-4158216.16</v>
      </c>
      <c r="H8" s="476" t="s">
        <v>333</v>
      </c>
      <c r="I8" s="475">
        <v>68026559.3</v>
      </c>
      <c r="J8" s="475">
        <v>754160552.81</v>
      </c>
      <c r="K8" s="475">
        <v>642319663.61</v>
      </c>
      <c r="L8" s="475">
        <f t="shared" ref="L8:L9" si="0">I8+J8-K8</f>
        <v>179867448.5</v>
      </c>
    </row>
    <row r="9" ht="20.1" customHeight="1" spans="1:12">
      <c r="A9" s="477" t="s">
        <v>5222</v>
      </c>
      <c r="B9" s="478" t="s">
        <v>5223</v>
      </c>
      <c r="C9" s="479"/>
      <c r="D9" s="479"/>
      <c r="E9" s="480" t="s">
        <v>5222</v>
      </c>
      <c r="F9" s="465">
        <v>6051</v>
      </c>
      <c r="G9" s="475">
        <f>G7+G8</f>
        <v>18249055.09</v>
      </c>
      <c r="H9" s="476" t="s">
        <v>196</v>
      </c>
      <c r="I9" s="475">
        <f>I8+I7</f>
        <v>68056735.75</v>
      </c>
      <c r="J9" s="475">
        <f t="shared" ref="J9:K9" si="1">J8+J7</f>
        <v>754728204.78</v>
      </c>
      <c r="K9" s="475">
        <f t="shared" si="1"/>
        <v>642826207.21</v>
      </c>
      <c r="L9" s="475">
        <f t="shared" si="0"/>
        <v>179958733.32</v>
      </c>
    </row>
    <row r="10" ht="20.1" customHeight="1" spans="1:12">
      <c r="A10" s="477" t="s">
        <v>5224</v>
      </c>
      <c r="B10" s="478" t="s">
        <v>5225</v>
      </c>
      <c r="C10" s="479">
        <f>3068882.96+7979052.78</f>
        <v>11047935.74</v>
      </c>
      <c r="D10" s="479">
        <v>2292205.96</v>
      </c>
      <c r="E10" s="480" t="s">
        <v>5226</v>
      </c>
      <c r="F10" s="481"/>
      <c r="G10" s="475"/>
      <c r="H10" s="476" t="s">
        <v>5227</v>
      </c>
      <c r="I10" s="475"/>
      <c r="J10" s="475">
        <f>334437175.85+1.22</f>
        <v>334437177.07</v>
      </c>
      <c r="K10" s="475">
        <f>334437175.85+1.22</f>
        <v>334437177.07</v>
      </c>
      <c r="L10" s="475"/>
    </row>
    <row r="11" ht="20.1" customHeight="1" spans="1:14">
      <c r="A11" s="482" t="s">
        <v>5228</v>
      </c>
      <c r="B11" s="478" t="s">
        <v>5229</v>
      </c>
      <c r="C11" s="479">
        <v>-67118918.92</v>
      </c>
      <c r="D11" s="479"/>
      <c r="E11" s="483" t="s">
        <v>228</v>
      </c>
      <c r="F11" s="465">
        <v>1121</v>
      </c>
      <c r="G11" s="475"/>
      <c r="H11" s="476" t="s">
        <v>5230</v>
      </c>
      <c r="I11" s="475"/>
      <c r="J11" s="475">
        <f>J9-J10</f>
        <v>420291027.71</v>
      </c>
      <c r="K11" s="475">
        <f>K9-K10</f>
        <v>308389030.14</v>
      </c>
      <c r="L11" s="475"/>
      <c r="M11" s="475"/>
      <c r="N11" s="475"/>
    </row>
    <row r="12" ht="20.1" customHeight="1" spans="1:13">
      <c r="A12" s="482" t="s">
        <v>5231</v>
      </c>
      <c r="B12" s="478" t="s">
        <v>5232</v>
      </c>
      <c r="C12" s="479">
        <f>审定资负表!D10-审定资负表!C10</f>
        <v>4555236.22</v>
      </c>
      <c r="D12" s="479">
        <f>[43]审定资负表!$D$10-[43]审定资负表!$C$10</f>
        <v>11332165.45</v>
      </c>
      <c r="E12" s="480"/>
      <c r="F12" s="465">
        <v>1122</v>
      </c>
      <c r="G12" s="476"/>
      <c r="H12" s="476" t="s">
        <v>5233</v>
      </c>
      <c r="I12" s="475"/>
      <c r="J12" s="475"/>
      <c r="K12" s="475"/>
      <c r="L12" s="475"/>
      <c r="M12" s="475"/>
    </row>
    <row r="13" ht="20.1" customHeight="1" spans="1:12">
      <c r="A13" s="482" t="s">
        <v>5234</v>
      </c>
      <c r="B13" s="478" t="s">
        <v>5235</v>
      </c>
      <c r="C13" s="479">
        <f>审定资负表!G11-审定资负表!H11</f>
        <v>-4711102.57</v>
      </c>
      <c r="D13" s="479">
        <f>[43]审定资负表!$G$11-[43]审定资负表!$H$11</f>
        <v>6415887</v>
      </c>
      <c r="E13" s="484"/>
      <c r="F13" s="465">
        <v>2203</v>
      </c>
      <c r="G13" s="476"/>
      <c r="H13" s="476" t="s">
        <v>5236</v>
      </c>
      <c r="I13" s="475"/>
      <c r="J13" s="475">
        <f>(C24+C37+C52+C149+C160+C171+C196+C206+C282+C292+C301)</f>
        <v>307128925.5</v>
      </c>
      <c r="K13" s="475">
        <f>(C84+C98+C111+C135+C223+C235+C260+C271+C314+C327+C338)</f>
        <v>182168476.72</v>
      </c>
      <c r="L13" s="475"/>
    </row>
    <row r="14" ht="20.1" customHeight="1" spans="1:12">
      <c r="A14" s="482" t="s">
        <v>5237</v>
      </c>
      <c r="B14" s="478" t="s">
        <v>5238</v>
      </c>
      <c r="C14" s="485"/>
      <c r="D14" s="485"/>
      <c r="E14" s="480"/>
      <c r="F14" s="465"/>
      <c r="H14" s="457" t="s">
        <v>5239</v>
      </c>
      <c r="I14" s="475"/>
      <c r="J14" s="475">
        <f>J11-J13</f>
        <v>113162102.21</v>
      </c>
      <c r="K14" s="475">
        <f>K11-K13</f>
        <v>126220553.42</v>
      </c>
      <c r="L14" s="475">
        <f>J14-K14</f>
        <v>-13058451.21</v>
      </c>
    </row>
    <row r="15" ht="20.1" customHeight="1" spans="1:12">
      <c r="A15" s="486" t="s">
        <v>5240</v>
      </c>
      <c r="B15" s="478" t="s">
        <v>5241</v>
      </c>
      <c r="C15" s="485"/>
      <c r="D15" s="485"/>
      <c r="E15" s="480" t="s">
        <v>5242</v>
      </c>
      <c r="F15" s="481"/>
      <c r="H15" s="457"/>
      <c r="I15" s="525"/>
      <c r="J15" s="475"/>
      <c r="K15" s="475"/>
      <c r="L15" s="475"/>
    </row>
    <row r="16" ht="24" spans="1:12">
      <c r="A16" s="486" t="s">
        <v>5243</v>
      </c>
      <c r="B16" s="478" t="s">
        <v>5244</v>
      </c>
      <c r="C16" s="485">
        <f>报表附注!H205-报表附注!L205</f>
        <v>919072.93</v>
      </c>
      <c r="D16" s="485">
        <f>[43]报表附注!$H$205-[43]报表附注!$L$205</f>
        <v>417822.03</v>
      </c>
      <c r="E16" s="487" t="s">
        <v>5245</v>
      </c>
      <c r="F16" s="465"/>
      <c r="H16" s="457"/>
      <c r="I16" s="525"/>
      <c r="J16" s="475"/>
      <c r="K16" s="475"/>
      <c r="L16" s="475"/>
    </row>
    <row r="17" ht="27.75" customHeight="1" spans="1:12">
      <c r="A17" s="488" t="s">
        <v>5246</v>
      </c>
      <c r="B17" s="478" t="s">
        <v>5247</v>
      </c>
      <c r="C17" s="485"/>
      <c r="D17" s="485"/>
      <c r="E17" s="487" t="s">
        <v>5248</v>
      </c>
      <c r="F17" s="465"/>
      <c r="H17" s="457" t="s">
        <v>1513</v>
      </c>
      <c r="I17" s="466"/>
      <c r="J17" s="526"/>
      <c r="K17" s="526"/>
      <c r="L17" s="526"/>
    </row>
    <row r="18" ht="24.75" spans="1:13">
      <c r="A18" s="488" t="s">
        <v>5249</v>
      </c>
      <c r="B18" s="478" t="s">
        <v>5250</v>
      </c>
      <c r="C18" s="485"/>
      <c r="D18" s="485"/>
      <c r="E18" s="487" t="s">
        <v>5251</v>
      </c>
      <c r="F18" s="465"/>
      <c r="G18" s="470" t="s">
        <v>5215</v>
      </c>
      <c r="H18" s="471"/>
      <c r="I18" s="476" t="s">
        <v>2927</v>
      </c>
      <c r="J18" s="476" t="s">
        <v>5216</v>
      </c>
      <c r="K18" s="476" t="s">
        <v>5217</v>
      </c>
      <c r="L18" s="476" t="s">
        <v>516</v>
      </c>
      <c r="M18" s="527"/>
    </row>
    <row r="19" ht="24" spans="1:12">
      <c r="A19" s="489" t="s">
        <v>5252</v>
      </c>
      <c r="B19" s="478" t="s">
        <v>5253</v>
      </c>
      <c r="C19" s="485"/>
      <c r="D19" s="485"/>
      <c r="E19" s="487" t="s">
        <v>5254</v>
      </c>
      <c r="F19" s="465"/>
      <c r="G19" s="475">
        <v>2070745.9</v>
      </c>
      <c r="H19" s="476" t="s">
        <v>5219</v>
      </c>
      <c r="I19" s="475">
        <v>7675.99</v>
      </c>
      <c r="J19" s="475">
        <v>441249.62</v>
      </c>
      <c r="K19" s="475">
        <v>418749.16</v>
      </c>
      <c r="L19" s="475">
        <f>I19+J19-K19</f>
        <v>30176.45</v>
      </c>
    </row>
    <row r="20" spans="1:12">
      <c r="A20" s="482" t="s">
        <v>5255</v>
      </c>
      <c r="B20" s="478" t="s">
        <v>5256</v>
      </c>
      <c r="C20" s="485"/>
      <c r="D20" s="485"/>
      <c r="E20" s="487" t="s">
        <v>5257</v>
      </c>
      <c r="F20" s="465"/>
      <c r="G20" s="475">
        <f>审定现流表!D2</f>
        <v>-10750015.27</v>
      </c>
      <c r="H20" s="476" t="s">
        <v>333</v>
      </c>
      <c r="I20" s="475">
        <v>1398888.37</v>
      </c>
      <c r="J20" s="475">
        <v>426019099.37</v>
      </c>
      <c r="K20" s="475">
        <v>359391428.44</v>
      </c>
      <c r="L20" s="475">
        <f t="shared" ref="L20:L22" si="2">I20+J20-K20</f>
        <v>68026559.3</v>
      </c>
    </row>
    <row r="21" ht="20.1" customHeight="1" spans="1:12">
      <c r="A21" s="486" t="s">
        <v>5258</v>
      </c>
      <c r="B21" s="478" t="s">
        <v>5259</v>
      </c>
      <c r="C21" s="485"/>
      <c r="D21" s="485"/>
      <c r="E21" s="487"/>
      <c r="F21" s="465"/>
      <c r="G21" s="475">
        <f>G20+G19</f>
        <v>-8679269.37</v>
      </c>
      <c r="H21" s="476" t="s">
        <v>196</v>
      </c>
      <c r="I21" s="475">
        <f>I20+I19</f>
        <v>1406564.36</v>
      </c>
      <c r="J21" s="475">
        <f t="shared" ref="J21:K21" si="3">J20+J19</f>
        <v>426460348.99</v>
      </c>
      <c r="K21" s="475">
        <f t="shared" si="3"/>
        <v>359810177.6</v>
      </c>
      <c r="L21" s="475">
        <f t="shared" si="2"/>
        <v>68056735.75</v>
      </c>
    </row>
    <row r="22" ht="23.25" customHeight="1" spans="1:12">
      <c r="A22" s="489" t="s">
        <v>5260</v>
      </c>
      <c r="B22" s="478" t="s">
        <v>5261</v>
      </c>
      <c r="C22" s="485"/>
      <c r="D22" s="485"/>
      <c r="E22" s="487" t="s">
        <v>5262</v>
      </c>
      <c r="F22" s="465"/>
      <c r="G22" s="475"/>
      <c r="H22" s="476" t="s">
        <v>5227</v>
      </c>
      <c r="I22" s="475"/>
      <c r="J22" s="475">
        <f>159492285.02+1000</f>
        <v>159493285.02</v>
      </c>
      <c r="K22" s="475">
        <f>159492285.02+1000</f>
        <v>159493285.02</v>
      </c>
      <c r="L22" s="475">
        <f t="shared" si="2"/>
        <v>0</v>
      </c>
    </row>
    <row r="23" ht="20.1" customHeight="1" spans="1:12">
      <c r="A23" s="489" t="s">
        <v>4638</v>
      </c>
      <c r="B23" s="478"/>
      <c r="C23" s="485"/>
      <c r="D23" s="485"/>
      <c r="E23" s="487"/>
      <c r="F23" s="465"/>
      <c r="H23" s="476" t="s">
        <v>5230</v>
      </c>
      <c r="I23" s="475"/>
      <c r="J23" s="475">
        <f>J21-J22</f>
        <v>266967063.97</v>
      </c>
      <c r="K23" s="475">
        <f>K21-K22</f>
        <v>200316892.58</v>
      </c>
      <c r="L23" s="475"/>
    </row>
    <row r="24" ht="24.75" customHeight="1" spans="1:12">
      <c r="A24" s="490" t="s">
        <v>5263</v>
      </c>
      <c r="B24" s="491"/>
      <c r="C24" s="492">
        <f>SUM(C8:C15)-SUM(C15:C23)</f>
        <v>62951641.5</v>
      </c>
      <c r="D24" s="492">
        <f>SUM(D8:D15)-SUM(D15:D23)</f>
        <v>74488153.82</v>
      </c>
      <c r="E24" s="493"/>
      <c r="F24" s="465" t="s">
        <v>5264</v>
      </c>
      <c r="H24" s="476" t="s">
        <v>5233</v>
      </c>
      <c r="I24" s="475"/>
      <c r="J24" s="475"/>
      <c r="K24" s="475"/>
      <c r="L24" s="475"/>
    </row>
    <row r="25" ht="20.1" customHeight="1" spans="1:12">
      <c r="A25" s="494" t="s">
        <v>5265</v>
      </c>
      <c r="B25" s="495"/>
      <c r="C25" s="496"/>
      <c r="D25" s="496">
        <f>'[48]审定表2014-2015'!F8</f>
        <v>0</v>
      </c>
      <c r="E25" s="493"/>
      <c r="F25" s="465"/>
      <c r="H25" s="476" t="s">
        <v>5236</v>
      </c>
      <c r="I25" s="475"/>
      <c r="J25" s="475">
        <f>(D24+D37+D52+D149+D160+D171+D196+D206+D282+D292+D301)</f>
        <v>200545431.1</v>
      </c>
      <c r="K25" s="475">
        <f>(D84+D98+D111+D135+D223+D235+D260+D271+D314+D327+D338)</f>
        <v>120541091.63</v>
      </c>
      <c r="L25" s="475"/>
    </row>
    <row r="26" ht="20.1" customHeight="1" spans="1:12">
      <c r="A26" s="497" t="s">
        <v>5266</v>
      </c>
      <c r="B26" s="495"/>
      <c r="C26" s="496">
        <f>C24-C25</f>
        <v>62951641.5</v>
      </c>
      <c r="D26" s="496">
        <f>D24-D25</f>
        <v>74488153.82</v>
      </c>
      <c r="E26" s="493"/>
      <c r="F26" s="465"/>
      <c r="H26" s="457" t="s">
        <v>5239</v>
      </c>
      <c r="I26" s="475"/>
      <c r="J26" s="475">
        <f>J23-J25</f>
        <v>66421632.87</v>
      </c>
      <c r="K26" s="475">
        <f>K23-K25</f>
        <v>79775800.95</v>
      </c>
      <c r="L26" s="475"/>
    </row>
    <row r="27" ht="20.1" customHeight="1" spans="1:12">
      <c r="A27" s="498" t="s">
        <v>5267</v>
      </c>
      <c r="B27" s="499"/>
      <c r="C27" s="500"/>
      <c r="D27" s="500"/>
      <c r="E27" s="501"/>
      <c r="F27" s="465"/>
      <c r="H27" s="457"/>
      <c r="I27" s="525"/>
      <c r="J27" s="475"/>
      <c r="K27" s="475"/>
      <c r="L27" s="475"/>
    </row>
    <row r="28" ht="20.1" customHeight="1" spans="1:12">
      <c r="A28" s="502"/>
      <c r="B28" s="502"/>
      <c r="C28" s="503"/>
      <c r="D28" s="503"/>
      <c r="E28" s="504"/>
      <c r="F28" s="465"/>
      <c r="H28" s="457"/>
      <c r="I28" s="525"/>
      <c r="J28" s="475"/>
      <c r="K28" s="475"/>
      <c r="L28" s="475"/>
    </row>
    <row r="29" ht="20.1" customHeight="1" spans="1:12">
      <c r="A29" s="505" t="s">
        <v>5268</v>
      </c>
      <c r="B29" s="505"/>
      <c r="C29" s="505"/>
      <c r="D29" s="505"/>
      <c r="E29" s="505"/>
      <c r="F29" s="465"/>
      <c r="H29" s="457"/>
      <c r="J29" s="475"/>
      <c r="K29" s="475"/>
      <c r="L29" s="475"/>
    </row>
    <row r="30" ht="20.1" customHeight="1" spans="1:12">
      <c r="A30" s="472" t="s">
        <v>1861</v>
      </c>
      <c r="B30" s="473"/>
      <c r="C30" s="473" t="s">
        <v>1862</v>
      </c>
      <c r="D30" s="473" t="s">
        <v>1863</v>
      </c>
      <c r="E30" s="474" t="s">
        <v>5269</v>
      </c>
      <c r="F30" s="465"/>
      <c r="H30" s="457"/>
      <c r="J30" s="475"/>
      <c r="K30" s="475"/>
      <c r="L30" s="475"/>
    </row>
    <row r="31" ht="24" spans="1:12">
      <c r="A31" s="506" t="s">
        <v>5270</v>
      </c>
      <c r="B31" s="478" t="s">
        <v>5221</v>
      </c>
      <c r="C31" s="485">
        <v>715762.64</v>
      </c>
      <c r="D31" s="485"/>
      <c r="E31" s="480" t="s">
        <v>5271</v>
      </c>
      <c r="F31" s="465"/>
      <c r="H31" s="457"/>
      <c r="J31" s="475"/>
      <c r="K31" s="475"/>
      <c r="L31" s="475"/>
    </row>
    <row r="32" ht="24" spans="1:12">
      <c r="A32" s="506" t="s">
        <v>5272</v>
      </c>
      <c r="B32" s="478" t="s">
        <v>5223</v>
      </c>
      <c r="C32" s="485"/>
      <c r="D32" s="485"/>
      <c r="E32" s="480" t="s">
        <v>5271</v>
      </c>
      <c r="F32" s="465"/>
      <c r="H32" s="457"/>
      <c r="J32" s="475"/>
      <c r="K32" s="475"/>
      <c r="L32" s="475"/>
    </row>
    <row r="33" ht="24" spans="1:12">
      <c r="A33" s="506" t="s">
        <v>5273</v>
      </c>
      <c r="B33" s="478" t="s">
        <v>5225</v>
      </c>
      <c r="C33" s="485"/>
      <c r="D33" s="485"/>
      <c r="E33" s="480" t="s">
        <v>5271</v>
      </c>
      <c r="F33" s="465"/>
      <c r="H33" s="457"/>
      <c r="J33" s="475"/>
      <c r="K33" s="475"/>
      <c r="L33" s="475"/>
    </row>
    <row r="34" ht="24" spans="1:12">
      <c r="A34" s="506" t="s">
        <v>5274</v>
      </c>
      <c r="B34" s="478" t="s">
        <v>5229</v>
      </c>
      <c r="C34" s="485"/>
      <c r="D34" s="485"/>
      <c r="E34" s="480" t="s">
        <v>5271</v>
      </c>
      <c r="F34" s="465"/>
      <c r="H34" s="457"/>
      <c r="J34" s="475"/>
      <c r="K34" s="475"/>
      <c r="L34" s="475"/>
    </row>
    <row r="35" ht="24" spans="1:12">
      <c r="A35" s="506" t="s">
        <v>5275</v>
      </c>
      <c r="B35" s="478" t="s">
        <v>5232</v>
      </c>
      <c r="C35" s="485"/>
      <c r="D35" s="485"/>
      <c r="E35" s="480" t="s">
        <v>5271</v>
      </c>
      <c r="F35" s="465"/>
      <c r="H35" s="457"/>
      <c r="J35" s="475"/>
      <c r="K35" s="475"/>
      <c r="L35" s="475"/>
    </row>
    <row r="36" ht="20.1" customHeight="1" spans="1:12">
      <c r="A36" s="506" t="s">
        <v>5276</v>
      </c>
      <c r="B36" s="478" t="s">
        <v>5235</v>
      </c>
      <c r="C36" s="485"/>
      <c r="D36" s="485"/>
      <c r="E36" s="507"/>
      <c r="F36" s="465"/>
      <c r="H36" s="457"/>
      <c r="J36" s="475"/>
      <c r="K36" s="475"/>
      <c r="L36" s="475"/>
    </row>
    <row r="37" ht="20.1" customHeight="1" spans="1:12">
      <c r="A37" s="508" t="s">
        <v>5277</v>
      </c>
      <c r="B37" s="494"/>
      <c r="C37" s="496">
        <f>SUM(C31:C36)</f>
        <v>715762.64</v>
      </c>
      <c r="D37" s="496">
        <f>SUM(D31:D36)</f>
        <v>0</v>
      </c>
      <c r="E37" s="493"/>
      <c r="F37" s="465"/>
      <c r="H37" s="457"/>
      <c r="J37" s="475"/>
      <c r="K37" s="475"/>
      <c r="L37" s="475"/>
    </row>
    <row r="38" ht="20.1" customHeight="1" spans="1:12">
      <c r="A38" s="494" t="s">
        <v>5265</v>
      </c>
      <c r="B38" s="495"/>
      <c r="C38" s="496"/>
      <c r="D38" s="496"/>
      <c r="E38" s="493"/>
      <c r="F38" s="465"/>
      <c r="H38" s="457"/>
      <c r="J38" s="475"/>
      <c r="K38" s="475"/>
      <c r="L38" s="475"/>
    </row>
    <row r="39" ht="20.1" customHeight="1" spans="1:12">
      <c r="A39" s="497" t="s">
        <v>5266</v>
      </c>
      <c r="B39" s="495"/>
      <c r="C39" s="496">
        <f>C37-C38</f>
        <v>715762.64</v>
      </c>
      <c r="D39" s="496">
        <f>D37-D38</f>
        <v>0</v>
      </c>
      <c r="E39" s="493"/>
      <c r="F39" s="465"/>
      <c r="H39" s="457"/>
      <c r="J39" s="475"/>
      <c r="K39" s="475"/>
      <c r="L39" s="475"/>
    </row>
    <row r="40" ht="20.1" customHeight="1" spans="1:12">
      <c r="A40" s="498" t="s">
        <v>5267</v>
      </c>
      <c r="B40" s="499"/>
      <c r="C40" s="500"/>
      <c r="D40" s="500"/>
      <c r="E40" s="501"/>
      <c r="F40" s="465"/>
      <c r="H40" s="457"/>
      <c r="J40" s="475"/>
      <c r="K40" s="475"/>
      <c r="L40" s="475"/>
    </row>
    <row r="41" ht="20.1" customHeight="1" spans="1:12">
      <c r="A41" s="502"/>
      <c r="B41" s="502"/>
      <c r="C41" s="503"/>
      <c r="D41" s="503"/>
      <c r="E41" s="504"/>
      <c r="F41" s="465"/>
      <c r="H41" s="457"/>
      <c r="J41" s="475"/>
      <c r="K41" s="475"/>
      <c r="L41" s="475"/>
    </row>
    <row r="42" ht="20.1" customHeight="1" spans="1:12">
      <c r="A42" s="509" t="s">
        <v>5278</v>
      </c>
      <c r="B42" s="505"/>
      <c r="C42" s="505"/>
      <c r="D42" s="505"/>
      <c r="E42" s="505"/>
      <c r="F42" s="465"/>
      <c r="H42" s="457"/>
      <c r="J42" s="475"/>
      <c r="K42" s="475"/>
      <c r="L42" s="475"/>
    </row>
    <row r="43" ht="20.1" customHeight="1" spans="1:12">
      <c r="A43" s="472" t="s">
        <v>1861</v>
      </c>
      <c r="B43" s="473"/>
      <c r="C43" s="473" t="s">
        <v>1862</v>
      </c>
      <c r="D43" s="473" t="s">
        <v>1863</v>
      </c>
      <c r="E43" s="474" t="s">
        <v>5269</v>
      </c>
      <c r="F43" s="465"/>
      <c r="H43" s="457"/>
      <c r="J43" s="475"/>
      <c r="K43" s="475"/>
      <c r="L43" s="475"/>
    </row>
    <row r="44" ht="20.1" customHeight="1" spans="1:12">
      <c r="A44" s="506" t="s">
        <v>5279</v>
      </c>
      <c r="B44" s="478" t="s">
        <v>5221</v>
      </c>
      <c r="C44" s="485"/>
      <c r="D44" s="485"/>
      <c r="E44" s="507"/>
      <c r="F44" s="465"/>
      <c r="H44" s="457"/>
      <c r="J44" s="475"/>
      <c r="K44" s="475"/>
      <c r="L44" s="475"/>
    </row>
    <row r="45" ht="20.1" customHeight="1" spans="1:12">
      <c r="A45" s="506" t="s">
        <v>5280</v>
      </c>
      <c r="B45" s="478" t="s">
        <v>5223</v>
      </c>
      <c r="C45" s="485"/>
      <c r="D45" s="485"/>
      <c r="E45" s="510" t="s">
        <v>5281</v>
      </c>
      <c r="F45" s="465"/>
      <c r="H45" s="457"/>
      <c r="J45" s="475"/>
      <c r="K45" s="475"/>
      <c r="L45" s="475"/>
    </row>
    <row r="46" ht="20.1" customHeight="1" spans="1:12">
      <c r="A46" s="506" t="s">
        <v>5282</v>
      </c>
      <c r="B46" s="478" t="s">
        <v>5225</v>
      </c>
      <c r="C46" s="485"/>
      <c r="D46" s="485"/>
      <c r="E46" s="510" t="s">
        <v>5283</v>
      </c>
      <c r="F46" s="465"/>
      <c r="H46" s="457"/>
      <c r="J46" s="475"/>
      <c r="K46" s="475"/>
      <c r="L46" s="475"/>
    </row>
    <row r="47" ht="20.1" customHeight="1" spans="1:12">
      <c r="A47" s="506" t="s">
        <v>5284</v>
      </c>
      <c r="B47" s="478" t="s">
        <v>5229</v>
      </c>
      <c r="C47" s="479">
        <f>-报表附注!F2735</f>
        <v>1112994.49</v>
      </c>
      <c r="D47" s="479">
        <f>-报表附注!G2735</f>
        <v>7053316.31</v>
      </c>
      <c r="E47" s="507" t="s">
        <v>5284</v>
      </c>
      <c r="F47" s="465">
        <v>6603.02</v>
      </c>
      <c r="H47" s="457"/>
      <c r="J47" s="475"/>
      <c r="K47" s="475"/>
      <c r="L47" s="475"/>
    </row>
    <row r="48" ht="20.1" customHeight="1" spans="1:12">
      <c r="A48" s="511" t="s">
        <v>5285</v>
      </c>
      <c r="B48" s="478" t="s">
        <v>5232</v>
      </c>
      <c r="C48" s="485"/>
      <c r="D48" s="485"/>
      <c r="E48" s="507"/>
      <c r="F48" s="512"/>
      <c r="G48" s="513"/>
      <c r="H48" s="457"/>
      <c r="J48" s="475"/>
      <c r="K48" s="475"/>
      <c r="L48" s="475"/>
    </row>
    <row r="49" ht="20.1" customHeight="1" spans="1:12">
      <c r="A49" s="506" t="s">
        <v>5286</v>
      </c>
      <c r="B49" s="478" t="s">
        <v>5235</v>
      </c>
      <c r="C49" s="485"/>
      <c r="D49" s="485"/>
      <c r="E49" s="510" t="s">
        <v>5287</v>
      </c>
      <c r="F49" s="514"/>
      <c r="G49" s="513"/>
      <c r="H49" s="457"/>
      <c r="J49" s="475"/>
      <c r="K49" s="475"/>
      <c r="L49" s="475"/>
    </row>
    <row r="50" ht="20.1" customHeight="1" spans="1:12">
      <c r="A50" s="511" t="s">
        <v>5288</v>
      </c>
      <c r="B50" s="478" t="s">
        <v>5289</v>
      </c>
      <c r="C50" s="485">
        <v>352784</v>
      </c>
      <c r="D50" s="485"/>
      <c r="E50" s="510"/>
      <c r="F50" s="515"/>
      <c r="G50" s="476"/>
      <c r="H50" s="457"/>
      <c r="J50" s="475"/>
      <c r="K50" s="475"/>
      <c r="L50" s="475"/>
    </row>
    <row r="51" ht="20.1" customHeight="1" spans="1:12">
      <c r="A51" s="511" t="s">
        <v>4291</v>
      </c>
      <c r="B51" s="478" t="s">
        <v>5290</v>
      </c>
      <c r="C51" s="485">
        <v>6450000</v>
      </c>
      <c r="D51" s="485">
        <v>91996960.97</v>
      </c>
      <c r="E51" s="510"/>
      <c r="F51" s="475"/>
      <c r="G51" s="476"/>
      <c r="H51" s="457"/>
      <c r="J51" s="475"/>
      <c r="K51" s="475"/>
      <c r="L51" s="475"/>
    </row>
    <row r="52" ht="20.1" customHeight="1" spans="1:12">
      <c r="A52" s="508" t="s">
        <v>5291</v>
      </c>
      <c r="B52" s="494"/>
      <c r="C52" s="496">
        <f>SUM(C44:C51)</f>
        <v>7915778.49</v>
      </c>
      <c r="D52" s="496">
        <f>SUM(D44:D51)</f>
        <v>99050277.28</v>
      </c>
      <c r="E52" s="493"/>
      <c r="F52" s="475"/>
      <c r="G52" s="476"/>
      <c r="H52" s="457"/>
      <c r="J52" s="475"/>
      <c r="K52" s="475"/>
      <c r="L52" s="475"/>
    </row>
    <row r="53" ht="20.1" customHeight="1" spans="1:12">
      <c r="A53" s="494" t="s">
        <v>5265</v>
      </c>
      <c r="B53" s="495"/>
      <c r="C53" s="496"/>
      <c r="D53" s="496"/>
      <c r="E53" s="493"/>
      <c r="F53" s="516"/>
      <c r="G53" s="476"/>
      <c r="H53" s="457"/>
      <c r="J53" s="475"/>
      <c r="K53" s="475"/>
      <c r="L53" s="475"/>
    </row>
    <row r="54" ht="20.1" customHeight="1" spans="1:12">
      <c r="A54" s="497" t="s">
        <v>5266</v>
      </c>
      <c r="B54" s="495"/>
      <c r="C54" s="496">
        <f>C52-C53</f>
        <v>7915778.49</v>
      </c>
      <c r="D54" s="496">
        <f>D52-D53</f>
        <v>99050277.28</v>
      </c>
      <c r="E54" s="493"/>
      <c r="F54" s="517"/>
      <c r="G54" s="513"/>
      <c r="H54" s="457"/>
      <c r="J54" s="475"/>
      <c r="K54" s="475"/>
      <c r="L54" s="475"/>
    </row>
    <row r="55" ht="20.1" customHeight="1" spans="1:12">
      <c r="A55" s="498" t="s">
        <v>5267</v>
      </c>
      <c r="B55" s="499"/>
      <c r="C55" s="500"/>
      <c r="D55" s="500"/>
      <c r="E55" s="501"/>
      <c r="F55" s="516"/>
      <c r="G55" s="513"/>
      <c r="H55" s="457"/>
      <c r="J55" s="475"/>
      <c r="K55" s="475"/>
      <c r="L55" s="475"/>
    </row>
    <row r="56" ht="20.1" customHeight="1" spans="1:12">
      <c r="A56" s="518"/>
      <c r="B56" s="518"/>
      <c r="C56" s="519"/>
      <c r="D56" s="519"/>
      <c r="E56" s="520"/>
      <c r="F56" s="516"/>
      <c r="G56" s="513"/>
      <c r="H56" s="457"/>
      <c r="J56" s="475"/>
      <c r="K56" s="475"/>
      <c r="L56" s="475"/>
    </row>
    <row r="57" ht="20.1" customHeight="1" spans="5:12">
      <c r="E57" s="521"/>
      <c r="F57" s="516"/>
      <c r="H57" s="457"/>
      <c r="J57" s="475"/>
      <c r="K57" s="475"/>
      <c r="L57" s="475"/>
    </row>
    <row r="58" ht="20.1" customHeight="1" spans="1:12">
      <c r="A58" s="522" t="s">
        <v>5292</v>
      </c>
      <c r="B58" s="522"/>
      <c r="C58" s="522"/>
      <c r="D58" s="522"/>
      <c r="E58" s="522"/>
      <c r="F58" s="516"/>
      <c r="H58" s="457"/>
      <c r="J58" s="475"/>
      <c r="K58" s="475"/>
      <c r="L58" s="475"/>
    </row>
    <row r="59" ht="20.1" customHeight="1" spans="1:12">
      <c r="A59" s="467" t="s">
        <v>5293</v>
      </c>
      <c r="B59" s="468"/>
      <c r="C59" s="468"/>
      <c r="D59" s="468"/>
      <c r="E59" s="469"/>
      <c r="F59" s="516"/>
      <c r="H59" s="457"/>
      <c r="J59" s="475"/>
      <c r="K59" s="475"/>
      <c r="L59" s="475"/>
    </row>
    <row r="60" ht="20.1" customHeight="1" spans="1:12">
      <c r="A60" s="472" t="s">
        <v>1861</v>
      </c>
      <c r="B60" s="473"/>
      <c r="C60" s="473" t="s">
        <v>1862</v>
      </c>
      <c r="D60" s="473" t="s">
        <v>1863</v>
      </c>
      <c r="E60" s="474" t="s">
        <v>5269</v>
      </c>
      <c r="F60" s="516"/>
      <c r="H60" s="457"/>
      <c r="J60" s="475"/>
      <c r="K60" s="475"/>
      <c r="L60" s="475"/>
    </row>
    <row r="61" ht="20.1" customHeight="1" spans="1:12">
      <c r="A61" s="482" t="s">
        <v>5294</v>
      </c>
      <c r="B61" s="478" t="s">
        <v>5221</v>
      </c>
      <c r="C61" s="479">
        <f>审定利润表!C7</f>
        <v>65501451.94</v>
      </c>
      <c r="D61" s="479">
        <f>审定利润表!D7</f>
        <v>29364509.85</v>
      </c>
      <c r="E61" s="493"/>
      <c r="F61" s="516"/>
      <c r="H61" s="457"/>
      <c r="J61" s="475"/>
      <c r="K61" s="475"/>
      <c r="L61" s="475"/>
    </row>
    <row r="62" ht="20.1" customHeight="1" spans="1:12">
      <c r="A62" s="523" t="s">
        <v>5295</v>
      </c>
      <c r="B62" s="478" t="s">
        <v>5223</v>
      </c>
      <c r="C62" s="479">
        <f>报表附注!H1309</f>
        <v>55162770.71</v>
      </c>
      <c r="D62" s="479">
        <f>[43]报表附注!$H$1309</f>
        <v>5410719.3</v>
      </c>
      <c r="E62" s="524"/>
      <c r="F62" s="516"/>
      <c r="H62" s="457"/>
      <c r="J62" s="475"/>
      <c r="K62" s="475"/>
      <c r="L62" s="475"/>
    </row>
    <row r="63" ht="20.1" customHeight="1" spans="1:12">
      <c r="A63" s="482" t="s">
        <v>5296</v>
      </c>
      <c r="B63" s="478" t="s">
        <v>5225</v>
      </c>
      <c r="C63" s="485">
        <v>5475240.61</v>
      </c>
      <c r="D63" s="485">
        <v>1199874.69</v>
      </c>
      <c r="E63" s="524"/>
      <c r="F63" s="516"/>
      <c r="H63" s="457"/>
      <c r="J63" s="475"/>
      <c r="K63" s="475"/>
      <c r="L63" s="475"/>
    </row>
    <row r="64" ht="20.1" customHeight="1" spans="1:12">
      <c r="A64" s="482" t="s">
        <v>5297</v>
      </c>
      <c r="B64" s="478" t="s">
        <v>5229</v>
      </c>
      <c r="C64" s="479">
        <f>审定资负表!C15-审定资负表!D15</f>
        <v>22135644.94</v>
      </c>
      <c r="D64" s="479">
        <f>[43]审定资负表!$C$15-[43]审定资负表!$D$15</f>
        <v>-1647900.77</v>
      </c>
      <c r="E64" s="524"/>
      <c r="F64" s="516"/>
      <c r="H64" s="457"/>
      <c r="J64" s="475"/>
      <c r="K64" s="475"/>
      <c r="L64" s="475"/>
    </row>
    <row r="65" ht="20.1" customHeight="1" spans="1:12">
      <c r="A65" s="482" t="s">
        <v>5298</v>
      </c>
      <c r="B65" s="478" t="s">
        <v>5232</v>
      </c>
      <c r="C65" s="485"/>
      <c r="D65" s="485">
        <f>[43]报表附注!$G$1731</f>
        <v>432021.28</v>
      </c>
      <c r="E65" s="528"/>
      <c r="F65" s="516"/>
      <c r="H65" s="457"/>
      <c r="J65" s="475"/>
      <c r="K65" s="475"/>
      <c r="L65" s="475"/>
    </row>
    <row r="66" ht="24" spans="1:12">
      <c r="A66" s="523" t="s">
        <v>5299</v>
      </c>
      <c r="B66" s="478" t="s">
        <v>5235</v>
      </c>
      <c r="C66" s="485"/>
      <c r="D66" s="485"/>
      <c r="E66" s="529"/>
      <c r="F66" s="514"/>
      <c r="H66" s="457"/>
      <c r="J66" s="475"/>
      <c r="K66" s="475"/>
      <c r="L66" s="475"/>
    </row>
    <row r="67" ht="24.75" spans="1:12">
      <c r="A67" s="482" t="s">
        <v>5300</v>
      </c>
      <c r="B67" s="478" t="s">
        <v>5238</v>
      </c>
      <c r="C67" s="485"/>
      <c r="D67" s="485"/>
      <c r="E67" s="480" t="s">
        <v>5301</v>
      </c>
      <c r="F67" s="516"/>
      <c r="H67" s="457"/>
      <c r="J67" s="475"/>
      <c r="K67" s="475"/>
      <c r="L67" s="475"/>
    </row>
    <row r="68" spans="1:12">
      <c r="A68" s="482" t="s">
        <v>5302</v>
      </c>
      <c r="B68" s="478" t="s">
        <v>5241</v>
      </c>
      <c r="C68" s="485"/>
      <c r="D68" s="485"/>
      <c r="E68" s="483" t="s">
        <v>5303</v>
      </c>
      <c r="F68" s="514"/>
      <c r="H68" s="457"/>
      <c r="J68" s="475"/>
      <c r="K68" s="475"/>
      <c r="L68" s="475"/>
    </row>
    <row r="69" spans="1:12">
      <c r="A69" s="482" t="s">
        <v>5304</v>
      </c>
      <c r="B69" s="478" t="s">
        <v>5244</v>
      </c>
      <c r="C69" s="485">
        <f>报表附注!H1151</f>
        <v>11274664.38</v>
      </c>
      <c r="D69" s="485">
        <f>[43]报表附注!$H$1151</f>
        <v>10441696.28</v>
      </c>
      <c r="E69" s="483" t="s">
        <v>5305</v>
      </c>
      <c r="F69" s="475"/>
      <c r="G69" s="475"/>
      <c r="H69" s="457"/>
      <c r="J69" s="475"/>
      <c r="K69" s="475"/>
      <c r="L69" s="475"/>
    </row>
    <row r="70" ht="26.1" customHeight="1" spans="1:12">
      <c r="A70" s="523" t="s">
        <v>5306</v>
      </c>
      <c r="B70" s="478" t="s">
        <v>5247</v>
      </c>
      <c r="C70" s="530">
        <f>C61+C62+C63+C64+C65+C66-C67-C68-C69</f>
        <v>137000443.82</v>
      </c>
      <c r="D70" s="530">
        <f>D61+D62+D63+D64+D65+D66-D67-D68-D69</f>
        <v>24317528.07</v>
      </c>
      <c r="E70" s="480"/>
      <c r="F70" s="470"/>
      <c r="H70" s="457"/>
      <c r="J70" s="475"/>
      <c r="K70" s="475"/>
      <c r="L70" s="475"/>
    </row>
    <row r="71" ht="20.1" customHeight="1" spans="1:12">
      <c r="A71" s="482" t="s">
        <v>5307</v>
      </c>
      <c r="B71" s="478" t="s">
        <v>5250</v>
      </c>
      <c r="C71" s="479">
        <f>审定资负表!H10-审定资负表!G10</f>
        <v>-25338674.24</v>
      </c>
      <c r="D71" s="479">
        <f>[43]审定资负表!$H$10-[43]审定资负表!$G$10</f>
        <v>16229172.29</v>
      </c>
      <c r="E71" s="524"/>
      <c r="F71" s="465">
        <v>2202</v>
      </c>
      <c r="H71" s="457"/>
      <c r="J71" s="475"/>
      <c r="K71" s="475"/>
      <c r="L71" s="475"/>
    </row>
    <row r="72" ht="20.1" customHeight="1" spans="1:12">
      <c r="A72" s="482" t="s">
        <v>5308</v>
      </c>
      <c r="B72" s="478" t="s">
        <v>5253</v>
      </c>
      <c r="C72" s="479">
        <f>审定资负表!H9-审定资负表!G9</f>
        <v>2882889</v>
      </c>
      <c r="D72" s="479">
        <f>[43]审定资负表!$H$9-[43]审定资负表!$G$9</f>
        <v>-1801473.5</v>
      </c>
      <c r="E72" s="531"/>
      <c r="F72" s="465">
        <v>2201</v>
      </c>
      <c r="H72" s="475"/>
      <c r="J72" s="475"/>
      <c r="K72" s="475"/>
      <c r="L72" s="475"/>
    </row>
    <row r="73" ht="20.1" customHeight="1" spans="1:12">
      <c r="A73" s="482" t="s">
        <v>5309</v>
      </c>
      <c r="B73" s="478" t="s">
        <v>5256</v>
      </c>
      <c r="C73" s="479">
        <f>审定资负表!C11-审定资负表!D11</f>
        <v>-517041.43</v>
      </c>
      <c r="D73" s="479">
        <f>[43]审定资负表!$C$11-[43]审定资负表!$D$11</f>
        <v>1956687.88</v>
      </c>
      <c r="E73" s="493"/>
      <c r="F73" s="465">
        <v>1123</v>
      </c>
      <c r="G73" s="532"/>
      <c r="H73" s="475"/>
      <c r="J73" s="475"/>
      <c r="K73" s="475"/>
      <c r="L73" s="475"/>
    </row>
    <row r="74" ht="20.1" customHeight="1" spans="1:12">
      <c r="A74" s="482" t="s">
        <v>5310</v>
      </c>
      <c r="B74" s="478" t="s">
        <v>5259</v>
      </c>
      <c r="C74" s="485">
        <v>7919079.43</v>
      </c>
      <c r="D74" s="485">
        <v>6003170.91</v>
      </c>
      <c r="E74" s="493"/>
      <c r="F74" s="465"/>
      <c r="G74" s="532"/>
      <c r="H74" s="475"/>
      <c r="J74" s="475"/>
      <c r="K74" s="475"/>
      <c r="L74" s="475"/>
    </row>
    <row r="75" ht="20.1" customHeight="1" spans="1:12">
      <c r="A75" s="482" t="s">
        <v>5311</v>
      </c>
      <c r="B75" s="478" t="s">
        <v>5261</v>
      </c>
      <c r="C75" s="485"/>
      <c r="D75" s="485"/>
      <c r="E75" s="493"/>
      <c r="F75" s="465"/>
      <c r="G75" s="532"/>
      <c r="H75" s="475"/>
      <c r="J75" s="475"/>
      <c r="K75" s="475"/>
      <c r="L75" s="475"/>
    </row>
    <row r="76" ht="20.1" customHeight="1" spans="1:12">
      <c r="A76" s="482" t="s">
        <v>5312</v>
      </c>
      <c r="B76" s="478" t="s">
        <v>5313</v>
      </c>
      <c r="C76" s="485"/>
      <c r="D76" s="485"/>
      <c r="E76" s="493"/>
      <c r="F76" s="465"/>
      <c r="G76" s="532"/>
      <c r="H76" s="475"/>
      <c r="J76" s="475"/>
      <c r="K76" s="475"/>
      <c r="L76" s="475"/>
    </row>
    <row r="77" ht="20.1" customHeight="1" spans="1:12">
      <c r="A77" s="482" t="s">
        <v>5314</v>
      </c>
      <c r="B77" s="478" t="s">
        <v>5315</v>
      </c>
      <c r="C77" s="485"/>
      <c r="D77" s="485"/>
      <c r="E77" s="493"/>
      <c r="F77" s="465"/>
      <c r="H77" s="457"/>
      <c r="J77" s="475"/>
      <c r="K77" s="475"/>
      <c r="L77" s="475"/>
    </row>
    <row r="78" ht="26.1" customHeight="1" spans="1:12">
      <c r="A78" s="523" t="s">
        <v>5316</v>
      </c>
      <c r="B78" s="478" t="s">
        <v>5317</v>
      </c>
      <c r="C78" s="496">
        <f>C79+C80+C81</f>
        <v>0</v>
      </c>
      <c r="D78" s="496">
        <f>D79+D80+D81</f>
        <v>0</v>
      </c>
      <c r="E78" s="493"/>
      <c r="F78" s="465"/>
      <c r="H78" s="457"/>
      <c r="J78" s="475"/>
      <c r="K78" s="475"/>
      <c r="L78" s="475"/>
    </row>
    <row r="79" ht="20.1" customHeight="1" spans="1:12">
      <c r="A79" s="482" t="s">
        <v>5318</v>
      </c>
      <c r="B79" s="478" t="s">
        <v>5319</v>
      </c>
      <c r="C79" s="485"/>
      <c r="D79" s="485"/>
      <c r="E79" s="493"/>
      <c r="F79" s="465"/>
      <c r="H79" s="457"/>
      <c r="J79" s="475"/>
      <c r="K79" s="475"/>
      <c r="L79" s="475"/>
    </row>
    <row r="80" ht="20.1" customHeight="1" spans="1:12">
      <c r="A80" s="482" t="s">
        <v>5320</v>
      </c>
      <c r="B80" s="478" t="s">
        <v>5321</v>
      </c>
      <c r="C80" s="485"/>
      <c r="D80" s="485"/>
      <c r="E80" s="493"/>
      <c r="F80" s="465"/>
      <c r="H80" s="457"/>
      <c r="J80" s="475"/>
      <c r="K80" s="475"/>
      <c r="L80" s="475"/>
    </row>
    <row r="81" ht="20.1" customHeight="1" spans="1:12">
      <c r="A81" s="482" t="s">
        <v>5322</v>
      </c>
      <c r="B81" s="478" t="s">
        <v>5323</v>
      </c>
      <c r="C81" s="485"/>
      <c r="D81" s="485"/>
      <c r="E81" s="493"/>
      <c r="F81" s="465"/>
      <c r="H81" s="457"/>
      <c r="J81" s="475"/>
      <c r="K81" s="475"/>
      <c r="L81" s="475"/>
    </row>
    <row r="82" spans="1:12">
      <c r="A82" s="482" t="s">
        <v>5324</v>
      </c>
      <c r="B82" s="478" t="s">
        <v>5325</v>
      </c>
      <c r="C82" s="485"/>
      <c r="D82" s="485"/>
      <c r="E82" s="493"/>
      <c r="F82" s="465"/>
      <c r="H82" s="457"/>
      <c r="J82" s="475"/>
      <c r="K82" s="475"/>
      <c r="L82" s="475"/>
    </row>
    <row r="83" ht="20.1" customHeight="1" spans="1:12">
      <c r="A83" s="482" t="s">
        <v>4638</v>
      </c>
      <c r="B83" s="478"/>
      <c r="C83" s="533"/>
      <c r="D83" s="533"/>
      <c r="E83" s="507"/>
      <c r="F83" s="465"/>
      <c r="H83" s="457"/>
      <c r="J83" s="475"/>
      <c r="K83" s="475"/>
      <c r="L83" s="475"/>
    </row>
    <row r="84" ht="24.95" customHeight="1" spans="1:12">
      <c r="A84" s="490" t="s">
        <v>5326</v>
      </c>
      <c r="B84" s="491"/>
      <c r="C84" s="496">
        <f>SUM(C70:C74)-SUM(C75:C78)+C82</f>
        <v>121946696.58</v>
      </c>
      <c r="D84" s="496">
        <f>SUM(D70:D74)-SUM(D75:D78)+D82</f>
        <v>46705085.65</v>
      </c>
      <c r="E84" s="493"/>
      <c r="F84" s="465"/>
      <c r="H84" s="457"/>
      <c r="J84" s="475"/>
      <c r="K84" s="475"/>
      <c r="L84" s="475"/>
    </row>
    <row r="85" ht="20.1" customHeight="1" spans="1:12">
      <c r="A85" s="494" t="s">
        <v>5265</v>
      </c>
      <c r="B85" s="495"/>
      <c r="C85" s="496"/>
      <c r="D85" s="496"/>
      <c r="E85" s="493"/>
      <c r="F85" s="465"/>
      <c r="H85" s="457"/>
      <c r="J85" s="475"/>
      <c r="K85" s="475"/>
      <c r="L85" s="475"/>
    </row>
    <row r="86" ht="20.1" customHeight="1" spans="1:12">
      <c r="A86" s="497" t="s">
        <v>5266</v>
      </c>
      <c r="B86" s="495"/>
      <c r="C86" s="496">
        <f>C84-C85</f>
        <v>121946696.58</v>
      </c>
      <c r="D86" s="496">
        <f>D84-D85</f>
        <v>46705085.65</v>
      </c>
      <c r="E86" s="493"/>
      <c r="F86" s="465"/>
      <c r="G86" s="534"/>
      <c r="H86" s="457"/>
      <c r="J86" s="475"/>
      <c r="K86" s="475"/>
      <c r="L86" s="475"/>
    </row>
    <row r="87" ht="20.1" customHeight="1" spans="1:12">
      <c r="A87" s="498" t="s">
        <v>5267</v>
      </c>
      <c r="B87" s="499"/>
      <c r="C87" s="500"/>
      <c r="D87" s="500"/>
      <c r="E87" s="501"/>
      <c r="F87" s="465"/>
      <c r="H87" s="457"/>
      <c r="J87" s="475"/>
      <c r="K87" s="475"/>
      <c r="L87" s="475"/>
    </row>
    <row r="88" ht="20.1" customHeight="1" spans="1:12">
      <c r="A88" s="518"/>
      <c r="B88" s="518"/>
      <c r="C88" s="535"/>
      <c r="D88" s="535"/>
      <c r="E88" s="520"/>
      <c r="F88" s="465"/>
      <c r="H88" s="457"/>
      <c r="J88" s="475"/>
      <c r="K88" s="475"/>
      <c r="L88" s="475"/>
    </row>
    <row r="89" ht="20.1" customHeight="1" spans="1:12">
      <c r="A89" s="467" t="s">
        <v>5327</v>
      </c>
      <c r="B89" s="468"/>
      <c r="C89" s="468"/>
      <c r="D89" s="468"/>
      <c r="E89" s="469"/>
      <c r="F89" s="465"/>
      <c r="H89" s="457"/>
      <c r="J89" s="475"/>
      <c r="K89" s="475"/>
      <c r="L89" s="475"/>
    </row>
    <row r="90" ht="20.1" customHeight="1" spans="1:12">
      <c r="A90" s="472" t="s">
        <v>1861</v>
      </c>
      <c r="B90" s="473"/>
      <c r="C90" s="473" t="s">
        <v>1862</v>
      </c>
      <c r="D90" s="473" t="s">
        <v>1863</v>
      </c>
      <c r="E90" s="474" t="s">
        <v>5269</v>
      </c>
      <c r="F90" s="465"/>
      <c r="H90" s="457" t="s">
        <v>5328</v>
      </c>
      <c r="J90" s="475"/>
      <c r="K90" s="475"/>
      <c r="L90" s="475"/>
    </row>
    <row r="91" ht="24" spans="1:12">
      <c r="A91" s="489" t="s">
        <v>5329</v>
      </c>
      <c r="B91" s="478" t="s">
        <v>5221</v>
      </c>
      <c r="C91" s="479">
        <f>报表附注!G1980</f>
        <v>10581538.89</v>
      </c>
      <c r="D91" s="479">
        <f>[43]报表附注!$G$1980</f>
        <v>6831725.71</v>
      </c>
      <c r="E91" s="480"/>
      <c r="F91" s="465"/>
      <c r="G91" s="476"/>
      <c r="H91" s="475"/>
      <c r="J91" s="475"/>
      <c r="K91" s="475"/>
      <c r="L91" s="475"/>
    </row>
    <row r="92" ht="19.5" customHeight="1" spans="1:12">
      <c r="A92" s="506" t="s">
        <v>5330</v>
      </c>
      <c r="B92" s="478" t="s">
        <v>5223</v>
      </c>
      <c r="C92" s="479">
        <f>审定资负表!H12-审定资负表!G12</f>
        <v>-299509.99</v>
      </c>
      <c r="D92" s="479">
        <f>[43]审定资负表!$H$12-[43]审定资负表!$G$12</f>
        <v>-536951.31</v>
      </c>
      <c r="E92" s="507"/>
      <c r="F92" s="470" t="s">
        <v>5331</v>
      </c>
      <c r="G92" s="534"/>
      <c r="H92" s="457"/>
      <c r="J92" s="475"/>
      <c r="K92" s="475"/>
      <c r="L92" s="475"/>
    </row>
    <row r="93" ht="15.75" spans="1:12">
      <c r="A93" s="506" t="s">
        <v>5332</v>
      </c>
      <c r="B93" s="478" t="s">
        <v>5225</v>
      </c>
      <c r="C93" s="485"/>
      <c r="D93" s="485"/>
      <c r="E93" s="510" t="s">
        <v>5333</v>
      </c>
      <c r="F93" s="465"/>
      <c r="G93" s="525"/>
      <c r="H93" s="457"/>
      <c r="J93" s="475"/>
      <c r="K93" s="475"/>
      <c r="L93" s="475"/>
    </row>
    <row r="94" spans="1:12">
      <c r="A94" s="506" t="s">
        <v>5334</v>
      </c>
      <c r="B94" s="478" t="s">
        <v>5229</v>
      </c>
      <c r="C94" s="485"/>
      <c r="D94" s="485"/>
      <c r="E94" s="510"/>
      <c r="F94" s="465"/>
      <c r="H94" s="457"/>
      <c r="J94" s="475"/>
      <c r="K94" s="475"/>
      <c r="L94" s="475"/>
    </row>
    <row r="95" ht="20.1" customHeight="1" spans="1:12">
      <c r="A95" s="511" t="s">
        <v>5335</v>
      </c>
      <c r="B95" s="478" t="s">
        <v>5232</v>
      </c>
      <c r="C95" s="485">
        <f>报表附注!F2005-报表附注!I2005</f>
        <v>-53068.64</v>
      </c>
      <c r="D95" s="485">
        <f>[43]报表附注!$F$2005-[43]报表附注!$I$2005</f>
        <v>-505487.49</v>
      </c>
      <c r="E95" s="510" t="s">
        <v>5336</v>
      </c>
      <c r="F95" s="465"/>
      <c r="H95" s="457"/>
      <c r="J95" s="475"/>
      <c r="K95" s="475"/>
      <c r="L95" s="475"/>
    </row>
    <row r="96" ht="20.1" customHeight="1" spans="1:12">
      <c r="A96" s="506"/>
      <c r="B96" s="478"/>
      <c r="C96" s="485"/>
      <c r="D96" s="485"/>
      <c r="E96" s="507"/>
      <c r="F96" s="465"/>
      <c r="H96" s="457"/>
      <c r="J96" s="475"/>
      <c r="K96" s="475"/>
      <c r="L96" s="475"/>
    </row>
    <row r="97" ht="20.1" customHeight="1" spans="1:12">
      <c r="A97" s="506"/>
      <c r="B97" s="478"/>
      <c r="C97" s="485"/>
      <c r="D97" s="485"/>
      <c r="E97" s="507"/>
      <c r="F97" s="465"/>
      <c r="H97" s="457"/>
      <c r="J97" s="475"/>
      <c r="K97" s="475"/>
      <c r="L97" s="475"/>
    </row>
    <row r="98" ht="24.95" customHeight="1" spans="1:12">
      <c r="A98" s="490" t="s">
        <v>5337</v>
      </c>
      <c r="B98" s="491"/>
      <c r="C98" s="496">
        <f>C91+C92-C93-C94+C95</f>
        <v>10228960.26</v>
      </c>
      <c r="D98" s="496">
        <f>D91+D92-D93-D94+D95</f>
        <v>5789286.91</v>
      </c>
      <c r="E98" s="493"/>
      <c r="F98" s="536">
        <f>报表附注!H1980</f>
        <v>10282028.9</v>
      </c>
      <c r="G98" s="536">
        <v>6208934.4</v>
      </c>
      <c r="H98" s="457"/>
      <c r="J98" s="475"/>
      <c r="K98" s="475"/>
      <c r="L98" s="475"/>
    </row>
    <row r="99" ht="20.1" customHeight="1" spans="1:12">
      <c r="A99" s="494" t="s">
        <v>5265</v>
      </c>
      <c r="B99" s="495"/>
      <c r="C99" s="496"/>
      <c r="D99" s="496"/>
      <c r="E99" s="493"/>
      <c r="F99" s="536">
        <f>F98-C98</f>
        <v>53068.6400000006</v>
      </c>
      <c r="G99" s="536">
        <f>D98-G98</f>
        <v>-419647.49</v>
      </c>
      <c r="H99" s="457"/>
      <c r="J99" s="475"/>
      <c r="K99" s="475"/>
      <c r="L99" s="475"/>
    </row>
    <row r="100" ht="24" spans="1:12">
      <c r="A100" s="497" t="s">
        <v>5266</v>
      </c>
      <c r="B100" s="495"/>
      <c r="C100" s="496">
        <f>C98-C99</f>
        <v>10228960.26</v>
      </c>
      <c r="D100" s="496">
        <f>D98-D99</f>
        <v>5789286.91</v>
      </c>
      <c r="E100" s="537" t="s">
        <v>5338</v>
      </c>
      <c r="F100" s="536"/>
      <c r="G100" s="538"/>
      <c r="H100" s="457"/>
      <c r="J100" s="475"/>
      <c r="K100" s="475"/>
      <c r="L100" s="475"/>
    </row>
    <row r="101" ht="20.1" customHeight="1" spans="1:12">
      <c r="A101" s="498" t="s">
        <v>5267</v>
      </c>
      <c r="B101" s="499"/>
      <c r="C101" s="500"/>
      <c r="D101" s="500"/>
      <c r="E101" s="501"/>
      <c r="F101" s="465" t="s">
        <v>5264</v>
      </c>
      <c r="G101" s="538"/>
      <c r="H101" s="457"/>
      <c r="J101" s="475"/>
      <c r="K101" s="475"/>
      <c r="L101" s="475"/>
    </row>
    <row r="102" ht="20.1" customHeight="1" spans="1:12">
      <c r="A102" s="502"/>
      <c r="B102" s="502"/>
      <c r="C102" s="503"/>
      <c r="D102" s="503"/>
      <c r="E102" s="504"/>
      <c r="F102" s="465"/>
      <c r="G102" s="538"/>
      <c r="H102" s="457"/>
      <c r="J102" s="475"/>
      <c r="K102" s="475"/>
      <c r="L102" s="475"/>
    </row>
    <row r="103" ht="20.1" customHeight="1" spans="1:12">
      <c r="A103" s="467" t="s">
        <v>5339</v>
      </c>
      <c r="B103" s="468"/>
      <c r="C103" s="468"/>
      <c r="D103" s="468"/>
      <c r="E103" s="469"/>
      <c r="F103" s="465"/>
      <c r="H103" s="457"/>
      <c r="J103" s="475"/>
      <c r="K103" s="475"/>
      <c r="L103" s="475"/>
    </row>
    <row r="104" ht="20.1" customHeight="1" spans="1:12">
      <c r="A104" s="472" t="s">
        <v>1861</v>
      </c>
      <c r="B104" s="473"/>
      <c r="C104" s="473" t="s">
        <v>1862</v>
      </c>
      <c r="D104" s="473" t="s">
        <v>1863</v>
      </c>
      <c r="E104" s="474" t="s">
        <v>5269</v>
      </c>
      <c r="F104" s="516"/>
      <c r="H104" s="457"/>
      <c r="J104" s="475"/>
      <c r="K104" s="475"/>
      <c r="L104" s="475"/>
    </row>
    <row r="105" ht="20.1" customHeight="1" spans="1:12">
      <c r="A105" s="506" t="s">
        <v>5340</v>
      </c>
      <c r="B105" s="478" t="s">
        <v>5221</v>
      </c>
      <c r="C105" s="539">
        <v>2247419.19</v>
      </c>
      <c r="D105" s="539">
        <v>419106.53</v>
      </c>
      <c r="E105" s="540"/>
      <c r="F105" s="516"/>
      <c r="H105" s="457"/>
      <c r="J105" s="475"/>
      <c r="K105" s="475"/>
      <c r="L105" s="475"/>
    </row>
    <row r="106" ht="20.1" customHeight="1" spans="1:12">
      <c r="A106" s="506" t="s">
        <v>5341</v>
      </c>
      <c r="B106" s="478" t="s">
        <v>5223</v>
      </c>
      <c r="C106" s="539">
        <v>4011730.12</v>
      </c>
      <c r="D106" s="539">
        <v>2184787.52</v>
      </c>
      <c r="E106" s="541"/>
      <c r="F106" s="516"/>
      <c r="H106" s="457"/>
      <c r="J106" s="475"/>
      <c r="K106" s="475"/>
      <c r="L106" s="475"/>
    </row>
    <row r="107" ht="24.75" spans="1:12">
      <c r="A107" s="506" t="s">
        <v>5342</v>
      </c>
      <c r="B107" s="478" t="s">
        <v>5225</v>
      </c>
      <c r="C107" s="539"/>
      <c r="D107" s="539"/>
      <c r="E107" s="540"/>
      <c r="F107" s="516"/>
      <c r="H107" s="457"/>
      <c r="J107" s="475"/>
      <c r="K107" s="475"/>
      <c r="L107" s="475"/>
    </row>
    <row r="108" ht="20.1" customHeight="1" spans="1:12">
      <c r="A108" s="506" t="s">
        <v>5343</v>
      </c>
      <c r="B108" s="478" t="s">
        <v>5229</v>
      </c>
      <c r="C108" s="539"/>
      <c r="D108" s="539"/>
      <c r="E108" s="540"/>
      <c r="F108" s="516"/>
      <c r="H108" s="457"/>
      <c r="J108" s="475"/>
      <c r="K108" s="475"/>
      <c r="L108" s="475"/>
    </row>
    <row r="109" spans="1:12">
      <c r="A109" s="506" t="s">
        <v>5344</v>
      </c>
      <c r="B109" s="478" t="s">
        <v>5232</v>
      </c>
      <c r="C109" s="539"/>
      <c r="D109" s="539"/>
      <c r="E109" s="484"/>
      <c r="F109" s="516"/>
      <c r="H109" s="457"/>
      <c r="J109" s="475"/>
      <c r="K109" s="475"/>
      <c r="L109" s="475"/>
    </row>
    <row r="110" ht="20.1" customHeight="1" spans="1:13">
      <c r="A110" s="506" t="s">
        <v>4638</v>
      </c>
      <c r="B110" s="478" t="s">
        <v>5235</v>
      </c>
      <c r="C110" s="539"/>
      <c r="D110" s="539"/>
      <c r="E110" s="484"/>
      <c r="F110" s="516"/>
      <c r="H110" s="457"/>
      <c r="J110" s="475"/>
      <c r="K110" s="475"/>
      <c r="L110" s="475"/>
      <c r="M110" s="476"/>
    </row>
    <row r="111" ht="20.1" customHeight="1" spans="1:13">
      <c r="A111" s="508" t="s">
        <v>5345</v>
      </c>
      <c r="B111" s="494"/>
      <c r="C111" s="542">
        <f>C105+C106+C107-C108-C109</f>
        <v>6259149.31</v>
      </c>
      <c r="D111" s="542">
        <f>D105+D106+D107-D108-D109</f>
        <v>2603894.05</v>
      </c>
      <c r="E111" s="493"/>
      <c r="F111" s="543"/>
      <c r="H111" s="457"/>
      <c r="J111" s="475"/>
      <c r="K111" s="475"/>
      <c r="L111" s="475"/>
      <c r="M111" s="538"/>
    </row>
    <row r="112" ht="20.1" customHeight="1" spans="1:12">
      <c r="A112" s="494" t="s">
        <v>5265</v>
      </c>
      <c r="B112" s="495"/>
      <c r="C112" s="496"/>
      <c r="D112" s="496"/>
      <c r="E112" s="493"/>
      <c r="F112" s="514">
        <f>报表附注!H2017</f>
        <v>10592226.9</v>
      </c>
      <c r="G112" s="476" t="s">
        <v>5346</v>
      </c>
      <c r="H112" s="544">
        <f>[43]报表附注!$H$2017</f>
        <v>2421461.45</v>
      </c>
      <c r="J112" s="475"/>
      <c r="K112" s="475"/>
      <c r="L112" s="475"/>
    </row>
    <row r="113" ht="20.1" customHeight="1" spans="1:12">
      <c r="A113" s="497" t="s">
        <v>5266</v>
      </c>
      <c r="B113" s="495"/>
      <c r="C113" s="542">
        <f>C111-C112</f>
        <v>6259149.31</v>
      </c>
      <c r="D113" s="542">
        <f>D111-D112</f>
        <v>2603894.05</v>
      </c>
      <c r="E113" s="493"/>
      <c r="F113" s="514">
        <f>报表附注!H2005</f>
        <v>229922.93</v>
      </c>
      <c r="G113" s="476" t="s">
        <v>5347</v>
      </c>
      <c r="H113" s="544">
        <f>[43]报表附注!$H$2005</f>
        <v>86967.87</v>
      </c>
      <c r="J113" s="475"/>
      <c r="K113" s="475"/>
      <c r="L113" s="475"/>
    </row>
    <row r="114" ht="20.1" customHeight="1" spans="1:12">
      <c r="A114" s="498" t="s">
        <v>5267</v>
      </c>
      <c r="B114" s="499"/>
      <c r="C114" s="545"/>
      <c r="D114" s="545"/>
      <c r="E114" s="501"/>
      <c r="F114" s="536">
        <f>F112-F113-C111</f>
        <v>4103154.66</v>
      </c>
      <c r="G114" s="476" t="s">
        <v>1997</v>
      </c>
      <c r="H114" s="481">
        <f>D111-H112+H113</f>
        <v>269400.47</v>
      </c>
      <c r="J114" s="475"/>
      <c r="K114" s="475"/>
      <c r="L114" s="475"/>
    </row>
    <row r="115" ht="20.1" customHeight="1" spans="1:12">
      <c r="A115" s="518"/>
      <c r="B115" s="518"/>
      <c r="C115" s="519"/>
      <c r="D115" s="519"/>
      <c r="E115" s="520"/>
      <c r="F115" s="465" t="s">
        <v>5264</v>
      </c>
      <c r="H115" s="457"/>
      <c r="J115" s="475"/>
      <c r="K115" s="475"/>
      <c r="L115" s="475"/>
    </row>
    <row r="116" ht="20.1" customHeight="1" spans="1:12">
      <c r="A116" s="467" t="s">
        <v>5348</v>
      </c>
      <c r="B116" s="468"/>
      <c r="C116" s="468"/>
      <c r="D116" s="468"/>
      <c r="E116" s="469"/>
      <c r="F116" s="465"/>
      <c r="H116" s="457"/>
      <c r="J116" s="475"/>
      <c r="K116" s="475"/>
      <c r="L116" s="475"/>
    </row>
    <row r="117" ht="20.1" customHeight="1" spans="1:12">
      <c r="A117" s="472" t="s">
        <v>1861</v>
      </c>
      <c r="B117" s="473"/>
      <c r="C117" s="473" t="s">
        <v>1862</v>
      </c>
      <c r="D117" s="473" t="s">
        <v>1863</v>
      </c>
      <c r="E117" s="474" t="s">
        <v>5269</v>
      </c>
      <c r="F117" s="465"/>
      <c r="H117" s="457"/>
      <c r="J117" s="475"/>
      <c r="K117" s="475"/>
      <c r="L117" s="475"/>
    </row>
    <row r="118" ht="20.1" customHeight="1" spans="1:12">
      <c r="A118" s="506" t="s">
        <v>5349</v>
      </c>
      <c r="B118" s="478" t="s">
        <v>5221</v>
      </c>
      <c r="C118" s="546">
        <f>报表附注!F2736</f>
        <v>483646.96</v>
      </c>
      <c r="D118" s="546">
        <f>报表附注!G2736</f>
        <v>315433.67</v>
      </c>
      <c r="E118" s="484"/>
      <c r="F118" s="547" t="s">
        <v>4522</v>
      </c>
      <c r="G118" s="513"/>
      <c r="H118" s="457"/>
      <c r="J118" s="475"/>
      <c r="K118" s="475"/>
      <c r="L118" s="475"/>
    </row>
    <row r="119" ht="20.1" customHeight="1" spans="1:12">
      <c r="A119" s="506" t="s">
        <v>5350</v>
      </c>
      <c r="B119" s="478" t="s">
        <v>5223</v>
      </c>
      <c r="C119" s="546"/>
      <c r="D119" s="546"/>
      <c r="E119" s="483"/>
      <c r="F119" s="515">
        <v>5756259.26</v>
      </c>
      <c r="H119" s="457"/>
      <c r="J119" s="475"/>
      <c r="K119" s="475"/>
      <c r="L119" s="475"/>
    </row>
    <row r="120" ht="20.1" customHeight="1" spans="1:12">
      <c r="A120" s="506" t="s">
        <v>5351</v>
      </c>
      <c r="B120" s="478" t="s">
        <v>5225</v>
      </c>
      <c r="C120" s="546"/>
      <c r="D120" s="546">
        <v>10004667.79</v>
      </c>
      <c r="E120" s="480"/>
      <c r="F120" s="547" t="s">
        <v>5352</v>
      </c>
      <c r="G120" s="547" t="s">
        <v>5353</v>
      </c>
      <c r="H120" s="457"/>
      <c r="J120" s="475"/>
      <c r="K120" s="475"/>
      <c r="L120" s="475"/>
    </row>
    <row r="121" ht="20.1" customHeight="1" spans="1:12">
      <c r="A121" s="511" t="s">
        <v>5354</v>
      </c>
      <c r="B121" s="478" t="s">
        <v>5229</v>
      </c>
      <c r="C121" s="546"/>
      <c r="D121" s="546">
        <v>10800000</v>
      </c>
      <c r="E121" s="480"/>
      <c r="F121" s="475"/>
      <c r="G121" s="481">
        <v>5726025.2</v>
      </c>
      <c r="H121" s="544"/>
      <c r="J121" s="475"/>
      <c r="K121" s="475"/>
      <c r="L121" s="475"/>
    </row>
    <row r="122" ht="20.1" customHeight="1" spans="1:12">
      <c r="A122" s="506" t="s">
        <v>5355</v>
      </c>
      <c r="B122" s="478" t="s">
        <v>5232</v>
      </c>
      <c r="C122" s="546">
        <v>353184</v>
      </c>
      <c r="D122" s="546">
        <v>1450000</v>
      </c>
      <c r="E122" s="480"/>
      <c r="F122" s="481"/>
      <c r="G122" s="481"/>
      <c r="H122" s="457"/>
      <c r="J122" s="475"/>
      <c r="K122" s="475"/>
      <c r="L122" s="475"/>
    </row>
    <row r="123" ht="20.1" customHeight="1" spans="1:12">
      <c r="A123" s="506"/>
      <c r="B123" s="478" t="s">
        <v>5235</v>
      </c>
      <c r="C123" s="546"/>
      <c r="D123" s="546"/>
      <c r="E123" s="480"/>
      <c r="F123" s="532"/>
      <c r="H123" s="475"/>
      <c r="J123" s="475"/>
      <c r="K123" s="475"/>
      <c r="L123" s="475"/>
    </row>
    <row r="124" ht="20.1" customHeight="1" spans="1:12">
      <c r="A124" s="506"/>
      <c r="B124" s="478" t="s">
        <v>5238</v>
      </c>
      <c r="C124" s="546"/>
      <c r="D124" s="546"/>
      <c r="E124" s="480"/>
      <c r="F124" s="532"/>
      <c r="H124" s="475"/>
      <c r="J124" s="475"/>
      <c r="K124" s="475"/>
      <c r="L124" s="475"/>
    </row>
    <row r="125" ht="20.1" customHeight="1" spans="1:12">
      <c r="A125" s="506"/>
      <c r="B125" s="478" t="s">
        <v>5241</v>
      </c>
      <c r="C125" s="546"/>
      <c r="D125" s="546"/>
      <c r="E125" s="480"/>
      <c r="F125" s="532"/>
      <c r="H125" s="475"/>
      <c r="J125" s="475"/>
      <c r="K125" s="475"/>
      <c r="L125" s="475"/>
    </row>
    <row r="126" ht="20.1" customHeight="1" spans="1:12">
      <c r="A126" s="506"/>
      <c r="B126" s="478" t="s">
        <v>5244</v>
      </c>
      <c r="C126" s="546"/>
      <c r="D126" s="546"/>
      <c r="E126" s="480"/>
      <c r="F126" s="532"/>
      <c r="H126" s="544"/>
      <c r="J126" s="475"/>
      <c r="K126" s="475"/>
      <c r="L126" s="475"/>
    </row>
    <row r="127" ht="20.1" customHeight="1" spans="1:12">
      <c r="A127" s="506"/>
      <c r="B127" s="478" t="s">
        <v>5247</v>
      </c>
      <c r="C127" s="546"/>
      <c r="D127" s="546"/>
      <c r="E127" s="480"/>
      <c r="F127" s="532"/>
      <c r="H127" s="475"/>
      <c r="J127" s="475"/>
      <c r="K127" s="475"/>
      <c r="L127" s="475"/>
    </row>
    <row r="128" ht="20.1" customHeight="1" spans="1:12">
      <c r="A128" s="506"/>
      <c r="B128" s="478" t="s">
        <v>5250</v>
      </c>
      <c r="C128" s="546"/>
      <c r="D128" s="546"/>
      <c r="E128" s="480"/>
      <c r="F128" s="536"/>
      <c r="H128" s="457"/>
      <c r="J128" s="475"/>
      <c r="K128" s="475"/>
      <c r="L128" s="475"/>
    </row>
    <row r="129" ht="20.1" customHeight="1" spans="1:12">
      <c r="A129" s="506"/>
      <c r="B129" s="478" t="s">
        <v>5253</v>
      </c>
      <c r="C129" s="546"/>
      <c r="D129" s="546"/>
      <c r="E129" s="480"/>
      <c r="F129" s="536"/>
      <c r="H129" s="457"/>
      <c r="J129" s="475"/>
      <c r="K129" s="475"/>
      <c r="L129" s="475"/>
    </row>
    <row r="130" ht="20.1" customHeight="1" spans="1:12">
      <c r="A130" s="506"/>
      <c r="B130" s="478" t="s">
        <v>5256</v>
      </c>
      <c r="C130" s="546"/>
      <c r="D130" s="546"/>
      <c r="E130" s="480"/>
      <c r="F130" s="465"/>
      <c r="H130" s="457"/>
      <c r="J130" s="475"/>
      <c r="K130" s="475"/>
      <c r="L130" s="475"/>
    </row>
    <row r="131" ht="20.1" customHeight="1" spans="1:9">
      <c r="A131" s="506"/>
      <c r="B131" s="478" t="s">
        <v>5259</v>
      </c>
      <c r="C131" s="546"/>
      <c r="D131" s="546"/>
      <c r="E131" s="480"/>
      <c r="F131" s="465"/>
      <c r="H131" s="538"/>
      <c r="I131" s="538"/>
    </row>
    <row r="132" ht="20.1" customHeight="1" spans="1:9">
      <c r="A132" s="506"/>
      <c r="B132" s="478" t="s">
        <v>5261</v>
      </c>
      <c r="C132" s="546"/>
      <c r="D132" s="546"/>
      <c r="E132" s="480"/>
      <c r="F132" s="465"/>
      <c r="H132" s="548"/>
      <c r="I132" s="548"/>
    </row>
    <row r="133" ht="20.1" customHeight="1" spans="1:9">
      <c r="A133" s="511"/>
      <c r="B133" s="478" t="s">
        <v>5313</v>
      </c>
      <c r="C133" s="546"/>
      <c r="D133" s="546"/>
      <c r="E133" s="480"/>
      <c r="F133" s="470"/>
      <c r="H133" s="534"/>
      <c r="I133" s="534"/>
    </row>
    <row r="134" ht="20.1" customHeight="1" spans="1:9">
      <c r="A134" s="549"/>
      <c r="B134" s="478" t="s">
        <v>5315</v>
      </c>
      <c r="C134" s="546"/>
      <c r="D134" s="546"/>
      <c r="E134" s="484"/>
      <c r="F134" s="470"/>
      <c r="H134" s="475"/>
      <c r="I134" s="534"/>
    </row>
    <row r="135" ht="20.1" customHeight="1" spans="1:9">
      <c r="A135" s="508" t="s">
        <v>5356</v>
      </c>
      <c r="B135" s="494"/>
      <c r="C135" s="496">
        <f>SUM(C118:C134)</f>
        <v>836830.96</v>
      </c>
      <c r="D135" s="496">
        <f>SUM(D118:D133)</f>
        <v>22570101.46</v>
      </c>
      <c r="E135" s="493"/>
      <c r="F135" s="550"/>
      <c r="H135" s="534"/>
      <c r="I135" s="534"/>
    </row>
    <row r="136" ht="20.1" customHeight="1" spans="1:9">
      <c r="A136" s="494" t="s">
        <v>5265</v>
      </c>
      <c r="B136" s="495"/>
      <c r="C136" s="496"/>
      <c r="D136" s="496"/>
      <c r="E136" s="493"/>
      <c r="F136" s="550"/>
      <c r="H136" s="534"/>
      <c r="I136" s="534"/>
    </row>
    <row r="137" ht="20.1" customHeight="1" spans="1:9">
      <c r="A137" s="497" t="s">
        <v>5266</v>
      </c>
      <c r="B137" s="495"/>
      <c r="C137" s="496">
        <f>C135-C136</f>
        <v>836830.96</v>
      </c>
      <c r="D137" s="496">
        <f>D135-D136</f>
        <v>22570101.46</v>
      </c>
      <c r="E137" s="493"/>
      <c r="F137" s="550"/>
      <c r="H137" s="534"/>
      <c r="I137" s="534"/>
    </row>
    <row r="138" ht="20.1" customHeight="1" spans="1:9">
      <c r="A138" s="498" t="s">
        <v>5267</v>
      </c>
      <c r="B138" s="499"/>
      <c r="C138" s="500"/>
      <c r="D138" s="500"/>
      <c r="E138" s="501"/>
      <c r="F138" s="465"/>
      <c r="G138" s="527"/>
      <c r="H138" s="534"/>
      <c r="I138" s="534"/>
    </row>
    <row r="139" ht="20.1" customHeight="1" spans="1:9">
      <c r="A139" s="502"/>
      <c r="B139" s="502"/>
      <c r="C139" s="503"/>
      <c r="D139" s="503"/>
      <c r="E139" s="504"/>
      <c r="F139" s="465"/>
      <c r="G139" s="527"/>
      <c r="H139" s="534"/>
      <c r="I139" s="534"/>
    </row>
    <row r="140" ht="20.1" customHeight="1" spans="1:9">
      <c r="A140" s="551" t="s">
        <v>5357</v>
      </c>
      <c r="B140" s="552"/>
      <c r="C140" s="552"/>
      <c r="D140" s="552"/>
      <c r="E140" s="553"/>
      <c r="F140" s="465"/>
      <c r="H140" s="534"/>
      <c r="I140" s="534"/>
    </row>
    <row r="141" ht="20.1" customHeight="1" spans="1:9">
      <c r="A141" s="554" t="s">
        <v>5358</v>
      </c>
      <c r="B141" s="468"/>
      <c r="C141" s="468"/>
      <c r="D141" s="468"/>
      <c r="E141" s="469"/>
      <c r="F141" s="465"/>
      <c r="H141" s="555"/>
      <c r="I141" s="555"/>
    </row>
    <row r="142" ht="20.1" customHeight="1" spans="1:9">
      <c r="A142" s="472" t="s">
        <v>1861</v>
      </c>
      <c r="B142" s="473"/>
      <c r="C142" s="473" t="s">
        <v>1862</v>
      </c>
      <c r="D142" s="473" t="s">
        <v>1863</v>
      </c>
      <c r="E142" s="474" t="s">
        <v>5269</v>
      </c>
      <c r="F142" s="465"/>
      <c r="H142" s="538"/>
      <c r="I142" s="538"/>
    </row>
    <row r="143" ht="20.1" customHeight="1" spans="1:9">
      <c r="A143" s="506" t="s">
        <v>5359</v>
      </c>
      <c r="B143" s="478" t="s">
        <v>5221</v>
      </c>
      <c r="C143" s="546"/>
      <c r="D143" s="546"/>
      <c r="E143" s="556"/>
      <c r="F143" s="465"/>
      <c r="H143" s="538"/>
      <c r="I143" s="538"/>
    </row>
    <row r="144" ht="20.1" customHeight="1" spans="1:9">
      <c r="A144" s="506" t="s">
        <v>5360</v>
      </c>
      <c r="B144" s="478" t="s">
        <v>5223</v>
      </c>
      <c r="C144" s="546"/>
      <c r="D144" s="546"/>
      <c r="E144" s="484"/>
      <c r="F144" s="465"/>
      <c r="H144" s="538"/>
      <c r="I144" s="538"/>
    </row>
    <row r="145" ht="20.1" customHeight="1" spans="1:9">
      <c r="A145" s="506" t="s">
        <v>5361</v>
      </c>
      <c r="B145" s="478" t="s">
        <v>5225</v>
      </c>
      <c r="C145" s="546"/>
      <c r="D145" s="546"/>
      <c r="E145" s="484"/>
      <c r="F145" s="465"/>
      <c r="H145" s="538"/>
      <c r="I145" s="538"/>
    </row>
    <row r="146" ht="20.1" customHeight="1" spans="1:9">
      <c r="A146" s="506" t="s">
        <v>5362</v>
      </c>
      <c r="B146" s="478" t="s">
        <v>5229</v>
      </c>
      <c r="C146" s="546"/>
      <c r="D146" s="546"/>
      <c r="E146" s="484"/>
      <c r="F146" s="465"/>
      <c r="H146" s="538"/>
      <c r="I146" s="538"/>
    </row>
    <row r="147" ht="20.1" customHeight="1" spans="1:9">
      <c r="A147" s="506" t="s">
        <v>5363</v>
      </c>
      <c r="B147" s="478" t="s">
        <v>5232</v>
      </c>
      <c r="C147" s="546"/>
      <c r="D147" s="546"/>
      <c r="E147" s="484"/>
      <c r="F147" s="465"/>
      <c r="H147" s="538"/>
      <c r="I147" s="538"/>
    </row>
    <row r="148" ht="20.1" customHeight="1" spans="1:9">
      <c r="A148" s="556" t="s">
        <v>5364</v>
      </c>
      <c r="B148" s="478" t="s">
        <v>5235</v>
      </c>
      <c r="C148" s="546"/>
      <c r="D148" s="546"/>
      <c r="E148" s="484"/>
      <c r="F148" s="465"/>
      <c r="H148" s="538"/>
      <c r="I148" s="538"/>
    </row>
    <row r="149" ht="20.1" customHeight="1" spans="1:9">
      <c r="A149" s="557" t="s">
        <v>5365</v>
      </c>
      <c r="B149" s="478"/>
      <c r="C149" s="558">
        <f>SUM(C143:C148)</f>
        <v>0</v>
      </c>
      <c r="D149" s="558">
        <f>SUM(D143:D148)</f>
        <v>0</v>
      </c>
      <c r="E149" s="484"/>
      <c r="F149" s="465"/>
      <c r="H149" s="538"/>
      <c r="I149" s="538"/>
    </row>
    <row r="150" ht="20.1" customHeight="1" spans="1:9">
      <c r="A150" s="494" t="s">
        <v>5265</v>
      </c>
      <c r="B150" s="495"/>
      <c r="C150" s="496"/>
      <c r="D150" s="496"/>
      <c r="E150" s="493"/>
      <c r="F150" s="465"/>
      <c r="H150" s="559"/>
      <c r="I150" s="538"/>
    </row>
    <row r="151" ht="31.5" customHeight="1" spans="1:9">
      <c r="A151" s="497" t="s">
        <v>5266</v>
      </c>
      <c r="B151" s="495"/>
      <c r="C151" s="496">
        <f>C148-C150</f>
        <v>0</v>
      </c>
      <c r="D151" s="496">
        <f>D148-D150</f>
        <v>0</v>
      </c>
      <c r="E151" s="493"/>
      <c r="F151" s="465"/>
      <c r="H151" s="548"/>
      <c r="I151" s="538"/>
    </row>
    <row r="152" ht="20.1" customHeight="1" spans="1:8">
      <c r="A152" s="498" t="s">
        <v>5267</v>
      </c>
      <c r="B152" s="499"/>
      <c r="C152" s="500"/>
      <c r="D152" s="500"/>
      <c r="E152" s="501"/>
      <c r="F152" s="465"/>
      <c r="H152" s="476"/>
    </row>
    <row r="153" ht="20.1" customHeight="1" spans="1:9">
      <c r="A153" s="560"/>
      <c r="B153" s="560"/>
      <c r="C153" s="561"/>
      <c r="D153" s="561"/>
      <c r="E153" s="562"/>
      <c r="F153" s="465"/>
      <c r="H153" s="457"/>
      <c r="I153" s="538"/>
    </row>
    <row r="154" ht="20.1" customHeight="1" spans="1:9">
      <c r="A154" s="505" t="s">
        <v>5366</v>
      </c>
      <c r="B154" s="505"/>
      <c r="C154" s="505"/>
      <c r="D154" s="505"/>
      <c r="E154" s="505"/>
      <c r="F154" s="465"/>
      <c r="H154" s="457"/>
      <c r="I154" s="538"/>
    </row>
    <row r="155" ht="20.1" customHeight="1" spans="1:9">
      <c r="A155" s="472" t="s">
        <v>1861</v>
      </c>
      <c r="B155" s="473"/>
      <c r="C155" s="473" t="s">
        <v>1862</v>
      </c>
      <c r="D155" s="473" t="s">
        <v>1863</v>
      </c>
      <c r="E155" s="474" t="s">
        <v>5269</v>
      </c>
      <c r="F155" s="465"/>
      <c r="H155" s="457"/>
      <c r="I155" s="538"/>
    </row>
    <row r="156" ht="20.1" customHeight="1" spans="1:9">
      <c r="A156" s="506" t="s">
        <v>5367</v>
      </c>
      <c r="B156" s="478" t="s">
        <v>5221</v>
      </c>
      <c r="C156" s="546"/>
      <c r="D156" s="546"/>
      <c r="E156" s="480" t="s">
        <v>5368</v>
      </c>
      <c r="F156" s="465"/>
      <c r="H156" s="457"/>
      <c r="I156" s="538"/>
    </row>
    <row r="157" ht="20.1" customHeight="1" spans="1:9">
      <c r="A157" s="506" t="s">
        <v>5369</v>
      </c>
      <c r="B157" s="478" t="s">
        <v>5223</v>
      </c>
      <c r="C157" s="546"/>
      <c r="D157" s="546"/>
      <c r="E157" s="480" t="s">
        <v>5368</v>
      </c>
      <c r="F157" s="465"/>
      <c r="H157" s="457"/>
      <c r="I157" s="538"/>
    </row>
    <row r="158" ht="20.1" customHeight="1" spans="1:9">
      <c r="A158" s="506" t="s">
        <v>5370</v>
      </c>
      <c r="B158" s="478" t="s">
        <v>5225</v>
      </c>
      <c r="C158" s="546"/>
      <c r="D158" s="546"/>
      <c r="E158" s="480" t="s">
        <v>5371</v>
      </c>
      <c r="F158" s="465"/>
      <c r="H158" s="457"/>
      <c r="I158" s="538"/>
    </row>
    <row r="159" ht="20.1" customHeight="1" spans="1:9">
      <c r="A159" s="556" t="s">
        <v>5372</v>
      </c>
      <c r="B159" s="478" t="s">
        <v>5229</v>
      </c>
      <c r="C159" s="546"/>
      <c r="D159" s="546"/>
      <c r="E159" s="556" t="s">
        <v>5373</v>
      </c>
      <c r="F159" s="465"/>
      <c r="H159" s="457"/>
      <c r="I159" s="538"/>
    </row>
    <row r="160" ht="20.1" customHeight="1" spans="1:9">
      <c r="A160" s="508" t="s">
        <v>5374</v>
      </c>
      <c r="B160" s="494"/>
      <c r="C160" s="558">
        <f>SUM(C156:C159)</f>
        <v>0</v>
      </c>
      <c r="D160" s="558">
        <f>SUM(D156:D159)</f>
        <v>0</v>
      </c>
      <c r="E160" s="484"/>
      <c r="F160" s="465"/>
      <c r="H160" s="457"/>
      <c r="I160" s="538"/>
    </row>
    <row r="161" ht="20.1" customHeight="1" spans="1:9">
      <c r="A161" s="494" t="s">
        <v>5265</v>
      </c>
      <c r="B161" s="495"/>
      <c r="C161" s="496"/>
      <c r="D161" s="496"/>
      <c r="E161" s="493"/>
      <c r="F161" s="465"/>
      <c r="H161" s="457"/>
      <c r="I161" s="538"/>
    </row>
    <row r="162" ht="20.1" customHeight="1" spans="1:9">
      <c r="A162" s="497" t="s">
        <v>5266</v>
      </c>
      <c r="B162" s="495"/>
      <c r="C162" s="496">
        <f>C160-C161</f>
        <v>0</v>
      </c>
      <c r="D162" s="496">
        <f>D158-D161</f>
        <v>0</v>
      </c>
      <c r="E162" s="493"/>
      <c r="F162" s="465"/>
      <c r="H162" s="457"/>
      <c r="I162" s="538"/>
    </row>
    <row r="163" ht="20.1" customHeight="1" spans="1:9">
      <c r="A163" s="498" t="s">
        <v>5267</v>
      </c>
      <c r="B163" s="499"/>
      <c r="C163" s="500"/>
      <c r="D163" s="500"/>
      <c r="E163" s="501"/>
      <c r="F163" s="465"/>
      <c r="H163" s="457"/>
      <c r="I163" s="538"/>
    </row>
    <row r="164" ht="20.1" customHeight="1" spans="1:9">
      <c r="A164" s="502"/>
      <c r="B164" s="502"/>
      <c r="C164" s="503"/>
      <c r="D164" s="503"/>
      <c r="E164" s="504"/>
      <c r="F164" s="465"/>
      <c r="H164" s="457"/>
      <c r="I164" s="538"/>
    </row>
    <row r="165" ht="20.1" customHeight="1" spans="1:9">
      <c r="A165" s="505" t="s">
        <v>5375</v>
      </c>
      <c r="B165" s="505"/>
      <c r="C165" s="505"/>
      <c r="D165" s="505"/>
      <c r="E165" s="505"/>
      <c r="F165" s="465"/>
      <c r="H165" s="457"/>
      <c r="I165" s="538"/>
    </row>
    <row r="166" ht="20.1" customHeight="1" spans="1:9">
      <c r="A166" s="472" t="s">
        <v>1861</v>
      </c>
      <c r="B166" s="473"/>
      <c r="C166" s="473" t="s">
        <v>1862</v>
      </c>
      <c r="D166" s="473" t="s">
        <v>1863</v>
      </c>
      <c r="E166" s="474" t="s">
        <v>5269</v>
      </c>
      <c r="F166" s="465"/>
      <c r="H166" s="457"/>
      <c r="I166" s="538"/>
    </row>
    <row r="167" ht="24" spans="1:9">
      <c r="A167" s="506" t="s">
        <v>5376</v>
      </c>
      <c r="B167" s="478" t="s">
        <v>5221</v>
      </c>
      <c r="C167" s="546">
        <f>2100+50000</f>
        <v>52100</v>
      </c>
      <c r="D167" s="546">
        <v>7000</v>
      </c>
      <c r="E167" s="480" t="s">
        <v>5377</v>
      </c>
      <c r="F167" s="465"/>
      <c r="H167" s="457"/>
      <c r="I167" s="538"/>
    </row>
    <row r="168" ht="24" spans="1:9">
      <c r="A168" s="506" t="s">
        <v>5378</v>
      </c>
      <c r="B168" s="478" t="s">
        <v>5223</v>
      </c>
      <c r="C168" s="546">
        <v>970.87</v>
      </c>
      <c r="D168" s="546"/>
      <c r="E168" s="480" t="s">
        <v>5377</v>
      </c>
      <c r="F168" s="465"/>
      <c r="H168" s="457"/>
      <c r="I168" s="538"/>
    </row>
    <row r="169" ht="24" spans="1:9">
      <c r="A169" s="506" t="s">
        <v>5379</v>
      </c>
      <c r="B169" s="478" t="s">
        <v>5225</v>
      </c>
      <c r="C169" s="546"/>
      <c r="D169" s="546"/>
      <c r="E169" s="480" t="s">
        <v>5380</v>
      </c>
      <c r="F169" s="465"/>
      <c r="H169" s="457"/>
      <c r="I169" s="538"/>
    </row>
    <row r="170" ht="20.1" customHeight="1" spans="1:9">
      <c r="A170" s="506" t="s">
        <v>4638</v>
      </c>
      <c r="B170" s="478" t="s">
        <v>5229</v>
      </c>
      <c r="C170" s="546"/>
      <c r="D170" s="546"/>
      <c r="E170" s="480"/>
      <c r="F170" s="465"/>
      <c r="H170" s="457"/>
      <c r="I170" s="538"/>
    </row>
    <row r="171" ht="20.1" customHeight="1" spans="1:9">
      <c r="A171" s="563" t="s">
        <v>5381</v>
      </c>
      <c r="B171" s="564"/>
      <c r="C171" s="558">
        <f>SUM(C167:C170)</f>
        <v>53070.87</v>
      </c>
      <c r="D171" s="558">
        <f>D167-D168+D169</f>
        <v>7000</v>
      </c>
      <c r="E171" s="480"/>
      <c r="F171" s="465"/>
      <c r="I171" s="538"/>
    </row>
    <row r="172" ht="20.1" customHeight="1" spans="1:9">
      <c r="A172" s="494" t="s">
        <v>5265</v>
      </c>
      <c r="B172" s="495"/>
      <c r="C172" s="496"/>
      <c r="D172" s="496"/>
      <c r="E172" s="493"/>
      <c r="F172" s="465"/>
      <c r="I172" s="538"/>
    </row>
    <row r="173" ht="20.1" customHeight="1" spans="1:9">
      <c r="A173" s="497" t="s">
        <v>5266</v>
      </c>
      <c r="B173" s="495"/>
      <c r="C173" s="496">
        <f>C171-C172</f>
        <v>53070.87</v>
      </c>
      <c r="D173" s="496">
        <f>D171-D172</f>
        <v>7000</v>
      </c>
      <c r="E173" s="493"/>
      <c r="F173" s="465"/>
      <c r="I173" s="538"/>
    </row>
    <row r="174" ht="20.1" customHeight="1" spans="1:9">
      <c r="A174" s="498" t="s">
        <v>5267</v>
      </c>
      <c r="B174" s="499"/>
      <c r="C174" s="500"/>
      <c r="D174" s="500"/>
      <c r="E174" s="501"/>
      <c r="F174" s="465"/>
      <c r="I174" s="538"/>
    </row>
    <row r="175" ht="20.1" customHeight="1" spans="1:9">
      <c r="A175" s="502"/>
      <c r="B175" s="502"/>
      <c r="C175" s="503"/>
      <c r="D175" s="503"/>
      <c r="E175" s="504"/>
      <c r="F175" s="465"/>
      <c r="I175" s="538"/>
    </row>
    <row r="176" ht="20.1" customHeight="1" spans="1:9">
      <c r="A176" s="505" t="s">
        <v>5382</v>
      </c>
      <c r="B176" s="505"/>
      <c r="C176" s="505"/>
      <c r="D176" s="505"/>
      <c r="E176" s="505"/>
      <c r="F176" s="465"/>
      <c r="I176" s="538"/>
    </row>
    <row r="177" ht="20.1" customHeight="1" spans="1:9">
      <c r="A177" s="472" t="s">
        <v>1861</v>
      </c>
      <c r="B177" s="473"/>
      <c r="C177" s="473" t="s">
        <v>1862</v>
      </c>
      <c r="D177" s="473" t="s">
        <v>1863</v>
      </c>
      <c r="E177" s="474" t="s">
        <v>5269</v>
      </c>
      <c r="F177" s="465"/>
      <c r="I177" s="538"/>
    </row>
    <row r="178" ht="20.1" customHeight="1" spans="1:9">
      <c r="A178" s="565" t="s">
        <v>5383</v>
      </c>
      <c r="B178" s="478" t="s">
        <v>5221</v>
      </c>
      <c r="C178" s="566">
        <f>ROUND(SUM(C179:C183),2)</f>
        <v>0</v>
      </c>
      <c r="D178" s="566">
        <f>ROUND(SUM(D179:D183),2)</f>
        <v>0</v>
      </c>
      <c r="E178" s="484"/>
      <c r="F178" s="465"/>
      <c r="I178" s="538"/>
    </row>
    <row r="179" ht="20.1" customHeight="1" spans="1:9">
      <c r="A179" s="567" t="s">
        <v>5384</v>
      </c>
      <c r="B179" s="478"/>
      <c r="C179" s="539"/>
      <c r="D179" s="539"/>
      <c r="E179" s="484"/>
      <c r="F179" s="465"/>
      <c r="I179" s="538"/>
    </row>
    <row r="180" ht="20.1" customHeight="1" spans="1:9">
      <c r="A180" s="568" t="s">
        <v>5385</v>
      </c>
      <c r="B180" s="478"/>
      <c r="C180" s="539"/>
      <c r="D180" s="539"/>
      <c r="E180" s="484"/>
      <c r="F180" s="465"/>
      <c r="I180" s="538"/>
    </row>
    <row r="181" ht="20.1" customHeight="1" spans="1:9">
      <c r="A181" s="489"/>
      <c r="B181" s="478"/>
      <c r="C181" s="539"/>
      <c r="D181" s="539"/>
      <c r="E181" s="484"/>
      <c r="F181" s="465"/>
      <c r="I181" s="538"/>
    </row>
    <row r="182" ht="20.1" customHeight="1" spans="1:9">
      <c r="A182" s="489"/>
      <c r="B182" s="478"/>
      <c r="C182" s="539"/>
      <c r="D182" s="539"/>
      <c r="E182" s="484"/>
      <c r="F182" s="465"/>
      <c r="I182" s="538"/>
    </row>
    <row r="183" ht="20.1" customHeight="1" spans="1:9">
      <c r="A183" s="489"/>
      <c r="B183" s="478"/>
      <c r="C183" s="539"/>
      <c r="D183" s="539"/>
      <c r="E183" s="484"/>
      <c r="F183" s="465"/>
      <c r="I183" s="538"/>
    </row>
    <row r="184" ht="20.1" customHeight="1" spans="1:9">
      <c r="A184" s="569" t="s">
        <v>5386</v>
      </c>
      <c r="B184" s="478" t="s">
        <v>5223</v>
      </c>
      <c r="C184" s="566">
        <f>ROUND(SUM(C185:C189),2)</f>
        <v>0</v>
      </c>
      <c r="D184" s="566">
        <f>ROUND(SUM(D185:D189),2)</f>
        <v>0</v>
      </c>
      <c r="E184" s="484"/>
      <c r="F184" s="465"/>
      <c r="I184" s="538"/>
    </row>
    <row r="185" ht="20.1" customHeight="1" spans="1:9">
      <c r="A185" s="567" t="s">
        <v>5387</v>
      </c>
      <c r="B185" s="478"/>
      <c r="C185" s="539"/>
      <c r="D185" s="539"/>
      <c r="E185" s="484"/>
      <c r="F185" s="465"/>
      <c r="I185" s="538"/>
    </row>
    <row r="186" ht="20.1" customHeight="1" spans="1:9">
      <c r="A186" s="568" t="s">
        <v>5385</v>
      </c>
      <c r="B186" s="478"/>
      <c r="C186" s="539"/>
      <c r="D186" s="539"/>
      <c r="E186" s="484"/>
      <c r="F186" s="465"/>
      <c r="I186" s="538"/>
    </row>
    <row r="187" ht="20.1" customHeight="1" spans="1:9">
      <c r="A187" s="489"/>
      <c r="B187" s="478"/>
      <c r="C187" s="539"/>
      <c r="D187" s="539"/>
      <c r="E187" s="484"/>
      <c r="F187" s="465"/>
      <c r="I187" s="538"/>
    </row>
    <row r="188" ht="20.1" customHeight="1" spans="1:9">
      <c r="A188" s="489"/>
      <c r="B188" s="478"/>
      <c r="C188" s="539"/>
      <c r="D188" s="539"/>
      <c r="E188" s="484"/>
      <c r="F188" s="465"/>
      <c r="I188" s="538"/>
    </row>
    <row r="189" ht="20.1" customHeight="1" spans="1:9">
      <c r="A189" s="489"/>
      <c r="B189" s="478"/>
      <c r="C189" s="539"/>
      <c r="D189" s="539"/>
      <c r="E189" s="484"/>
      <c r="F189" s="465"/>
      <c r="I189" s="538"/>
    </row>
    <row r="190" ht="20.1" customHeight="1" spans="1:9">
      <c r="A190" s="569" t="s">
        <v>5388</v>
      </c>
      <c r="B190" s="478" t="s">
        <v>5225</v>
      </c>
      <c r="C190" s="566">
        <f>ROUND(SUM(C191:C195),2)</f>
        <v>0</v>
      </c>
      <c r="D190" s="566">
        <f>ROUND(SUM(D191:D195),2)</f>
        <v>0</v>
      </c>
      <c r="E190" s="484"/>
      <c r="F190" s="465"/>
      <c r="I190" s="538"/>
    </row>
    <row r="191" ht="20.1" customHeight="1" spans="1:9">
      <c r="A191" s="567" t="s">
        <v>5387</v>
      </c>
      <c r="B191" s="478"/>
      <c r="C191" s="539"/>
      <c r="D191" s="539"/>
      <c r="E191" s="484"/>
      <c r="F191" s="465"/>
      <c r="I191" s="538"/>
    </row>
    <row r="192" ht="20.1" customHeight="1" spans="1:9">
      <c r="A192" s="568" t="s">
        <v>5385</v>
      </c>
      <c r="B192" s="478"/>
      <c r="C192" s="539"/>
      <c r="D192" s="539"/>
      <c r="E192" s="484"/>
      <c r="F192" s="465"/>
      <c r="I192" s="538"/>
    </row>
    <row r="193" ht="20.1" customHeight="1" spans="1:9">
      <c r="A193" s="489"/>
      <c r="B193" s="478"/>
      <c r="C193" s="539"/>
      <c r="D193" s="539"/>
      <c r="E193" s="484"/>
      <c r="F193" s="465"/>
      <c r="I193" s="538"/>
    </row>
    <row r="194" ht="20.1" customHeight="1" spans="1:9">
      <c r="A194" s="489"/>
      <c r="B194" s="478"/>
      <c r="C194" s="539"/>
      <c r="D194" s="539"/>
      <c r="E194" s="484"/>
      <c r="F194" s="465"/>
      <c r="I194" s="538"/>
    </row>
    <row r="195" ht="20.1" customHeight="1" spans="1:9">
      <c r="A195" s="489"/>
      <c r="B195" s="478"/>
      <c r="C195" s="539"/>
      <c r="D195" s="539"/>
      <c r="E195" s="484"/>
      <c r="F195" s="465"/>
      <c r="I195" s="538"/>
    </row>
    <row r="196" ht="20.1" customHeight="1" spans="1:6">
      <c r="A196" s="570" t="s">
        <v>5381</v>
      </c>
      <c r="B196" s="478"/>
      <c r="C196" s="566">
        <f>ROUND(C178-C184+C190,2)</f>
        <v>0</v>
      </c>
      <c r="D196" s="566">
        <f>ROUND(D178-D184+D190,2)</f>
        <v>0</v>
      </c>
      <c r="E196" s="480"/>
      <c r="F196" s="465"/>
    </row>
    <row r="197" ht="20.1" customHeight="1" spans="1:6">
      <c r="A197" s="494" t="s">
        <v>5265</v>
      </c>
      <c r="B197" s="495"/>
      <c r="C197" s="566"/>
      <c r="D197" s="566"/>
      <c r="E197" s="484"/>
      <c r="F197" s="465"/>
    </row>
    <row r="198" ht="20.1" customHeight="1" spans="1:6">
      <c r="A198" s="497" t="s">
        <v>5266</v>
      </c>
      <c r="B198" s="495"/>
      <c r="C198" s="566">
        <f>C196-C197</f>
        <v>0</v>
      </c>
      <c r="D198" s="566">
        <f>D196-D197</f>
        <v>0</v>
      </c>
      <c r="E198" s="556" t="s">
        <v>5389</v>
      </c>
      <c r="F198" s="465"/>
    </row>
    <row r="199" ht="20.1" customHeight="1" spans="1:6">
      <c r="A199" s="498" t="s">
        <v>5267</v>
      </c>
      <c r="B199" s="499"/>
      <c r="C199" s="571"/>
      <c r="D199" s="571"/>
      <c r="E199" s="572"/>
      <c r="F199" s="465"/>
    </row>
    <row r="200" ht="20.1" customHeight="1" spans="1:6">
      <c r="A200" s="502"/>
      <c r="B200" s="502"/>
      <c r="C200" s="573"/>
      <c r="D200" s="573"/>
      <c r="E200" s="562"/>
      <c r="F200" s="465"/>
    </row>
    <row r="201" ht="20.1" customHeight="1" spans="1:6">
      <c r="A201" s="554" t="s">
        <v>5390</v>
      </c>
      <c r="B201" s="468"/>
      <c r="C201" s="468"/>
      <c r="D201" s="468"/>
      <c r="E201" s="469"/>
      <c r="F201" s="465"/>
    </row>
    <row r="202" ht="20.1" customHeight="1" spans="1:6">
      <c r="A202" s="472" t="s">
        <v>1861</v>
      </c>
      <c r="B202" s="473"/>
      <c r="C202" s="473" t="s">
        <v>1862</v>
      </c>
      <c r="D202" s="473" t="s">
        <v>1863</v>
      </c>
      <c r="E202" s="474" t="s">
        <v>5269</v>
      </c>
      <c r="F202" s="465"/>
    </row>
    <row r="203" ht="24" spans="1:6">
      <c r="A203" s="489" t="s">
        <v>5391</v>
      </c>
      <c r="B203" s="478" t="s">
        <v>5221</v>
      </c>
      <c r="C203" s="539"/>
      <c r="D203" s="539"/>
      <c r="E203" s="556" t="s">
        <v>5372</v>
      </c>
      <c r="F203" s="465"/>
    </row>
    <row r="204" spans="1:6">
      <c r="A204" s="574" t="s">
        <v>5392</v>
      </c>
      <c r="B204" s="478" t="s">
        <v>5223</v>
      </c>
      <c r="C204" s="539"/>
      <c r="D204" s="539"/>
      <c r="E204" s="484"/>
      <c r="F204" s="465"/>
    </row>
    <row r="205" ht="20.1" customHeight="1" spans="1:6">
      <c r="A205" s="489" t="s">
        <v>5276</v>
      </c>
      <c r="B205" s="478" t="s">
        <v>5225</v>
      </c>
      <c r="C205" s="539"/>
      <c r="D205" s="539"/>
      <c r="E205" s="484"/>
      <c r="F205" s="465"/>
    </row>
    <row r="206" ht="20.1" customHeight="1" spans="1:6">
      <c r="A206" s="563" t="s">
        <v>5374</v>
      </c>
      <c r="B206" s="564"/>
      <c r="C206" s="566">
        <f>SUM(C203:C205)</f>
        <v>0</v>
      </c>
      <c r="D206" s="566">
        <f>SUM(D203:D205)</f>
        <v>0</v>
      </c>
      <c r="E206" s="480"/>
      <c r="F206" s="465"/>
    </row>
    <row r="207" ht="20.1" customHeight="1" spans="1:6">
      <c r="A207" s="494" t="s">
        <v>5265</v>
      </c>
      <c r="B207" s="495"/>
      <c r="C207" s="496">
        <f>[49]未审现流表!C28</f>
        <v>0</v>
      </c>
      <c r="D207" s="496">
        <f>[48]审定表2013!F38</f>
        <v>0</v>
      </c>
      <c r="E207" s="484"/>
      <c r="F207" s="465"/>
    </row>
    <row r="208" ht="20.1" customHeight="1" spans="1:6">
      <c r="A208" s="497" t="s">
        <v>5266</v>
      </c>
      <c r="B208" s="495"/>
      <c r="C208" s="566">
        <f>C206-C207</f>
        <v>0</v>
      </c>
      <c r="D208" s="566">
        <f>D206-D207</f>
        <v>0</v>
      </c>
      <c r="E208" s="484"/>
      <c r="F208" s="465"/>
    </row>
    <row r="209" ht="20.1" customHeight="1" spans="1:6">
      <c r="A209" s="498" t="s">
        <v>5267</v>
      </c>
      <c r="B209" s="499"/>
      <c r="C209" s="571"/>
      <c r="D209" s="571"/>
      <c r="E209" s="572"/>
      <c r="F209" s="465"/>
    </row>
    <row r="210" ht="20.1" customHeight="1" spans="1:12">
      <c r="A210" s="518"/>
      <c r="B210" s="518"/>
      <c r="C210" s="575"/>
      <c r="D210" s="575"/>
      <c r="E210" s="576"/>
      <c r="F210" s="465"/>
      <c r="H210" s="577"/>
      <c r="I210" s="577"/>
      <c r="J210" s="577"/>
      <c r="K210" s="577"/>
      <c r="L210" s="577"/>
    </row>
    <row r="211" ht="20.1" customHeight="1" spans="1:12">
      <c r="A211" s="578" t="s">
        <v>5393</v>
      </c>
      <c r="B211" s="578"/>
      <c r="C211" s="578"/>
      <c r="D211" s="578"/>
      <c r="E211" s="578"/>
      <c r="F211" s="465"/>
      <c r="H211" s="579"/>
      <c r="I211" s="579"/>
      <c r="J211" s="579"/>
      <c r="K211" s="579"/>
      <c r="L211" s="579"/>
    </row>
    <row r="212" ht="20.1" customHeight="1" spans="1:6">
      <c r="A212" s="505" t="s">
        <v>5394</v>
      </c>
      <c r="B212" s="505"/>
      <c r="C212" s="505"/>
      <c r="D212" s="505"/>
      <c r="E212" s="505"/>
      <c r="F212" s="465"/>
    </row>
    <row r="213" ht="20.1" customHeight="1" spans="1:6">
      <c r="A213" s="472" t="s">
        <v>1861</v>
      </c>
      <c r="B213" s="473"/>
      <c r="C213" s="473" t="s">
        <v>1862</v>
      </c>
      <c r="D213" s="473" t="s">
        <v>1863</v>
      </c>
      <c r="E213" s="474" t="s">
        <v>5269</v>
      </c>
      <c r="F213" s="465"/>
    </row>
    <row r="214" ht="30" customHeight="1" spans="1:6">
      <c r="A214" s="506" t="s">
        <v>5395</v>
      </c>
      <c r="B214" s="478" t="s">
        <v>5221</v>
      </c>
      <c r="C214" s="546">
        <f>报表附注!H1147+报表附注!H1148</f>
        <v>126118.99</v>
      </c>
      <c r="D214" s="546">
        <f>[43]报表附注!$H$1148+[43]报表附注!$G$1423+[43]报表附注!$H$1552</f>
        <v>401430</v>
      </c>
      <c r="E214" s="540" t="s">
        <v>5396</v>
      </c>
      <c r="F214" s="465"/>
    </row>
    <row r="215" ht="20.1" customHeight="1" spans="1:6">
      <c r="A215" s="506" t="s">
        <v>5397</v>
      </c>
      <c r="B215" s="478" t="s">
        <v>5223</v>
      </c>
      <c r="C215" s="546"/>
      <c r="D215" s="546"/>
      <c r="E215" s="540" t="s">
        <v>5398</v>
      </c>
      <c r="F215" s="465"/>
    </row>
    <row r="216" ht="20.1" customHeight="1" spans="1:6">
      <c r="A216" s="506" t="s">
        <v>5399</v>
      </c>
      <c r="B216" s="478" t="s">
        <v>5225</v>
      </c>
      <c r="C216" s="546"/>
      <c r="D216" s="546"/>
      <c r="E216" s="540" t="s">
        <v>1750</v>
      </c>
      <c r="F216" s="465"/>
    </row>
    <row r="217" ht="20.1" customHeight="1" spans="1:6">
      <c r="A217" s="506" t="s">
        <v>5400</v>
      </c>
      <c r="B217" s="478" t="s">
        <v>5229</v>
      </c>
      <c r="C217" s="546"/>
      <c r="D217" s="546"/>
      <c r="E217" s="540" t="s">
        <v>5401</v>
      </c>
      <c r="F217" s="465"/>
    </row>
    <row r="218" spans="1:6">
      <c r="A218" s="506" t="s">
        <v>5402</v>
      </c>
      <c r="B218" s="478" t="s">
        <v>5232</v>
      </c>
      <c r="C218" s="546"/>
      <c r="D218" s="546"/>
      <c r="E218" s="540" t="s">
        <v>1758</v>
      </c>
      <c r="F218" s="465"/>
    </row>
    <row r="219" ht="24" spans="1:6">
      <c r="A219" s="506" t="s">
        <v>5403</v>
      </c>
      <c r="B219" s="478" t="s">
        <v>5235</v>
      </c>
      <c r="C219" s="546"/>
      <c r="D219" s="546"/>
      <c r="E219" s="540" t="s">
        <v>5404</v>
      </c>
      <c r="F219" s="465"/>
    </row>
    <row r="220" ht="24" spans="1:6">
      <c r="A220" s="506" t="s">
        <v>5405</v>
      </c>
      <c r="B220" s="478" t="s">
        <v>5238</v>
      </c>
      <c r="C220" s="546"/>
      <c r="D220" s="546"/>
      <c r="E220" s="540" t="s">
        <v>5406</v>
      </c>
      <c r="F220" s="465"/>
    </row>
    <row r="221" ht="20.1" customHeight="1" spans="1:6">
      <c r="A221" s="506" t="s">
        <v>5407</v>
      </c>
      <c r="B221" s="478" t="s">
        <v>5241</v>
      </c>
      <c r="C221" s="546"/>
      <c r="D221" s="546"/>
      <c r="E221" s="540" t="s">
        <v>5408</v>
      </c>
      <c r="F221" s="465"/>
    </row>
    <row r="222" ht="20.1" customHeight="1" spans="1:6">
      <c r="A222" s="506" t="s">
        <v>5409</v>
      </c>
      <c r="B222" s="478" t="s">
        <v>5244</v>
      </c>
      <c r="C222" s="546">
        <f>C66</f>
        <v>0</v>
      </c>
      <c r="D222" s="546"/>
      <c r="E222" s="541" t="s">
        <v>5410</v>
      </c>
      <c r="F222" s="465"/>
    </row>
    <row r="223" ht="24.95" customHeight="1" spans="1:6">
      <c r="A223" s="563" t="s">
        <v>5411</v>
      </c>
      <c r="B223" s="564"/>
      <c r="C223" s="558">
        <f>SUM(C214:C218)-SUM(C219:C222)</f>
        <v>126118.99</v>
      </c>
      <c r="D223" s="558">
        <f>SUM(D214:D218)-SUM(D219:D222)</f>
        <v>401430</v>
      </c>
      <c r="E223" s="540"/>
      <c r="F223" s="465"/>
    </row>
    <row r="224" ht="20.1" customHeight="1" spans="1:6">
      <c r="A224" s="494" t="s">
        <v>5265</v>
      </c>
      <c r="B224" s="495"/>
      <c r="C224" s="496"/>
      <c r="D224" s="496"/>
      <c r="E224" s="484"/>
      <c r="F224" s="465"/>
    </row>
    <row r="225" ht="20.1" customHeight="1" spans="1:6">
      <c r="A225" s="497" t="s">
        <v>5266</v>
      </c>
      <c r="B225" s="495"/>
      <c r="C225" s="496">
        <f>C223-C224</f>
        <v>126118.99</v>
      </c>
      <c r="D225" s="496">
        <f>D223-D224</f>
        <v>401430</v>
      </c>
      <c r="E225" s="484"/>
      <c r="F225" s="465"/>
    </row>
    <row r="226" ht="20.1" customHeight="1" spans="1:6">
      <c r="A226" s="498" t="s">
        <v>5267</v>
      </c>
      <c r="B226" s="499"/>
      <c r="C226" s="500"/>
      <c r="D226" s="500"/>
      <c r="E226" s="572"/>
      <c r="F226" s="465"/>
    </row>
    <row r="227" ht="20.1" customHeight="1" spans="1:6">
      <c r="A227" s="518"/>
      <c r="B227" s="518"/>
      <c r="C227" s="535"/>
      <c r="D227" s="535"/>
      <c r="E227" s="580"/>
      <c r="F227" s="465"/>
    </row>
    <row r="228" ht="20.1" customHeight="1" spans="1:6">
      <c r="A228" s="505" t="s">
        <v>5412</v>
      </c>
      <c r="B228" s="505"/>
      <c r="C228" s="505"/>
      <c r="D228" s="505"/>
      <c r="E228" s="505"/>
      <c r="F228" s="465"/>
    </row>
    <row r="229" ht="20.1" customHeight="1" spans="1:6">
      <c r="A229" s="472" t="s">
        <v>1861</v>
      </c>
      <c r="B229" s="473"/>
      <c r="C229" s="473" t="s">
        <v>1862</v>
      </c>
      <c r="D229" s="473" t="s">
        <v>1863</v>
      </c>
      <c r="E229" s="474" t="s">
        <v>5269</v>
      </c>
      <c r="F229" s="465"/>
    </row>
    <row r="230" ht="36" spans="1:6">
      <c r="A230" s="506" t="s">
        <v>5413</v>
      </c>
      <c r="B230" s="478" t="s">
        <v>5221</v>
      </c>
      <c r="C230" s="539"/>
      <c r="D230" s="539"/>
      <c r="E230" s="540" t="s">
        <v>5414</v>
      </c>
      <c r="F230" s="465"/>
    </row>
    <row r="231" spans="1:6">
      <c r="A231" s="506" t="s">
        <v>5415</v>
      </c>
      <c r="B231" s="478" t="s">
        <v>5223</v>
      </c>
      <c r="C231" s="539"/>
      <c r="D231" s="539"/>
      <c r="E231" s="540" t="s">
        <v>1800</v>
      </c>
      <c r="F231" s="465"/>
    </row>
    <row r="232" ht="20.1" customHeight="1" spans="1:6">
      <c r="A232" s="506" t="s">
        <v>5416</v>
      </c>
      <c r="B232" s="478" t="s">
        <v>5225</v>
      </c>
      <c r="C232" s="539"/>
      <c r="D232" s="539"/>
      <c r="E232" s="540" t="s">
        <v>1804</v>
      </c>
      <c r="F232" s="465"/>
    </row>
    <row r="233" ht="20.1" customHeight="1" spans="1:6">
      <c r="A233" s="511" t="s">
        <v>5417</v>
      </c>
      <c r="B233" s="581"/>
      <c r="C233" s="539"/>
      <c r="D233" s="539"/>
      <c r="E233" s="484"/>
      <c r="F233" s="465"/>
    </row>
    <row r="234" ht="20.1" customHeight="1" spans="1:6">
      <c r="A234" s="486"/>
      <c r="B234" s="581"/>
      <c r="C234" s="539"/>
      <c r="D234" s="539"/>
      <c r="E234" s="484"/>
      <c r="F234" s="465"/>
    </row>
    <row r="235" ht="20.1" customHeight="1" spans="1:6">
      <c r="A235" s="563" t="s">
        <v>5374</v>
      </c>
      <c r="B235" s="564"/>
      <c r="C235" s="566">
        <f>SUM(C230:C233)</f>
        <v>0</v>
      </c>
      <c r="D235" s="566">
        <f>SUM(D230:D233)</f>
        <v>0</v>
      </c>
      <c r="E235" s="484"/>
      <c r="F235" s="465"/>
    </row>
    <row r="236" ht="20.1" customHeight="1" spans="1:6">
      <c r="A236" s="494" t="s">
        <v>5265</v>
      </c>
      <c r="B236" s="495"/>
      <c r="C236" s="542"/>
      <c r="D236" s="542"/>
      <c r="E236" s="484"/>
      <c r="F236" s="465"/>
    </row>
    <row r="237" ht="20.1" customHeight="1" spans="1:6">
      <c r="A237" s="497" t="s">
        <v>5266</v>
      </c>
      <c r="B237" s="495"/>
      <c r="C237" s="542">
        <f>C235-C236</f>
        <v>0</v>
      </c>
      <c r="D237" s="542">
        <f>D235-D236</f>
        <v>0</v>
      </c>
      <c r="E237" s="484"/>
      <c r="F237" s="465"/>
    </row>
    <row r="238" ht="20.1" customHeight="1" spans="1:6">
      <c r="A238" s="498" t="s">
        <v>5267</v>
      </c>
      <c r="B238" s="499"/>
      <c r="C238" s="545"/>
      <c r="D238" s="545"/>
      <c r="E238" s="572"/>
      <c r="F238" s="465"/>
    </row>
    <row r="239" ht="20.1" customHeight="1" spans="1:6">
      <c r="A239" s="502"/>
      <c r="B239" s="502"/>
      <c r="C239" s="582"/>
      <c r="D239" s="582"/>
      <c r="E239" s="562"/>
      <c r="F239" s="465"/>
    </row>
    <row r="240" ht="20.1" customHeight="1" spans="1:6">
      <c r="A240" s="505" t="s">
        <v>5418</v>
      </c>
      <c r="B240" s="505"/>
      <c r="C240" s="505"/>
      <c r="D240" s="505"/>
      <c r="E240" s="505"/>
      <c r="F240" s="465"/>
    </row>
    <row r="241" ht="20.1" customHeight="1" spans="1:6">
      <c r="A241" s="472" t="s">
        <v>1861</v>
      </c>
      <c r="B241" s="473"/>
      <c r="C241" s="473" t="s">
        <v>1862</v>
      </c>
      <c r="D241" s="473" t="s">
        <v>1863</v>
      </c>
      <c r="E241" s="474" t="s">
        <v>5269</v>
      </c>
      <c r="F241" s="465"/>
    </row>
    <row r="242" ht="20.1" customHeight="1" spans="1:6">
      <c r="A242" s="565" t="s">
        <v>5419</v>
      </c>
      <c r="B242" s="478" t="s">
        <v>5221</v>
      </c>
      <c r="C242" s="566">
        <f>ROUND(SUM(C243:C247),2)</f>
        <v>0</v>
      </c>
      <c r="D242" s="566">
        <f>ROUND(SUM(D243:D247),2)</f>
        <v>2000000</v>
      </c>
      <c r="E242" s="484"/>
      <c r="F242" s="465"/>
    </row>
    <row r="243" ht="20.1" customHeight="1" spans="1:6">
      <c r="A243" s="567" t="s">
        <v>5420</v>
      </c>
      <c r="B243" s="478"/>
      <c r="C243" s="539">
        <v>0</v>
      </c>
      <c r="D243" s="539">
        <v>2000000</v>
      </c>
      <c r="E243" s="556" t="s">
        <v>230</v>
      </c>
      <c r="F243" s="465"/>
    </row>
    <row r="244" ht="20.1" customHeight="1" spans="1:6">
      <c r="A244" s="568" t="s">
        <v>5385</v>
      </c>
      <c r="B244" s="478"/>
      <c r="C244" s="539"/>
      <c r="D244" s="539"/>
      <c r="E244" s="484"/>
      <c r="F244" s="465"/>
    </row>
    <row r="245" ht="20.1" customHeight="1" spans="1:6">
      <c r="A245" s="489"/>
      <c r="B245" s="478"/>
      <c r="C245" s="539"/>
      <c r="D245" s="539"/>
      <c r="E245" s="484"/>
      <c r="F245" s="465"/>
    </row>
    <row r="246" ht="20.1" customHeight="1" spans="1:6">
      <c r="A246" s="489"/>
      <c r="B246" s="478"/>
      <c r="C246" s="539"/>
      <c r="D246" s="539"/>
      <c r="E246" s="484"/>
      <c r="F246" s="465"/>
    </row>
    <row r="247" ht="20.1" customHeight="1" spans="1:6">
      <c r="A247" s="489"/>
      <c r="B247" s="478"/>
      <c r="C247" s="539"/>
      <c r="D247" s="539"/>
      <c r="E247" s="484"/>
      <c r="F247" s="465"/>
    </row>
    <row r="248" ht="20.1" customHeight="1" spans="1:6">
      <c r="A248" s="569" t="s">
        <v>5421</v>
      </c>
      <c r="B248" s="478" t="s">
        <v>5223</v>
      </c>
      <c r="C248" s="566">
        <f>ROUND(SUM(C249:C253),2)</f>
        <v>0</v>
      </c>
      <c r="D248" s="566">
        <f>ROUND(SUM(D249:D253),2)</f>
        <v>0</v>
      </c>
      <c r="E248" s="484"/>
      <c r="F248" s="465"/>
    </row>
    <row r="249" ht="20.1" customHeight="1" spans="1:6">
      <c r="A249" s="567" t="s">
        <v>5387</v>
      </c>
      <c r="B249" s="478"/>
      <c r="C249" s="539"/>
      <c r="D249" s="539"/>
      <c r="E249" s="484"/>
      <c r="F249" s="465"/>
    </row>
    <row r="250" ht="20.1" customHeight="1" spans="1:6">
      <c r="A250" s="568" t="s">
        <v>5385</v>
      </c>
      <c r="B250" s="478"/>
      <c r="C250" s="539"/>
      <c r="D250" s="539"/>
      <c r="E250" s="484"/>
      <c r="F250" s="465"/>
    </row>
    <row r="251" ht="20.1" customHeight="1" spans="1:6">
      <c r="A251" s="489"/>
      <c r="B251" s="478"/>
      <c r="C251" s="539"/>
      <c r="D251" s="539"/>
      <c r="E251" s="484"/>
      <c r="F251" s="465"/>
    </row>
    <row r="252" ht="20.1" customHeight="1" spans="1:6">
      <c r="A252" s="489"/>
      <c r="B252" s="478"/>
      <c r="C252" s="539"/>
      <c r="D252" s="539"/>
      <c r="E252" s="484"/>
      <c r="F252" s="465"/>
    </row>
    <row r="253" ht="20.1" customHeight="1" spans="1:6">
      <c r="A253" s="489"/>
      <c r="B253" s="478"/>
      <c r="C253" s="539"/>
      <c r="D253" s="539"/>
      <c r="E253" s="484"/>
      <c r="F253" s="465"/>
    </row>
    <row r="254" ht="20.1" customHeight="1" spans="1:6">
      <c r="A254" s="569" t="s">
        <v>5422</v>
      </c>
      <c r="B254" s="478" t="s">
        <v>5225</v>
      </c>
      <c r="C254" s="566">
        <f>ROUND(SUM(C255:C259),2)</f>
        <v>0</v>
      </c>
      <c r="D254" s="566">
        <f>ROUND(SUM(D255:D259),2)</f>
        <v>0</v>
      </c>
      <c r="E254" s="484"/>
      <c r="F254" s="465"/>
    </row>
    <row r="255" ht="20.1" customHeight="1" spans="1:6">
      <c r="A255" s="567" t="s">
        <v>5387</v>
      </c>
      <c r="B255" s="478"/>
      <c r="C255" s="539"/>
      <c r="D255" s="539"/>
      <c r="E255" s="484"/>
      <c r="F255" s="465"/>
    </row>
    <row r="256" ht="20.1" customHeight="1" spans="1:6">
      <c r="A256" s="568" t="s">
        <v>5385</v>
      </c>
      <c r="B256" s="478"/>
      <c r="C256" s="539"/>
      <c r="D256" s="539"/>
      <c r="E256" s="484"/>
      <c r="F256" s="465"/>
    </row>
    <row r="257" ht="20.1" customHeight="1" spans="1:6">
      <c r="A257" s="489"/>
      <c r="B257" s="478"/>
      <c r="C257" s="539"/>
      <c r="D257" s="539"/>
      <c r="E257" s="484"/>
      <c r="F257" s="465"/>
    </row>
    <row r="258" ht="20.1" customHeight="1" spans="1:6">
      <c r="A258" s="489"/>
      <c r="B258" s="478"/>
      <c r="C258" s="539"/>
      <c r="D258" s="539"/>
      <c r="E258" s="484"/>
      <c r="F258" s="465"/>
    </row>
    <row r="259" ht="20.1" customHeight="1" spans="1:6">
      <c r="A259" s="489"/>
      <c r="B259" s="478"/>
      <c r="C259" s="539"/>
      <c r="D259" s="539"/>
      <c r="E259" s="484"/>
      <c r="F259" s="465"/>
    </row>
    <row r="260" ht="20.1" customHeight="1" spans="1:6">
      <c r="A260" s="570" t="s">
        <v>5381</v>
      </c>
      <c r="B260" s="478"/>
      <c r="C260" s="566">
        <f>ROUND(C242-C248+C254,2)</f>
        <v>0</v>
      </c>
      <c r="D260" s="566">
        <f>ROUND(D242-D248+D254,2)</f>
        <v>2000000</v>
      </c>
      <c r="E260" s="480"/>
      <c r="F260" s="465"/>
    </row>
    <row r="261" ht="20.1" customHeight="1" spans="1:6">
      <c r="A261" s="494" t="s">
        <v>5265</v>
      </c>
      <c r="B261" s="495"/>
      <c r="C261" s="496"/>
      <c r="D261" s="496"/>
      <c r="E261" s="484"/>
      <c r="F261" s="465"/>
    </row>
    <row r="262" ht="20.1" customHeight="1" spans="1:6">
      <c r="A262" s="497" t="s">
        <v>5266</v>
      </c>
      <c r="B262" s="495"/>
      <c r="C262" s="496">
        <f>C260-C261</f>
        <v>0</v>
      </c>
      <c r="D262" s="496">
        <f>D260-D261</f>
        <v>2000000</v>
      </c>
      <c r="E262" s="556" t="s">
        <v>5389</v>
      </c>
      <c r="F262" s="465"/>
    </row>
    <row r="263" ht="20.1" customHeight="1" spans="1:6">
      <c r="A263" s="498" t="s">
        <v>5267</v>
      </c>
      <c r="B263" s="499"/>
      <c r="C263" s="583"/>
      <c r="D263" s="583"/>
      <c r="E263" s="572"/>
      <c r="F263" s="465"/>
    </row>
    <row r="264" ht="20.1" customHeight="1" spans="1:6">
      <c r="A264" s="457"/>
      <c r="B264" s="457"/>
      <c r="C264" s="457"/>
      <c r="D264" s="457"/>
      <c r="E264" s="516"/>
      <c r="F264" s="465"/>
    </row>
    <row r="265" ht="20.1" customHeight="1" spans="1:6">
      <c r="A265" s="505" t="s">
        <v>5423</v>
      </c>
      <c r="B265" s="505"/>
      <c r="C265" s="505"/>
      <c r="D265" s="505"/>
      <c r="E265" s="505"/>
      <c r="F265" s="465"/>
    </row>
    <row r="266" ht="20.1" customHeight="1" spans="1:6">
      <c r="A266" s="472" t="s">
        <v>1861</v>
      </c>
      <c r="B266" s="473"/>
      <c r="C266" s="473" t="s">
        <v>1862</v>
      </c>
      <c r="D266" s="473" t="s">
        <v>1863</v>
      </c>
      <c r="E266" s="474" t="s">
        <v>5269</v>
      </c>
      <c r="F266" s="465"/>
    </row>
    <row r="267" ht="24" spans="1:6">
      <c r="A267" s="506" t="s">
        <v>5424</v>
      </c>
      <c r="B267" s="478" t="s">
        <v>5221</v>
      </c>
      <c r="C267" s="546"/>
      <c r="D267" s="546"/>
      <c r="E267" s="484"/>
      <c r="F267" s="465"/>
    </row>
    <row r="268" spans="1:6">
      <c r="A268" s="506" t="s">
        <v>5425</v>
      </c>
      <c r="B268" s="478" t="s">
        <v>5223</v>
      </c>
      <c r="C268" s="546"/>
      <c r="D268" s="546"/>
      <c r="E268" s="484"/>
      <c r="F268" s="465"/>
    </row>
    <row r="269" ht="24" spans="1:6">
      <c r="A269" s="506" t="s">
        <v>5426</v>
      </c>
      <c r="B269" s="478" t="s">
        <v>5225</v>
      </c>
      <c r="C269" s="546"/>
      <c r="D269" s="546"/>
      <c r="E269" s="484"/>
      <c r="F269" s="465"/>
    </row>
    <row r="270" ht="20.1" customHeight="1" spans="1:6">
      <c r="A270" s="486"/>
      <c r="B270" s="581"/>
      <c r="C270" s="546">
        <v>20000000</v>
      </c>
      <c r="D270" s="546"/>
      <c r="E270" s="556" t="s">
        <v>5427</v>
      </c>
      <c r="F270" s="465"/>
    </row>
    <row r="271" ht="20.1" customHeight="1" spans="1:6">
      <c r="A271" s="563" t="s">
        <v>5374</v>
      </c>
      <c r="B271" s="564"/>
      <c r="C271" s="558">
        <f>SUM(C267:C270)</f>
        <v>20000000</v>
      </c>
      <c r="D271" s="558">
        <f>SUM(D267:D270)</f>
        <v>0</v>
      </c>
      <c r="E271" s="484"/>
      <c r="F271" s="465"/>
    </row>
    <row r="272" ht="20.1" customHeight="1" spans="1:6">
      <c r="A272" s="494" t="s">
        <v>5265</v>
      </c>
      <c r="B272" s="495"/>
      <c r="C272" s="496"/>
      <c r="D272" s="496"/>
      <c r="E272" s="484"/>
      <c r="F272" s="465"/>
    </row>
    <row r="273" ht="20.1" customHeight="1" spans="1:6">
      <c r="A273" s="497" t="s">
        <v>5266</v>
      </c>
      <c r="B273" s="495"/>
      <c r="C273" s="496">
        <f>C271-C272</f>
        <v>20000000</v>
      </c>
      <c r="D273" s="496">
        <f>D271-D272</f>
        <v>0</v>
      </c>
      <c r="E273" s="484"/>
      <c r="F273" s="465"/>
    </row>
    <row r="274" ht="20.1" customHeight="1" spans="1:6">
      <c r="A274" s="498" t="s">
        <v>5267</v>
      </c>
      <c r="B274" s="499"/>
      <c r="C274" s="500"/>
      <c r="D274" s="500"/>
      <c r="E274" s="572"/>
      <c r="F274" s="465"/>
    </row>
    <row r="275" ht="20.1" customHeight="1" spans="1:12">
      <c r="A275" s="518"/>
      <c r="B275" s="518"/>
      <c r="C275" s="519"/>
      <c r="D275" s="519"/>
      <c r="E275" s="576"/>
      <c r="F275" s="465"/>
      <c r="H275" s="577"/>
      <c r="I275" s="577"/>
      <c r="J275" s="577"/>
      <c r="K275" s="577"/>
      <c r="L275" s="577"/>
    </row>
    <row r="276" ht="20.1" customHeight="1" spans="1:12">
      <c r="A276" s="522" t="s">
        <v>5428</v>
      </c>
      <c r="B276" s="522"/>
      <c r="C276" s="522"/>
      <c r="D276" s="522"/>
      <c r="E276" s="522"/>
      <c r="F276" s="465"/>
      <c r="H276" s="579"/>
      <c r="I276" s="579"/>
      <c r="J276" s="579"/>
      <c r="K276" s="579"/>
      <c r="L276" s="579"/>
    </row>
    <row r="277" ht="20.1" customHeight="1" spans="1:10">
      <c r="A277" s="554" t="s">
        <v>5429</v>
      </c>
      <c r="B277" s="468"/>
      <c r="C277" s="468"/>
      <c r="D277" s="468"/>
      <c r="E277" s="469"/>
      <c r="F277" s="465"/>
      <c r="I277" s="476"/>
      <c r="J277" s="476"/>
    </row>
    <row r="278" ht="20.1" customHeight="1" spans="1:10">
      <c r="A278" s="472" t="s">
        <v>1861</v>
      </c>
      <c r="B278" s="473"/>
      <c r="C278" s="473" t="s">
        <v>1862</v>
      </c>
      <c r="D278" s="473" t="s">
        <v>1863</v>
      </c>
      <c r="E278" s="474" t="s">
        <v>5269</v>
      </c>
      <c r="F278" s="465"/>
      <c r="H278" s="457"/>
      <c r="I278" s="475"/>
      <c r="J278" s="475"/>
    </row>
    <row r="279" ht="20.1" customHeight="1" spans="1:10">
      <c r="A279" s="489" t="s">
        <v>5430</v>
      </c>
      <c r="B279" s="478" t="s">
        <v>5221</v>
      </c>
      <c r="C279" s="479">
        <f>报表附注!H2435+报表附注!G2472</f>
        <v>230642672</v>
      </c>
      <c r="D279" s="479"/>
      <c r="E279" s="480" t="s">
        <v>5431</v>
      </c>
      <c r="F279" s="550"/>
      <c r="G279" s="457"/>
      <c r="H279" s="457"/>
      <c r="I279" s="475"/>
      <c r="J279" s="475"/>
    </row>
    <row r="280" ht="20.1" customHeight="1" spans="1:10">
      <c r="A280" s="489" t="s">
        <v>5432</v>
      </c>
      <c r="B280" s="478" t="s">
        <v>5223</v>
      </c>
      <c r="C280" s="479"/>
      <c r="D280" s="479"/>
      <c r="E280" s="480" t="s">
        <v>1798</v>
      </c>
      <c r="F280" s="550"/>
      <c r="G280" s="457"/>
      <c r="H280" s="457"/>
      <c r="I280" s="475"/>
      <c r="J280" s="475"/>
    </row>
    <row r="281" ht="20.1" customHeight="1" spans="1:10">
      <c r="A281" s="584" t="s">
        <v>5433</v>
      </c>
      <c r="B281" s="2954" t="s">
        <v>5225</v>
      </c>
      <c r="C281" s="479"/>
      <c r="D281" s="479"/>
      <c r="E281" s="480"/>
      <c r="F281" s="550"/>
      <c r="G281" s="457"/>
      <c r="H281" s="457"/>
      <c r="I281" s="475"/>
      <c r="J281" s="475"/>
    </row>
    <row r="282" ht="20.1" customHeight="1" spans="1:10">
      <c r="A282" s="563" t="s">
        <v>5374</v>
      </c>
      <c r="B282" s="564"/>
      <c r="C282" s="558">
        <f>SUM(C279:C281)</f>
        <v>230642672</v>
      </c>
      <c r="D282" s="558">
        <f>D279+D280</f>
        <v>0</v>
      </c>
      <c r="E282" s="484"/>
      <c r="F282" s="550"/>
      <c r="G282" s="457"/>
      <c r="I282" s="475"/>
      <c r="J282" s="475"/>
    </row>
    <row r="283" ht="20.1" customHeight="1" spans="1:9">
      <c r="A283" s="494" t="s">
        <v>5265</v>
      </c>
      <c r="B283" s="495"/>
      <c r="C283" s="496"/>
      <c r="D283" s="496">
        <f>[48]审定表2013!F48</f>
        <v>0</v>
      </c>
      <c r="E283" s="484"/>
      <c r="F283" s="470"/>
      <c r="I283" s="475"/>
    </row>
    <row r="284" spans="1:9">
      <c r="A284" s="497" t="s">
        <v>5266</v>
      </c>
      <c r="B284" s="495"/>
      <c r="C284" s="496">
        <f>C282-C283</f>
        <v>230642672</v>
      </c>
      <c r="D284" s="496">
        <f>D282-D283</f>
        <v>0</v>
      </c>
      <c r="E284" s="586"/>
      <c r="F284" s="470"/>
      <c r="I284" s="475"/>
    </row>
    <row r="285" ht="29.25" customHeight="1" spans="1:9">
      <c r="A285" s="498" t="s">
        <v>5267</v>
      </c>
      <c r="B285" s="499"/>
      <c r="C285" s="500"/>
      <c r="D285" s="500"/>
      <c r="E285" s="586" t="s">
        <v>5434</v>
      </c>
      <c r="F285" s="470"/>
      <c r="I285" s="475"/>
    </row>
    <row r="286" ht="20.1" customHeight="1" spans="1:6">
      <c r="A286" s="457"/>
      <c r="B286" s="457"/>
      <c r="C286" s="457"/>
      <c r="D286" s="457"/>
      <c r="E286" s="516"/>
      <c r="F286" s="470"/>
    </row>
    <row r="287" ht="20.1" customHeight="1" spans="1:6">
      <c r="A287" s="505" t="s">
        <v>5435</v>
      </c>
      <c r="B287" s="505"/>
      <c r="C287" s="505"/>
      <c r="D287" s="505"/>
      <c r="E287" s="505"/>
      <c r="F287" s="465"/>
    </row>
    <row r="288" ht="20.1" customHeight="1" spans="1:6">
      <c r="A288" s="472" t="s">
        <v>1861</v>
      </c>
      <c r="B288" s="473"/>
      <c r="C288" s="473" t="s">
        <v>1862</v>
      </c>
      <c r="D288" s="473" t="s">
        <v>1863</v>
      </c>
      <c r="E288" s="474" t="s">
        <v>5269</v>
      </c>
      <c r="F288" s="465"/>
    </row>
    <row r="289" ht="20.1" customHeight="1" spans="1:6">
      <c r="A289" s="587" t="s">
        <v>5436</v>
      </c>
      <c r="B289" s="588" t="s">
        <v>5221</v>
      </c>
      <c r="C289" s="589"/>
      <c r="D289" s="589">
        <v>27000000</v>
      </c>
      <c r="E289" s="590" t="s">
        <v>1794</v>
      </c>
      <c r="F289" s="465"/>
    </row>
    <row r="290" ht="20.1" customHeight="1" spans="1:6">
      <c r="A290" s="587" t="s">
        <v>5437</v>
      </c>
      <c r="B290" s="588" t="s">
        <v>5223</v>
      </c>
      <c r="C290" s="589">
        <f>审定资负表!G7</f>
        <v>4850000</v>
      </c>
      <c r="D290" s="589"/>
      <c r="E290" s="591" t="s">
        <v>197</v>
      </c>
      <c r="F290" s="465"/>
    </row>
    <row r="291" ht="20.1" customHeight="1" spans="1:6">
      <c r="A291" s="592"/>
      <c r="B291" s="588"/>
      <c r="C291" s="589"/>
      <c r="D291" s="589"/>
      <c r="E291" s="590"/>
      <c r="F291" s="465"/>
    </row>
    <row r="292" ht="20.1" customHeight="1" spans="1:6">
      <c r="A292" s="593" t="s">
        <v>5438</v>
      </c>
      <c r="B292" s="594"/>
      <c r="C292" s="566">
        <f>SUM(C289:C291)</f>
        <v>4850000</v>
      </c>
      <c r="D292" s="566">
        <f>SUM(D289:D291)</f>
        <v>27000000</v>
      </c>
      <c r="E292" s="595"/>
      <c r="F292" s="465"/>
    </row>
    <row r="293" ht="20.1" customHeight="1" spans="1:6">
      <c r="A293" s="494" t="s">
        <v>5265</v>
      </c>
      <c r="B293" s="495"/>
      <c r="C293" s="542"/>
      <c r="D293" s="542"/>
      <c r="E293" s="595"/>
      <c r="F293" s="465"/>
    </row>
    <row r="294" ht="20.1" customHeight="1" spans="1:6">
      <c r="A294" s="596" t="s">
        <v>5266</v>
      </c>
      <c r="B294" s="597"/>
      <c r="C294" s="542">
        <f>C292-C293</f>
        <v>4850000</v>
      </c>
      <c r="D294" s="542">
        <f>D292-D293</f>
        <v>27000000</v>
      </c>
      <c r="E294" s="595"/>
      <c r="F294" s="465"/>
    </row>
    <row r="295" ht="20.1" customHeight="1" spans="1:6">
      <c r="A295" s="598" t="s">
        <v>5267</v>
      </c>
      <c r="B295" s="599"/>
      <c r="C295" s="545"/>
      <c r="D295" s="545"/>
      <c r="E295" s="600"/>
      <c r="F295" s="465"/>
    </row>
    <row r="296" ht="20.1" customHeight="1" spans="1:6">
      <c r="A296" s="601"/>
      <c r="B296" s="601"/>
      <c r="C296" s="601"/>
      <c r="D296" s="601"/>
      <c r="E296" s="602"/>
      <c r="F296" s="465"/>
    </row>
    <row r="297" ht="20.1" customHeight="1" spans="1:6">
      <c r="A297" s="603" t="s">
        <v>5439</v>
      </c>
      <c r="B297" s="603"/>
      <c r="C297" s="603"/>
      <c r="D297" s="603"/>
      <c r="E297" s="603"/>
      <c r="F297" s="465"/>
    </row>
    <row r="298" ht="20.1" customHeight="1" spans="1:6">
      <c r="A298" s="604" t="s">
        <v>1861</v>
      </c>
      <c r="B298" s="605"/>
      <c r="C298" s="605" t="s">
        <v>1862</v>
      </c>
      <c r="D298" s="605" t="s">
        <v>1863</v>
      </c>
      <c r="E298" s="606" t="s">
        <v>5269</v>
      </c>
      <c r="F298" s="465"/>
    </row>
    <row r="299" ht="20.1" customHeight="1" spans="1:6">
      <c r="A299" s="607" t="s">
        <v>5440</v>
      </c>
      <c r="B299" s="588" t="s">
        <v>5221</v>
      </c>
      <c r="C299" s="589"/>
      <c r="D299" s="589"/>
      <c r="E299" s="590"/>
      <c r="F299" s="465"/>
    </row>
    <row r="300" ht="20.1" customHeight="1" spans="1:6">
      <c r="A300" s="607" t="s">
        <v>5441</v>
      </c>
      <c r="B300" s="588" t="s">
        <v>5223</v>
      </c>
      <c r="C300" s="589"/>
      <c r="D300" s="589"/>
      <c r="E300" s="590"/>
      <c r="F300" s="465"/>
    </row>
    <row r="301" ht="20.1" customHeight="1" spans="1:6">
      <c r="A301" s="593" t="s">
        <v>5438</v>
      </c>
      <c r="B301" s="594"/>
      <c r="C301" s="566">
        <f>C299+C300</f>
        <v>0</v>
      </c>
      <c r="D301" s="566">
        <f>D299+D300</f>
        <v>0</v>
      </c>
      <c r="E301" s="595"/>
      <c r="F301" s="465"/>
    </row>
    <row r="302" ht="20.1" customHeight="1" spans="1:6">
      <c r="A302" s="494" t="s">
        <v>5265</v>
      </c>
      <c r="B302" s="495"/>
      <c r="C302" s="542"/>
      <c r="D302" s="542"/>
      <c r="E302" s="595"/>
      <c r="F302" s="465"/>
    </row>
    <row r="303" ht="20.1" customHeight="1" spans="1:6">
      <c r="A303" s="596" t="s">
        <v>5266</v>
      </c>
      <c r="B303" s="597"/>
      <c r="C303" s="542">
        <f>C301-C302</f>
        <v>0</v>
      </c>
      <c r="D303" s="542">
        <f>D301-D302</f>
        <v>0</v>
      </c>
      <c r="E303" s="595"/>
      <c r="F303" s="465"/>
    </row>
    <row r="304" ht="20.1" customHeight="1" spans="1:6">
      <c r="A304" s="598" t="s">
        <v>5267</v>
      </c>
      <c r="B304" s="599"/>
      <c r="C304" s="545"/>
      <c r="D304" s="545"/>
      <c r="E304" s="600"/>
      <c r="F304" s="465"/>
    </row>
    <row r="305" ht="20.1" customHeight="1" spans="1:6">
      <c r="A305" s="518"/>
      <c r="B305" s="518"/>
      <c r="C305" s="519"/>
      <c r="D305" s="519"/>
      <c r="E305" s="576"/>
      <c r="F305" s="465"/>
    </row>
    <row r="306" ht="20.1" customHeight="1" spans="1:6">
      <c r="A306" s="518"/>
      <c r="B306" s="518"/>
      <c r="C306" s="519"/>
      <c r="D306" s="519"/>
      <c r="E306" s="576"/>
      <c r="F306" s="465"/>
    </row>
    <row r="307" ht="20.1" customHeight="1" spans="1:6">
      <c r="A307" s="608" t="s">
        <v>5442</v>
      </c>
      <c r="B307" s="608"/>
      <c r="C307" s="608"/>
      <c r="D307" s="608"/>
      <c r="E307" s="608"/>
      <c r="F307" s="465"/>
    </row>
    <row r="308" ht="20.1" customHeight="1" spans="1:6">
      <c r="A308" s="603" t="s">
        <v>5443</v>
      </c>
      <c r="B308" s="603"/>
      <c r="C308" s="603"/>
      <c r="D308" s="603"/>
      <c r="E308" s="603"/>
      <c r="F308" s="465"/>
    </row>
    <row r="309" ht="20.1" customHeight="1" spans="1:6">
      <c r="A309" s="604" t="s">
        <v>1861</v>
      </c>
      <c r="B309" s="605"/>
      <c r="C309" s="605" t="s">
        <v>1862</v>
      </c>
      <c r="D309" s="605" t="s">
        <v>1863</v>
      </c>
      <c r="E309" s="606" t="s">
        <v>5269</v>
      </c>
      <c r="F309" s="465"/>
    </row>
    <row r="310" ht="20.1" customHeight="1" spans="1:6">
      <c r="A310" s="609" t="s">
        <v>5444</v>
      </c>
      <c r="B310" s="610" t="s">
        <v>5221</v>
      </c>
      <c r="C310" s="479"/>
      <c r="D310" s="479">
        <v>3900000</v>
      </c>
      <c r="E310" s="611" t="s">
        <v>1738</v>
      </c>
      <c r="F310" s="465"/>
    </row>
    <row r="311" ht="20.1" customHeight="1" spans="1:6">
      <c r="A311" s="609" t="s">
        <v>5445</v>
      </c>
      <c r="B311" s="610" t="s">
        <v>5223</v>
      </c>
      <c r="C311" s="479">
        <v>17994814.81</v>
      </c>
      <c r="D311" s="479">
        <v>13072592.59</v>
      </c>
      <c r="E311" s="612" t="s">
        <v>5446</v>
      </c>
      <c r="F311" s="465"/>
    </row>
    <row r="312" ht="20.1" customHeight="1" spans="1:6">
      <c r="A312" s="609" t="s">
        <v>5447</v>
      </c>
      <c r="B312" s="610" t="s">
        <v>5225</v>
      </c>
      <c r="C312" s="479"/>
      <c r="D312" s="479"/>
      <c r="E312" s="611" t="s">
        <v>1798</v>
      </c>
      <c r="F312" s="465"/>
    </row>
    <row r="313" ht="20.1" customHeight="1" spans="1:6">
      <c r="A313" s="613" t="s">
        <v>5448</v>
      </c>
      <c r="B313" s="610" t="s">
        <v>5449</v>
      </c>
      <c r="C313" s="479"/>
      <c r="D313" s="479"/>
      <c r="E313" s="612" t="s">
        <v>231</v>
      </c>
      <c r="F313" s="481"/>
    </row>
    <row r="314" ht="20.1" customHeight="1" spans="1:6">
      <c r="A314" s="563" t="s">
        <v>5450</v>
      </c>
      <c r="B314" s="564"/>
      <c r="C314" s="558">
        <f>SUM(C310:C313)</f>
        <v>17994814.81</v>
      </c>
      <c r="D314" s="558">
        <f>SUM(D310:D313)</f>
        <v>16972592.59</v>
      </c>
      <c r="E314" s="614"/>
      <c r="F314" s="465"/>
    </row>
    <row r="315" ht="20.1" customHeight="1" spans="1:6">
      <c r="A315" s="494" t="s">
        <v>5265</v>
      </c>
      <c r="B315" s="495"/>
      <c r="C315" s="496"/>
      <c r="D315" s="496"/>
      <c r="E315" s="614"/>
      <c r="F315" s="465"/>
    </row>
    <row r="316" ht="20.1" customHeight="1" spans="1:6">
      <c r="A316" s="615" t="s">
        <v>5266</v>
      </c>
      <c r="B316" s="616"/>
      <c r="C316" s="496">
        <f>C314-C315</f>
        <v>17994814.81</v>
      </c>
      <c r="D316" s="496">
        <f>D314-D315</f>
        <v>16972592.59</v>
      </c>
      <c r="E316" s="614"/>
      <c r="F316" s="465"/>
    </row>
    <row r="317" ht="20.1" customHeight="1" spans="1:6">
      <c r="A317" s="617" t="s">
        <v>5267</v>
      </c>
      <c r="B317" s="618"/>
      <c r="C317" s="545"/>
      <c r="D317" s="545"/>
      <c r="E317" s="619"/>
      <c r="F317" s="465"/>
    </row>
    <row r="318" ht="20.1" customHeight="1" spans="1:6">
      <c r="A318" s="620"/>
      <c r="B318" s="620"/>
      <c r="C318" s="519"/>
      <c r="D318" s="519"/>
      <c r="E318" s="621"/>
      <c r="F318" s="465"/>
    </row>
    <row r="319" ht="20.1" customHeight="1" spans="1:6">
      <c r="A319" s="603" t="s">
        <v>5451</v>
      </c>
      <c r="B319" s="603"/>
      <c r="C319" s="603"/>
      <c r="D319" s="603"/>
      <c r="E319" s="603"/>
      <c r="F319" s="465"/>
    </row>
    <row r="320" ht="20.1" customHeight="1" spans="1:6">
      <c r="A320" s="604" t="s">
        <v>1861</v>
      </c>
      <c r="B320" s="605"/>
      <c r="C320" s="605" t="s">
        <v>1862</v>
      </c>
      <c r="D320" s="605" t="s">
        <v>1863</v>
      </c>
      <c r="E320" s="606" t="s">
        <v>5269</v>
      </c>
      <c r="F320" s="465"/>
    </row>
    <row r="321" ht="20.1" customHeight="1" spans="1:6">
      <c r="A321" s="609" t="s">
        <v>5452</v>
      </c>
      <c r="B321" s="610" t="s">
        <v>5221</v>
      </c>
      <c r="C321" s="589"/>
      <c r="D321" s="589">
        <v>18800000</v>
      </c>
      <c r="E321" s="611" t="s">
        <v>5453</v>
      </c>
      <c r="F321" s="465"/>
    </row>
    <row r="322" ht="20.1" customHeight="1" spans="1:6">
      <c r="A322" s="609" t="s">
        <v>5454</v>
      </c>
      <c r="B322" s="610" t="s">
        <v>5223</v>
      </c>
      <c r="C322" s="479"/>
      <c r="D322" s="479"/>
      <c r="E322" s="611" t="s">
        <v>5455</v>
      </c>
      <c r="F322" s="465"/>
    </row>
    <row r="323" ht="24" spans="1:6">
      <c r="A323" s="609" t="s">
        <v>5456</v>
      </c>
      <c r="B323" s="610" t="s">
        <v>5225</v>
      </c>
      <c r="C323" s="479">
        <f>4744825.42+31080.39</f>
        <v>4775905.81</v>
      </c>
      <c r="D323" s="479">
        <f>4711809.11-13108.14</f>
        <v>4698700.97</v>
      </c>
      <c r="E323" s="611" t="s">
        <v>5457</v>
      </c>
      <c r="F323" s="465"/>
    </row>
    <row r="324" ht="24" spans="1:6">
      <c r="A324" s="609" t="s">
        <v>5458</v>
      </c>
      <c r="B324" s="610" t="s">
        <v>5229</v>
      </c>
      <c r="C324" s="479"/>
      <c r="D324" s="479"/>
      <c r="E324" s="611" t="s">
        <v>5459</v>
      </c>
      <c r="F324" s="465"/>
    </row>
    <row r="325" ht="20.1" customHeight="1" spans="1:6">
      <c r="A325" s="613" t="s">
        <v>5460</v>
      </c>
      <c r="B325" s="610" t="s">
        <v>5461</v>
      </c>
      <c r="C325" s="479"/>
      <c r="D325" s="479"/>
      <c r="E325" s="611"/>
      <c r="F325" s="465"/>
    </row>
    <row r="326" ht="20.1" customHeight="1" spans="1:6">
      <c r="A326" s="622"/>
      <c r="B326" s="610"/>
      <c r="C326" s="479"/>
      <c r="D326" s="479"/>
      <c r="E326" s="611"/>
      <c r="F326" s="465"/>
    </row>
    <row r="327" ht="20.1" customHeight="1" spans="1:6">
      <c r="A327" s="623" t="s">
        <v>5462</v>
      </c>
      <c r="B327" s="624"/>
      <c r="C327" s="558">
        <f>SUM(C321:C324)</f>
        <v>4775905.81</v>
      </c>
      <c r="D327" s="558">
        <f>SUM(D321:D324)</f>
        <v>23498700.97</v>
      </c>
      <c r="E327" s="614"/>
      <c r="F327" s="465"/>
    </row>
    <row r="328" ht="20.1" customHeight="1" spans="1:6">
      <c r="A328" s="494" t="s">
        <v>5265</v>
      </c>
      <c r="B328" s="495"/>
      <c r="C328" s="496"/>
      <c r="D328" s="496"/>
      <c r="E328" s="614"/>
      <c r="F328" s="465"/>
    </row>
    <row r="329" ht="20.1" customHeight="1" spans="1:6">
      <c r="A329" s="615" t="s">
        <v>5266</v>
      </c>
      <c r="B329" s="616"/>
      <c r="C329" s="496">
        <f>C327-C328</f>
        <v>4775905.81</v>
      </c>
      <c r="D329" s="496">
        <f>D327-D328</f>
        <v>23498700.97</v>
      </c>
      <c r="E329" s="614"/>
      <c r="F329" s="465"/>
    </row>
    <row r="330" ht="20.1" customHeight="1" spans="1:6">
      <c r="A330" s="617" t="s">
        <v>5267</v>
      </c>
      <c r="B330" s="618"/>
      <c r="C330" s="500"/>
      <c r="D330" s="500"/>
      <c r="E330" s="619"/>
      <c r="F330" s="465"/>
    </row>
    <row r="331" ht="20.1" customHeight="1" spans="1:6">
      <c r="A331" s="625"/>
      <c r="B331" s="625"/>
      <c r="C331" s="625"/>
      <c r="D331" s="625"/>
      <c r="E331" s="626"/>
      <c r="F331" s="465"/>
    </row>
    <row r="332" ht="20.1" customHeight="1" spans="1:6">
      <c r="A332" s="603" t="s">
        <v>5463</v>
      </c>
      <c r="B332" s="603"/>
      <c r="C332" s="603"/>
      <c r="D332" s="603"/>
      <c r="E332" s="603"/>
      <c r="F332" s="465"/>
    </row>
    <row r="333" ht="20.1" customHeight="1" spans="1:6">
      <c r="A333" s="604" t="s">
        <v>1861</v>
      </c>
      <c r="B333" s="605"/>
      <c r="C333" s="605" t="s">
        <v>1862</v>
      </c>
      <c r="D333" s="605" t="s">
        <v>1863</v>
      </c>
      <c r="E333" s="606" t="s">
        <v>5269</v>
      </c>
      <c r="F333" s="465"/>
    </row>
    <row r="334" ht="20.1" customHeight="1" spans="1:6">
      <c r="A334" s="609" t="s">
        <v>5464</v>
      </c>
      <c r="B334" s="610" t="s">
        <v>5221</v>
      </c>
      <c r="C334" s="589"/>
      <c r="D334" s="589"/>
      <c r="E334" s="611" t="s">
        <v>1802</v>
      </c>
      <c r="F334" s="465"/>
    </row>
    <row r="335" ht="28.5" customHeight="1" spans="1:6">
      <c r="A335" s="609" t="s">
        <v>5465</v>
      </c>
      <c r="B335" s="610" t="s">
        <v>5223</v>
      </c>
      <c r="C335" s="589"/>
      <c r="D335" s="589"/>
      <c r="E335" s="611" t="s">
        <v>5466</v>
      </c>
      <c r="F335" s="465"/>
    </row>
    <row r="336" ht="20.1" customHeight="1" spans="1:6">
      <c r="A336" s="609" t="s">
        <v>5467</v>
      </c>
      <c r="B336" s="610" t="s">
        <v>5225</v>
      </c>
      <c r="C336" s="589"/>
      <c r="D336" s="589"/>
      <c r="E336" s="611"/>
      <c r="F336" s="465"/>
    </row>
    <row r="337" ht="20.1" customHeight="1" spans="1:6">
      <c r="A337" s="609" t="s">
        <v>5468</v>
      </c>
      <c r="B337" s="610" t="s">
        <v>5229</v>
      </c>
      <c r="C337" s="589"/>
      <c r="D337" s="589"/>
      <c r="E337" s="611"/>
      <c r="F337" s="465"/>
    </row>
    <row r="338" ht="20.1" customHeight="1" spans="1:6">
      <c r="A338" s="623" t="s">
        <v>5469</v>
      </c>
      <c r="B338" s="624"/>
      <c r="C338" s="566">
        <f>SUM(C334:C337)</f>
        <v>0</v>
      </c>
      <c r="D338" s="566">
        <f>SUM(D334:D337)</f>
        <v>0</v>
      </c>
      <c r="E338" s="614"/>
      <c r="F338" s="465"/>
    </row>
    <row r="339" ht="20.1" customHeight="1" spans="1:6">
      <c r="A339" s="494" t="s">
        <v>5265</v>
      </c>
      <c r="B339" s="495"/>
      <c r="C339" s="542"/>
      <c r="D339" s="542"/>
      <c r="E339" s="614"/>
      <c r="F339" s="465"/>
    </row>
    <row r="340" ht="20.1" customHeight="1" spans="1:6">
      <c r="A340" s="615" t="s">
        <v>5266</v>
      </c>
      <c r="B340" s="616"/>
      <c r="C340" s="542">
        <f>C338-C339</f>
        <v>0</v>
      </c>
      <c r="D340" s="542">
        <f>D338-D339</f>
        <v>0</v>
      </c>
      <c r="E340" s="614"/>
      <c r="F340" s="465"/>
    </row>
    <row r="341" ht="20.1" customHeight="1" spans="1:6">
      <c r="A341" s="617" t="s">
        <v>5267</v>
      </c>
      <c r="B341" s="618"/>
      <c r="C341" s="545"/>
      <c r="D341" s="545"/>
      <c r="E341" s="619"/>
      <c r="F341" s="465"/>
    </row>
    <row r="342" ht="20.1" customHeight="1" spans="1:6">
      <c r="A342" s="620"/>
      <c r="B342" s="620"/>
      <c r="C342" s="627"/>
      <c r="D342" s="627"/>
      <c r="E342" s="628"/>
      <c r="F342" s="465"/>
    </row>
    <row r="343" ht="20.1" customHeight="1" spans="1:6">
      <c r="A343" s="629" t="s">
        <v>5470</v>
      </c>
      <c r="B343" s="629"/>
      <c r="C343" s="629"/>
      <c r="D343" s="629"/>
      <c r="E343" s="629"/>
      <c r="F343" s="465"/>
    </row>
    <row r="344" ht="20.1" customHeight="1" spans="1:6">
      <c r="A344" s="603" t="s">
        <v>5471</v>
      </c>
      <c r="B344" s="603"/>
      <c r="C344" s="603"/>
      <c r="D344" s="603"/>
      <c r="E344" s="603"/>
      <c r="F344" s="465"/>
    </row>
    <row r="345" ht="20.1" customHeight="1" spans="1:6">
      <c r="A345" s="604" t="s">
        <v>1861</v>
      </c>
      <c r="B345" s="605"/>
      <c r="C345" s="605" t="s">
        <v>1862</v>
      </c>
      <c r="D345" s="605" t="s">
        <v>1863</v>
      </c>
      <c r="E345" s="606" t="s">
        <v>5269</v>
      </c>
      <c r="F345" s="465"/>
    </row>
    <row r="346" ht="20.1" customHeight="1" spans="1:6">
      <c r="A346" s="609" t="s">
        <v>5472</v>
      </c>
      <c r="B346" s="610" t="s">
        <v>5221</v>
      </c>
      <c r="C346" s="630">
        <f>报表附注!F2734</f>
        <v>6277143.46</v>
      </c>
      <c r="D346" s="630">
        <f>报表附注!G2734</f>
        <v>6623057.53</v>
      </c>
      <c r="E346" s="631"/>
      <c r="F346" s="465"/>
    </row>
    <row r="347" ht="20.1" customHeight="1" spans="1:6">
      <c r="A347" s="609" t="s">
        <v>5473</v>
      </c>
      <c r="B347" s="610" t="s">
        <v>5223</v>
      </c>
      <c r="C347" s="630"/>
      <c r="D347" s="630"/>
      <c r="E347" s="631"/>
      <c r="F347" s="465"/>
    </row>
    <row r="348" ht="20.1" customHeight="1" spans="1:6">
      <c r="A348" s="609" t="s">
        <v>5468</v>
      </c>
      <c r="B348" s="610" t="s">
        <v>5225</v>
      </c>
      <c r="C348" s="630"/>
      <c r="D348" s="630"/>
      <c r="E348" s="631"/>
      <c r="F348" s="465"/>
    </row>
    <row r="349" ht="20.1" customHeight="1" spans="1:6">
      <c r="A349" s="632" t="s">
        <v>5474</v>
      </c>
      <c r="B349" s="610" t="s">
        <v>5229</v>
      </c>
      <c r="C349" s="630"/>
      <c r="D349" s="630"/>
      <c r="E349" s="631"/>
      <c r="F349" s="465"/>
    </row>
    <row r="350" ht="20.1" customHeight="1" spans="1:6">
      <c r="A350" s="632"/>
      <c r="B350" s="610"/>
      <c r="C350" s="630"/>
      <c r="D350" s="630"/>
      <c r="E350" s="631"/>
      <c r="F350" s="465"/>
    </row>
    <row r="351" ht="20.1" customHeight="1" spans="1:6">
      <c r="A351" s="633" t="s">
        <v>5475</v>
      </c>
      <c r="B351" s="634"/>
      <c r="C351" s="542">
        <f>SUM(C346:C349)</f>
        <v>6277143.46</v>
      </c>
      <c r="D351" s="542">
        <f>SUM(D346:D349)</f>
        <v>6623057.53</v>
      </c>
      <c r="E351" s="631"/>
      <c r="F351" s="465"/>
    </row>
    <row r="352" ht="20.1" customHeight="1" spans="1:6">
      <c r="A352" s="494" t="s">
        <v>5265</v>
      </c>
      <c r="B352" s="495"/>
      <c r="C352" s="542"/>
      <c r="D352" s="542"/>
      <c r="E352" s="631"/>
      <c r="F352" s="465"/>
    </row>
    <row r="353" ht="20.1" customHeight="1" spans="1:6">
      <c r="A353" s="615" t="s">
        <v>5266</v>
      </c>
      <c r="B353" s="616"/>
      <c r="C353" s="542">
        <f>C351-C352</f>
        <v>6277143.46</v>
      </c>
      <c r="D353" s="542">
        <f>D351-D352</f>
        <v>6623057.53</v>
      </c>
      <c r="E353" s="631"/>
      <c r="F353" s="465"/>
    </row>
    <row r="354" ht="20.1" customHeight="1" spans="1:6">
      <c r="A354" s="617" t="s">
        <v>5267</v>
      </c>
      <c r="B354" s="618"/>
      <c r="C354" s="545"/>
      <c r="D354" s="545"/>
      <c r="E354" s="635"/>
      <c r="F354" s="465"/>
    </row>
    <row r="355" ht="20.1" customHeight="1" spans="1:6">
      <c r="A355" s="636"/>
      <c r="B355" s="636"/>
      <c r="C355" s="582"/>
      <c r="D355" s="582"/>
      <c r="E355" s="637"/>
      <c r="F355" s="465"/>
    </row>
    <row r="356" ht="20.1" customHeight="1" spans="1:6">
      <c r="A356" s="603" t="s">
        <v>5476</v>
      </c>
      <c r="B356" s="603"/>
      <c r="C356" s="603"/>
      <c r="D356" s="603"/>
      <c r="E356" s="603"/>
      <c r="F356" s="465"/>
    </row>
    <row r="357" ht="20.1" customHeight="1" spans="1:6">
      <c r="A357" s="604" t="s">
        <v>1861</v>
      </c>
      <c r="B357" s="605"/>
      <c r="C357" s="605" t="s">
        <v>1862</v>
      </c>
      <c r="D357" s="605" t="s">
        <v>1863</v>
      </c>
      <c r="E357" s="606" t="s">
        <v>5269</v>
      </c>
      <c r="F357" s="465"/>
    </row>
    <row r="358" ht="20.1" customHeight="1" spans="1:6">
      <c r="A358" s="632" t="s">
        <v>5477</v>
      </c>
      <c r="B358" s="610" t="s">
        <v>5221</v>
      </c>
      <c r="C358" s="530">
        <f>审定资负表!D15-审定资负表!C15</f>
        <v>-22135644.94</v>
      </c>
      <c r="D358" s="530">
        <f>[43]审定资负表!$C$15-[43]审定资负表!$D$15</f>
        <v>-1647900.77</v>
      </c>
      <c r="E358" s="631"/>
      <c r="F358" s="465">
        <v>1400</v>
      </c>
    </row>
    <row r="359" ht="24" spans="1:6">
      <c r="A359" s="632" t="s">
        <v>5478</v>
      </c>
      <c r="B359" s="610" t="s">
        <v>5223</v>
      </c>
      <c r="C359" s="630">
        <f>C66</f>
        <v>0</v>
      </c>
      <c r="D359" s="630"/>
      <c r="E359" s="631"/>
      <c r="F359" s="465"/>
    </row>
    <row r="360" spans="1:6">
      <c r="A360" s="632" t="s">
        <v>5479</v>
      </c>
      <c r="B360" s="610" t="s">
        <v>5225</v>
      </c>
      <c r="C360" s="630"/>
      <c r="D360" s="630">
        <f>D66</f>
        <v>0</v>
      </c>
      <c r="E360" s="638" t="s">
        <v>236</v>
      </c>
      <c r="F360" s="465"/>
    </row>
    <row r="361" ht="20.1" customHeight="1" spans="1:6">
      <c r="A361" s="639" t="s">
        <v>5374</v>
      </c>
      <c r="B361" s="610"/>
      <c r="C361" s="542">
        <f>C358+C359-C360</f>
        <v>-22135644.94</v>
      </c>
      <c r="D361" s="542">
        <f>D358+D359-D360</f>
        <v>-1647900.77</v>
      </c>
      <c r="E361" s="631"/>
      <c r="F361" s="465"/>
    </row>
    <row r="362" ht="20.1" customHeight="1" spans="1:6">
      <c r="A362" s="494" t="s">
        <v>5265</v>
      </c>
      <c r="B362" s="495"/>
      <c r="C362" s="542"/>
      <c r="D362" s="542"/>
      <c r="E362" s="631"/>
      <c r="F362" s="465"/>
    </row>
    <row r="363" ht="20.1" customHeight="1" spans="1:6">
      <c r="A363" s="615" t="s">
        <v>5266</v>
      </c>
      <c r="B363" s="616"/>
      <c r="C363" s="542">
        <f>C361-C362</f>
        <v>-22135644.94</v>
      </c>
      <c r="D363" s="542">
        <f>D361-D362</f>
        <v>-1647900.77</v>
      </c>
      <c r="E363" s="631"/>
      <c r="F363" s="465"/>
    </row>
    <row r="364" ht="20.1" customHeight="1" spans="1:6">
      <c r="A364" s="617" t="s">
        <v>5267</v>
      </c>
      <c r="B364" s="618"/>
      <c r="C364" s="545"/>
      <c r="D364" s="545"/>
      <c r="E364" s="635"/>
      <c r="F364" s="465"/>
    </row>
    <row r="365" ht="20.1" customHeight="1" spans="1:6">
      <c r="A365" s="636"/>
      <c r="B365" s="636"/>
      <c r="C365" s="582"/>
      <c r="D365" s="582"/>
      <c r="E365" s="637"/>
      <c r="F365" s="465"/>
    </row>
    <row r="366" ht="20.1" customHeight="1" spans="1:6">
      <c r="A366" s="603" t="s">
        <v>5480</v>
      </c>
      <c r="B366" s="603"/>
      <c r="C366" s="603"/>
      <c r="D366" s="603"/>
      <c r="E366" s="603"/>
      <c r="F366" s="465"/>
    </row>
    <row r="367" ht="20.1" customHeight="1" spans="1:6">
      <c r="A367" s="604" t="s">
        <v>1861</v>
      </c>
      <c r="B367" s="605"/>
      <c r="C367" s="605" t="s">
        <v>1862</v>
      </c>
      <c r="D367" s="605" t="s">
        <v>1863</v>
      </c>
      <c r="E367" s="606" t="s">
        <v>5269</v>
      </c>
      <c r="F367" s="465"/>
    </row>
    <row r="368" ht="20.1" customHeight="1" spans="1:6">
      <c r="A368" s="482" t="s">
        <v>5481</v>
      </c>
      <c r="B368" s="478" t="s">
        <v>5221</v>
      </c>
      <c r="C368" s="479">
        <f>审定资负表!D14-审定资负表!C14</f>
        <v>-489790.159999996</v>
      </c>
      <c r="D368" s="479">
        <f>[43]审定资负表!$D$14-[43]审定资负表!$C$14</f>
        <v>192105891.57</v>
      </c>
      <c r="E368" s="480"/>
      <c r="F368" s="465">
        <v>1221</v>
      </c>
    </row>
    <row r="369" ht="20.1" customHeight="1" spans="1:6">
      <c r="A369" s="482" t="s">
        <v>5482</v>
      </c>
      <c r="B369" s="478" t="s">
        <v>5223</v>
      </c>
      <c r="C369" s="479"/>
      <c r="D369" s="479"/>
      <c r="E369" s="493"/>
      <c r="F369" s="465">
        <v>1121</v>
      </c>
    </row>
    <row r="370" ht="20.1" customHeight="1" spans="1:6">
      <c r="A370" s="482" t="s">
        <v>5231</v>
      </c>
      <c r="B370" s="478" t="s">
        <v>5225</v>
      </c>
      <c r="C370" s="479">
        <f>审定资负表!D10-审定资负表!C10</f>
        <v>4555236.22</v>
      </c>
      <c r="D370" s="479">
        <f>[43]审定资负表!$D$10-[43]审定资负表!$C$10</f>
        <v>11332165.45</v>
      </c>
      <c r="E370" s="493"/>
      <c r="F370" s="465">
        <v>1122</v>
      </c>
    </row>
    <row r="371" ht="20.1" customHeight="1" spans="1:6">
      <c r="A371" s="482" t="s">
        <v>5483</v>
      </c>
      <c r="B371" s="478" t="s">
        <v>5229</v>
      </c>
      <c r="C371" s="479">
        <f>审定资负表!D11-审定资负表!C11</f>
        <v>517041.43</v>
      </c>
      <c r="D371" s="479">
        <f>[43]审定资负表!$D$11-[43]审定资负表!$C$11</f>
        <v>-1956687.88</v>
      </c>
      <c r="E371" s="493"/>
      <c r="F371" s="465">
        <v>1123</v>
      </c>
    </row>
    <row r="372" ht="20.1" customHeight="1" spans="1:6">
      <c r="A372" s="486" t="s">
        <v>5484</v>
      </c>
      <c r="B372" s="478" t="s">
        <v>5232</v>
      </c>
      <c r="C372" s="485"/>
      <c r="D372" s="485"/>
      <c r="E372" s="493"/>
      <c r="F372" s="465"/>
    </row>
    <row r="373" ht="30.75" customHeight="1" spans="1:6">
      <c r="A373" s="488" t="s">
        <v>5485</v>
      </c>
      <c r="B373" s="478" t="s">
        <v>5235</v>
      </c>
      <c r="C373" s="485"/>
      <c r="D373" s="485"/>
      <c r="E373" s="493"/>
      <c r="F373" s="465"/>
    </row>
    <row r="374" ht="20.1" customHeight="1" spans="1:6">
      <c r="A374" s="489" t="s">
        <v>5252</v>
      </c>
      <c r="B374" s="478" t="s">
        <v>5238</v>
      </c>
      <c r="C374" s="485"/>
      <c r="D374" s="485"/>
      <c r="E374" s="493"/>
      <c r="F374" s="465"/>
    </row>
    <row r="375" ht="20.1" customHeight="1" spans="1:6">
      <c r="A375" s="482" t="s">
        <v>5486</v>
      </c>
      <c r="B375" s="478" t="s">
        <v>5241</v>
      </c>
      <c r="C375" s="485"/>
      <c r="D375" s="485"/>
      <c r="E375" s="493"/>
      <c r="F375" s="465"/>
    </row>
    <row r="376" ht="20.1" customHeight="1" spans="1:6">
      <c r="A376" s="489" t="s">
        <v>5260</v>
      </c>
      <c r="B376" s="478" t="s">
        <v>5244</v>
      </c>
      <c r="C376" s="485"/>
      <c r="D376" s="485"/>
      <c r="E376" s="493"/>
      <c r="F376" s="465"/>
    </row>
    <row r="377" ht="20.1" customHeight="1" spans="1:6">
      <c r="A377" s="511"/>
      <c r="B377" s="478"/>
      <c r="C377" s="485"/>
      <c r="D377" s="485"/>
      <c r="E377" s="507"/>
      <c r="F377" s="465"/>
    </row>
    <row r="378" ht="20.1" customHeight="1" spans="1:6">
      <c r="A378" s="490" t="s">
        <v>5487</v>
      </c>
      <c r="B378" s="491"/>
      <c r="C378" s="496">
        <f>C368+C369+C370+C371-C372-C373-C374-C375-C376</f>
        <v>4582487.49000001</v>
      </c>
      <c r="D378" s="496">
        <f>D368+D369+D370+D371-D372-D373-D374-D375-D376</f>
        <v>201481369.14</v>
      </c>
      <c r="E378" s="493"/>
      <c r="F378" s="465"/>
    </row>
    <row r="379" ht="20.1" customHeight="1" spans="1:6">
      <c r="A379" s="494" t="s">
        <v>5265</v>
      </c>
      <c r="B379" s="495"/>
      <c r="C379" s="496"/>
      <c r="D379" s="496"/>
      <c r="E379" s="493"/>
      <c r="F379" s="465"/>
    </row>
    <row r="380" ht="20.1" customHeight="1" spans="1:6">
      <c r="A380" s="497" t="s">
        <v>5266</v>
      </c>
      <c r="B380" s="495"/>
      <c r="C380" s="496">
        <f>C378-C379</f>
        <v>4582487.49000001</v>
      </c>
      <c r="D380" s="496">
        <f>D378-D379</f>
        <v>201481369.14</v>
      </c>
      <c r="E380" s="493"/>
      <c r="F380" s="465"/>
    </row>
    <row r="381" ht="20.1" customHeight="1" spans="1:6">
      <c r="A381" s="498" t="s">
        <v>5267</v>
      </c>
      <c r="B381" s="499"/>
      <c r="C381" s="500"/>
      <c r="D381" s="500"/>
      <c r="E381" s="501"/>
      <c r="F381" s="465"/>
    </row>
    <row r="382" ht="20.1" customHeight="1" spans="1:6">
      <c r="A382" s="502"/>
      <c r="B382" s="502"/>
      <c r="C382" s="503"/>
      <c r="D382" s="503"/>
      <c r="E382" s="504"/>
      <c r="F382" s="465"/>
    </row>
    <row r="383" ht="20.1" customHeight="1" spans="1:6">
      <c r="A383" s="603" t="s">
        <v>5488</v>
      </c>
      <c r="B383" s="603"/>
      <c r="C383" s="603"/>
      <c r="D383" s="603"/>
      <c r="E383" s="603"/>
      <c r="F383" s="465"/>
    </row>
    <row r="384" ht="20.1" customHeight="1" spans="1:6">
      <c r="A384" s="640" t="s">
        <v>1861</v>
      </c>
      <c r="B384" s="641"/>
      <c r="C384" s="641" t="s">
        <v>1862</v>
      </c>
      <c r="D384" s="641" t="s">
        <v>1863</v>
      </c>
      <c r="E384" s="642" t="s">
        <v>5269</v>
      </c>
      <c r="F384" s="465"/>
    </row>
    <row r="385" ht="20.1" customHeight="1" spans="1:6">
      <c r="A385" s="482" t="s">
        <v>5489</v>
      </c>
      <c r="B385" s="478" t="s">
        <v>5221</v>
      </c>
      <c r="C385" s="479">
        <f>审定资负表!G10-审定资负表!H10</f>
        <v>25338674.24</v>
      </c>
      <c r="D385" s="479">
        <f>[43]审定资负表!$G$10-[43]审定资负表!$H$10</f>
        <v>-16229172.29</v>
      </c>
      <c r="E385" s="493"/>
      <c r="F385" s="465">
        <v>2202</v>
      </c>
    </row>
    <row r="386" ht="20.1" customHeight="1" spans="1:6">
      <c r="A386" s="482" t="s">
        <v>5490</v>
      </c>
      <c r="B386" s="478" t="s">
        <v>5223</v>
      </c>
      <c r="C386" s="479">
        <f>审定资负表!G9-审定资负表!H9</f>
        <v>-2882889</v>
      </c>
      <c r="D386" s="479">
        <f>[43]审定资负表!$G$9-[43]审定资负表!$H$9</f>
        <v>1801473.5</v>
      </c>
      <c r="E386" s="493"/>
      <c r="F386" s="465">
        <v>2201</v>
      </c>
    </row>
    <row r="387" ht="20.1" customHeight="1" spans="1:6">
      <c r="A387" s="482" t="s">
        <v>5491</v>
      </c>
      <c r="B387" s="478" t="s">
        <v>5225</v>
      </c>
      <c r="C387" s="479">
        <f>审定资负表!G11-审定资负表!H11</f>
        <v>-4711102.57</v>
      </c>
      <c r="D387" s="479">
        <f>[43]审定资负表!$G$11-[43]审定资负表!$H$11</f>
        <v>6415887</v>
      </c>
      <c r="E387" s="493"/>
      <c r="F387" s="465">
        <v>2203</v>
      </c>
    </row>
    <row r="388" ht="20.1" customHeight="1" spans="1:6">
      <c r="A388" s="482" t="s">
        <v>5492</v>
      </c>
      <c r="B388" s="478" t="s">
        <v>5229</v>
      </c>
      <c r="C388" s="479">
        <f>审定资负表!G16-审定资负表!H16</f>
        <v>12546279.34</v>
      </c>
      <c r="D388" s="479">
        <f>[43]审定资负表!$G$16-[43]审定资负表!$H$16</f>
        <v>6262355.93</v>
      </c>
      <c r="E388" s="493"/>
      <c r="F388" s="465">
        <v>2241</v>
      </c>
    </row>
    <row r="389" ht="20.1" customHeight="1" spans="1:6">
      <c r="A389" s="482" t="s">
        <v>5493</v>
      </c>
      <c r="B389" s="478" t="s">
        <v>5232</v>
      </c>
      <c r="C389" s="479">
        <f>审定资负表!G13-审定资负表!H13</f>
        <v>-5208181.81</v>
      </c>
      <c r="D389" s="479">
        <f>[43]审定资负表!$G$13-[43]审定资负表!$H$13</f>
        <v>-408189.1</v>
      </c>
      <c r="E389" s="493"/>
      <c r="F389" s="465">
        <v>2221</v>
      </c>
    </row>
    <row r="390" ht="20.1" customHeight="1" spans="1:6">
      <c r="A390" s="482" t="s">
        <v>5494</v>
      </c>
      <c r="B390" s="478" t="s">
        <v>5235</v>
      </c>
      <c r="C390" s="479">
        <f>审定资负表!G12-审定资负表!H12</f>
        <v>299509.99</v>
      </c>
      <c r="D390" s="479">
        <f>[43]审定资负表!$G$12-[43]审定资负表!$H$12</f>
        <v>536951.31</v>
      </c>
      <c r="E390" s="493"/>
      <c r="F390" s="465">
        <v>2211</v>
      </c>
    </row>
    <row r="391" ht="20.1" customHeight="1" spans="1:6">
      <c r="A391" s="482" t="s">
        <v>5495</v>
      </c>
      <c r="B391" s="478" t="s">
        <v>5238</v>
      </c>
      <c r="C391" s="485">
        <f>-C79</f>
        <v>0</v>
      </c>
      <c r="D391" s="485">
        <f>-D79</f>
        <v>0</v>
      </c>
      <c r="E391" s="493"/>
      <c r="F391" s="465"/>
    </row>
    <row r="392" spans="1:6">
      <c r="A392" s="482" t="s">
        <v>5496</v>
      </c>
      <c r="B392" s="478" t="s">
        <v>5241</v>
      </c>
      <c r="C392" s="485"/>
      <c r="D392" s="485"/>
      <c r="E392" s="493"/>
      <c r="F392" s="465"/>
    </row>
    <row r="393" spans="1:6">
      <c r="A393" s="482" t="s">
        <v>5497</v>
      </c>
      <c r="B393" s="478" t="s">
        <v>5244</v>
      </c>
      <c r="C393" s="485"/>
      <c r="D393" s="485"/>
      <c r="E393" s="493"/>
      <c r="F393" s="465"/>
    </row>
    <row r="394" ht="20.1" customHeight="1" spans="1:6">
      <c r="A394" s="482" t="s">
        <v>5498</v>
      </c>
      <c r="B394" s="478" t="s">
        <v>5247</v>
      </c>
      <c r="C394" s="485"/>
      <c r="D394" s="485"/>
      <c r="E394" s="493"/>
      <c r="F394" s="465"/>
    </row>
    <row r="395" ht="20.1" customHeight="1" spans="1:6">
      <c r="A395" s="482" t="s">
        <v>5499</v>
      </c>
      <c r="B395" s="478" t="s">
        <v>5250</v>
      </c>
      <c r="C395" s="485"/>
      <c r="D395" s="485"/>
      <c r="E395" s="493"/>
      <c r="F395" s="465"/>
    </row>
    <row r="396" ht="20.1" customHeight="1" spans="1:6">
      <c r="A396" s="482" t="s">
        <v>5500</v>
      </c>
      <c r="B396" s="478" t="s">
        <v>5253</v>
      </c>
      <c r="C396" s="485"/>
      <c r="D396" s="485"/>
      <c r="E396" s="493"/>
      <c r="F396" s="465"/>
    </row>
    <row r="397" ht="20.1" customHeight="1" spans="1:6">
      <c r="A397" s="643"/>
      <c r="B397" s="478"/>
      <c r="C397" s="485"/>
      <c r="D397" s="485"/>
      <c r="E397" s="493"/>
      <c r="F397" s="465"/>
    </row>
    <row r="398" ht="20.1" customHeight="1" spans="1:6">
      <c r="A398" s="490" t="s">
        <v>5501</v>
      </c>
      <c r="B398" s="491"/>
      <c r="C398" s="496">
        <f>SUM(C385:C390)-SUM(C391:C394)+C395+C396</f>
        <v>25382290.19</v>
      </c>
      <c r="D398" s="496">
        <f>SUM(D385:D390)-SUM(D391:D394)+D395+D396</f>
        <v>-1620693.65</v>
      </c>
      <c r="E398" s="493"/>
      <c r="F398" s="644"/>
    </row>
    <row r="399" ht="20.1" customHeight="1" spans="1:6">
      <c r="A399" s="494" t="s">
        <v>5265</v>
      </c>
      <c r="B399" s="495"/>
      <c r="C399" s="496"/>
      <c r="D399" s="496"/>
      <c r="E399" s="493"/>
      <c r="F399" s="644"/>
    </row>
    <row r="400" ht="20.1" customHeight="1" spans="1:6">
      <c r="A400" s="497" t="s">
        <v>5266</v>
      </c>
      <c r="B400" s="495"/>
      <c r="C400" s="496">
        <f>C398-C399</f>
        <v>25382290.19</v>
      </c>
      <c r="D400" s="496">
        <f>D398-D399</f>
        <v>-1620693.65</v>
      </c>
      <c r="E400" s="493"/>
      <c r="F400" s="644"/>
    </row>
    <row r="401" ht="20.1" customHeight="1" spans="1:6">
      <c r="A401" s="498" t="s">
        <v>5267</v>
      </c>
      <c r="B401" s="499"/>
      <c r="C401" s="500"/>
      <c r="D401" s="500"/>
      <c r="E401" s="501"/>
      <c r="F401" s="644"/>
    </row>
    <row r="402" ht="20.1" customHeight="1" spans="1:78">
      <c r="A402" s="502"/>
      <c r="B402" s="502"/>
      <c r="C402" s="503"/>
      <c r="D402" s="503"/>
      <c r="E402" s="504"/>
      <c r="F402" s="644"/>
      <c r="G402" s="579"/>
      <c r="H402" s="579"/>
      <c r="I402" s="579"/>
      <c r="J402" s="579"/>
      <c r="K402" s="579"/>
      <c r="L402" s="579"/>
      <c r="M402" s="579"/>
      <c r="N402" s="579"/>
      <c r="O402" s="579"/>
      <c r="P402" s="579"/>
      <c r="Q402" s="579"/>
      <c r="R402" s="579"/>
      <c r="S402" s="579"/>
      <c r="T402" s="579"/>
      <c r="U402" s="579"/>
      <c r="V402" s="579"/>
      <c r="W402" s="579"/>
      <c r="X402" s="579"/>
      <c r="Y402" s="579"/>
      <c r="Z402" s="579"/>
      <c r="AA402" s="579"/>
      <c r="AB402" s="579"/>
      <c r="AC402" s="579"/>
      <c r="AD402" s="579"/>
      <c r="AE402" s="579"/>
      <c r="AF402" s="579"/>
      <c r="AG402" s="579"/>
      <c r="AH402" s="579"/>
      <c r="AI402" s="579"/>
      <c r="AJ402" s="579"/>
      <c r="AK402" s="579"/>
      <c r="AL402" s="579"/>
      <c r="AM402" s="579"/>
      <c r="AN402" s="579"/>
      <c r="AO402" s="579"/>
      <c r="AP402" s="579"/>
      <c r="AQ402" s="579"/>
      <c r="AR402" s="579"/>
      <c r="AS402" s="579"/>
      <c r="AT402" s="579"/>
      <c r="AU402" s="579"/>
      <c r="AV402" s="579"/>
      <c r="AW402" s="579"/>
      <c r="AX402" s="579"/>
      <c r="AY402" s="579"/>
      <c r="AZ402" s="579"/>
      <c r="BA402" s="579"/>
      <c r="BB402" s="579"/>
      <c r="BC402" s="579"/>
      <c r="BD402" s="579"/>
      <c r="BE402" s="579"/>
      <c r="BF402" s="579"/>
      <c r="BG402" s="579"/>
      <c r="BH402" s="579"/>
      <c r="BI402" s="579"/>
      <c r="BJ402" s="579"/>
      <c r="BK402" s="579"/>
      <c r="BL402" s="579"/>
      <c r="BM402" s="579"/>
      <c r="BN402" s="579"/>
      <c r="BO402" s="579"/>
      <c r="BP402" s="579"/>
      <c r="BQ402" s="579"/>
      <c r="BR402" s="579"/>
      <c r="BS402" s="579"/>
      <c r="BT402" s="579"/>
      <c r="BU402" s="579"/>
      <c r="BV402" s="579"/>
      <c r="BW402" s="579"/>
      <c r="BX402" s="579"/>
      <c r="BY402" s="579"/>
      <c r="BZ402" s="579"/>
    </row>
    <row r="403" ht="20.1" customHeight="1" spans="1:6">
      <c r="A403" s="603" t="s">
        <v>5502</v>
      </c>
      <c r="B403" s="603"/>
      <c r="C403" s="603"/>
      <c r="D403" s="603"/>
      <c r="E403" s="603"/>
      <c r="F403" s="465"/>
    </row>
    <row r="404" ht="20.1" customHeight="1" spans="1:6">
      <c r="A404" s="604" t="s">
        <v>1861</v>
      </c>
      <c r="B404" s="605"/>
      <c r="C404" s="605" t="s">
        <v>1862</v>
      </c>
      <c r="D404" s="605" t="s">
        <v>1863</v>
      </c>
      <c r="E404" s="606" t="s">
        <v>5269</v>
      </c>
      <c r="F404" s="465"/>
    </row>
    <row r="405" ht="20.1" customHeight="1" spans="1:6">
      <c r="A405" s="489" t="s">
        <v>5503</v>
      </c>
      <c r="B405" s="478" t="s">
        <v>5221</v>
      </c>
      <c r="C405" s="485">
        <f>审定利润表!C12</f>
        <v>1792140.07</v>
      </c>
      <c r="D405" s="485">
        <f>审定利润表!D12</f>
        <v>4990869.42</v>
      </c>
      <c r="E405" s="493"/>
      <c r="F405" s="465"/>
    </row>
    <row r="406" ht="20.1" customHeight="1" spans="1:6">
      <c r="A406" s="489" t="s">
        <v>5504</v>
      </c>
      <c r="B406" s="478" t="s">
        <v>5223</v>
      </c>
      <c r="C406" s="485"/>
      <c r="D406" s="485"/>
      <c r="E406" s="493"/>
      <c r="F406" s="465"/>
    </row>
    <row r="407" ht="20.1" customHeight="1" spans="1:6">
      <c r="A407" s="489" t="s">
        <v>5505</v>
      </c>
      <c r="B407" s="478" t="s">
        <v>5225</v>
      </c>
      <c r="C407" s="485"/>
      <c r="D407" s="485"/>
      <c r="E407" s="493"/>
      <c r="F407" s="465"/>
    </row>
    <row r="408" ht="20.1" customHeight="1" spans="1:6">
      <c r="A408" s="489" t="s">
        <v>5506</v>
      </c>
      <c r="B408" s="478" t="s">
        <v>5229</v>
      </c>
      <c r="C408" s="485"/>
      <c r="D408" s="485"/>
      <c r="E408" s="493"/>
      <c r="F408" s="465"/>
    </row>
    <row r="409" ht="20.1" customHeight="1" spans="1:6">
      <c r="A409" s="482" t="s">
        <v>5507</v>
      </c>
      <c r="B409" s="478" t="s">
        <v>5232</v>
      </c>
      <c r="C409" s="485"/>
      <c r="D409" s="485"/>
      <c r="E409" s="493"/>
      <c r="F409" s="465"/>
    </row>
    <row r="410" ht="20.1" customHeight="1" spans="1:6">
      <c r="A410" s="489" t="s">
        <v>5508</v>
      </c>
      <c r="B410" s="478" t="s">
        <v>5235</v>
      </c>
      <c r="C410" s="485"/>
      <c r="D410" s="485"/>
      <c r="E410" s="493"/>
      <c r="F410" s="465"/>
    </row>
    <row r="411" ht="20.1" customHeight="1" spans="1:6">
      <c r="A411" s="489" t="s">
        <v>5509</v>
      </c>
      <c r="B411" s="478" t="s">
        <v>5238</v>
      </c>
      <c r="C411" s="485"/>
      <c r="D411" s="485"/>
      <c r="E411" s="493"/>
      <c r="F411" s="465"/>
    </row>
    <row r="412" ht="20.1" customHeight="1" spans="1:6">
      <c r="A412" s="489" t="s">
        <v>5510</v>
      </c>
      <c r="B412" s="478" t="s">
        <v>5241</v>
      </c>
      <c r="C412" s="485"/>
      <c r="D412" s="485"/>
      <c r="E412" s="493"/>
      <c r="F412" s="465"/>
    </row>
    <row r="413" ht="20.1" customHeight="1" spans="1:6">
      <c r="A413" s="489" t="s">
        <v>5511</v>
      </c>
      <c r="B413" s="478" t="s">
        <v>5244</v>
      </c>
      <c r="C413" s="485"/>
      <c r="D413" s="485"/>
      <c r="E413" s="493"/>
      <c r="F413" s="465"/>
    </row>
    <row r="414" ht="20.1" customHeight="1" spans="1:6">
      <c r="A414" s="489" t="s">
        <v>5512</v>
      </c>
      <c r="B414" s="478" t="s">
        <v>5247</v>
      </c>
      <c r="C414" s="485"/>
      <c r="D414" s="485"/>
      <c r="E414" s="493"/>
      <c r="F414" s="465"/>
    </row>
    <row r="415" ht="20.1" customHeight="1" spans="1:6">
      <c r="A415" s="643"/>
      <c r="B415" s="478"/>
      <c r="C415" s="485"/>
      <c r="D415" s="485"/>
      <c r="E415" s="493"/>
      <c r="F415" s="465"/>
    </row>
    <row r="416" ht="20.1" customHeight="1" spans="1:6">
      <c r="A416" s="490" t="s">
        <v>5513</v>
      </c>
      <c r="B416" s="491"/>
      <c r="C416" s="496">
        <f>SUM(C405:C414)</f>
        <v>1792140.07</v>
      </c>
      <c r="D416" s="496">
        <f>SUM(D405:D414)</f>
        <v>4990869.42</v>
      </c>
      <c r="E416" s="493"/>
      <c r="F416" s="465"/>
    </row>
    <row r="417" ht="20.1" customHeight="1" spans="1:6">
      <c r="A417" s="494" t="s">
        <v>5265</v>
      </c>
      <c r="B417" s="495"/>
      <c r="C417" s="496"/>
      <c r="D417" s="496"/>
      <c r="E417" s="493"/>
      <c r="F417" s="465"/>
    </row>
    <row r="418" ht="20.1" customHeight="1" spans="1:6">
      <c r="A418" s="497" t="s">
        <v>5266</v>
      </c>
      <c r="B418" s="495"/>
      <c r="C418" s="496">
        <f>C416-C417</f>
        <v>1792140.07</v>
      </c>
      <c r="D418" s="496">
        <f>D416-D417</f>
        <v>4990869.42</v>
      </c>
      <c r="E418" s="493"/>
      <c r="F418" s="465"/>
    </row>
    <row r="419" ht="20.1" customHeight="1" spans="1:6">
      <c r="A419" s="498" t="s">
        <v>5267</v>
      </c>
      <c r="B419" s="499"/>
      <c r="C419" s="500"/>
      <c r="D419" s="645"/>
      <c r="E419" s="646"/>
      <c r="F419" s="465"/>
    </row>
    <row r="420" ht="15.75" spans="5:12">
      <c r="E420" s="521"/>
      <c r="F420" s="465"/>
      <c r="H420" s="457"/>
      <c r="I420" s="457"/>
      <c r="J420" s="457"/>
      <c r="K420" s="457"/>
      <c r="L420" s="457"/>
    </row>
    <row r="421" spans="1:6">
      <c r="A421" s="647" t="s">
        <v>5514</v>
      </c>
      <c r="B421" s="647"/>
      <c r="C421" s="647"/>
      <c r="D421" s="647"/>
      <c r="E421" s="516"/>
      <c r="F421" s="465"/>
    </row>
    <row r="422" ht="16.5" spans="1:12">
      <c r="A422" s="648" t="s">
        <v>5515</v>
      </c>
      <c r="B422" s="648"/>
      <c r="C422" s="648"/>
      <c r="E422" s="516"/>
      <c r="F422" s="465"/>
      <c r="H422" s="649"/>
      <c r="I422" s="649"/>
      <c r="J422" s="649"/>
      <c r="K422" s="649"/>
      <c r="L422" s="649"/>
    </row>
  </sheetData>
  <mergeCells count="166">
    <mergeCell ref="A1:E1"/>
    <mergeCell ref="A5:E5"/>
    <mergeCell ref="A6:E6"/>
    <mergeCell ref="A24:B24"/>
    <mergeCell ref="A25:B25"/>
    <mergeCell ref="A26:B26"/>
    <mergeCell ref="A27:B27"/>
    <mergeCell ref="A29:E29"/>
    <mergeCell ref="A30:B30"/>
    <mergeCell ref="A37:B37"/>
    <mergeCell ref="A38:B38"/>
    <mergeCell ref="A39:B39"/>
    <mergeCell ref="A40:B40"/>
    <mergeCell ref="A42:E42"/>
    <mergeCell ref="A43:B43"/>
    <mergeCell ref="A52:B52"/>
    <mergeCell ref="A53:B53"/>
    <mergeCell ref="A54:B54"/>
    <mergeCell ref="A55:B55"/>
    <mergeCell ref="A58:E58"/>
    <mergeCell ref="A59:E59"/>
    <mergeCell ref="A60:B60"/>
    <mergeCell ref="A84:B84"/>
    <mergeCell ref="A85:B85"/>
    <mergeCell ref="A86:B86"/>
    <mergeCell ref="A87:B87"/>
    <mergeCell ref="A89:E89"/>
    <mergeCell ref="A90:B90"/>
    <mergeCell ref="A98:B98"/>
    <mergeCell ref="A99:B99"/>
    <mergeCell ref="A100:B100"/>
    <mergeCell ref="A101:B101"/>
    <mergeCell ref="A103:E103"/>
    <mergeCell ref="A104:B104"/>
    <mergeCell ref="A111:B111"/>
    <mergeCell ref="A112:B112"/>
    <mergeCell ref="A113:B113"/>
    <mergeCell ref="A114:B114"/>
    <mergeCell ref="A116:E116"/>
    <mergeCell ref="A117:B117"/>
    <mergeCell ref="A135:B135"/>
    <mergeCell ref="A136:B136"/>
    <mergeCell ref="A137:B137"/>
    <mergeCell ref="A138:B138"/>
    <mergeCell ref="A140:E140"/>
    <mergeCell ref="A141:E141"/>
    <mergeCell ref="A142:B142"/>
    <mergeCell ref="A150:B150"/>
    <mergeCell ref="A151:B151"/>
    <mergeCell ref="A152:B152"/>
    <mergeCell ref="A154:E154"/>
    <mergeCell ref="A155:B155"/>
    <mergeCell ref="A160:B160"/>
    <mergeCell ref="A161:B161"/>
    <mergeCell ref="A162:B162"/>
    <mergeCell ref="A163:B163"/>
    <mergeCell ref="A165:E165"/>
    <mergeCell ref="A166:B166"/>
    <mergeCell ref="A171:B171"/>
    <mergeCell ref="A172:B172"/>
    <mergeCell ref="A173:B173"/>
    <mergeCell ref="A174:B174"/>
    <mergeCell ref="A176:E176"/>
    <mergeCell ref="A177:B177"/>
    <mergeCell ref="A197:B197"/>
    <mergeCell ref="A198:B198"/>
    <mergeCell ref="A199:B199"/>
    <mergeCell ref="A201:E201"/>
    <mergeCell ref="A202:B202"/>
    <mergeCell ref="A206:B206"/>
    <mergeCell ref="A207:B207"/>
    <mergeCell ref="A208:B208"/>
    <mergeCell ref="A209:B209"/>
    <mergeCell ref="A211:E211"/>
    <mergeCell ref="A212:E212"/>
    <mergeCell ref="A213:B213"/>
    <mergeCell ref="A223:B223"/>
    <mergeCell ref="A224:B224"/>
    <mergeCell ref="A225:B225"/>
    <mergeCell ref="A226:B226"/>
    <mergeCell ref="A228:E228"/>
    <mergeCell ref="A229:B229"/>
    <mergeCell ref="A235:B235"/>
    <mergeCell ref="A236:B236"/>
    <mergeCell ref="A237:B237"/>
    <mergeCell ref="A238:B238"/>
    <mergeCell ref="A240:E240"/>
    <mergeCell ref="A241:B241"/>
    <mergeCell ref="A261:B261"/>
    <mergeCell ref="A262:B262"/>
    <mergeCell ref="A263:B263"/>
    <mergeCell ref="A265:E265"/>
    <mergeCell ref="A266:B266"/>
    <mergeCell ref="A271:B271"/>
    <mergeCell ref="A272:B272"/>
    <mergeCell ref="A273:B273"/>
    <mergeCell ref="A274:B274"/>
    <mergeCell ref="A276:E276"/>
    <mergeCell ref="A277:E277"/>
    <mergeCell ref="A278:B278"/>
    <mergeCell ref="A282:B282"/>
    <mergeCell ref="A283:B283"/>
    <mergeCell ref="A284:B284"/>
    <mergeCell ref="A285:B285"/>
    <mergeCell ref="A287:E287"/>
    <mergeCell ref="A288:B288"/>
    <mergeCell ref="A292:B292"/>
    <mergeCell ref="A293:B293"/>
    <mergeCell ref="A294:B294"/>
    <mergeCell ref="A295:B295"/>
    <mergeCell ref="A297:E297"/>
    <mergeCell ref="A298:B298"/>
    <mergeCell ref="A301:B301"/>
    <mergeCell ref="A302:B302"/>
    <mergeCell ref="A303:B303"/>
    <mergeCell ref="A304:B304"/>
    <mergeCell ref="A307:E307"/>
    <mergeCell ref="A308:E308"/>
    <mergeCell ref="A309:B309"/>
    <mergeCell ref="A314:B314"/>
    <mergeCell ref="A315:B315"/>
    <mergeCell ref="A316:B316"/>
    <mergeCell ref="A317:B317"/>
    <mergeCell ref="A319:E319"/>
    <mergeCell ref="A320:B320"/>
    <mergeCell ref="A327:B327"/>
    <mergeCell ref="A328:B328"/>
    <mergeCell ref="A329:B329"/>
    <mergeCell ref="A330:B330"/>
    <mergeCell ref="A332:E332"/>
    <mergeCell ref="A333:B333"/>
    <mergeCell ref="A338:B338"/>
    <mergeCell ref="A339:B339"/>
    <mergeCell ref="A340:B340"/>
    <mergeCell ref="A341:B341"/>
    <mergeCell ref="A343:E343"/>
    <mergeCell ref="A344:E344"/>
    <mergeCell ref="A345:B345"/>
    <mergeCell ref="A351:B351"/>
    <mergeCell ref="A352:B352"/>
    <mergeCell ref="A353:B353"/>
    <mergeCell ref="A354:B354"/>
    <mergeCell ref="A356:E356"/>
    <mergeCell ref="A357:B357"/>
    <mergeCell ref="A362:B362"/>
    <mergeCell ref="A363:B363"/>
    <mergeCell ref="A364:B364"/>
    <mergeCell ref="A366:E366"/>
    <mergeCell ref="A367:B367"/>
    <mergeCell ref="A378:B378"/>
    <mergeCell ref="A379:B379"/>
    <mergeCell ref="A380:B380"/>
    <mergeCell ref="A381:B381"/>
    <mergeCell ref="A383:E383"/>
    <mergeCell ref="A384:B384"/>
    <mergeCell ref="A398:B398"/>
    <mergeCell ref="A399:B399"/>
    <mergeCell ref="A400:B400"/>
    <mergeCell ref="A401:B401"/>
    <mergeCell ref="A403:E403"/>
    <mergeCell ref="A404:B404"/>
    <mergeCell ref="A416:B416"/>
    <mergeCell ref="A417:B417"/>
    <mergeCell ref="A418:B418"/>
    <mergeCell ref="A419:B419"/>
    <mergeCell ref="A421:D421"/>
  </mergeCells>
  <hyperlinks>
    <hyperlink ref="F1" location="目录!A1" display="返回目录"/>
  </hyperlinks>
  <printOptions horizontalCentered="1"/>
  <pageMargins left="0.984251968503937" right="0.393700787401575" top="0.984251968503937" bottom="0.551181102362205" header="0.590551181102362" footer="0.31496062992126"/>
  <pageSetup paperSize="9" scale="76" fitToHeight="0" orientation="portrait"/>
  <headerFooter>
    <oddHeader>&amp;L&amp;9大华会计师事务所（特殊普通合伙）&amp;R&amp;9 2013版</oddHeader>
    <oddFooter>&amp;R&amp;9第 &amp;P 页，共 &amp;N 页</oddFooter>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4"/>
  <sheetViews>
    <sheetView topLeftCell="C3" workbookViewId="0">
      <selection activeCell="C13" sqref="$A13:$XFD13"/>
    </sheetView>
  </sheetViews>
  <sheetFormatPr defaultColWidth="9" defaultRowHeight="14.25"/>
  <cols>
    <col min="1" max="1" width="6.625" hidden="1" customWidth="1"/>
    <col min="2" max="2" width="30.375" hidden="1" customWidth="1"/>
    <col min="3" max="3" width="34.25" customWidth="1"/>
    <col min="4" max="4" width="19.625" customWidth="1"/>
    <col min="5" max="5" width="18.875" customWidth="1"/>
    <col min="6" max="6" width="18.625" customWidth="1"/>
    <col min="7" max="7" width="15.125" customWidth="1"/>
    <col min="8" max="8" width="14" customWidth="1"/>
    <col min="9" max="9" width="16.375" customWidth="1"/>
    <col min="10" max="10" width="13.125" customWidth="1"/>
  </cols>
  <sheetData>
    <row r="1" ht="65.25" hidden="1" spans="1:6">
      <c r="A1" s="395" t="s">
        <v>5163</v>
      </c>
      <c r="B1" s="396"/>
      <c r="C1" s="396"/>
      <c r="D1" s="431"/>
      <c r="E1" s="396"/>
      <c r="F1" s="396"/>
    </row>
    <row r="2" hidden="1" spans="1:6">
      <c r="A2" s="396" t="s">
        <v>5164</v>
      </c>
      <c r="B2" s="396" t="s">
        <v>5164</v>
      </c>
      <c r="C2" s="396"/>
      <c r="D2" s="431"/>
      <c r="E2" s="396"/>
      <c r="F2" s="396"/>
    </row>
    <row r="3" ht="30.2" customHeight="1" spans="1:7">
      <c r="A3" s="399" t="s">
        <v>5165</v>
      </c>
      <c r="B3" s="400"/>
      <c r="C3" s="400" t="s">
        <v>5166</v>
      </c>
      <c r="D3" s="400"/>
      <c r="E3" s="400"/>
      <c r="F3" s="400"/>
      <c r="G3" s="401"/>
    </row>
    <row r="4" ht="52.5" customHeight="1" spans="1:7">
      <c r="A4" s="399" t="s">
        <v>5165</v>
      </c>
      <c r="B4" s="399"/>
      <c r="C4" s="402" t="s">
        <v>5167</v>
      </c>
      <c r="D4" s="402"/>
      <c r="E4" s="402"/>
      <c r="F4" s="402"/>
      <c r="G4" s="403"/>
    </row>
    <row r="5" ht="13.5" customHeight="1" spans="1:10">
      <c r="A5" s="404"/>
      <c r="B5" s="404"/>
      <c r="C5" s="432" t="s">
        <v>61</v>
      </c>
      <c r="D5" s="433" t="s">
        <v>5168</v>
      </c>
      <c r="E5" s="434" t="s">
        <v>5169</v>
      </c>
      <c r="F5" s="432" t="s">
        <v>5170</v>
      </c>
      <c r="G5" s="434" t="s">
        <v>5171</v>
      </c>
      <c r="H5" s="435"/>
      <c r="J5" s="452"/>
    </row>
    <row r="6" ht="13.5" customHeight="1" spans="1:10">
      <c r="A6" s="408" t="s">
        <v>5172</v>
      </c>
      <c r="B6" s="409" t="s">
        <v>5173</v>
      </c>
      <c r="C6" s="436" t="s">
        <v>5516</v>
      </c>
      <c r="D6" s="437">
        <f>D126+D137+D142+D143+D144+D178+D181+D187+D188+D189+D190+D191+D192</f>
        <v>1334310.25</v>
      </c>
      <c r="E6" s="437">
        <f>E126+E137+E142+E143+E144+E178+E181+E187+E188+E189+E190+E191+E192</f>
        <v>1501096.57</v>
      </c>
      <c r="F6" s="437">
        <f>F126+F137+F142+F143+F144+F178+F181+F187+F188+F189+F190+F191+F192</f>
        <v>2366350.84</v>
      </c>
      <c r="G6" s="437">
        <f>G126+G137+G142+G143+G144+G178+G181+G187+G188+G189+G190+G191+G192</f>
        <v>3594139.6</v>
      </c>
      <c r="H6" s="438">
        <f>F6-E6</f>
        <v>865254.27</v>
      </c>
      <c r="J6" s="452"/>
    </row>
    <row r="7" ht="13.5" customHeight="1" spans="1:10">
      <c r="A7" s="408"/>
      <c r="B7" s="409"/>
      <c r="C7" s="439" t="s">
        <v>5175</v>
      </c>
      <c r="D7" s="440">
        <f>D127+D128+D129+D133+D138+D140+D176+D177+D193+D145+D182+D141+D146</f>
        <v>178574.58</v>
      </c>
      <c r="E7" s="440">
        <f>E127+E128+E129+E133+E138+E140+E176+E177+E193+E145+E182</f>
        <v>274016.45</v>
      </c>
      <c r="F7" s="440">
        <f>F127+F128+F129+F133+F138+F140+F176+F177+F193+F145+F182</f>
        <v>500758.66</v>
      </c>
      <c r="G7" s="440">
        <f>G127+G128+G129+G133+G138+G140+G176+G177+G193+G145+G182+G141+G146</f>
        <v>635389.84</v>
      </c>
      <c r="H7" s="438">
        <f t="shared" ref="H7:H15" si="0">F7-E7</f>
        <v>226742.21</v>
      </c>
      <c r="J7" s="452"/>
    </row>
    <row r="8" ht="13.5" customHeight="1" spans="1:10">
      <c r="A8" s="408" t="s">
        <v>5176</v>
      </c>
      <c r="B8" s="409" t="s">
        <v>5173</v>
      </c>
      <c r="C8" s="439" t="s">
        <v>5517</v>
      </c>
      <c r="D8" s="440">
        <f>D134+D136</f>
        <v>394244.94</v>
      </c>
      <c r="E8" s="440">
        <f>E134+E136</f>
        <v>368816.41</v>
      </c>
      <c r="F8" s="440">
        <f>F134+F136</f>
        <v>234057.07</v>
      </c>
      <c r="G8" s="440">
        <f>G134+G136</f>
        <v>99535.75</v>
      </c>
      <c r="H8" s="438">
        <f t="shared" si="0"/>
        <v>-134759.34</v>
      </c>
      <c r="J8" s="452"/>
    </row>
    <row r="9" ht="13.5" customHeight="1" spans="1:10">
      <c r="A9" s="408"/>
      <c r="B9" s="409"/>
      <c r="C9" s="439" t="s">
        <v>5178</v>
      </c>
      <c r="D9" s="440">
        <f>D154+D155+D156+D157+D158+D159+D160+D161+D162+D163+D164+D165+D166+D167+D168+D169+D170+D171+D172+D173+D174</f>
        <v>2269878.08</v>
      </c>
      <c r="E9" s="440">
        <f>E154+E155+E156+E157+E158+E159+E160+E161+E162+E163+E164+E165+E166+E167+E168+E169+E170+E171+E172+E173+E174</f>
        <v>3702244.82</v>
      </c>
      <c r="F9" s="440">
        <f>F154+F155+F156+F157+F158+F159+F160+F161+F162+F163+F164+F165+F166+F167+F168+F169+F170+F171+F172+F173+F174</f>
        <v>6744135.81</v>
      </c>
      <c r="G9" s="440">
        <f>G154+G155+G156+G157+G158+G159+G160+G161+G162+G163+G164+G165+G166+G167+G168+G169+G170+G171+G172+G173+G174</f>
        <v>8903294.03</v>
      </c>
      <c r="H9" s="438">
        <f t="shared" si="0"/>
        <v>3041890.99</v>
      </c>
      <c r="J9" s="452"/>
    </row>
    <row r="10" ht="13.5" customHeight="1" spans="1:10">
      <c r="A10" s="408"/>
      <c r="B10" s="409"/>
      <c r="C10" s="439" t="s">
        <v>4154</v>
      </c>
      <c r="D10" s="440">
        <f>D150</f>
        <v>116087.6</v>
      </c>
      <c r="E10" s="440">
        <f>E150</f>
        <v>139832.6</v>
      </c>
      <c r="F10" s="440">
        <f>F150</f>
        <v>237552.15</v>
      </c>
      <c r="G10" s="440">
        <f>G150</f>
        <v>550867.98</v>
      </c>
      <c r="H10" s="438">
        <f t="shared" si="0"/>
        <v>97719.55</v>
      </c>
      <c r="J10" s="452"/>
    </row>
    <row r="11" ht="13.5" customHeight="1" spans="1:10">
      <c r="A11" s="408"/>
      <c r="B11" s="409"/>
      <c r="C11" s="439" t="s">
        <v>5518</v>
      </c>
      <c r="D11" s="440">
        <f>D130+D131</f>
        <v>134943.53</v>
      </c>
      <c r="E11" s="440">
        <f t="shared" ref="E11:G11" si="1">E130+E131</f>
        <v>212971.34</v>
      </c>
      <c r="F11" s="440">
        <f t="shared" si="1"/>
        <v>323796.03</v>
      </c>
      <c r="G11" s="440">
        <f t="shared" si="1"/>
        <v>534884.2</v>
      </c>
      <c r="H11" s="438">
        <f t="shared" si="0"/>
        <v>110824.69</v>
      </c>
      <c r="J11" s="452"/>
    </row>
    <row r="12" ht="13.5" customHeight="1" spans="1:10">
      <c r="A12" s="408"/>
      <c r="B12" s="409"/>
      <c r="C12" s="439" t="s">
        <v>5180</v>
      </c>
      <c r="D12" s="440">
        <f>D135+D132</f>
        <v>286869.78</v>
      </c>
      <c r="E12" s="440">
        <f>E135+E132</f>
        <v>410570.54</v>
      </c>
      <c r="F12" s="440">
        <f>F135+F132</f>
        <v>490460.66</v>
      </c>
      <c r="G12" s="440">
        <f>G135+G132</f>
        <v>426476.51</v>
      </c>
      <c r="H12" s="438">
        <f t="shared" si="0"/>
        <v>79890.12</v>
      </c>
      <c r="J12" s="452"/>
    </row>
    <row r="13" ht="13.5" customHeight="1" spans="1:10">
      <c r="A13" s="408"/>
      <c r="B13" s="409"/>
      <c r="C13" s="439" t="s">
        <v>5181</v>
      </c>
      <c r="D13" s="440">
        <f>D147+D148</f>
        <v>271433</v>
      </c>
      <c r="E13" s="440">
        <f>E147+E148</f>
        <v>314796.9</v>
      </c>
      <c r="F13" s="440">
        <f>F147+F148</f>
        <v>1189518.26</v>
      </c>
      <c r="G13" s="440">
        <f>G147+G148</f>
        <v>2083408.35</v>
      </c>
      <c r="H13" s="438">
        <f t="shared" si="0"/>
        <v>874721.36</v>
      </c>
      <c r="J13" s="452"/>
    </row>
    <row r="14" ht="13.5" customHeight="1" spans="1:10">
      <c r="A14" s="408" t="s">
        <v>5519</v>
      </c>
      <c r="B14" s="409" t="s">
        <v>5173</v>
      </c>
      <c r="C14" s="439" t="s">
        <v>4053</v>
      </c>
      <c r="D14" s="440">
        <f>D151+D186</f>
        <v>7191.5</v>
      </c>
      <c r="E14" s="440">
        <f>E151+E186</f>
        <v>32110.52</v>
      </c>
      <c r="F14" s="440">
        <f>F151+F186</f>
        <v>71850.81</v>
      </c>
      <c r="G14" s="440">
        <f>G151+G186</f>
        <v>650</v>
      </c>
      <c r="H14" s="438">
        <f t="shared" si="0"/>
        <v>39740.29</v>
      </c>
      <c r="J14" s="452"/>
    </row>
    <row r="15" ht="13.5" customHeight="1" spans="1:10">
      <c r="A15" s="408"/>
      <c r="B15" s="409"/>
      <c r="C15" s="439" t="s">
        <v>4522</v>
      </c>
      <c r="D15" s="440">
        <f>D180</f>
        <v>0</v>
      </c>
      <c r="E15" s="440">
        <f>E180</f>
        <v>5756259.26</v>
      </c>
      <c r="F15" s="440">
        <f>F180</f>
        <v>0</v>
      </c>
      <c r="G15" s="440">
        <f>G180</f>
        <v>0</v>
      </c>
      <c r="H15" s="438">
        <f t="shared" si="0"/>
        <v>-5756259.26</v>
      </c>
      <c r="J15" s="452"/>
    </row>
    <row r="16" ht="13.5" customHeight="1" spans="1:10">
      <c r="A16" s="408" t="s">
        <v>5182</v>
      </c>
      <c r="B16" s="409" t="s">
        <v>5173</v>
      </c>
      <c r="C16" s="439" t="s">
        <v>280</v>
      </c>
      <c r="D16" s="440">
        <f>D184+D185+D179+D183+D175</f>
        <v>236565.4</v>
      </c>
      <c r="E16" s="440">
        <f>E184+E185+E179+E183</f>
        <v>112230.67</v>
      </c>
      <c r="F16" s="440">
        <f>F184+F185+F179+F183</f>
        <v>17654.19</v>
      </c>
      <c r="G16" s="440">
        <f>G184+G185+G179+G183</f>
        <v>181335.36</v>
      </c>
      <c r="H16" s="438"/>
      <c r="J16" s="452"/>
    </row>
    <row r="17" spans="3:10">
      <c r="C17" s="441" t="s">
        <v>2021</v>
      </c>
      <c r="D17" s="442">
        <f>SUM(D6:D16)</f>
        <v>5230098.66</v>
      </c>
      <c r="E17" s="443">
        <f>SUM(E6:E16)</f>
        <v>12824946.08</v>
      </c>
      <c r="F17" s="443">
        <f>SUM(F6:F16)</f>
        <v>12176134.48</v>
      </c>
      <c r="G17" s="443">
        <f>SUM(G6:G16)</f>
        <v>17009981.62</v>
      </c>
      <c r="H17" s="438"/>
      <c r="J17" s="424"/>
    </row>
    <row r="18" spans="3:7">
      <c r="C18" s="444" t="s">
        <v>1723</v>
      </c>
      <c r="E18" s="445">
        <v>12477951.36</v>
      </c>
      <c r="F18" s="445">
        <f>'[45]2016明细表'!V78</f>
        <v>10020</v>
      </c>
      <c r="G18" s="446">
        <f>'[45]2017明细表'!V77</f>
        <v>8010</v>
      </c>
    </row>
    <row r="19" spans="3:7">
      <c r="C19" s="444" t="s">
        <v>1395</v>
      </c>
      <c r="E19" s="447">
        <f>E17-E18</f>
        <v>346994.720000001</v>
      </c>
      <c r="F19" s="447">
        <f>F17-F18</f>
        <v>12166114.48</v>
      </c>
      <c r="G19" s="448">
        <f>G17-G18</f>
        <v>17001971.62</v>
      </c>
    </row>
    <row r="22" spans="8:10">
      <c r="H22" s="449"/>
      <c r="I22" s="435"/>
      <c r="J22" s="452"/>
    </row>
    <row r="23" spans="4:7">
      <c r="D23" s="406" t="s">
        <v>5168</v>
      </c>
      <c r="E23" s="406" t="s">
        <v>5185</v>
      </c>
      <c r="F23" s="426" t="s">
        <v>5186</v>
      </c>
      <c r="G23" s="419" t="s">
        <v>5187</v>
      </c>
    </row>
    <row r="24" spans="3:5">
      <c r="C24" s="420" t="s">
        <v>5516</v>
      </c>
      <c r="E24" s="406"/>
    </row>
    <row r="25" spans="3:7">
      <c r="C25" s="426" t="s">
        <v>5520</v>
      </c>
      <c r="D25" s="406">
        <v>1247110.21</v>
      </c>
      <c r="E25" s="406">
        <v>1371846.85</v>
      </c>
      <c r="F25" s="419">
        <v>1966250.34</v>
      </c>
      <c r="G25" s="419">
        <v>3096862.43</v>
      </c>
    </row>
    <row r="26" spans="3:7">
      <c r="C26" s="426" t="s">
        <v>5521</v>
      </c>
      <c r="D26" s="406">
        <v>3501</v>
      </c>
      <c r="E26" s="406">
        <v>0</v>
      </c>
      <c r="F26" s="419">
        <v>0</v>
      </c>
      <c r="G26" s="419">
        <v>0</v>
      </c>
    </row>
    <row r="27" spans="3:7">
      <c r="C27" s="426" t="s">
        <v>4040</v>
      </c>
      <c r="D27" s="406">
        <v>480</v>
      </c>
      <c r="E27" s="406">
        <v>192</v>
      </c>
      <c r="F27" s="419">
        <v>6363.82</v>
      </c>
      <c r="G27" s="419">
        <v>0</v>
      </c>
    </row>
    <row r="28" spans="3:7">
      <c r="C28" s="426" t="s">
        <v>5522</v>
      </c>
      <c r="D28" s="406">
        <v>340203.53</v>
      </c>
      <c r="E28" s="406">
        <v>4453.94</v>
      </c>
      <c r="F28" s="419">
        <v>16453.63</v>
      </c>
      <c r="G28" s="419">
        <v>0</v>
      </c>
    </row>
    <row r="29" spans="3:7">
      <c r="C29" s="426" t="s">
        <v>5523</v>
      </c>
      <c r="D29" s="406">
        <v>0</v>
      </c>
      <c r="E29" s="406">
        <v>0</v>
      </c>
      <c r="F29" s="419">
        <v>50000</v>
      </c>
      <c r="G29" s="419">
        <v>160000</v>
      </c>
    </row>
    <row r="30" spans="3:7">
      <c r="C30" s="426" t="s">
        <v>5524</v>
      </c>
      <c r="D30" s="406">
        <v>45718</v>
      </c>
      <c r="E30" s="406">
        <v>0</v>
      </c>
      <c r="F30" s="419">
        <v>91970</v>
      </c>
      <c r="G30" s="419">
        <v>99824.81</v>
      </c>
    </row>
    <row r="31" spans="3:7">
      <c r="C31" s="426" t="s">
        <v>5525</v>
      </c>
      <c r="D31" s="406">
        <v>0</v>
      </c>
      <c r="E31" s="406">
        <v>0</v>
      </c>
      <c r="F31" s="419">
        <v>6000</v>
      </c>
      <c r="G31" s="419">
        <v>13500</v>
      </c>
    </row>
    <row r="32" spans="3:7">
      <c r="C32" s="426" t="s">
        <v>5526</v>
      </c>
      <c r="D32" s="406">
        <v>0</v>
      </c>
      <c r="E32" s="406">
        <v>100615.26</v>
      </c>
      <c r="F32" s="419">
        <v>163861.8</v>
      </c>
      <c r="G32" s="419">
        <v>233573.06</v>
      </c>
    </row>
    <row r="33" spans="3:7">
      <c r="C33" s="426" t="s">
        <v>5527</v>
      </c>
      <c r="D33" s="406">
        <v>0</v>
      </c>
      <c r="E33" s="406">
        <v>29615.14</v>
      </c>
      <c r="F33" s="419">
        <v>40399.12</v>
      </c>
      <c r="G33" s="419">
        <v>49855.67</v>
      </c>
    </row>
    <row r="34" spans="3:7">
      <c r="C34" s="426" t="s">
        <v>5528</v>
      </c>
      <c r="D34" s="406">
        <v>0</v>
      </c>
      <c r="E34" s="406">
        <v>1397.98</v>
      </c>
      <c r="F34" s="419">
        <v>5177.76</v>
      </c>
      <c r="G34" s="419">
        <v>10029.54</v>
      </c>
    </row>
    <row r="35" spans="3:7">
      <c r="C35" s="426" t="s">
        <v>5529</v>
      </c>
      <c r="D35" s="406">
        <v>0</v>
      </c>
      <c r="E35" s="406">
        <v>6833.07</v>
      </c>
      <c r="F35" s="419">
        <v>4447.73</v>
      </c>
      <c r="G35" s="419">
        <v>5620.67</v>
      </c>
    </row>
    <row r="36" spans="3:7">
      <c r="C36" s="426" t="s">
        <v>5530</v>
      </c>
      <c r="D36" s="406">
        <v>0</v>
      </c>
      <c r="E36" s="406">
        <v>5741.94</v>
      </c>
      <c r="F36" s="419">
        <v>5539.6</v>
      </c>
      <c r="G36" s="419">
        <v>7959.95</v>
      </c>
    </row>
    <row r="37" spans="3:7">
      <c r="C37" s="426" t="s">
        <v>4039</v>
      </c>
      <c r="D37" s="406">
        <v>0</v>
      </c>
      <c r="E37" s="406">
        <v>29125</v>
      </c>
      <c r="F37" s="419">
        <v>34621</v>
      </c>
      <c r="G37" s="419">
        <v>41624</v>
      </c>
    </row>
    <row r="38" spans="4:10">
      <c r="D38" s="450">
        <f>SUM(D25:D37)</f>
        <v>1637012.74</v>
      </c>
      <c r="E38" s="450">
        <f t="shared" ref="E38:G38" si="2">SUM(E25:E37)</f>
        <v>1549821.18</v>
      </c>
      <c r="F38" s="450">
        <f t="shared" si="2"/>
        <v>2391084.8</v>
      </c>
      <c r="G38" s="450">
        <f t="shared" si="2"/>
        <v>3718850.13</v>
      </c>
      <c r="J38" s="453"/>
    </row>
    <row r="39" spans="5:5">
      <c r="E39" s="406"/>
    </row>
    <row r="40" spans="3:5">
      <c r="C40" s="420" t="s">
        <v>5175</v>
      </c>
      <c r="E40" s="406"/>
    </row>
    <row r="41" spans="3:7">
      <c r="C41" s="426" t="s">
        <v>5531</v>
      </c>
      <c r="D41" s="406">
        <v>10717</v>
      </c>
      <c r="E41" s="406">
        <v>27122.36</v>
      </c>
      <c r="F41" s="419">
        <v>17499.19</v>
      </c>
      <c r="G41" s="419">
        <v>2815</v>
      </c>
    </row>
    <row r="42" spans="3:7">
      <c r="C42" s="426" t="s">
        <v>5532</v>
      </c>
      <c r="D42" s="406">
        <v>3790</v>
      </c>
      <c r="E42" s="406">
        <v>12469.8</v>
      </c>
      <c r="F42" s="419">
        <v>53018.56</v>
      </c>
      <c r="G42" s="419">
        <v>14015.76</v>
      </c>
    </row>
    <row r="43" spans="3:7">
      <c r="C43" s="426" t="s">
        <v>5533</v>
      </c>
      <c r="D43" s="406">
        <v>118952.8</v>
      </c>
      <c r="E43" s="406">
        <v>124959.33</v>
      </c>
      <c r="F43" s="419">
        <v>164317.48</v>
      </c>
      <c r="G43" s="419">
        <v>289179.66</v>
      </c>
    </row>
    <row r="44" spans="3:7">
      <c r="C44" s="426" t="s">
        <v>5534</v>
      </c>
      <c r="D44" s="406">
        <v>20745.68</v>
      </c>
      <c r="E44" s="406">
        <v>28807.71</v>
      </c>
      <c r="F44" s="419">
        <v>15377.15</v>
      </c>
      <c r="G44" s="419">
        <v>26765.5</v>
      </c>
    </row>
    <row r="45" spans="3:7">
      <c r="C45" s="426" t="s">
        <v>5535</v>
      </c>
      <c r="D45" s="406">
        <v>6463</v>
      </c>
      <c r="E45" s="406">
        <v>9340</v>
      </c>
      <c r="F45" s="419">
        <v>31841.95</v>
      </c>
      <c r="G45" s="419">
        <v>35026.34</v>
      </c>
    </row>
    <row r="46" spans="3:7">
      <c r="C46" s="426" t="s">
        <v>5536</v>
      </c>
      <c r="D46" s="406">
        <v>2500</v>
      </c>
      <c r="E46" s="406">
        <v>29218</v>
      </c>
      <c r="F46" s="419">
        <v>0</v>
      </c>
      <c r="G46" s="419">
        <v>41788.35</v>
      </c>
    </row>
    <row r="47" spans="3:7">
      <c r="C47" s="426" t="s">
        <v>5537</v>
      </c>
      <c r="D47" s="406">
        <v>0</v>
      </c>
      <c r="E47" s="406">
        <v>0</v>
      </c>
      <c r="F47" s="419">
        <v>0</v>
      </c>
      <c r="G47" s="451">
        <v>30000</v>
      </c>
    </row>
    <row r="48" spans="3:7">
      <c r="C48" s="426" t="s">
        <v>5538</v>
      </c>
      <c r="D48" s="406">
        <v>0</v>
      </c>
      <c r="E48" s="406">
        <v>0</v>
      </c>
      <c r="F48" s="419">
        <v>7980</v>
      </c>
      <c r="G48" s="419">
        <v>0</v>
      </c>
    </row>
    <row r="49" spans="3:7">
      <c r="C49" s="426" t="s">
        <v>5539</v>
      </c>
      <c r="D49" s="406">
        <v>0</v>
      </c>
      <c r="E49" s="406">
        <v>0</v>
      </c>
      <c r="F49" s="419">
        <v>0</v>
      </c>
      <c r="G49" s="451">
        <v>5094.34</v>
      </c>
    </row>
    <row r="50" spans="3:7">
      <c r="C50" s="426" t="s">
        <v>5540</v>
      </c>
      <c r="D50" s="406">
        <v>1954</v>
      </c>
      <c r="E50" s="406">
        <v>10691</v>
      </c>
      <c r="F50" s="419">
        <v>2570</v>
      </c>
      <c r="G50" s="419">
        <v>0</v>
      </c>
    </row>
    <row r="51" spans="3:7">
      <c r="C51" s="426" t="s">
        <v>5541</v>
      </c>
      <c r="D51" s="406">
        <v>4452.1</v>
      </c>
      <c r="E51" s="406">
        <v>20049</v>
      </c>
      <c r="F51" s="419">
        <v>37790.36</v>
      </c>
      <c r="G51" s="419">
        <v>162362.18</v>
      </c>
    </row>
    <row r="52" spans="3:7">
      <c r="C52" s="426" t="s">
        <v>5542</v>
      </c>
      <c r="D52" s="406">
        <v>0</v>
      </c>
      <c r="E52" s="406">
        <v>0</v>
      </c>
      <c r="F52" s="419">
        <v>47438.58</v>
      </c>
      <c r="G52" s="419">
        <v>62059.63</v>
      </c>
    </row>
    <row r="53" spans="3:7">
      <c r="C53" s="426" t="s">
        <v>5543</v>
      </c>
      <c r="D53" s="406">
        <v>9000</v>
      </c>
      <c r="E53" s="406">
        <v>9000</v>
      </c>
      <c r="F53" s="419">
        <v>10020</v>
      </c>
      <c r="G53" s="419">
        <v>8010</v>
      </c>
    </row>
    <row r="54" spans="4:7">
      <c r="D54" s="450">
        <f>SUM(D41:D53)</f>
        <v>178574.58</v>
      </c>
      <c r="E54" s="450">
        <f t="shared" ref="E54:G54" si="3">SUM(E41:E53)</f>
        <v>271657.2</v>
      </c>
      <c r="F54" s="450">
        <f t="shared" si="3"/>
        <v>387853.27</v>
      </c>
      <c r="G54" s="450">
        <f t="shared" si="3"/>
        <v>677116.76</v>
      </c>
    </row>
    <row r="55" spans="5:6">
      <c r="E55" s="406"/>
      <c r="F55" s="419"/>
    </row>
    <row r="56" spans="3:6">
      <c r="C56" s="420" t="s">
        <v>5517</v>
      </c>
      <c r="E56" s="406"/>
      <c r="F56" s="419"/>
    </row>
    <row r="57" spans="3:7">
      <c r="C57" s="426" t="s">
        <v>5544</v>
      </c>
      <c r="D57" s="406">
        <v>119256.78</v>
      </c>
      <c r="E57" s="406">
        <v>84111.59</v>
      </c>
      <c r="F57" s="419">
        <v>77241.21</v>
      </c>
      <c r="G57" s="419">
        <v>53535.79</v>
      </c>
    </row>
    <row r="58" spans="3:7">
      <c r="C58" s="426" t="s">
        <v>5545</v>
      </c>
      <c r="D58" s="406">
        <v>274988.16</v>
      </c>
      <c r="E58" s="406">
        <v>284704.82</v>
      </c>
      <c r="F58" s="419">
        <v>156815.86</v>
      </c>
      <c r="G58" s="419">
        <v>45999.96</v>
      </c>
    </row>
    <row r="59" spans="4:7">
      <c r="D59" s="450">
        <f>SUM(D57:D58)</f>
        <v>394244.94</v>
      </c>
      <c r="E59" s="450">
        <f t="shared" ref="E59:G59" si="4">SUM(E57:E58)</f>
        <v>368816.41</v>
      </c>
      <c r="F59" s="450">
        <f t="shared" si="4"/>
        <v>234057.07</v>
      </c>
      <c r="G59" s="450">
        <f t="shared" si="4"/>
        <v>99535.75</v>
      </c>
    </row>
    <row r="60" spans="5:6">
      <c r="E60" s="406"/>
      <c r="F60" s="419"/>
    </row>
    <row r="61" spans="3:6">
      <c r="C61" s="420" t="s">
        <v>5178</v>
      </c>
      <c r="E61" s="406"/>
      <c r="F61" s="419"/>
    </row>
    <row r="62" spans="3:7">
      <c r="C62" s="426" t="s">
        <v>5546</v>
      </c>
      <c r="D62" s="406">
        <v>0</v>
      </c>
      <c r="E62" s="406">
        <v>0</v>
      </c>
      <c r="F62" s="419">
        <v>0</v>
      </c>
      <c r="G62" s="419">
        <v>0</v>
      </c>
    </row>
    <row r="63" spans="3:7">
      <c r="C63" s="426" t="s">
        <v>5547</v>
      </c>
      <c r="D63" s="406">
        <v>607066.08</v>
      </c>
      <c r="E63" s="406">
        <v>964661.9</v>
      </c>
      <c r="F63" s="419">
        <v>1776951.28</v>
      </c>
      <c r="G63" s="419">
        <v>1990140.52</v>
      </c>
    </row>
    <row r="64" spans="3:7">
      <c r="C64" s="426" t="s">
        <v>5548</v>
      </c>
      <c r="D64" s="406">
        <v>114000</v>
      </c>
      <c r="E64" s="406">
        <v>300239</v>
      </c>
      <c r="F64" s="419">
        <v>144648.87</v>
      </c>
      <c r="G64" s="419">
        <v>224517.14</v>
      </c>
    </row>
    <row r="65" spans="3:7">
      <c r="C65" s="426" t="s">
        <v>5549</v>
      </c>
      <c r="D65" s="406">
        <v>1125020.06</v>
      </c>
      <c r="E65" s="406">
        <v>1852034.19</v>
      </c>
      <c r="F65" s="419">
        <v>2327312.36</v>
      </c>
      <c r="G65" s="419">
        <v>578240.54</v>
      </c>
    </row>
    <row r="66" spans="3:7">
      <c r="C66" s="426" t="s">
        <v>5550</v>
      </c>
      <c r="D66" s="406">
        <v>35913.63</v>
      </c>
      <c r="E66" s="406">
        <v>39403.3</v>
      </c>
      <c r="F66" s="419">
        <v>40782.99</v>
      </c>
      <c r="G66" s="419">
        <v>37007.49</v>
      </c>
    </row>
    <row r="67" spans="3:7">
      <c r="C67" s="426" t="s">
        <v>5551</v>
      </c>
      <c r="D67" s="406">
        <v>5700</v>
      </c>
      <c r="E67" s="406">
        <v>14700</v>
      </c>
      <c r="F67" s="419">
        <v>356571.33</v>
      </c>
      <c r="G67" s="419">
        <v>867924.58</v>
      </c>
    </row>
    <row r="68" spans="3:7">
      <c r="C68" s="426" t="s">
        <v>5552</v>
      </c>
      <c r="D68" s="406">
        <v>0</v>
      </c>
      <c r="E68" s="406">
        <v>36881.9</v>
      </c>
      <c r="F68" s="419">
        <v>35390</v>
      </c>
      <c r="G68" s="419">
        <v>35373.63</v>
      </c>
    </row>
    <row r="69" spans="3:7">
      <c r="C69" s="426" t="s">
        <v>5553</v>
      </c>
      <c r="D69" s="406">
        <v>0</v>
      </c>
      <c r="E69" s="406">
        <v>4889.45</v>
      </c>
      <c r="F69" s="419">
        <v>3814.41</v>
      </c>
      <c r="G69" s="419">
        <v>0</v>
      </c>
    </row>
    <row r="70" spans="3:7">
      <c r="C70" s="426" t="s">
        <v>5554</v>
      </c>
      <c r="D70" s="406">
        <v>0</v>
      </c>
      <c r="E70" s="406">
        <v>22200</v>
      </c>
      <c r="F70" s="419">
        <v>206240.38</v>
      </c>
      <c r="G70" s="419">
        <v>309155.12</v>
      </c>
    </row>
    <row r="71" spans="3:7">
      <c r="C71" s="426" t="s">
        <v>5555</v>
      </c>
      <c r="D71" s="406">
        <v>0</v>
      </c>
      <c r="E71" s="406">
        <v>36000</v>
      </c>
      <c r="F71" s="419">
        <v>0</v>
      </c>
      <c r="G71" s="419">
        <v>194174.76</v>
      </c>
    </row>
    <row r="72" spans="3:7">
      <c r="C72" s="426" t="s">
        <v>5556</v>
      </c>
      <c r="D72" s="406">
        <v>683</v>
      </c>
      <c r="E72" s="406">
        <v>2625.9</v>
      </c>
      <c r="F72" s="419">
        <v>23881</v>
      </c>
      <c r="G72" s="419">
        <v>62026.75</v>
      </c>
    </row>
    <row r="73" spans="3:7">
      <c r="C73" s="426" t="s">
        <v>5557</v>
      </c>
      <c r="D73" s="406">
        <v>0</v>
      </c>
      <c r="E73" s="406">
        <v>5906</v>
      </c>
      <c r="F73" s="419">
        <v>20417.8</v>
      </c>
      <c r="G73" s="419">
        <v>14866.4</v>
      </c>
    </row>
    <row r="74" spans="3:7">
      <c r="C74" s="426" t="s">
        <v>5558</v>
      </c>
      <c r="D74" s="406">
        <v>0</v>
      </c>
      <c r="E74" s="406">
        <v>0</v>
      </c>
      <c r="F74" s="419">
        <v>7472</v>
      </c>
      <c r="G74" s="419">
        <v>744</v>
      </c>
    </row>
    <row r="75" spans="3:7">
      <c r="C75" s="426" t="s">
        <v>5559</v>
      </c>
      <c r="D75" s="406">
        <v>0</v>
      </c>
      <c r="E75" s="406">
        <v>0</v>
      </c>
      <c r="F75" s="419">
        <v>2850</v>
      </c>
      <c r="G75" s="419">
        <v>17010</v>
      </c>
    </row>
    <row r="76" spans="3:7">
      <c r="C76" s="426" t="s">
        <v>5560</v>
      </c>
      <c r="D76" s="406">
        <v>204537.34</v>
      </c>
      <c r="E76" s="406">
        <v>232389.02</v>
      </c>
      <c r="F76" s="419">
        <v>374163.3</v>
      </c>
      <c r="G76" s="419">
        <v>528395.47</v>
      </c>
    </row>
    <row r="77" spans="3:7">
      <c r="C77" s="426" t="s">
        <v>5561</v>
      </c>
      <c r="D77" s="406">
        <v>0</v>
      </c>
      <c r="E77" s="406">
        <v>0</v>
      </c>
      <c r="F77" s="419">
        <v>0</v>
      </c>
      <c r="G77" s="419">
        <v>0</v>
      </c>
    </row>
    <row r="78" spans="3:7">
      <c r="C78" s="426" t="s">
        <v>5562</v>
      </c>
      <c r="D78" s="406">
        <v>58332.48</v>
      </c>
      <c r="E78" s="406">
        <v>22033.5</v>
      </c>
      <c r="F78" s="419">
        <v>18886.33</v>
      </c>
      <c r="G78" s="419">
        <v>18607.71</v>
      </c>
    </row>
    <row r="79" spans="3:7">
      <c r="C79" s="426" t="s">
        <v>5563</v>
      </c>
      <c r="D79" s="406">
        <v>0</v>
      </c>
      <c r="E79" s="406">
        <v>101019.66</v>
      </c>
      <c r="F79" s="419">
        <v>112905.6</v>
      </c>
      <c r="G79" s="419">
        <v>207745.49</v>
      </c>
    </row>
    <row r="80" spans="3:7">
      <c r="C80" s="426" t="s">
        <v>5564</v>
      </c>
      <c r="D80" s="406">
        <v>0</v>
      </c>
      <c r="E80" s="406">
        <v>9810</v>
      </c>
      <c r="F80" s="419">
        <v>9792</v>
      </c>
      <c r="G80" s="419">
        <v>23928</v>
      </c>
    </row>
    <row r="81" spans="3:7">
      <c r="C81" s="426" t="s">
        <v>5565</v>
      </c>
      <c r="D81" s="406">
        <v>0</v>
      </c>
      <c r="E81" s="406">
        <v>0</v>
      </c>
      <c r="F81" s="419">
        <v>0</v>
      </c>
      <c r="G81" s="419">
        <v>933962.12</v>
      </c>
    </row>
    <row r="82" spans="3:6">
      <c r="C82" s="426" t="s">
        <v>5566</v>
      </c>
      <c r="D82" s="406">
        <v>0</v>
      </c>
      <c r="E82" s="406">
        <v>21491</v>
      </c>
      <c r="F82" s="419">
        <v>1101705.74</v>
      </c>
    </row>
    <row r="83" spans="4:7">
      <c r="D83" s="450">
        <f>SUM(D62:D82)</f>
        <v>2151252.59</v>
      </c>
      <c r="E83" s="450">
        <f t="shared" ref="E83:G83" si="5">SUM(E62:E82)</f>
        <v>3666284.82</v>
      </c>
      <c r="F83" s="450">
        <f t="shared" si="5"/>
        <v>6563785.39</v>
      </c>
      <c r="G83" s="450">
        <f t="shared" si="5"/>
        <v>6043819.72</v>
      </c>
    </row>
    <row r="84" spans="5:6">
      <c r="E84" s="406"/>
      <c r="F84" s="419"/>
    </row>
    <row r="85" spans="3:6">
      <c r="C85" s="420" t="s">
        <v>4154</v>
      </c>
      <c r="E85" s="406"/>
      <c r="F85" s="419"/>
    </row>
    <row r="86" spans="3:7">
      <c r="C86" s="426" t="s">
        <v>4154</v>
      </c>
      <c r="D86" s="450">
        <v>116087.6</v>
      </c>
      <c r="E86" s="450">
        <v>139832.6</v>
      </c>
      <c r="F86" s="423">
        <v>237552.15</v>
      </c>
      <c r="G86" s="423">
        <v>550867.98</v>
      </c>
    </row>
    <row r="87" spans="5:6">
      <c r="E87" s="406"/>
      <c r="F87" s="419"/>
    </row>
    <row r="88" spans="3:6">
      <c r="C88" s="420" t="s">
        <v>5518</v>
      </c>
      <c r="E88" s="406"/>
      <c r="F88" s="419"/>
    </row>
    <row r="89" spans="3:7">
      <c r="C89" s="426" t="s">
        <v>5567</v>
      </c>
      <c r="D89" s="406">
        <v>87818.5</v>
      </c>
      <c r="E89" s="406">
        <v>146520.96</v>
      </c>
      <c r="F89" s="419">
        <v>156299.73</v>
      </c>
      <c r="G89" s="419">
        <v>327272.85</v>
      </c>
    </row>
    <row r="90" spans="3:7">
      <c r="C90" s="426" t="s">
        <v>5568</v>
      </c>
      <c r="D90" s="406">
        <v>47125.03</v>
      </c>
      <c r="E90" s="406">
        <v>66450.38</v>
      </c>
      <c r="F90" s="419">
        <v>167496.3</v>
      </c>
      <c r="G90" s="419">
        <v>207611.35</v>
      </c>
    </row>
    <row r="91" spans="4:7">
      <c r="D91" s="450">
        <f>SUM(D89:D90)</f>
        <v>134943.53</v>
      </c>
      <c r="E91" s="450">
        <f t="shared" ref="E91:G91" si="6">SUM(E89:E90)</f>
        <v>212971.34</v>
      </c>
      <c r="F91" s="450">
        <f t="shared" si="6"/>
        <v>323796.03</v>
      </c>
      <c r="G91" s="450">
        <f t="shared" si="6"/>
        <v>534884.2</v>
      </c>
    </row>
    <row r="92" spans="5:6">
      <c r="E92" s="406"/>
      <c r="F92" s="419"/>
    </row>
    <row r="93" spans="3:6">
      <c r="C93" s="420" t="s">
        <v>5180</v>
      </c>
      <c r="E93" s="406"/>
      <c r="F93" s="419"/>
    </row>
    <row r="94" spans="3:7">
      <c r="C94" s="426" t="s">
        <v>5569</v>
      </c>
      <c r="D94" s="406">
        <v>58332.45</v>
      </c>
      <c r="E94" s="406">
        <v>33001.57</v>
      </c>
      <c r="F94" s="419">
        <v>23755.85</v>
      </c>
      <c r="G94" s="419">
        <v>22299.7</v>
      </c>
    </row>
    <row r="95" spans="3:7">
      <c r="C95" s="426" t="s">
        <v>5570</v>
      </c>
      <c r="D95" s="406">
        <v>228537.33</v>
      </c>
      <c r="E95" s="406">
        <v>377568.97</v>
      </c>
      <c r="F95" s="419">
        <v>466704.81</v>
      </c>
      <c r="G95" s="419">
        <v>404176.81</v>
      </c>
    </row>
    <row r="96" spans="4:7">
      <c r="D96" s="450">
        <f>SUM(D94:D95)</f>
        <v>286869.78</v>
      </c>
      <c r="E96" s="450">
        <f t="shared" ref="E96:G96" si="7">SUM(E94:E95)</f>
        <v>410570.54</v>
      </c>
      <c r="F96" s="450">
        <f t="shared" si="7"/>
        <v>490460.66</v>
      </c>
      <c r="G96" s="450">
        <f t="shared" si="7"/>
        <v>426476.51</v>
      </c>
    </row>
    <row r="97" spans="5:6">
      <c r="E97" s="406"/>
      <c r="F97" s="419"/>
    </row>
    <row r="98" spans="3:6">
      <c r="C98" s="420" t="s">
        <v>5181</v>
      </c>
      <c r="E98" s="406"/>
      <c r="F98" s="419"/>
    </row>
    <row r="99" spans="3:7">
      <c r="C99" s="426" t="s">
        <v>5181</v>
      </c>
      <c r="D99" s="406">
        <v>223815</v>
      </c>
      <c r="E99" s="406">
        <v>44634</v>
      </c>
      <c r="F99" s="419">
        <v>101929.33</v>
      </c>
      <c r="G99" s="419">
        <v>384525.77</v>
      </c>
    </row>
    <row r="100" spans="3:7">
      <c r="C100" s="426" t="s">
        <v>5571</v>
      </c>
      <c r="D100" s="406">
        <v>47618</v>
      </c>
      <c r="E100" s="406">
        <v>5162.9</v>
      </c>
      <c r="F100" s="419">
        <v>927413.09</v>
      </c>
      <c r="G100" s="419">
        <v>1576699.03</v>
      </c>
    </row>
    <row r="101" spans="4:7">
      <c r="D101" s="450">
        <f>SUM(D99:D100)</f>
        <v>271433</v>
      </c>
      <c r="E101" s="450">
        <f t="shared" ref="E101:G101" si="8">SUM(E99:E100)</f>
        <v>49796.9</v>
      </c>
      <c r="F101" s="450">
        <f t="shared" si="8"/>
        <v>1029342.42</v>
      </c>
      <c r="G101" s="450">
        <f t="shared" si="8"/>
        <v>1961224.8</v>
      </c>
    </row>
    <row r="102" spans="5:6">
      <c r="E102" s="406"/>
      <c r="F102" s="419"/>
    </row>
    <row r="103" spans="3:6">
      <c r="C103" s="420" t="s">
        <v>4053</v>
      </c>
      <c r="E103" s="406"/>
      <c r="F103" s="419"/>
    </row>
    <row r="104" spans="3:7">
      <c r="C104" s="426" t="s">
        <v>5572</v>
      </c>
      <c r="D104" s="406">
        <v>6847.85</v>
      </c>
      <c r="E104" s="406">
        <v>4331.43</v>
      </c>
      <c r="F104" s="419">
        <v>65103.98</v>
      </c>
      <c r="G104" s="419">
        <v>77.06</v>
      </c>
    </row>
    <row r="105" spans="3:7">
      <c r="C105" s="426" t="s">
        <v>5573</v>
      </c>
      <c r="D105" s="406">
        <v>343.65</v>
      </c>
      <c r="E105" s="406">
        <v>27779.09</v>
      </c>
      <c r="F105" s="419">
        <v>0</v>
      </c>
      <c r="G105" s="419">
        <v>0</v>
      </c>
    </row>
    <row r="106" spans="4:7">
      <c r="D106" s="450">
        <f>SUM(D104:D105)</f>
        <v>7191.5</v>
      </c>
      <c r="E106" s="450">
        <f t="shared" ref="E106:G106" si="9">SUM(E104:E105)</f>
        <v>32110.52</v>
      </c>
      <c r="F106" s="450">
        <f t="shared" si="9"/>
        <v>65103.98</v>
      </c>
      <c r="G106" s="450">
        <f t="shared" si="9"/>
        <v>77.06</v>
      </c>
    </row>
    <row r="107" spans="5:6">
      <c r="E107" s="406"/>
      <c r="F107" s="419"/>
    </row>
    <row r="108" spans="3:6">
      <c r="C108" s="420" t="s">
        <v>4522</v>
      </c>
      <c r="E108" s="406"/>
      <c r="F108" s="419"/>
    </row>
    <row r="109" spans="3:7">
      <c r="C109" s="426" t="s">
        <v>4522</v>
      </c>
      <c r="D109" s="450">
        <v>0</v>
      </c>
      <c r="E109" s="450">
        <v>5756259.26</v>
      </c>
      <c r="F109" s="423">
        <v>0</v>
      </c>
      <c r="G109" s="423">
        <v>0</v>
      </c>
    </row>
    <row r="110" spans="5:6">
      <c r="E110" s="406"/>
      <c r="F110" s="419"/>
    </row>
    <row r="111" spans="3:6">
      <c r="C111" s="420" t="s">
        <v>280</v>
      </c>
      <c r="E111" s="406"/>
      <c r="F111" s="419"/>
    </row>
    <row r="112" spans="3:7">
      <c r="C112" s="426" t="s">
        <v>5574</v>
      </c>
      <c r="D112" s="406">
        <v>35599</v>
      </c>
      <c r="E112" s="406">
        <v>0</v>
      </c>
      <c r="F112" s="419">
        <v>0</v>
      </c>
      <c r="G112" s="419">
        <v>0</v>
      </c>
    </row>
    <row r="113" spans="3:7">
      <c r="C113" s="426" t="s">
        <v>5575</v>
      </c>
      <c r="D113" s="406">
        <v>9091.17</v>
      </c>
      <c r="E113" s="406">
        <v>7627.13</v>
      </c>
      <c r="F113" s="419">
        <v>4339.31</v>
      </c>
      <c r="G113" s="419">
        <v>0</v>
      </c>
    </row>
    <row r="114" spans="3:7">
      <c r="C114" s="426" t="s">
        <v>5576</v>
      </c>
      <c r="D114" s="406">
        <v>0</v>
      </c>
      <c r="E114" s="406">
        <v>9608.07</v>
      </c>
      <c r="F114" s="419">
        <v>12296.88</v>
      </c>
      <c r="G114" s="419">
        <v>19050.92</v>
      </c>
    </row>
    <row r="115" spans="3:7">
      <c r="C115" s="426" t="s">
        <v>5577</v>
      </c>
      <c r="D115" s="406">
        <v>400</v>
      </c>
      <c r="E115" s="406">
        <v>400</v>
      </c>
      <c r="F115" s="419">
        <v>400</v>
      </c>
      <c r="G115" s="419">
        <v>400</v>
      </c>
    </row>
    <row r="116" spans="3:7">
      <c r="C116" s="426" t="s">
        <v>280</v>
      </c>
      <c r="D116" s="406">
        <v>7398.23</v>
      </c>
      <c r="E116" s="406">
        <v>2195.39</v>
      </c>
      <c r="F116" s="419">
        <v>14333.06</v>
      </c>
      <c r="G116" s="419">
        <v>2045.39</v>
      </c>
    </row>
    <row r="117" spans="4:7">
      <c r="D117" s="450">
        <f>SUM(D112:D116)</f>
        <v>52488.4</v>
      </c>
      <c r="E117" s="450">
        <f t="shared" ref="E117:G117" si="10">SUM(E112:E116)</f>
        <v>19830.59</v>
      </c>
      <c r="F117" s="450">
        <f t="shared" si="10"/>
        <v>31369.25</v>
      </c>
      <c r="G117" s="450">
        <f t="shared" si="10"/>
        <v>21496.31</v>
      </c>
    </row>
    <row r="118" spans="5:6">
      <c r="E118" s="406"/>
      <c r="F118" s="419"/>
    </row>
    <row r="119" spans="5:6">
      <c r="E119" s="406"/>
      <c r="F119" s="419"/>
    </row>
    <row r="120" spans="5:6">
      <c r="E120" s="406"/>
      <c r="F120" s="419"/>
    </row>
    <row r="121" spans="5:6">
      <c r="E121" s="406"/>
      <c r="F121" s="419"/>
    </row>
    <row r="122" spans="5:6">
      <c r="E122" s="406"/>
      <c r="F122" s="419"/>
    </row>
    <row r="123" spans="5:6">
      <c r="E123" s="406"/>
      <c r="F123" s="419"/>
    </row>
    <row r="124" spans="5:5">
      <c r="E124" s="406"/>
    </row>
    <row r="125" spans="3:7">
      <c r="C125" s="426" t="str">
        <f>'[45]2015明细表 '!A9</f>
        <v>开办费摊销</v>
      </c>
      <c r="D125" s="406">
        <f>'[45]2015明细表 '!X9</f>
        <v>0</v>
      </c>
      <c r="E125" s="406">
        <f>'[45]2015明细表 '!V9</f>
        <v>0</v>
      </c>
      <c r="F125" s="419">
        <f>'[45]2016明细表'!V9</f>
        <v>0</v>
      </c>
      <c r="G125" s="419">
        <f>'[45]2017明细表'!V9</f>
        <v>0</v>
      </c>
    </row>
    <row r="126" spans="3:7">
      <c r="C126" s="426" t="str">
        <f>'[45]2015明细表 '!A10</f>
        <v>公司经费-行管人员工资</v>
      </c>
      <c r="D126" s="406">
        <f>'[45]2015明细表 '!X10</f>
        <v>1024384.96</v>
      </c>
      <c r="E126" s="406">
        <f>'[45]2015明细表 '!V10</f>
        <v>1321726.85</v>
      </c>
      <c r="F126" s="419">
        <f>'[45]2016明细表'!V10</f>
        <v>1945403.86</v>
      </c>
      <c r="G126" s="419">
        <f>'[45]2017明细表'!V10</f>
        <v>2915753.24</v>
      </c>
    </row>
    <row r="127" spans="3:7">
      <c r="C127" s="426" t="str">
        <f>'[45]2015明细表 '!A11</f>
        <v>公司经费-物料消耗</v>
      </c>
      <c r="D127" s="406">
        <f>'[45]2015明细表 '!X11</f>
        <v>10717</v>
      </c>
      <c r="E127" s="406">
        <f>'[45]2015明细表 '!V11</f>
        <v>27122.36</v>
      </c>
      <c r="F127" s="419">
        <f>'[45]2016明细表'!V11</f>
        <v>17499.19</v>
      </c>
      <c r="G127" s="419">
        <f>'[45]2017明细表'!V11</f>
        <v>2815</v>
      </c>
    </row>
    <row r="128" spans="3:7">
      <c r="C128" s="426" t="str">
        <f>'[45]2015明细表 '!A12</f>
        <v>公司经费-低值易耗品摊销</v>
      </c>
      <c r="D128" s="406">
        <f>'[45]2015明细表 '!X12</f>
        <v>3790</v>
      </c>
      <c r="E128" s="406">
        <f>'[45]2015明细表 '!V12</f>
        <v>12469.8</v>
      </c>
      <c r="F128" s="419">
        <f>'[45]2016明细表'!V12</f>
        <v>53286.41</v>
      </c>
      <c r="G128" s="419">
        <f>'[45]2017明细表'!V12</f>
        <v>14015.76</v>
      </c>
    </row>
    <row r="129" spans="3:7">
      <c r="C129" s="426" t="str">
        <f>'[45]2015明细表 '!A13</f>
        <v>公司经费-办公费</v>
      </c>
      <c r="D129" s="406">
        <f>'[45]2015明细表 '!X13</f>
        <v>118952.8</v>
      </c>
      <c r="E129" s="406">
        <f>'[45]2015明细表 '!V13</f>
        <v>124959.33</v>
      </c>
      <c r="F129" s="419">
        <f>'[45]2016明细表'!V13</f>
        <v>248448.27</v>
      </c>
      <c r="G129" s="419">
        <f>'[45]2017明细表'!V13</f>
        <v>424760.55</v>
      </c>
    </row>
    <row r="130" spans="3:7">
      <c r="C130" s="426" t="str">
        <f>'[45]2015明细表 '!A14</f>
        <v>公司经费-交通差旅费</v>
      </c>
      <c r="D130" s="406">
        <f>'[45]2015明细表 '!X14</f>
        <v>87818.5</v>
      </c>
      <c r="E130" s="406">
        <f>'[45]2015明细表 '!V14</f>
        <v>146520.96</v>
      </c>
      <c r="F130" s="419">
        <f>'[45]2016明细表'!V14</f>
        <v>156299.73</v>
      </c>
      <c r="G130" s="419">
        <f>'[45]2017明细表'!V14</f>
        <v>327272.85</v>
      </c>
    </row>
    <row r="131" spans="3:7">
      <c r="C131" s="426" t="str">
        <f>'[45]2015明细表 '!A15</f>
        <v>公司经费-汽车费用</v>
      </c>
      <c r="D131" s="406">
        <f>'[45]2015明细表 '!X15</f>
        <v>47125.03</v>
      </c>
      <c r="E131" s="406">
        <f>'[45]2015明细表 '!V15</f>
        <v>66450.38</v>
      </c>
      <c r="F131" s="419">
        <f>'[45]2016明细表'!V15</f>
        <v>167496.3</v>
      </c>
      <c r="G131" s="419">
        <f>'[45]2017明细表'!V15</f>
        <v>207611.35</v>
      </c>
    </row>
    <row r="132" spans="3:7">
      <c r="C132" s="426" t="str">
        <f>'[45]2015明细表 '!A16</f>
        <v>公司经费-水电物管费等</v>
      </c>
      <c r="D132" s="406">
        <f>'[45]2015明细表 '!X16</f>
        <v>58332.45</v>
      </c>
      <c r="E132" s="406">
        <f>'[45]2015明细表 '!V16</f>
        <v>33001.57</v>
      </c>
      <c r="F132" s="419">
        <f>'[45]2016明细表'!V16</f>
        <v>23755.85</v>
      </c>
      <c r="G132" s="419">
        <f>'[45]2017明细表'!V16</f>
        <v>22299.7</v>
      </c>
    </row>
    <row r="133" spans="3:7">
      <c r="C133" s="426" t="str">
        <f>'[45]2015明细表 '!A17</f>
        <v>公司经费-通讯网络费</v>
      </c>
      <c r="D133" s="406">
        <f>'[45]2015明细表 '!X17</f>
        <v>20745.68</v>
      </c>
      <c r="E133" s="406">
        <f>'[45]2015明细表 '!V17</f>
        <v>28807.71</v>
      </c>
      <c r="F133" s="419">
        <f>'[45]2016明细表'!V17</f>
        <v>15377.15</v>
      </c>
      <c r="G133" s="419">
        <f>'[45]2017明细表'!V17</f>
        <v>26765.5</v>
      </c>
    </row>
    <row r="134" spans="3:7">
      <c r="C134" s="426" t="str">
        <f>'[45]2015明细表 '!A18</f>
        <v>公司经费-折旧费用</v>
      </c>
      <c r="D134" s="406">
        <f>'[45]2015明细表 '!X18</f>
        <v>119256.78</v>
      </c>
      <c r="E134" s="406">
        <f>'[45]2015明细表 '!V18</f>
        <v>84111.59</v>
      </c>
      <c r="F134" s="419">
        <f>'[45]2016明细表'!V18</f>
        <v>77241.21</v>
      </c>
      <c r="G134" s="419">
        <f>'[45]2017明细表'!V18</f>
        <v>53535.79</v>
      </c>
    </row>
    <row r="135" spans="3:7">
      <c r="C135" s="426" t="str">
        <f>'[45]2015明细表 '!A19</f>
        <v>公司经费-房屋租赁费</v>
      </c>
      <c r="D135" s="406">
        <f>'[45]2015明细表 '!X19</f>
        <v>228537.33</v>
      </c>
      <c r="E135" s="406">
        <f>'[45]2015明细表 '!V19</f>
        <v>377568.97</v>
      </c>
      <c r="F135" s="419">
        <f>'[45]2016明细表'!V19</f>
        <v>466704.81</v>
      </c>
      <c r="G135" s="419">
        <f>'[45]2017明细表'!V19</f>
        <v>404176.81</v>
      </c>
    </row>
    <row r="136" spans="3:7">
      <c r="C136" s="426" t="str">
        <f>'[45]2015明细表 '!A20</f>
        <v>公司经费-长期费用摊销</v>
      </c>
      <c r="D136" s="406">
        <f>'[45]2015明细表 '!X20</f>
        <v>274988.16</v>
      </c>
      <c r="E136" s="406">
        <f>'[45]2015明细表 '!V20</f>
        <v>284704.82</v>
      </c>
      <c r="F136" s="419">
        <f>'[45]2016明细表'!V20</f>
        <v>156815.86</v>
      </c>
      <c r="G136" s="419">
        <f>'[45]2017明细表'!V20</f>
        <v>45999.96</v>
      </c>
    </row>
    <row r="137" spans="3:7">
      <c r="C137" s="426" t="str">
        <f>'[45]2015明细表 '!A21</f>
        <v>公司经费-行管人员福利费</v>
      </c>
      <c r="D137" s="406">
        <f>'[45]2015明细表 '!X21</f>
        <v>3501</v>
      </c>
      <c r="E137" s="406">
        <f>'[45]2015明细表 '!V21</f>
        <v>0</v>
      </c>
      <c r="F137" s="419">
        <f>'[45]2016明细表'!V21</f>
        <v>0</v>
      </c>
      <c r="G137" s="419">
        <f>'[45]2017明细表'!V21</f>
        <v>0</v>
      </c>
    </row>
    <row r="138" spans="3:7">
      <c r="C138" s="426" t="str">
        <f>'[45]2015明细表 '!A22</f>
        <v>公司经费-邮运费</v>
      </c>
      <c r="D138" s="406">
        <f>'[45]2015明细表 '!X22</f>
        <v>6463</v>
      </c>
      <c r="E138" s="406">
        <f>'[45]2015明细表 '!V22</f>
        <v>9340</v>
      </c>
      <c r="F138" s="419">
        <f>'[45]2016明细表'!V22</f>
        <v>31841.95</v>
      </c>
      <c r="G138" s="419">
        <f>'[45]2017明细表'!V22</f>
        <v>35026.34</v>
      </c>
    </row>
    <row r="139" spans="3:7">
      <c r="C139" s="426" t="str">
        <f>'[45]2015明细表 '!A23</f>
        <v>公司经费-餐费补贴</v>
      </c>
      <c r="D139" s="406">
        <f>'[45]2015明细表 '!X23</f>
        <v>0</v>
      </c>
      <c r="E139" s="406">
        <f>'[45]2015明细表 '!V23</f>
        <v>0</v>
      </c>
      <c r="F139" s="419">
        <f>'[45]2016明细表'!V23</f>
        <v>0</v>
      </c>
      <c r="G139" s="419">
        <f>'[45]2017明细表'!V23</f>
        <v>0</v>
      </c>
    </row>
    <row r="140" spans="3:7">
      <c r="C140" s="426" t="str">
        <f>'[45]2015明细表 '!A24</f>
        <v>公司经费-培训费</v>
      </c>
      <c r="D140" s="406">
        <f>'[45]2015明细表 '!X24</f>
        <v>2500</v>
      </c>
      <c r="E140" s="406">
        <f>'[45]2015明细表 '!V24</f>
        <v>29218</v>
      </c>
      <c r="F140" s="419">
        <f>'[45]2016明细表'!V24</f>
        <v>0</v>
      </c>
      <c r="G140" s="419">
        <f>'[45]2017明细表'!V24</f>
        <v>41788.35</v>
      </c>
    </row>
    <row r="141" spans="3:7">
      <c r="C141" s="426" t="str">
        <f>'[45]2015明细表 '!A25</f>
        <v>公司经费-社会团体行业协会会员费</v>
      </c>
      <c r="D141" s="406">
        <f>'[45]2015明细表 '!X25</f>
        <v>0</v>
      </c>
      <c r="E141" s="406">
        <f>'[45]2015明细表 '!V25</f>
        <v>0</v>
      </c>
      <c r="F141" s="419">
        <f>'[45]2016明细表'!V25</f>
        <v>0</v>
      </c>
      <c r="G141" s="451">
        <f>'[45]2017明细表'!V25</f>
        <v>30000</v>
      </c>
    </row>
    <row r="142" spans="3:7">
      <c r="C142" s="426" t="str">
        <f>'[45]2015明细表 '!A26</f>
        <v>工会经费</v>
      </c>
      <c r="D142" s="406">
        <f>'[45]2015明细表 '!X26</f>
        <v>480</v>
      </c>
      <c r="E142" s="406">
        <f>'[45]2015明细表 '!V26</f>
        <v>192</v>
      </c>
      <c r="F142" s="419">
        <f>'[45]2016明细表'!V26</f>
        <v>6363.82</v>
      </c>
      <c r="G142" s="419">
        <f>'[45]2017明细表'!V26</f>
        <v>0</v>
      </c>
    </row>
    <row r="143" spans="3:7">
      <c r="C143" s="426" t="str">
        <f>'[45]2015明细表 '!A27</f>
        <v>社保公积金（五险一金）</v>
      </c>
      <c r="D143" s="406">
        <f>'[45]2015明细表 '!X27</f>
        <v>260226.29</v>
      </c>
      <c r="E143" s="406">
        <f>'[45]2015明细表 '!V27</f>
        <v>0</v>
      </c>
      <c r="F143" s="419">
        <f>'[45]2016明细表'!V27</f>
        <v>0</v>
      </c>
      <c r="G143" s="419">
        <f>'[45]2017明细表'!V27</f>
        <v>0</v>
      </c>
    </row>
    <row r="144" spans="3:7">
      <c r="C144" s="426" t="str">
        <f>'[45]2015明细表 '!A28</f>
        <v>董事会费-成员津贴</v>
      </c>
      <c r="D144" s="406">
        <f>'[45]2015明细表 '!X28</f>
        <v>0</v>
      </c>
      <c r="E144" s="406">
        <f>'[45]2015明细表 '!V28</f>
        <v>0</v>
      </c>
      <c r="F144" s="419">
        <f>'[45]2016明细表'!V28</f>
        <v>50000</v>
      </c>
      <c r="G144" s="419">
        <f>'[45]2017明细表'!V28</f>
        <v>205000</v>
      </c>
    </row>
    <row r="145" spans="3:7">
      <c r="C145" s="426" t="str">
        <f>'[45]2015明细表 '!A29</f>
        <v>董事会费-会议费</v>
      </c>
      <c r="D145" s="406">
        <f>'[45]2015明细表 '!X29</f>
        <v>0</v>
      </c>
      <c r="E145" s="406">
        <f>'[45]2015明细表 '!V29</f>
        <v>0</v>
      </c>
      <c r="F145" s="419">
        <f>'[45]2016明细表'!V29</f>
        <v>7980</v>
      </c>
      <c r="G145" s="419">
        <f>'[45]2017明细表'!V29</f>
        <v>0</v>
      </c>
    </row>
    <row r="146" spans="3:7">
      <c r="C146" s="426" t="str">
        <f>'[45]2015明细表 '!A30</f>
        <v>董事会费-培训费</v>
      </c>
      <c r="D146" s="406">
        <f>'[45]2015明细表 '!X30</f>
        <v>0</v>
      </c>
      <c r="E146" s="406">
        <f>'[45]2015明细表 '!V30</f>
        <v>0</v>
      </c>
      <c r="F146" s="419">
        <f>'[45]2016明细表'!V30</f>
        <v>0</v>
      </c>
      <c r="G146" s="451">
        <f>'[45]2017明细表'!V30</f>
        <v>5094.34</v>
      </c>
    </row>
    <row r="147" spans="3:7">
      <c r="C147" s="426" t="str">
        <f>'[45]2015明细表 '!A31</f>
        <v>中介机构费</v>
      </c>
      <c r="D147" s="406">
        <f>'[45]2015明细表 '!X31</f>
        <v>223815</v>
      </c>
      <c r="E147" s="406">
        <f>'[45]2015明细表 '!V31</f>
        <v>309634</v>
      </c>
      <c r="F147" s="419">
        <f>'[45]2016明细表'!V31</f>
        <v>1135891.59</v>
      </c>
      <c r="G147" s="419">
        <f>'[45]2017明细表'!V31</f>
        <v>1656223.88</v>
      </c>
    </row>
    <row r="148" spans="3:7">
      <c r="C148" s="426" t="str">
        <f>'[45]2015明细表 '!A32</f>
        <v>咨询及顾问费</v>
      </c>
      <c r="D148" s="406">
        <f>'[45]2015明细表 '!X32</f>
        <v>47618</v>
      </c>
      <c r="E148" s="406">
        <f>'[45]2015明细表 '!V32</f>
        <v>5162.9</v>
      </c>
      <c r="F148" s="419">
        <f>'[45]2016明细表'!V32</f>
        <v>53626.67</v>
      </c>
      <c r="G148" s="419">
        <f>'[45]2017明细表'!V32</f>
        <v>427184.47</v>
      </c>
    </row>
    <row r="149" spans="3:7">
      <c r="C149" s="426" t="str">
        <f>'[45]2015明细表 '!A33</f>
        <v>诉讼费</v>
      </c>
      <c r="D149" s="406">
        <f>'[45]2015明细表 '!X33</f>
        <v>0</v>
      </c>
      <c r="E149" s="406">
        <f>'[45]2015明细表 '!V33</f>
        <v>0</v>
      </c>
      <c r="F149" s="419">
        <f>'[45]2016明细表'!V33</f>
        <v>0</v>
      </c>
      <c r="G149" s="419">
        <f>'[45]2017明细表'!V33</f>
        <v>0</v>
      </c>
    </row>
    <row r="150" spans="3:7">
      <c r="C150" s="426" t="str">
        <f>'[45]2015明细表 '!A34</f>
        <v>业务招待费</v>
      </c>
      <c r="D150" s="406">
        <f>'[45]2015明细表 '!X34</f>
        <v>116087.6</v>
      </c>
      <c r="E150" s="406">
        <f>'[45]2015明细表 '!V34</f>
        <v>139832.6</v>
      </c>
      <c r="F150" s="419">
        <f>'[45]2016明细表'!V34</f>
        <v>237552.15</v>
      </c>
      <c r="G150" s="419">
        <f>'[45]2017明细表'!V34</f>
        <v>550867.98</v>
      </c>
    </row>
    <row r="151" spans="3:7">
      <c r="C151" s="426" t="str">
        <f>'[45]2015明细表 '!A35</f>
        <v>税费（其它税费）</v>
      </c>
      <c r="D151" s="406">
        <f>'[45]2015明细表 '!X35</f>
        <v>6847.85</v>
      </c>
      <c r="E151" s="406">
        <f>'[45]2015明细表 '!V35</f>
        <v>4331.43</v>
      </c>
      <c r="F151" s="419">
        <f>'[45]2016明细表'!V35</f>
        <v>65131.39</v>
      </c>
      <c r="G151" s="419">
        <f>'[45]2017明细表'!V35</f>
        <v>0</v>
      </c>
    </row>
    <row r="152" spans="3:7">
      <c r="C152" s="426" t="str">
        <f>'[45]2015明细表 '!A36</f>
        <v>技术转让费</v>
      </c>
      <c r="D152" s="406">
        <f>'[45]2015明细表 '!X36</f>
        <v>0</v>
      </c>
      <c r="E152" s="406">
        <f>'[45]2015明细表 '!V36</f>
        <v>0</v>
      </c>
      <c r="F152" s="419">
        <f>'[45]2016明细表'!V36</f>
        <v>0</v>
      </c>
      <c r="G152" s="419">
        <f>'[45]2017明细表'!V36</f>
        <v>0</v>
      </c>
    </row>
    <row r="153" spans="3:7">
      <c r="C153" s="426" t="str">
        <f>'[45]2015明细表 '!A37</f>
        <v>资源补偿费</v>
      </c>
      <c r="D153" s="406">
        <f>'[45]2015明细表 '!X37</f>
        <v>0</v>
      </c>
      <c r="E153" s="406">
        <f>'[45]2015明细表 '!V37</f>
        <v>0</v>
      </c>
      <c r="F153" s="419">
        <f>'[45]2016明细表'!V37</f>
        <v>0</v>
      </c>
      <c r="G153" s="419">
        <f>'[45]2017明细表'!V37</f>
        <v>0</v>
      </c>
    </row>
    <row r="154" spans="3:7">
      <c r="C154" s="426" t="str">
        <f>'[45]2015明细表 '!A38</f>
        <v>研发费用-原研发费用201511前</v>
      </c>
      <c r="D154" s="406">
        <f>'[45]2015明细表 '!X38</f>
        <v>0</v>
      </c>
      <c r="E154" s="406">
        <f>'[45]2015明细表 '!V38</f>
        <v>0</v>
      </c>
      <c r="F154" s="419">
        <f>'[45]2016明细表'!V38</f>
        <v>0</v>
      </c>
      <c r="G154" s="419">
        <f>'[45]2017明细表'!V38</f>
        <v>0</v>
      </c>
    </row>
    <row r="155" spans="3:7">
      <c r="C155" s="426" t="str">
        <f>'[45]2015明细表 '!A39</f>
        <v>研发费用-工资</v>
      </c>
      <c r="D155" s="406">
        <f>'[45]2015明细表 '!X39</f>
        <v>829791.33</v>
      </c>
      <c r="E155" s="406">
        <f>'[45]2015明细表 '!V39</f>
        <v>1000621.9</v>
      </c>
      <c r="F155" s="419">
        <f>'[45]2016明细表'!V39</f>
        <v>1307893.22</v>
      </c>
      <c r="G155" s="419">
        <f>'[45]2017明细表'!V39</f>
        <v>2028140.52</v>
      </c>
    </row>
    <row r="156" spans="3:7">
      <c r="C156" s="426" t="str">
        <f>'[45]2015明细表 '!A40</f>
        <v>研发费用-认证检测费</v>
      </c>
      <c r="D156" s="406">
        <f>'[45]2015明细表 '!X40</f>
        <v>114000</v>
      </c>
      <c r="E156" s="406">
        <f>'[45]2015明细表 '!V40</f>
        <v>300239</v>
      </c>
      <c r="F156" s="419">
        <f>'[45]2016明细表'!V40</f>
        <v>144648.87</v>
      </c>
      <c r="G156" s="419">
        <f>'[45]2017明细表'!V40</f>
        <v>224517.14</v>
      </c>
    </row>
    <row r="157" spans="3:7">
      <c r="C157" s="426" t="str">
        <f>'[45]2015明细表 '!A41</f>
        <v>研发费用-材料费</v>
      </c>
      <c r="D157" s="406">
        <f>'[45]2015明细表 '!X41</f>
        <v>940943.06</v>
      </c>
      <c r="E157" s="406">
        <f>'[45]2015明细表 '!V41</f>
        <v>1852034.19</v>
      </c>
      <c r="F157" s="419">
        <f>'[45]2016明细表'!V41</f>
        <v>2613652.69</v>
      </c>
      <c r="G157" s="419">
        <f>'[45]2017明细表'!V41</f>
        <v>2701523.75</v>
      </c>
    </row>
    <row r="158" spans="3:7">
      <c r="C158" s="426" t="str">
        <f>'[45]2015明细表 '!A42</f>
        <v>研发费用-折旧费</v>
      </c>
      <c r="D158" s="406">
        <f>'[45]2015明细表 '!X42</f>
        <v>35913.63</v>
      </c>
      <c r="E158" s="406">
        <f>'[45]2015明细表 '!V42</f>
        <v>39403.3</v>
      </c>
      <c r="F158" s="419">
        <f>'[45]2016明细表'!V42</f>
        <v>40782.99</v>
      </c>
      <c r="G158" s="419">
        <f>'[45]2017明细表'!V42</f>
        <v>37007.49</v>
      </c>
    </row>
    <row r="159" spans="3:7">
      <c r="C159" s="426" t="str">
        <f>'[45]2015明细表 '!A43</f>
        <v>研发费用-相关机构服务费</v>
      </c>
      <c r="D159" s="406">
        <f>'[45]2015明细表 '!X43</f>
        <v>5700</v>
      </c>
      <c r="E159" s="406">
        <f>'[45]2015明细表 '!V43</f>
        <v>14700</v>
      </c>
      <c r="F159" s="419">
        <f>'[45]2016明细表'!V43</f>
        <v>56571.33</v>
      </c>
      <c r="G159" s="419">
        <f>'[45]2017明细表'!V43</f>
        <v>867924.58</v>
      </c>
    </row>
    <row r="160" spans="3:7">
      <c r="C160" s="426" t="str">
        <f>'[45]2015明细表 '!A44</f>
        <v>研发费用-交通差旅费</v>
      </c>
      <c r="D160" s="406">
        <f>'[45]2015明细表 '!X44</f>
        <v>0</v>
      </c>
      <c r="E160" s="406">
        <f>'[45]2015明细表 '!V44</f>
        <v>36881.9</v>
      </c>
      <c r="F160" s="419">
        <f>'[45]2016明细表'!V44</f>
        <v>35390</v>
      </c>
      <c r="G160" s="419">
        <f>'[45]2017明细表'!V44</f>
        <v>35373.63</v>
      </c>
    </row>
    <row r="161" spans="3:7">
      <c r="C161" s="426" t="str">
        <f>'[45]2015明细表 '!A45</f>
        <v>研发费用-工具、器具、易耗品</v>
      </c>
      <c r="D161" s="406">
        <f>'[45]2015明细表 '!X45</f>
        <v>0</v>
      </c>
      <c r="E161" s="406">
        <f>'[45]2015明细表 '!V45</f>
        <v>4889.45</v>
      </c>
      <c r="F161" s="419">
        <f>'[45]2016明细表'!V45</f>
        <v>3814.41</v>
      </c>
      <c r="G161" s="419">
        <f>'[45]2017明细表'!V45</f>
        <v>0</v>
      </c>
    </row>
    <row r="162" spans="3:7">
      <c r="C162" s="426" t="str">
        <f>'[45]2015明细表 '!A46</f>
        <v>研发费用-其它研发相关费用</v>
      </c>
      <c r="D162" s="406">
        <f>'[45]2015明细表 '!X46</f>
        <v>0</v>
      </c>
      <c r="E162" s="406">
        <f>'[45]2015明细表 '!V46</f>
        <v>22200</v>
      </c>
      <c r="F162" s="419">
        <f>'[45]2016明细表'!V46</f>
        <v>271598.73</v>
      </c>
      <c r="G162" s="419">
        <f>'[45]2017明细表'!V46</f>
        <v>1009936.12</v>
      </c>
    </row>
    <row r="163" spans="3:7">
      <c r="C163" s="426" t="str">
        <f>'[45]2015明细表 '!A47</f>
        <v>研发费用-培训费</v>
      </c>
      <c r="D163" s="406">
        <f>'[45]2015明细表 '!X47</f>
        <v>0</v>
      </c>
      <c r="E163" s="406">
        <f>'[45]2015明细表 '!V47</f>
        <v>36000</v>
      </c>
      <c r="F163" s="419">
        <f>'[45]2016明细表'!V47</f>
        <v>0</v>
      </c>
      <c r="G163" s="419">
        <f>'[45]2017明细表'!V47</f>
        <v>194174.76</v>
      </c>
    </row>
    <row r="164" spans="3:7">
      <c r="C164" s="426" t="str">
        <f>'[45]2015明细表 '!A48</f>
        <v>研发费用-办公费</v>
      </c>
      <c r="D164" s="406">
        <f>'[45]2015明细表 '!X48</f>
        <v>683</v>
      </c>
      <c r="E164" s="406">
        <f>'[45]2015明细表 '!V48</f>
        <v>2625.9</v>
      </c>
      <c r="F164" s="419">
        <f>'[45]2016明细表'!V48</f>
        <v>23881</v>
      </c>
      <c r="G164" s="419">
        <f>'[45]2017明细表'!V48</f>
        <v>62026.75</v>
      </c>
    </row>
    <row r="165" spans="3:7">
      <c r="C165" s="426" t="str">
        <f>'[45]2015明细表 '!A49</f>
        <v>研发费用-业务招待费</v>
      </c>
      <c r="D165" s="406">
        <f>'[45]2015明细表 '!X49</f>
        <v>0</v>
      </c>
      <c r="E165" s="406">
        <f>'[45]2015明细表 '!V49</f>
        <v>5906</v>
      </c>
      <c r="F165" s="419">
        <f>'[45]2016明细表'!V49</f>
        <v>20417.8</v>
      </c>
      <c r="G165" s="419">
        <f>'[45]2017明细表'!V49</f>
        <v>14866.4</v>
      </c>
    </row>
    <row r="166" spans="3:7">
      <c r="C166" s="426" t="str">
        <f>'[45]2015明细表 '!A50</f>
        <v>研发费用-汽车费用</v>
      </c>
      <c r="D166" s="406">
        <f>'[45]2015明细表 '!X50</f>
        <v>0</v>
      </c>
      <c r="E166" s="406">
        <f>'[45]2015明细表 '!V50</f>
        <v>0</v>
      </c>
      <c r="F166" s="419">
        <f>'[45]2016明细表'!V50</f>
        <v>7472</v>
      </c>
      <c r="G166" s="419">
        <f>'[45]2017明细表'!V50</f>
        <v>744</v>
      </c>
    </row>
    <row r="167" spans="3:7">
      <c r="C167" s="426" t="str">
        <f>'[45]2015明细表 '!A51</f>
        <v>研发费用-福利费</v>
      </c>
      <c r="D167" s="406">
        <f>'[45]2015明细表 '!X51</f>
        <v>0</v>
      </c>
      <c r="E167" s="406">
        <f>'[45]2015明细表 '!V51</f>
        <v>0</v>
      </c>
      <c r="F167" s="419">
        <f>'[45]2016明细表'!V51</f>
        <v>2850</v>
      </c>
      <c r="G167" s="419">
        <f>'[45]2017明细表'!V51</f>
        <v>17010</v>
      </c>
    </row>
    <row r="168" spans="3:7">
      <c r="C168" s="426" t="str">
        <f>'[45]2015明细表 '!A52</f>
        <v>研发费用-房租费</v>
      </c>
      <c r="D168" s="406">
        <f>'[45]2015明细表 '!X52</f>
        <v>204537.34</v>
      </c>
      <c r="E168" s="406">
        <f>'[45]2015明细表 '!V52</f>
        <v>232389.02</v>
      </c>
      <c r="F168" s="419">
        <f>'[45]2016明细表'!V52</f>
        <v>974163.3</v>
      </c>
      <c r="G168" s="419">
        <f>'[45]2017明细表'!V52</f>
        <v>528395.47</v>
      </c>
    </row>
    <row r="169" spans="3:7">
      <c r="C169" s="426" t="str">
        <f>'[45]2015明细表 '!A53</f>
        <v>研发费用-样品（样灯等）</v>
      </c>
      <c r="D169" s="406">
        <f>'[45]2015明细表 '!X53</f>
        <v>0</v>
      </c>
      <c r="E169" s="406">
        <f>'[45]2015明细表 '!V53</f>
        <v>0</v>
      </c>
      <c r="F169" s="419">
        <f>'[45]2016明细表'!V53</f>
        <v>0</v>
      </c>
      <c r="G169" s="419">
        <f>'[45]2017明细表'!V53</f>
        <v>0</v>
      </c>
    </row>
    <row r="170" spans="3:7">
      <c r="C170" s="426" t="str">
        <f>'[45]2015明细表 '!A54</f>
        <v>研发费用-水电费</v>
      </c>
      <c r="D170" s="406">
        <f>'[45]2015明细表 '!X54</f>
        <v>58332.48</v>
      </c>
      <c r="E170" s="406">
        <f>'[45]2015明细表 '!V54</f>
        <v>22033.5</v>
      </c>
      <c r="F170" s="419">
        <f>'[45]2016明细表'!V54</f>
        <v>18886.33</v>
      </c>
      <c r="G170" s="419">
        <f>'[45]2017明细表'!V54</f>
        <v>18607.71</v>
      </c>
    </row>
    <row r="171" spans="3:7">
      <c r="C171" s="426" t="str">
        <f>'[45]2015明细表 '!A55</f>
        <v>研发费用-社会保险金</v>
      </c>
      <c r="D171" s="406">
        <f>'[45]2015明细表 '!X55</f>
        <v>73392.24</v>
      </c>
      <c r="E171" s="406">
        <f>'[45]2015明细表 '!V55</f>
        <v>101019.66</v>
      </c>
      <c r="F171" s="419">
        <f>'[45]2016明细表'!V55</f>
        <v>110915.4</v>
      </c>
      <c r="G171" s="419">
        <f>'[45]2017明细表'!V55</f>
        <v>205155.59</v>
      </c>
    </row>
    <row r="172" spans="3:7">
      <c r="C172" s="426" t="str">
        <f>'[45]2015明细表 '!A56</f>
        <v>研发费用-住房公积金</v>
      </c>
      <c r="D172" s="406">
        <f>'[45]2015明细表 '!X56</f>
        <v>6585</v>
      </c>
      <c r="E172" s="406">
        <f>'[45]2015明细表 '!V56</f>
        <v>9810</v>
      </c>
      <c r="F172" s="419">
        <f>'[45]2016明细表'!V56</f>
        <v>9492</v>
      </c>
      <c r="G172" s="419">
        <f>'[45]2017明细表'!V56</f>
        <v>23928</v>
      </c>
    </row>
    <row r="173" spans="3:7">
      <c r="C173" s="426" t="str">
        <f>'[45]2015明细表 '!A57</f>
        <v>研发费用-委托开发费</v>
      </c>
      <c r="D173" s="406">
        <f>'[45]2015明细表 '!X57</f>
        <v>0</v>
      </c>
      <c r="E173" s="406">
        <f>'[45]2015明细表 '!V57</f>
        <v>0</v>
      </c>
      <c r="F173" s="419">
        <f>'[45]2016明细表'!V57</f>
        <v>0</v>
      </c>
      <c r="G173" s="419">
        <f>'[45]2017明细表'!V57</f>
        <v>933962.12</v>
      </c>
    </row>
    <row r="174" spans="3:6">
      <c r="C174" s="426" t="s">
        <v>5566</v>
      </c>
      <c r="D174" s="406">
        <f>'[45]2015明细表 '!X58</f>
        <v>0</v>
      </c>
      <c r="E174" s="406">
        <f>'[45]2015明细表 '!V59</f>
        <v>21491</v>
      </c>
      <c r="F174" s="419">
        <f>'[45]2016明细表'!U59</f>
        <v>1101705.74</v>
      </c>
    </row>
    <row r="175" spans="3:7">
      <c r="C175" s="426" t="str">
        <f>'[45]2015明细表 '!A58</f>
        <v>排污费</v>
      </c>
      <c r="D175" s="406">
        <f>'[45]2015明细表 '!X59</f>
        <v>219676</v>
      </c>
      <c r="E175" s="406">
        <f>'[45]2015明细表 '!V58</f>
        <v>0</v>
      </c>
      <c r="F175" s="419">
        <f>'[45]2016明细表'!V58</f>
        <v>0</v>
      </c>
      <c r="G175" s="419">
        <f>'[45]2017明细表'!V58</f>
        <v>0</v>
      </c>
    </row>
    <row r="176" spans="3:7">
      <c r="C176" s="426" t="str">
        <f>'[45]2015明细表 '!A60</f>
        <v>行管资产修理费</v>
      </c>
      <c r="D176" s="406">
        <f>'[45]2015明细表 '!X60</f>
        <v>1954</v>
      </c>
      <c r="E176" s="406">
        <f>'[45]2015明细表 '!V60</f>
        <v>10691</v>
      </c>
      <c r="F176" s="419">
        <f>'[45]2016明细表'!V60</f>
        <v>2570</v>
      </c>
      <c r="G176" s="419">
        <f>'[45]2017明细表'!V59</f>
        <v>0</v>
      </c>
    </row>
    <row r="177" spans="3:7">
      <c r="C177" s="426" t="str">
        <f>'[45]2015明细表 '!A61</f>
        <v>会议费</v>
      </c>
      <c r="D177" s="406">
        <f>'[45]2015明细表 '!X61</f>
        <v>4452.1</v>
      </c>
      <c r="E177" s="406">
        <f>'[45]2015明细表 '!V61</f>
        <v>20049</v>
      </c>
      <c r="F177" s="419">
        <f>'[45]2016明细表'!V61</f>
        <v>87676.36</v>
      </c>
      <c r="G177" s="419">
        <f>'[45]2017明细表'!V60</f>
        <v>0</v>
      </c>
    </row>
    <row r="178" spans="3:7">
      <c r="C178" s="426" t="str">
        <f>'[45]2015明细表 '!A62</f>
        <v>员工福利费</v>
      </c>
      <c r="D178" s="406">
        <f>'[45]2015明细表 '!X62</f>
        <v>45718</v>
      </c>
      <c r="E178" s="406">
        <f>'[45]2015明细表 '!V62</f>
        <v>0</v>
      </c>
      <c r="F178" s="419">
        <f>'[45]2016明细表'!V62</f>
        <v>86133.2</v>
      </c>
      <c r="G178" s="419">
        <f>'[45]2017明细表'!V61</f>
        <v>162362.18</v>
      </c>
    </row>
    <row r="179" spans="3:7">
      <c r="C179" s="426" t="str">
        <f>'[45]2015明细表 '!A63</f>
        <v>保险费</v>
      </c>
      <c r="D179" s="406">
        <f>'[45]2015明细表 '!X63</f>
        <v>9091.17</v>
      </c>
      <c r="E179" s="406">
        <f>'[45]2015明细表 '!V63</f>
        <v>7627.13</v>
      </c>
      <c r="F179" s="419">
        <f>'[45]2016明细表'!V63</f>
        <v>4339.31</v>
      </c>
      <c r="G179" s="419">
        <f>'[45]2017明细表'!V62</f>
        <v>99824.81</v>
      </c>
    </row>
    <row r="180" spans="3:7">
      <c r="C180" s="426" t="str">
        <f>'[45]2015明细表 '!A64</f>
        <v>股份支付</v>
      </c>
      <c r="D180" s="406">
        <f>'[45]2015明细表 '!X64</f>
        <v>0</v>
      </c>
      <c r="E180" s="406">
        <f>'[45]2015明细表 '!V64</f>
        <v>5756259.26</v>
      </c>
      <c r="F180" s="419">
        <f>'[45]2016明细表'!V64</f>
        <v>0</v>
      </c>
      <c r="G180" s="419">
        <f>'[45]2017明细表'!V63</f>
        <v>0</v>
      </c>
    </row>
    <row r="181" spans="3:7">
      <c r="C181" s="426" t="str">
        <f>'[45]2015明细表 '!A65</f>
        <v>辞退补偿</v>
      </c>
      <c r="D181" s="406">
        <f>'[45]2015明细表 '!X65</f>
        <v>0</v>
      </c>
      <c r="E181" s="406">
        <f>'[45]2015明细表 '!V65</f>
        <v>0</v>
      </c>
      <c r="F181" s="419">
        <f>'[45]2016明细表'!V65</f>
        <v>6000</v>
      </c>
      <c r="G181" s="419">
        <f>'[45]2017明细表'!V64</f>
        <v>0</v>
      </c>
    </row>
    <row r="182" spans="3:7">
      <c r="C182" s="426" t="str">
        <f>'[45]2015明细表 '!A66</f>
        <v>车辆保险</v>
      </c>
      <c r="D182" s="406">
        <f>'[45]2015明细表 '!X66</f>
        <v>0</v>
      </c>
      <c r="E182" s="406">
        <f>'[45]2015明细表 '!V66</f>
        <v>0</v>
      </c>
      <c r="F182" s="419">
        <f>'[45]2016明细表'!V66</f>
        <v>47438.58</v>
      </c>
      <c r="G182" s="419">
        <f>'[45]2017明细表'!V65</f>
        <v>13500</v>
      </c>
    </row>
    <row r="183" spans="3:7">
      <c r="C183" s="426" t="str">
        <f>'[45]2015明细表 '!A67</f>
        <v>残疾人保障金</v>
      </c>
      <c r="D183" s="406">
        <f>'[45]2015明细表 '!X67</f>
        <v>0</v>
      </c>
      <c r="E183" s="406">
        <f>'[45]2015明细表 '!V67</f>
        <v>9608.07</v>
      </c>
      <c r="F183" s="419">
        <f>'[45]2016明细表'!V67</f>
        <v>12296.88</v>
      </c>
      <c r="G183" s="451">
        <f>'[45]2017明细表'!V66</f>
        <v>62059.63</v>
      </c>
    </row>
    <row r="184" spans="3:7">
      <c r="C184" s="426" t="str">
        <f>'[45]2015明细表 '!A68</f>
        <v>欠薪保证金</v>
      </c>
      <c r="D184" s="406">
        <f>'[45]2015明细表 '!X68</f>
        <v>400</v>
      </c>
      <c r="E184" s="406">
        <f>'[45]2015明细表 '!V68</f>
        <v>400</v>
      </c>
      <c r="F184" s="419">
        <f>'[45]2016明细表'!V68</f>
        <v>400</v>
      </c>
      <c r="G184" s="451">
        <f>'[45]2017明细表'!V67</f>
        <v>19050.92</v>
      </c>
    </row>
    <row r="185" spans="3:7">
      <c r="C185" s="426" t="str">
        <f>'[45]2015明细表 '!A69</f>
        <v>其他</v>
      </c>
      <c r="D185" s="406">
        <f>'[45]2015明细表 '!X69</f>
        <v>7398.23</v>
      </c>
      <c r="E185" s="406">
        <f>'[45]2015明细表 '!V69</f>
        <v>94595.47</v>
      </c>
      <c r="F185" s="419">
        <f>'[45]2016明细表'!V69</f>
        <v>618</v>
      </c>
      <c r="G185" s="451">
        <f>'[45]2017明细表'!V68</f>
        <v>400</v>
      </c>
    </row>
    <row r="186" spans="3:7">
      <c r="C186" s="426" t="str">
        <f>'[45]2015明细表 '!A70</f>
        <v>印花税金</v>
      </c>
      <c r="D186" s="406">
        <f>'[45]2015明细表 '!X70</f>
        <v>343.65</v>
      </c>
      <c r="E186" s="406">
        <f>'[45]2015明细表 '!V70</f>
        <v>27779.09</v>
      </c>
      <c r="F186" s="419">
        <f>'[45]2016明细表'!V70</f>
        <v>6719.42000000001</v>
      </c>
      <c r="G186" s="419">
        <f>'[45]2017明细表'!V69</f>
        <v>650</v>
      </c>
    </row>
    <row r="187" spans="3:7">
      <c r="C187" s="426" t="str">
        <f>'[45]2015明细表 '!A71</f>
        <v>社会保险金-养老</v>
      </c>
      <c r="D187" s="406">
        <f>'[45]2015明细表 '!X71</f>
        <v>0</v>
      </c>
      <c r="E187" s="406">
        <f>'[45]2015明细表 '!V71</f>
        <v>106464.59</v>
      </c>
      <c r="F187" s="419">
        <f>'[45]2016明细表'!V71</f>
        <v>182305.63</v>
      </c>
      <c r="G187" s="419">
        <f>'[45]2017明细表'!V70</f>
        <v>0</v>
      </c>
    </row>
    <row r="188" spans="3:7">
      <c r="C188" s="426" t="str">
        <f>'[45]2015明细表 '!A72</f>
        <v>社会保险金-医疗</v>
      </c>
      <c r="D188" s="406">
        <f>'[45]2015明细表 '!X72</f>
        <v>0</v>
      </c>
      <c r="E188" s="406">
        <f>'[45]2015明细表 '!V72</f>
        <v>29615.14</v>
      </c>
      <c r="F188" s="419">
        <f>'[45]2016明细表'!V72</f>
        <v>40399.12</v>
      </c>
      <c r="G188" s="419">
        <f>'[45]2017明细表'!V71</f>
        <v>237558.35</v>
      </c>
    </row>
    <row r="189" spans="3:7">
      <c r="C189" s="426" t="str">
        <f>'[45]2015明细表 '!A73</f>
        <v>社会保险金-工伤</v>
      </c>
      <c r="D189" s="406">
        <f>'[45]2015明细表 '!X73</f>
        <v>0</v>
      </c>
      <c r="E189" s="406">
        <f>'[45]2015明细表 '!V73</f>
        <v>1397.98</v>
      </c>
      <c r="F189" s="419">
        <f>'[45]2016明细表'!V73</f>
        <v>5177.76</v>
      </c>
      <c r="G189" s="419">
        <f>'[45]2017明细表'!V72</f>
        <v>49855.67</v>
      </c>
    </row>
    <row r="190" spans="3:7">
      <c r="C190" s="426" t="str">
        <f>'[45]2015明细表 '!A74</f>
        <v>社会保险金-失业</v>
      </c>
      <c r="D190" s="406">
        <f>'[45]2015明细表 '!X74</f>
        <v>0</v>
      </c>
      <c r="E190" s="406">
        <f>'[45]2015明细表 '!V74</f>
        <v>6833.07</v>
      </c>
      <c r="F190" s="419">
        <f>'[45]2016明细表'!V74</f>
        <v>4106.85</v>
      </c>
      <c r="G190" s="419">
        <f>'[45]2017明细表'!V73</f>
        <v>10029.54</v>
      </c>
    </row>
    <row r="191" spans="3:7">
      <c r="C191" s="426" t="str">
        <f>'[45]2015明细表 '!A75</f>
        <v>社会保险金-生育</v>
      </c>
      <c r="D191" s="406">
        <f>'[45]2015明细表 '!X75</f>
        <v>0</v>
      </c>
      <c r="E191" s="406">
        <f>'[45]2015明细表 '!V75</f>
        <v>5741.94</v>
      </c>
      <c r="F191" s="419">
        <f>'[45]2016明细表'!V75</f>
        <v>5539.6</v>
      </c>
      <c r="G191" s="419">
        <f>'[45]2017明细表'!V74</f>
        <v>5620.67</v>
      </c>
    </row>
    <row r="192" spans="3:7">
      <c r="C192" s="426" t="str">
        <f>'[45]2015明细表 '!A76</f>
        <v>住房公积金</v>
      </c>
      <c r="D192" s="406">
        <f>'[45]2015明细表 '!X76</f>
        <v>0</v>
      </c>
      <c r="E192" s="406">
        <f>'[45]2015明细表 '!V76</f>
        <v>29125</v>
      </c>
      <c r="F192" s="419">
        <f>'[45]2016明细表'!V76</f>
        <v>34921</v>
      </c>
      <c r="G192" s="419">
        <f>'[45]2017明细表'!V75</f>
        <v>7959.95</v>
      </c>
    </row>
    <row r="193" spans="3:7">
      <c r="C193" s="426" t="str">
        <f>'[45]2015明细表 '!A77</f>
        <v>花木租赁费</v>
      </c>
      <c r="D193" s="406">
        <f>'[45]2015明细表 '!X77</f>
        <v>9000</v>
      </c>
      <c r="E193" s="406">
        <f>'[45]2015明细表 '!V77</f>
        <v>11359.25</v>
      </c>
      <c r="F193" s="419">
        <f>'[45]2016明细表'!V77</f>
        <v>-11359.25</v>
      </c>
      <c r="G193" s="419">
        <f>'[45]2017明细表'!V76</f>
        <v>41624</v>
      </c>
    </row>
    <row r="194" spans="5:5">
      <c r="E194" s="419"/>
    </row>
  </sheetData>
  <mergeCells count="2">
    <mergeCell ref="C3:F3"/>
    <mergeCell ref="C4:F4"/>
  </mergeCells>
  <printOptions horizontalCentered="1"/>
  <pageMargins left="0.748031496062992" right="0.748031496062992" top="0.984251968503937" bottom="0.984251968503937" header="0.511811023622047" footer="0.511811023622047"/>
  <pageSetup paperSize="9" scale="85" orientation="landscape"/>
  <headerFooter alignWithMargins="0">
    <oddFooter>&amp;C第 &amp;P 页，共 &amp;N 页</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O345"/>
  <sheetViews>
    <sheetView topLeftCell="C3" workbookViewId="0">
      <pane ySplit="2" topLeftCell="A5" activePane="bottomLeft" state="frozen"/>
      <selection/>
      <selection pane="bottomLeft" activeCell="H8" sqref="H8"/>
    </sheetView>
  </sheetViews>
  <sheetFormatPr defaultColWidth="9" defaultRowHeight="14.25"/>
  <cols>
    <col min="1" max="1" width="6.625" hidden="1" customWidth="1"/>
    <col min="2" max="2" width="30.375" hidden="1" customWidth="1"/>
    <col min="3" max="3" width="35.5" customWidth="1"/>
    <col min="4" max="4" width="21.125" customWidth="1"/>
    <col min="5" max="5" width="20.625" customWidth="1"/>
    <col min="6" max="6" width="22.125" customWidth="1"/>
    <col min="7" max="7" width="16.125" customWidth="1"/>
    <col min="8" max="8" width="15.125" customWidth="1"/>
    <col min="9" max="9" width="17" customWidth="1"/>
    <col min="10" max="10" width="14.375" customWidth="1"/>
    <col min="11" max="11" width="17" customWidth="1"/>
    <col min="12" max="12" width="9.375" customWidth="1"/>
    <col min="13" max="13" width="14.375" customWidth="1"/>
    <col min="15" max="15" width="14.375" customWidth="1"/>
  </cols>
  <sheetData>
    <row r="1" ht="65.25" hidden="1" spans="1:6">
      <c r="A1" s="395" t="s">
        <v>5163</v>
      </c>
      <c r="B1" s="396"/>
      <c r="C1" s="396"/>
      <c r="D1" s="397"/>
      <c r="E1" s="398"/>
      <c r="F1" s="398"/>
    </row>
    <row r="2" hidden="1" spans="1:6">
      <c r="A2" s="396" t="s">
        <v>5164</v>
      </c>
      <c r="B2" s="396" t="s">
        <v>5164</v>
      </c>
      <c r="C2" s="396"/>
      <c r="D2" s="397"/>
      <c r="E2" s="398"/>
      <c r="F2" s="398"/>
    </row>
    <row r="3" ht="30.2" customHeight="1" spans="1:13">
      <c r="A3" s="399" t="s">
        <v>5165</v>
      </c>
      <c r="B3" s="400"/>
      <c r="C3" s="400" t="s">
        <v>5188</v>
      </c>
      <c r="D3" s="400"/>
      <c r="E3" s="400"/>
      <c r="F3" s="400"/>
      <c r="G3" s="401"/>
      <c r="J3" s="401"/>
      <c r="M3" s="401"/>
    </row>
    <row r="4" ht="51" customHeight="1" spans="1:13">
      <c r="A4" s="399" t="s">
        <v>5165</v>
      </c>
      <c r="B4" s="399"/>
      <c r="C4" s="402" t="s">
        <v>5189</v>
      </c>
      <c r="D4" s="402"/>
      <c r="E4" s="402"/>
      <c r="F4" s="402"/>
      <c r="G4" s="403"/>
      <c r="J4" s="403"/>
      <c r="M4" s="403"/>
    </row>
    <row r="5" ht="13.5" customHeight="1" spans="1:13">
      <c r="A5" s="404"/>
      <c r="B5" s="404"/>
      <c r="C5" s="405" t="s">
        <v>61</v>
      </c>
      <c r="D5" s="406" t="s">
        <v>5168</v>
      </c>
      <c r="E5" s="407" t="s">
        <v>5191</v>
      </c>
      <c r="F5" s="407" t="s">
        <v>5170</v>
      </c>
      <c r="G5" s="407" t="s">
        <v>5171</v>
      </c>
      <c r="J5" s="406"/>
      <c r="M5" s="406"/>
    </row>
    <row r="6" ht="13.5" customHeight="1" spans="1:15">
      <c r="A6" s="408" t="s">
        <v>5192</v>
      </c>
      <c r="B6" s="409" t="s">
        <v>5173</v>
      </c>
      <c r="C6" s="410" t="s">
        <v>5516</v>
      </c>
      <c r="D6" s="411">
        <f>D195+D205+D207+D218+D226+D232+D238+D244+D249+D250+D255+D260+D261+D267+D275+D283+D290+D295+D296+D302+D305+D306+D311+D316+D317+D319+D324+D328+D329+D332+D336+D337</f>
        <v>3500032.56</v>
      </c>
      <c r="E6" s="411">
        <f>E195+E205+E207+E218+E226+E232+E238+E244+E249+E250+E255+E260+E261+E267+E275+E283+E290+E295+E296+E302+E305+E306+E311+E316+E317+E319+E324+E328+E329+E332+E336+E337</f>
        <v>3133997.58</v>
      </c>
      <c r="F6" s="411">
        <f>F195+F205+F207+F218+F226+F232+F238+F244+F249+F250+F255+F260+F261+F267+F275+F283+F290+F295+F296+F302+F305+F306+F311+F316+F317+F319+F324+F328+F329+F332+F336+F337</f>
        <v>7284037.43</v>
      </c>
      <c r="G6" s="411">
        <f>G195+G205+G207+G218+G226+G232+G238+G244+G249+G250+G255+G260+G261+G267+G275+G283+G290+G295+G296+G302+G305+G306+G311+G316+G317+G319+G324+G328+G329+G332+G336+G337</f>
        <v>7049912.18</v>
      </c>
      <c r="H6" s="406">
        <f>F6-E6</f>
        <v>4150039.85</v>
      </c>
      <c r="I6" s="424">
        <f>F6+管理费用构成!F6+管理费用构成!F155+管理费用构成!F167+管理费用构成!F171</f>
        <v>11072046.89</v>
      </c>
      <c r="J6" s="424">
        <f>G6+管理费用构成!G6+管理费用构成!G155+管理费用构成!G167+管理费用构成!G171</f>
        <v>12894357.89</v>
      </c>
      <c r="M6" s="406"/>
      <c r="N6" s="425"/>
      <c r="O6" s="424"/>
    </row>
    <row r="7" ht="13.5" customHeight="1" spans="1:15">
      <c r="A7" s="408" t="s">
        <v>5578</v>
      </c>
      <c r="B7" s="409" t="s">
        <v>5173</v>
      </c>
      <c r="C7" s="412" t="s">
        <v>5579</v>
      </c>
      <c r="D7" s="413">
        <f>D191+D209+D315</f>
        <v>1270105</v>
      </c>
      <c r="E7" s="413">
        <f>E191+E209+E315</f>
        <v>390040</v>
      </c>
      <c r="F7" s="413">
        <f>F191+F209+F315</f>
        <v>149032</v>
      </c>
      <c r="G7" s="413">
        <f>G191+G209+G315+G297</f>
        <v>182691.72</v>
      </c>
      <c r="H7" s="406">
        <f t="shared" ref="H7:H17" si="0">F7-E7</f>
        <v>-241008</v>
      </c>
      <c r="J7" s="406">
        <f>J6-I6</f>
        <v>1822311</v>
      </c>
      <c r="M7" s="406"/>
      <c r="N7" s="425"/>
      <c r="O7" s="424"/>
    </row>
    <row r="8" ht="13.5" customHeight="1" spans="1:15">
      <c r="A8" s="408"/>
      <c r="B8" s="409"/>
      <c r="C8" s="412" t="s">
        <v>5518</v>
      </c>
      <c r="D8" s="413">
        <f>D189+D190+D208+D214+D222+D228+D234+D240+D248+D251+D259+D263+D270+D271+D278+D279+D285+D286+D294+D298+D304+D307+D313+D320+D327+D330+D338+D335</f>
        <v>411454.61</v>
      </c>
      <c r="E8" s="413">
        <f t="shared" ref="E8:G8" si="1">E189+E190+E208+E214+E222+E228+E234+E240+E248+E251+E259+E263+E270+E271+E278+E279+E285+E286+E294+E298+E304+E307+E313+E320+E327+E330+E338+E335</f>
        <v>569559.55</v>
      </c>
      <c r="F8" s="413">
        <f t="shared" si="1"/>
        <v>1960126.9</v>
      </c>
      <c r="G8" s="413">
        <f t="shared" si="1"/>
        <v>1798079.29</v>
      </c>
      <c r="H8" s="406">
        <f t="shared" si="0"/>
        <v>1390567.35</v>
      </c>
      <c r="J8" s="406"/>
      <c r="M8" s="406"/>
      <c r="N8" s="425"/>
      <c r="O8" s="424"/>
    </row>
    <row r="9" ht="13.5" customHeight="1" spans="1:15">
      <c r="A9" s="408"/>
      <c r="B9" s="409"/>
      <c r="C9" s="412" t="s">
        <v>4154</v>
      </c>
      <c r="D9" s="413">
        <f>D196+D221+D227+D233+D239+D247+D258+D269+D277+D284+D293+D303+D312+D326+D334+D339</f>
        <v>609754.26</v>
      </c>
      <c r="E9" s="413">
        <f>E196+E221+E227+E233+E239+E247+E258+E269+E277+E284+E293+E303+E312+E326+E334+E339</f>
        <v>785338.15</v>
      </c>
      <c r="F9" s="413">
        <f>F196+F221+F227+F233+F239+F247+F258+F269+F277+F284+F293+F303+F312+F326+F334+F339</f>
        <v>889648.14</v>
      </c>
      <c r="G9" s="413">
        <f>G196+G221+G227+G233+G239+G247+G258+G269+G277+G284+G293+G303+G312+G326+G334+G339</f>
        <v>1570520.72</v>
      </c>
      <c r="H9" s="406">
        <f t="shared" si="0"/>
        <v>104309.99</v>
      </c>
      <c r="J9" s="406"/>
      <c r="M9" s="406"/>
      <c r="N9" s="425"/>
      <c r="O9" s="424"/>
    </row>
    <row r="10" ht="13.5" customHeight="1" spans="1:15">
      <c r="A10" s="408" t="s">
        <v>5194</v>
      </c>
      <c r="B10" s="409" t="s">
        <v>5173</v>
      </c>
      <c r="C10" s="410" t="s">
        <v>5195</v>
      </c>
      <c r="D10" s="407">
        <f>D197+D262</f>
        <v>334211.42</v>
      </c>
      <c r="E10" s="407">
        <f t="shared" ref="E10:G10" si="2">E197+E262</f>
        <v>409595.9</v>
      </c>
      <c r="F10" s="407">
        <f t="shared" si="2"/>
        <v>395833.25</v>
      </c>
      <c r="G10" s="407">
        <f t="shared" si="2"/>
        <v>170393.33</v>
      </c>
      <c r="H10" s="406">
        <f t="shared" si="0"/>
        <v>-13762.65</v>
      </c>
      <c r="J10" s="406"/>
      <c r="M10" s="406"/>
      <c r="N10" s="425"/>
      <c r="O10" s="424"/>
    </row>
    <row r="11" spans="3:15">
      <c r="C11" s="414" t="s">
        <v>5181</v>
      </c>
      <c r="D11" s="407">
        <f>D199+D200+D246+D257+D292+D318+D325</f>
        <v>152036</v>
      </c>
      <c r="E11" s="407">
        <f>E199+E200+E246+E257+E292+E318+E325</f>
        <v>17921</v>
      </c>
      <c r="F11" s="407">
        <f>F199+F200+F246+F257+F292+F318+F325</f>
        <v>51550.48</v>
      </c>
      <c r="G11" s="407">
        <f>G199+G200+G246+G257+G292+G318+G325</f>
        <v>20449.42</v>
      </c>
      <c r="H11" s="406">
        <f t="shared" si="0"/>
        <v>33629.48</v>
      </c>
      <c r="J11" s="406"/>
      <c r="M11" s="406"/>
      <c r="N11" s="425"/>
      <c r="O11" s="424"/>
    </row>
    <row r="12" spans="3:15">
      <c r="C12" s="414" t="s">
        <v>5180</v>
      </c>
      <c r="D12" s="407">
        <f>D202+D217+D225+D237+D231+D243+D254+D266+D274+D282+D289+D301+D310+D323</f>
        <v>303973.8</v>
      </c>
      <c r="E12" s="407">
        <f>E202+E217+E225+E237+E231+E243+E254+E266+E274+E282+E289+E301+E310+E323</f>
        <v>313544.48</v>
      </c>
      <c r="F12" s="407">
        <f>F202+F217+F225+F237+F231+F243+F254+F266+F274+F282+F289+F301+F310+F323</f>
        <v>350519.39</v>
      </c>
      <c r="G12" s="407">
        <f>G202+G217+G225+G237+G231+G243+G254+G266+G274+G282+G289+G301+G310+G323</f>
        <v>449207.92</v>
      </c>
      <c r="H12" s="406">
        <f t="shared" si="0"/>
        <v>36974.91</v>
      </c>
      <c r="J12" s="406"/>
      <c r="M12" s="406"/>
      <c r="N12" s="425"/>
      <c r="O12" s="424"/>
    </row>
    <row r="13" spans="3:15">
      <c r="C13" s="414" t="s">
        <v>5175</v>
      </c>
      <c r="D13" s="407">
        <f>D201+D203+D204+D206+D241+D245+D252+D264+D268+D272+D280+D287+D299+D308+D321+D331+D211+D212+D215+D194+D256+D314+D220+D198</f>
        <v>149189.18</v>
      </c>
      <c r="E13" s="407">
        <f>E201+E203+E204+E206+E241+E245+E252+E264+E268+E272+E280+E287+E299+E308+E321+E331+E211+E212+E215+E194+E256+E314+E198</f>
        <v>85769.95</v>
      </c>
      <c r="F13" s="407">
        <f>F201+F203+F204+F206+F241+F245+F252+F264+F268+F272+F280+F287+F299+F308+F321+F331+F211+F212+F215+F194+F256+F314+F198</f>
        <v>1019787.51</v>
      </c>
      <c r="G13" s="407">
        <f>G201+G203+G204+G206+G241+G245+G252+G264+G268+G272+G280+G287+G299+G308+G321+G331+G211+G212+G215+G194+G256+G314+G198+G291</f>
        <v>1161106.2</v>
      </c>
      <c r="H13" s="406">
        <f t="shared" si="0"/>
        <v>934017.56</v>
      </c>
      <c r="J13" s="406"/>
      <c r="M13" s="406"/>
      <c r="N13" s="425"/>
      <c r="O13" s="424"/>
    </row>
    <row r="14" spans="3:15">
      <c r="C14" s="414" t="s">
        <v>5580</v>
      </c>
      <c r="D14" s="407">
        <f>J192+J213</f>
        <v>0</v>
      </c>
      <c r="E14" s="407">
        <f>E192+E213</f>
        <v>146942.25</v>
      </c>
      <c r="F14" s="407">
        <f>F192+F213</f>
        <v>74436.4100000003</v>
      </c>
      <c r="G14" s="407">
        <f>G192+G213</f>
        <v>882634.14</v>
      </c>
      <c r="H14" s="406">
        <f t="shared" si="0"/>
        <v>-72505.8399999997</v>
      </c>
      <c r="J14" s="406"/>
      <c r="M14" s="406"/>
      <c r="N14" s="425"/>
      <c r="O14" s="424"/>
    </row>
    <row r="15" spans="3:15">
      <c r="C15" s="414" t="s">
        <v>5581</v>
      </c>
      <c r="D15" s="407">
        <f>D341+D342</f>
        <v>400000</v>
      </c>
      <c r="E15" s="407">
        <f t="shared" ref="E15:G15" si="3">E341+E342</f>
        <v>5575030.41</v>
      </c>
      <c r="F15" s="407">
        <f t="shared" si="3"/>
        <v>600000</v>
      </c>
      <c r="G15" s="407">
        <f t="shared" si="3"/>
        <v>156627.92</v>
      </c>
      <c r="H15" s="406">
        <f t="shared" si="0"/>
        <v>-4975030.41</v>
      </c>
      <c r="J15" s="406"/>
      <c r="M15" s="406"/>
      <c r="N15" s="425"/>
      <c r="O15" s="424"/>
    </row>
    <row r="16" spans="3:15">
      <c r="C16" s="414" t="s">
        <v>280</v>
      </c>
      <c r="D16" s="407">
        <f>D210</f>
        <v>141500</v>
      </c>
      <c r="E16" s="407">
        <f>E210</f>
        <v>4753</v>
      </c>
      <c r="F16" s="407">
        <f>F210</f>
        <v>324</v>
      </c>
      <c r="G16" s="407">
        <f>G210</f>
        <v>0</v>
      </c>
      <c r="H16" s="406">
        <f t="shared" si="0"/>
        <v>-4429</v>
      </c>
      <c r="J16" s="406"/>
      <c r="M16" s="406"/>
      <c r="N16" s="425"/>
      <c r="O16" s="424"/>
    </row>
    <row r="17" spans="3:13">
      <c r="C17" s="415" t="s">
        <v>2021</v>
      </c>
      <c r="D17" s="407">
        <f>SUM(D6:D16)</f>
        <v>7272256.83</v>
      </c>
      <c r="E17" s="407">
        <f>SUM(E6:E16)</f>
        <v>11432492.27</v>
      </c>
      <c r="F17" s="407">
        <f>SUM(F6:F16)</f>
        <v>12775295.51</v>
      </c>
      <c r="G17" s="407">
        <f>SUM(G6:G16)</f>
        <v>13441622.84</v>
      </c>
      <c r="H17" s="406">
        <f t="shared" si="0"/>
        <v>1342803.24</v>
      </c>
      <c r="J17" s="406"/>
      <c r="K17" s="426"/>
      <c r="L17" s="426"/>
      <c r="M17" s="419"/>
    </row>
    <row r="18" spans="3:13">
      <c r="C18" s="416" t="s">
        <v>1723</v>
      </c>
      <c r="D18" s="417">
        <v>7272256.83</v>
      </c>
      <c r="E18" s="417">
        <v>11395101.86</v>
      </c>
      <c r="F18" s="417">
        <v>11615330.81</v>
      </c>
      <c r="G18" s="417">
        <v>10918796.27</v>
      </c>
      <c r="J18" s="406"/>
      <c r="K18" s="426"/>
      <c r="L18" s="426"/>
      <c r="M18" s="419"/>
    </row>
    <row r="19" spans="3:13">
      <c r="C19" s="418" t="s">
        <v>1395</v>
      </c>
      <c r="D19" s="406">
        <f>D17-D18</f>
        <v>0</v>
      </c>
      <c r="E19" s="417">
        <f>E17-E18</f>
        <v>37390.4100000001</v>
      </c>
      <c r="F19" s="417">
        <f>F17-F18</f>
        <v>1159964.7</v>
      </c>
      <c r="G19" s="417">
        <f t="shared" ref="G19" si="4">G17-G18</f>
        <v>2522826.57</v>
      </c>
      <c r="J19" s="406"/>
      <c r="K19" s="426"/>
      <c r="L19" s="426"/>
      <c r="M19" s="419"/>
    </row>
    <row r="20" spans="4:13">
      <c r="D20" s="406"/>
      <c r="E20" s="417"/>
      <c r="F20" s="417"/>
      <c r="G20" s="417"/>
      <c r="J20" s="406"/>
      <c r="K20" s="426"/>
      <c r="L20" s="426"/>
      <c r="M20" s="419"/>
    </row>
    <row r="21" spans="4:13">
      <c r="D21" s="406"/>
      <c r="E21" s="417"/>
      <c r="F21" s="417"/>
      <c r="G21" s="417"/>
      <c r="J21" s="406"/>
      <c r="K21" s="426"/>
      <c r="L21" s="426"/>
      <c r="M21" s="419"/>
    </row>
    <row r="22" spans="4:7">
      <c r="D22" s="419">
        <f>D56+D63+D93+D111+D116+D126+D143+D169+D175+D180+D183</f>
        <v>7272256.83</v>
      </c>
      <c r="E22" s="419">
        <f>E56+E63+E93+E111+E116+E126+E143+E169+E175+E180+E183</f>
        <v>11395101.86</v>
      </c>
      <c r="F22" s="419">
        <f>F56+F63+F93+F111+F116+F126+F143+F169+F175+F180+F183</f>
        <v>11615330.81</v>
      </c>
      <c r="G22" s="419">
        <f>G56+G63+G93+G111+G116+G126+G143+G169+G175+G180+G183</f>
        <v>10918796.27</v>
      </c>
    </row>
    <row r="23" spans="3:3">
      <c r="C23" s="420" t="s">
        <v>5516</v>
      </c>
    </row>
    <row r="24" spans="3:7">
      <c r="C24" s="421" t="s">
        <v>5582</v>
      </c>
      <c r="D24" s="419">
        <v>2285032.56</v>
      </c>
      <c r="E24" s="422">
        <v>363935.68</v>
      </c>
      <c r="F24" s="422">
        <v>508457.12</v>
      </c>
      <c r="G24" s="419">
        <v>637350.63</v>
      </c>
    </row>
    <row r="25" spans="3:7">
      <c r="C25" s="421" t="s">
        <v>5524</v>
      </c>
      <c r="D25" s="419">
        <v>0</v>
      </c>
      <c r="E25" s="422">
        <v>23000</v>
      </c>
      <c r="F25" s="422">
        <v>5800</v>
      </c>
      <c r="G25" s="419">
        <v>30675</v>
      </c>
    </row>
    <row r="26" spans="3:7">
      <c r="C26" s="421" t="s">
        <v>5522</v>
      </c>
      <c r="D26" s="419">
        <v>0</v>
      </c>
      <c r="E26" s="422">
        <v>45250.89</v>
      </c>
      <c r="F26" s="422">
        <v>78766.81</v>
      </c>
      <c r="G26" s="419">
        <v>155087.08</v>
      </c>
    </row>
    <row r="27" spans="3:7">
      <c r="C27" s="421" t="s">
        <v>5583</v>
      </c>
      <c r="D27" s="419">
        <v>360031</v>
      </c>
      <c r="E27" s="422">
        <v>272035.08</v>
      </c>
      <c r="F27" s="422">
        <v>0</v>
      </c>
      <c r="G27" s="419">
        <v>0</v>
      </c>
    </row>
    <row r="28" spans="3:7">
      <c r="C28" s="421" t="s">
        <v>5584</v>
      </c>
      <c r="D28" s="419">
        <v>0</v>
      </c>
      <c r="E28" s="422">
        <v>0</v>
      </c>
      <c r="F28" s="422">
        <v>0</v>
      </c>
      <c r="G28" s="419">
        <v>0</v>
      </c>
    </row>
    <row r="29" spans="3:7">
      <c r="C29" s="421" t="s">
        <v>5585</v>
      </c>
      <c r="D29" s="419">
        <v>0</v>
      </c>
      <c r="E29" s="422">
        <v>0</v>
      </c>
      <c r="F29" s="422">
        <v>0</v>
      </c>
      <c r="G29" s="419">
        <v>0</v>
      </c>
    </row>
    <row r="30" spans="3:7">
      <c r="C30" s="421" t="s">
        <v>5586</v>
      </c>
      <c r="D30" s="419">
        <v>0</v>
      </c>
      <c r="E30" s="422">
        <v>0</v>
      </c>
      <c r="F30" s="422">
        <v>0</v>
      </c>
      <c r="G30" s="419">
        <v>0</v>
      </c>
    </row>
    <row r="31" spans="3:7">
      <c r="C31" s="421" t="s">
        <v>5587</v>
      </c>
      <c r="D31" s="419">
        <v>462809</v>
      </c>
      <c r="E31" s="422">
        <v>2122977.31</v>
      </c>
      <c r="F31" s="422">
        <v>1143747.76</v>
      </c>
      <c r="G31" s="419">
        <v>871520</v>
      </c>
    </row>
    <row r="32" spans="3:7">
      <c r="C32" s="421" t="s">
        <v>5588</v>
      </c>
      <c r="D32" s="419">
        <v>0</v>
      </c>
      <c r="E32" s="422">
        <v>31659.1</v>
      </c>
      <c r="F32" s="422">
        <v>56967.97</v>
      </c>
      <c r="G32" s="419">
        <v>87144.6</v>
      </c>
    </row>
    <row r="33" spans="3:7">
      <c r="C33" s="421" t="s">
        <v>5589</v>
      </c>
      <c r="D33" s="419">
        <v>0</v>
      </c>
      <c r="E33" s="422">
        <v>9350</v>
      </c>
      <c r="F33" s="422">
        <v>13800</v>
      </c>
      <c r="G33" s="419">
        <v>14550</v>
      </c>
    </row>
    <row r="34" spans="3:7">
      <c r="C34" s="421" t="s">
        <v>5590</v>
      </c>
      <c r="D34" s="419">
        <v>392160</v>
      </c>
      <c r="E34" s="422">
        <v>623723.78</v>
      </c>
      <c r="F34" s="422">
        <v>1368701.73</v>
      </c>
      <c r="G34" s="419">
        <v>489520</v>
      </c>
    </row>
    <row r="35" spans="3:7">
      <c r="C35" s="421" t="s">
        <v>5591</v>
      </c>
      <c r="D35" s="419">
        <v>0</v>
      </c>
      <c r="E35" s="422">
        <v>17375.74</v>
      </c>
      <c r="F35" s="422">
        <v>39346.72</v>
      </c>
      <c r="G35" s="419">
        <v>49496.78</v>
      </c>
    </row>
    <row r="36" spans="3:7">
      <c r="C36" s="421" t="s">
        <v>5592</v>
      </c>
      <c r="D36" s="419">
        <v>0</v>
      </c>
      <c r="E36" s="422">
        <v>6130</v>
      </c>
      <c r="F36" s="422">
        <v>9600</v>
      </c>
      <c r="G36" s="419">
        <v>9300</v>
      </c>
    </row>
    <row r="37" spans="3:7">
      <c r="C37" s="421" t="s">
        <v>5593</v>
      </c>
      <c r="D37" s="419">
        <v>0</v>
      </c>
      <c r="E37" s="422">
        <v>110500</v>
      </c>
      <c r="F37" s="422">
        <v>13000</v>
      </c>
      <c r="G37" s="419">
        <v>0</v>
      </c>
    </row>
    <row r="38" spans="3:7">
      <c r="C38" s="421" t="s">
        <v>5594</v>
      </c>
      <c r="D38" s="419">
        <v>0</v>
      </c>
      <c r="E38" s="422">
        <v>0</v>
      </c>
      <c r="F38" s="422">
        <v>0</v>
      </c>
      <c r="G38" s="419">
        <v>0</v>
      </c>
    </row>
    <row r="39" spans="3:7">
      <c r="C39" s="421" t="s">
        <v>5595</v>
      </c>
      <c r="D39" s="419">
        <v>0</v>
      </c>
      <c r="E39" s="422">
        <v>0</v>
      </c>
      <c r="F39" s="422">
        <v>0</v>
      </c>
      <c r="G39" s="419">
        <v>0</v>
      </c>
    </row>
    <row r="40" spans="3:7">
      <c r="C40" s="421" t="s">
        <v>5596</v>
      </c>
      <c r="D40" s="419">
        <v>0</v>
      </c>
      <c r="E40" s="422">
        <v>2000</v>
      </c>
      <c r="F40" s="422">
        <v>2841529.62</v>
      </c>
      <c r="G40" s="419">
        <v>1327991.13</v>
      </c>
    </row>
    <row r="41" spans="3:7">
      <c r="C41" s="421" t="s">
        <v>5597</v>
      </c>
      <c r="D41" s="419">
        <v>0</v>
      </c>
      <c r="E41" s="422">
        <v>0</v>
      </c>
      <c r="F41" s="422">
        <v>45476.37</v>
      </c>
      <c r="G41" s="419">
        <v>112739.36</v>
      </c>
    </row>
    <row r="42" spans="3:7">
      <c r="C42" s="421" t="s">
        <v>5598</v>
      </c>
      <c r="D42" s="419">
        <v>0</v>
      </c>
      <c r="E42" s="422">
        <v>0</v>
      </c>
      <c r="F42" s="422">
        <v>6350</v>
      </c>
      <c r="G42" s="419">
        <v>18100</v>
      </c>
    </row>
    <row r="43" spans="3:7">
      <c r="C43" s="421" t="s">
        <v>5599</v>
      </c>
      <c r="D43" s="419">
        <v>0</v>
      </c>
      <c r="E43" s="422">
        <v>13100</v>
      </c>
      <c r="F43" s="422">
        <v>137049.43</v>
      </c>
      <c r="G43" s="419">
        <v>371070.69</v>
      </c>
    </row>
    <row r="44" spans="3:7">
      <c r="C44" s="421" t="s">
        <v>5600</v>
      </c>
      <c r="D44" s="419">
        <v>0</v>
      </c>
      <c r="E44" s="422">
        <v>0</v>
      </c>
      <c r="F44" s="422">
        <v>31839.16</v>
      </c>
      <c r="G44" s="419">
        <v>25310.14</v>
      </c>
    </row>
    <row r="45" spans="3:7">
      <c r="C45" s="421" t="s">
        <v>5601</v>
      </c>
      <c r="D45" s="419">
        <v>0</v>
      </c>
      <c r="E45" s="422">
        <v>0</v>
      </c>
      <c r="F45" s="422">
        <v>5500</v>
      </c>
      <c r="G45" s="419">
        <v>1950</v>
      </c>
    </row>
    <row r="46" spans="3:7">
      <c r="C46" s="421" t="s">
        <v>5602</v>
      </c>
      <c r="D46" s="419">
        <v>0</v>
      </c>
      <c r="E46" s="422">
        <v>0</v>
      </c>
      <c r="F46" s="422">
        <v>227085.01</v>
      </c>
      <c r="G46" s="419">
        <v>640617.24</v>
      </c>
    </row>
    <row r="47" spans="3:7">
      <c r="C47" s="421" t="s">
        <v>5603</v>
      </c>
      <c r="D47" s="419">
        <v>0</v>
      </c>
      <c r="E47" s="422">
        <v>0</v>
      </c>
      <c r="F47" s="422">
        <v>11385.19</v>
      </c>
      <c r="G47" s="419">
        <v>53814.09</v>
      </c>
    </row>
    <row r="48" spans="3:7">
      <c r="C48" s="421" t="s">
        <v>5604</v>
      </c>
      <c r="D48" s="419">
        <v>0</v>
      </c>
      <c r="E48" s="422">
        <v>0</v>
      </c>
      <c r="F48" s="422">
        <v>1050</v>
      </c>
      <c r="G48" s="419">
        <v>6300</v>
      </c>
    </row>
    <row r="49" spans="3:7">
      <c r="C49" s="421" t="s">
        <v>5605</v>
      </c>
      <c r="D49" s="419">
        <v>0</v>
      </c>
      <c r="E49" s="422">
        <v>0</v>
      </c>
      <c r="F49" s="422">
        <v>150000</v>
      </c>
      <c r="G49" s="419">
        <v>402171.26</v>
      </c>
    </row>
    <row r="50" spans="3:7">
      <c r="C50" s="421" t="s">
        <v>5606</v>
      </c>
      <c r="D50" s="419">
        <v>0</v>
      </c>
      <c r="E50" s="422">
        <v>0</v>
      </c>
      <c r="F50" s="422">
        <v>0</v>
      </c>
      <c r="G50" s="419">
        <v>52188.86</v>
      </c>
    </row>
    <row r="51" spans="3:7">
      <c r="C51" s="421" t="s">
        <v>5607</v>
      </c>
      <c r="D51" s="419">
        <v>0</v>
      </c>
      <c r="E51" s="422">
        <v>0</v>
      </c>
      <c r="F51" s="422">
        <v>0</v>
      </c>
      <c r="G51" s="419">
        <v>191.5</v>
      </c>
    </row>
    <row r="52" spans="3:7">
      <c r="C52" s="421" t="s">
        <v>5608</v>
      </c>
      <c r="D52" s="419">
        <v>0</v>
      </c>
      <c r="E52" s="422">
        <v>0</v>
      </c>
      <c r="F52" s="422">
        <v>0</v>
      </c>
      <c r="G52" s="419">
        <v>5400</v>
      </c>
    </row>
    <row r="53" spans="3:7">
      <c r="C53" s="421" t="s">
        <v>5609</v>
      </c>
      <c r="D53" s="419">
        <v>0</v>
      </c>
      <c r="E53" s="422">
        <v>0</v>
      </c>
      <c r="F53" s="422">
        <v>0</v>
      </c>
      <c r="G53" s="419">
        <v>10374.12</v>
      </c>
    </row>
    <row r="54" spans="3:7">
      <c r="C54" s="421" t="s">
        <v>5610</v>
      </c>
      <c r="D54" s="419">
        <v>0</v>
      </c>
      <c r="E54" s="422">
        <v>0</v>
      </c>
      <c r="F54" s="422">
        <v>0</v>
      </c>
      <c r="G54" s="419">
        <v>78581.21</v>
      </c>
    </row>
    <row r="55" spans="3:7">
      <c r="C55" s="421" t="s">
        <v>5611</v>
      </c>
      <c r="D55" s="419">
        <v>0</v>
      </c>
      <c r="E55" s="422">
        <v>0</v>
      </c>
      <c r="F55" s="422">
        <v>0</v>
      </c>
      <c r="G55" s="419">
        <v>1900</v>
      </c>
    </row>
    <row r="56" spans="3:7">
      <c r="C56" s="420"/>
      <c r="D56" s="423">
        <f>SUM(D24:D55)</f>
        <v>3500032.56</v>
      </c>
      <c r="E56" s="423">
        <f>SUM(E24:E55)</f>
        <v>3641037.58</v>
      </c>
      <c r="F56" s="423">
        <f>SUM(F24:F55)</f>
        <v>6695452.89</v>
      </c>
      <c r="G56" s="423">
        <f>SUM(G24:G55)</f>
        <v>5453343.69</v>
      </c>
    </row>
    <row r="57" spans="3:3">
      <c r="C57" s="420"/>
    </row>
    <row r="58" spans="3:3">
      <c r="C58" s="420" t="s">
        <v>5579</v>
      </c>
    </row>
    <row r="59" spans="3:7">
      <c r="C59" s="421" t="s">
        <v>5612</v>
      </c>
      <c r="D59" s="419">
        <v>1270105</v>
      </c>
      <c r="E59" s="422">
        <v>390040</v>
      </c>
      <c r="F59" s="422">
        <v>6890.59</v>
      </c>
      <c r="G59" s="419">
        <v>0</v>
      </c>
    </row>
    <row r="60" spans="3:7">
      <c r="C60" s="421" t="s">
        <v>5613</v>
      </c>
      <c r="D60" s="419">
        <v>0</v>
      </c>
      <c r="E60" s="422">
        <v>0</v>
      </c>
      <c r="F60" s="422">
        <v>0</v>
      </c>
      <c r="G60" s="419">
        <v>8888.89</v>
      </c>
    </row>
    <row r="61" spans="3:7">
      <c r="C61" s="421" t="s">
        <v>5614</v>
      </c>
      <c r="D61" s="419">
        <v>0</v>
      </c>
      <c r="E61" s="422">
        <v>0</v>
      </c>
      <c r="F61" s="422">
        <v>0</v>
      </c>
      <c r="G61" s="419">
        <v>154452.83</v>
      </c>
    </row>
    <row r="62" spans="3:7">
      <c r="C62" s="421" t="s">
        <v>5615</v>
      </c>
      <c r="D62" s="419">
        <v>0</v>
      </c>
      <c r="E62" s="422">
        <v>0</v>
      </c>
      <c r="F62" s="422">
        <v>55970</v>
      </c>
      <c r="G62" s="419">
        <v>19350</v>
      </c>
    </row>
    <row r="63" spans="3:7">
      <c r="C63" s="420"/>
      <c r="D63" s="423">
        <f>SUM(D59:D62)</f>
        <v>1270105</v>
      </c>
      <c r="E63" s="423">
        <f t="shared" ref="E63:G63" si="5">SUM(E59:E62)</f>
        <v>390040</v>
      </c>
      <c r="F63" s="423">
        <f t="shared" si="5"/>
        <v>62860.59</v>
      </c>
      <c r="G63" s="423">
        <f t="shared" si="5"/>
        <v>182691.72</v>
      </c>
    </row>
    <row r="64" spans="3:3">
      <c r="C64" s="420"/>
    </row>
    <row r="65" spans="3:3">
      <c r="C65" s="420" t="s">
        <v>5518</v>
      </c>
    </row>
    <row r="66" spans="3:7">
      <c r="C66" s="426" t="s">
        <v>5575</v>
      </c>
      <c r="D66" s="419">
        <v>64052.31</v>
      </c>
      <c r="E66" s="422">
        <v>55939.06</v>
      </c>
      <c r="F66" s="422">
        <v>15258.57</v>
      </c>
      <c r="G66" s="419">
        <v>23584.91</v>
      </c>
    </row>
    <row r="67" spans="3:7">
      <c r="C67" s="426" t="s">
        <v>5179</v>
      </c>
      <c r="D67" s="419">
        <v>53843.2</v>
      </c>
      <c r="E67" s="422">
        <v>102135.9</v>
      </c>
      <c r="F67" s="422">
        <v>145196.96</v>
      </c>
      <c r="G67" s="419">
        <v>167282.65</v>
      </c>
    </row>
    <row r="68" spans="3:7">
      <c r="C68" s="426" t="s">
        <v>5616</v>
      </c>
      <c r="D68" s="419">
        <v>2061</v>
      </c>
      <c r="E68" s="422">
        <v>0</v>
      </c>
      <c r="F68" s="422">
        <v>40613.97</v>
      </c>
      <c r="G68" s="419">
        <v>76118.2</v>
      </c>
    </row>
    <row r="69" spans="3:7">
      <c r="C69" s="426" t="s">
        <v>5617</v>
      </c>
      <c r="D69" s="419">
        <v>74565</v>
      </c>
      <c r="E69" s="422">
        <v>56892.4</v>
      </c>
      <c r="F69" s="422">
        <v>1384</v>
      </c>
      <c r="G69" s="419">
        <v>0</v>
      </c>
    </row>
    <row r="70" spans="3:7">
      <c r="C70" s="426" t="s">
        <v>5618</v>
      </c>
      <c r="D70" s="419">
        <v>0</v>
      </c>
      <c r="E70" s="422">
        <v>0</v>
      </c>
      <c r="F70" s="422">
        <v>0</v>
      </c>
      <c r="G70" s="419">
        <v>0</v>
      </c>
    </row>
    <row r="71" spans="3:7">
      <c r="C71" s="426" t="s">
        <v>5619</v>
      </c>
      <c r="D71" s="419">
        <v>0</v>
      </c>
      <c r="E71" s="422">
        <v>0</v>
      </c>
      <c r="F71" s="422">
        <v>0</v>
      </c>
      <c r="G71" s="419">
        <v>0</v>
      </c>
    </row>
    <row r="72" spans="3:7">
      <c r="C72" s="426" t="s">
        <v>5620</v>
      </c>
      <c r="D72" s="419">
        <v>0</v>
      </c>
      <c r="E72" s="422">
        <v>0</v>
      </c>
      <c r="F72" s="422">
        <v>0</v>
      </c>
      <c r="G72" s="419">
        <v>0</v>
      </c>
    </row>
    <row r="73" spans="3:7">
      <c r="C73" s="426" t="s">
        <v>5621</v>
      </c>
      <c r="D73" s="419">
        <v>139789.5</v>
      </c>
      <c r="E73" s="422">
        <v>234530.59</v>
      </c>
      <c r="F73" s="422">
        <v>374952.92</v>
      </c>
      <c r="G73" s="419">
        <v>226067.31</v>
      </c>
    </row>
    <row r="74" spans="3:7">
      <c r="C74" s="426" t="s">
        <v>5622</v>
      </c>
      <c r="D74" s="419">
        <v>0</v>
      </c>
      <c r="E74" s="422">
        <v>8625.65</v>
      </c>
      <c r="F74" s="422">
        <v>108901.37</v>
      </c>
      <c r="G74" s="419">
        <v>98000.68</v>
      </c>
    </row>
    <row r="75" spans="3:7">
      <c r="C75" s="426" t="s">
        <v>5623</v>
      </c>
      <c r="D75" s="419">
        <v>68338.6</v>
      </c>
      <c r="E75" s="422">
        <v>53465</v>
      </c>
      <c r="F75" s="422">
        <v>164000.5</v>
      </c>
      <c r="G75" s="419">
        <v>38008.73</v>
      </c>
    </row>
    <row r="76" spans="3:7">
      <c r="C76" s="426" t="s">
        <v>5624</v>
      </c>
      <c r="D76" s="419">
        <v>8805</v>
      </c>
      <c r="E76" s="422">
        <v>8958.95</v>
      </c>
      <c r="F76" s="422">
        <v>68869.43</v>
      </c>
      <c r="G76" s="419">
        <v>25160</v>
      </c>
    </row>
    <row r="77" spans="3:7">
      <c r="C77" s="426" t="s">
        <v>5625</v>
      </c>
      <c r="D77" s="419">
        <v>0</v>
      </c>
      <c r="E77" s="422">
        <v>45843.5</v>
      </c>
      <c r="F77" s="422">
        <v>1990.5</v>
      </c>
      <c r="G77" s="419">
        <v>0</v>
      </c>
    </row>
    <row r="78" spans="3:7">
      <c r="C78" s="426" t="s">
        <v>5626</v>
      </c>
      <c r="D78" s="419">
        <v>0</v>
      </c>
      <c r="E78" s="422">
        <v>0</v>
      </c>
      <c r="F78" s="422">
        <v>1930</v>
      </c>
      <c r="G78" s="419">
        <v>0</v>
      </c>
    </row>
    <row r="79" spans="3:7">
      <c r="C79" s="426" t="s">
        <v>5627</v>
      </c>
      <c r="D79" s="419">
        <v>0</v>
      </c>
      <c r="E79" s="422">
        <v>0</v>
      </c>
      <c r="F79" s="422">
        <v>0</v>
      </c>
      <c r="G79" s="419">
        <v>0</v>
      </c>
    </row>
    <row r="80" spans="3:7">
      <c r="C80" s="426" t="s">
        <v>5628</v>
      </c>
      <c r="D80" s="419">
        <v>0</v>
      </c>
      <c r="E80" s="422">
        <v>0</v>
      </c>
      <c r="F80" s="422">
        <v>0</v>
      </c>
      <c r="G80" s="419">
        <v>0</v>
      </c>
    </row>
    <row r="81" spans="3:7">
      <c r="C81" s="426" t="s">
        <v>5629</v>
      </c>
      <c r="D81" s="419">
        <v>0</v>
      </c>
      <c r="E81" s="422">
        <v>0</v>
      </c>
      <c r="F81" s="422">
        <v>0</v>
      </c>
      <c r="G81" s="419">
        <v>0</v>
      </c>
    </row>
    <row r="82" spans="3:7">
      <c r="C82" s="426" t="s">
        <v>5630</v>
      </c>
      <c r="D82" s="419">
        <v>0</v>
      </c>
      <c r="E82" s="422">
        <v>3168.5</v>
      </c>
      <c r="F82" s="422">
        <v>592307.17</v>
      </c>
      <c r="G82" s="419">
        <v>575332.57</v>
      </c>
    </row>
    <row r="83" spans="3:7">
      <c r="C83" s="426" t="s">
        <v>5631</v>
      </c>
      <c r="D83" s="419">
        <v>0</v>
      </c>
      <c r="E83" s="422">
        <v>0</v>
      </c>
      <c r="F83" s="422">
        <v>39514.47</v>
      </c>
      <c r="G83" s="419">
        <v>31454.75</v>
      </c>
    </row>
    <row r="84" spans="3:7">
      <c r="C84" s="426" t="s">
        <v>5632</v>
      </c>
      <c r="D84" s="419">
        <v>0</v>
      </c>
      <c r="E84" s="422">
        <v>0</v>
      </c>
      <c r="F84" s="422">
        <v>256876.55</v>
      </c>
      <c r="G84" s="419">
        <v>117456.06</v>
      </c>
    </row>
    <row r="85" spans="3:7">
      <c r="C85" s="426" t="s">
        <v>5633</v>
      </c>
      <c r="D85" s="419">
        <v>0</v>
      </c>
      <c r="E85" s="422">
        <v>0</v>
      </c>
      <c r="F85" s="422">
        <v>1721</v>
      </c>
      <c r="G85" s="419">
        <v>100</v>
      </c>
    </row>
    <row r="86" spans="3:7">
      <c r="C86" s="426" t="s">
        <v>5634</v>
      </c>
      <c r="D86" s="419">
        <v>0</v>
      </c>
      <c r="E86" s="422">
        <v>0</v>
      </c>
      <c r="F86" s="422">
        <v>9089.76</v>
      </c>
      <c r="G86" s="419">
        <v>31188.66</v>
      </c>
    </row>
    <row r="87" spans="3:7">
      <c r="C87" s="426" t="s">
        <v>5635</v>
      </c>
      <c r="D87" s="419">
        <v>0</v>
      </c>
      <c r="E87" s="422">
        <v>0</v>
      </c>
      <c r="F87" s="422">
        <v>0</v>
      </c>
      <c r="G87" s="419">
        <v>17251.71</v>
      </c>
    </row>
    <row r="88" spans="3:7">
      <c r="C88" s="426" t="s">
        <v>5636</v>
      </c>
      <c r="D88" s="419">
        <v>0</v>
      </c>
      <c r="E88" s="422">
        <v>0</v>
      </c>
      <c r="F88" s="422">
        <v>0</v>
      </c>
      <c r="G88" s="419">
        <v>9726.18</v>
      </c>
    </row>
    <row r="89" spans="3:7">
      <c r="C89" s="426" t="s">
        <v>5637</v>
      </c>
      <c r="D89" s="419">
        <v>0</v>
      </c>
      <c r="E89" s="422">
        <v>0</v>
      </c>
      <c r="F89" s="422">
        <v>0</v>
      </c>
      <c r="G89" s="419">
        <v>300</v>
      </c>
    </row>
    <row r="90" spans="3:7">
      <c r="C90" s="426" t="s">
        <v>5638</v>
      </c>
      <c r="D90" s="419">
        <v>0</v>
      </c>
      <c r="E90" s="422">
        <v>0</v>
      </c>
      <c r="F90" s="422">
        <v>88283.25</v>
      </c>
      <c r="G90" s="419">
        <v>300795.4</v>
      </c>
    </row>
    <row r="91" spans="3:7">
      <c r="C91" s="426" t="s">
        <v>5639</v>
      </c>
      <c r="D91" s="419">
        <v>0</v>
      </c>
      <c r="E91" s="422">
        <v>0</v>
      </c>
      <c r="F91" s="422">
        <v>0</v>
      </c>
      <c r="G91" s="419">
        <v>143644.36</v>
      </c>
    </row>
    <row r="92" spans="3:7">
      <c r="C92" s="426" t="s">
        <v>5640</v>
      </c>
      <c r="D92" s="419">
        <v>0</v>
      </c>
      <c r="E92" s="422">
        <v>0</v>
      </c>
      <c r="F92" s="422">
        <v>0</v>
      </c>
      <c r="G92" s="419">
        <v>0</v>
      </c>
    </row>
    <row r="93" spans="4:7">
      <c r="D93" s="423">
        <f>SUM(D66:D92)</f>
        <v>411454.61</v>
      </c>
      <c r="E93" s="423">
        <f t="shared" ref="E93:G93" si="6">SUM(E66:E92)</f>
        <v>569559.55</v>
      </c>
      <c r="F93" s="423">
        <f t="shared" si="6"/>
        <v>1910890.42</v>
      </c>
      <c r="G93" s="423">
        <f t="shared" si="6"/>
        <v>1881472.17</v>
      </c>
    </row>
    <row r="95" spans="3:3">
      <c r="C95" s="420" t="s">
        <v>4154</v>
      </c>
    </row>
    <row r="96" spans="3:7">
      <c r="C96" s="426" t="s">
        <v>4154</v>
      </c>
      <c r="D96" s="419">
        <v>347460.5</v>
      </c>
      <c r="E96" s="422">
        <v>104511</v>
      </c>
      <c r="F96" s="422">
        <v>96427.9</v>
      </c>
      <c r="G96" s="419">
        <v>264087.36</v>
      </c>
    </row>
    <row r="97" spans="3:7">
      <c r="C97" s="426" t="s">
        <v>5641</v>
      </c>
      <c r="D97" s="419">
        <v>43753</v>
      </c>
      <c r="E97" s="422">
        <v>115625</v>
      </c>
      <c r="F97" s="422">
        <v>2160</v>
      </c>
      <c r="G97" s="419">
        <v>0</v>
      </c>
    </row>
    <row r="98" spans="3:7">
      <c r="C98" s="426" t="s">
        <v>5642</v>
      </c>
      <c r="D98" s="419">
        <v>0</v>
      </c>
      <c r="E98" s="422">
        <v>0</v>
      </c>
      <c r="F98" s="422">
        <v>0</v>
      </c>
      <c r="G98" s="419">
        <v>0</v>
      </c>
    </row>
    <row r="99" spans="3:7">
      <c r="C99" s="426" t="s">
        <v>5643</v>
      </c>
      <c r="D99" s="419">
        <v>0</v>
      </c>
      <c r="E99" s="422">
        <v>0</v>
      </c>
      <c r="F99" s="422">
        <v>0</v>
      </c>
      <c r="G99" s="419">
        <v>0</v>
      </c>
    </row>
    <row r="100" spans="3:7">
      <c r="C100" s="426" t="s">
        <v>5644</v>
      </c>
      <c r="D100" s="419">
        <v>0</v>
      </c>
      <c r="E100" s="422">
        <v>0</v>
      </c>
      <c r="F100" s="422">
        <v>0</v>
      </c>
      <c r="G100" s="419">
        <v>0</v>
      </c>
    </row>
    <row r="101" spans="3:7">
      <c r="C101" s="426" t="s">
        <v>5645</v>
      </c>
      <c r="D101" s="419">
        <v>188039.36</v>
      </c>
      <c r="E101" s="422">
        <v>460937.35</v>
      </c>
      <c r="F101" s="422">
        <v>193941.95</v>
      </c>
      <c r="G101" s="419">
        <v>187094.49</v>
      </c>
    </row>
    <row r="102" spans="3:7">
      <c r="C102" s="426" t="s">
        <v>5646</v>
      </c>
      <c r="D102" s="419">
        <v>30501.4</v>
      </c>
      <c r="E102" s="422">
        <v>68375.8</v>
      </c>
      <c r="F102" s="422">
        <v>217422.32</v>
      </c>
      <c r="G102" s="419">
        <v>6000</v>
      </c>
    </row>
    <row r="103" spans="3:7">
      <c r="C103" s="426" t="s">
        <v>5647</v>
      </c>
      <c r="D103" s="419">
        <v>0</v>
      </c>
      <c r="E103" s="422">
        <v>24581</v>
      </c>
      <c r="F103" s="422">
        <v>0</v>
      </c>
      <c r="G103" s="419">
        <v>0</v>
      </c>
    </row>
    <row r="104" spans="3:7">
      <c r="C104" s="426" t="s">
        <v>5648</v>
      </c>
      <c r="D104" s="419">
        <v>0</v>
      </c>
      <c r="E104" s="422">
        <v>0</v>
      </c>
      <c r="F104" s="422">
        <v>0</v>
      </c>
      <c r="G104" s="419">
        <v>0</v>
      </c>
    </row>
    <row r="105" spans="3:7">
      <c r="C105" s="426" t="s">
        <v>5649</v>
      </c>
      <c r="D105" s="419">
        <v>0</v>
      </c>
      <c r="E105" s="422">
        <v>11308</v>
      </c>
      <c r="F105" s="422">
        <v>315937.5</v>
      </c>
      <c r="G105" s="419">
        <v>582631.12</v>
      </c>
    </row>
    <row r="106" spans="3:7">
      <c r="C106" s="426" t="s">
        <v>5650</v>
      </c>
      <c r="E106" s="422">
        <v>0</v>
      </c>
      <c r="F106" s="422">
        <v>31733.66</v>
      </c>
      <c r="G106" s="419">
        <v>23051.26</v>
      </c>
    </row>
    <row r="107" spans="3:7">
      <c r="C107" s="426" t="s">
        <v>5651</v>
      </c>
      <c r="D107" s="419">
        <v>0</v>
      </c>
      <c r="E107" s="422">
        <v>0</v>
      </c>
      <c r="F107" s="422">
        <v>32024.81</v>
      </c>
      <c r="G107" s="419">
        <v>265435.02</v>
      </c>
    </row>
    <row r="108" spans="3:7">
      <c r="C108" s="426" t="s">
        <v>5652</v>
      </c>
      <c r="D108" s="419">
        <v>0</v>
      </c>
      <c r="E108" s="422">
        <v>0</v>
      </c>
      <c r="F108" s="422">
        <v>0</v>
      </c>
      <c r="G108" s="419">
        <v>223853.47</v>
      </c>
    </row>
    <row r="109" spans="3:7">
      <c r="C109" s="426" t="s">
        <v>5653</v>
      </c>
      <c r="D109" s="419">
        <v>0</v>
      </c>
      <c r="E109" s="422">
        <v>0</v>
      </c>
      <c r="F109" s="422">
        <v>0</v>
      </c>
      <c r="G109" s="419">
        <v>18368</v>
      </c>
    </row>
    <row r="110" spans="3:7">
      <c r="C110" s="426" t="s">
        <v>5654</v>
      </c>
      <c r="D110" s="419">
        <v>0</v>
      </c>
      <c r="E110" s="422">
        <v>0</v>
      </c>
      <c r="F110" s="422">
        <v>0</v>
      </c>
      <c r="G110" s="419">
        <v>0</v>
      </c>
    </row>
    <row r="111" spans="4:7">
      <c r="D111" s="423">
        <f>SUM(D96:D110)</f>
        <v>609754.26</v>
      </c>
      <c r="E111" s="423">
        <f>SUM(E96:E110)</f>
        <v>785338.15</v>
      </c>
      <c r="F111" s="423">
        <f>SUM(F96:F110)</f>
        <v>889648.14</v>
      </c>
      <c r="G111" s="423">
        <f>SUM(G96:G110)</f>
        <v>1570520.72</v>
      </c>
    </row>
    <row r="113" spans="3:3">
      <c r="C113" s="420" t="s">
        <v>5195</v>
      </c>
    </row>
    <row r="114" spans="3:7">
      <c r="C114" s="426" t="s">
        <v>5655</v>
      </c>
      <c r="D114" s="419">
        <v>334211.42</v>
      </c>
      <c r="E114" s="422">
        <v>358220.93</v>
      </c>
      <c r="F114" s="422">
        <v>327333.29</v>
      </c>
      <c r="G114" s="419">
        <v>153268.26</v>
      </c>
    </row>
    <row r="115" spans="3:7">
      <c r="C115" s="426" t="s">
        <v>5656</v>
      </c>
      <c r="D115" s="419">
        <v>0</v>
      </c>
      <c r="E115" s="422">
        <v>51374.97</v>
      </c>
      <c r="F115" s="422">
        <v>68499.96</v>
      </c>
      <c r="G115" s="419">
        <v>17125.07</v>
      </c>
    </row>
    <row r="116" spans="4:7">
      <c r="D116" s="423">
        <f>SUM(D114:D115)</f>
        <v>334211.42</v>
      </c>
      <c r="E116" s="423">
        <f t="shared" ref="E116:G116" si="7">SUM(E114:E115)</f>
        <v>409595.9</v>
      </c>
      <c r="F116" s="423">
        <f t="shared" si="7"/>
        <v>395833.25</v>
      </c>
      <c r="G116" s="423">
        <f t="shared" si="7"/>
        <v>170393.33</v>
      </c>
    </row>
    <row r="118" spans="3:3">
      <c r="C118" s="420" t="s">
        <v>5181</v>
      </c>
    </row>
    <row r="119" spans="3:7">
      <c r="C119" s="426" t="s">
        <v>5657</v>
      </c>
      <c r="D119" s="419">
        <v>0</v>
      </c>
      <c r="E119" s="422">
        <v>0</v>
      </c>
      <c r="F119" s="422">
        <v>0</v>
      </c>
      <c r="G119" s="419">
        <v>0</v>
      </c>
    </row>
    <row r="120" spans="3:7">
      <c r="C120" s="426" t="s">
        <v>5181</v>
      </c>
      <c r="D120" s="419">
        <v>52044</v>
      </c>
      <c r="E120" s="422">
        <v>17921</v>
      </c>
      <c r="F120" s="422">
        <v>128350.94</v>
      </c>
      <c r="G120" s="419">
        <v>19367.92</v>
      </c>
    </row>
    <row r="121" spans="3:7">
      <c r="C121" s="426" t="s">
        <v>5658</v>
      </c>
      <c r="D121" s="419">
        <v>99992</v>
      </c>
      <c r="E121" s="422">
        <v>300000</v>
      </c>
      <c r="F121" s="422">
        <v>128845</v>
      </c>
      <c r="G121" s="419">
        <v>0</v>
      </c>
    </row>
    <row r="122" spans="3:7">
      <c r="C122" s="426" t="s">
        <v>5659</v>
      </c>
      <c r="D122" s="419">
        <v>0</v>
      </c>
      <c r="E122" s="422">
        <v>0</v>
      </c>
      <c r="F122" s="422">
        <v>8199.54</v>
      </c>
      <c r="G122" s="419">
        <v>0</v>
      </c>
    </row>
    <row r="123" spans="3:7">
      <c r="C123" s="426" t="s">
        <v>5660</v>
      </c>
      <c r="D123" s="419">
        <v>0</v>
      </c>
      <c r="E123" s="422">
        <v>0</v>
      </c>
      <c r="F123" s="422">
        <v>0</v>
      </c>
      <c r="G123" s="419">
        <v>0</v>
      </c>
    </row>
    <row r="124" spans="3:7">
      <c r="C124" s="426" t="s">
        <v>5661</v>
      </c>
      <c r="D124" s="419">
        <v>0</v>
      </c>
      <c r="E124" s="422">
        <v>0</v>
      </c>
      <c r="F124" s="422">
        <v>0</v>
      </c>
      <c r="G124" s="419">
        <v>1081.5</v>
      </c>
    </row>
    <row r="125" spans="3:7">
      <c r="C125" s="426" t="s">
        <v>5662</v>
      </c>
      <c r="D125" s="419">
        <v>0</v>
      </c>
      <c r="E125" s="422">
        <v>0</v>
      </c>
      <c r="F125" s="422">
        <v>0</v>
      </c>
      <c r="G125" s="419">
        <v>0</v>
      </c>
    </row>
    <row r="126" spans="4:7">
      <c r="D126" s="423">
        <f>SUM(D119:D125)</f>
        <v>152036</v>
      </c>
      <c r="E126" s="423">
        <f t="shared" ref="E126:G126" si="8">SUM(E119:E125)</f>
        <v>317921</v>
      </c>
      <c r="F126" s="423">
        <f t="shared" si="8"/>
        <v>265395.48</v>
      </c>
      <c r="G126" s="423">
        <f t="shared" si="8"/>
        <v>20449.42</v>
      </c>
    </row>
    <row r="127" ht="12.75" customHeight="1"/>
    <row r="128" spans="3:3">
      <c r="C128" s="420" t="s">
        <v>5180</v>
      </c>
    </row>
    <row r="129" spans="3:7">
      <c r="C129" s="426" t="s">
        <v>5663</v>
      </c>
      <c r="D129" s="419">
        <v>262869.8</v>
      </c>
      <c r="E129" s="422">
        <v>253304.54</v>
      </c>
      <c r="F129" s="422">
        <v>313569.28</v>
      </c>
      <c r="G129" s="419">
        <v>342503.7</v>
      </c>
    </row>
    <row r="130" spans="3:7">
      <c r="C130" s="426" t="s">
        <v>5664</v>
      </c>
      <c r="D130" s="419">
        <v>7200</v>
      </c>
      <c r="E130" s="422">
        <v>0</v>
      </c>
      <c r="F130" s="422">
        <v>0</v>
      </c>
      <c r="G130" s="419">
        <v>0</v>
      </c>
    </row>
    <row r="131" spans="3:7">
      <c r="C131" s="426" t="s">
        <v>5665</v>
      </c>
      <c r="D131" s="419">
        <v>0</v>
      </c>
      <c r="E131" s="422">
        <v>0</v>
      </c>
      <c r="F131" s="422">
        <v>0</v>
      </c>
      <c r="G131" s="419">
        <v>0</v>
      </c>
    </row>
    <row r="132" spans="3:7">
      <c r="C132" s="426" t="s">
        <v>5666</v>
      </c>
      <c r="D132" s="419">
        <v>0</v>
      </c>
      <c r="E132" s="422">
        <v>0</v>
      </c>
      <c r="F132" s="422">
        <v>0</v>
      </c>
      <c r="G132" s="419">
        <v>0</v>
      </c>
    </row>
    <row r="133" spans="3:7">
      <c r="C133" s="426" t="s">
        <v>5667</v>
      </c>
      <c r="D133" s="419">
        <v>0</v>
      </c>
      <c r="E133" s="422">
        <v>0</v>
      </c>
      <c r="F133" s="422">
        <v>0</v>
      </c>
      <c r="G133" s="419">
        <v>0</v>
      </c>
    </row>
    <row r="134" spans="3:7">
      <c r="C134" s="426" t="s">
        <v>5668</v>
      </c>
      <c r="D134" s="419">
        <v>33904</v>
      </c>
      <c r="E134" s="422">
        <v>60239.94</v>
      </c>
      <c r="F134" s="422">
        <v>34650.11</v>
      </c>
      <c r="G134" s="419">
        <v>0</v>
      </c>
    </row>
    <row r="135" spans="3:7">
      <c r="C135" s="426" t="s">
        <v>5669</v>
      </c>
      <c r="D135" s="419">
        <v>0</v>
      </c>
      <c r="E135" s="422">
        <v>0</v>
      </c>
      <c r="F135" s="422">
        <v>0</v>
      </c>
      <c r="G135" s="419">
        <v>0</v>
      </c>
    </row>
    <row r="136" spans="3:7">
      <c r="C136" s="426" t="s">
        <v>5670</v>
      </c>
      <c r="D136" s="419">
        <v>0</v>
      </c>
      <c r="E136" s="422">
        <v>0</v>
      </c>
      <c r="F136" s="422">
        <v>0</v>
      </c>
      <c r="G136" s="419">
        <v>0</v>
      </c>
    </row>
    <row r="137" spans="3:7">
      <c r="C137" s="426" t="s">
        <v>5671</v>
      </c>
      <c r="D137" s="419">
        <v>0</v>
      </c>
      <c r="E137" s="422">
        <v>0</v>
      </c>
      <c r="F137" s="422">
        <v>0</v>
      </c>
      <c r="G137" s="419">
        <v>0</v>
      </c>
    </row>
    <row r="138" spans="3:7">
      <c r="C138" s="426" t="s">
        <v>5672</v>
      </c>
      <c r="D138" s="419">
        <v>0</v>
      </c>
      <c r="E138" s="422">
        <v>0</v>
      </c>
      <c r="F138" s="422">
        <v>0</v>
      </c>
      <c r="G138" s="419">
        <v>0</v>
      </c>
    </row>
    <row r="139" spans="3:7">
      <c r="C139" s="426" t="s">
        <v>5673</v>
      </c>
      <c r="D139" s="419">
        <v>0</v>
      </c>
      <c r="E139" s="422">
        <v>0</v>
      </c>
      <c r="F139" s="422">
        <v>0</v>
      </c>
      <c r="G139" s="419">
        <v>59142.86</v>
      </c>
    </row>
    <row r="140" spans="3:7">
      <c r="C140" s="426" t="s">
        <v>5674</v>
      </c>
      <c r="D140" s="419">
        <v>0</v>
      </c>
      <c r="E140" s="422">
        <v>0</v>
      </c>
      <c r="F140" s="422">
        <v>2300</v>
      </c>
      <c r="G140" s="419">
        <v>29400</v>
      </c>
    </row>
    <row r="141" spans="3:7">
      <c r="C141" s="426" t="s">
        <v>5675</v>
      </c>
      <c r="D141" s="419">
        <v>0</v>
      </c>
      <c r="E141" s="422">
        <v>0</v>
      </c>
      <c r="F141" s="422">
        <v>0</v>
      </c>
      <c r="G141" s="419">
        <v>18161.36</v>
      </c>
    </row>
    <row r="142" spans="3:7">
      <c r="C142" s="426" t="s">
        <v>5676</v>
      </c>
      <c r="D142" s="419">
        <v>0</v>
      </c>
      <c r="E142" s="422">
        <v>0</v>
      </c>
      <c r="F142" s="422">
        <v>0</v>
      </c>
      <c r="G142" s="419">
        <v>0</v>
      </c>
    </row>
    <row r="143" spans="4:7">
      <c r="D143" s="423">
        <f>SUM(D129:D142)</f>
        <v>303973.8</v>
      </c>
      <c r="E143" s="423">
        <f t="shared" ref="E143:G143" si="9">SUM(E129:E142)</f>
        <v>313544.48</v>
      </c>
      <c r="F143" s="423">
        <f t="shared" si="9"/>
        <v>350519.39</v>
      </c>
      <c r="G143" s="423">
        <f t="shared" si="9"/>
        <v>449207.92</v>
      </c>
    </row>
    <row r="145" spans="3:3">
      <c r="C145" s="420" t="s">
        <v>5175</v>
      </c>
    </row>
    <row r="146" spans="3:7">
      <c r="C146" s="426" t="s">
        <v>5677</v>
      </c>
      <c r="D146" s="419">
        <v>17128</v>
      </c>
      <c r="E146" s="422">
        <v>10075.95</v>
      </c>
      <c r="F146" s="422">
        <v>0</v>
      </c>
      <c r="G146" s="419">
        <v>796</v>
      </c>
    </row>
    <row r="147" spans="3:7">
      <c r="C147" s="426" t="s">
        <v>5175</v>
      </c>
      <c r="D147" s="419">
        <v>10356.8</v>
      </c>
      <c r="E147" s="422">
        <v>23051</v>
      </c>
      <c r="F147" s="422">
        <v>118648.28</v>
      </c>
      <c r="G147" s="419">
        <v>46550.06</v>
      </c>
    </row>
    <row r="148" spans="3:7">
      <c r="C148" s="426" t="s">
        <v>5678</v>
      </c>
      <c r="D148" s="419">
        <v>0</v>
      </c>
      <c r="E148" s="422">
        <v>0</v>
      </c>
      <c r="F148" s="422">
        <v>3323.3</v>
      </c>
      <c r="G148" s="419">
        <v>4335</v>
      </c>
    </row>
    <row r="149" spans="3:7">
      <c r="C149" s="426" t="s">
        <v>5679</v>
      </c>
      <c r="D149" s="419">
        <v>0</v>
      </c>
      <c r="E149" s="422">
        <v>200</v>
      </c>
      <c r="F149" s="422">
        <v>300</v>
      </c>
      <c r="G149" s="419">
        <v>0</v>
      </c>
    </row>
    <row r="150" spans="3:7">
      <c r="C150" s="426" t="s">
        <v>5196</v>
      </c>
      <c r="D150" s="419">
        <v>0</v>
      </c>
      <c r="E150" s="422">
        <v>0</v>
      </c>
      <c r="F150" s="422">
        <v>600</v>
      </c>
      <c r="G150" s="419">
        <v>268859.4</v>
      </c>
    </row>
    <row r="151" spans="3:7">
      <c r="C151" s="426" t="s">
        <v>5203</v>
      </c>
      <c r="D151" s="419">
        <v>0</v>
      </c>
      <c r="E151" s="422">
        <v>0</v>
      </c>
      <c r="F151" s="422">
        <v>4880.78</v>
      </c>
      <c r="G151" s="419">
        <v>184463.69</v>
      </c>
    </row>
    <row r="152" spans="3:7">
      <c r="C152" s="426" t="s">
        <v>5680</v>
      </c>
      <c r="D152" s="419">
        <v>21195</v>
      </c>
      <c r="E152" s="422">
        <v>6153</v>
      </c>
      <c r="F152" s="422">
        <v>0</v>
      </c>
      <c r="G152" s="419">
        <v>0</v>
      </c>
    </row>
    <row r="153" spans="3:7">
      <c r="C153" s="426" t="s">
        <v>5681</v>
      </c>
      <c r="D153" s="419">
        <v>4030.38</v>
      </c>
      <c r="E153" s="422">
        <v>0</v>
      </c>
      <c r="F153" s="422">
        <v>0</v>
      </c>
      <c r="G153" s="419">
        <v>0</v>
      </c>
    </row>
    <row r="154" spans="3:7">
      <c r="C154" s="426" t="s">
        <v>5682</v>
      </c>
      <c r="D154" s="419">
        <v>0</v>
      </c>
      <c r="E154" s="422">
        <v>0</v>
      </c>
      <c r="F154" s="422">
        <v>17824.66</v>
      </c>
      <c r="G154" s="419">
        <v>25100.8</v>
      </c>
    </row>
    <row r="155" spans="3:7">
      <c r="C155" s="426" t="s">
        <v>5683</v>
      </c>
      <c r="D155" s="419">
        <v>0</v>
      </c>
      <c r="E155" s="422">
        <v>0</v>
      </c>
      <c r="F155" s="422">
        <v>14288</v>
      </c>
      <c r="G155" s="419">
        <v>2532.52</v>
      </c>
    </row>
    <row r="156" spans="3:7">
      <c r="C156" s="426" t="s">
        <v>5684</v>
      </c>
      <c r="D156" s="419">
        <v>0</v>
      </c>
      <c r="E156" s="422">
        <v>0</v>
      </c>
      <c r="F156" s="422">
        <v>26205.58</v>
      </c>
      <c r="G156" s="419">
        <v>46606.25</v>
      </c>
    </row>
    <row r="157" spans="3:7">
      <c r="C157" s="426" t="s">
        <v>5685</v>
      </c>
      <c r="D157" s="419">
        <v>0</v>
      </c>
      <c r="E157" s="422">
        <v>0</v>
      </c>
      <c r="F157" s="422">
        <v>709</v>
      </c>
      <c r="G157" s="419">
        <v>2207</v>
      </c>
    </row>
    <row r="158" spans="3:7">
      <c r="C158" s="426" t="s">
        <v>5686</v>
      </c>
      <c r="D158" s="419">
        <v>13135</v>
      </c>
      <c r="E158" s="422">
        <v>12433</v>
      </c>
      <c r="F158" s="422">
        <v>123718.2</v>
      </c>
      <c r="G158" s="419">
        <v>8904.64</v>
      </c>
    </row>
    <row r="159" spans="3:7">
      <c r="C159" s="426" t="s">
        <v>5687</v>
      </c>
      <c r="D159" s="419">
        <v>3141</v>
      </c>
      <c r="E159" s="422">
        <v>2335</v>
      </c>
      <c r="F159" s="422">
        <v>8513</v>
      </c>
      <c r="G159" s="419">
        <v>0</v>
      </c>
    </row>
    <row r="160" spans="3:7">
      <c r="C160" s="426" t="s">
        <v>5688</v>
      </c>
      <c r="D160" s="419">
        <v>74375</v>
      </c>
      <c r="E160" s="422">
        <v>26940</v>
      </c>
      <c r="F160" s="422">
        <v>13458.8</v>
      </c>
      <c r="G160" s="419">
        <v>0</v>
      </c>
    </row>
    <row r="161" spans="3:7">
      <c r="C161" s="426" t="s">
        <v>5689</v>
      </c>
      <c r="D161" s="419">
        <v>1036</v>
      </c>
      <c r="E161" s="422">
        <v>0</v>
      </c>
      <c r="F161" s="422">
        <v>800</v>
      </c>
      <c r="G161" s="419">
        <v>0</v>
      </c>
    </row>
    <row r="162" spans="3:7">
      <c r="C162" s="426" t="s">
        <v>5690</v>
      </c>
      <c r="D162" s="419">
        <v>0</v>
      </c>
      <c r="E162" s="422">
        <v>292</v>
      </c>
      <c r="F162" s="422">
        <v>0</v>
      </c>
      <c r="G162" s="419">
        <v>0</v>
      </c>
    </row>
    <row r="163" spans="3:7">
      <c r="C163" s="426" t="s">
        <v>5691</v>
      </c>
      <c r="D163" s="419">
        <v>0</v>
      </c>
      <c r="E163" s="422">
        <v>0</v>
      </c>
      <c r="F163" s="422">
        <v>0</v>
      </c>
      <c r="G163" s="419">
        <v>0</v>
      </c>
    </row>
    <row r="164" spans="3:7">
      <c r="C164" s="426" t="s">
        <v>5692</v>
      </c>
      <c r="D164" s="419">
        <v>0</v>
      </c>
      <c r="E164" s="422">
        <v>0</v>
      </c>
      <c r="F164" s="422">
        <v>0</v>
      </c>
      <c r="G164" s="419">
        <v>0</v>
      </c>
    </row>
    <row r="165" spans="3:7">
      <c r="C165" s="426" t="s">
        <v>5693</v>
      </c>
      <c r="D165" s="419">
        <v>0</v>
      </c>
      <c r="E165" s="422">
        <v>0</v>
      </c>
      <c r="F165" s="422">
        <v>0</v>
      </c>
      <c r="G165" s="419">
        <v>500</v>
      </c>
    </row>
    <row r="166" spans="3:7">
      <c r="C166" s="426" t="s">
        <v>5694</v>
      </c>
      <c r="D166" s="419">
        <v>0</v>
      </c>
      <c r="E166" s="422">
        <v>0</v>
      </c>
      <c r="F166" s="422">
        <v>0</v>
      </c>
      <c r="G166" s="419">
        <v>2082</v>
      </c>
    </row>
    <row r="167" spans="3:7">
      <c r="C167" s="426" t="s">
        <v>5695</v>
      </c>
      <c r="D167" s="419">
        <v>437</v>
      </c>
      <c r="E167" s="422">
        <v>405</v>
      </c>
      <c r="F167" s="422">
        <v>0</v>
      </c>
      <c r="G167" s="419">
        <v>6601.95</v>
      </c>
    </row>
    <row r="168" spans="3:7">
      <c r="C168" s="426" t="s">
        <v>5696</v>
      </c>
      <c r="D168" s="419">
        <v>0</v>
      </c>
      <c r="E168" s="422">
        <v>0</v>
      </c>
      <c r="F168" s="422">
        <v>0</v>
      </c>
      <c r="G168" s="419">
        <v>9520</v>
      </c>
    </row>
    <row r="169" spans="4:8">
      <c r="D169" s="423">
        <f>SUM(D146:D168)</f>
        <v>144834.18</v>
      </c>
      <c r="E169" s="423">
        <f>SUM(E146:E168)</f>
        <v>81884.95</v>
      </c>
      <c r="F169" s="423">
        <f>SUM(F146:F168)</f>
        <v>333269.6</v>
      </c>
      <c r="G169" s="423">
        <f>SUM(G146:G168)</f>
        <v>609059.31</v>
      </c>
      <c r="H169" s="419"/>
    </row>
    <row r="171" spans="3:3">
      <c r="C171" s="420" t="s">
        <v>5580</v>
      </c>
    </row>
    <row r="172" spans="3:7">
      <c r="C172" s="426" t="s">
        <v>5697</v>
      </c>
      <c r="D172" s="419">
        <v>0</v>
      </c>
      <c r="E172" s="422">
        <v>69592.25</v>
      </c>
      <c r="F172" s="422">
        <v>0</v>
      </c>
      <c r="G172" s="419">
        <v>0</v>
      </c>
    </row>
    <row r="173" spans="3:7">
      <c r="C173" s="426" t="s">
        <v>5698</v>
      </c>
      <c r="D173" s="419">
        <v>4355</v>
      </c>
      <c r="E173" s="422">
        <v>3885</v>
      </c>
      <c r="F173" s="422">
        <v>205987.3</v>
      </c>
      <c r="G173" s="419">
        <v>0</v>
      </c>
    </row>
    <row r="174" spans="3:7">
      <c r="C174" s="426" t="s">
        <v>5699</v>
      </c>
      <c r="D174" s="419">
        <v>0</v>
      </c>
      <c r="E174" s="422">
        <v>77350</v>
      </c>
      <c r="F174" s="422">
        <v>-94850.25</v>
      </c>
      <c r="G174" s="419">
        <v>581657.99</v>
      </c>
    </row>
    <row r="175" spans="4:7">
      <c r="D175" s="423">
        <f>SUM(D172:D174)</f>
        <v>4355</v>
      </c>
      <c r="E175" s="423">
        <f t="shared" ref="E175:G175" si="10">SUM(E172:E174)</f>
        <v>150827.25</v>
      </c>
      <c r="F175" s="423">
        <f t="shared" si="10"/>
        <v>111137.05</v>
      </c>
      <c r="G175" s="423">
        <f t="shared" si="10"/>
        <v>581657.99</v>
      </c>
    </row>
    <row r="177" spans="3:3">
      <c r="C177" s="420" t="s">
        <v>5581</v>
      </c>
    </row>
    <row r="178" spans="3:7">
      <c r="C178" s="426" t="s">
        <v>5700</v>
      </c>
      <c r="D178" s="419">
        <v>400000</v>
      </c>
      <c r="E178" s="422">
        <v>3705600</v>
      </c>
      <c r="F178" s="422">
        <v>600000</v>
      </c>
      <c r="G178" s="419">
        <v>0</v>
      </c>
    </row>
    <row r="179" spans="3:5">
      <c r="C179" s="426" t="s">
        <v>5200</v>
      </c>
      <c r="D179" s="419">
        <v>0</v>
      </c>
      <c r="E179" s="422">
        <v>1025000</v>
      </c>
    </row>
    <row r="180" spans="4:7">
      <c r="D180" s="423">
        <f>SUM(D178:D179)</f>
        <v>400000</v>
      </c>
      <c r="E180" s="423">
        <f t="shared" ref="E180:G180" si="11">SUM(E178:E179)</f>
        <v>4730600</v>
      </c>
      <c r="F180" s="423">
        <f t="shared" si="11"/>
        <v>600000</v>
      </c>
      <c r="G180" s="423">
        <f t="shared" si="11"/>
        <v>0</v>
      </c>
    </row>
    <row r="182" spans="3:3">
      <c r="C182" s="420" t="s">
        <v>280</v>
      </c>
    </row>
    <row r="183" spans="3:7">
      <c r="C183" s="426" t="s">
        <v>280</v>
      </c>
      <c r="D183" s="423">
        <v>141500</v>
      </c>
      <c r="E183" s="423">
        <v>4753</v>
      </c>
      <c r="F183" s="427">
        <v>324</v>
      </c>
      <c r="G183" s="427">
        <v>0</v>
      </c>
    </row>
    <row r="186" spans="4:13">
      <c r="D186" s="428"/>
      <c r="E186" s="429"/>
      <c r="F186" s="429"/>
      <c r="G186" s="428"/>
      <c r="J186" s="430"/>
      <c r="M186" s="428"/>
    </row>
    <row r="188" spans="3:12">
      <c r="C188" s="426" t="s">
        <v>5183</v>
      </c>
      <c r="D188" s="419" t="s">
        <v>5168</v>
      </c>
      <c r="E188" s="419" t="s">
        <v>5185</v>
      </c>
      <c r="F188" s="419" t="s">
        <v>5186</v>
      </c>
      <c r="G188" s="419" t="s">
        <v>5187</v>
      </c>
      <c r="H188" s="419"/>
      <c r="I188" s="419"/>
      <c r="K188" s="419"/>
      <c r="L188" s="419"/>
    </row>
    <row r="189" spans="3:7">
      <c r="C189" s="426" t="str">
        <f>'[46]15明细表 '!B9</f>
        <v>保险费</v>
      </c>
      <c r="D189" s="419">
        <f>'[46]15明细表 '!Z9</f>
        <v>64052.31</v>
      </c>
      <c r="E189" s="419">
        <f>'[46]15明细表 '!X9</f>
        <v>55939.06</v>
      </c>
      <c r="F189" s="422">
        <f>'[46]16明细表'!X9</f>
        <v>15258.57</v>
      </c>
      <c r="G189" s="422">
        <f>'[46]17明细表'!X9</f>
        <v>23584.91</v>
      </c>
    </row>
    <row r="190" spans="3:7">
      <c r="C190" s="426" t="str">
        <f>'[46]15明细表 '!B10</f>
        <v>交通差旅费</v>
      </c>
      <c r="D190" s="419">
        <f>'[46]15明细表 '!Z10</f>
        <v>53843.2</v>
      </c>
      <c r="E190" s="419">
        <f>'[46]15明细表 '!X10</f>
        <v>102135.9</v>
      </c>
      <c r="F190" s="422">
        <f>'[46]16明细表'!X10</f>
        <v>194433.44</v>
      </c>
      <c r="G190" s="422">
        <f>'[46]17明细表'!X10</f>
        <v>164670.77</v>
      </c>
    </row>
    <row r="191" spans="3:7">
      <c r="C191" s="426" t="str">
        <f>'[46]15明细表 '!B11</f>
        <v>展览和广告费</v>
      </c>
      <c r="D191" s="419">
        <f>'[46]15明细表 '!Z11</f>
        <v>1270105</v>
      </c>
      <c r="E191" s="419">
        <f>'[46]15明细表 '!X11</f>
        <v>390040</v>
      </c>
      <c r="F191" s="422">
        <f>'[46]16明细表'!X11</f>
        <v>93062</v>
      </c>
      <c r="G191" s="422">
        <f>'[46]17明细表'!X11</f>
        <v>0</v>
      </c>
    </row>
    <row r="192" spans="3:7">
      <c r="C192" s="426" t="str">
        <f>'[46]15明细表 '!B12</f>
        <v>商品维修费</v>
      </c>
      <c r="D192" s="419">
        <f>'[46]15明细表 '!Z12</f>
        <v>0</v>
      </c>
      <c r="E192" s="419">
        <f>'[46]15明细表 '!X12</f>
        <v>69592.25</v>
      </c>
      <c r="F192" s="422">
        <f>'[46]16明细表'!X12</f>
        <v>0</v>
      </c>
      <c r="G192" s="422">
        <f>'[46]17明细表'!X12</f>
        <v>0</v>
      </c>
    </row>
    <row r="193" spans="3:7">
      <c r="C193" s="426" t="str">
        <f>'[46]15明细表 '!B13</f>
        <v>预计质保损失</v>
      </c>
      <c r="D193" s="419">
        <f>'[46]15明细表 '!Z13</f>
        <v>0</v>
      </c>
      <c r="E193" s="419">
        <f>'[46]15明细表 '!X13</f>
        <v>0</v>
      </c>
      <c r="F193" s="422">
        <f>'[46]16明细表'!X13</f>
        <v>0</v>
      </c>
      <c r="G193" s="422">
        <f>'[46]17明细表'!X13</f>
        <v>0</v>
      </c>
    </row>
    <row r="194" spans="3:7">
      <c r="C194" s="426" t="str">
        <f>'[46]15明细表 '!B14</f>
        <v>运杂装卸费等</v>
      </c>
      <c r="D194" s="419">
        <f>'[46]15明细表 '!Z14</f>
        <v>437</v>
      </c>
      <c r="E194" s="419">
        <f>'[46]15明细表 '!X14</f>
        <v>405</v>
      </c>
      <c r="F194" s="422">
        <f>'[46]16明细表'!X14</f>
        <v>0</v>
      </c>
      <c r="G194" s="422">
        <f>'[46]17明细表'!X14</f>
        <v>6601.95</v>
      </c>
    </row>
    <row r="195" spans="3:7">
      <c r="C195" s="426" t="str">
        <f>'[46]15明细表 '!B15</f>
        <v>营销机构职工薪酬</v>
      </c>
      <c r="D195" s="419">
        <f>'[46]15明细表 '!Z15</f>
        <v>2285032.56</v>
      </c>
      <c r="E195" s="419">
        <f>'[46]15明细表 '!X15</f>
        <v>349775.68</v>
      </c>
      <c r="F195" s="422">
        <f>'[46]16明细表'!X15</f>
        <v>523536.66</v>
      </c>
      <c r="G195" s="422">
        <f>'[46]17明细表'!X15</f>
        <v>2203919.12</v>
      </c>
    </row>
    <row r="196" spans="3:7">
      <c r="C196" s="426" t="str">
        <f>'[46]15明细表 '!B16</f>
        <v>业务招待费</v>
      </c>
      <c r="D196" s="419">
        <f>'[46]15明细表 '!Z16</f>
        <v>347460.5</v>
      </c>
      <c r="E196" s="419">
        <f>'[46]15明细表 '!X16</f>
        <v>104511</v>
      </c>
      <c r="F196" s="422">
        <f>'[46]16明细表'!X16</f>
        <v>96427.9</v>
      </c>
      <c r="G196" s="422">
        <f>'[46]17明细表'!X16</f>
        <v>264087.36</v>
      </c>
    </row>
    <row r="197" spans="3:7">
      <c r="C197" s="426" t="str">
        <f>'[46]15明细表 '!B17</f>
        <v>折旧费</v>
      </c>
      <c r="D197" s="419">
        <f>'[46]15明细表 '!Z17</f>
        <v>334211.42</v>
      </c>
      <c r="E197" s="419">
        <f>'[46]15明细表 '!X17</f>
        <v>358220.93</v>
      </c>
      <c r="F197" s="422">
        <f>'[46]16明细表'!X17</f>
        <v>327333.29</v>
      </c>
      <c r="G197" s="422">
        <f>'[46]17明细表'!X17</f>
        <v>153268.26</v>
      </c>
    </row>
    <row r="198" spans="3:7">
      <c r="C198" s="426" t="str">
        <f>'[46]15明细表 '!B18</f>
        <v>营销机构资产修理费</v>
      </c>
      <c r="D198" s="419">
        <f>'[46]15明细表 '!Z18</f>
        <v>4355</v>
      </c>
      <c r="E198" s="419">
        <f>'[46]15明细表 '!X18</f>
        <v>3885</v>
      </c>
      <c r="F198" s="422">
        <f>'[46]16明细表'!X18</f>
        <v>205987.3</v>
      </c>
      <c r="G198" s="422">
        <f>'[46]17明细表'!X18</f>
        <v>0</v>
      </c>
    </row>
    <row r="199" spans="3:7">
      <c r="C199" s="426" t="str">
        <f>'[46]15明细表 '!B19</f>
        <v>项目设计费</v>
      </c>
      <c r="D199" s="419">
        <f>'[46]15明细表 '!Z19</f>
        <v>0</v>
      </c>
      <c r="E199" s="419">
        <f>'[46]15明细表 '!X19</f>
        <v>0</v>
      </c>
      <c r="F199" s="422">
        <f>'[46]16明细表'!X19</f>
        <v>0</v>
      </c>
      <c r="G199" s="422">
        <f>'[46]17明细表'!X19</f>
        <v>0</v>
      </c>
    </row>
    <row r="200" spans="3:7">
      <c r="C200" s="426" t="str">
        <f>'[46]15明细表 '!B20</f>
        <v>中介机构费</v>
      </c>
      <c r="D200" s="419">
        <f>'[46]15明细表 '!Z20</f>
        <v>52044</v>
      </c>
      <c r="E200" s="419">
        <f>'[46]15明细表 '!X20</f>
        <v>17921</v>
      </c>
      <c r="F200" s="422">
        <f>'[46]16明细表'!X20</f>
        <v>43350.94</v>
      </c>
      <c r="G200" s="422">
        <f>'[46]17明细表'!X20</f>
        <v>19367.92</v>
      </c>
    </row>
    <row r="201" spans="3:7">
      <c r="C201" s="426" t="str">
        <f>'[46]15明细表 '!B21</f>
        <v>低耗品摊销</v>
      </c>
      <c r="D201" s="419">
        <f>'[46]15明细表 '!Z21</f>
        <v>17128</v>
      </c>
      <c r="E201" s="419">
        <f>'[46]15明细表 '!X21</f>
        <v>10075.95</v>
      </c>
      <c r="F201" s="422">
        <f>'[46]16明细表'!X21</f>
        <v>0</v>
      </c>
      <c r="G201" s="422">
        <f>'[46]17明细表'!X21</f>
        <v>796</v>
      </c>
    </row>
    <row r="202" spans="3:7">
      <c r="C202" s="426" t="str">
        <f>'[46]15明细表 '!B22</f>
        <v>房租水电费</v>
      </c>
      <c r="D202" s="419">
        <f>'[46]15明细表 '!Z22</f>
        <v>262869.8</v>
      </c>
      <c r="E202" s="419">
        <f>'[46]15明细表 '!X22</f>
        <v>253304.54</v>
      </c>
      <c r="F202" s="422">
        <f>'[46]16明细表'!X22</f>
        <v>313569.28</v>
      </c>
      <c r="G202" s="422">
        <f>'[46]17明细表'!X22</f>
        <v>342503.7</v>
      </c>
    </row>
    <row r="203" spans="3:7">
      <c r="C203" s="426" t="str">
        <f>'[46]15明细表 '!B23</f>
        <v>办公费</v>
      </c>
      <c r="D203" s="419">
        <f>'[46]15明细表 '!Z23</f>
        <v>10356.8</v>
      </c>
      <c r="E203" s="419">
        <f>'[46]15明细表 '!X23</f>
        <v>23051</v>
      </c>
      <c r="F203" s="422">
        <f>'[46]16明细表'!X23</f>
        <v>72400.73</v>
      </c>
      <c r="G203" s="422">
        <f>'[46]17明细表'!X23</f>
        <v>70225.84</v>
      </c>
    </row>
    <row r="204" spans="3:7">
      <c r="C204" s="426" t="str">
        <f>'[46]15明细表 '!B24</f>
        <v>邮运费</v>
      </c>
      <c r="D204" s="419">
        <f>'[46]15明细表 '!Z24</f>
        <v>0</v>
      </c>
      <c r="E204" s="419">
        <f>'[46]15明细表 '!X24</f>
        <v>0</v>
      </c>
      <c r="F204" s="422">
        <f>'[46]16明细表'!X24</f>
        <v>3323.3</v>
      </c>
      <c r="G204" s="422">
        <f>'[46]17明细表'!X24</f>
        <v>4335</v>
      </c>
    </row>
    <row r="205" spans="3:7">
      <c r="C205" s="426" t="str">
        <f>'[46]15明细表 '!B25</f>
        <v>员工福利费</v>
      </c>
      <c r="D205" s="419">
        <f>'[46]15明细表 '!Z25</f>
        <v>0</v>
      </c>
      <c r="E205" s="419">
        <f>'[46]15明细表 '!X25</f>
        <v>23000</v>
      </c>
      <c r="F205" s="422">
        <f>'[46]16明细表'!X25</f>
        <v>5800</v>
      </c>
      <c r="G205" s="422">
        <f>'[46]17明细表'!X25</f>
        <v>30675</v>
      </c>
    </row>
    <row r="206" spans="3:7">
      <c r="C206" s="426" t="str">
        <f>'[46]15明细表 '!B26</f>
        <v>通讯费</v>
      </c>
      <c r="D206" s="419">
        <f>'[46]15明细表 '!Z26</f>
        <v>0</v>
      </c>
      <c r="E206" s="419">
        <f>'[46]15明细表 '!X26</f>
        <v>200</v>
      </c>
      <c r="F206" s="422">
        <f>'[46]16明细表'!X26</f>
        <v>300</v>
      </c>
      <c r="G206" s="422">
        <f>'[46]17明细表'!X26</f>
        <v>0</v>
      </c>
    </row>
    <row r="207" spans="3:7">
      <c r="C207" s="426" t="str">
        <f>'[46]15明细表 '!B27</f>
        <v>社保公积金（五险一金）</v>
      </c>
      <c r="D207" s="419">
        <f>'[46]15明细表 '!Z27</f>
        <v>0</v>
      </c>
      <c r="E207" s="419">
        <f>'[46]15明细表 '!X27</f>
        <v>45250.89</v>
      </c>
      <c r="F207" s="422">
        <f>'[46]16明细表'!X27</f>
        <v>78766.81</v>
      </c>
      <c r="G207" s="422">
        <f>'[46]17明细表'!X27</f>
        <v>155087.08</v>
      </c>
    </row>
    <row r="208" spans="3:7">
      <c r="C208" s="426" t="str">
        <f>'[46]15明细表 '!B28</f>
        <v>汽车费用</v>
      </c>
      <c r="D208" s="419">
        <f>'[46]15明细表 '!Z28</f>
        <v>2061</v>
      </c>
      <c r="E208" s="419">
        <f>'[46]15明细表 '!X28</f>
        <v>0</v>
      </c>
      <c r="F208" s="422">
        <f>'[46]16明细表'!X28</f>
        <v>40613.97</v>
      </c>
      <c r="G208" s="422">
        <f>'[46]17明细表'!X28</f>
        <v>76118.2</v>
      </c>
    </row>
    <row r="209" spans="3:7">
      <c r="C209" s="426" t="str">
        <f>'[46]15明细表 '!B29</f>
        <v>宣传制作费</v>
      </c>
      <c r="D209" s="419">
        <f>'[46]15明细表 '!Z29</f>
        <v>0</v>
      </c>
      <c r="E209" s="419">
        <f>'[46]15明细表 '!X29</f>
        <v>0</v>
      </c>
      <c r="F209" s="422">
        <f>'[46]16明细表'!X29</f>
        <v>0</v>
      </c>
      <c r="G209" s="422">
        <f>'[46]17明细表'!X29</f>
        <v>8888.89</v>
      </c>
    </row>
    <row r="210" spans="3:7">
      <c r="C210" s="426" t="str">
        <f>'[46]15明细表 '!B30</f>
        <v>其他</v>
      </c>
      <c r="D210" s="419">
        <f>'[46]15明细表 '!Z30</f>
        <v>141500</v>
      </c>
      <c r="E210" s="419">
        <f>'[46]15明细表 '!X30</f>
        <v>4753</v>
      </c>
      <c r="F210" s="422">
        <f>'[46]16明细表'!X30</f>
        <v>324</v>
      </c>
      <c r="G210" s="422">
        <f>'[46]17明细表'!X30</f>
        <v>0</v>
      </c>
    </row>
    <row r="211" spans="3:7">
      <c r="C211" s="426" t="str">
        <f>'[46]15明细表 '!B31</f>
        <v>投标费用</v>
      </c>
      <c r="D211" s="419">
        <f>'[46]15明细表 '!Z31</f>
        <v>0</v>
      </c>
      <c r="E211" s="419">
        <f>'[46]15明细表 '!X31</f>
        <v>0</v>
      </c>
      <c r="F211" s="422">
        <f>'[46]16明细表'!X31</f>
        <v>527378.16</v>
      </c>
      <c r="G211" s="422">
        <f>'[46]17明细表'!X31</f>
        <v>932230.51</v>
      </c>
    </row>
    <row r="212" spans="3:7">
      <c r="C212" s="426" t="str">
        <f>'[46]15明细表 '!B32</f>
        <v>培训费</v>
      </c>
      <c r="D212" s="419">
        <f>'[46]15明细表 '!Z32</f>
        <v>0</v>
      </c>
      <c r="E212" s="419">
        <f>'[46]15明细表 '!X32</f>
        <v>0</v>
      </c>
      <c r="F212" s="422">
        <f>'[46]16明细表'!X32</f>
        <v>4880.78</v>
      </c>
      <c r="G212" s="422">
        <f>'[46]17明细表'!X32</f>
        <v>49463.69</v>
      </c>
    </row>
    <row r="213" spans="3:7">
      <c r="C213" s="426" t="str">
        <f>'[46]15明细表 '!B33</f>
        <v>项目维护费</v>
      </c>
      <c r="D213" s="419">
        <f>'[46]15明细表 '!Z33</f>
        <v>0</v>
      </c>
      <c r="E213" s="419">
        <f>'[46]15明细表 '!X33</f>
        <v>77350</v>
      </c>
      <c r="F213" s="422">
        <f>'[46]16明细表'!X33</f>
        <v>74436.4100000003</v>
      </c>
      <c r="G213" s="422">
        <f>'[46]17明细表'!X33</f>
        <v>882634.14</v>
      </c>
    </row>
    <row r="214" spans="3:7">
      <c r="C214" s="426" t="str">
        <f>'[46]15明细表 '!B34</f>
        <v>湖南办-交通差旅费</v>
      </c>
      <c r="D214" s="419">
        <f>'[46]15明细表 '!Z34</f>
        <v>74565</v>
      </c>
      <c r="E214" s="419">
        <f>'[46]15明细表 '!X34</f>
        <v>56892.4</v>
      </c>
      <c r="F214" s="422">
        <f>'[46]16明细表'!X34</f>
        <v>1384</v>
      </c>
      <c r="G214" s="422">
        <f>'[46]17明细表'!X34</f>
        <v>0</v>
      </c>
    </row>
    <row r="215" spans="3:7">
      <c r="C215" s="426" t="str">
        <f>'[46]15明细表 '!B35</f>
        <v>湖南办-办公及物料</v>
      </c>
      <c r="D215" s="419">
        <f>'[46]15明细表 '!Z35</f>
        <v>21195</v>
      </c>
      <c r="E215" s="419">
        <f>'[46]15明细表 '!X35</f>
        <v>6153</v>
      </c>
      <c r="F215" s="422">
        <f>'[46]16明细表'!X35</f>
        <v>0</v>
      </c>
      <c r="G215" s="422">
        <f>'[46]17明细表'!X35</f>
        <v>0</v>
      </c>
    </row>
    <row r="216" spans="3:7">
      <c r="C216" s="426" t="str">
        <f>'[46]15明细表 '!B36</f>
        <v>湖南办-工程项目费</v>
      </c>
      <c r="D216" s="419">
        <f>'[46]15明细表 '!Z36</f>
        <v>0</v>
      </c>
      <c r="E216" s="419">
        <f>'[46]15明细表 '!X36</f>
        <v>0</v>
      </c>
      <c r="F216" s="422">
        <f>'[46]16明细表'!X36</f>
        <v>0</v>
      </c>
      <c r="G216" s="422">
        <f>'[46]17明细表'!X36</f>
        <v>0</v>
      </c>
    </row>
    <row r="217" spans="3:7">
      <c r="C217" s="426" t="str">
        <f>'[46]15明细表 '!B37</f>
        <v>湖南办-房租物管费</v>
      </c>
      <c r="D217" s="419">
        <f>'[46]15明细表 '!Z37</f>
        <v>7200</v>
      </c>
      <c r="E217" s="419">
        <f>'[46]15明细表 '!X37</f>
        <v>0</v>
      </c>
      <c r="F217" s="422">
        <f>'[46]16明细表'!X37</f>
        <v>0</v>
      </c>
      <c r="G217" s="422">
        <f>'[46]17明细表'!X37</f>
        <v>0</v>
      </c>
    </row>
    <row r="218" spans="3:7">
      <c r="C218" s="426" t="str">
        <f>'[46]15明细表 '!B38</f>
        <v>湖南办-工资及福利</v>
      </c>
      <c r="D218" s="419">
        <f>'[46]15明细表 '!Z38</f>
        <v>360031</v>
      </c>
      <c r="E218" s="419">
        <f>'[46]15明细表 '!X38</f>
        <v>272035.08</v>
      </c>
      <c r="F218" s="422">
        <f>'[46]16明细表'!X38</f>
        <v>0</v>
      </c>
      <c r="G218" s="422">
        <f>'[46]17明细表'!X38</f>
        <v>0</v>
      </c>
    </row>
    <row r="219" spans="3:7">
      <c r="C219" s="426" t="str">
        <f>'[46]15明细表 '!B39</f>
        <v>湖南办-招标费用</v>
      </c>
      <c r="D219" s="419">
        <f>'[46]15明细表 '!Z39</f>
        <v>0</v>
      </c>
      <c r="E219" s="419">
        <f>'[46]15明细表 '!X39</f>
        <v>0</v>
      </c>
      <c r="F219" s="422">
        <f>'[46]16明细表'!X39</f>
        <v>0</v>
      </c>
      <c r="G219" s="422">
        <f>'[46]17明细表'!X39</f>
        <v>0</v>
      </c>
    </row>
    <row r="220" spans="3:7">
      <c r="C220" s="426" t="str">
        <f>'[46]15明细表 '!B40</f>
        <v>湖南办-保险费</v>
      </c>
      <c r="D220" s="419">
        <f>'[46]15明细表 '!Z40</f>
        <v>4030.38</v>
      </c>
      <c r="E220" s="419">
        <f>'[46]15明细表 '!X40</f>
        <v>0</v>
      </c>
      <c r="F220" s="422">
        <f>'[46]16明细表'!X40</f>
        <v>0</v>
      </c>
      <c r="G220" s="422">
        <f>'[46]17明细表'!X40</f>
        <v>0</v>
      </c>
    </row>
    <row r="221" spans="3:7">
      <c r="C221" s="426" t="str">
        <f>'[46]15明细表 '!B41</f>
        <v>湖南办-业务招待费</v>
      </c>
      <c r="D221" s="419">
        <f>'[46]15明细表 '!Z41</f>
        <v>43753</v>
      </c>
      <c r="E221" s="419">
        <f>'[46]15明细表 '!X41</f>
        <v>115625</v>
      </c>
      <c r="F221" s="422">
        <f>'[46]16明细表'!X41</f>
        <v>2160</v>
      </c>
      <c r="G221" s="422">
        <f>'[46]17明细表'!X41</f>
        <v>0</v>
      </c>
    </row>
    <row r="222" spans="3:7">
      <c r="C222" s="426" t="str">
        <f>'[46]15明细表 '!B42</f>
        <v>湖北区域-交通差旅费</v>
      </c>
      <c r="D222" s="419">
        <f>'[46]15明细表 '!Z42</f>
        <v>0</v>
      </c>
      <c r="E222" s="419">
        <f>'[46]15明细表 '!X42</f>
        <v>0</v>
      </c>
      <c r="F222" s="422">
        <f>'[46]16明细表'!X42</f>
        <v>0</v>
      </c>
      <c r="G222" s="422">
        <f>'[46]17明细表'!X42</f>
        <v>0</v>
      </c>
    </row>
    <row r="223" spans="3:7">
      <c r="C223" s="426" t="str">
        <f>'[46]15明细表 '!B43</f>
        <v>湖北区域-办公及物料</v>
      </c>
      <c r="D223" s="419">
        <f>'[46]15明细表 '!Z43</f>
        <v>0</v>
      </c>
      <c r="E223" s="419">
        <f>'[46]15明细表 '!X43</f>
        <v>0</v>
      </c>
      <c r="F223" s="422">
        <f>'[46]16明细表'!X43</f>
        <v>0</v>
      </c>
      <c r="G223" s="422">
        <f>'[46]17明细表'!X43</f>
        <v>0</v>
      </c>
    </row>
    <row r="224" spans="3:7">
      <c r="C224" s="426" t="str">
        <f>'[46]15明细表 '!B44</f>
        <v>湖北区域-工程项目费</v>
      </c>
      <c r="D224" s="419">
        <f>'[46]15明细表 '!Z44</f>
        <v>0</v>
      </c>
      <c r="E224" s="419">
        <f>'[46]15明细表 '!X44</f>
        <v>0</v>
      </c>
      <c r="F224" s="422">
        <f>'[46]16明细表'!X44</f>
        <v>0</v>
      </c>
      <c r="G224" s="422">
        <f>'[46]17明细表'!X44</f>
        <v>0</v>
      </c>
    </row>
    <row r="225" spans="3:7">
      <c r="C225" s="426" t="str">
        <f>'[46]15明细表 '!B45</f>
        <v>湖北区域-房租物管费</v>
      </c>
      <c r="D225" s="419">
        <f>'[46]15明细表 '!Z45</f>
        <v>0</v>
      </c>
      <c r="E225" s="419">
        <f>'[46]15明细表 '!X45</f>
        <v>0</v>
      </c>
      <c r="F225" s="422">
        <f>'[46]16明细表'!X45</f>
        <v>0</v>
      </c>
      <c r="G225" s="422">
        <f>'[46]17明细表'!X45</f>
        <v>0</v>
      </c>
    </row>
    <row r="226" spans="3:7">
      <c r="C226" s="426" t="str">
        <f>'[46]15明细表 '!B46</f>
        <v>湖北区域-工资及福利</v>
      </c>
      <c r="D226" s="419">
        <f>'[46]15明细表 '!Z46</f>
        <v>0</v>
      </c>
      <c r="E226" s="419">
        <f>'[46]15明细表 '!X46</f>
        <v>0</v>
      </c>
      <c r="F226" s="422">
        <f>'[46]16明细表'!X46</f>
        <v>0</v>
      </c>
      <c r="G226" s="422">
        <f>'[46]17明细表'!X46</f>
        <v>0</v>
      </c>
    </row>
    <row r="227" spans="3:7">
      <c r="C227" s="426" t="str">
        <f>'[46]15明细表 '!B47</f>
        <v>湖北区域-业务招待费</v>
      </c>
      <c r="D227" s="419">
        <f>'[46]15明细表 '!Z47</f>
        <v>0</v>
      </c>
      <c r="E227" s="419">
        <f>'[46]15明细表 '!X47</f>
        <v>0</v>
      </c>
      <c r="F227" s="422">
        <f>'[46]16明细表'!X47</f>
        <v>0</v>
      </c>
      <c r="G227" s="422">
        <f>'[46]17明细表'!X47</f>
        <v>0</v>
      </c>
    </row>
    <row r="228" spans="3:7">
      <c r="C228" s="426" t="str">
        <f>'[46]15明细表 '!B48</f>
        <v>山东区域-交通差旅费</v>
      </c>
      <c r="D228" s="419">
        <f>'[46]15明细表 '!Z48</f>
        <v>0</v>
      </c>
      <c r="E228" s="419">
        <f>'[46]15明细表 '!X48</f>
        <v>0</v>
      </c>
      <c r="F228" s="422">
        <f>'[46]16明细表'!X48</f>
        <v>0</v>
      </c>
      <c r="G228" s="422">
        <f>'[46]17明细表'!X48</f>
        <v>0</v>
      </c>
    </row>
    <row r="229" spans="3:7">
      <c r="C229" s="426" t="str">
        <f>'[46]15明细表 '!B49</f>
        <v>山东区域-办公及物料</v>
      </c>
      <c r="D229" s="419">
        <f>'[46]15明细表 '!Z49</f>
        <v>0</v>
      </c>
      <c r="E229" s="419">
        <f>'[46]15明细表 '!X49</f>
        <v>0</v>
      </c>
      <c r="F229" s="422">
        <f>'[46]16明细表'!X49</f>
        <v>0</v>
      </c>
      <c r="G229" s="422">
        <f>'[46]17明细表'!X49</f>
        <v>0</v>
      </c>
    </row>
    <row r="230" spans="3:7">
      <c r="C230" s="426" t="str">
        <f>'[46]15明细表 '!B50</f>
        <v>山东区域-工程项目费</v>
      </c>
      <c r="D230" s="419">
        <f>'[46]15明细表 '!Z50</f>
        <v>0</v>
      </c>
      <c r="E230" s="419">
        <f>'[46]15明细表 '!X50</f>
        <v>0</v>
      </c>
      <c r="F230" s="422">
        <f>'[46]16明细表'!X50</f>
        <v>0</v>
      </c>
      <c r="G230" s="422">
        <f>'[46]17明细表'!X50</f>
        <v>0</v>
      </c>
    </row>
    <row r="231" spans="3:7">
      <c r="C231" s="426" t="str">
        <f>'[46]15明细表 '!B51</f>
        <v>山东区域-房租物管费</v>
      </c>
      <c r="D231" s="419">
        <f>'[46]15明细表 '!Z51</f>
        <v>0</v>
      </c>
      <c r="E231" s="419">
        <f>'[46]15明细表 '!X51</f>
        <v>0</v>
      </c>
      <c r="F231" s="422">
        <f>'[46]16明细表'!X51</f>
        <v>0</v>
      </c>
      <c r="G231" s="422">
        <f>'[46]17明细表'!X51</f>
        <v>0</v>
      </c>
    </row>
    <row r="232" ht="12.75" customHeight="1" spans="3:7">
      <c r="C232" s="426" t="str">
        <f>'[46]15明细表 '!B52</f>
        <v>山东区域-工资及福利</v>
      </c>
      <c r="D232" s="419">
        <f>'[46]15明细表 '!Z52</f>
        <v>0</v>
      </c>
      <c r="E232" s="419">
        <f>'[46]15明细表 '!X52</f>
        <v>0</v>
      </c>
      <c r="F232" s="422">
        <f>'[46]16明细表'!X52</f>
        <v>0</v>
      </c>
      <c r="G232" s="422">
        <f>'[46]17明细表'!X52</f>
        <v>0</v>
      </c>
    </row>
    <row r="233" spans="3:7">
      <c r="C233" s="426" t="str">
        <f>'[46]15明细表 '!B53</f>
        <v>山东区域-业务招待费</v>
      </c>
      <c r="D233" s="419">
        <f>'[46]15明细表 '!Z53</f>
        <v>0</v>
      </c>
      <c r="E233" s="419">
        <f>'[46]15明细表 '!X53</f>
        <v>0</v>
      </c>
      <c r="F233" s="422">
        <f>'[46]16明细表'!X53</f>
        <v>0</v>
      </c>
      <c r="G233" s="422">
        <f>'[46]17明细表'!X53</f>
        <v>0</v>
      </c>
    </row>
    <row r="234" spans="3:7">
      <c r="C234" s="426" t="str">
        <f>'[46]15明细表 '!B54</f>
        <v>东北区域-交通差旅费</v>
      </c>
      <c r="D234" s="419">
        <f>'[46]15明细表 '!Z54</f>
        <v>0</v>
      </c>
      <c r="E234" s="419">
        <f>'[46]15明细表 '!X54</f>
        <v>0</v>
      </c>
      <c r="F234" s="422">
        <f>'[46]16明细表'!X54</f>
        <v>0</v>
      </c>
      <c r="G234" s="422">
        <f>'[46]17明细表'!X54</f>
        <v>0</v>
      </c>
    </row>
    <row r="235" spans="3:7">
      <c r="C235" s="426" t="str">
        <f>'[46]15明细表 '!B55</f>
        <v>东北区域-办公及物料</v>
      </c>
      <c r="D235" s="419">
        <f>'[46]15明细表 '!Z55</f>
        <v>0</v>
      </c>
      <c r="E235" s="419">
        <f>'[46]15明细表 '!X55</f>
        <v>0</v>
      </c>
      <c r="F235" s="422">
        <f>'[46]16明细表'!X55</f>
        <v>0</v>
      </c>
      <c r="G235" s="422">
        <f>'[46]17明细表'!X55</f>
        <v>0</v>
      </c>
    </row>
    <row r="236" spans="3:7">
      <c r="C236" s="426" t="str">
        <f>'[46]15明细表 '!B56</f>
        <v>东北区域-工程项目费</v>
      </c>
      <c r="D236" s="419">
        <f>'[46]15明细表 '!Z56</f>
        <v>0</v>
      </c>
      <c r="E236" s="419">
        <f>'[46]15明细表 '!X56</f>
        <v>0</v>
      </c>
      <c r="F236" s="422">
        <f>'[46]16明细表'!X56</f>
        <v>0</v>
      </c>
      <c r="G236" s="422">
        <f>'[46]17明细表'!X56</f>
        <v>0</v>
      </c>
    </row>
    <row r="237" spans="3:7">
      <c r="C237" s="426" t="str">
        <f>'[46]15明细表 '!B57</f>
        <v>东北区域-房租物管费</v>
      </c>
      <c r="D237" s="419">
        <f>'[46]15明细表 '!Z57</f>
        <v>0</v>
      </c>
      <c r="E237" s="419">
        <f>'[46]15明细表 '!X57</f>
        <v>0</v>
      </c>
      <c r="F237" s="422">
        <f>'[46]16明细表'!X57</f>
        <v>0</v>
      </c>
      <c r="G237" s="422">
        <f>'[46]17明细表'!X57</f>
        <v>0</v>
      </c>
    </row>
    <row r="238" spans="3:7">
      <c r="C238" s="426" t="str">
        <f>'[46]15明细表 '!B58</f>
        <v>东北区域-工资及福利</v>
      </c>
      <c r="D238" s="419">
        <f>'[46]15明细表 '!Z58</f>
        <v>0</v>
      </c>
      <c r="E238" s="419">
        <f>'[46]15明细表 '!X58</f>
        <v>0</v>
      </c>
      <c r="F238" s="422">
        <f>'[46]16明细表'!X58</f>
        <v>0</v>
      </c>
      <c r="G238" s="422">
        <f>'[46]17明细表'!X58</f>
        <v>0</v>
      </c>
    </row>
    <row r="239" spans="3:7">
      <c r="C239" s="426" t="str">
        <f>'[46]15明细表 '!B59</f>
        <v>东北区域-业务招待费</v>
      </c>
      <c r="D239" s="419">
        <f>'[46]15明细表 '!Z59</f>
        <v>0</v>
      </c>
      <c r="E239" s="419">
        <f>'[46]15明细表 '!X59</f>
        <v>0</v>
      </c>
      <c r="F239" s="422">
        <f>'[46]16明细表'!X59</f>
        <v>0</v>
      </c>
      <c r="G239" s="422">
        <f>'[46]17明细表'!X59</f>
        <v>0</v>
      </c>
    </row>
    <row r="240" spans="3:7">
      <c r="C240" s="426" t="str">
        <f>'[46]15明细表 '!B60</f>
        <v>照明事业三部（吕诚团队）-交通差旅费</v>
      </c>
      <c r="D240" s="419">
        <f>'[46]15明细表 '!Z60</f>
        <v>139789.5</v>
      </c>
      <c r="E240" s="419">
        <f>'[46]15明细表 '!X60</f>
        <v>234530.59</v>
      </c>
      <c r="F240" s="422">
        <f>'[46]16明细表'!X60</f>
        <v>374952.92</v>
      </c>
      <c r="G240" s="422">
        <f>'[46]17明细表'!X60</f>
        <v>226067.31</v>
      </c>
    </row>
    <row r="241" spans="3:7">
      <c r="C241" s="426" t="str">
        <f>'[46]15明细表 '!B61</f>
        <v>照明事业三部（吕诚团队）-办公及物料</v>
      </c>
      <c r="D241" s="419">
        <f>'[46]15明细表 '!Z61</f>
        <v>13135</v>
      </c>
      <c r="E241" s="419">
        <f>'[46]15明细表 '!X61</f>
        <v>12433</v>
      </c>
      <c r="F241" s="422">
        <f>'[46]16明细表'!X61</f>
        <v>123718.2</v>
      </c>
      <c r="G241" s="422">
        <f>'[46]17明细表'!X61</f>
        <v>8904.64</v>
      </c>
    </row>
    <row r="242" spans="3:7">
      <c r="C242" s="426" t="str">
        <f>'[46]15明细表 '!B62</f>
        <v>照明事业三部（吕诚团队）-工程项目费</v>
      </c>
      <c r="D242" s="419">
        <f>'[46]15明细表 '!Z62</f>
        <v>0</v>
      </c>
      <c r="E242" s="419">
        <f>'[46]15明细表 '!X62</f>
        <v>0</v>
      </c>
      <c r="F242" s="422">
        <f>'[46]16明细表'!X62</f>
        <v>0</v>
      </c>
      <c r="G242" s="422">
        <f>'[46]17明细表'!X62</f>
        <v>0</v>
      </c>
    </row>
    <row r="243" spans="3:7">
      <c r="C243" s="426" t="str">
        <f>'[46]15明细表 '!B63</f>
        <v>照明事业三部（吕诚团队）-房租物管水电费</v>
      </c>
      <c r="D243" s="419">
        <f>'[46]15明细表 '!Z63</f>
        <v>33904</v>
      </c>
      <c r="E243" s="419">
        <f>'[46]15明细表 '!X63</f>
        <v>60239.94</v>
      </c>
      <c r="F243" s="422">
        <f>'[46]16明细表'!X63</f>
        <v>34650.11</v>
      </c>
      <c r="G243" s="422">
        <f>'[46]17明细表'!X63</f>
        <v>0</v>
      </c>
    </row>
    <row r="244" spans="3:7">
      <c r="C244" s="426" t="str">
        <f>'[46]15明细表 '!B64</f>
        <v>照明事业三部（吕诚团队）-工资及福利</v>
      </c>
      <c r="D244" s="419">
        <f>'[46]15明细表 '!Z64</f>
        <v>462809</v>
      </c>
      <c r="E244" s="419">
        <f>'[46]15明细表 '!X64</f>
        <v>1668987.31</v>
      </c>
      <c r="F244" s="422">
        <f>'[46]16明细表'!X64</f>
        <v>1082252.76</v>
      </c>
      <c r="G244" s="422">
        <f>'[46]17明细表'!X64</f>
        <v>871520</v>
      </c>
    </row>
    <row r="245" spans="3:7">
      <c r="C245" s="426" t="str">
        <f>'[46]15明细表 '!B65</f>
        <v>照明事业三部（吕诚团队）-投标费用</v>
      </c>
      <c r="D245" s="419">
        <f>'[46]15明细表 '!Z65</f>
        <v>3141</v>
      </c>
      <c r="E245" s="419">
        <f>'[46]15明细表 '!X65</f>
        <v>2335</v>
      </c>
      <c r="F245" s="422">
        <f>'[46]16明细表'!X65</f>
        <v>8513</v>
      </c>
      <c r="G245" s="422">
        <f>'[46]17明细表'!X65</f>
        <v>0</v>
      </c>
    </row>
    <row r="246" spans="3:7">
      <c r="C246" s="426" t="str">
        <f>'[46]15明细表 '!B66</f>
        <v>照明事业三部（吕诚团队）-咨询服务费</v>
      </c>
      <c r="D246" s="419">
        <f>'[46]15明细表 '!Z66</f>
        <v>99992</v>
      </c>
      <c r="E246" s="419">
        <f>'[46]15明细表 '!X66</f>
        <v>0</v>
      </c>
      <c r="F246" s="422">
        <f>'[46]16明细表'!X66</f>
        <v>0</v>
      </c>
      <c r="G246" s="422">
        <f>'[46]17明细表'!X66</f>
        <v>0</v>
      </c>
    </row>
    <row r="247" spans="3:7">
      <c r="C247" s="426" t="str">
        <f>'[46]15明细表 '!B67</f>
        <v>照明事业三部（吕诚团队）-业务招待费</v>
      </c>
      <c r="D247" s="419">
        <f>'[46]15明细表 '!Z67</f>
        <v>188039.36</v>
      </c>
      <c r="E247" s="419">
        <f>'[46]15明细表 '!X67</f>
        <v>460937.35</v>
      </c>
      <c r="F247" s="422">
        <f>'[46]16明细表'!X67</f>
        <v>193941.95</v>
      </c>
      <c r="G247" s="422">
        <f>'[46]17明细表'!X67</f>
        <v>187094.49</v>
      </c>
    </row>
    <row r="248" spans="3:7">
      <c r="C248" s="426" t="str">
        <f>'[46]15明细表 '!B68</f>
        <v>照明事业三部（吕诚团队）-汽车费用</v>
      </c>
      <c r="D248" s="419">
        <f>'[46]15明细表 '!Z68</f>
        <v>0</v>
      </c>
      <c r="E248" s="419">
        <f>'[46]15明细表 '!X68</f>
        <v>8625.65</v>
      </c>
      <c r="F248" s="422">
        <f>'[46]16明细表'!X68</f>
        <v>108901.37</v>
      </c>
      <c r="G248" s="422">
        <f>'[46]17明细表'!X68</f>
        <v>98000.68</v>
      </c>
    </row>
    <row r="249" spans="3:7">
      <c r="C249" s="426" t="str">
        <f>'[46]15明细表 '!B69</f>
        <v>照明事业三部（吕诚团队）-社会保险金</v>
      </c>
      <c r="D249" s="419">
        <f>'[46]15明细表 '!Z69</f>
        <v>0</v>
      </c>
      <c r="E249" s="419">
        <f>'[46]15明细表 '!X69</f>
        <v>31659.1</v>
      </c>
      <c r="F249" s="422">
        <f>'[46]16明细表'!X69</f>
        <v>56967.97</v>
      </c>
      <c r="G249" s="422">
        <f>'[46]17明细表'!X69</f>
        <v>87144.6</v>
      </c>
    </row>
    <row r="250" spans="3:7">
      <c r="C250" s="426" t="str">
        <f>'[46]15明细表 '!B70</f>
        <v>照明事业三部（吕诚团队）-住房公积金</v>
      </c>
      <c r="D250" s="419">
        <f>'[46]15明细表 '!Z70</f>
        <v>0</v>
      </c>
      <c r="E250" s="419">
        <f>'[46]15明细表 '!X70</f>
        <v>9350</v>
      </c>
      <c r="F250" s="422">
        <f>'[46]16明细表'!X70</f>
        <v>13800</v>
      </c>
      <c r="G250" s="422">
        <f>'[46]17明细表'!X70</f>
        <v>14550</v>
      </c>
    </row>
    <row r="251" spans="3:7">
      <c r="C251" s="426" t="str">
        <f>'[46]15明细表 '!B71</f>
        <v>照明事业二部（刘泽飚团队）-差旅交通费</v>
      </c>
      <c r="D251" s="419">
        <f>'[46]15明细表 '!Z71</f>
        <v>68338.6</v>
      </c>
      <c r="E251" s="419">
        <f>'[46]15明细表 '!X71</f>
        <v>53465</v>
      </c>
      <c r="F251" s="422">
        <f>'[46]16明细表'!X71</f>
        <v>164000.5</v>
      </c>
      <c r="G251" s="422">
        <f>'[46]17明细表'!X71</f>
        <v>57227.73</v>
      </c>
    </row>
    <row r="252" spans="3:7">
      <c r="C252" s="426" t="str">
        <f>'[46]15明细表 '!B72</f>
        <v>照明事业二部（刘泽飚团队）-办公物料用品</v>
      </c>
      <c r="D252" s="419">
        <f>'[46]15明细表 '!Z72</f>
        <v>74375</v>
      </c>
      <c r="E252" s="419">
        <f>'[46]15明细表 '!X72</f>
        <v>26940</v>
      </c>
      <c r="F252" s="422">
        <f>'[46]16明细表'!X72</f>
        <v>13458.8</v>
      </c>
      <c r="G252" s="422">
        <f>'[46]17明细表'!X72</f>
        <v>0</v>
      </c>
    </row>
    <row r="253" spans="3:7">
      <c r="C253" s="426" t="str">
        <f>'[46]15明细表 '!B73</f>
        <v>照明事业二部（刘泽飚团队）-工程项目费</v>
      </c>
      <c r="D253" s="419">
        <f>'[46]15明细表 '!Z73</f>
        <v>0</v>
      </c>
      <c r="E253" s="419">
        <f>'[46]15明细表 '!X73</f>
        <v>0</v>
      </c>
      <c r="F253" s="422">
        <f>'[46]16明细表'!X73</f>
        <v>0</v>
      </c>
      <c r="G253" s="422">
        <f>'[46]17明细表'!X73</f>
        <v>0</v>
      </c>
    </row>
    <row r="254" spans="3:7">
      <c r="C254" s="426" t="str">
        <f>'[46]15明细表 '!B74</f>
        <v>照明事业二部（刘泽飚团队）-房租物管水电</v>
      </c>
      <c r="D254" s="419">
        <f>'[46]15明细表 '!Z74</f>
        <v>0</v>
      </c>
      <c r="E254" s="419">
        <f>'[46]15明细表 '!X74</f>
        <v>0</v>
      </c>
      <c r="F254" s="422">
        <f>'[46]16明细表'!X74</f>
        <v>0</v>
      </c>
      <c r="G254" s="422">
        <f>'[46]17明细表'!X74</f>
        <v>0</v>
      </c>
    </row>
    <row r="255" spans="3:7">
      <c r="C255" s="426" t="str">
        <f>'[46]15明细表 '!B75</f>
        <v>照明事业二部（刘泽飚团队）-工资及福利</v>
      </c>
      <c r="D255" s="419">
        <f>'[46]15明细表 '!Z75</f>
        <v>392160</v>
      </c>
      <c r="E255" s="419">
        <f>'[46]15明细表 '!X75</f>
        <v>584833.78</v>
      </c>
      <c r="F255" s="422">
        <f>'[46]16明细表'!X75</f>
        <v>1368701.73</v>
      </c>
      <c r="G255" s="422">
        <f>'[46]17明细表'!X75</f>
        <v>489520</v>
      </c>
    </row>
    <row r="256" spans="3:7">
      <c r="C256" s="426" t="str">
        <f>'[46]15明细表 '!B76</f>
        <v>照明事业二部（刘泽飚团队）-投标费用</v>
      </c>
      <c r="D256" s="419">
        <f>'[46]15明细表 '!Z76</f>
        <v>1036</v>
      </c>
      <c r="E256" s="419">
        <f>'[46]15明细表 '!X76</f>
        <v>0</v>
      </c>
      <c r="F256" s="422">
        <f>'[46]16明细表'!X76</f>
        <v>800</v>
      </c>
      <c r="G256" s="422">
        <f>'[46]17明细表'!X76</f>
        <v>0</v>
      </c>
    </row>
    <row r="257" spans="3:7">
      <c r="C257" s="426" t="str">
        <f>'[46]15明细表 '!B77</f>
        <v>照明事业二部（刘泽飚团队）-咨询服务费</v>
      </c>
      <c r="D257" s="419">
        <f>'[46]15明细表 '!Z77</f>
        <v>0</v>
      </c>
      <c r="E257" s="419">
        <f>'[46]15明细表 '!X77</f>
        <v>0</v>
      </c>
      <c r="F257" s="422">
        <f>'[46]16明细表'!X77</f>
        <v>8199.54</v>
      </c>
      <c r="G257" s="422">
        <f>'[46]17明细表'!X77</f>
        <v>0</v>
      </c>
    </row>
    <row r="258" spans="3:7">
      <c r="C258" s="426" t="str">
        <f>'[46]15明细表 '!B78</f>
        <v>照明事业二部（刘泽飚团队）-业务招待费</v>
      </c>
      <c r="D258" s="419">
        <f>'[46]15明细表 '!Z78</f>
        <v>30501.4</v>
      </c>
      <c r="E258" s="419">
        <f>'[46]15明细表 '!X78</f>
        <v>68375.8</v>
      </c>
      <c r="F258" s="422">
        <f>'[46]16明细表'!X78</f>
        <v>217422.32</v>
      </c>
      <c r="G258" s="422">
        <f>'[46]17明细表'!X78</f>
        <v>6000</v>
      </c>
    </row>
    <row r="259" spans="3:7">
      <c r="C259" s="426" t="str">
        <f>'[46]15明细表 '!B79</f>
        <v>照明事业二部（刘泽飚团队）-汽车费用</v>
      </c>
      <c r="D259" s="419">
        <f>'[46]15明细表 '!Z79</f>
        <v>8805</v>
      </c>
      <c r="E259" s="419">
        <f>'[46]15明细表 '!X79</f>
        <v>8958.95</v>
      </c>
      <c r="F259" s="422">
        <f>'[46]16明细表'!X79</f>
        <v>68869.43</v>
      </c>
      <c r="G259" s="422">
        <f>'[46]17明细表'!X79</f>
        <v>25160</v>
      </c>
    </row>
    <row r="260" spans="3:7">
      <c r="C260" s="426" t="str">
        <f>'[46]15明细表 '!B80</f>
        <v>照明事业二部（刘泽飚团队）-社会保险金</v>
      </c>
      <c r="D260" s="419">
        <f>'[46]15明细表 '!Z80</f>
        <v>0</v>
      </c>
      <c r="E260" s="419">
        <f>'[46]15明细表 '!X80</f>
        <v>17375.74</v>
      </c>
      <c r="F260" s="422">
        <f>'[46]16明细表'!X80</f>
        <v>39346.72</v>
      </c>
      <c r="G260" s="422">
        <f>'[46]17明细表'!X80</f>
        <v>49496.78</v>
      </c>
    </row>
    <row r="261" spans="3:7">
      <c r="C261" s="426" t="str">
        <f>'[46]15明细表 '!B81</f>
        <v>照明事业二部（刘泽飚团队）-住房公积金</v>
      </c>
      <c r="D261" s="419">
        <f>'[46]15明细表 '!Z81</f>
        <v>0</v>
      </c>
      <c r="E261" s="419">
        <f>'[46]15明细表 '!X81</f>
        <v>6130</v>
      </c>
      <c r="F261" s="422">
        <f>'[46]16明细表'!X81</f>
        <v>9600</v>
      </c>
      <c r="G261" s="422">
        <f>'[46]17明细表'!X81</f>
        <v>9300</v>
      </c>
    </row>
    <row r="262" spans="3:7">
      <c r="C262" s="426" t="str">
        <f>'[46]15明细表 '!B82</f>
        <v>照明事业二部（刘泽飚团队）-厚街仓库摊销费用</v>
      </c>
      <c r="D262" s="419">
        <f>'[46]15明细表 '!Z82</f>
        <v>0</v>
      </c>
      <c r="E262" s="419">
        <f>'[46]15明细表 '!X82</f>
        <v>51374.97</v>
      </c>
      <c r="F262" s="422">
        <f>'[46]16明细表'!X82</f>
        <v>68499.96</v>
      </c>
      <c r="G262" s="422">
        <f>'[46]17明细表'!X82</f>
        <v>17125.07</v>
      </c>
    </row>
    <row r="263" spans="3:7">
      <c r="C263" s="426" t="str">
        <f>'[46]15明细表 '!B83</f>
        <v>华东办-交通差旅费</v>
      </c>
      <c r="D263" s="419">
        <f>'[46]15明细表 '!Z83</f>
        <v>0</v>
      </c>
      <c r="E263" s="419">
        <f>'[46]15明细表 '!X83</f>
        <v>45843.5</v>
      </c>
      <c r="F263" s="422">
        <f>'[46]16明细表'!X83</f>
        <v>1990.5</v>
      </c>
      <c r="G263" s="422">
        <f>'[46]17明细表'!X83</f>
        <v>0</v>
      </c>
    </row>
    <row r="264" spans="3:7">
      <c r="C264" s="426" t="str">
        <f>'[46]15明细表 '!B84</f>
        <v>华东办-办公及物料</v>
      </c>
      <c r="D264" s="419">
        <f>'[46]15明细表 '!Z84</f>
        <v>0</v>
      </c>
      <c r="E264" s="419">
        <f>'[46]15明细表 '!X84</f>
        <v>292</v>
      </c>
      <c r="F264" s="422">
        <f>'[46]16明细表'!X84</f>
        <v>0</v>
      </c>
      <c r="G264" s="422">
        <f>'[46]17明细表'!X84</f>
        <v>0</v>
      </c>
    </row>
    <row r="265" spans="3:7">
      <c r="C265" s="426" t="str">
        <f>'[46]15明细表 '!B85</f>
        <v>华东办-工程项目费</v>
      </c>
      <c r="D265" s="419">
        <f>'[46]15明细表 '!Z85</f>
        <v>0</v>
      </c>
      <c r="E265" s="419">
        <f>'[46]15明细表 '!X85</f>
        <v>0</v>
      </c>
      <c r="F265" s="422">
        <f>'[46]16明细表'!X85</f>
        <v>0</v>
      </c>
      <c r="G265" s="422">
        <f>'[46]17明细表'!X85</f>
        <v>0</v>
      </c>
    </row>
    <row r="266" spans="3:7">
      <c r="C266" s="426" t="str">
        <f>'[46]15明细表 '!B86</f>
        <v>华东办-房租物管费</v>
      </c>
      <c r="D266" s="419">
        <f>'[46]15明细表 '!Z86</f>
        <v>0</v>
      </c>
      <c r="E266" s="419">
        <f>'[46]15明细表 '!X86</f>
        <v>0</v>
      </c>
      <c r="F266" s="422">
        <f>'[46]16明细表'!X86</f>
        <v>0</v>
      </c>
      <c r="G266" s="422">
        <f>'[46]17明细表'!X86</f>
        <v>0</v>
      </c>
    </row>
    <row r="267" spans="3:7">
      <c r="C267" s="426" t="str">
        <f>'[46]15明细表 '!B87</f>
        <v>华东办-工资及福利</v>
      </c>
      <c r="D267" s="419">
        <f>'[46]15明细表 '!Z87</f>
        <v>0</v>
      </c>
      <c r="E267" s="419">
        <f>'[46]15明细表 '!X87</f>
        <v>110500</v>
      </c>
      <c r="F267" s="422">
        <f>'[46]16明细表'!X87</f>
        <v>13000</v>
      </c>
      <c r="G267" s="422">
        <f>'[46]17明细表'!X87</f>
        <v>0</v>
      </c>
    </row>
    <row r="268" spans="3:7">
      <c r="C268" s="426" t="str">
        <f>'[46]15明细表 '!B88</f>
        <v>华东办-投标费用</v>
      </c>
      <c r="D268" s="419">
        <f>'[46]15明细表 '!Z88</f>
        <v>0</v>
      </c>
      <c r="E268" s="419">
        <f>'[46]15明细表 '!X88</f>
        <v>0</v>
      </c>
      <c r="F268" s="422">
        <f>'[46]16明细表'!X88</f>
        <v>0</v>
      </c>
      <c r="G268" s="422">
        <f>'[46]17明细表'!X88</f>
        <v>0</v>
      </c>
    </row>
    <row r="269" spans="3:7">
      <c r="C269" s="426" t="str">
        <f>'[46]15明细表 '!B89</f>
        <v>华东办-业务招待费</v>
      </c>
      <c r="D269" s="419">
        <f>'[46]15明细表 '!Z89</f>
        <v>0</v>
      </c>
      <c r="E269" s="419">
        <f>'[46]15明细表 '!X89</f>
        <v>24581</v>
      </c>
      <c r="F269" s="422">
        <f>'[46]16明细表'!X89</f>
        <v>0</v>
      </c>
      <c r="G269" s="422">
        <f>'[46]17明细表'!X89</f>
        <v>0</v>
      </c>
    </row>
    <row r="270" spans="3:7">
      <c r="C270" s="426" t="str">
        <f>'[46]15明细表 '!B90</f>
        <v>华东办-汽车费用</v>
      </c>
      <c r="D270" s="419">
        <f>'[46]15明细表 '!Z90</f>
        <v>0</v>
      </c>
      <c r="E270" s="419">
        <f>'[46]15明细表 '!X90</f>
        <v>0</v>
      </c>
      <c r="F270" s="422">
        <f>'[46]16明细表'!X90</f>
        <v>1930</v>
      </c>
      <c r="G270" s="422">
        <f>'[46]17明细表'!X90</f>
        <v>0</v>
      </c>
    </row>
    <row r="271" spans="3:7">
      <c r="C271" s="426" t="str">
        <f>'[46]15明细表 '!B91</f>
        <v>变压器/三联供事业部-差旅交通费</v>
      </c>
      <c r="D271" s="419">
        <f>'[46]15明细表 '!Z91</f>
        <v>0</v>
      </c>
      <c r="E271" s="419">
        <f>'[46]15明细表 '!X91</f>
        <v>0</v>
      </c>
      <c r="F271" s="422">
        <f>'[46]16明细表'!X91</f>
        <v>0</v>
      </c>
      <c r="G271" s="422">
        <f>'[46]17明细表'!X91</f>
        <v>0</v>
      </c>
    </row>
    <row r="272" spans="3:7">
      <c r="C272" s="426" t="str">
        <f>'[46]15明细表 '!B92</f>
        <v>变压器/三联供事业部-办公物料用品</v>
      </c>
      <c r="D272" s="419">
        <f>'[46]15明细表 '!Z92</f>
        <v>0</v>
      </c>
      <c r="E272" s="419">
        <f>'[46]15明细表 '!X92</f>
        <v>0</v>
      </c>
      <c r="F272" s="422">
        <f>'[46]16明细表'!X92</f>
        <v>0</v>
      </c>
      <c r="G272" s="422">
        <f>'[46]17明细表'!X92</f>
        <v>0</v>
      </c>
    </row>
    <row r="273" spans="3:7">
      <c r="C273" s="426" t="str">
        <f>'[46]15明细表 '!B93</f>
        <v>变压器/三联供事业部-工程项目费</v>
      </c>
      <c r="D273" s="419">
        <f>'[46]15明细表 '!Z93</f>
        <v>0</v>
      </c>
      <c r="E273" s="419">
        <f>'[46]15明细表 '!X93</f>
        <v>0</v>
      </c>
      <c r="F273" s="422">
        <f>'[46]16明细表'!X93</f>
        <v>0</v>
      </c>
      <c r="G273" s="422">
        <f>'[46]17明细表'!X93</f>
        <v>0</v>
      </c>
    </row>
    <row r="274" spans="3:7">
      <c r="C274" s="426" t="str">
        <f>'[46]15明细表 '!B94</f>
        <v>变压器/三联供事业部-房租物管水电</v>
      </c>
      <c r="D274" s="419">
        <f>'[46]15明细表 '!Z94</f>
        <v>0</v>
      </c>
      <c r="E274" s="419">
        <f>'[46]15明细表 '!X94</f>
        <v>0</v>
      </c>
      <c r="F274" s="422">
        <f>'[46]16明细表'!X94</f>
        <v>0</v>
      </c>
      <c r="G274" s="422">
        <f>'[46]17明细表'!X94</f>
        <v>0</v>
      </c>
    </row>
    <row r="275" spans="3:7">
      <c r="C275" s="426" t="str">
        <f>'[46]15明细表 '!B95</f>
        <v>变压器/三联供事业部-工资及福利</v>
      </c>
      <c r="D275" s="419">
        <f>'[46]15明细表 '!Z95</f>
        <v>0</v>
      </c>
      <c r="E275" s="419">
        <f>'[46]15明细表 '!X95</f>
        <v>0</v>
      </c>
      <c r="F275" s="422">
        <f>'[46]16明细表'!X95</f>
        <v>0</v>
      </c>
      <c r="G275" s="422">
        <f>'[46]17明细表'!X95</f>
        <v>0</v>
      </c>
    </row>
    <row r="276" spans="3:7">
      <c r="C276" s="426" t="str">
        <f>'[46]15明细表 '!B96</f>
        <v>变压器/三联供事业部-投标费用</v>
      </c>
      <c r="D276" s="419">
        <f>'[46]15明细表 '!Z96</f>
        <v>0</v>
      </c>
      <c r="E276" s="419">
        <f>'[46]15明细表 '!X96</f>
        <v>0</v>
      </c>
      <c r="F276" s="422">
        <f>'[46]16明细表'!X96</f>
        <v>0</v>
      </c>
      <c r="G276" s="422">
        <f>'[46]17明细表'!X96</f>
        <v>0</v>
      </c>
    </row>
    <row r="277" spans="3:7">
      <c r="C277" s="426" t="str">
        <f>'[46]15明细表 '!B97</f>
        <v>变压器/三联供事业部-业务招待费</v>
      </c>
      <c r="D277" s="419">
        <f>'[46]15明细表 '!Z97</f>
        <v>0</v>
      </c>
      <c r="E277" s="419">
        <f>'[46]15明细表 '!X97</f>
        <v>0</v>
      </c>
      <c r="F277" s="422">
        <f>'[46]16明细表'!X97</f>
        <v>0</v>
      </c>
      <c r="G277" s="422">
        <f>'[46]17明细表'!X97</f>
        <v>0</v>
      </c>
    </row>
    <row r="278" spans="3:7">
      <c r="C278" s="426" t="str">
        <f>'[46]15明细表 '!B98</f>
        <v>变压器/三联供事业部-汽车费用</v>
      </c>
      <c r="D278" s="419">
        <f>'[46]15明细表 '!Z98</f>
        <v>0</v>
      </c>
      <c r="E278" s="419">
        <f>'[46]15明细表 '!X98</f>
        <v>0</v>
      </c>
      <c r="F278" s="422">
        <f>'[46]16明细表'!X98</f>
        <v>0</v>
      </c>
      <c r="G278" s="422">
        <f>'[46]17明细表'!X98</f>
        <v>0</v>
      </c>
    </row>
    <row r="279" spans="3:7">
      <c r="C279" s="426" t="str">
        <f>'[46]15明细表 '!B99</f>
        <v>太阳能光伏事业部-差旅交通费</v>
      </c>
      <c r="D279" s="419">
        <f>'[46]15明细表 '!Z99</f>
        <v>0</v>
      </c>
      <c r="E279" s="419">
        <f>'[46]15明细表 '!X99</f>
        <v>0</v>
      </c>
      <c r="F279" s="422">
        <f>'[46]16明细表'!X99</f>
        <v>0</v>
      </c>
      <c r="G279" s="422">
        <f>'[46]17明细表'!X99</f>
        <v>0</v>
      </c>
    </row>
    <row r="280" spans="3:7">
      <c r="C280" s="426" t="str">
        <f>'[46]15明细表 '!B100</f>
        <v>太阳能光伏事业部-办公物料费</v>
      </c>
      <c r="D280" s="419">
        <f>'[46]15明细表 '!Z100</f>
        <v>0</v>
      </c>
      <c r="E280" s="419">
        <f>'[46]15明细表 '!X100</f>
        <v>0</v>
      </c>
      <c r="F280" s="422">
        <f>'[46]16明细表'!X100</f>
        <v>0</v>
      </c>
      <c r="G280" s="422">
        <f>'[46]17明细表'!X100</f>
        <v>0</v>
      </c>
    </row>
    <row r="281" spans="3:7">
      <c r="C281" s="426" t="str">
        <f>'[46]15明细表 '!B101</f>
        <v>太阳能光伏事业部-工程项目费</v>
      </c>
      <c r="D281" s="419">
        <f>'[46]15明细表 '!Z101</f>
        <v>0</v>
      </c>
      <c r="E281" s="419">
        <f>'[46]15明细表 '!X101</f>
        <v>0</v>
      </c>
      <c r="F281" s="422">
        <f>'[46]16明细表'!X101</f>
        <v>0</v>
      </c>
      <c r="G281" s="422">
        <f>'[46]17明细表'!X101</f>
        <v>0</v>
      </c>
    </row>
    <row r="282" spans="3:7">
      <c r="C282" s="426" t="str">
        <f>'[46]15明细表 '!B102</f>
        <v>太阳能光伏事业部-房租物管费</v>
      </c>
      <c r="D282" s="419">
        <f>'[46]15明细表 '!Z102</f>
        <v>0</v>
      </c>
      <c r="E282" s="419">
        <f>'[46]15明细表 '!X102</f>
        <v>0</v>
      </c>
      <c r="F282" s="422">
        <f>'[46]16明细表'!X102</f>
        <v>0</v>
      </c>
      <c r="G282" s="422">
        <f>'[46]17明细表'!X102</f>
        <v>0</v>
      </c>
    </row>
    <row r="283" spans="3:7">
      <c r="C283" s="426" t="str">
        <f>'[46]15明细表 '!B103</f>
        <v>太阳能光伏事业部-工资及福利</v>
      </c>
      <c r="D283" s="419">
        <f>'[46]15明细表 '!Z103</f>
        <v>0</v>
      </c>
      <c r="E283" s="419">
        <f>'[46]15明细表 '!X103</f>
        <v>0</v>
      </c>
      <c r="F283" s="422">
        <f>'[46]16明细表'!X103</f>
        <v>0</v>
      </c>
      <c r="G283" s="422">
        <f>'[46]17明细表'!X103</f>
        <v>0</v>
      </c>
    </row>
    <row r="284" spans="3:7">
      <c r="C284" s="426" t="str">
        <f>'[46]15明细表 '!B104</f>
        <v>太阳能光伏事业部-业务招待费</v>
      </c>
      <c r="D284" s="419">
        <f>'[46]15明细表 '!Z104</f>
        <v>0</v>
      </c>
      <c r="E284" s="419">
        <f>'[46]15明细表 '!X104</f>
        <v>0</v>
      </c>
      <c r="F284" s="422">
        <f>'[46]16明细表'!X104</f>
        <v>0</v>
      </c>
      <c r="G284" s="422">
        <f>'[46]17明细表'!X104</f>
        <v>0</v>
      </c>
    </row>
    <row r="285" spans="3:7">
      <c r="C285" s="426" t="str">
        <f>'[46]15明细表 '!B105</f>
        <v>太阳能光伏事业部-汽车费用</v>
      </c>
      <c r="D285" s="419">
        <f>'[46]15明细表 '!Z105</f>
        <v>0</v>
      </c>
      <c r="E285" s="419">
        <f>'[46]15明细表 '!X105</f>
        <v>0</v>
      </c>
      <c r="F285" s="422">
        <f>'[46]16明细表'!X105</f>
        <v>0</v>
      </c>
      <c r="G285" s="422">
        <f>'[46]17明细表'!X105</f>
        <v>0</v>
      </c>
    </row>
    <row r="286" spans="3:7">
      <c r="C286" s="426" t="str">
        <f>'[46]15明细表 '!B106</f>
        <v>照明事业一部（史元新团队）-交通差旅费</v>
      </c>
      <c r="D286" s="419">
        <f>'[46]15明细表 '!Z106</f>
        <v>0</v>
      </c>
      <c r="E286" s="419">
        <f>'[46]15明细表 '!X106</f>
        <v>3168.5</v>
      </c>
      <c r="F286" s="422">
        <f>'[46]16明细表'!X106</f>
        <v>592307.17</v>
      </c>
      <c r="G286" s="422">
        <f>'[46]17明细表'!X106</f>
        <v>475332.57</v>
      </c>
    </row>
    <row r="287" spans="3:7">
      <c r="C287" s="426" t="str">
        <f>'[46]15明细表 '!B107</f>
        <v>照明事业一部（史元新团队）-办公及物料</v>
      </c>
      <c r="D287" s="419">
        <f>'[46]15明细表 '!Z107</f>
        <v>0</v>
      </c>
      <c r="E287" s="419">
        <f>'[46]15明细表 '!X107</f>
        <v>0</v>
      </c>
      <c r="F287" s="422">
        <f>'[46]16明细表'!X107</f>
        <v>17824.66</v>
      </c>
      <c r="G287" s="422">
        <f>'[46]17明细表'!X107</f>
        <v>25100.8</v>
      </c>
    </row>
    <row r="288" spans="3:7">
      <c r="C288" s="426" t="str">
        <f>'[46]15明细表 '!B108</f>
        <v>照明事业一部（史元新团队）-工程项目费</v>
      </c>
      <c r="D288" s="419">
        <f>'[46]15明细表 '!Z108</f>
        <v>0</v>
      </c>
      <c r="E288" s="419">
        <f>'[46]15明细表 '!X108</f>
        <v>0</v>
      </c>
      <c r="F288" s="422">
        <f>'[46]16明细表'!X108</f>
        <v>0</v>
      </c>
      <c r="G288" s="422">
        <f>'[46]17明细表'!X108</f>
        <v>0</v>
      </c>
    </row>
    <row r="289" spans="3:7">
      <c r="C289" s="426" t="str">
        <f>'[46]15明细表 '!B109</f>
        <v>照明事业一部（史元新团队）-房租物管费</v>
      </c>
      <c r="D289" s="419">
        <f>'[46]15明细表 '!Z109</f>
        <v>0</v>
      </c>
      <c r="E289" s="419">
        <f>'[46]15明细表 '!X109</f>
        <v>0</v>
      </c>
      <c r="F289" s="422">
        <f>'[46]16明细表'!X109</f>
        <v>0</v>
      </c>
      <c r="G289" s="422">
        <f>'[46]17明细表'!X109</f>
        <v>59142.86</v>
      </c>
    </row>
    <row r="290" spans="3:7">
      <c r="C290" s="426" t="str">
        <f>'[46]15明细表 '!B110</f>
        <v>照明事业一部（史元新团队）-工资及福利</v>
      </c>
      <c r="D290" s="419">
        <f>'[46]15明细表 '!Z110</f>
        <v>0</v>
      </c>
      <c r="E290" s="419">
        <f>'[46]15明细表 '!X110</f>
        <v>2000</v>
      </c>
      <c r="F290" s="422">
        <f>'[46]16明细表'!X110</f>
        <v>2841529.62</v>
      </c>
      <c r="G290" s="422">
        <f>'[46]17明细表'!X110</f>
        <v>1327991.13</v>
      </c>
    </row>
    <row r="291" spans="3:7">
      <c r="C291" s="426" t="str">
        <f>'[46]15明细表 '!B111</f>
        <v>照明事业一部（史元新团队）-投标费用</v>
      </c>
      <c r="D291" s="419">
        <f>'[46]15明细表 '!Z111</f>
        <v>0</v>
      </c>
      <c r="E291" s="419">
        <f>'[46]15明细表 '!X111</f>
        <v>0</v>
      </c>
      <c r="F291" s="422">
        <f>'[46]16明细表'!X111</f>
        <v>0</v>
      </c>
      <c r="G291" s="422">
        <f>'[46]17明细表'!X111</f>
        <v>500</v>
      </c>
    </row>
    <row r="292" spans="3:7">
      <c r="C292" s="426" t="str">
        <f>'[46]15明细表 '!B112</f>
        <v>照明事业一部（史元新团队）-咨询服务费</v>
      </c>
      <c r="D292" s="419">
        <f>'[46]15明细表 '!Z112</f>
        <v>0</v>
      </c>
      <c r="E292" s="419">
        <f>'[46]15明细表 '!X112</f>
        <v>0</v>
      </c>
      <c r="F292" s="422">
        <f>'[46]16明细表'!X112</f>
        <v>0</v>
      </c>
      <c r="G292" s="422">
        <f>'[46]17明细表'!X112</f>
        <v>0</v>
      </c>
    </row>
    <row r="293" spans="3:7">
      <c r="C293" s="426" t="str">
        <f>'[46]15明细表 '!B113</f>
        <v>照明事业一部（史元新团队）-业务招待费</v>
      </c>
      <c r="D293" s="419">
        <f>'[46]15明细表 '!Z113</f>
        <v>0</v>
      </c>
      <c r="E293" s="419">
        <f>'[46]15明细表 '!X113</f>
        <v>11308</v>
      </c>
      <c r="F293" s="422">
        <f>'[46]16明细表'!X113</f>
        <v>315937.5</v>
      </c>
      <c r="G293" s="422">
        <f>'[46]17明细表'!X113</f>
        <v>582631.12</v>
      </c>
    </row>
    <row r="294" spans="3:7">
      <c r="C294" s="426" t="str">
        <f>'[46]15明细表 '!B114</f>
        <v>照明事业一部（史元新团队）-汽车费用</v>
      </c>
      <c r="D294" s="419">
        <f>'[46]15明细表 '!Z114</f>
        <v>0</v>
      </c>
      <c r="E294" s="419">
        <f>'[46]15明细表 '!X114</f>
        <v>0</v>
      </c>
      <c r="F294" s="422">
        <f>'[46]16明细表'!X114</f>
        <v>39514.47</v>
      </c>
      <c r="G294" s="422">
        <f>'[46]17明细表'!X114</f>
        <v>31454.75</v>
      </c>
    </row>
    <row r="295" spans="3:7">
      <c r="C295" s="426" t="str">
        <f>'[46]15明细表 '!B115</f>
        <v>照明事业一部（史元新团队）-社会保险金</v>
      </c>
      <c r="D295" s="419">
        <f>'[46]15明细表 '!Z115</f>
        <v>0</v>
      </c>
      <c r="E295" s="419">
        <f>'[46]15明细表 '!X115</f>
        <v>0</v>
      </c>
      <c r="F295" s="422">
        <f>'[46]16明细表'!X115</f>
        <v>59421.69</v>
      </c>
      <c r="G295" s="422">
        <f>'[46]17明细表'!X115</f>
        <v>112739.36</v>
      </c>
    </row>
    <row r="296" spans="3:7">
      <c r="C296" s="426" t="str">
        <f>'[46]15明细表 '!B116</f>
        <v>照明事业一部（史元新团队）-住房公积金</v>
      </c>
      <c r="D296" s="419">
        <f>'[46]15明细表 '!Z116</f>
        <v>0</v>
      </c>
      <c r="E296" s="419">
        <f>'[46]15明细表 '!X116</f>
        <v>0</v>
      </c>
      <c r="F296" s="422">
        <f>'[46]16明细表'!X116</f>
        <v>8350</v>
      </c>
      <c r="G296" s="422">
        <f>'[46]17明细表'!X116</f>
        <v>18100</v>
      </c>
    </row>
    <row r="297" spans="3:7">
      <c r="C297" s="426" t="str">
        <f>'[46]15明细表 '!B117</f>
        <v>照明事业一部（史元新团队）-广告宣传费</v>
      </c>
      <c r="D297" s="419">
        <f>'[46]15明细表 '!Z117</f>
        <v>0</v>
      </c>
      <c r="E297" s="419">
        <f>'[46]15明细表 '!X117</f>
        <v>0</v>
      </c>
      <c r="F297" s="422">
        <f>'[46]16明细表'!X117</f>
        <v>0</v>
      </c>
      <c r="G297" s="422">
        <f>'[46]17明细表'!X117</f>
        <v>154452.83</v>
      </c>
    </row>
    <row r="298" spans="3:7">
      <c r="C298" s="426" t="str">
        <f>'[46]15明细表 '!B118</f>
        <v>综合节能事业部-交通差旅费</v>
      </c>
      <c r="D298" s="419">
        <f>'[46]15明细表 '!Z118</f>
        <v>0</v>
      </c>
      <c r="E298" s="419">
        <f>'[46]15明细表 '!X118</f>
        <v>0</v>
      </c>
      <c r="F298" s="422">
        <f>'[46]16明细表'!X118</f>
        <v>256876.55</v>
      </c>
      <c r="G298" s="422">
        <f>'[46]17明细表'!X118</f>
        <v>117456.06</v>
      </c>
    </row>
    <row r="299" spans="3:7">
      <c r="C299" s="426" t="str">
        <f>'[46]15明细表 '!B119</f>
        <v>综合节能事业部-办公及物料</v>
      </c>
      <c r="D299" s="419">
        <f>'[46]15明细表 '!Z119</f>
        <v>0</v>
      </c>
      <c r="E299" s="419">
        <f>'[46]15明细表 '!X119</f>
        <v>0</v>
      </c>
      <c r="F299" s="422">
        <f>'[46]16明细表'!X119</f>
        <v>14288</v>
      </c>
      <c r="G299" s="422">
        <f>'[46]17明细表'!X119</f>
        <v>2532.52</v>
      </c>
    </row>
    <row r="300" spans="3:7">
      <c r="C300" s="426" t="str">
        <f>'[46]15明细表 '!B120</f>
        <v>综合节能事业部-工程项目费</v>
      </c>
      <c r="D300" s="419">
        <f>'[46]15明细表 '!Z120</f>
        <v>0</v>
      </c>
      <c r="E300" s="419">
        <f>'[46]15明细表 '!X120</f>
        <v>0</v>
      </c>
      <c r="F300" s="422">
        <f>'[46]16明细表'!X120</f>
        <v>0</v>
      </c>
      <c r="G300" s="422">
        <f>'[46]17明细表'!X120</f>
        <v>0</v>
      </c>
    </row>
    <row r="301" spans="3:7">
      <c r="C301" s="426" t="str">
        <f>'[46]15明细表 '!B121</f>
        <v>综合节能事业部-房租及物管费</v>
      </c>
      <c r="D301" s="419">
        <f>'[46]15明细表 '!Z121</f>
        <v>0</v>
      </c>
      <c r="E301" s="419">
        <f>'[46]15明细表 '!X121</f>
        <v>0</v>
      </c>
      <c r="F301" s="422">
        <f>'[46]16明细表'!X121</f>
        <v>2300</v>
      </c>
      <c r="G301" s="422">
        <f>'[46]17明细表'!X121</f>
        <v>29400</v>
      </c>
    </row>
    <row r="302" spans="3:7">
      <c r="C302" s="426" t="str">
        <f>'[46]15明细表 '!B124</f>
        <v>综合节能事业部-工资及福利</v>
      </c>
      <c r="D302" s="419">
        <f>'[46]15明细表 '!Z122</f>
        <v>0</v>
      </c>
      <c r="E302" s="419">
        <f>'[46]15明细表 '!X124</f>
        <v>13100</v>
      </c>
      <c r="F302" s="422">
        <f>'[46]16明细表'!X122</f>
        <v>637049.43</v>
      </c>
      <c r="G302" s="422">
        <f>'[46]17明细表'!X122</f>
        <v>401070.69</v>
      </c>
    </row>
    <row r="303" spans="3:7">
      <c r="C303" s="426" t="str">
        <f>'[46]15明细表 '!B125</f>
        <v>综合节能事业部-业务招待费</v>
      </c>
      <c r="E303" s="419">
        <f>'[46]15明细表 '!X125</f>
        <v>0</v>
      </c>
      <c r="F303" s="422">
        <f>'[46]16明细表'!X123</f>
        <v>31733.66</v>
      </c>
      <c r="G303" s="422">
        <f>'[46]17明细表'!X123</f>
        <v>23051.26</v>
      </c>
    </row>
    <row r="304" spans="3:7">
      <c r="C304" s="426" t="str">
        <f>'[46]15明细表 '!B126</f>
        <v>综合节能事业部-汽车费用</v>
      </c>
      <c r="D304" s="419">
        <f>'[46]15明细表 '!Z124</f>
        <v>0</v>
      </c>
      <c r="E304" s="419">
        <f>'[46]15明细表 '!X126</f>
        <v>0</v>
      </c>
      <c r="F304" s="422">
        <f>'[46]16明细表'!X124</f>
        <v>1721</v>
      </c>
      <c r="G304" s="422">
        <f>'[46]17明细表'!X124</f>
        <v>100</v>
      </c>
    </row>
    <row r="305" spans="3:7">
      <c r="C305" s="426" t="str">
        <f>'[46]15明细表 '!B127</f>
        <v>综合节能事业部-社会保险金</v>
      </c>
      <c r="D305" s="419">
        <f>'[46]15明细表 '!Z125</f>
        <v>0</v>
      </c>
      <c r="E305" s="419">
        <f>'[46]15明细表 '!X127</f>
        <v>0</v>
      </c>
      <c r="F305" s="422">
        <f>'[46]16明细表'!X125</f>
        <v>17893.84</v>
      </c>
      <c r="G305" s="422">
        <f>'[46]17明细表'!X125</f>
        <v>25310.14</v>
      </c>
    </row>
    <row r="306" spans="3:7">
      <c r="C306" s="426" t="str">
        <f>'[46]15明细表 '!B128</f>
        <v>综合节能事业部-住房公积金</v>
      </c>
      <c r="D306" s="419">
        <f>'[46]15明细表 '!Z126</f>
        <v>0</v>
      </c>
      <c r="E306" s="419">
        <f>'[46]15明细表 '!X128</f>
        <v>0</v>
      </c>
      <c r="F306" s="422">
        <f>'[46]16明细表'!X126</f>
        <v>3500</v>
      </c>
      <c r="G306" s="422">
        <f>'[46]17明细表'!X126</f>
        <v>1950</v>
      </c>
    </row>
    <row r="307" spans="3:7">
      <c r="C307" s="426" t="str">
        <f>'[46]15明细表 '!B129</f>
        <v>国际业务部-交通差旅费</v>
      </c>
      <c r="D307" s="419">
        <f>'[46]15明细表 '!Z127</f>
        <v>0</v>
      </c>
      <c r="E307" s="419">
        <f>'[46]15明细表 '!X129</f>
        <v>0</v>
      </c>
      <c r="F307" s="422">
        <f>'[46]16明细表'!X127</f>
        <v>88283.25</v>
      </c>
      <c r="G307" s="422">
        <f>'[46]17明细表'!X127</f>
        <v>300795.4</v>
      </c>
    </row>
    <row r="308" spans="3:7">
      <c r="C308" s="426" t="str">
        <f>'[46]15明细表 '!B130</f>
        <v>国际业务部-办公及物料</v>
      </c>
      <c r="D308" s="419">
        <f>'[46]15明细表 '!Z128</f>
        <v>0</v>
      </c>
      <c r="E308" s="419">
        <f>'[46]15明细表 '!X130</f>
        <v>0</v>
      </c>
      <c r="F308" s="422">
        <f>'[46]16明细表'!X128</f>
        <v>26205.58</v>
      </c>
      <c r="G308" s="422">
        <f>'[46]17明细表'!X128</f>
        <v>46606.25</v>
      </c>
    </row>
    <row r="309" spans="3:7">
      <c r="C309" s="426" t="str">
        <f>'[46]15明细表 '!B131</f>
        <v>国际业务部-工程项目费</v>
      </c>
      <c r="D309" s="419">
        <f>'[46]15明细表 '!Z129</f>
        <v>0</v>
      </c>
      <c r="E309" s="419">
        <f>'[46]15明细表 '!X131</f>
        <v>0</v>
      </c>
      <c r="F309" s="422">
        <f>'[46]16明细表'!X129</f>
        <v>0</v>
      </c>
      <c r="G309" s="422">
        <f>'[46]17明细表'!X129</f>
        <v>0</v>
      </c>
    </row>
    <row r="310" spans="3:7">
      <c r="C310" s="426" t="str">
        <f>'[46]15明细表 '!B132</f>
        <v>国际业务部-房租物管费</v>
      </c>
      <c r="D310" s="419">
        <f>'[46]15明细表 '!Z130</f>
        <v>0</v>
      </c>
      <c r="E310" s="419">
        <f>'[46]15明细表 '!X132</f>
        <v>0</v>
      </c>
      <c r="F310" s="422">
        <f>'[46]16明细表'!X130</f>
        <v>0</v>
      </c>
      <c r="G310" s="422">
        <f>'[46]17明细表'!X130</f>
        <v>18161.36</v>
      </c>
    </row>
    <row r="311" spans="3:7">
      <c r="C311" s="426" t="str">
        <f>'[46]15明细表 '!B133</f>
        <v>国际业务部-工资及福利</v>
      </c>
      <c r="D311" s="419">
        <f>'[46]15明细表 '!Z131</f>
        <v>0</v>
      </c>
      <c r="E311" s="419">
        <f>'[46]15明细表 '!X133</f>
        <v>0</v>
      </c>
      <c r="F311" s="422">
        <f>'[46]16明细表'!X131</f>
        <v>227085.01</v>
      </c>
      <c r="G311" s="422">
        <f>'[46]17明细表'!X131</f>
        <v>640617.24</v>
      </c>
    </row>
    <row r="312" spans="3:7">
      <c r="C312" s="426" t="str">
        <f>'[46]15明细表 '!B134</f>
        <v>国际业务部-业务招待费</v>
      </c>
      <c r="D312" s="419">
        <f>'[46]15明细表 '!Z132</f>
        <v>0</v>
      </c>
      <c r="E312" s="419">
        <f>'[46]15明细表 '!X134</f>
        <v>0</v>
      </c>
      <c r="F312" s="422">
        <f>'[46]16明细表'!X132</f>
        <v>32024.81</v>
      </c>
      <c r="G312" s="422">
        <f>'[46]17明细表'!X132</f>
        <v>265435.02</v>
      </c>
    </row>
    <row r="313" spans="3:7">
      <c r="C313" s="426" t="str">
        <f>'[46]15明细表 '!B135</f>
        <v>国际业务部-汽车费用</v>
      </c>
      <c r="D313" s="419">
        <f>'[46]15明细表 '!Z133</f>
        <v>0</v>
      </c>
      <c r="E313" s="419">
        <f>'[46]15明细表 '!X135</f>
        <v>0</v>
      </c>
      <c r="F313" s="422">
        <f>'[46]16明细表'!X133</f>
        <v>9089.76</v>
      </c>
      <c r="G313" s="422">
        <f>'[46]17明细表'!X133</f>
        <v>31188.66</v>
      </c>
    </row>
    <row r="314" spans="3:7">
      <c r="C314" s="426" t="str">
        <f>'[46]15明细表 '!B136</f>
        <v>国际业务部-邮运费</v>
      </c>
      <c r="D314" s="419">
        <f>'[46]15明细表 '!Z134</f>
        <v>0</v>
      </c>
      <c r="E314" s="419">
        <f>'[46]15明细表 '!X136</f>
        <v>0</v>
      </c>
      <c r="F314" s="422">
        <f>'[46]16明细表'!X134</f>
        <v>709</v>
      </c>
      <c r="G314" s="422">
        <f>'[46]17明细表'!X134</f>
        <v>2207</v>
      </c>
    </row>
    <row r="315" spans="3:7">
      <c r="C315" s="426" t="str">
        <f>'[46]15明细表 '!B137</f>
        <v>国际业务部-展览和广告费</v>
      </c>
      <c r="D315" s="419">
        <f>'[46]15明细表 '!Z135</f>
        <v>0</v>
      </c>
      <c r="E315" s="419">
        <f>'[46]15明细表 '!X137</f>
        <v>0</v>
      </c>
      <c r="F315" s="422">
        <f>'[46]16明细表'!X135</f>
        <v>55970</v>
      </c>
      <c r="G315" s="422">
        <f>'[46]17明细表'!X135</f>
        <v>19350</v>
      </c>
    </row>
    <row r="316" spans="3:7">
      <c r="C316" s="426" t="str">
        <f>'[46]15明细表 '!B138</f>
        <v>国际业务部-社会保险金</v>
      </c>
      <c r="D316" s="419">
        <f>'[46]15明细表 '!Z136</f>
        <v>0</v>
      </c>
      <c r="E316" s="419">
        <f>'[46]15明细表 '!X138</f>
        <v>0</v>
      </c>
      <c r="F316" s="422">
        <f>'[46]16明细表'!X136</f>
        <v>11385.19</v>
      </c>
      <c r="G316" s="422">
        <f>'[46]17明细表'!X136</f>
        <v>53814.09</v>
      </c>
    </row>
    <row r="317" spans="3:7">
      <c r="C317" s="426" t="str">
        <f>'[46]15明细表 '!B139</f>
        <v>国际业务部-住房公积金</v>
      </c>
      <c r="D317" s="419">
        <f>'[46]15明细表 '!Z137</f>
        <v>0</v>
      </c>
      <c r="E317" s="419">
        <f>'[46]15明细表 '!X139</f>
        <v>0</v>
      </c>
      <c r="F317" s="422">
        <f>'[46]16明细表'!X137</f>
        <v>1050</v>
      </c>
      <c r="G317" s="422">
        <f>'[46]17明细表'!X137</f>
        <v>6300</v>
      </c>
    </row>
    <row r="318" spans="3:7">
      <c r="C318" s="426" t="str">
        <f>'[46]15明细表 '!B140</f>
        <v>国际业务部-中介机构费</v>
      </c>
      <c r="D318" s="419">
        <f>'[46]15明细表 '!Z138</f>
        <v>0</v>
      </c>
      <c r="E318" s="419">
        <f>'[46]15明细表 '!X140</f>
        <v>0</v>
      </c>
      <c r="F318" s="422">
        <f>'[46]16明细表'!X138</f>
        <v>0</v>
      </c>
      <c r="G318" s="422">
        <f>'[46]17明细表'!X138</f>
        <v>1081.5</v>
      </c>
    </row>
    <row r="319" spans="3:7">
      <c r="C319" s="426" t="str">
        <f>'[46]15明细表 '!B141</f>
        <v>国际业务部-员工福利费</v>
      </c>
      <c r="D319" s="419">
        <f>'[46]15明细表 '!Z139</f>
        <v>0</v>
      </c>
      <c r="E319" s="419">
        <f>'[46]15明细表 '!X141</f>
        <v>0</v>
      </c>
      <c r="F319" s="422">
        <f>'[46]16明细表'!X139</f>
        <v>0</v>
      </c>
      <c r="G319" s="422">
        <f>'[46]17明细表'!X139</f>
        <v>191.5</v>
      </c>
    </row>
    <row r="320" spans="3:7">
      <c r="C320" s="426" t="str">
        <f>'[46]15明细表 '!B142</f>
        <v>照明四部（李远飞团队）-交通差旅费</v>
      </c>
      <c r="D320" s="419">
        <f>'[46]15明细表 '!Z140</f>
        <v>0</v>
      </c>
      <c r="E320" s="419">
        <f>'[46]15明细表 '!X142</f>
        <v>0</v>
      </c>
      <c r="F320" s="422">
        <f>'[46]16明细表'!X140</f>
        <v>0</v>
      </c>
      <c r="G320" s="422">
        <f>'[46]17明细表'!X140</f>
        <v>143644.36</v>
      </c>
    </row>
    <row r="321" spans="3:7">
      <c r="C321" s="426" t="str">
        <f>'[46]15明细表 '!B143</f>
        <v>照明四部（李远飞团队）-办公及物料</v>
      </c>
      <c r="D321" s="419">
        <f>'[46]15明细表 '!Z141</f>
        <v>0</v>
      </c>
      <c r="E321" s="419">
        <f>'[46]15明细表 '!X143</f>
        <v>0</v>
      </c>
      <c r="F321" s="422">
        <f>'[46]16明细表'!X141</f>
        <v>0</v>
      </c>
      <c r="G321" s="422">
        <f>'[46]17明细表'!X141</f>
        <v>2082</v>
      </c>
    </row>
    <row r="322" spans="3:7">
      <c r="C322" s="426" t="str">
        <f>'[46]15明细表 '!B144</f>
        <v>照明四部（李远飞团队）-工程项目费</v>
      </c>
      <c r="D322" s="419">
        <f>'[46]15明细表 '!Z142</f>
        <v>0</v>
      </c>
      <c r="E322" s="419">
        <f>'[46]15明细表 '!X144</f>
        <v>0</v>
      </c>
      <c r="F322" s="422">
        <f>'[46]16明细表'!X142</f>
        <v>0</v>
      </c>
      <c r="G322" s="422">
        <f>'[46]17明细表'!X142</f>
        <v>0</v>
      </c>
    </row>
    <row r="323" spans="3:7">
      <c r="C323" s="426" t="str">
        <f>'[46]15明细表 '!B145</f>
        <v>照明四部（李远飞团队）-房租及物管费</v>
      </c>
      <c r="D323" s="419">
        <f>'[46]15明细表 '!Z143</f>
        <v>0</v>
      </c>
      <c r="E323" s="419">
        <f>'[46]15明细表 '!X145</f>
        <v>0</v>
      </c>
      <c r="F323" s="422">
        <f>'[46]16明细表'!X143</f>
        <v>0</v>
      </c>
      <c r="G323" s="422">
        <f>'[46]17明细表'!X143</f>
        <v>0</v>
      </c>
    </row>
    <row r="324" spans="3:7">
      <c r="C324" s="426" t="str">
        <f>'[46]15明细表 '!B146</f>
        <v>照明四部（李远飞团队）-工资及福利</v>
      </c>
      <c r="D324" s="419">
        <f>'[46]15明细表 '!Z144</f>
        <v>0</v>
      </c>
      <c r="E324" s="419">
        <f>'[46]15明细表 '!X146</f>
        <v>0</v>
      </c>
      <c r="F324" s="422">
        <f>'[46]16明细表'!X144</f>
        <v>285000</v>
      </c>
      <c r="G324" s="422">
        <f>'[46]17明细表'!X144</f>
        <v>402171.26</v>
      </c>
    </row>
    <row r="325" spans="3:7">
      <c r="C325" s="426" t="str">
        <f>'[46]15明细表 '!B147</f>
        <v>照明四部（李远飞团队）-咨询服务费</v>
      </c>
      <c r="D325" s="419">
        <f>'[46]15明细表 '!Z145</f>
        <v>0</v>
      </c>
      <c r="E325" s="419">
        <f>'[46]15明细表 '!X147</f>
        <v>0</v>
      </c>
      <c r="F325" s="422">
        <f>'[46]16明细表'!X145</f>
        <v>0</v>
      </c>
      <c r="G325" s="422">
        <f>'[46]17明细表'!X145</f>
        <v>0</v>
      </c>
    </row>
    <row r="326" spans="3:7">
      <c r="C326" s="426" t="str">
        <f>'[46]15明细表 '!B148</f>
        <v>照明四部（李远飞团队）-业务招待费</v>
      </c>
      <c r="D326" s="419">
        <f>'[46]15明细表 '!Z146</f>
        <v>0</v>
      </c>
      <c r="E326" s="419">
        <f>'[46]15明细表 '!X148</f>
        <v>0</v>
      </c>
      <c r="F326" s="422">
        <f>'[46]16明细表'!X146</f>
        <v>0</v>
      </c>
      <c r="G326" s="422">
        <f>'[46]17明细表'!X146</f>
        <v>223853.47</v>
      </c>
    </row>
    <row r="327" spans="3:7">
      <c r="C327" s="426" t="str">
        <f>'[46]15明细表 '!B149</f>
        <v>照明四部（李远飞团队）-汽车费用</v>
      </c>
      <c r="D327" s="419">
        <f>'[46]15明细表 '!Z147</f>
        <v>0</v>
      </c>
      <c r="E327" s="419">
        <f>'[46]15明细表 '!X149</f>
        <v>0</v>
      </c>
      <c r="F327" s="422">
        <f>'[46]16明细表'!X147</f>
        <v>0</v>
      </c>
      <c r="G327" s="422">
        <f>'[46]17明细表'!X147</f>
        <v>17251.71</v>
      </c>
    </row>
    <row r="328" spans="3:7">
      <c r="C328" s="426" t="str">
        <f>'[46]15明细表 '!B150</f>
        <v>照明四部（李远飞团队）-社会保险金</v>
      </c>
      <c r="D328" s="419">
        <f>'[46]15明细表 '!Z148</f>
        <v>0</v>
      </c>
      <c r="E328" s="419">
        <f>'[46]15明细表 '!X150</f>
        <v>0</v>
      </c>
      <c r="F328" s="422">
        <f>'[46]16明细表'!X148</f>
        <v>0</v>
      </c>
      <c r="G328" s="422">
        <f>'[46]17明细表'!X148</f>
        <v>52188.86</v>
      </c>
    </row>
    <row r="329" spans="3:7">
      <c r="C329" s="426" t="str">
        <f>'[46]15明细表 '!B151</f>
        <v>照明四部（李远飞团队）-住房公积金</v>
      </c>
      <c r="D329" s="419">
        <f>'[46]15明细表 '!Z149</f>
        <v>0</v>
      </c>
      <c r="E329" s="419">
        <f>'[46]15明细表 '!X151</f>
        <v>0</v>
      </c>
      <c r="F329" s="422">
        <f>'[46]16明细表'!X149</f>
        <v>0</v>
      </c>
      <c r="G329" s="422">
        <f>'[46]17明细表'!X149</f>
        <v>5400</v>
      </c>
    </row>
    <row r="330" spans="3:7">
      <c r="C330" s="426" t="str">
        <f>'[46]15明细表 '!B152</f>
        <v>售电业务部-交通差旅费</v>
      </c>
      <c r="D330" s="419">
        <f>'[46]15明细表 '!Z150</f>
        <v>0</v>
      </c>
      <c r="E330" s="419">
        <f>'[46]15明细表 '!X152</f>
        <v>0</v>
      </c>
      <c r="F330" s="422">
        <f>'[46]16明细表'!X150</f>
        <v>0</v>
      </c>
      <c r="G330" s="422">
        <f>'[46]17明细表'!X150</f>
        <v>9726.18</v>
      </c>
    </row>
    <row r="331" spans="3:7">
      <c r="C331" s="426" t="str">
        <f>'[46]15明细表 '!B153</f>
        <v>售电业务部-办公物料用品</v>
      </c>
      <c r="D331" s="419">
        <f>'[46]15明细表 '!Z151</f>
        <v>0</v>
      </c>
      <c r="E331" s="419">
        <f>'[46]15明细表 '!X153</f>
        <v>0</v>
      </c>
      <c r="F331" s="422">
        <f>'[46]16明细表'!X151</f>
        <v>0</v>
      </c>
      <c r="G331" s="422">
        <f>'[46]17明细表'!X151</f>
        <v>9520</v>
      </c>
    </row>
    <row r="332" spans="3:7">
      <c r="C332" s="426" t="str">
        <f>'[46]15明细表 '!B154</f>
        <v>售电业务部-工资及福利</v>
      </c>
      <c r="D332" s="419">
        <f>'[46]15明细表 '!Z152</f>
        <v>0</v>
      </c>
      <c r="E332" s="419">
        <f>'[46]15明细表 '!X154</f>
        <v>0</v>
      </c>
      <c r="F332" s="422">
        <f>'[46]16明细表'!X152</f>
        <v>0</v>
      </c>
      <c r="G332" s="422">
        <f>'[46]17明细表'!X152</f>
        <v>78581.21</v>
      </c>
    </row>
    <row r="333" spans="3:7">
      <c r="C333" s="426" t="str">
        <f>'[46]15明细表 '!B155</f>
        <v>售电业务部-招标费用</v>
      </c>
      <c r="D333" s="419">
        <f>'[46]15明细表 '!Z153</f>
        <v>0</v>
      </c>
      <c r="E333" s="419">
        <f>'[46]15明细表 '!X155</f>
        <v>0</v>
      </c>
      <c r="F333" s="422">
        <f>'[46]16明细表'!X153</f>
        <v>0</v>
      </c>
      <c r="G333" s="422">
        <f>'[46]17明细表'!X153</f>
        <v>0</v>
      </c>
    </row>
    <row r="334" spans="3:7">
      <c r="C334" s="426" t="str">
        <f>'[46]15明细表 '!B156</f>
        <v>售电业务部-业务招待费</v>
      </c>
      <c r="D334" s="419">
        <f>'[46]15明细表 '!Z154</f>
        <v>0</v>
      </c>
      <c r="E334" s="419">
        <f>'[46]15明细表 '!X156</f>
        <v>0</v>
      </c>
      <c r="F334" s="422">
        <f>'[46]16明细表'!X154</f>
        <v>0</v>
      </c>
      <c r="G334" s="422">
        <f>'[46]17明细表'!X154</f>
        <v>18368</v>
      </c>
    </row>
    <row r="335" spans="3:7">
      <c r="C335" s="426" t="str">
        <f>'[46]15明细表 '!B157</f>
        <v>售电业务部-汽车费用</v>
      </c>
      <c r="D335" s="419">
        <f>'[46]15明细表 '!Z155</f>
        <v>0</v>
      </c>
      <c r="E335" s="419">
        <f>'[46]15明细表 '!X157</f>
        <v>0</v>
      </c>
      <c r="F335" s="422">
        <f>'[46]16明细表'!X155</f>
        <v>0</v>
      </c>
      <c r="G335" s="422">
        <f>'[46]17明细表'!X155</f>
        <v>300</v>
      </c>
    </row>
    <row r="336" spans="3:7">
      <c r="C336" s="426" t="str">
        <f>'[46]15明细表 '!B158</f>
        <v>售电业务部-社会保险费</v>
      </c>
      <c r="D336" s="419">
        <f>'[46]15明细表 '!Z156</f>
        <v>0</v>
      </c>
      <c r="E336" s="419">
        <f>'[46]15明细表 '!X158</f>
        <v>0</v>
      </c>
      <c r="F336" s="422">
        <f>'[46]16明细表'!X156</f>
        <v>0</v>
      </c>
      <c r="G336" s="422">
        <f>'[46]17明细表'!X156</f>
        <v>10374.12</v>
      </c>
    </row>
    <row r="337" spans="3:7">
      <c r="C337" s="426" t="str">
        <f>'[46]15明细表 '!B159</f>
        <v>售电业务部-住房公积金</v>
      </c>
      <c r="D337" s="419">
        <f>'[46]15明细表 '!Z157</f>
        <v>0</v>
      </c>
      <c r="E337" s="419">
        <f>'[46]15明细表 '!X159</f>
        <v>0</v>
      </c>
      <c r="F337" s="422">
        <f>'[46]16明细表'!X157</f>
        <v>0</v>
      </c>
      <c r="G337" s="422">
        <f>'[46]17明细表'!X157</f>
        <v>1900</v>
      </c>
    </row>
    <row r="338" spans="3:7">
      <c r="C338" s="426" t="str">
        <f>'[46]15明细表 '!B160</f>
        <v>综合节能事业二部-交通差旅费</v>
      </c>
      <c r="D338" s="419">
        <f>'[46]15明细表 '!Z158</f>
        <v>0</v>
      </c>
      <c r="E338" s="419">
        <f>'[46]15明细表 '!X160</f>
        <v>0</v>
      </c>
      <c r="F338" s="422">
        <f>'[46]16明细表'!X158</f>
        <v>0</v>
      </c>
      <c r="G338" s="422">
        <f>'[46]17明细表'!X158</f>
        <v>0</v>
      </c>
    </row>
    <row r="339" spans="3:7">
      <c r="C339" s="426" t="str">
        <f>'[46]15明细表 '!B161</f>
        <v>综合节能事业二部-业务招待费</v>
      </c>
      <c r="D339" s="419">
        <f>'[46]15明细表 '!Z159</f>
        <v>0</v>
      </c>
      <c r="E339" s="419">
        <f>'[46]15明细表 '!X161</f>
        <v>0</v>
      </c>
      <c r="F339" s="422">
        <f>'[46]16明细表'!X159</f>
        <v>0</v>
      </c>
      <c r="G339" s="422">
        <f>'[46]17明细表'!X159</f>
        <v>0</v>
      </c>
    </row>
    <row r="340" spans="3:7">
      <c r="C340" s="426" t="str">
        <f>'[46]15明细表 '!B162</f>
        <v>综合节能事业二部-折旧费</v>
      </c>
      <c r="D340" s="419">
        <f>'[46]15明细表 '!Z160</f>
        <v>0</v>
      </c>
      <c r="E340" s="419">
        <f>'[46]15明细表 '!X162</f>
        <v>0</v>
      </c>
      <c r="F340" s="422">
        <f>'[46]16明细表'!X160</f>
        <v>0</v>
      </c>
      <c r="G340" s="422">
        <f>'[46]17明细表'!X160</f>
        <v>0</v>
      </c>
    </row>
    <row r="341" spans="3:7">
      <c r="C341" s="426" t="str">
        <f>'[46]15明细表 '!B163</f>
        <v>沉没成本</v>
      </c>
      <c r="D341" s="419">
        <f>'[46]15明细表 '!Z123</f>
        <v>400000</v>
      </c>
      <c r="E341" s="419">
        <f>'[46]15明细表 '!X123</f>
        <v>3705600</v>
      </c>
      <c r="F341" s="422">
        <f>'[46]16明细表'!X162</f>
        <v>600000</v>
      </c>
      <c r="G341" s="422">
        <f>'[46]17明细表'!X161</f>
        <v>156627.92</v>
      </c>
    </row>
    <row r="342" spans="3:7">
      <c r="C342" s="426" t="s">
        <v>5200</v>
      </c>
      <c r="D342" s="419">
        <f>'[46]15明细表 '!Z162</f>
        <v>0</v>
      </c>
      <c r="E342" s="419">
        <f>'[46]15明细表 '!X122</f>
        <v>1869430.41</v>
      </c>
      <c r="G342" s="422"/>
    </row>
    <row r="343" spans="3:7">
      <c r="C343" s="426" t="str">
        <f>'[46]15明细表 '!B164</f>
        <v>合计</v>
      </c>
      <c r="D343" s="419">
        <f>SUM(D189:D342)</f>
        <v>7272256.83</v>
      </c>
      <c r="E343" s="419">
        <f>SUM(E189:E342)</f>
        <v>11432492.27</v>
      </c>
      <c r="F343" s="422">
        <f>'[46]16明细表'!X163</f>
        <v>12775295.51</v>
      </c>
      <c r="G343" s="422">
        <f>'[46]17明细表'!X162</f>
        <v>13441622.84</v>
      </c>
    </row>
    <row r="344" spans="5:7">
      <c r="E344" s="419"/>
      <c r="G344" s="422"/>
    </row>
    <row r="345" spans="5:6">
      <c r="E345" s="419"/>
      <c r="F345" s="419"/>
    </row>
  </sheetData>
  <mergeCells count="2">
    <mergeCell ref="C3:F3"/>
    <mergeCell ref="C4:F4"/>
  </mergeCells>
  <printOptions horizontalCentered="1"/>
  <pageMargins left="0.433070866141732" right="0.354330708661417" top="1.02362204724409" bottom="0.984251968503937" header="0.511811023622047" footer="0.511811023622047"/>
  <pageSetup paperSize="9" scale="18" orientation="landscape"/>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L2537"/>
  <sheetViews>
    <sheetView workbookViewId="0">
      <pane ySplit="1" topLeftCell="A2277" activePane="bottomLeft" state="frozen"/>
      <selection/>
      <selection pane="bottomLeft" activeCell="E2294" sqref="E2294"/>
    </sheetView>
  </sheetViews>
  <sheetFormatPr defaultColWidth="9" defaultRowHeight="14.25"/>
  <cols>
    <col min="1" max="1" width="14.25" hidden="1" customWidth="1"/>
    <col min="2" max="2" width="29.875" customWidth="1"/>
    <col min="3" max="3" width="19.375" customWidth="1"/>
    <col min="4" max="4" width="5.875" customWidth="1"/>
    <col min="5" max="5" width="16.375" customWidth="1"/>
    <col min="6" max="6" width="14.375" customWidth="1"/>
    <col min="7" max="7" width="19.5" customWidth="1"/>
    <col min="8" max="9" width="14.375" customWidth="1"/>
    <col min="10" max="10" width="23.5" customWidth="1"/>
    <col min="11" max="257" width="14.375" customWidth="1"/>
  </cols>
  <sheetData>
    <row r="1" spans="1:10">
      <c r="A1" s="11" t="s">
        <v>61</v>
      </c>
      <c r="B1" s="310" t="s">
        <v>61</v>
      </c>
      <c r="C1" s="12" t="s">
        <v>5701</v>
      </c>
      <c r="D1" s="311"/>
      <c r="E1" s="12" t="s">
        <v>3316</v>
      </c>
      <c r="F1" s="312" t="s">
        <v>306</v>
      </c>
      <c r="G1" s="313" t="s">
        <v>1996</v>
      </c>
      <c r="H1" s="314"/>
      <c r="I1" s="11" t="s">
        <v>61</v>
      </c>
      <c r="J1" s="322" t="s">
        <v>5702</v>
      </c>
    </row>
    <row r="2" spans="4:11">
      <c r="D2" s="11" t="s">
        <v>1997</v>
      </c>
      <c r="K2" s="11" t="s">
        <v>1997</v>
      </c>
    </row>
    <row r="3" spans="1:11">
      <c r="A3" s="11" t="s">
        <v>1998</v>
      </c>
      <c r="B3" s="315" t="s">
        <v>1998</v>
      </c>
      <c r="D3" s="11" t="b">
        <f>EXACT(A3,B3)</f>
        <v>1</v>
      </c>
      <c r="H3" s="11" t="b">
        <f>I3=B3</f>
        <v>1</v>
      </c>
      <c r="I3" s="11" t="s">
        <v>1998</v>
      </c>
      <c r="K3" s="11" t="b">
        <v>1</v>
      </c>
    </row>
    <row r="4" ht="12" customHeight="1" spans="1:11">
      <c r="A4" s="11" t="s">
        <v>1999</v>
      </c>
      <c r="B4" s="315" t="s">
        <v>1999</v>
      </c>
      <c r="C4" s="316"/>
      <c r="D4" s="11" t="b">
        <f t="shared" ref="D4:D73" si="0">EXACT(A4,B4)</f>
        <v>1</v>
      </c>
      <c r="E4" s="316"/>
      <c r="H4" s="11" t="b">
        <f t="shared" ref="H4:H67" si="1">I4=B4</f>
        <v>1</v>
      </c>
      <c r="I4" s="11" t="s">
        <v>1999</v>
      </c>
      <c r="K4" s="11" t="b">
        <v>1</v>
      </c>
    </row>
    <row r="5" spans="1:11">
      <c r="A5" s="11" t="s">
        <v>321</v>
      </c>
      <c r="B5" s="317" t="str">
        <f>报表附注!E4</f>
        <v>现金</v>
      </c>
      <c r="C5" s="318">
        <f>J5</f>
        <v>24681.45</v>
      </c>
      <c r="D5" s="11" t="b">
        <f t="shared" si="0"/>
        <v>1</v>
      </c>
      <c r="E5" s="311"/>
      <c r="H5" s="11" t="b">
        <f t="shared" si="1"/>
        <v>1</v>
      </c>
      <c r="I5" s="11" t="s">
        <v>321</v>
      </c>
      <c r="J5" s="323">
        <f>SUM(J6:J10)</f>
        <v>24681.45</v>
      </c>
      <c r="K5" s="11" t="b">
        <v>1</v>
      </c>
    </row>
    <row r="6" spans="1:11">
      <c r="A6" s="11" t="s">
        <v>323</v>
      </c>
      <c r="B6" s="317" t="str">
        <f>报表附注!E5</f>
        <v>其中：人民币</v>
      </c>
      <c r="C6" s="318">
        <f>J6</f>
        <v>24681.45</v>
      </c>
      <c r="D6" s="11" t="b">
        <f t="shared" si="0"/>
        <v>1</v>
      </c>
      <c r="E6" s="311"/>
      <c r="H6" s="11" t="b">
        <f t="shared" si="1"/>
        <v>1</v>
      </c>
      <c r="I6" s="11" t="s">
        <v>323</v>
      </c>
      <c r="J6" s="323">
        <v>24681.45</v>
      </c>
      <c r="K6" s="11" t="b">
        <v>1</v>
      </c>
    </row>
    <row r="7" spans="1:11">
      <c r="A7" s="11" t="s">
        <v>2000</v>
      </c>
      <c r="B7" s="317" t="str">
        <f>报表附注!E6</f>
        <v>美元</v>
      </c>
      <c r="C7" s="318">
        <f t="shared" ref="C7:C17" si="2">J7</f>
        <v>0</v>
      </c>
      <c r="D7" s="11" t="b">
        <f t="shared" si="0"/>
        <v>1</v>
      </c>
      <c r="E7" s="311"/>
      <c r="H7" s="11" t="b">
        <f t="shared" si="1"/>
        <v>1</v>
      </c>
      <c r="I7" s="11" t="s">
        <v>2000</v>
      </c>
      <c r="K7" s="11" t="b">
        <v>1</v>
      </c>
    </row>
    <row r="8" spans="1:11">
      <c r="A8" s="11" t="s">
        <v>2001</v>
      </c>
      <c r="B8" s="317" t="str">
        <f>报表附注!E7</f>
        <v>港币</v>
      </c>
      <c r="C8" s="318">
        <f t="shared" si="2"/>
        <v>0</v>
      </c>
      <c r="D8" s="11" t="b">
        <f t="shared" si="0"/>
        <v>1</v>
      </c>
      <c r="E8" s="311"/>
      <c r="H8" s="11" t="b">
        <f t="shared" si="1"/>
        <v>1</v>
      </c>
      <c r="I8" s="11" t="s">
        <v>2001</v>
      </c>
      <c r="K8" s="11" t="b">
        <v>1</v>
      </c>
    </row>
    <row r="9" spans="1:11">
      <c r="A9" s="11" t="s">
        <v>2002</v>
      </c>
      <c r="B9" s="317" t="str">
        <f>报表附注!E8</f>
        <v>欧元</v>
      </c>
      <c r="C9" s="318">
        <f t="shared" si="2"/>
        <v>0</v>
      </c>
      <c r="D9" s="11" t="b">
        <f t="shared" si="0"/>
        <v>1</v>
      </c>
      <c r="E9" s="311"/>
      <c r="H9" s="11" t="b">
        <f t="shared" si="1"/>
        <v>1</v>
      </c>
      <c r="I9" s="11" t="s">
        <v>2002</v>
      </c>
      <c r="K9" s="11" t="b">
        <v>1</v>
      </c>
    </row>
    <row r="10" spans="1:11">
      <c r="A10" s="11" t="s">
        <v>2003</v>
      </c>
      <c r="B10" s="317" t="str">
        <f>报表附注!E9</f>
        <v>日元</v>
      </c>
      <c r="C10" s="318">
        <f t="shared" si="2"/>
        <v>0</v>
      </c>
      <c r="D10" s="11" t="b">
        <f t="shared" si="0"/>
        <v>1</v>
      </c>
      <c r="E10" s="311"/>
      <c r="H10" s="11" t="b">
        <f t="shared" si="1"/>
        <v>1</v>
      </c>
      <c r="I10" s="11" t="s">
        <v>2003</v>
      </c>
      <c r="K10" s="11" t="b">
        <v>1</v>
      </c>
    </row>
    <row r="11" spans="1:11">
      <c r="A11" s="11" t="s">
        <v>333</v>
      </c>
      <c r="B11" s="317" t="str">
        <f>报表附注!E10</f>
        <v>银行存款</v>
      </c>
      <c r="C11" s="318">
        <f t="shared" si="2"/>
        <v>66138991.03</v>
      </c>
      <c r="D11" s="11" t="b">
        <f t="shared" si="0"/>
        <v>1</v>
      </c>
      <c r="E11" s="311"/>
      <c r="H11" s="11" t="b">
        <f t="shared" si="1"/>
        <v>1</v>
      </c>
      <c r="I11" s="11" t="s">
        <v>333</v>
      </c>
      <c r="J11" s="323">
        <f>SUM(J12:J17)</f>
        <v>66138991.03</v>
      </c>
      <c r="K11" s="11" t="b">
        <v>1</v>
      </c>
    </row>
    <row r="12" spans="1:11">
      <c r="A12" s="11" t="s">
        <v>323</v>
      </c>
      <c r="B12" s="317" t="str">
        <f>报表附注!E11</f>
        <v>其中：人民币</v>
      </c>
      <c r="C12" s="318">
        <f t="shared" si="2"/>
        <v>66138991.03</v>
      </c>
      <c r="D12" s="11" t="b">
        <f t="shared" si="0"/>
        <v>1</v>
      </c>
      <c r="E12" s="311"/>
      <c r="H12" s="11" t="b">
        <f t="shared" si="1"/>
        <v>1</v>
      </c>
      <c r="I12" s="11" t="s">
        <v>323</v>
      </c>
      <c r="J12" s="323">
        <v>66138991.03</v>
      </c>
      <c r="K12" s="11" t="b">
        <v>1</v>
      </c>
    </row>
    <row r="13" spans="1:11">
      <c r="A13" s="11" t="s">
        <v>2000</v>
      </c>
      <c r="B13" s="317" t="str">
        <f>报表附注!E12</f>
        <v>美元</v>
      </c>
      <c r="C13" s="318">
        <f t="shared" si="2"/>
        <v>0</v>
      </c>
      <c r="D13" s="11" t="b">
        <f t="shared" si="0"/>
        <v>1</v>
      </c>
      <c r="E13" s="311"/>
      <c r="H13" s="11" t="b">
        <f t="shared" si="1"/>
        <v>1</v>
      </c>
      <c r="I13" s="11" t="s">
        <v>2000</v>
      </c>
      <c r="K13" s="11" t="b">
        <v>1</v>
      </c>
    </row>
    <row r="14" spans="1:11">
      <c r="A14" s="11" t="s">
        <v>2004</v>
      </c>
      <c r="B14" s="317" t="str">
        <f>报表附注!E13</f>
        <v>     港币</v>
      </c>
      <c r="C14" s="318">
        <f t="shared" si="2"/>
        <v>0</v>
      </c>
      <c r="D14" s="11" t="b">
        <f t="shared" si="0"/>
        <v>1</v>
      </c>
      <c r="E14" s="311"/>
      <c r="H14" s="11" t="b">
        <f t="shared" si="1"/>
        <v>1</v>
      </c>
      <c r="I14" s="11" t="s">
        <v>2004</v>
      </c>
      <c r="K14" s="11" t="b">
        <v>1</v>
      </c>
    </row>
    <row r="15" spans="1:11">
      <c r="A15" s="11" t="s">
        <v>2002</v>
      </c>
      <c r="B15" s="317" t="str">
        <f>报表附注!E14</f>
        <v>欧元</v>
      </c>
      <c r="C15" s="318">
        <f t="shared" si="2"/>
        <v>0</v>
      </c>
      <c r="D15" s="11" t="b">
        <f t="shared" si="0"/>
        <v>1</v>
      </c>
      <c r="E15" s="311"/>
      <c r="H15" s="11" t="b">
        <f t="shared" si="1"/>
        <v>1</v>
      </c>
      <c r="I15" s="11" t="s">
        <v>2002</v>
      </c>
      <c r="K15" s="11" t="b">
        <v>1</v>
      </c>
    </row>
    <row r="16" spans="1:11">
      <c r="A16" s="11" t="s">
        <v>2003</v>
      </c>
      <c r="B16" s="317" t="str">
        <f>报表附注!E15</f>
        <v>日元</v>
      </c>
      <c r="C16" s="318">
        <f t="shared" si="2"/>
        <v>0</v>
      </c>
      <c r="D16" s="11" t="b">
        <f t="shared" si="0"/>
        <v>1</v>
      </c>
      <c r="E16" s="311"/>
      <c r="H16" s="11" t="b">
        <f t="shared" si="1"/>
        <v>1</v>
      </c>
      <c r="I16" s="11" t="s">
        <v>2003</v>
      </c>
      <c r="K16" s="11" t="b">
        <v>1</v>
      </c>
    </row>
    <row r="17" spans="1:11">
      <c r="A17" s="11" t="s">
        <v>2005</v>
      </c>
      <c r="B17" s="317" t="str">
        <f>报表附注!E16</f>
        <v>加拿大元</v>
      </c>
      <c r="C17" s="318">
        <f t="shared" si="2"/>
        <v>0</v>
      </c>
      <c r="D17" s="11" t="b">
        <f t="shared" si="0"/>
        <v>0</v>
      </c>
      <c r="E17" s="311"/>
      <c r="H17" s="11" t="b">
        <f t="shared" si="1"/>
        <v>0</v>
      </c>
      <c r="I17" s="11" t="s">
        <v>5703</v>
      </c>
      <c r="K17" s="11" t="b">
        <v>0</v>
      </c>
    </row>
    <row r="18" spans="2:11">
      <c r="B18" s="317" t="str">
        <f>报表附注!E17</f>
        <v>英镑</v>
      </c>
      <c r="C18" s="318"/>
      <c r="D18" s="11" t="b">
        <f t="shared" ref="D18:D19" si="3">EXACT(A18,B18)</f>
        <v>0</v>
      </c>
      <c r="E18" s="311"/>
      <c r="H18" s="11" t="b">
        <f t="shared" si="1"/>
        <v>0</v>
      </c>
      <c r="I18" s="11" t="s">
        <v>340</v>
      </c>
      <c r="J18" s="323">
        <f>SUM(J19:J23)</f>
        <v>10750015.27</v>
      </c>
      <c r="K18" s="11" t="b">
        <v>1</v>
      </c>
    </row>
    <row r="19" spans="2:11">
      <c r="B19" s="317" t="str">
        <f>报表附注!E18</f>
        <v>俄罗斯卢布</v>
      </c>
      <c r="C19" s="318"/>
      <c r="D19" s="11" t="b">
        <f t="shared" si="3"/>
        <v>0</v>
      </c>
      <c r="E19" s="311"/>
      <c r="H19" s="11" t="b">
        <f t="shared" si="1"/>
        <v>0</v>
      </c>
      <c r="I19" s="11" t="s">
        <v>323</v>
      </c>
      <c r="J19" s="323">
        <v>10750015.27</v>
      </c>
      <c r="K19" s="11" t="b">
        <v>1</v>
      </c>
    </row>
    <row r="20" spans="1:11">
      <c r="A20" s="11" t="s">
        <v>340</v>
      </c>
      <c r="B20" s="317" t="str">
        <f>报表附注!E19</f>
        <v>其他货币资金</v>
      </c>
      <c r="C20" s="318">
        <f t="shared" ref="C20:C26" si="4">J18</f>
        <v>10750015.27</v>
      </c>
      <c r="D20" s="11" t="b">
        <f t="shared" si="0"/>
        <v>1</v>
      </c>
      <c r="E20" s="311"/>
      <c r="H20" s="11" t="b">
        <f t="shared" si="1"/>
        <v>0</v>
      </c>
      <c r="I20" s="11" t="s">
        <v>2000</v>
      </c>
      <c r="K20" s="11" t="b">
        <v>1</v>
      </c>
    </row>
    <row r="21" spans="1:11">
      <c r="A21" s="11" t="s">
        <v>323</v>
      </c>
      <c r="B21" s="317" t="str">
        <f>报表附注!E20</f>
        <v>其中：人民币</v>
      </c>
      <c r="C21" s="318">
        <f t="shared" si="4"/>
        <v>10750015.27</v>
      </c>
      <c r="D21" s="11" t="b">
        <f t="shared" si="0"/>
        <v>1</v>
      </c>
      <c r="E21" s="311"/>
      <c r="H21" s="11" t="b">
        <f t="shared" si="1"/>
        <v>0</v>
      </c>
      <c r="I21" s="11" t="s">
        <v>2004</v>
      </c>
      <c r="K21" s="11" t="b">
        <v>1</v>
      </c>
    </row>
    <row r="22" spans="1:11">
      <c r="A22" s="11" t="s">
        <v>2000</v>
      </c>
      <c r="B22" s="317" t="str">
        <f>报表附注!E21</f>
        <v>美元</v>
      </c>
      <c r="C22" s="318">
        <f t="shared" si="4"/>
        <v>0</v>
      </c>
      <c r="D22" s="11" t="b">
        <f t="shared" si="0"/>
        <v>1</v>
      </c>
      <c r="E22" s="311"/>
      <c r="H22" s="11" t="b">
        <f t="shared" si="1"/>
        <v>0</v>
      </c>
      <c r="I22" s="11" t="s">
        <v>2002</v>
      </c>
      <c r="K22" s="11" t="b">
        <v>1</v>
      </c>
    </row>
    <row r="23" spans="1:11">
      <c r="A23" s="11" t="s">
        <v>2004</v>
      </c>
      <c r="B23" s="317" t="str">
        <f>报表附注!E22</f>
        <v>     港币</v>
      </c>
      <c r="C23" s="318">
        <f t="shared" si="4"/>
        <v>0</v>
      </c>
      <c r="D23" s="11" t="b">
        <f t="shared" si="0"/>
        <v>1</v>
      </c>
      <c r="E23" s="311"/>
      <c r="H23" s="11" t="b">
        <f t="shared" si="1"/>
        <v>0</v>
      </c>
      <c r="I23" s="11" t="s">
        <v>2003</v>
      </c>
      <c r="K23" s="11" t="b">
        <v>1</v>
      </c>
    </row>
    <row r="24" spans="1:11">
      <c r="A24" s="11" t="s">
        <v>2002</v>
      </c>
      <c r="B24" s="317" t="str">
        <f>报表附注!E23</f>
        <v>欧元</v>
      </c>
      <c r="C24" s="318">
        <f t="shared" si="4"/>
        <v>0</v>
      </c>
      <c r="D24" s="11" t="b">
        <f t="shared" si="0"/>
        <v>1</v>
      </c>
      <c r="E24" s="311"/>
      <c r="H24" s="11" t="b">
        <f t="shared" si="1"/>
        <v>0</v>
      </c>
      <c r="I24" s="11" t="s">
        <v>1207</v>
      </c>
      <c r="J24" s="323">
        <f>J5+J11+J18</f>
        <v>76913687.75</v>
      </c>
      <c r="K24" s="11" t="b">
        <v>1</v>
      </c>
    </row>
    <row r="25" spans="1:11">
      <c r="A25" s="11" t="s">
        <v>2003</v>
      </c>
      <c r="B25" s="317" t="str">
        <f>报表附注!E24</f>
        <v>日元</v>
      </c>
      <c r="C25" s="318">
        <f t="shared" si="4"/>
        <v>0</v>
      </c>
      <c r="D25" s="11" t="b">
        <f t="shared" si="0"/>
        <v>1</v>
      </c>
      <c r="E25" s="311"/>
      <c r="H25" s="11" t="b">
        <f t="shared" si="1"/>
        <v>0</v>
      </c>
      <c r="I25" s="11" t="s">
        <v>2007</v>
      </c>
      <c r="K25" s="11" t="b">
        <v>1</v>
      </c>
    </row>
    <row r="26" spans="1:11">
      <c r="A26" s="11" t="s">
        <v>1207</v>
      </c>
      <c r="B26" s="319" t="str">
        <f>报表附注!E25</f>
        <v>合  计</v>
      </c>
      <c r="C26" s="318">
        <f t="shared" si="4"/>
        <v>76913687.75</v>
      </c>
      <c r="D26" s="11" t="b">
        <f t="shared" si="0"/>
        <v>1</v>
      </c>
      <c r="E26" s="311"/>
      <c r="H26" s="11" t="b">
        <f t="shared" si="1"/>
        <v>0</v>
      </c>
      <c r="I26" s="11" t="s">
        <v>321</v>
      </c>
      <c r="J26" s="323">
        <f>J27</f>
        <v>25769.32</v>
      </c>
      <c r="K26" s="11" t="b">
        <v>1</v>
      </c>
    </row>
    <row r="27" spans="1:11">
      <c r="A27" s="11" t="s">
        <v>2007</v>
      </c>
      <c r="B27" s="315" t="s">
        <v>2007</v>
      </c>
      <c r="C27" s="316"/>
      <c r="D27" s="11" t="b">
        <f t="shared" si="0"/>
        <v>1</v>
      </c>
      <c r="E27" s="316"/>
      <c r="H27" s="11" t="b">
        <f t="shared" si="1"/>
        <v>0</v>
      </c>
      <c r="I27" s="11" t="s">
        <v>323</v>
      </c>
      <c r="J27" s="323">
        <v>25769.32</v>
      </c>
      <c r="K27" s="11" t="b">
        <v>1</v>
      </c>
    </row>
    <row r="28" spans="1:11">
      <c r="A28" s="11" t="s">
        <v>321</v>
      </c>
      <c r="B28" s="310" t="str">
        <f t="shared" ref="B28:B40" si="5">B5</f>
        <v>现金</v>
      </c>
      <c r="C28" s="318">
        <f t="shared" ref="C28:C40" si="6">J26</f>
        <v>25769.32</v>
      </c>
      <c r="D28" s="11" t="b">
        <f t="shared" si="0"/>
        <v>1</v>
      </c>
      <c r="E28" s="311"/>
      <c r="H28" s="11" t="b">
        <f t="shared" si="1"/>
        <v>0</v>
      </c>
      <c r="I28" s="11" t="s">
        <v>2000</v>
      </c>
      <c r="K28" s="11" t="b">
        <v>1</v>
      </c>
    </row>
    <row r="29" spans="1:11">
      <c r="A29" s="11" t="s">
        <v>323</v>
      </c>
      <c r="B29" s="310" t="str">
        <f t="shared" si="5"/>
        <v>其中：人民币</v>
      </c>
      <c r="C29" s="318">
        <f t="shared" si="6"/>
        <v>25769.32</v>
      </c>
      <c r="D29" s="11" t="b">
        <f t="shared" si="0"/>
        <v>1</v>
      </c>
      <c r="E29" s="311"/>
      <c r="H29" s="11" t="b">
        <f t="shared" si="1"/>
        <v>0</v>
      </c>
      <c r="I29" s="11" t="s">
        <v>2001</v>
      </c>
      <c r="K29" s="11" t="b">
        <v>1</v>
      </c>
    </row>
    <row r="30" spans="1:11">
      <c r="A30" s="11" t="s">
        <v>2000</v>
      </c>
      <c r="B30" s="310" t="str">
        <f t="shared" si="5"/>
        <v>美元</v>
      </c>
      <c r="C30" s="318">
        <f t="shared" si="6"/>
        <v>0</v>
      </c>
      <c r="D30" s="11" t="b">
        <f t="shared" si="0"/>
        <v>1</v>
      </c>
      <c r="E30" s="311"/>
      <c r="H30" s="11" t="b">
        <f t="shared" si="1"/>
        <v>0</v>
      </c>
      <c r="I30" s="11" t="s">
        <v>2002</v>
      </c>
      <c r="K30" s="11" t="b">
        <v>1</v>
      </c>
    </row>
    <row r="31" spans="1:11">
      <c r="A31" s="11" t="s">
        <v>2001</v>
      </c>
      <c r="B31" s="310" t="str">
        <f t="shared" si="5"/>
        <v>港币</v>
      </c>
      <c r="C31" s="318">
        <f t="shared" si="6"/>
        <v>0</v>
      </c>
      <c r="D31" s="11" t="b">
        <f t="shared" si="0"/>
        <v>1</v>
      </c>
      <c r="E31" s="311"/>
      <c r="H31" s="11" t="b">
        <f t="shared" si="1"/>
        <v>0</v>
      </c>
      <c r="I31" s="11" t="s">
        <v>2003</v>
      </c>
      <c r="K31" s="11" t="b">
        <v>1</v>
      </c>
    </row>
    <row r="32" spans="1:11">
      <c r="A32" s="11" t="s">
        <v>2002</v>
      </c>
      <c r="B32" s="310" t="str">
        <f t="shared" si="5"/>
        <v>欧元</v>
      </c>
      <c r="C32" s="318">
        <f t="shared" si="6"/>
        <v>0</v>
      </c>
      <c r="D32" s="11" t="b">
        <f t="shared" si="0"/>
        <v>1</v>
      </c>
      <c r="E32" s="311"/>
      <c r="H32" s="11" t="b">
        <f t="shared" si="1"/>
        <v>0</v>
      </c>
      <c r="I32" s="11" t="s">
        <v>333</v>
      </c>
      <c r="J32" s="323">
        <f>J33</f>
        <v>66138991.03</v>
      </c>
      <c r="K32" s="11" t="b">
        <v>1</v>
      </c>
    </row>
    <row r="33" spans="1:11">
      <c r="A33" s="11" t="s">
        <v>2003</v>
      </c>
      <c r="B33" s="310" t="str">
        <f t="shared" si="5"/>
        <v>日元</v>
      </c>
      <c r="C33" s="318">
        <f t="shared" si="6"/>
        <v>0</v>
      </c>
      <c r="D33" s="11" t="b">
        <f t="shared" si="0"/>
        <v>1</v>
      </c>
      <c r="E33" s="311"/>
      <c r="H33" s="11" t="b">
        <f t="shared" si="1"/>
        <v>0</v>
      </c>
      <c r="I33" s="11" t="s">
        <v>323</v>
      </c>
      <c r="J33" s="323">
        <v>66138991.03</v>
      </c>
      <c r="K33" s="11" t="b">
        <v>1</v>
      </c>
    </row>
    <row r="34" spans="1:11">
      <c r="A34" s="11" t="s">
        <v>333</v>
      </c>
      <c r="B34" s="310" t="str">
        <f t="shared" si="5"/>
        <v>银行存款</v>
      </c>
      <c r="C34" s="318">
        <f t="shared" si="6"/>
        <v>66138991.03</v>
      </c>
      <c r="D34" s="11" t="b">
        <f t="shared" si="0"/>
        <v>1</v>
      </c>
      <c r="E34" s="311"/>
      <c r="H34" s="11" t="b">
        <f t="shared" si="1"/>
        <v>0</v>
      </c>
      <c r="I34" s="11" t="s">
        <v>2000</v>
      </c>
      <c r="K34" s="11" t="b">
        <v>1</v>
      </c>
    </row>
    <row r="35" spans="1:11">
      <c r="A35" s="11" t="s">
        <v>323</v>
      </c>
      <c r="B35" s="310" t="str">
        <f t="shared" si="5"/>
        <v>其中：人民币</v>
      </c>
      <c r="C35" s="318">
        <f t="shared" si="6"/>
        <v>66138991.03</v>
      </c>
      <c r="D35" s="11" t="b">
        <f t="shared" si="0"/>
        <v>1</v>
      </c>
      <c r="E35" s="311"/>
      <c r="H35" s="11" t="b">
        <f t="shared" si="1"/>
        <v>0</v>
      </c>
      <c r="I35" s="11" t="s">
        <v>2004</v>
      </c>
      <c r="K35" s="11" t="b">
        <v>1</v>
      </c>
    </row>
    <row r="36" spans="1:11">
      <c r="A36" s="11" t="s">
        <v>2000</v>
      </c>
      <c r="B36" s="310" t="str">
        <f t="shared" si="5"/>
        <v>美元</v>
      </c>
      <c r="C36" s="318">
        <f t="shared" si="6"/>
        <v>0</v>
      </c>
      <c r="D36" s="11" t="b">
        <f t="shared" si="0"/>
        <v>1</v>
      </c>
      <c r="E36" s="311"/>
      <c r="H36" s="11" t="b">
        <f t="shared" si="1"/>
        <v>0</v>
      </c>
      <c r="I36" s="11" t="s">
        <v>2002</v>
      </c>
      <c r="K36" s="11" t="b">
        <v>1</v>
      </c>
    </row>
    <row r="37" spans="1:11">
      <c r="A37" s="11" t="s">
        <v>2004</v>
      </c>
      <c r="B37" s="310" t="str">
        <f t="shared" si="5"/>
        <v>     港币</v>
      </c>
      <c r="C37" s="318">
        <f t="shared" si="6"/>
        <v>0</v>
      </c>
      <c r="D37" s="11" t="b">
        <f t="shared" si="0"/>
        <v>1</v>
      </c>
      <c r="E37" s="311"/>
      <c r="H37" s="11" t="b">
        <f t="shared" si="1"/>
        <v>0</v>
      </c>
      <c r="I37" s="11" t="s">
        <v>2003</v>
      </c>
      <c r="K37" s="11" t="b">
        <v>1</v>
      </c>
    </row>
    <row r="38" spans="1:11">
      <c r="A38" s="11" t="s">
        <v>2002</v>
      </c>
      <c r="B38" s="310" t="str">
        <f t="shared" si="5"/>
        <v>欧元</v>
      </c>
      <c r="C38" s="318">
        <f t="shared" si="6"/>
        <v>0</v>
      </c>
      <c r="D38" s="11" t="b">
        <f t="shared" si="0"/>
        <v>1</v>
      </c>
      <c r="E38" s="311"/>
      <c r="H38" s="11" t="b">
        <f t="shared" si="1"/>
        <v>0</v>
      </c>
      <c r="I38" s="11" t="s">
        <v>5703</v>
      </c>
      <c r="K38" s="11" t="b">
        <v>0</v>
      </c>
    </row>
    <row r="39" spans="1:11">
      <c r="A39" s="11" t="s">
        <v>2003</v>
      </c>
      <c r="B39" s="310" t="str">
        <f t="shared" si="5"/>
        <v>日元</v>
      </c>
      <c r="C39" s="318">
        <f t="shared" si="6"/>
        <v>0</v>
      </c>
      <c r="D39" s="11" t="b">
        <f t="shared" si="0"/>
        <v>1</v>
      </c>
      <c r="E39" s="311"/>
      <c r="H39" s="11" t="b">
        <f t="shared" si="1"/>
        <v>0</v>
      </c>
      <c r="I39" s="11" t="s">
        <v>340</v>
      </c>
      <c r="J39" s="323">
        <f>J40</f>
        <v>10750015.27</v>
      </c>
      <c r="K39" s="11" t="b">
        <v>1</v>
      </c>
    </row>
    <row r="40" spans="1:11">
      <c r="A40" s="11" t="s">
        <v>2005</v>
      </c>
      <c r="B40" s="310" t="str">
        <f t="shared" si="5"/>
        <v>加拿大元</v>
      </c>
      <c r="C40" s="318">
        <f t="shared" si="6"/>
        <v>0</v>
      </c>
      <c r="D40" s="11" t="b">
        <f t="shared" si="0"/>
        <v>0</v>
      </c>
      <c r="E40" s="311"/>
      <c r="H40" s="11" t="b">
        <f t="shared" si="1"/>
        <v>0</v>
      </c>
      <c r="I40" s="11" t="s">
        <v>323</v>
      </c>
      <c r="J40" s="323">
        <v>10750015.27</v>
      </c>
      <c r="K40" s="11" t="b">
        <v>1</v>
      </c>
    </row>
    <row r="41" spans="2:11">
      <c r="B41" s="310" t="str">
        <f t="shared" ref="B41:B42" si="7">B18</f>
        <v>英镑</v>
      </c>
      <c r="C41" s="318"/>
      <c r="D41" s="11" t="b">
        <f t="shared" ref="D41:D42" si="8">EXACT(A41,B41)</f>
        <v>0</v>
      </c>
      <c r="E41" s="311"/>
      <c r="H41" s="11" t="b">
        <f t="shared" si="1"/>
        <v>0</v>
      </c>
      <c r="I41" s="11" t="s">
        <v>2000</v>
      </c>
      <c r="K41" s="11" t="b">
        <v>1</v>
      </c>
    </row>
    <row r="42" spans="2:11">
      <c r="B42" s="310" t="str">
        <f t="shared" si="7"/>
        <v>俄罗斯卢布</v>
      </c>
      <c r="C42" s="318"/>
      <c r="D42" s="11" t="b">
        <f t="shared" si="8"/>
        <v>0</v>
      </c>
      <c r="E42" s="311"/>
      <c r="H42" s="11" t="b">
        <f t="shared" si="1"/>
        <v>0</v>
      </c>
      <c r="I42" s="11" t="s">
        <v>2004</v>
      </c>
      <c r="K42" s="11" t="b">
        <v>1</v>
      </c>
    </row>
    <row r="43" spans="1:11">
      <c r="A43" s="11" t="s">
        <v>340</v>
      </c>
      <c r="B43" s="310" t="str">
        <f t="shared" ref="B43:B49" si="9">B20</f>
        <v>其他货币资金</v>
      </c>
      <c r="C43" s="318">
        <f t="shared" ref="C43:C49" si="10">J39</f>
        <v>10750015.27</v>
      </c>
      <c r="D43" s="11" t="b">
        <f t="shared" si="0"/>
        <v>1</v>
      </c>
      <c r="E43" s="311"/>
      <c r="H43" s="11" t="b">
        <f t="shared" si="1"/>
        <v>0</v>
      </c>
      <c r="I43" s="11" t="s">
        <v>2002</v>
      </c>
      <c r="K43" s="11" t="b">
        <v>1</v>
      </c>
    </row>
    <row r="44" spans="1:11">
      <c r="A44" s="11" t="s">
        <v>323</v>
      </c>
      <c r="B44" s="310" t="str">
        <f t="shared" si="9"/>
        <v>其中：人民币</v>
      </c>
      <c r="C44" s="318">
        <f t="shared" si="10"/>
        <v>10750015.27</v>
      </c>
      <c r="D44" s="11" t="b">
        <f t="shared" si="0"/>
        <v>1</v>
      </c>
      <c r="E44" s="311"/>
      <c r="H44" s="11" t="b">
        <f t="shared" si="1"/>
        <v>0</v>
      </c>
      <c r="I44" s="11" t="s">
        <v>2003</v>
      </c>
      <c r="K44" s="11" t="b">
        <v>1</v>
      </c>
    </row>
    <row r="45" spans="1:11">
      <c r="A45" s="11" t="s">
        <v>2000</v>
      </c>
      <c r="B45" s="310" t="str">
        <f t="shared" si="9"/>
        <v>美元</v>
      </c>
      <c r="C45" s="318">
        <f t="shared" si="10"/>
        <v>0</v>
      </c>
      <c r="D45" s="11" t="b">
        <f t="shared" si="0"/>
        <v>1</v>
      </c>
      <c r="E45" s="311"/>
      <c r="H45" s="11" t="b">
        <f t="shared" si="1"/>
        <v>0</v>
      </c>
      <c r="I45" s="11" t="s">
        <v>1207</v>
      </c>
      <c r="J45" s="323">
        <f>J39+J32+J26</f>
        <v>76914775.62</v>
      </c>
      <c r="K45" s="11" t="b">
        <v>1</v>
      </c>
    </row>
    <row r="46" spans="1:11">
      <c r="A46" s="11" t="s">
        <v>2004</v>
      </c>
      <c r="B46" s="310" t="str">
        <f t="shared" si="9"/>
        <v>     港币</v>
      </c>
      <c r="C46" s="318">
        <f t="shared" si="10"/>
        <v>0</v>
      </c>
      <c r="D46" s="11" t="b">
        <f t="shared" si="0"/>
        <v>1</v>
      </c>
      <c r="E46" s="311"/>
      <c r="H46" s="11" t="b">
        <f t="shared" si="1"/>
        <v>0</v>
      </c>
      <c r="I46" s="11" t="s">
        <v>2008</v>
      </c>
      <c r="K46" s="11" t="b">
        <v>1</v>
      </c>
    </row>
    <row r="47" spans="1:11">
      <c r="A47" s="11" t="s">
        <v>2002</v>
      </c>
      <c r="B47" s="310" t="str">
        <f t="shared" si="9"/>
        <v>欧元</v>
      </c>
      <c r="C47" s="318">
        <f t="shared" si="10"/>
        <v>0</v>
      </c>
      <c r="D47" s="11" t="b">
        <f t="shared" si="0"/>
        <v>1</v>
      </c>
      <c r="E47" s="311"/>
      <c r="H47" s="11" t="b">
        <f t="shared" si="1"/>
        <v>0</v>
      </c>
      <c r="I47" s="11" t="s">
        <v>321</v>
      </c>
      <c r="K47" s="11" t="b">
        <v>1</v>
      </c>
    </row>
    <row r="48" spans="1:11">
      <c r="A48" s="11" t="s">
        <v>2003</v>
      </c>
      <c r="B48" s="310" t="str">
        <f t="shared" si="9"/>
        <v>日元</v>
      </c>
      <c r="C48" s="318">
        <f t="shared" si="10"/>
        <v>0</v>
      </c>
      <c r="D48" s="11" t="b">
        <f t="shared" si="0"/>
        <v>1</v>
      </c>
      <c r="E48" s="311"/>
      <c r="H48" s="11" t="b">
        <f t="shared" si="1"/>
        <v>0</v>
      </c>
      <c r="I48" s="11" t="s">
        <v>323</v>
      </c>
      <c r="K48" s="11" t="b">
        <v>1</v>
      </c>
    </row>
    <row r="49" spans="1:11">
      <c r="A49" s="11" t="s">
        <v>1207</v>
      </c>
      <c r="B49" s="320" t="str">
        <f t="shared" si="9"/>
        <v>合  计</v>
      </c>
      <c r="C49" s="318">
        <f t="shared" si="10"/>
        <v>76914775.62</v>
      </c>
      <c r="D49" s="11" t="b">
        <f t="shared" si="0"/>
        <v>1</v>
      </c>
      <c r="E49" s="311"/>
      <c r="H49" s="11" t="b">
        <f t="shared" si="1"/>
        <v>0</v>
      </c>
      <c r="I49" s="11" t="s">
        <v>2000</v>
      </c>
      <c r="K49" s="11" t="b">
        <v>1</v>
      </c>
    </row>
    <row r="50" spans="1:11">
      <c r="A50" s="11" t="s">
        <v>2008</v>
      </c>
      <c r="B50" s="315" t="s">
        <v>2008</v>
      </c>
      <c r="C50" s="316"/>
      <c r="D50" s="11" t="b">
        <f t="shared" si="0"/>
        <v>1</v>
      </c>
      <c r="E50" s="316"/>
      <c r="H50" s="11" t="b">
        <f t="shared" si="1"/>
        <v>0</v>
      </c>
      <c r="I50" s="11" t="s">
        <v>2001</v>
      </c>
      <c r="K50" s="11" t="b">
        <v>1</v>
      </c>
    </row>
    <row r="51" spans="1:11">
      <c r="A51" s="11" t="s">
        <v>321</v>
      </c>
      <c r="B51" s="310" t="str">
        <f>报表附注!E4</f>
        <v>现金</v>
      </c>
      <c r="C51" s="321">
        <f t="shared" ref="C51:C63" si="11">J47</f>
        <v>0</v>
      </c>
      <c r="D51" s="11" t="b">
        <f t="shared" si="0"/>
        <v>1</v>
      </c>
      <c r="E51" s="321">
        <f>C5</f>
        <v>24681.45</v>
      </c>
      <c r="H51" s="11" t="b">
        <f t="shared" si="1"/>
        <v>0</v>
      </c>
      <c r="I51" s="11" t="s">
        <v>2002</v>
      </c>
      <c r="K51" s="11" t="b">
        <v>1</v>
      </c>
    </row>
    <row r="52" spans="1:11">
      <c r="A52" s="11" t="s">
        <v>323</v>
      </c>
      <c r="B52" s="310" t="str">
        <f>报表附注!E5</f>
        <v>其中：人民币</v>
      </c>
      <c r="C52" s="321">
        <f t="shared" si="11"/>
        <v>0</v>
      </c>
      <c r="D52" s="11" t="b">
        <f t="shared" si="0"/>
        <v>1</v>
      </c>
      <c r="E52" s="321">
        <f t="shared" ref="E52:E63" si="12">C6</f>
        <v>24681.45</v>
      </c>
      <c r="H52" s="11" t="b">
        <f t="shared" si="1"/>
        <v>0</v>
      </c>
      <c r="I52" s="11" t="s">
        <v>2003</v>
      </c>
      <c r="K52" s="11" t="b">
        <v>1</v>
      </c>
    </row>
    <row r="53" spans="1:11">
      <c r="A53" s="11" t="s">
        <v>2000</v>
      </c>
      <c r="B53" s="310" t="str">
        <f>报表附注!E6</f>
        <v>美元</v>
      </c>
      <c r="C53" s="321">
        <f t="shared" si="11"/>
        <v>0</v>
      </c>
      <c r="D53" s="11" t="b">
        <f t="shared" si="0"/>
        <v>1</v>
      </c>
      <c r="E53" s="321">
        <f t="shared" si="12"/>
        <v>0</v>
      </c>
      <c r="H53" s="11" t="b">
        <f t="shared" si="1"/>
        <v>0</v>
      </c>
      <c r="I53" s="11" t="s">
        <v>333</v>
      </c>
      <c r="K53" s="11" t="b">
        <v>1</v>
      </c>
    </row>
    <row r="54" spans="1:11">
      <c r="A54" s="11" t="s">
        <v>2001</v>
      </c>
      <c r="B54" s="310" t="str">
        <f>报表附注!E7</f>
        <v>港币</v>
      </c>
      <c r="C54" s="321">
        <f t="shared" si="11"/>
        <v>0</v>
      </c>
      <c r="D54" s="11" t="b">
        <f t="shared" si="0"/>
        <v>1</v>
      </c>
      <c r="E54" s="321">
        <f t="shared" si="12"/>
        <v>0</v>
      </c>
      <c r="H54" s="11" t="b">
        <f t="shared" si="1"/>
        <v>0</v>
      </c>
      <c r="I54" s="11" t="s">
        <v>323</v>
      </c>
      <c r="K54" s="11" t="b">
        <v>1</v>
      </c>
    </row>
    <row r="55" spans="1:11">
      <c r="A55" s="11" t="s">
        <v>2002</v>
      </c>
      <c r="B55" s="310" t="str">
        <f>报表附注!E8</f>
        <v>欧元</v>
      </c>
      <c r="C55" s="321">
        <f t="shared" si="11"/>
        <v>0</v>
      </c>
      <c r="D55" s="11" t="b">
        <f t="shared" si="0"/>
        <v>1</v>
      </c>
      <c r="E55" s="321">
        <f t="shared" si="12"/>
        <v>0</v>
      </c>
      <c r="H55" s="11" t="b">
        <f t="shared" si="1"/>
        <v>0</v>
      </c>
      <c r="I55" s="11" t="s">
        <v>2000</v>
      </c>
      <c r="K55" s="11" t="b">
        <v>1</v>
      </c>
    </row>
    <row r="56" spans="1:11">
      <c r="A56" s="11" t="s">
        <v>2003</v>
      </c>
      <c r="B56" s="310" t="str">
        <f>报表附注!E9</f>
        <v>日元</v>
      </c>
      <c r="C56" s="321">
        <f t="shared" si="11"/>
        <v>0</v>
      </c>
      <c r="D56" s="11" t="b">
        <f t="shared" si="0"/>
        <v>1</v>
      </c>
      <c r="E56" s="321">
        <f t="shared" si="12"/>
        <v>0</v>
      </c>
      <c r="H56" s="11" t="b">
        <f t="shared" si="1"/>
        <v>0</v>
      </c>
      <c r="I56" s="11" t="s">
        <v>2004</v>
      </c>
      <c r="K56" s="11" t="b">
        <v>1</v>
      </c>
    </row>
    <row r="57" spans="1:11">
      <c r="A57" s="11" t="s">
        <v>333</v>
      </c>
      <c r="B57" s="310" t="str">
        <f>报表附注!E10</f>
        <v>银行存款</v>
      </c>
      <c r="C57" s="321">
        <f t="shared" si="11"/>
        <v>0</v>
      </c>
      <c r="D57" s="11" t="b">
        <f t="shared" si="0"/>
        <v>1</v>
      </c>
      <c r="E57" s="321">
        <f t="shared" si="12"/>
        <v>66138991.03</v>
      </c>
      <c r="H57" s="11" t="b">
        <f t="shared" si="1"/>
        <v>0</v>
      </c>
      <c r="I57" s="11" t="s">
        <v>2002</v>
      </c>
      <c r="K57" s="11" t="b">
        <v>1</v>
      </c>
    </row>
    <row r="58" spans="1:11">
      <c r="A58" s="11" t="s">
        <v>323</v>
      </c>
      <c r="B58" s="310" t="str">
        <f>报表附注!E11</f>
        <v>其中：人民币</v>
      </c>
      <c r="C58" s="321">
        <f t="shared" si="11"/>
        <v>0</v>
      </c>
      <c r="D58" s="11" t="b">
        <f t="shared" si="0"/>
        <v>1</v>
      </c>
      <c r="E58" s="321">
        <f t="shared" si="12"/>
        <v>66138991.03</v>
      </c>
      <c r="H58" s="11" t="b">
        <f t="shared" si="1"/>
        <v>0</v>
      </c>
      <c r="I58" s="11" t="s">
        <v>2003</v>
      </c>
      <c r="K58" s="11" t="b">
        <v>1</v>
      </c>
    </row>
    <row r="59" spans="1:11">
      <c r="A59" s="11" t="s">
        <v>2000</v>
      </c>
      <c r="B59" s="310" t="str">
        <f>报表附注!E12</f>
        <v>美元</v>
      </c>
      <c r="C59" s="321">
        <f t="shared" si="11"/>
        <v>0</v>
      </c>
      <c r="D59" s="11" t="b">
        <f t="shared" si="0"/>
        <v>1</v>
      </c>
      <c r="E59" s="321">
        <f t="shared" si="12"/>
        <v>0</v>
      </c>
      <c r="H59" s="11" t="b">
        <f t="shared" si="1"/>
        <v>0</v>
      </c>
      <c r="I59" s="11" t="s">
        <v>5703</v>
      </c>
      <c r="K59" s="11" t="b">
        <v>0</v>
      </c>
    </row>
    <row r="60" spans="1:11">
      <c r="A60" s="11" t="s">
        <v>2004</v>
      </c>
      <c r="B60" s="310" t="str">
        <f>报表附注!E13</f>
        <v>     港币</v>
      </c>
      <c r="C60" s="321">
        <f t="shared" si="11"/>
        <v>0</v>
      </c>
      <c r="D60" s="11" t="b">
        <f t="shared" si="0"/>
        <v>1</v>
      </c>
      <c r="E60" s="321">
        <f t="shared" si="12"/>
        <v>0</v>
      </c>
      <c r="H60" s="11" t="b">
        <f t="shared" si="1"/>
        <v>0</v>
      </c>
      <c r="I60" s="11" t="s">
        <v>340</v>
      </c>
      <c r="K60" s="11" t="b">
        <v>1</v>
      </c>
    </row>
    <row r="61" spans="1:11">
      <c r="A61" s="11" t="s">
        <v>2002</v>
      </c>
      <c r="B61" s="310" t="str">
        <f>报表附注!E14</f>
        <v>欧元</v>
      </c>
      <c r="C61" s="321">
        <f t="shared" si="11"/>
        <v>0</v>
      </c>
      <c r="D61" s="11" t="b">
        <f t="shared" si="0"/>
        <v>1</v>
      </c>
      <c r="E61" s="321">
        <f t="shared" si="12"/>
        <v>0</v>
      </c>
      <c r="H61" s="11" t="b">
        <f t="shared" si="1"/>
        <v>0</v>
      </c>
      <c r="I61" s="11" t="s">
        <v>323</v>
      </c>
      <c r="K61" s="11" t="b">
        <v>1</v>
      </c>
    </row>
    <row r="62" spans="1:11">
      <c r="A62" s="11" t="s">
        <v>2003</v>
      </c>
      <c r="B62" s="310" t="str">
        <f>报表附注!E15</f>
        <v>日元</v>
      </c>
      <c r="C62" s="321">
        <f t="shared" si="11"/>
        <v>0</v>
      </c>
      <c r="D62" s="11" t="b">
        <f t="shared" si="0"/>
        <v>1</v>
      </c>
      <c r="E62" s="321">
        <f t="shared" si="12"/>
        <v>0</v>
      </c>
      <c r="H62" s="11" t="b">
        <f t="shared" si="1"/>
        <v>0</v>
      </c>
      <c r="I62" s="11" t="s">
        <v>2000</v>
      </c>
      <c r="K62" s="11" t="b">
        <v>1</v>
      </c>
    </row>
    <row r="63" spans="1:11">
      <c r="A63" s="11" t="s">
        <v>2005</v>
      </c>
      <c r="B63" s="310" t="str">
        <f>报表附注!E16</f>
        <v>加拿大元</v>
      </c>
      <c r="C63" s="321">
        <f t="shared" si="11"/>
        <v>0</v>
      </c>
      <c r="D63" s="11" t="b">
        <f t="shared" si="0"/>
        <v>0</v>
      </c>
      <c r="E63" s="321">
        <f t="shared" si="12"/>
        <v>0</v>
      </c>
      <c r="H63" s="11" t="b">
        <f t="shared" si="1"/>
        <v>0</v>
      </c>
      <c r="I63" s="11" t="s">
        <v>2004</v>
      </c>
      <c r="K63" s="11" t="b">
        <v>1</v>
      </c>
    </row>
    <row r="64" spans="2:11">
      <c r="B64" s="310" t="str">
        <f>报表附注!E17</f>
        <v>英镑</v>
      </c>
      <c r="C64" s="321"/>
      <c r="D64" s="11" t="b">
        <f t="shared" ref="D64:D65" si="13">EXACT(A64,B64)</f>
        <v>0</v>
      </c>
      <c r="E64" s="321">
        <f t="shared" ref="E64:E65" si="14">C18</f>
        <v>0</v>
      </c>
      <c r="H64" s="11" t="b">
        <f t="shared" si="1"/>
        <v>0</v>
      </c>
      <c r="I64" s="11" t="s">
        <v>2002</v>
      </c>
      <c r="K64" s="11" t="b">
        <v>1</v>
      </c>
    </row>
    <row r="65" spans="2:11">
      <c r="B65" s="310" t="str">
        <f>报表附注!E18</f>
        <v>俄罗斯卢布</v>
      </c>
      <c r="C65" s="321"/>
      <c r="D65" s="11" t="b">
        <f t="shared" si="13"/>
        <v>0</v>
      </c>
      <c r="E65" s="321">
        <f t="shared" si="14"/>
        <v>0</v>
      </c>
      <c r="H65" s="11" t="b">
        <f t="shared" si="1"/>
        <v>0</v>
      </c>
      <c r="I65" s="11" t="s">
        <v>2003</v>
      </c>
      <c r="K65" s="11" t="b">
        <v>1</v>
      </c>
    </row>
    <row r="66" spans="1:11">
      <c r="A66" s="11" t="s">
        <v>340</v>
      </c>
      <c r="B66" s="310" t="str">
        <f>报表附注!E19</f>
        <v>其他货币资金</v>
      </c>
      <c r="C66" s="321">
        <f t="shared" ref="C66:C72" si="15">J60</f>
        <v>0</v>
      </c>
      <c r="D66" s="11" t="b">
        <f t="shared" si="0"/>
        <v>1</v>
      </c>
      <c r="E66" s="321">
        <f t="shared" ref="E66:E84" si="16">C20</f>
        <v>10750015.27</v>
      </c>
      <c r="H66" s="11" t="b">
        <f t="shared" si="1"/>
        <v>0</v>
      </c>
      <c r="I66" s="11" t="s">
        <v>1207</v>
      </c>
      <c r="K66" s="11" t="b">
        <v>1</v>
      </c>
    </row>
    <row r="67" spans="1:11">
      <c r="A67" s="11" t="s">
        <v>323</v>
      </c>
      <c r="B67" s="310" t="str">
        <f>报表附注!E20</f>
        <v>其中：人民币</v>
      </c>
      <c r="C67" s="321">
        <f t="shared" si="15"/>
        <v>0</v>
      </c>
      <c r="D67" s="11" t="b">
        <f t="shared" si="0"/>
        <v>1</v>
      </c>
      <c r="E67" s="321">
        <f t="shared" si="16"/>
        <v>10750015.27</v>
      </c>
      <c r="H67" s="11" t="b">
        <f t="shared" si="1"/>
        <v>0</v>
      </c>
      <c r="I67" s="11" t="s">
        <v>2009</v>
      </c>
      <c r="K67" s="11" t="b">
        <v>1</v>
      </c>
    </row>
    <row r="68" spans="1:11">
      <c r="A68" s="11" t="s">
        <v>2000</v>
      </c>
      <c r="B68" s="310" t="str">
        <f>报表附注!E21</f>
        <v>美元</v>
      </c>
      <c r="C68" s="321">
        <f t="shared" si="15"/>
        <v>0</v>
      </c>
      <c r="D68" s="11" t="b">
        <f t="shared" si="0"/>
        <v>1</v>
      </c>
      <c r="E68" s="321">
        <f t="shared" si="16"/>
        <v>0</v>
      </c>
      <c r="H68" s="11" t="b">
        <f t="shared" ref="H68:H131" si="17">I68=B68</f>
        <v>0</v>
      </c>
      <c r="I68" s="11" t="s">
        <v>321</v>
      </c>
      <c r="K68" s="11" t="b">
        <v>1</v>
      </c>
    </row>
    <row r="69" spans="1:11">
      <c r="A69" s="11" t="s">
        <v>2004</v>
      </c>
      <c r="B69" s="310" t="str">
        <f>报表附注!E22</f>
        <v>     港币</v>
      </c>
      <c r="C69" s="321">
        <f t="shared" si="15"/>
        <v>0</v>
      </c>
      <c r="D69" s="11" t="b">
        <f t="shared" si="0"/>
        <v>1</v>
      </c>
      <c r="E69" s="321">
        <f t="shared" si="16"/>
        <v>0</v>
      </c>
      <c r="H69" s="11" t="b">
        <f t="shared" si="17"/>
        <v>0</v>
      </c>
      <c r="I69" s="11" t="s">
        <v>323</v>
      </c>
      <c r="K69" s="11" t="b">
        <v>1</v>
      </c>
    </row>
    <row r="70" spans="1:11">
      <c r="A70" s="11" t="s">
        <v>2002</v>
      </c>
      <c r="B70" s="310" t="str">
        <f>报表附注!E23</f>
        <v>欧元</v>
      </c>
      <c r="C70" s="321">
        <f t="shared" si="15"/>
        <v>0</v>
      </c>
      <c r="D70" s="11" t="b">
        <f t="shared" si="0"/>
        <v>1</v>
      </c>
      <c r="E70" s="321">
        <f t="shared" si="16"/>
        <v>0</v>
      </c>
      <c r="H70" s="11" t="b">
        <f t="shared" si="17"/>
        <v>0</v>
      </c>
      <c r="I70" s="11" t="s">
        <v>2000</v>
      </c>
      <c r="K70" s="11" t="b">
        <v>1</v>
      </c>
    </row>
    <row r="71" spans="1:11">
      <c r="A71" s="11" t="s">
        <v>2003</v>
      </c>
      <c r="B71" s="310" t="str">
        <f>报表附注!E24</f>
        <v>日元</v>
      </c>
      <c r="C71" s="321">
        <f t="shared" si="15"/>
        <v>0</v>
      </c>
      <c r="D71" s="11" t="b">
        <f t="shared" si="0"/>
        <v>1</v>
      </c>
      <c r="E71" s="321">
        <f t="shared" si="16"/>
        <v>0</v>
      </c>
      <c r="H71" s="11" t="b">
        <f t="shared" si="17"/>
        <v>0</v>
      </c>
      <c r="I71" s="11" t="s">
        <v>2001</v>
      </c>
      <c r="K71" s="11" t="b">
        <v>1</v>
      </c>
    </row>
    <row r="72" spans="1:11">
      <c r="A72" s="11" t="s">
        <v>1207</v>
      </c>
      <c r="B72" s="320" t="str">
        <f>报表附注!E25</f>
        <v>合  计</v>
      </c>
      <c r="C72" s="321">
        <f t="shared" si="15"/>
        <v>0</v>
      </c>
      <c r="D72" s="11" t="b">
        <f t="shared" si="0"/>
        <v>1</v>
      </c>
      <c r="E72" s="321">
        <f t="shared" si="16"/>
        <v>76913687.75</v>
      </c>
      <c r="H72" s="11" t="b">
        <f t="shared" si="17"/>
        <v>0</v>
      </c>
      <c r="I72" s="11" t="s">
        <v>2002</v>
      </c>
      <c r="K72" s="11" t="b">
        <v>1</v>
      </c>
    </row>
    <row r="73" spans="1:11">
      <c r="A73" s="11" t="s">
        <v>2009</v>
      </c>
      <c r="B73" s="315" t="s">
        <v>2009</v>
      </c>
      <c r="C73" s="321"/>
      <c r="D73" s="11" t="b">
        <f t="shared" si="0"/>
        <v>1</v>
      </c>
      <c r="E73" s="321">
        <f t="shared" si="16"/>
        <v>0</v>
      </c>
      <c r="H73" s="11" t="b">
        <f t="shared" si="17"/>
        <v>0</v>
      </c>
      <c r="I73" s="11" t="s">
        <v>2003</v>
      </c>
      <c r="K73" s="11" t="b">
        <v>1</v>
      </c>
    </row>
    <row r="74" spans="1:11">
      <c r="A74" s="11" t="s">
        <v>321</v>
      </c>
      <c r="B74" s="310" t="str">
        <f>报表附注!E4</f>
        <v>现金</v>
      </c>
      <c r="C74" s="321">
        <f t="shared" ref="C74:C86" si="18">J68</f>
        <v>0</v>
      </c>
      <c r="D74" s="11" t="b">
        <f t="shared" ref="D74:D139" si="19">EXACT(A74,B74)</f>
        <v>1</v>
      </c>
      <c r="E74" s="321">
        <f t="shared" si="16"/>
        <v>25769.32</v>
      </c>
      <c r="H74" s="11" t="b">
        <f t="shared" si="17"/>
        <v>0</v>
      </c>
      <c r="I74" s="11" t="s">
        <v>333</v>
      </c>
      <c r="K74" s="11" t="b">
        <v>1</v>
      </c>
    </row>
    <row r="75" spans="1:11">
      <c r="A75" s="11" t="s">
        <v>323</v>
      </c>
      <c r="B75" s="310" t="str">
        <f>报表附注!E5</f>
        <v>其中：人民币</v>
      </c>
      <c r="C75" s="321">
        <f t="shared" si="18"/>
        <v>0</v>
      </c>
      <c r="D75" s="11" t="b">
        <f t="shared" si="19"/>
        <v>1</v>
      </c>
      <c r="E75" s="321">
        <f t="shared" si="16"/>
        <v>25769.32</v>
      </c>
      <c r="H75" s="11" t="b">
        <f t="shared" si="17"/>
        <v>1</v>
      </c>
      <c r="I75" s="11" t="s">
        <v>323</v>
      </c>
      <c r="K75" s="11" t="b">
        <v>1</v>
      </c>
    </row>
    <row r="76" spans="1:11">
      <c r="A76" s="11" t="s">
        <v>2000</v>
      </c>
      <c r="B76" s="310" t="str">
        <f>报表附注!E6</f>
        <v>美元</v>
      </c>
      <c r="C76" s="321">
        <f t="shared" si="18"/>
        <v>0</v>
      </c>
      <c r="D76" s="11" t="b">
        <f t="shared" si="19"/>
        <v>1</v>
      </c>
      <c r="E76" s="321">
        <f t="shared" si="16"/>
        <v>0</v>
      </c>
      <c r="H76" s="11" t="b">
        <f t="shared" si="17"/>
        <v>1</v>
      </c>
      <c r="I76" s="11" t="s">
        <v>2000</v>
      </c>
      <c r="K76" s="11" t="b">
        <v>1</v>
      </c>
    </row>
    <row r="77" spans="1:11">
      <c r="A77" s="11" t="s">
        <v>2001</v>
      </c>
      <c r="B77" s="310" t="str">
        <f>报表附注!E7</f>
        <v>港币</v>
      </c>
      <c r="C77" s="321">
        <f t="shared" si="18"/>
        <v>0</v>
      </c>
      <c r="D77" s="11" t="b">
        <f t="shared" si="19"/>
        <v>1</v>
      </c>
      <c r="E77" s="321">
        <f t="shared" si="16"/>
        <v>0</v>
      </c>
      <c r="H77" s="11" t="b">
        <f t="shared" si="17"/>
        <v>0</v>
      </c>
      <c r="I77" s="11" t="s">
        <v>2004</v>
      </c>
      <c r="K77" s="11" t="b">
        <v>1</v>
      </c>
    </row>
    <row r="78" spans="1:11">
      <c r="A78" s="11" t="s">
        <v>2002</v>
      </c>
      <c r="B78" s="310" t="str">
        <f>报表附注!E8</f>
        <v>欧元</v>
      </c>
      <c r="C78" s="321">
        <f t="shared" si="18"/>
        <v>0</v>
      </c>
      <c r="D78" s="11" t="b">
        <f t="shared" si="19"/>
        <v>1</v>
      </c>
      <c r="E78" s="321">
        <f t="shared" si="16"/>
        <v>0</v>
      </c>
      <c r="H78" s="11" t="b">
        <f t="shared" si="17"/>
        <v>1</v>
      </c>
      <c r="I78" s="11" t="s">
        <v>2002</v>
      </c>
      <c r="K78" s="11" t="b">
        <v>1</v>
      </c>
    </row>
    <row r="79" spans="1:11">
      <c r="A79" s="11" t="s">
        <v>2003</v>
      </c>
      <c r="B79" s="310" t="str">
        <f>报表附注!E9</f>
        <v>日元</v>
      </c>
      <c r="C79" s="321">
        <f t="shared" si="18"/>
        <v>0</v>
      </c>
      <c r="D79" s="11" t="b">
        <f t="shared" si="19"/>
        <v>1</v>
      </c>
      <c r="E79" s="321">
        <f t="shared" si="16"/>
        <v>0</v>
      </c>
      <c r="H79" s="11" t="b">
        <f t="shared" si="17"/>
        <v>1</v>
      </c>
      <c r="I79" s="11" t="s">
        <v>2003</v>
      </c>
      <c r="K79" s="11" t="b">
        <v>1</v>
      </c>
    </row>
    <row r="80" spans="1:11">
      <c r="A80" s="11" t="s">
        <v>333</v>
      </c>
      <c r="B80" s="310" t="str">
        <f>报表附注!E10</f>
        <v>银行存款</v>
      </c>
      <c r="C80" s="321">
        <f t="shared" si="18"/>
        <v>0</v>
      </c>
      <c r="D80" s="11" t="b">
        <f t="shared" si="19"/>
        <v>1</v>
      </c>
      <c r="E80" s="321">
        <f t="shared" si="16"/>
        <v>66138991.03</v>
      </c>
      <c r="H80" s="11" t="b">
        <f t="shared" si="17"/>
        <v>0</v>
      </c>
      <c r="I80" s="11" t="s">
        <v>5703</v>
      </c>
      <c r="K80" s="11" t="b">
        <v>0</v>
      </c>
    </row>
    <row r="81" spans="1:11">
      <c r="A81" s="11" t="s">
        <v>323</v>
      </c>
      <c r="B81" s="310" t="str">
        <f>报表附注!E11</f>
        <v>其中：人民币</v>
      </c>
      <c r="C81" s="321">
        <f t="shared" si="18"/>
        <v>0</v>
      </c>
      <c r="D81" s="11" t="b">
        <f t="shared" si="19"/>
        <v>1</v>
      </c>
      <c r="E81" s="321">
        <f t="shared" si="16"/>
        <v>66138991.03</v>
      </c>
      <c r="H81" s="11" t="b">
        <f t="shared" si="17"/>
        <v>0</v>
      </c>
      <c r="I81" s="11" t="s">
        <v>340</v>
      </c>
      <c r="K81" s="11" t="b">
        <v>1</v>
      </c>
    </row>
    <row r="82" spans="1:11">
      <c r="A82" s="11" t="s">
        <v>2000</v>
      </c>
      <c r="B82" s="310" t="str">
        <f>报表附注!E12</f>
        <v>美元</v>
      </c>
      <c r="C82" s="321">
        <f t="shared" si="18"/>
        <v>0</v>
      </c>
      <c r="D82" s="11" t="b">
        <f t="shared" si="19"/>
        <v>1</v>
      </c>
      <c r="E82" s="321">
        <f t="shared" si="16"/>
        <v>0</v>
      </c>
      <c r="H82" s="11" t="b">
        <f t="shared" si="17"/>
        <v>0</v>
      </c>
      <c r="I82" s="11" t="s">
        <v>323</v>
      </c>
      <c r="K82" s="11" t="b">
        <v>1</v>
      </c>
    </row>
    <row r="83" spans="1:11">
      <c r="A83" s="11" t="s">
        <v>2004</v>
      </c>
      <c r="B83" s="310" t="str">
        <f>报表附注!E13</f>
        <v>     港币</v>
      </c>
      <c r="C83" s="321">
        <f t="shared" si="18"/>
        <v>0</v>
      </c>
      <c r="D83" s="11" t="b">
        <f t="shared" si="19"/>
        <v>1</v>
      </c>
      <c r="E83" s="321">
        <f t="shared" si="16"/>
        <v>0</v>
      </c>
      <c r="H83" s="11" t="b">
        <f t="shared" si="17"/>
        <v>0</v>
      </c>
      <c r="I83" s="11" t="s">
        <v>2000</v>
      </c>
      <c r="K83" s="11" t="b">
        <v>1</v>
      </c>
    </row>
    <row r="84" spans="1:11">
      <c r="A84" s="11" t="s">
        <v>2002</v>
      </c>
      <c r="B84" s="310" t="str">
        <f>报表附注!E14</f>
        <v>欧元</v>
      </c>
      <c r="C84" s="321">
        <f t="shared" si="18"/>
        <v>0</v>
      </c>
      <c r="D84" s="11" t="b">
        <f t="shared" si="19"/>
        <v>1</v>
      </c>
      <c r="E84" s="321">
        <f t="shared" si="16"/>
        <v>0</v>
      </c>
      <c r="H84" s="11" t="b">
        <f t="shared" si="17"/>
        <v>0</v>
      </c>
      <c r="I84" s="11" t="s">
        <v>2004</v>
      </c>
      <c r="K84" s="11" t="b">
        <v>1</v>
      </c>
    </row>
    <row r="85" spans="1:11">
      <c r="A85" s="11" t="s">
        <v>2003</v>
      </c>
      <c r="B85" s="310" t="str">
        <f>报表附注!E15</f>
        <v>日元</v>
      </c>
      <c r="C85" s="321">
        <f t="shared" si="18"/>
        <v>0</v>
      </c>
      <c r="D85" s="11" t="b">
        <f t="shared" si="19"/>
        <v>1</v>
      </c>
      <c r="E85" s="321">
        <f t="shared" ref="E85:E95" si="20">C39</f>
        <v>0</v>
      </c>
      <c r="H85" s="11" t="b">
        <f t="shared" si="17"/>
        <v>0</v>
      </c>
      <c r="I85" s="11" t="s">
        <v>2002</v>
      </c>
      <c r="K85" s="11" t="b">
        <v>1</v>
      </c>
    </row>
    <row r="86" spans="1:11">
      <c r="A86" s="11" t="s">
        <v>2005</v>
      </c>
      <c r="B86" s="310" t="str">
        <f>报表附注!E16</f>
        <v>加拿大元</v>
      </c>
      <c r="C86" s="321">
        <f t="shared" si="18"/>
        <v>0</v>
      </c>
      <c r="D86" s="11" t="b">
        <f t="shared" si="19"/>
        <v>0</v>
      </c>
      <c r="E86" s="321">
        <f t="shared" si="20"/>
        <v>0</v>
      </c>
      <c r="H86" s="11" t="b">
        <f t="shared" si="17"/>
        <v>0</v>
      </c>
      <c r="I86" s="11" t="s">
        <v>2003</v>
      </c>
      <c r="K86" s="11" t="b">
        <v>1</v>
      </c>
    </row>
    <row r="87" spans="2:11">
      <c r="B87" s="310" t="str">
        <f>报表附注!E17</f>
        <v>英镑</v>
      </c>
      <c r="C87" s="321"/>
      <c r="D87" s="11" t="b">
        <f t="shared" ref="D87:D88" si="21">EXACT(A87,B87)</f>
        <v>0</v>
      </c>
      <c r="E87" s="321">
        <f t="shared" si="20"/>
        <v>0</v>
      </c>
      <c r="H87" s="11" t="b">
        <f t="shared" si="17"/>
        <v>0</v>
      </c>
      <c r="I87" s="11" t="s">
        <v>1207</v>
      </c>
      <c r="K87" s="11" t="b">
        <v>1</v>
      </c>
    </row>
    <row r="88" spans="2:11">
      <c r="B88" s="310" t="str">
        <f>报表附注!E18</f>
        <v>俄罗斯卢布</v>
      </c>
      <c r="C88" s="321"/>
      <c r="D88" s="11" t="b">
        <f t="shared" si="21"/>
        <v>0</v>
      </c>
      <c r="E88" s="321">
        <f t="shared" si="20"/>
        <v>0</v>
      </c>
      <c r="H88" s="11" t="b">
        <f t="shared" si="17"/>
        <v>0</v>
      </c>
      <c r="K88" s="11" t="b">
        <v>1</v>
      </c>
    </row>
    <row r="89" spans="1:11">
      <c r="A89" s="11" t="s">
        <v>340</v>
      </c>
      <c r="B89" s="310" t="str">
        <f>报表附注!E19</f>
        <v>其他货币资金</v>
      </c>
      <c r="C89" s="321">
        <f t="shared" ref="C89:C95" si="22">J81</f>
        <v>0</v>
      </c>
      <c r="D89" s="11" t="b">
        <f t="shared" si="19"/>
        <v>1</v>
      </c>
      <c r="E89" s="321">
        <f t="shared" si="20"/>
        <v>10750015.27</v>
      </c>
      <c r="H89" s="11" t="b">
        <f t="shared" si="17"/>
        <v>0</v>
      </c>
      <c r="I89" s="11" t="s">
        <v>2010</v>
      </c>
      <c r="K89" s="11" t="b">
        <v>1</v>
      </c>
    </row>
    <row r="90" spans="1:11">
      <c r="A90" s="11" t="s">
        <v>323</v>
      </c>
      <c r="B90" s="310" t="str">
        <f>报表附注!E20</f>
        <v>其中：人民币</v>
      </c>
      <c r="C90" s="321">
        <f t="shared" si="22"/>
        <v>0</v>
      </c>
      <c r="D90" s="11" t="b">
        <f t="shared" si="19"/>
        <v>1</v>
      </c>
      <c r="E90" s="321">
        <f t="shared" si="20"/>
        <v>10750015.27</v>
      </c>
      <c r="H90" s="11" t="b">
        <f t="shared" si="17"/>
        <v>0</v>
      </c>
      <c r="K90" s="11" t="b">
        <v>1</v>
      </c>
    </row>
    <row r="91" spans="1:11">
      <c r="A91" s="11" t="s">
        <v>2000</v>
      </c>
      <c r="B91" s="310" t="str">
        <f>报表附注!E21</f>
        <v>美元</v>
      </c>
      <c r="C91" s="321">
        <f t="shared" si="22"/>
        <v>0</v>
      </c>
      <c r="D91" s="11" t="b">
        <f t="shared" si="19"/>
        <v>1</v>
      </c>
      <c r="E91" s="321">
        <f t="shared" si="20"/>
        <v>0</v>
      </c>
      <c r="H91" s="11" t="b">
        <f t="shared" si="17"/>
        <v>0</v>
      </c>
      <c r="I91" s="11" t="s">
        <v>2011</v>
      </c>
      <c r="K91" s="11" t="b">
        <v>1</v>
      </c>
    </row>
    <row r="92" spans="1:11">
      <c r="A92" s="11" t="s">
        <v>2004</v>
      </c>
      <c r="B92" s="310" t="str">
        <f>报表附注!E22</f>
        <v>     港币</v>
      </c>
      <c r="C92" s="321">
        <f t="shared" si="22"/>
        <v>0</v>
      </c>
      <c r="D92" s="11" t="b">
        <f t="shared" si="19"/>
        <v>1</v>
      </c>
      <c r="E92" s="321">
        <f t="shared" si="20"/>
        <v>0</v>
      </c>
      <c r="H92" s="11" t="b">
        <f t="shared" si="17"/>
        <v>0</v>
      </c>
      <c r="I92" s="11" t="s">
        <v>2012</v>
      </c>
      <c r="K92" s="11" t="b">
        <v>1</v>
      </c>
    </row>
    <row r="93" spans="1:11">
      <c r="A93" s="11" t="s">
        <v>2002</v>
      </c>
      <c r="B93" s="310" t="str">
        <f>报表附注!E23</f>
        <v>欧元</v>
      </c>
      <c r="C93" s="321">
        <f t="shared" si="22"/>
        <v>0</v>
      </c>
      <c r="D93" s="11" t="b">
        <f t="shared" si="19"/>
        <v>1</v>
      </c>
      <c r="E93" s="321">
        <f t="shared" si="20"/>
        <v>0</v>
      </c>
      <c r="H93" s="11" t="b">
        <f t="shared" si="17"/>
        <v>0</v>
      </c>
      <c r="I93" s="11" t="s">
        <v>2013</v>
      </c>
      <c r="K93" s="11" t="b">
        <v>1</v>
      </c>
    </row>
    <row r="94" spans="1:11">
      <c r="A94" s="11" t="s">
        <v>2003</v>
      </c>
      <c r="B94" s="310" t="str">
        <f>报表附注!E24</f>
        <v>日元</v>
      </c>
      <c r="C94" s="321">
        <f t="shared" si="22"/>
        <v>0</v>
      </c>
      <c r="D94" s="11" t="b">
        <f t="shared" si="19"/>
        <v>1</v>
      </c>
      <c r="E94" s="321">
        <f t="shared" si="20"/>
        <v>0</v>
      </c>
      <c r="H94" s="11" t="b">
        <f t="shared" si="17"/>
        <v>0</v>
      </c>
      <c r="I94" s="11" t="s">
        <v>2014</v>
      </c>
      <c r="K94" s="11" t="b">
        <v>1</v>
      </c>
    </row>
    <row r="95" spans="1:11">
      <c r="A95" s="11" t="s">
        <v>1207</v>
      </c>
      <c r="B95" s="320" t="str">
        <f>报表附注!E25</f>
        <v>合  计</v>
      </c>
      <c r="C95" s="321">
        <f t="shared" si="22"/>
        <v>0</v>
      </c>
      <c r="D95" s="11" t="b">
        <f t="shared" si="19"/>
        <v>1</v>
      </c>
      <c r="E95" s="321">
        <f t="shared" si="20"/>
        <v>76914775.62</v>
      </c>
      <c r="H95" s="11" t="b">
        <f t="shared" si="17"/>
        <v>0</v>
      </c>
      <c r="I95" s="11" t="s">
        <v>2015</v>
      </c>
      <c r="K95" s="11" t="b">
        <v>1</v>
      </c>
    </row>
    <row r="96" spans="4:11">
      <c r="D96" s="11" t="b">
        <f t="shared" si="19"/>
        <v>1</v>
      </c>
      <c r="H96" s="11" t="b">
        <f t="shared" si="17"/>
        <v>0</v>
      </c>
      <c r="I96" s="326" t="s">
        <v>2016</v>
      </c>
      <c r="J96" s="332"/>
      <c r="K96" s="326" t="b">
        <v>1</v>
      </c>
    </row>
    <row r="97" spans="1:11">
      <c r="A97" s="11" t="s">
        <v>2010</v>
      </c>
      <c r="B97" s="324" t="s">
        <v>2010</v>
      </c>
      <c r="D97" s="11" t="b">
        <f t="shared" si="19"/>
        <v>1</v>
      </c>
      <c r="H97" s="11" t="b">
        <f t="shared" si="17"/>
        <v>0</v>
      </c>
      <c r="I97" s="11" t="s">
        <v>2017</v>
      </c>
      <c r="K97" s="11" t="b">
        <v>1</v>
      </c>
    </row>
    <row r="98" spans="4:12">
      <c r="D98" s="11" t="b">
        <f t="shared" si="19"/>
        <v>1</v>
      </c>
      <c r="H98" s="11" t="b">
        <f t="shared" si="17"/>
        <v>0</v>
      </c>
      <c r="I98" s="11" t="s">
        <v>2018</v>
      </c>
      <c r="K98" s="11" t="b">
        <v>1</v>
      </c>
      <c r="L98" s="326"/>
    </row>
    <row r="99" customHeight="1" spans="1:11">
      <c r="A99" s="11" t="s">
        <v>2011</v>
      </c>
      <c r="B99" s="325" t="s">
        <v>2011</v>
      </c>
      <c r="D99" s="11" t="b">
        <f t="shared" si="19"/>
        <v>1</v>
      </c>
      <c r="H99" s="11" t="b">
        <f t="shared" si="17"/>
        <v>0</v>
      </c>
      <c r="I99" s="11" t="s">
        <v>374</v>
      </c>
      <c r="K99" s="11" t="b">
        <v>1</v>
      </c>
    </row>
    <row r="100" spans="1:11">
      <c r="A100" s="11" t="s">
        <v>2012</v>
      </c>
      <c r="B100" s="310" t="str">
        <f>报表附注!E48</f>
        <v>1.交易性债券投资</v>
      </c>
      <c r="C100" s="321">
        <f t="shared" ref="C100:C114" si="23">J92</f>
        <v>0</v>
      </c>
      <c r="D100" s="11" t="b">
        <f t="shared" si="19"/>
        <v>1</v>
      </c>
      <c r="E100" s="321">
        <f>C108</f>
        <v>0</v>
      </c>
      <c r="H100" s="11" t="b">
        <f t="shared" si="17"/>
        <v>1</v>
      </c>
      <c r="I100" s="11" t="s">
        <v>2012</v>
      </c>
      <c r="K100" s="11" t="b">
        <v>1</v>
      </c>
    </row>
    <row r="101" spans="1:11">
      <c r="A101" s="11" t="s">
        <v>2013</v>
      </c>
      <c r="B101" s="310" t="str">
        <f>报表附注!E49</f>
        <v>2.交易性权益工具投资</v>
      </c>
      <c r="C101" s="321">
        <f t="shared" si="23"/>
        <v>0</v>
      </c>
      <c r="D101" s="11" t="b">
        <f t="shared" si="19"/>
        <v>1</v>
      </c>
      <c r="E101" s="321">
        <f t="shared" ref="E101:E106" si="24">C109</f>
        <v>0</v>
      </c>
      <c r="H101" s="11" t="b">
        <f t="shared" si="17"/>
        <v>1</v>
      </c>
      <c r="I101" s="11" t="s">
        <v>2013</v>
      </c>
      <c r="K101" s="11" t="b">
        <v>1</v>
      </c>
    </row>
    <row r="102" ht="22.5" spans="1:11">
      <c r="A102" s="11" t="s">
        <v>2014</v>
      </c>
      <c r="B102" s="310" t="str">
        <f>报表附注!E50</f>
        <v>3.指定为以公允价值计量且其变动计入当期损益的金融资产</v>
      </c>
      <c r="C102" s="321">
        <f t="shared" si="23"/>
        <v>0</v>
      </c>
      <c r="D102" s="11" t="b">
        <f t="shared" si="19"/>
        <v>1</v>
      </c>
      <c r="E102" s="321">
        <f t="shared" si="24"/>
        <v>0</v>
      </c>
      <c r="H102" s="11" t="b">
        <f t="shared" si="17"/>
        <v>1</v>
      </c>
      <c r="I102" s="11" t="s">
        <v>2014</v>
      </c>
      <c r="K102" s="11" t="b">
        <v>1</v>
      </c>
    </row>
    <row r="103" spans="1:11">
      <c r="A103" s="11" t="s">
        <v>2015</v>
      </c>
      <c r="B103" s="310" t="str">
        <f>报表附注!E51</f>
        <v>4.衍生金融资产</v>
      </c>
      <c r="C103" s="321">
        <f t="shared" si="23"/>
        <v>0</v>
      </c>
      <c r="D103" s="11" t="b">
        <f t="shared" si="19"/>
        <v>1</v>
      </c>
      <c r="E103" s="321">
        <f t="shared" si="24"/>
        <v>0</v>
      </c>
      <c r="H103" s="11" t="b">
        <f t="shared" si="17"/>
        <v>1</v>
      </c>
      <c r="I103" s="11" t="s">
        <v>2015</v>
      </c>
      <c r="K103" s="11" t="b">
        <v>1</v>
      </c>
    </row>
    <row r="104" spans="1:12">
      <c r="A104" s="326" t="s">
        <v>2016</v>
      </c>
      <c r="B104" s="327" t="str">
        <f>报表附注!E52</f>
        <v>5.套期工具</v>
      </c>
      <c r="C104" s="321">
        <f t="shared" si="23"/>
        <v>0</v>
      </c>
      <c r="D104" s="326" t="b">
        <f t="shared" si="19"/>
        <v>1</v>
      </c>
      <c r="E104" s="321">
        <f t="shared" si="24"/>
        <v>0</v>
      </c>
      <c r="H104" s="11" t="b">
        <f t="shared" si="17"/>
        <v>1</v>
      </c>
      <c r="I104" s="326" t="s">
        <v>2016</v>
      </c>
      <c r="J104" s="332"/>
      <c r="K104" s="326" t="b">
        <v>1</v>
      </c>
      <c r="L104" s="11"/>
    </row>
    <row r="105" spans="1:11">
      <c r="A105" s="11" t="s">
        <v>2017</v>
      </c>
      <c r="B105" s="310" t="str">
        <f>报表附注!E53</f>
        <v>6.其他</v>
      </c>
      <c r="C105" s="321">
        <f t="shared" si="23"/>
        <v>0</v>
      </c>
      <c r="D105" s="11" t="b">
        <f t="shared" si="19"/>
        <v>1</v>
      </c>
      <c r="E105" s="321">
        <f t="shared" si="24"/>
        <v>0</v>
      </c>
      <c r="H105" s="11" t="b">
        <f t="shared" si="17"/>
        <v>1</v>
      </c>
      <c r="I105" s="11" t="s">
        <v>2017</v>
      </c>
      <c r="K105" s="11" t="b">
        <v>1</v>
      </c>
    </row>
    <row r="106" spans="1:12">
      <c r="A106" s="11" t="s">
        <v>2018</v>
      </c>
      <c r="B106" s="320" t="str">
        <f>报表附注!E54</f>
        <v>合    计</v>
      </c>
      <c r="C106" s="321">
        <f t="shared" si="23"/>
        <v>0</v>
      </c>
      <c r="D106" s="11" t="b">
        <f t="shared" si="19"/>
        <v>1</v>
      </c>
      <c r="E106" s="321">
        <f t="shared" si="24"/>
        <v>0</v>
      </c>
      <c r="H106" s="11" t="b">
        <f t="shared" si="17"/>
        <v>1</v>
      </c>
      <c r="I106" s="11" t="s">
        <v>2018</v>
      </c>
      <c r="K106" s="11" t="b">
        <v>1</v>
      </c>
      <c r="L106" s="326"/>
    </row>
    <row r="107" spans="1:11">
      <c r="A107" s="11" t="s">
        <v>374</v>
      </c>
      <c r="B107" s="325" t="s">
        <v>374</v>
      </c>
      <c r="C107" s="328">
        <f t="shared" si="23"/>
        <v>0</v>
      </c>
      <c r="D107" s="11" t="b">
        <f t="shared" si="19"/>
        <v>1</v>
      </c>
      <c r="H107" s="11" t="b">
        <f t="shared" si="17"/>
        <v>0</v>
      </c>
      <c r="K107" s="11" t="b">
        <v>1</v>
      </c>
    </row>
    <row r="108" spans="1:11">
      <c r="A108" s="11" t="s">
        <v>2012</v>
      </c>
      <c r="B108" s="310" t="str">
        <f>报表附注!E48</f>
        <v>1.交易性债券投资</v>
      </c>
      <c r="C108" s="321">
        <f t="shared" si="23"/>
        <v>0</v>
      </c>
      <c r="D108" s="11" t="b">
        <f t="shared" si="19"/>
        <v>1</v>
      </c>
      <c r="E108" s="311"/>
      <c r="H108" s="11" t="b">
        <f t="shared" si="17"/>
        <v>0</v>
      </c>
      <c r="I108" s="11" t="s">
        <v>2019</v>
      </c>
      <c r="K108" s="11" t="b">
        <v>1</v>
      </c>
    </row>
    <row r="109" spans="1:11">
      <c r="A109" s="11" t="s">
        <v>2013</v>
      </c>
      <c r="B109" s="310" t="str">
        <f>报表附注!E49</f>
        <v>2.交易性权益工具投资</v>
      </c>
      <c r="C109" s="321">
        <f t="shared" si="23"/>
        <v>0</v>
      </c>
      <c r="D109" s="11" t="b">
        <f t="shared" si="19"/>
        <v>1</v>
      </c>
      <c r="E109" s="311"/>
      <c r="H109" s="11" t="b">
        <f t="shared" si="17"/>
        <v>0</v>
      </c>
      <c r="K109" s="11" t="b">
        <v>1</v>
      </c>
    </row>
    <row r="110" ht="22.5" spans="1:11">
      <c r="A110" s="11" t="s">
        <v>2014</v>
      </c>
      <c r="B110" s="310" t="str">
        <f>报表附注!E50</f>
        <v>3.指定为以公允价值计量且其变动计入当期损益的金融资产</v>
      </c>
      <c r="C110" s="321">
        <f t="shared" si="23"/>
        <v>0</v>
      </c>
      <c r="D110" s="11" t="b">
        <f t="shared" si="19"/>
        <v>1</v>
      </c>
      <c r="E110" s="311"/>
      <c r="H110" s="11" t="b">
        <f t="shared" si="17"/>
        <v>0</v>
      </c>
      <c r="I110" s="11" t="s">
        <v>2020</v>
      </c>
      <c r="K110" s="11" t="b">
        <v>1</v>
      </c>
    </row>
    <row r="111" spans="1:11">
      <c r="A111" s="11" t="s">
        <v>2015</v>
      </c>
      <c r="B111" s="310" t="str">
        <f>报表附注!E51</f>
        <v>4.衍生金融资产</v>
      </c>
      <c r="C111" s="321">
        <f t="shared" si="23"/>
        <v>0</v>
      </c>
      <c r="D111" s="11" t="b">
        <f t="shared" si="19"/>
        <v>1</v>
      </c>
      <c r="E111" s="311"/>
      <c r="H111" s="11" t="b">
        <f t="shared" si="17"/>
        <v>0</v>
      </c>
      <c r="I111" s="11" t="s">
        <v>392</v>
      </c>
      <c r="K111" s="11" t="b">
        <v>1</v>
      </c>
    </row>
    <row r="112" spans="1:12">
      <c r="A112" s="326" t="s">
        <v>2016</v>
      </c>
      <c r="B112" s="327" t="str">
        <f>报表附注!E52</f>
        <v>5.套期工具</v>
      </c>
      <c r="C112" s="321">
        <f t="shared" si="23"/>
        <v>0</v>
      </c>
      <c r="D112" s="326" t="b">
        <f t="shared" si="19"/>
        <v>1</v>
      </c>
      <c r="E112" s="311"/>
      <c r="H112" s="11" t="b">
        <f t="shared" si="17"/>
        <v>0</v>
      </c>
      <c r="I112" s="11" t="s">
        <v>394</v>
      </c>
      <c r="J112" s="323"/>
      <c r="K112" s="11" t="b">
        <v>1</v>
      </c>
      <c r="L112" s="11"/>
    </row>
    <row r="113" spans="1:11">
      <c r="A113" s="11" t="s">
        <v>2017</v>
      </c>
      <c r="B113" s="310" t="str">
        <f>报表附注!E53</f>
        <v>6.其他</v>
      </c>
      <c r="C113" s="321">
        <f t="shared" si="23"/>
        <v>0</v>
      </c>
      <c r="D113" s="11" t="b">
        <f t="shared" si="19"/>
        <v>1</v>
      </c>
      <c r="E113" s="311"/>
      <c r="H113" s="11" t="b">
        <f t="shared" si="17"/>
        <v>0</v>
      </c>
      <c r="I113" s="11" t="s">
        <v>2021</v>
      </c>
      <c r="K113" s="11" t="b">
        <v>1</v>
      </c>
    </row>
    <row r="114" spans="1:11">
      <c r="A114" s="11" t="s">
        <v>2018</v>
      </c>
      <c r="B114" s="320" t="str">
        <f>报表附注!E54</f>
        <v>合    计</v>
      </c>
      <c r="C114" s="321">
        <f t="shared" si="23"/>
        <v>0</v>
      </c>
      <c r="D114" s="11" t="b">
        <f t="shared" si="19"/>
        <v>1</v>
      </c>
      <c r="E114" s="311"/>
      <c r="H114" s="11" t="b">
        <f t="shared" si="17"/>
        <v>0</v>
      </c>
      <c r="I114" s="11" t="s">
        <v>316</v>
      </c>
      <c r="K114" s="11" t="b">
        <v>1</v>
      </c>
    </row>
    <row r="115" spans="4:11">
      <c r="D115" s="11" t="b">
        <f t="shared" si="19"/>
        <v>1</v>
      </c>
      <c r="H115" s="11" t="b">
        <f t="shared" si="17"/>
        <v>0</v>
      </c>
      <c r="I115" s="11" t="s">
        <v>392</v>
      </c>
      <c r="K115" s="11" t="b">
        <v>1</v>
      </c>
    </row>
    <row r="116" spans="1:11">
      <c r="A116" s="11" t="s">
        <v>2019</v>
      </c>
      <c r="B116" s="329" t="s">
        <v>2019</v>
      </c>
      <c r="D116" s="11" t="b">
        <f t="shared" si="19"/>
        <v>1</v>
      </c>
      <c r="H116" s="11" t="b">
        <f t="shared" si="17"/>
        <v>0</v>
      </c>
      <c r="I116" s="11" t="s">
        <v>394</v>
      </c>
      <c r="K116" s="11" t="b">
        <v>1</v>
      </c>
    </row>
    <row r="117" spans="4:11">
      <c r="D117" s="11" t="b">
        <f t="shared" si="19"/>
        <v>1</v>
      </c>
      <c r="H117" s="11" t="b">
        <f t="shared" si="17"/>
        <v>0</v>
      </c>
      <c r="I117" s="11" t="s">
        <v>2021</v>
      </c>
      <c r="K117" s="11" t="b">
        <v>1</v>
      </c>
    </row>
    <row r="118" spans="1:11">
      <c r="A118" s="11" t="s">
        <v>2020</v>
      </c>
      <c r="B118" s="330" t="s">
        <v>2020</v>
      </c>
      <c r="D118" s="11" t="b">
        <f t="shared" si="19"/>
        <v>1</v>
      </c>
      <c r="H118" s="11" t="b">
        <f t="shared" si="17"/>
        <v>0</v>
      </c>
      <c r="K118" s="11" t="b">
        <v>1</v>
      </c>
    </row>
    <row r="119" spans="1:11">
      <c r="A119" s="11" t="s">
        <v>392</v>
      </c>
      <c r="B119" s="310" t="str">
        <f>报表附注!E74</f>
        <v>银行承兑汇票</v>
      </c>
      <c r="C119" s="321">
        <f t="shared" ref="C119:C125" si="25">J111</f>
        <v>0</v>
      </c>
      <c r="D119" s="11" t="b">
        <f t="shared" si="19"/>
        <v>1</v>
      </c>
      <c r="E119" s="321">
        <f>C123</f>
        <v>0</v>
      </c>
      <c r="H119" s="11" t="b">
        <f t="shared" si="17"/>
        <v>0</v>
      </c>
      <c r="I119" s="11" t="s">
        <v>2022</v>
      </c>
      <c r="K119" s="11" t="b">
        <v>1</v>
      </c>
    </row>
    <row r="120" spans="1:11">
      <c r="A120" s="11" t="s">
        <v>394</v>
      </c>
      <c r="B120" s="310" t="str">
        <f>报表附注!E75</f>
        <v>商业承兑汇票</v>
      </c>
      <c r="C120" s="321">
        <f t="shared" si="25"/>
        <v>0</v>
      </c>
      <c r="D120" s="11" t="b">
        <f t="shared" si="19"/>
        <v>1</v>
      </c>
      <c r="E120" s="321">
        <f t="shared" ref="E120:E121" si="26">C124</f>
        <v>0</v>
      </c>
      <c r="H120" s="11" t="b">
        <f t="shared" si="17"/>
        <v>0</v>
      </c>
      <c r="K120" s="11" t="b">
        <v>1</v>
      </c>
    </row>
    <row r="121" spans="1:11">
      <c r="A121" s="11" t="s">
        <v>2021</v>
      </c>
      <c r="B121" s="320" t="str">
        <f>报表附注!E76</f>
        <v>合计</v>
      </c>
      <c r="C121" s="321">
        <f t="shared" si="25"/>
        <v>0</v>
      </c>
      <c r="D121" s="11" t="b">
        <f t="shared" si="19"/>
        <v>1</v>
      </c>
      <c r="E121" s="321">
        <f t="shared" si="26"/>
        <v>0</v>
      </c>
      <c r="H121" s="11" t="b">
        <f t="shared" si="17"/>
        <v>0</v>
      </c>
      <c r="K121" s="11" t="b">
        <v>1</v>
      </c>
    </row>
    <row r="122" spans="1:11">
      <c r="A122" s="11" t="s">
        <v>316</v>
      </c>
      <c r="B122" s="330" t="s">
        <v>316</v>
      </c>
      <c r="C122" s="328"/>
      <c r="D122" s="11" t="b">
        <f t="shared" si="19"/>
        <v>1</v>
      </c>
      <c r="H122" s="11" t="b">
        <f t="shared" si="17"/>
        <v>0</v>
      </c>
      <c r="I122" s="11" t="s">
        <v>2024</v>
      </c>
      <c r="K122" s="11" t="b">
        <v>1</v>
      </c>
    </row>
    <row r="123" spans="1:11">
      <c r="A123" s="11" t="s">
        <v>392</v>
      </c>
      <c r="B123" s="310" t="str">
        <f>报表附注!E74</f>
        <v>银行承兑汇票</v>
      </c>
      <c r="C123" s="321">
        <f t="shared" si="25"/>
        <v>0</v>
      </c>
      <c r="D123" s="11" t="b">
        <f t="shared" si="19"/>
        <v>1</v>
      </c>
      <c r="E123" s="311"/>
      <c r="H123" s="11" t="b">
        <f t="shared" si="17"/>
        <v>0</v>
      </c>
      <c r="K123" s="11" t="b">
        <v>1</v>
      </c>
    </row>
    <row r="124" spans="1:11">
      <c r="A124" s="11" t="s">
        <v>394</v>
      </c>
      <c r="B124" s="310" t="str">
        <f>报表附注!E75</f>
        <v>商业承兑汇票</v>
      </c>
      <c r="C124" s="321">
        <f t="shared" si="25"/>
        <v>0</v>
      </c>
      <c r="D124" s="11" t="b">
        <f t="shared" si="19"/>
        <v>1</v>
      </c>
      <c r="E124" s="311"/>
      <c r="H124" s="11" t="b">
        <f t="shared" si="17"/>
        <v>0</v>
      </c>
      <c r="K124" s="11" t="b">
        <v>1</v>
      </c>
    </row>
    <row r="125" spans="1:11">
      <c r="A125" s="11" t="s">
        <v>2021</v>
      </c>
      <c r="B125" s="320" t="str">
        <f>报表附注!E76</f>
        <v>合计</v>
      </c>
      <c r="C125" s="321">
        <f t="shared" si="25"/>
        <v>0</v>
      </c>
      <c r="D125" s="11" t="b">
        <f t="shared" si="19"/>
        <v>1</v>
      </c>
      <c r="E125" s="311"/>
      <c r="H125" s="11" t="b">
        <f t="shared" si="17"/>
        <v>0</v>
      </c>
      <c r="I125" s="11" t="s">
        <v>2025</v>
      </c>
      <c r="K125" s="11" t="b">
        <v>1</v>
      </c>
    </row>
    <row r="126" spans="4:11">
      <c r="D126" s="11" t="b">
        <f t="shared" si="19"/>
        <v>1</v>
      </c>
      <c r="E126" s="326"/>
      <c r="H126" s="11" t="b">
        <f t="shared" si="17"/>
        <v>0</v>
      </c>
      <c r="I126" s="11" t="s">
        <v>2020</v>
      </c>
      <c r="K126" s="11" t="b">
        <v>1</v>
      </c>
    </row>
    <row r="127" spans="1:11">
      <c r="A127" s="11" t="s">
        <v>2022</v>
      </c>
      <c r="B127" s="331" t="s">
        <v>2023</v>
      </c>
      <c r="D127" s="11" t="b">
        <f t="shared" si="19"/>
        <v>1</v>
      </c>
      <c r="H127" s="11" t="b">
        <f t="shared" si="17"/>
        <v>0</v>
      </c>
      <c r="I127" s="11" t="s">
        <v>2026</v>
      </c>
      <c r="K127" s="11" t="b">
        <v>1</v>
      </c>
    </row>
    <row r="128" spans="4:11">
      <c r="D128" s="11" t="b">
        <f t="shared" si="19"/>
        <v>1</v>
      </c>
      <c r="H128" s="11" t="b">
        <f t="shared" si="17"/>
        <v>0</v>
      </c>
      <c r="I128" s="11" t="s">
        <v>2027</v>
      </c>
      <c r="K128" s="11" t="b">
        <v>1</v>
      </c>
    </row>
    <row r="129" spans="4:11">
      <c r="D129" s="11" t="b">
        <f t="shared" si="19"/>
        <v>1</v>
      </c>
      <c r="H129" s="11" t="b">
        <f t="shared" si="17"/>
        <v>0</v>
      </c>
      <c r="I129" s="11" t="s">
        <v>2028</v>
      </c>
      <c r="K129" s="11" t="b">
        <v>1</v>
      </c>
    </row>
    <row r="130" spans="1:11">
      <c r="A130" s="11" t="s">
        <v>2024</v>
      </c>
      <c r="B130" s="331" t="s">
        <v>2024</v>
      </c>
      <c r="D130" s="11" t="b">
        <f t="shared" si="19"/>
        <v>1</v>
      </c>
      <c r="H130" s="11" t="b">
        <f t="shared" si="17"/>
        <v>0</v>
      </c>
      <c r="I130" s="11" t="s">
        <v>2029</v>
      </c>
      <c r="K130" s="11" t="b">
        <v>1</v>
      </c>
    </row>
    <row r="131" spans="4:11">
      <c r="D131" s="11" t="b">
        <f t="shared" si="19"/>
        <v>1</v>
      </c>
      <c r="H131" s="11" t="b">
        <f t="shared" si="17"/>
        <v>0</v>
      </c>
      <c r="I131" s="11" t="s">
        <v>2030</v>
      </c>
      <c r="K131" s="11" t="b">
        <v>1</v>
      </c>
    </row>
    <row r="132" spans="4:11">
      <c r="D132" s="11" t="b">
        <f t="shared" si="19"/>
        <v>1</v>
      </c>
      <c r="H132" s="11" t="b">
        <f t="shared" ref="H132:H195" si="27">I132=B132</f>
        <v>0</v>
      </c>
      <c r="I132" s="11" t="s">
        <v>2031</v>
      </c>
      <c r="K132" s="11" t="b">
        <v>1</v>
      </c>
    </row>
    <row r="133" spans="1:11">
      <c r="A133" s="11" t="s">
        <v>2025</v>
      </c>
      <c r="B133" s="329" t="s">
        <v>2025</v>
      </c>
      <c r="D133" s="11" t="b">
        <f t="shared" si="19"/>
        <v>1</v>
      </c>
      <c r="H133" s="11" t="b">
        <f t="shared" si="27"/>
        <v>0</v>
      </c>
      <c r="I133" s="11" t="s">
        <v>2021</v>
      </c>
      <c r="K133" s="11" t="b">
        <v>1</v>
      </c>
    </row>
    <row r="134" spans="1:11">
      <c r="A134" s="11" t="s">
        <v>2020</v>
      </c>
      <c r="B134" s="330" t="s">
        <v>2020</v>
      </c>
      <c r="D134" s="11" t="b">
        <f t="shared" si="19"/>
        <v>1</v>
      </c>
      <c r="H134" s="11" t="b">
        <f t="shared" si="27"/>
        <v>0</v>
      </c>
      <c r="I134" s="11" t="s">
        <v>2032</v>
      </c>
      <c r="K134" s="11" t="b">
        <v>1</v>
      </c>
    </row>
    <row r="135" spans="1:11">
      <c r="A135" s="11" t="s">
        <v>2026</v>
      </c>
      <c r="B135" s="310" t="str">
        <f>报表附注!E199</f>
        <v>1年以内（含1年）</v>
      </c>
      <c r="C135" s="321">
        <f t="shared" ref="C135:C158" si="28">J127</f>
        <v>0</v>
      </c>
      <c r="D135" s="11" t="b">
        <f t="shared" si="19"/>
        <v>1</v>
      </c>
      <c r="E135" s="321">
        <f>C152</f>
        <v>22849121.64</v>
      </c>
      <c r="H135" s="11" t="b">
        <f t="shared" si="27"/>
        <v>1</v>
      </c>
      <c r="I135" s="11" t="s">
        <v>2026</v>
      </c>
      <c r="J135" s="338"/>
      <c r="K135" s="11" t="b">
        <v>1</v>
      </c>
    </row>
    <row r="136" spans="1:11">
      <c r="A136" s="11" t="s">
        <v>2027</v>
      </c>
      <c r="B136" s="310" t="str">
        <f>报表附注!E200</f>
        <v>1-2年（含2年）</v>
      </c>
      <c r="C136" s="321">
        <f t="shared" si="28"/>
        <v>0</v>
      </c>
      <c r="D136" s="11" t="b">
        <f t="shared" si="19"/>
        <v>1</v>
      </c>
      <c r="E136" s="321">
        <f t="shared" ref="E136:E150" si="29">C153</f>
        <v>2919521.8</v>
      </c>
      <c r="H136" s="11" t="b">
        <f t="shared" si="27"/>
        <v>1</v>
      </c>
      <c r="I136" s="11" t="s">
        <v>2027</v>
      </c>
      <c r="J136" s="338"/>
      <c r="K136" s="11" t="b">
        <v>1</v>
      </c>
    </row>
    <row r="137" spans="1:11">
      <c r="A137" s="11" t="s">
        <v>2028</v>
      </c>
      <c r="B137" s="310" t="str">
        <f>报表附注!E201</f>
        <v>2-3年（含3年）</v>
      </c>
      <c r="C137" s="321">
        <f t="shared" si="28"/>
        <v>0</v>
      </c>
      <c r="D137" s="11" t="b">
        <f t="shared" si="19"/>
        <v>1</v>
      </c>
      <c r="E137" s="321">
        <f t="shared" si="29"/>
        <v>858676.77</v>
      </c>
      <c r="H137" s="11" t="b">
        <f t="shared" si="27"/>
        <v>1</v>
      </c>
      <c r="I137" s="11" t="s">
        <v>2028</v>
      </c>
      <c r="J137" s="338"/>
      <c r="K137" s="11" t="b">
        <v>1</v>
      </c>
    </row>
    <row r="138" spans="1:11">
      <c r="A138" s="11" t="s">
        <v>2029</v>
      </c>
      <c r="B138" s="310" t="str">
        <f>报表附注!E202</f>
        <v>3-4年（含4年）</v>
      </c>
      <c r="C138" s="321">
        <f t="shared" si="28"/>
        <v>0</v>
      </c>
      <c r="D138" s="11" t="b">
        <f t="shared" si="19"/>
        <v>1</v>
      </c>
      <c r="E138" s="321">
        <f t="shared" si="29"/>
        <v>2231474</v>
      </c>
      <c r="H138" s="11" t="b">
        <f t="shared" si="27"/>
        <v>1</v>
      </c>
      <c r="I138" s="11" t="s">
        <v>2029</v>
      </c>
      <c r="J138" s="338"/>
      <c r="K138" s="11" t="b">
        <v>1</v>
      </c>
    </row>
    <row r="139" spans="1:11">
      <c r="A139" s="11" t="s">
        <v>2030</v>
      </c>
      <c r="B139" s="310" t="str">
        <f>报表附注!E203</f>
        <v>4-5年（含5年）</v>
      </c>
      <c r="C139" s="321">
        <f t="shared" si="28"/>
        <v>0</v>
      </c>
      <c r="D139" s="11" t="b">
        <f t="shared" si="19"/>
        <v>1</v>
      </c>
      <c r="E139" s="321">
        <f t="shared" si="29"/>
        <v>0</v>
      </c>
      <c r="H139" s="11" t="b">
        <f t="shared" si="27"/>
        <v>1</v>
      </c>
      <c r="I139" s="11" t="s">
        <v>2030</v>
      </c>
      <c r="J139" s="338"/>
      <c r="K139" s="11" t="b">
        <v>1</v>
      </c>
    </row>
    <row r="140" spans="1:11">
      <c r="A140" s="11" t="s">
        <v>2031</v>
      </c>
      <c r="B140" s="310" t="str">
        <f>报表附注!E204</f>
        <v>5年以上</v>
      </c>
      <c r="C140" s="321">
        <f t="shared" si="28"/>
        <v>0</v>
      </c>
      <c r="D140" s="11" t="b">
        <f t="shared" ref="D140:D203" si="30">EXACT(A140,B140)</f>
        <v>1</v>
      </c>
      <c r="E140" s="321">
        <f t="shared" si="29"/>
        <v>0</v>
      </c>
      <c r="H140" s="11" t="b">
        <f t="shared" si="27"/>
        <v>1</v>
      </c>
      <c r="I140" s="11" t="s">
        <v>2031</v>
      </c>
      <c r="K140" s="11" t="b">
        <v>1</v>
      </c>
    </row>
    <row r="141" spans="1:11">
      <c r="A141" s="11" t="s">
        <v>2021</v>
      </c>
      <c r="B141" s="320" t="str">
        <f>报表附注!E205</f>
        <v>合计</v>
      </c>
      <c r="C141" s="321">
        <f t="shared" si="28"/>
        <v>0</v>
      </c>
      <c r="D141" s="11" t="b">
        <f t="shared" si="30"/>
        <v>1</v>
      </c>
      <c r="E141" s="321">
        <f t="shared" si="29"/>
        <v>0</v>
      </c>
      <c r="H141" s="11" t="b">
        <f t="shared" si="27"/>
        <v>1</v>
      </c>
      <c r="I141" s="11" t="s">
        <v>2021</v>
      </c>
      <c r="K141" s="11" t="b">
        <v>1</v>
      </c>
    </row>
    <row r="142" spans="1:11">
      <c r="A142" s="11" t="s">
        <v>2032</v>
      </c>
      <c r="B142" s="333" t="s">
        <v>2032</v>
      </c>
      <c r="C142" s="328">
        <f t="shared" si="28"/>
        <v>0</v>
      </c>
      <c r="D142" s="11" t="b">
        <f t="shared" si="30"/>
        <v>1</v>
      </c>
      <c r="E142" s="321">
        <f t="shared" si="29"/>
        <v>0</v>
      </c>
      <c r="H142" s="11" t="b">
        <f t="shared" si="27"/>
        <v>0</v>
      </c>
      <c r="I142" s="11" t="s">
        <v>2033</v>
      </c>
      <c r="K142" s="11" t="b">
        <v>1</v>
      </c>
    </row>
    <row r="143" spans="1:11">
      <c r="A143" s="11" t="s">
        <v>2026</v>
      </c>
      <c r="B143" s="310" t="str">
        <f>报表附注!E199</f>
        <v>1年以内（含1年）</v>
      </c>
      <c r="C143" s="321">
        <f t="shared" si="28"/>
        <v>0</v>
      </c>
      <c r="D143" s="11" t="b">
        <f t="shared" si="30"/>
        <v>1</v>
      </c>
      <c r="E143" s="321">
        <f t="shared" si="29"/>
        <v>1142456.08</v>
      </c>
      <c r="H143" s="11" t="b">
        <f t="shared" si="27"/>
        <v>0</v>
      </c>
      <c r="I143" s="11" t="s">
        <v>316</v>
      </c>
      <c r="K143" s="11" t="b">
        <v>1</v>
      </c>
    </row>
    <row r="144" spans="1:11">
      <c r="A144" s="11" t="s">
        <v>2027</v>
      </c>
      <c r="B144" s="310" t="str">
        <f>报表附注!E200</f>
        <v>1-2年（含2年）</v>
      </c>
      <c r="C144" s="321">
        <f t="shared" si="28"/>
        <v>0</v>
      </c>
      <c r="D144" s="11" t="b">
        <f t="shared" si="30"/>
        <v>1</v>
      </c>
      <c r="E144" s="321">
        <f t="shared" si="29"/>
        <v>291952.18</v>
      </c>
      <c r="H144" s="11" t="b">
        <f t="shared" si="27"/>
        <v>0</v>
      </c>
      <c r="I144" s="11" t="s">
        <v>2026</v>
      </c>
      <c r="J144" s="323">
        <v>22849121.64</v>
      </c>
      <c r="K144" s="11" t="b">
        <v>1</v>
      </c>
    </row>
    <row r="145" spans="1:11">
      <c r="A145" s="11" t="s">
        <v>2028</v>
      </c>
      <c r="B145" s="310" t="str">
        <f>报表附注!E201</f>
        <v>2-3年（含3年）</v>
      </c>
      <c r="C145" s="321">
        <f t="shared" si="28"/>
        <v>0</v>
      </c>
      <c r="D145" s="11" t="b">
        <f t="shared" si="30"/>
        <v>1</v>
      </c>
      <c r="E145" s="321">
        <f t="shared" si="29"/>
        <v>171735.35</v>
      </c>
      <c r="H145" s="11" t="b">
        <f t="shared" si="27"/>
        <v>0</v>
      </c>
      <c r="I145" s="11" t="s">
        <v>2027</v>
      </c>
      <c r="J145" s="323">
        <v>2919521.8</v>
      </c>
      <c r="K145" s="11" t="b">
        <v>1</v>
      </c>
    </row>
    <row r="146" spans="1:11">
      <c r="A146" s="11" t="s">
        <v>2029</v>
      </c>
      <c r="B146" s="310" t="str">
        <f>报表附注!E202</f>
        <v>3-4年（含4年）</v>
      </c>
      <c r="C146" s="321">
        <f t="shared" si="28"/>
        <v>0</v>
      </c>
      <c r="D146" s="11" t="b">
        <f t="shared" si="30"/>
        <v>1</v>
      </c>
      <c r="E146" s="321">
        <f t="shared" si="29"/>
        <v>1115737</v>
      </c>
      <c r="H146" s="11" t="b">
        <f t="shared" si="27"/>
        <v>0</v>
      </c>
      <c r="I146" s="11" t="s">
        <v>2028</v>
      </c>
      <c r="J146" s="323">
        <v>858676.77</v>
      </c>
      <c r="K146" s="11" t="b">
        <v>1</v>
      </c>
    </row>
    <row r="147" spans="1:11">
      <c r="A147" s="11" t="s">
        <v>2030</v>
      </c>
      <c r="B147" s="310" t="str">
        <f>报表附注!E203</f>
        <v>4-5年（含5年）</v>
      </c>
      <c r="C147" s="321">
        <f t="shared" si="28"/>
        <v>0</v>
      </c>
      <c r="D147" s="11" t="b">
        <f t="shared" si="30"/>
        <v>1</v>
      </c>
      <c r="E147" s="321">
        <f t="shared" si="29"/>
        <v>0</v>
      </c>
      <c r="H147" s="11" t="b">
        <f t="shared" si="27"/>
        <v>0</v>
      </c>
      <c r="I147" s="11" t="s">
        <v>2029</v>
      </c>
      <c r="J147" s="323">
        <v>2231474</v>
      </c>
      <c r="K147" s="11" t="b">
        <v>1</v>
      </c>
    </row>
    <row r="148" spans="1:11">
      <c r="A148" s="11" t="s">
        <v>2031</v>
      </c>
      <c r="B148" s="310" t="str">
        <f>报表附注!E204</f>
        <v>5年以上</v>
      </c>
      <c r="C148" s="321">
        <f t="shared" si="28"/>
        <v>0</v>
      </c>
      <c r="D148" s="11" t="b">
        <f t="shared" si="30"/>
        <v>1</v>
      </c>
      <c r="E148" s="321">
        <f t="shared" si="29"/>
        <v>0</v>
      </c>
      <c r="H148" s="11" t="b">
        <f t="shared" si="27"/>
        <v>0</v>
      </c>
      <c r="I148" s="11" t="s">
        <v>2030</v>
      </c>
      <c r="K148" s="11" t="b">
        <v>1</v>
      </c>
    </row>
    <row r="149" spans="1:11">
      <c r="A149" s="11" t="s">
        <v>2021</v>
      </c>
      <c r="B149" s="320" t="str">
        <f>报表附注!E205</f>
        <v>合计</v>
      </c>
      <c r="C149" s="321">
        <f t="shared" si="28"/>
        <v>0</v>
      </c>
      <c r="D149" s="11" t="b">
        <f t="shared" si="30"/>
        <v>1</v>
      </c>
      <c r="E149" s="321">
        <f t="shared" si="29"/>
        <v>0</v>
      </c>
      <c r="H149" s="11" t="b">
        <f t="shared" si="27"/>
        <v>0</v>
      </c>
      <c r="I149" s="11" t="s">
        <v>2031</v>
      </c>
      <c r="K149" s="11" t="b">
        <v>1</v>
      </c>
    </row>
    <row r="150" spans="1:11">
      <c r="A150" s="11" t="s">
        <v>2033</v>
      </c>
      <c r="B150" s="320" t="s">
        <v>2033</v>
      </c>
      <c r="C150" s="321">
        <f t="shared" si="28"/>
        <v>0</v>
      </c>
      <c r="D150" s="11" t="b">
        <f t="shared" si="30"/>
        <v>1</v>
      </c>
      <c r="E150" s="321">
        <f t="shared" si="29"/>
        <v>0</v>
      </c>
      <c r="H150" s="11" t="b">
        <f t="shared" si="27"/>
        <v>0</v>
      </c>
      <c r="I150" s="11" t="s">
        <v>2021</v>
      </c>
      <c r="K150" s="11" t="b">
        <v>1</v>
      </c>
    </row>
    <row r="151" spans="1:11">
      <c r="A151" s="11" t="s">
        <v>316</v>
      </c>
      <c r="B151" s="330" t="s">
        <v>316</v>
      </c>
      <c r="C151" s="328">
        <f t="shared" si="28"/>
        <v>0</v>
      </c>
      <c r="D151" s="11" t="b">
        <f t="shared" si="30"/>
        <v>1</v>
      </c>
      <c r="H151" s="11" t="b">
        <f t="shared" si="27"/>
        <v>0</v>
      </c>
      <c r="I151" s="11" t="s">
        <v>2034</v>
      </c>
      <c r="K151" s="11" t="b">
        <v>1</v>
      </c>
    </row>
    <row r="152" spans="1:11">
      <c r="A152" s="11" t="s">
        <v>2026</v>
      </c>
      <c r="B152" s="310" t="str">
        <f>报表附注!E199</f>
        <v>1年以内（含1年）</v>
      </c>
      <c r="C152" s="321">
        <f t="shared" si="28"/>
        <v>22849121.64</v>
      </c>
      <c r="D152" s="11" t="b">
        <f t="shared" si="30"/>
        <v>1</v>
      </c>
      <c r="E152" s="311"/>
      <c r="H152" s="11" t="b">
        <f t="shared" si="27"/>
        <v>1</v>
      </c>
      <c r="I152" s="11" t="s">
        <v>2026</v>
      </c>
      <c r="J152" s="323">
        <v>1142456.08</v>
      </c>
      <c r="K152" s="11" t="b">
        <v>1</v>
      </c>
    </row>
    <row r="153" spans="1:11">
      <c r="A153" s="11" t="s">
        <v>2027</v>
      </c>
      <c r="B153" s="310" t="str">
        <f>报表附注!E200</f>
        <v>1-2年（含2年）</v>
      </c>
      <c r="C153" s="321">
        <f t="shared" si="28"/>
        <v>2919521.8</v>
      </c>
      <c r="D153" s="11" t="b">
        <f t="shared" si="30"/>
        <v>1</v>
      </c>
      <c r="E153" s="311"/>
      <c r="H153" s="11" t="b">
        <f t="shared" si="27"/>
        <v>1</v>
      </c>
      <c r="I153" s="11" t="s">
        <v>2027</v>
      </c>
      <c r="J153" s="323">
        <v>291952.18</v>
      </c>
      <c r="K153" s="11" t="b">
        <v>1</v>
      </c>
    </row>
    <row r="154" spans="1:11">
      <c r="A154" s="11" t="s">
        <v>2028</v>
      </c>
      <c r="B154" s="310" t="str">
        <f>报表附注!E201</f>
        <v>2-3年（含3年）</v>
      </c>
      <c r="C154" s="321">
        <f t="shared" si="28"/>
        <v>858676.77</v>
      </c>
      <c r="D154" s="11" t="b">
        <f t="shared" si="30"/>
        <v>1</v>
      </c>
      <c r="E154" s="311"/>
      <c r="H154" s="11" t="b">
        <f t="shared" si="27"/>
        <v>1</v>
      </c>
      <c r="I154" s="11" t="s">
        <v>2028</v>
      </c>
      <c r="J154" s="323">
        <v>171735.35</v>
      </c>
      <c r="K154" s="11" t="b">
        <v>1</v>
      </c>
    </row>
    <row r="155" spans="1:11">
      <c r="A155" s="11" t="s">
        <v>2029</v>
      </c>
      <c r="B155" s="310" t="str">
        <f>报表附注!E202</f>
        <v>3-4年（含4年）</v>
      </c>
      <c r="C155" s="321">
        <f t="shared" si="28"/>
        <v>2231474</v>
      </c>
      <c r="D155" s="11" t="b">
        <f t="shared" si="30"/>
        <v>1</v>
      </c>
      <c r="E155" s="311"/>
      <c r="H155" s="11" t="b">
        <f t="shared" si="27"/>
        <v>1</v>
      </c>
      <c r="I155" s="11" t="s">
        <v>2029</v>
      </c>
      <c r="J155" s="323">
        <v>1115737</v>
      </c>
      <c r="K155" s="11" t="b">
        <v>1</v>
      </c>
    </row>
    <row r="156" spans="1:11">
      <c r="A156" s="11" t="s">
        <v>2030</v>
      </c>
      <c r="B156" s="310" t="str">
        <f>报表附注!E203</f>
        <v>4-5年（含5年）</v>
      </c>
      <c r="C156" s="321">
        <f t="shared" si="28"/>
        <v>0</v>
      </c>
      <c r="D156" s="11" t="b">
        <f t="shared" si="30"/>
        <v>1</v>
      </c>
      <c r="E156" s="311"/>
      <c r="H156" s="11" t="b">
        <f t="shared" si="27"/>
        <v>1</v>
      </c>
      <c r="I156" s="11" t="s">
        <v>2030</v>
      </c>
      <c r="K156" s="11" t="b">
        <v>1</v>
      </c>
    </row>
    <row r="157" spans="1:11">
      <c r="A157" s="11" t="s">
        <v>2031</v>
      </c>
      <c r="B157" s="310" t="str">
        <f>报表附注!E204</f>
        <v>5年以上</v>
      </c>
      <c r="C157" s="321">
        <f t="shared" si="28"/>
        <v>0</v>
      </c>
      <c r="D157" s="11" t="b">
        <f t="shared" si="30"/>
        <v>1</v>
      </c>
      <c r="E157" s="311"/>
      <c r="H157" s="11" t="b">
        <f t="shared" si="27"/>
        <v>1</v>
      </c>
      <c r="I157" s="11" t="s">
        <v>2031</v>
      </c>
      <c r="K157" s="11" t="b">
        <v>1</v>
      </c>
    </row>
    <row r="158" spans="1:11">
      <c r="A158" s="11" t="s">
        <v>2021</v>
      </c>
      <c r="B158" s="320" t="str">
        <f>报表附注!E205</f>
        <v>合计</v>
      </c>
      <c r="C158" s="321">
        <f t="shared" si="28"/>
        <v>0</v>
      </c>
      <c r="D158" s="11" t="b">
        <f t="shared" si="30"/>
        <v>1</v>
      </c>
      <c r="E158" s="311"/>
      <c r="H158" s="11" t="b">
        <f t="shared" si="27"/>
        <v>1</v>
      </c>
      <c r="I158" s="11" t="s">
        <v>2021</v>
      </c>
      <c r="K158" s="11" t="b">
        <v>1</v>
      </c>
    </row>
    <row r="159" spans="1:11">
      <c r="A159" s="11" t="s">
        <v>2034</v>
      </c>
      <c r="B159" s="333" t="s">
        <v>2034</v>
      </c>
      <c r="D159" s="11" t="b">
        <f t="shared" si="30"/>
        <v>1</v>
      </c>
      <c r="E159" s="326"/>
      <c r="H159" s="11" t="b">
        <f t="shared" si="27"/>
        <v>0</v>
      </c>
      <c r="I159" s="11" t="s">
        <v>2035</v>
      </c>
      <c r="K159" s="11" t="b">
        <v>1</v>
      </c>
    </row>
    <row r="160" spans="1:11">
      <c r="A160" s="11" t="s">
        <v>2026</v>
      </c>
      <c r="B160" s="310" t="str">
        <f>报表附注!E199</f>
        <v>1年以内（含1年）</v>
      </c>
      <c r="C160" s="321">
        <f t="shared" ref="C160:C167" si="31">J152</f>
        <v>1142456.08</v>
      </c>
      <c r="D160" s="11" t="b">
        <f t="shared" si="30"/>
        <v>1</v>
      </c>
      <c r="E160" s="311"/>
      <c r="H160" s="11" t="b">
        <f t="shared" si="27"/>
        <v>0</v>
      </c>
      <c r="K160" s="11" t="b">
        <v>1</v>
      </c>
    </row>
    <row r="161" spans="1:11">
      <c r="A161" s="11" t="s">
        <v>2027</v>
      </c>
      <c r="B161" s="310" t="str">
        <f>报表附注!E200</f>
        <v>1-2年（含2年）</v>
      </c>
      <c r="C161" s="321">
        <f t="shared" si="31"/>
        <v>291952.18</v>
      </c>
      <c r="D161" s="11" t="b">
        <f t="shared" si="30"/>
        <v>1</v>
      </c>
      <c r="E161" s="311"/>
      <c r="H161" s="11" t="b">
        <f t="shared" si="27"/>
        <v>0</v>
      </c>
      <c r="I161" s="11" t="s">
        <v>2020</v>
      </c>
      <c r="K161" s="11" t="b">
        <v>1</v>
      </c>
    </row>
    <row r="162" spans="1:11">
      <c r="A162" s="11" t="s">
        <v>2028</v>
      </c>
      <c r="B162" s="310" t="str">
        <f>报表附注!E201</f>
        <v>2-3年（含3年）</v>
      </c>
      <c r="C162" s="321">
        <f t="shared" si="31"/>
        <v>171735.35</v>
      </c>
      <c r="D162" s="11" t="b">
        <f t="shared" si="30"/>
        <v>1</v>
      </c>
      <c r="E162" s="311"/>
      <c r="H162" s="11" t="b">
        <f t="shared" si="27"/>
        <v>0</v>
      </c>
      <c r="I162" s="11" t="s">
        <v>2036</v>
      </c>
      <c r="K162" s="11" t="b">
        <v>1</v>
      </c>
    </row>
    <row r="163" spans="1:11">
      <c r="A163" s="11" t="s">
        <v>2029</v>
      </c>
      <c r="B163" s="310" t="str">
        <f>报表附注!E202</f>
        <v>3-4年（含4年）</v>
      </c>
      <c r="C163" s="321">
        <f t="shared" si="31"/>
        <v>1115737</v>
      </c>
      <c r="D163" s="11" t="b">
        <f t="shared" si="30"/>
        <v>1</v>
      </c>
      <c r="E163" s="311"/>
      <c r="H163" s="11" t="b">
        <f t="shared" si="27"/>
        <v>0</v>
      </c>
      <c r="I163" s="11" t="s">
        <v>2037</v>
      </c>
      <c r="K163" s="11" t="b">
        <v>1</v>
      </c>
    </row>
    <row r="164" spans="1:11">
      <c r="A164" s="11" t="s">
        <v>2030</v>
      </c>
      <c r="B164" s="310" t="str">
        <f>报表附注!E203</f>
        <v>4-5年（含5年）</v>
      </c>
      <c r="C164" s="321">
        <f t="shared" si="31"/>
        <v>0</v>
      </c>
      <c r="D164" s="11" t="b">
        <f t="shared" si="30"/>
        <v>1</v>
      </c>
      <c r="E164" s="311"/>
      <c r="H164" s="11" t="b">
        <f t="shared" si="27"/>
        <v>0</v>
      </c>
      <c r="I164" s="11" t="s">
        <v>2038</v>
      </c>
      <c r="K164" s="11" t="b">
        <v>1</v>
      </c>
    </row>
    <row r="165" spans="1:11">
      <c r="A165" s="11" t="s">
        <v>2031</v>
      </c>
      <c r="B165" s="310" t="str">
        <f>报表附注!E204</f>
        <v>5年以上</v>
      </c>
      <c r="C165" s="321">
        <f t="shared" si="31"/>
        <v>0</v>
      </c>
      <c r="D165" s="11" t="b">
        <f t="shared" si="30"/>
        <v>1</v>
      </c>
      <c r="E165" s="311"/>
      <c r="H165" s="11" t="b">
        <f t="shared" si="27"/>
        <v>0</v>
      </c>
      <c r="I165" s="11" t="s">
        <v>2021</v>
      </c>
      <c r="K165" s="11" t="b">
        <v>1</v>
      </c>
    </row>
    <row r="166" spans="1:11">
      <c r="A166" s="11" t="s">
        <v>2021</v>
      </c>
      <c r="B166" s="320" t="str">
        <f>报表附注!E205</f>
        <v>合计</v>
      </c>
      <c r="C166" s="321">
        <f t="shared" si="31"/>
        <v>0</v>
      </c>
      <c r="D166" s="11" t="b">
        <f t="shared" si="30"/>
        <v>1</v>
      </c>
      <c r="E166" s="311"/>
      <c r="H166" s="11" t="b">
        <f t="shared" si="27"/>
        <v>0</v>
      </c>
      <c r="I166" s="11" t="s">
        <v>2032</v>
      </c>
      <c r="K166" s="11" t="b">
        <v>1</v>
      </c>
    </row>
    <row r="167" spans="1:11">
      <c r="A167" s="11" t="s">
        <v>2035</v>
      </c>
      <c r="B167" s="320" t="s">
        <v>2035</v>
      </c>
      <c r="C167" s="321">
        <f t="shared" si="31"/>
        <v>0</v>
      </c>
      <c r="D167" s="11" t="b">
        <f t="shared" si="30"/>
        <v>1</v>
      </c>
      <c r="E167" s="311"/>
      <c r="H167" s="11" t="b">
        <f t="shared" si="27"/>
        <v>0</v>
      </c>
      <c r="I167" s="11" t="s">
        <v>2036</v>
      </c>
      <c r="K167" s="11" t="b">
        <v>1</v>
      </c>
    </row>
    <row r="168" spans="4:11">
      <c r="D168" s="11" t="b">
        <f t="shared" si="30"/>
        <v>1</v>
      </c>
      <c r="H168" s="11" t="b">
        <f t="shared" si="27"/>
        <v>0</v>
      </c>
      <c r="I168" s="11" t="s">
        <v>2037</v>
      </c>
      <c r="K168" s="11" t="b">
        <v>1</v>
      </c>
    </row>
    <row r="169" spans="1:11">
      <c r="A169" s="11" t="s">
        <v>2020</v>
      </c>
      <c r="B169" s="330" t="s">
        <v>2020</v>
      </c>
      <c r="D169" s="11" t="b">
        <f t="shared" si="30"/>
        <v>1</v>
      </c>
      <c r="H169" s="11" t="b">
        <f t="shared" si="27"/>
        <v>0</v>
      </c>
      <c r="I169" s="11" t="s">
        <v>2038</v>
      </c>
      <c r="K169" s="11" t="b">
        <v>1</v>
      </c>
    </row>
    <row r="170" ht="22.5" spans="1:11">
      <c r="A170" s="11" t="s">
        <v>2036</v>
      </c>
      <c r="B170" s="310" t="str">
        <f>报表附注!E211</f>
        <v>单项金额重大并单项计提坏账准备的的应收账款</v>
      </c>
      <c r="C170" s="321">
        <f t="shared" ref="C170:C183" si="32">J162</f>
        <v>0</v>
      </c>
      <c r="D170" s="11" t="b">
        <f t="shared" si="30"/>
        <v>1</v>
      </c>
      <c r="E170" s="321">
        <f>C180</f>
        <v>0</v>
      </c>
      <c r="H170" s="11" t="b">
        <f t="shared" si="27"/>
        <v>0</v>
      </c>
      <c r="I170" s="11" t="s">
        <v>2021</v>
      </c>
      <c r="K170" s="11" t="b">
        <v>1</v>
      </c>
    </row>
    <row r="171" ht="19.5" customHeight="1" spans="1:11">
      <c r="A171" s="11" t="s">
        <v>2037</v>
      </c>
      <c r="B171" s="310" t="str">
        <f>报表附注!E212</f>
        <v>按组合（账龄分析法）计提坏账准备的应收账款</v>
      </c>
      <c r="C171" s="321">
        <f t="shared" si="32"/>
        <v>0</v>
      </c>
      <c r="D171" s="11" t="b">
        <f t="shared" si="30"/>
        <v>1</v>
      </c>
      <c r="E171" s="321">
        <f t="shared" ref="E171:E178" si="33">C181</f>
        <v>28858794.21</v>
      </c>
      <c r="H171" s="11" t="b">
        <f t="shared" si="27"/>
        <v>0</v>
      </c>
      <c r="I171" s="11" t="s">
        <v>316</v>
      </c>
      <c r="K171" s="11" t="b">
        <v>1</v>
      </c>
    </row>
    <row r="172" ht="22.5" spans="1:11">
      <c r="A172" s="11" t="s">
        <v>2038</v>
      </c>
      <c r="B172" s="310" t="str">
        <f>报表附注!E213</f>
        <v>单项金额虽不重大但单项计提坏账准备的应收账款</v>
      </c>
      <c r="C172" s="321">
        <f t="shared" si="32"/>
        <v>0</v>
      </c>
      <c r="D172" s="11" t="b">
        <f t="shared" si="30"/>
        <v>1</v>
      </c>
      <c r="E172" s="321">
        <f t="shared" si="33"/>
        <v>0</v>
      </c>
      <c r="H172" s="11" t="b">
        <f t="shared" si="27"/>
        <v>0</v>
      </c>
      <c r="I172" s="11" t="s">
        <v>2036</v>
      </c>
      <c r="K172" s="11" t="b">
        <v>1</v>
      </c>
    </row>
    <row r="173" spans="1:11">
      <c r="A173" s="11" t="s">
        <v>2021</v>
      </c>
      <c r="B173" s="320" t="str">
        <f>报表附注!E214</f>
        <v>合计</v>
      </c>
      <c r="C173" s="321">
        <f t="shared" si="32"/>
        <v>0</v>
      </c>
      <c r="D173" s="11" t="b">
        <f t="shared" si="30"/>
        <v>1</v>
      </c>
      <c r="E173" s="321">
        <f t="shared" si="33"/>
        <v>0</v>
      </c>
      <c r="H173" s="11" t="b">
        <f t="shared" si="27"/>
        <v>0</v>
      </c>
      <c r="I173" s="11" t="s">
        <v>2037</v>
      </c>
      <c r="J173" s="323">
        <f>SUM(J144:J149)</f>
        <v>28858794.21</v>
      </c>
      <c r="K173" s="11" t="b">
        <v>1</v>
      </c>
    </row>
    <row r="174" spans="1:11">
      <c r="A174" s="11" t="s">
        <v>2032</v>
      </c>
      <c r="B174" s="333" t="s">
        <v>2032</v>
      </c>
      <c r="C174" s="328">
        <f t="shared" si="32"/>
        <v>0</v>
      </c>
      <c r="D174" s="11" t="b">
        <f t="shared" si="30"/>
        <v>1</v>
      </c>
      <c r="E174" s="321">
        <f t="shared" si="33"/>
        <v>0</v>
      </c>
      <c r="H174" s="11" t="b">
        <f t="shared" si="27"/>
        <v>0</v>
      </c>
      <c r="I174" s="11" t="s">
        <v>2038</v>
      </c>
      <c r="K174" s="11" t="b">
        <v>1</v>
      </c>
    </row>
    <row r="175" ht="22.5" spans="1:11">
      <c r="A175" s="11" t="s">
        <v>2036</v>
      </c>
      <c r="B175" s="310" t="str">
        <f>报表附注!E211</f>
        <v>单项金额重大并单项计提坏账准备的的应收账款</v>
      </c>
      <c r="C175" s="321">
        <f t="shared" si="32"/>
        <v>0</v>
      </c>
      <c r="D175" s="11" t="b">
        <f t="shared" si="30"/>
        <v>1</v>
      </c>
      <c r="E175" s="321">
        <f t="shared" si="33"/>
        <v>0</v>
      </c>
      <c r="H175" s="11" t="b">
        <f t="shared" si="27"/>
        <v>0</v>
      </c>
      <c r="I175" s="11" t="s">
        <v>2021</v>
      </c>
      <c r="K175" s="11" t="b">
        <v>1</v>
      </c>
    </row>
    <row r="176" ht="21.75" customHeight="1" spans="1:11">
      <c r="A176" s="11" t="s">
        <v>2037</v>
      </c>
      <c r="B176" s="310" t="str">
        <f>报表附注!E212</f>
        <v>按组合（账龄分析法）计提坏账准备的应收账款</v>
      </c>
      <c r="C176" s="321">
        <f t="shared" si="32"/>
        <v>0</v>
      </c>
      <c r="D176" s="11" t="b">
        <f t="shared" si="30"/>
        <v>1</v>
      </c>
      <c r="E176" s="321">
        <f t="shared" si="33"/>
        <v>2721880.61</v>
      </c>
      <c r="H176" s="11" t="b">
        <f t="shared" si="27"/>
        <v>0</v>
      </c>
      <c r="I176" s="11" t="s">
        <v>2034</v>
      </c>
      <c r="K176" s="11" t="b">
        <v>1</v>
      </c>
    </row>
    <row r="177" ht="22.5" spans="1:11">
      <c r="A177" s="11" t="s">
        <v>2038</v>
      </c>
      <c r="B177" s="310" t="str">
        <f>报表附注!E213</f>
        <v>单项金额虽不重大但单项计提坏账准备的应收账款</v>
      </c>
      <c r="C177" s="321">
        <f t="shared" si="32"/>
        <v>0</v>
      </c>
      <c r="D177" s="11" t="b">
        <f t="shared" si="30"/>
        <v>1</v>
      </c>
      <c r="E177" s="321">
        <f t="shared" si="33"/>
        <v>0</v>
      </c>
      <c r="H177" s="11" t="b">
        <f t="shared" si="27"/>
        <v>0</v>
      </c>
      <c r="I177" s="11" t="s">
        <v>2036</v>
      </c>
      <c r="K177" s="11" t="b">
        <v>1</v>
      </c>
    </row>
    <row r="178" spans="1:11">
      <c r="A178" s="11" t="s">
        <v>2021</v>
      </c>
      <c r="B178" s="320" t="str">
        <f>报表附注!E214</f>
        <v>合计</v>
      </c>
      <c r="C178" s="321">
        <f t="shared" si="32"/>
        <v>0</v>
      </c>
      <c r="D178" s="11" t="b">
        <f t="shared" si="30"/>
        <v>1</v>
      </c>
      <c r="E178" s="321">
        <f t="shared" si="33"/>
        <v>0</v>
      </c>
      <c r="H178" s="11" t="b">
        <f t="shared" si="27"/>
        <v>0</v>
      </c>
      <c r="I178" s="11" t="s">
        <v>2037</v>
      </c>
      <c r="J178" s="323">
        <f>SUM(J152:J157)</f>
        <v>2721880.61</v>
      </c>
      <c r="K178" s="11" t="b">
        <v>1</v>
      </c>
    </row>
    <row r="179" spans="1:11">
      <c r="A179" s="11" t="s">
        <v>316</v>
      </c>
      <c r="B179" s="330" t="s">
        <v>316</v>
      </c>
      <c r="C179" s="328">
        <f t="shared" si="32"/>
        <v>0</v>
      </c>
      <c r="D179" s="11" t="b">
        <f t="shared" si="30"/>
        <v>1</v>
      </c>
      <c r="H179" s="11" t="b">
        <f t="shared" si="27"/>
        <v>0</v>
      </c>
      <c r="I179" s="11" t="s">
        <v>2038</v>
      </c>
      <c r="K179" s="11" t="b">
        <v>1</v>
      </c>
    </row>
    <row r="180" ht="22.5" spans="1:11">
      <c r="A180" s="11" t="s">
        <v>2036</v>
      </c>
      <c r="B180" s="310" t="str">
        <f>报表附注!E211</f>
        <v>单项金额重大并单项计提坏账准备的的应收账款</v>
      </c>
      <c r="C180" s="321">
        <f t="shared" si="32"/>
        <v>0</v>
      </c>
      <c r="D180" s="11" t="b">
        <f t="shared" si="30"/>
        <v>1</v>
      </c>
      <c r="E180" s="311"/>
      <c r="H180" s="11" t="b">
        <f t="shared" si="27"/>
        <v>0</v>
      </c>
      <c r="I180" s="11" t="s">
        <v>2021</v>
      </c>
      <c r="K180" s="11" t="b">
        <v>1</v>
      </c>
    </row>
    <row r="181" ht="24.75" customHeight="1" spans="1:11">
      <c r="A181" s="11" t="s">
        <v>2037</v>
      </c>
      <c r="B181" s="310" t="str">
        <f>报表附注!E212</f>
        <v>按组合（账龄分析法）计提坏账准备的应收账款</v>
      </c>
      <c r="C181" s="321">
        <f t="shared" si="32"/>
        <v>28858794.21</v>
      </c>
      <c r="D181" s="11" t="b">
        <f t="shared" si="30"/>
        <v>1</v>
      </c>
      <c r="E181" s="311"/>
      <c r="H181" s="11" t="b">
        <f t="shared" si="27"/>
        <v>0</v>
      </c>
      <c r="K181" s="11" t="b">
        <v>1</v>
      </c>
    </row>
    <row r="182" ht="22.5" spans="1:11">
      <c r="A182" s="11" t="s">
        <v>2038</v>
      </c>
      <c r="B182" s="310" t="str">
        <f>报表附注!E213</f>
        <v>单项金额虽不重大但单项计提坏账准备的应收账款</v>
      </c>
      <c r="C182" s="321">
        <f t="shared" si="32"/>
        <v>0</v>
      </c>
      <c r="D182" s="11" t="b">
        <f t="shared" si="30"/>
        <v>1</v>
      </c>
      <c r="E182" s="311"/>
      <c r="H182" s="11" t="b">
        <f t="shared" si="27"/>
        <v>0</v>
      </c>
      <c r="I182" s="11" t="s">
        <v>2039</v>
      </c>
      <c r="K182" s="11" t="b">
        <v>1</v>
      </c>
    </row>
    <row r="183" spans="1:11">
      <c r="A183" s="11" t="s">
        <v>2021</v>
      </c>
      <c r="B183" s="320" t="str">
        <f>报表附注!E214</f>
        <v>合计</v>
      </c>
      <c r="C183" s="321">
        <f t="shared" si="32"/>
        <v>0</v>
      </c>
      <c r="D183" s="11" t="b">
        <f t="shared" si="30"/>
        <v>1</v>
      </c>
      <c r="E183" s="311"/>
      <c r="H183" s="11" t="b">
        <f t="shared" si="27"/>
        <v>0</v>
      </c>
      <c r="I183" s="11" t="s">
        <v>2020</v>
      </c>
      <c r="K183" s="11" t="b">
        <v>1</v>
      </c>
    </row>
    <row r="184" spans="1:11">
      <c r="A184" s="11" t="s">
        <v>2034</v>
      </c>
      <c r="B184" s="333" t="s">
        <v>2034</v>
      </c>
      <c r="D184" s="11" t="b">
        <f t="shared" si="30"/>
        <v>1</v>
      </c>
      <c r="E184" s="326"/>
      <c r="H184" s="11" t="b">
        <f t="shared" si="27"/>
        <v>0</v>
      </c>
      <c r="I184" s="11" t="s">
        <v>2026</v>
      </c>
      <c r="K184" s="11" t="b">
        <v>1</v>
      </c>
    </row>
    <row r="185" ht="22.5" spans="1:11">
      <c r="A185" s="11" t="s">
        <v>2036</v>
      </c>
      <c r="B185" s="310" t="str">
        <f>报表附注!E211</f>
        <v>单项金额重大并单项计提坏账准备的的应收账款</v>
      </c>
      <c r="C185" s="321">
        <f t="shared" ref="C185:C188" si="34">J177</f>
        <v>0</v>
      </c>
      <c r="D185" s="11" t="b">
        <f t="shared" si="30"/>
        <v>1</v>
      </c>
      <c r="E185" s="311"/>
      <c r="H185" s="11" t="b">
        <f t="shared" si="27"/>
        <v>0</v>
      </c>
      <c r="I185" s="11" t="s">
        <v>2027</v>
      </c>
      <c r="K185" s="11" t="b">
        <v>1</v>
      </c>
    </row>
    <row r="186" ht="21" customHeight="1" spans="1:11">
      <c r="A186" s="11" t="s">
        <v>2037</v>
      </c>
      <c r="B186" s="310" t="str">
        <f>报表附注!E212</f>
        <v>按组合（账龄分析法）计提坏账准备的应收账款</v>
      </c>
      <c r="C186" s="321">
        <f t="shared" si="34"/>
        <v>2721880.61</v>
      </c>
      <c r="D186" s="11" t="b">
        <f t="shared" si="30"/>
        <v>1</v>
      </c>
      <c r="E186" s="311"/>
      <c r="H186" s="11" t="b">
        <f t="shared" si="27"/>
        <v>0</v>
      </c>
      <c r="I186" s="11" t="s">
        <v>2028</v>
      </c>
      <c r="K186" s="11" t="b">
        <v>1</v>
      </c>
    </row>
    <row r="187" ht="22.5" spans="1:11">
      <c r="A187" s="11" t="s">
        <v>2038</v>
      </c>
      <c r="B187" s="310" t="str">
        <f>报表附注!E213</f>
        <v>单项金额虽不重大但单项计提坏账准备的应收账款</v>
      </c>
      <c r="C187" s="321">
        <f t="shared" si="34"/>
        <v>0</v>
      </c>
      <c r="D187" s="11" t="b">
        <f t="shared" si="30"/>
        <v>1</v>
      </c>
      <c r="E187" s="311"/>
      <c r="H187" s="11" t="b">
        <f t="shared" si="27"/>
        <v>0</v>
      </c>
      <c r="I187" s="11" t="s">
        <v>2029</v>
      </c>
      <c r="K187" s="11" t="b">
        <v>1</v>
      </c>
    </row>
    <row r="188" spans="1:11">
      <c r="A188" s="11" t="s">
        <v>2021</v>
      </c>
      <c r="B188" s="320" t="str">
        <f>报表附注!E214</f>
        <v>合计</v>
      </c>
      <c r="C188" s="321">
        <f t="shared" si="34"/>
        <v>0</v>
      </c>
      <c r="D188" s="11" t="b">
        <f t="shared" si="30"/>
        <v>1</v>
      </c>
      <c r="E188" s="311"/>
      <c r="H188" s="11" t="b">
        <f t="shared" si="27"/>
        <v>0</v>
      </c>
      <c r="I188" s="11" t="s">
        <v>2030</v>
      </c>
      <c r="K188" s="11" t="b">
        <v>1</v>
      </c>
    </row>
    <row r="189" spans="2:11">
      <c r="B189" s="334"/>
      <c r="D189" s="11" t="b">
        <f t="shared" si="30"/>
        <v>1</v>
      </c>
      <c r="H189" s="11" t="b">
        <f t="shared" si="27"/>
        <v>0</v>
      </c>
      <c r="I189" s="11" t="s">
        <v>2031</v>
      </c>
      <c r="K189" s="11" t="b">
        <v>1</v>
      </c>
    </row>
    <row r="190" spans="1:11">
      <c r="A190" s="11" t="s">
        <v>2039</v>
      </c>
      <c r="B190" s="335" t="s">
        <v>2039</v>
      </c>
      <c r="D190" s="11" t="b">
        <f t="shared" si="30"/>
        <v>1</v>
      </c>
      <c r="H190" s="11" t="b">
        <f t="shared" si="27"/>
        <v>0</v>
      </c>
      <c r="I190" s="11" t="s">
        <v>2021</v>
      </c>
      <c r="K190" s="11" t="b">
        <v>1</v>
      </c>
    </row>
    <row r="191" spans="1:11">
      <c r="A191" s="11" t="s">
        <v>2020</v>
      </c>
      <c r="B191" s="336" t="s">
        <v>2020</v>
      </c>
      <c r="D191" s="11" t="b">
        <f t="shared" si="30"/>
        <v>1</v>
      </c>
      <c r="H191" s="11" t="b">
        <f t="shared" si="27"/>
        <v>0</v>
      </c>
      <c r="I191" s="11" t="s">
        <v>2032</v>
      </c>
      <c r="K191" s="11" t="b">
        <v>1</v>
      </c>
    </row>
    <row r="192" spans="1:11">
      <c r="A192" s="11" t="s">
        <v>2026</v>
      </c>
      <c r="B192" s="337" t="str">
        <f>报表附注!E322</f>
        <v>1年以内（含1年）</v>
      </c>
      <c r="C192" s="321">
        <f t="shared" ref="C192:C222" si="35">J184</f>
        <v>0</v>
      </c>
      <c r="D192" s="11" t="b">
        <f t="shared" si="30"/>
        <v>1</v>
      </c>
      <c r="E192" s="321">
        <f>C208</f>
        <v>22849121.64</v>
      </c>
      <c r="H192" s="11" t="b">
        <f t="shared" si="27"/>
        <v>1</v>
      </c>
      <c r="I192" s="11" t="s">
        <v>2026</v>
      </c>
      <c r="K192" s="11" t="b">
        <v>1</v>
      </c>
    </row>
    <row r="193" spans="1:11">
      <c r="A193" s="11" t="s">
        <v>2027</v>
      </c>
      <c r="B193" s="337" t="str">
        <f>报表附注!E323</f>
        <v>1-2年（含2年）</v>
      </c>
      <c r="C193" s="321">
        <f t="shared" si="35"/>
        <v>0</v>
      </c>
      <c r="D193" s="11" t="b">
        <f t="shared" si="30"/>
        <v>1</v>
      </c>
      <c r="E193" s="321">
        <f t="shared" ref="E193:E206" si="36">C209</f>
        <v>2919521.8</v>
      </c>
      <c r="H193" s="11" t="b">
        <f t="shared" si="27"/>
        <v>1</v>
      </c>
      <c r="I193" s="11" t="s">
        <v>2027</v>
      </c>
      <c r="K193" s="11" t="b">
        <v>1</v>
      </c>
    </row>
    <row r="194" spans="1:11">
      <c r="A194" s="11" t="s">
        <v>2028</v>
      </c>
      <c r="B194" s="337" t="str">
        <f>报表附注!E324</f>
        <v>2-3年（含3年）</v>
      </c>
      <c r="C194" s="321">
        <f t="shared" si="35"/>
        <v>0</v>
      </c>
      <c r="D194" s="11" t="b">
        <f t="shared" si="30"/>
        <v>1</v>
      </c>
      <c r="E194" s="321">
        <f t="shared" si="36"/>
        <v>858676.77</v>
      </c>
      <c r="H194" s="11" t="b">
        <f t="shared" si="27"/>
        <v>1</v>
      </c>
      <c r="I194" s="11" t="s">
        <v>2028</v>
      </c>
      <c r="K194" s="11" t="b">
        <v>1</v>
      </c>
    </row>
    <row r="195" spans="1:11">
      <c r="A195" s="11" t="s">
        <v>2029</v>
      </c>
      <c r="B195" s="337" t="str">
        <f>报表附注!E325</f>
        <v>3-4年（含4年）</v>
      </c>
      <c r="C195" s="321">
        <f t="shared" si="35"/>
        <v>0</v>
      </c>
      <c r="D195" s="11" t="b">
        <f t="shared" si="30"/>
        <v>1</v>
      </c>
      <c r="E195" s="321">
        <f t="shared" si="36"/>
        <v>2231474</v>
      </c>
      <c r="H195" s="11" t="b">
        <f t="shared" si="27"/>
        <v>1</v>
      </c>
      <c r="I195" s="11" t="s">
        <v>2029</v>
      </c>
      <c r="K195" s="11" t="b">
        <v>1</v>
      </c>
    </row>
    <row r="196" spans="1:11">
      <c r="A196" s="11" t="s">
        <v>2030</v>
      </c>
      <c r="B196" s="337" t="str">
        <f>报表附注!E326</f>
        <v>4-5年（含5年）</v>
      </c>
      <c r="C196" s="321">
        <f t="shared" si="35"/>
        <v>0</v>
      </c>
      <c r="D196" s="11" t="b">
        <f t="shared" si="30"/>
        <v>1</v>
      </c>
      <c r="E196" s="321">
        <f t="shared" si="36"/>
        <v>0</v>
      </c>
      <c r="H196" s="11" t="b">
        <f t="shared" ref="H196:H259" si="37">I196=B196</f>
        <v>1</v>
      </c>
      <c r="I196" s="11" t="s">
        <v>2030</v>
      </c>
      <c r="K196" s="11" t="b">
        <v>1</v>
      </c>
    </row>
    <row r="197" spans="1:11">
      <c r="A197" s="11" t="s">
        <v>2031</v>
      </c>
      <c r="B197" s="337" t="str">
        <f>报表附注!E327</f>
        <v>5年以上</v>
      </c>
      <c r="C197" s="321">
        <f t="shared" si="35"/>
        <v>0</v>
      </c>
      <c r="D197" s="11" t="b">
        <f t="shared" si="30"/>
        <v>1</v>
      </c>
      <c r="E197" s="321">
        <f t="shared" si="36"/>
        <v>0</v>
      </c>
      <c r="H197" s="11" t="b">
        <f t="shared" si="37"/>
        <v>1</v>
      </c>
      <c r="I197" s="11" t="s">
        <v>2031</v>
      </c>
      <c r="K197" s="11" t="b">
        <v>1</v>
      </c>
    </row>
    <row r="198" spans="1:11">
      <c r="A198" s="11" t="s">
        <v>2021</v>
      </c>
      <c r="B198" s="339" t="str">
        <f>报表附注!E328</f>
        <v>合计</v>
      </c>
      <c r="C198" s="321">
        <f t="shared" si="35"/>
        <v>0</v>
      </c>
      <c r="D198" s="11" t="b">
        <f t="shared" si="30"/>
        <v>1</v>
      </c>
      <c r="E198" s="321">
        <f t="shared" si="36"/>
        <v>0</v>
      </c>
      <c r="H198" s="11" t="b">
        <f t="shared" si="37"/>
        <v>1</v>
      </c>
      <c r="I198" s="11" t="s">
        <v>2021</v>
      </c>
      <c r="K198" s="11" t="b">
        <v>1</v>
      </c>
    </row>
    <row r="199" spans="1:11">
      <c r="A199" s="11" t="s">
        <v>2032</v>
      </c>
      <c r="B199" s="340" t="s">
        <v>2032</v>
      </c>
      <c r="C199" s="328">
        <f t="shared" si="35"/>
        <v>0</v>
      </c>
      <c r="D199" s="11" t="b">
        <f t="shared" si="30"/>
        <v>1</v>
      </c>
      <c r="E199" s="321">
        <f t="shared" si="36"/>
        <v>0</v>
      </c>
      <c r="H199" s="11" t="b">
        <f t="shared" si="37"/>
        <v>0</v>
      </c>
      <c r="I199" s="11" t="s">
        <v>316</v>
      </c>
      <c r="K199" s="11" t="b">
        <v>1</v>
      </c>
    </row>
    <row r="200" spans="1:11">
      <c r="A200" s="11" t="s">
        <v>2026</v>
      </c>
      <c r="B200" s="337" t="str">
        <f>报表附注!E322</f>
        <v>1年以内（含1年）</v>
      </c>
      <c r="C200" s="321">
        <f t="shared" si="35"/>
        <v>0</v>
      </c>
      <c r="D200" s="11" t="b">
        <f t="shared" si="30"/>
        <v>1</v>
      </c>
      <c r="E200" s="321">
        <f t="shared" si="36"/>
        <v>1142456.08</v>
      </c>
      <c r="H200" s="11" t="b">
        <f t="shared" si="37"/>
        <v>1</v>
      </c>
      <c r="I200" s="11" t="s">
        <v>2026</v>
      </c>
      <c r="J200" s="323">
        <v>22849121.64</v>
      </c>
      <c r="K200" s="11" t="b">
        <v>1</v>
      </c>
    </row>
    <row r="201" spans="1:11">
      <c r="A201" s="11" t="s">
        <v>2027</v>
      </c>
      <c r="B201" s="337" t="str">
        <f>报表附注!E323</f>
        <v>1-2年（含2年）</v>
      </c>
      <c r="C201" s="321">
        <f t="shared" si="35"/>
        <v>0</v>
      </c>
      <c r="D201" s="11" t="b">
        <f t="shared" si="30"/>
        <v>1</v>
      </c>
      <c r="E201" s="321">
        <f t="shared" si="36"/>
        <v>291952.18</v>
      </c>
      <c r="H201" s="11" t="b">
        <f t="shared" si="37"/>
        <v>1</v>
      </c>
      <c r="I201" s="11" t="s">
        <v>2027</v>
      </c>
      <c r="J201" s="323">
        <v>2919521.8</v>
      </c>
      <c r="K201" s="11" t="b">
        <v>1</v>
      </c>
    </row>
    <row r="202" spans="1:11">
      <c r="A202" s="11" t="s">
        <v>2028</v>
      </c>
      <c r="B202" s="337" t="str">
        <f>报表附注!E324</f>
        <v>2-3年（含3年）</v>
      </c>
      <c r="C202" s="321">
        <f t="shared" si="35"/>
        <v>0</v>
      </c>
      <c r="D202" s="11" t="b">
        <f t="shared" si="30"/>
        <v>1</v>
      </c>
      <c r="E202" s="321">
        <f t="shared" si="36"/>
        <v>171735.35</v>
      </c>
      <c r="H202" s="11" t="b">
        <f t="shared" si="37"/>
        <v>1</v>
      </c>
      <c r="I202" s="11" t="s">
        <v>2028</v>
      </c>
      <c r="J202" s="323">
        <v>858676.77</v>
      </c>
      <c r="K202" s="11" t="b">
        <v>1</v>
      </c>
    </row>
    <row r="203" spans="1:11">
      <c r="A203" s="11" t="s">
        <v>2029</v>
      </c>
      <c r="B203" s="337" t="str">
        <f>报表附注!E325</f>
        <v>3-4年（含4年）</v>
      </c>
      <c r="C203" s="321">
        <f t="shared" si="35"/>
        <v>0</v>
      </c>
      <c r="D203" s="11" t="b">
        <f t="shared" si="30"/>
        <v>1</v>
      </c>
      <c r="E203" s="321">
        <f t="shared" si="36"/>
        <v>1115737</v>
      </c>
      <c r="H203" s="11" t="b">
        <f t="shared" si="37"/>
        <v>1</v>
      </c>
      <c r="I203" s="11" t="s">
        <v>2029</v>
      </c>
      <c r="J203" s="323">
        <v>2231474</v>
      </c>
      <c r="K203" s="11" t="b">
        <v>1</v>
      </c>
    </row>
    <row r="204" spans="1:11">
      <c r="A204" s="11" t="s">
        <v>2030</v>
      </c>
      <c r="B204" s="337" t="str">
        <f>报表附注!E326</f>
        <v>4-5年（含5年）</v>
      </c>
      <c r="C204" s="321">
        <f t="shared" si="35"/>
        <v>0</v>
      </c>
      <c r="D204" s="11" t="b">
        <f t="shared" ref="D204:D267" si="38">EXACT(A204,B204)</f>
        <v>1</v>
      </c>
      <c r="E204" s="321">
        <f t="shared" si="36"/>
        <v>0</v>
      </c>
      <c r="H204" s="11" t="b">
        <f t="shared" si="37"/>
        <v>1</v>
      </c>
      <c r="I204" s="11" t="s">
        <v>2030</v>
      </c>
      <c r="K204" s="11" t="b">
        <v>1</v>
      </c>
    </row>
    <row r="205" spans="1:11">
      <c r="A205" s="11" t="s">
        <v>2031</v>
      </c>
      <c r="B205" s="337" t="str">
        <f>报表附注!E327</f>
        <v>5年以上</v>
      </c>
      <c r="C205" s="321">
        <f t="shared" si="35"/>
        <v>0</v>
      </c>
      <c r="D205" s="11" t="b">
        <f t="shared" si="38"/>
        <v>1</v>
      </c>
      <c r="E205" s="321">
        <f t="shared" si="36"/>
        <v>0</v>
      </c>
      <c r="H205" s="11" t="b">
        <f t="shared" si="37"/>
        <v>1</v>
      </c>
      <c r="I205" s="11" t="s">
        <v>2031</v>
      </c>
      <c r="K205" s="11" t="b">
        <v>1</v>
      </c>
    </row>
    <row r="206" spans="1:11">
      <c r="A206" s="11" t="s">
        <v>2021</v>
      </c>
      <c r="B206" s="339" t="str">
        <f>报表附注!E328</f>
        <v>合计</v>
      </c>
      <c r="C206" s="321">
        <f t="shared" si="35"/>
        <v>0</v>
      </c>
      <c r="D206" s="11" t="b">
        <f t="shared" si="38"/>
        <v>1</v>
      </c>
      <c r="E206" s="321">
        <f t="shared" si="36"/>
        <v>0</v>
      </c>
      <c r="H206" s="11" t="b">
        <f t="shared" si="37"/>
        <v>1</v>
      </c>
      <c r="I206" s="11" t="s">
        <v>2021</v>
      </c>
      <c r="K206" s="11" t="b">
        <v>1</v>
      </c>
    </row>
    <row r="207" spans="1:11">
      <c r="A207" s="11" t="s">
        <v>316</v>
      </c>
      <c r="B207" s="336" t="s">
        <v>316</v>
      </c>
      <c r="C207" s="328">
        <f t="shared" si="35"/>
        <v>0</v>
      </c>
      <c r="D207" s="11" t="b">
        <f t="shared" si="38"/>
        <v>1</v>
      </c>
      <c r="H207" s="11" t="b">
        <f t="shared" si="37"/>
        <v>0</v>
      </c>
      <c r="I207" s="11" t="s">
        <v>2034</v>
      </c>
      <c r="K207" s="11" t="b">
        <v>1</v>
      </c>
    </row>
    <row r="208" spans="1:11">
      <c r="A208" s="11" t="s">
        <v>2026</v>
      </c>
      <c r="B208" s="337" t="str">
        <f>报表附注!E322</f>
        <v>1年以内（含1年）</v>
      </c>
      <c r="C208" s="321">
        <f t="shared" si="35"/>
        <v>22849121.64</v>
      </c>
      <c r="D208" s="11" t="b">
        <f t="shared" si="38"/>
        <v>1</v>
      </c>
      <c r="E208" s="311"/>
      <c r="H208" s="11" t="b">
        <f t="shared" si="37"/>
        <v>1</v>
      </c>
      <c r="I208" s="11" t="s">
        <v>2026</v>
      </c>
      <c r="J208" s="323">
        <v>1142456.08</v>
      </c>
      <c r="K208" s="11" t="b">
        <v>1</v>
      </c>
    </row>
    <row r="209" spans="1:11">
      <c r="A209" s="11" t="s">
        <v>2027</v>
      </c>
      <c r="B209" s="337" t="str">
        <f>报表附注!E323</f>
        <v>1-2年（含2年）</v>
      </c>
      <c r="C209" s="321">
        <f t="shared" si="35"/>
        <v>2919521.8</v>
      </c>
      <c r="D209" s="11" t="b">
        <f t="shared" si="38"/>
        <v>1</v>
      </c>
      <c r="E209" s="311"/>
      <c r="H209" s="11" t="b">
        <f t="shared" si="37"/>
        <v>1</v>
      </c>
      <c r="I209" s="11" t="s">
        <v>2027</v>
      </c>
      <c r="J209" s="323">
        <v>291952.18</v>
      </c>
      <c r="K209" s="11" t="b">
        <v>1</v>
      </c>
    </row>
    <row r="210" spans="1:11">
      <c r="A210" s="11" t="s">
        <v>2028</v>
      </c>
      <c r="B210" s="337" t="str">
        <f>报表附注!E324</f>
        <v>2-3年（含3年）</v>
      </c>
      <c r="C210" s="321">
        <f t="shared" si="35"/>
        <v>858676.77</v>
      </c>
      <c r="D210" s="11" t="b">
        <f t="shared" si="38"/>
        <v>1</v>
      </c>
      <c r="E210" s="311"/>
      <c r="H210" s="11" t="b">
        <f t="shared" si="37"/>
        <v>1</v>
      </c>
      <c r="I210" s="11" t="s">
        <v>2028</v>
      </c>
      <c r="J210" s="323">
        <v>171735.35</v>
      </c>
      <c r="K210" s="11" t="b">
        <v>1</v>
      </c>
    </row>
    <row r="211" spans="1:11">
      <c r="A211" s="11" t="s">
        <v>2029</v>
      </c>
      <c r="B211" s="337" t="str">
        <f>报表附注!E325</f>
        <v>3-4年（含4年）</v>
      </c>
      <c r="C211" s="321">
        <f t="shared" si="35"/>
        <v>2231474</v>
      </c>
      <c r="D211" s="11" t="b">
        <f t="shared" si="38"/>
        <v>1</v>
      </c>
      <c r="E211" s="311"/>
      <c r="H211" s="11" t="b">
        <f t="shared" si="37"/>
        <v>1</v>
      </c>
      <c r="I211" s="11" t="s">
        <v>2029</v>
      </c>
      <c r="J211" s="323">
        <v>1115737</v>
      </c>
      <c r="K211" s="11" t="b">
        <v>1</v>
      </c>
    </row>
    <row r="212" spans="1:11">
      <c r="A212" s="11" t="s">
        <v>2030</v>
      </c>
      <c r="B212" s="337" t="str">
        <f>报表附注!E326</f>
        <v>4-5年（含5年）</v>
      </c>
      <c r="C212" s="321">
        <f t="shared" si="35"/>
        <v>0</v>
      </c>
      <c r="D212" s="11" t="b">
        <f t="shared" si="38"/>
        <v>1</v>
      </c>
      <c r="E212" s="311"/>
      <c r="H212" s="11" t="b">
        <f t="shared" si="37"/>
        <v>1</v>
      </c>
      <c r="I212" s="11" t="s">
        <v>2030</v>
      </c>
      <c r="K212" s="11" t="b">
        <v>1</v>
      </c>
    </row>
    <row r="213" spans="1:11">
      <c r="A213" s="11" t="s">
        <v>2031</v>
      </c>
      <c r="B213" s="337" t="str">
        <f>报表附注!E327</f>
        <v>5年以上</v>
      </c>
      <c r="C213" s="321">
        <f t="shared" si="35"/>
        <v>0</v>
      </c>
      <c r="D213" s="11" t="b">
        <f t="shared" si="38"/>
        <v>1</v>
      </c>
      <c r="E213" s="311"/>
      <c r="H213" s="11" t="b">
        <f t="shared" si="37"/>
        <v>1</v>
      </c>
      <c r="I213" s="11" t="s">
        <v>2031</v>
      </c>
      <c r="K213" s="11" t="b">
        <v>1</v>
      </c>
    </row>
    <row r="214" spans="1:11">
      <c r="A214" s="11" t="s">
        <v>2021</v>
      </c>
      <c r="B214" s="339" t="str">
        <f>报表附注!E328</f>
        <v>合计</v>
      </c>
      <c r="C214" s="321">
        <f t="shared" si="35"/>
        <v>0</v>
      </c>
      <c r="D214" s="11" t="b">
        <f t="shared" si="38"/>
        <v>1</v>
      </c>
      <c r="E214" s="311"/>
      <c r="H214" s="11" t="b">
        <f t="shared" si="37"/>
        <v>1</v>
      </c>
      <c r="I214" s="11" t="s">
        <v>2021</v>
      </c>
      <c r="K214" s="11" t="b">
        <v>1</v>
      </c>
    </row>
    <row r="215" spans="1:11">
      <c r="A215" s="11" t="s">
        <v>2034</v>
      </c>
      <c r="B215" s="340" t="s">
        <v>2034</v>
      </c>
      <c r="C215" s="328">
        <f t="shared" si="35"/>
        <v>0</v>
      </c>
      <c r="D215" s="11" t="b">
        <f t="shared" si="38"/>
        <v>1</v>
      </c>
      <c r="E215" s="326"/>
      <c r="H215" s="11" t="b">
        <f t="shared" si="37"/>
        <v>0</v>
      </c>
      <c r="K215" s="11" t="b">
        <v>1</v>
      </c>
    </row>
    <row r="216" spans="1:11">
      <c r="A216" s="11" t="s">
        <v>2026</v>
      </c>
      <c r="B216" s="337" t="str">
        <f>报表附注!E322</f>
        <v>1年以内（含1年）</v>
      </c>
      <c r="C216" s="321">
        <f t="shared" si="35"/>
        <v>1142456.08</v>
      </c>
      <c r="D216" s="11" t="b">
        <f t="shared" si="38"/>
        <v>1</v>
      </c>
      <c r="E216" s="311"/>
      <c r="H216" s="11" t="b">
        <f t="shared" si="37"/>
        <v>0</v>
      </c>
      <c r="I216" s="11" t="s">
        <v>2040</v>
      </c>
      <c r="K216" s="11" t="b">
        <v>1</v>
      </c>
    </row>
    <row r="217" spans="1:11">
      <c r="A217" s="11" t="s">
        <v>2027</v>
      </c>
      <c r="B217" s="337" t="str">
        <f>报表附注!E323</f>
        <v>1-2年（含2年）</v>
      </c>
      <c r="C217" s="321">
        <f t="shared" si="35"/>
        <v>291952.18</v>
      </c>
      <c r="D217" s="11" t="b">
        <f t="shared" si="38"/>
        <v>1</v>
      </c>
      <c r="E217" s="311"/>
      <c r="H217" s="11" t="b">
        <f t="shared" si="37"/>
        <v>0</v>
      </c>
      <c r="I217" s="11" t="s">
        <v>2020</v>
      </c>
      <c r="K217" s="11" t="b">
        <v>1</v>
      </c>
    </row>
    <row r="218" spans="1:11">
      <c r="A218" s="11" t="s">
        <v>2028</v>
      </c>
      <c r="B218" s="337" t="str">
        <f>报表附注!E324</f>
        <v>2-3年（含3年）</v>
      </c>
      <c r="C218" s="321">
        <f t="shared" si="35"/>
        <v>171735.35</v>
      </c>
      <c r="D218" s="11" t="b">
        <f t="shared" si="38"/>
        <v>1</v>
      </c>
      <c r="E218" s="311"/>
      <c r="H218" s="11" t="b">
        <f t="shared" si="37"/>
        <v>0</v>
      </c>
      <c r="I218" s="11" t="s">
        <v>2041</v>
      </c>
      <c r="K218" s="11" t="b">
        <v>1</v>
      </c>
    </row>
    <row r="219" spans="1:11">
      <c r="A219" s="11" t="s">
        <v>2029</v>
      </c>
      <c r="B219" s="337" t="str">
        <f>报表附注!E325</f>
        <v>3-4年（含4年）</v>
      </c>
      <c r="C219" s="321">
        <f t="shared" si="35"/>
        <v>1115737</v>
      </c>
      <c r="D219" s="11" t="b">
        <f t="shared" si="38"/>
        <v>1</v>
      </c>
      <c r="E219" s="311"/>
      <c r="H219" s="11" t="b">
        <f t="shared" si="37"/>
        <v>0</v>
      </c>
      <c r="I219" s="11" t="s">
        <v>2042</v>
      </c>
      <c r="K219" s="11" t="b">
        <v>1</v>
      </c>
    </row>
    <row r="220" spans="1:11">
      <c r="A220" s="11" t="s">
        <v>2030</v>
      </c>
      <c r="B220" s="337" t="str">
        <f>报表附注!E326</f>
        <v>4-5年（含5年）</v>
      </c>
      <c r="C220" s="321">
        <f t="shared" si="35"/>
        <v>0</v>
      </c>
      <c r="D220" s="11" t="b">
        <f t="shared" si="38"/>
        <v>1</v>
      </c>
      <c r="E220" s="311"/>
      <c r="H220" s="11" t="b">
        <f t="shared" si="37"/>
        <v>0</v>
      </c>
      <c r="I220" s="11" t="s">
        <v>2043</v>
      </c>
      <c r="K220" s="11" t="b">
        <v>1</v>
      </c>
    </row>
    <row r="221" spans="1:11">
      <c r="A221" s="11" t="s">
        <v>2031</v>
      </c>
      <c r="B221" s="337" t="str">
        <f>报表附注!E327</f>
        <v>5年以上</v>
      </c>
      <c r="C221" s="321">
        <f t="shared" si="35"/>
        <v>0</v>
      </c>
      <c r="D221" s="11" t="b">
        <f t="shared" si="38"/>
        <v>1</v>
      </c>
      <c r="E221" s="311"/>
      <c r="H221" s="11" t="b">
        <f t="shared" si="37"/>
        <v>0</v>
      </c>
      <c r="I221" s="11" t="s">
        <v>2044</v>
      </c>
      <c r="K221" s="11" t="b">
        <v>1</v>
      </c>
    </row>
    <row r="222" spans="1:11">
      <c r="A222" s="11" t="s">
        <v>2021</v>
      </c>
      <c r="B222" s="339" t="str">
        <f>报表附注!E328</f>
        <v>合计</v>
      </c>
      <c r="C222" s="321">
        <f t="shared" si="35"/>
        <v>0</v>
      </c>
      <c r="D222" s="11" t="b">
        <f t="shared" si="38"/>
        <v>1</v>
      </c>
      <c r="E222" s="311"/>
      <c r="H222" s="11" t="b">
        <f t="shared" si="37"/>
        <v>1</v>
      </c>
      <c r="I222" s="11" t="s">
        <v>2021</v>
      </c>
      <c r="K222" s="11" t="b">
        <v>1</v>
      </c>
    </row>
    <row r="223" spans="2:11">
      <c r="B223" s="334"/>
      <c r="D223" s="11" t="b">
        <f t="shared" si="38"/>
        <v>1</v>
      </c>
      <c r="H223" s="11" t="b">
        <f t="shared" si="37"/>
        <v>0</v>
      </c>
      <c r="I223" s="11" t="s">
        <v>316</v>
      </c>
      <c r="K223" s="11" t="b">
        <v>1</v>
      </c>
    </row>
    <row r="224" spans="1:11">
      <c r="A224" s="11" t="s">
        <v>2040</v>
      </c>
      <c r="B224" s="329" t="s">
        <v>2040</v>
      </c>
      <c r="D224" s="11" t="b">
        <f t="shared" si="38"/>
        <v>1</v>
      </c>
      <c r="H224" s="11" t="b">
        <f t="shared" si="37"/>
        <v>0</v>
      </c>
      <c r="I224" s="11" t="s">
        <v>2041</v>
      </c>
      <c r="J224" s="323">
        <v>2076981.42</v>
      </c>
      <c r="K224" s="11" t="b">
        <v>1</v>
      </c>
    </row>
    <row r="225" spans="1:11">
      <c r="A225" s="11" t="s">
        <v>2020</v>
      </c>
      <c r="B225" s="330" t="s">
        <v>2020</v>
      </c>
      <c r="D225" s="11" t="b">
        <f t="shared" si="38"/>
        <v>1</v>
      </c>
      <c r="H225" s="11" t="b">
        <f t="shared" si="37"/>
        <v>0</v>
      </c>
      <c r="I225" s="11" t="s">
        <v>2042</v>
      </c>
      <c r="K225" s="11" t="b">
        <v>1</v>
      </c>
    </row>
    <row r="226" spans="1:11">
      <c r="A226" s="11" t="s">
        <v>2041</v>
      </c>
      <c r="B226" s="310" t="str">
        <f>报表附注!E502</f>
        <v>1年以内(含1年)</v>
      </c>
      <c r="C226" s="321">
        <f t="shared" ref="C226:C254" si="39">J218</f>
        <v>0</v>
      </c>
      <c r="D226" s="11" t="b">
        <f t="shared" si="38"/>
        <v>1</v>
      </c>
      <c r="E226" s="321">
        <f>C232</f>
        <v>2076981.42</v>
      </c>
      <c r="H226" s="11" t="b">
        <f t="shared" si="37"/>
        <v>0</v>
      </c>
      <c r="I226" s="11" t="s">
        <v>2043</v>
      </c>
      <c r="J226" s="323">
        <v>19800</v>
      </c>
      <c r="K226" s="11" t="b">
        <v>1</v>
      </c>
    </row>
    <row r="227" spans="1:11">
      <c r="A227" s="11" t="s">
        <v>2042</v>
      </c>
      <c r="B227" s="310" t="str">
        <f>报表附注!E503</f>
        <v>1-2年(含2年)</v>
      </c>
      <c r="C227" s="321">
        <f t="shared" si="39"/>
        <v>0</v>
      </c>
      <c r="D227" s="11" t="b">
        <f t="shared" si="38"/>
        <v>1</v>
      </c>
      <c r="E227" s="321">
        <f t="shared" ref="E227:E230" si="40">C233</f>
        <v>0</v>
      </c>
      <c r="H227" s="11" t="b">
        <f t="shared" si="37"/>
        <v>0</v>
      </c>
      <c r="I227" s="11" t="s">
        <v>2044</v>
      </c>
      <c r="K227" s="11" t="b">
        <v>1</v>
      </c>
    </row>
    <row r="228" spans="1:11">
      <c r="A228" s="11" t="s">
        <v>2043</v>
      </c>
      <c r="B228" s="310" t="str">
        <f>报表附注!E504</f>
        <v>2-3年(含3年)</v>
      </c>
      <c r="C228" s="321">
        <f t="shared" si="39"/>
        <v>0</v>
      </c>
      <c r="D228" s="11" t="b">
        <f t="shared" si="38"/>
        <v>1</v>
      </c>
      <c r="E228" s="321">
        <f t="shared" si="40"/>
        <v>19800</v>
      </c>
      <c r="H228" s="11" t="b">
        <f t="shared" si="37"/>
        <v>0</v>
      </c>
      <c r="I228" s="11" t="s">
        <v>2021</v>
      </c>
      <c r="K228" s="11" t="b">
        <v>1</v>
      </c>
    </row>
    <row r="229" spans="1:11">
      <c r="A229" s="11" t="s">
        <v>2044</v>
      </c>
      <c r="B229" s="310" t="str">
        <f>报表附注!E505</f>
        <v>3年以上 </v>
      </c>
      <c r="C229" s="321">
        <f t="shared" si="39"/>
        <v>0</v>
      </c>
      <c r="D229" s="11" t="b">
        <f t="shared" si="38"/>
        <v>1</v>
      </c>
      <c r="E229" s="321">
        <f t="shared" si="40"/>
        <v>0</v>
      </c>
      <c r="H229" s="11" t="b">
        <f t="shared" si="37"/>
        <v>0</v>
      </c>
      <c r="K229" s="11" t="b">
        <v>1</v>
      </c>
    </row>
    <row r="230" spans="1:11">
      <c r="A230" s="11" t="s">
        <v>2021</v>
      </c>
      <c r="B230" s="320" t="str">
        <f>报表附注!E506</f>
        <v>合计</v>
      </c>
      <c r="C230" s="321">
        <f t="shared" si="39"/>
        <v>0</v>
      </c>
      <c r="D230" s="11" t="b">
        <f t="shared" si="38"/>
        <v>1</v>
      </c>
      <c r="E230" s="321">
        <f t="shared" si="40"/>
        <v>0</v>
      </c>
      <c r="H230" s="11" t="b">
        <f t="shared" si="37"/>
        <v>0</v>
      </c>
      <c r="I230" s="11" t="s">
        <v>2045</v>
      </c>
      <c r="K230" s="11" t="b">
        <v>1</v>
      </c>
    </row>
    <row r="231" ht="12" customHeight="1" spans="1:11">
      <c r="A231" s="11" t="s">
        <v>316</v>
      </c>
      <c r="B231" s="330" t="s">
        <v>316</v>
      </c>
      <c r="C231" s="328">
        <f t="shared" si="39"/>
        <v>0</v>
      </c>
      <c r="D231" s="11" t="b">
        <f t="shared" si="38"/>
        <v>1</v>
      </c>
      <c r="H231" s="11" t="b">
        <f t="shared" si="37"/>
        <v>0</v>
      </c>
      <c r="I231" s="11" t="s">
        <v>2020</v>
      </c>
      <c r="K231" s="11" t="b">
        <v>1</v>
      </c>
    </row>
    <row r="232" spans="1:11">
      <c r="A232" s="11" t="s">
        <v>2041</v>
      </c>
      <c r="B232" s="310" t="str">
        <f>报表附注!E502</f>
        <v>1年以内(含1年)</v>
      </c>
      <c r="C232" s="321">
        <f t="shared" si="39"/>
        <v>2076981.42</v>
      </c>
      <c r="D232" s="11" t="b">
        <f t="shared" si="38"/>
        <v>1</v>
      </c>
      <c r="E232" s="311"/>
      <c r="H232" s="11" t="b">
        <f t="shared" si="37"/>
        <v>0</v>
      </c>
      <c r="I232" s="11" t="s">
        <v>2026</v>
      </c>
      <c r="K232" s="11" t="b">
        <v>1</v>
      </c>
    </row>
    <row r="233" spans="1:11">
      <c r="A233" s="11" t="s">
        <v>2042</v>
      </c>
      <c r="B233" s="310" t="str">
        <f>报表附注!E503</f>
        <v>1-2年(含2年)</v>
      </c>
      <c r="C233" s="321">
        <f t="shared" si="39"/>
        <v>0</v>
      </c>
      <c r="D233" s="11" t="b">
        <f t="shared" si="38"/>
        <v>1</v>
      </c>
      <c r="E233" s="311"/>
      <c r="H233" s="11" t="b">
        <f t="shared" si="37"/>
        <v>0</v>
      </c>
      <c r="I233" s="11" t="s">
        <v>2027</v>
      </c>
      <c r="K233" s="11" t="b">
        <v>1</v>
      </c>
    </row>
    <row r="234" spans="1:11">
      <c r="A234" s="11" t="s">
        <v>2043</v>
      </c>
      <c r="B234" s="310" t="str">
        <f>报表附注!E504</f>
        <v>2-3年(含3年)</v>
      </c>
      <c r="C234" s="321">
        <f t="shared" si="39"/>
        <v>19800</v>
      </c>
      <c r="D234" s="11" t="b">
        <f t="shared" si="38"/>
        <v>1</v>
      </c>
      <c r="E234" s="311"/>
      <c r="H234" s="11" t="b">
        <f t="shared" si="37"/>
        <v>0</v>
      </c>
      <c r="I234" s="11" t="s">
        <v>2028</v>
      </c>
      <c r="K234" s="11" t="b">
        <v>1</v>
      </c>
    </row>
    <row r="235" spans="1:11">
      <c r="A235" s="11" t="s">
        <v>2044</v>
      </c>
      <c r="B235" s="310" t="str">
        <f>报表附注!E505</f>
        <v>3年以上 </v>
      </c>
      <c r="C235" s="321">
        <f t="shared" si="39"/>
        <v>0</v>
      </c>
      <c r="D235" s="11" t="b">
        <f t="shared" si="38"/>
        <v>1</v>
      </c>
      <c r="E235" s="311"/>
      <c r="H235" s="11" t="b">
        <f t="shared" si="37"/>
        <v>0</v>
      </c>
      <c r="I235" s="11" t="s">
        <v>2029</v>
      </c>
      <c r="K235" s="11" t="b">
        <v>1</v>
      </c>
    </row>
    <row r="236" spans="1:11">
      <c r="A236" s="11" t="s">
        <v>2021</v>
      </c>
      <c r="B236" s="320" t="str">
        <f>报表附注!E506</f>
        <v>合计</v>
      </c>
      <c r="C236" s="321">
        <f t="shared" si="39"/>
        <v>0</v>
      </c>
      <c r="D236" s="11" t="b">
        <f t="shared" si="38"/>
        <v>1</v>
      </c>
      <c r="E236" s="311"/>
      <c r="H236" s="11" t="b">
        <f t="shared" si="37"/>
        <v>0</v>
      </c>
      <c r="I236" s="11" t="s">
        <v>2030</v>
      </c>
      <c r="K236" s="11" t="b">
        <v>1</v>
      </c>
    </row>
    <row r="237" spans="3:11">
      <c r="C237" s="328">
        <f t="shared" si="39"/>
        <v>0</v>
      </c>
      <c r="D237" s="11" t="b">
        <f t="shared" si="38"/>
        <v>1</v>
      </c>
      <c r="H237" s="11" t="b">
        <f t="shared" si="37"/>
        <v>0</v>
      </c>
      <c r="I237" s="11" t="s">
        <v>2031</v>
      </c>
      <c r="K237" s="11" t="b">
        <v>1</v>
      </c>
    </row>
    <row r="238" spans="1:11">
      <c r="A238" s="11" t="s">
        <v>2045</v>
      </c>
      <c r="B238" s="329" t="s">
        <v>2045</v>
      </c>
      <c r="C238" s="328">
        <f t="shared" si="39"/>
        <v>0</v>
      </c>
      <c r="D238" s="11" t="b">
        <f t="shared" si="38"/>
        <v>1</v>
      </c>
      <c r="H238" s="11" t="b">
        <f t="shared" si="37"/>
        <v>0</v>
      </c>
      <c r="I238" s="11" t="s">
        <v>2021</v>
      </c>
      <c r="K238" s="11" t="b">
        <v>1</v>
      </c>
    </row>
    <row r="239" spans="1:11">
      <c r="A239" s="11" t="s">
        <v>2020</v>
      </c>
      <c r="B239" s="330" t="s">
        <v>2020</v>
      </c>
      <c r="C239" s="328">
        <f t="shared" si="39"/>
        <v>0</v>
      </c>
      <c r="D239" s="11" t="b">
        <f t="shared" si="38"/>
        <v>1</v>
      </c>
      <c r="H239" s="11" t="b">
        <f t="shared" si="37"/>
        <v>0</v>
      </c>
      <c r="I239" s="11" t="s">
        <v>2032</v>
      </c>
      <c r="K239" s="11" t="b">
        <v>1</v>
      </c>
    </row>
    <row r="240" spans="1:11">
      <c r="A240" s="11" t="s">
        <v>2026</v>
      </c>
      <c r="B240" s="310" t="str">
        <f>报表附注!E565</f>
        <v>1年以内（含1年）</v>
      </c>
      <c r="C240" s="321">
        <f t="shared" si="39"/>
        <v>0</v>
      </c>
      <c r="D240" s="11" t="b">
        <f t="shared" si="38"/>
        <v>1</v>
      </c>
      <c r="E240" s="321">
        <f>C256</f>
        <v>16356058.6</v>
      </c>
      <c r="H240" s="11" t="b">
        <f t="shared" si="37"/>
        <v>1</v>
      </c>
      <c r="I240" s="11" t="s">
        <v>2026</v>
      </c>
      <c r="K240" s="11" t="b">
        <v>1</v>
      </c>
    </row>
    <row r="241" spans="1:11">
      <c r="A241" s="11" t="s">
        <v>2027</v>
      </c>
      <c r="B241" s="310" t="str">
        <f>报表附注!E566</f>
        <v>1-2年（含2年）</v>
      </c>
      <c r="C241" s="321">
        <f t="shared" si="39"/>
        <v>0</v>
      </c>
      <c r="D241" s="11" t="b">
        <f t="shared" si="38"/>
        <v>1</v>
      </c>
      <c r="E241" s="321">
        <f t="shared" ref="E241:E254" si="41">C257</f>
        <v>594556.18</v>
      </c>
      <c r="H241" s="11" t="b">
        <f t="shared" si="37"/>
        <v>1</v>
      </c>
      <c r="I241" s="11" t="s">
        <v>2027</v>
      </c>
      <c r="K241" s="11" t="b">
        <v>1</v>
      </c>
    </row>
    <row r="242" spans="1:11">
      <c r="A242" s="11" t="s">
        <v>2028</v>
      </c>
      <c r="B242" s="310" t="str">
        <f>报表附注!E567</f>
        <v>2-3年（含3年）</v>
      </c>
      <c r="C242" s="321">
        <f t="shared" si="39"/>
        <v>0</v>
      </c>
      <c r="D242" s="11" t="b">
        <f t="shared" si="38"/>
        <v>1</v>
      </c>
      <c r="E242" s="321">
        <f t="shared" si="41"/>
        <v>832112.26</v>
      </c>
      <c r="H242" s="11" t="b">
        <f t="shared" si="37"/>
        <v>1</v>
      </c>
      <c r="I242" s="11" t="s">
        <v>2028</v>
      </c>
      <c r="K242" s="11" t="b">
        <v>1</v>
      </c>
    </row>
    <row r="243" spans="1:11">
      <c r="A243" s="11" t="s">
        <v>2029</v>
      </c>
      <c r="B243" s="310" t="str">
        <f>报表附注!E568</f>
        <v>3-4年（含4年）</v>
      </c>
      <c r="C243" s="321">
        <f t="shared" si="39"/>
        <v>0</v>
      </c>
      <c r="D243" s="11" t="b">
        <f t="shared" si="38"/>
        <v>1</v>
      </c>
      <c r="E243" s="321">
        <f t="shared" si="41"/>
        <v>99064</v>
      </c>
      <c r="H243" s="11" t="b">
        <f t="shared" si="37"/>
        <v>1</v>
      </c>
      <c r="I243" s="11" t="s">
        <v>2029</v>
      </c>
      <c r="K243" s="11" t="b">
        <v>1</v>
      </c>
    </row>
    <row r="244" spans="1:11">
      <c r="A244" s="11" t="s">
        <v>2030</v>
      </c>
      <c r="B244" s="310" t="str">
        <f>报表附注!E569</f>
        <v>4-5年（含5年）</v>
      </c>
      <c r="C244" s="321">
        <f t="shared" si="39"/>
        <v>0</v>
      </c>
      <c r="D244" s="11" t="b">
        <f t="shared" si="38"/>
        <v>1</v>
      </c>
      <c r="E244" s="321">
        <f t="shared" si="41"/>
        <v>0</v>
      </c>
      <c r="H244" s="11" t="b">
        <f t="shared" si="37"/>
        <v>1</v>
      </c>
      <c r="I244" s="11" t="s">
        <v>2030</v>
      </c>
      <c r="K244" s="11" t="b">
        <v>1</v>
      </c>
    </row>
    <row r="245" spans="1:11">
      <c r="A245" s="11" t="s">
        <v>2031</v>
      </c>
      <c r="B245" s="310" t="str">
        <f>报表附注!E570</f>
        <v>5年以上</v>
      </c>
      <c r="C245" s="321">
        <f t="shared" si="39"/>
        <v>0</v>
      </c>
      <c r="D245" s="11" t="b">
        <f t="shared" si="38"/>
        <v>1</v>
      </c>
      <c r="E245" s="321">
        <f t="shared" si="41"/>
        <v>0</v>
      </c>
      <c r="H245" s="11" t="b">
        <f t="shared" si="37"/>
        <v>1</v>
      </c>
      <c r="I245" s="11" t="s">
        <v>2031</v>
      </c>
      <c r="K245" s="11" t="b">
        <v>1</v>
      </c>
    </row>
    <row r="246" spans="1:11">
      <c r="A246" s="11" t="s">
        <v>2021</v>
      </c>
      <c r="B246" s="320" t="str">
        <f>报表附注!E571</f>
        <v>合计</v>
      </c>
      <c r="C246" s="321">
        <f t="shared" si="39"/>
        <v>0</v>
      </c>
      <c r="D246" s="11" t="b">
        <f t="shared" si="38"/>
        <v>1</v>
      </c>
      <c r="E246" s="321">
        <f t="shared" si="41"/>
        <v>0</v>
      </c>
      <c r="H246" s="11" t="b">
        <f t="shared" si="37"/>
        <v>1</v>
      </c>
      <c r="I246" s="11" t="s">
        <v>2021</v>
      </c>
      <c r="K246" s="11" t="b">
        <v>1</v>
      </c>
    </row>
    <row r="247" spans="1:11">
      <c r="A247" s="11" t="s">
        <v>2032</v>
      </c>
      <c r="B247" s="330" t="s">
        <v>2032</v>
      </c>
      <c r="C247" s="328">
        <f t="shared" si="39"/>
        <v>0</v>
      </c>
      <c r="D247" s="11" t="b">
        <f t="shared" si="38"/>
        <v>1</v>
      </c>
      <c r="E247" s="321">
        <f t="shared" si="41"/>
        <v>0</v>
      </c>
      <c r="H247" s="11" t="b">
        <f t="shared" si="37"/>
        <v>0</v>
      </c>
      <c r="I247" s="11" t="s">
        <v>316</v>
      </c>
      <c r="K247" s="11" t="b">
        <v>1</v>
      </c>
    </row>
    <row r="248" spans="1:11">
      <c r="A248" s="11" t="s">
        <v>2026</v>
      </c>
      <c r="B248" s="310" t="str">
        <f>报表附注!E565</f>
        <v>1年以内（含1年）</v>
      </c>
      <c r="C248" s="321">
        <f t="shared" si="39"/>
        <v>0</v>
      </c>
      <c r="D248" s="11" t="b">
        <f t="shared" si="38"/>
        <v>1</v>
      </c>
      <c r="E248" s="321">
        <f t="shared" si="41"/>
        <v>624116.3</v>
      </c>
      <c r="H248" s="11" t="b">
        <f t="shared" si="37"/>
        <v>1</v>
      </c>
      <c r="I248" s="11" t="s">
        <v>2026</v>
      </c>
      <c r="J248" s="323">
        <v>16356058.6</v>
      </c>
      <c r="K248" s="11" t="b">
        <v>1</v>
      </c>
    </row>
    <row r="249" spans="1:11">
      <c r="A249" s="11" t="s">
        <v>2027</v>
      </c>
      <c r="B249" s="310" t="str">
        <f>报表附注!E566</f>
        <v>1-2年（含2年）</v>
      </c>
      <c r="C249" s="321">
        <f t="shared" si="39"/>
        <v>0</v>
      </c>
      <c r="D249" s="11" t="b">
        <f t="shared" si="38"/>
        <v>1</v>
      </c>
      <c r="E249" s="321">
        <f t="shared" si="41"/>
        <v>59455.62</v>
      </c>
      <c r="H249" s="11" t="b">
        <f t="shared" si="37"/>
        <v>1</v>
      </c>
      <c r="I249" s="11" t="s">
        <v>2027</v>
      </c>
      <c r="J249" s="323">
        <v>594556.18</v>
      </c>
      <c r="K249" s="11" t="b">
        <v>1</v>
      </c>
    </row>
    <row r="250" spans="1:11">
      <c r="A250" s="11" t="s">
        <v>2028</v>
      </c>
      <c r="B250" s="310" t="str">
        <f>报表附注!E567</f>
        <v>2-3年（含3年）</v>
      </c>
      <c r="C250" s="321">
        <f t="shared" si="39"/>
        <v>0</v>
      </c>
      <c r="D250" s="11" t="b">
        <f t="shared" si="38"/>
        <v>1</v>
      </c>
      <c r="E250" s="321">
        <f t="shared" si="41"/>
        <v>166422.45</v>
      </c>
      <c r="H250" s="11" t="b">
        <f t="shared" si="37"/>
        <v>1</v>
      </c>
      <c r="I250" s="11" t="s">
        <v>2028</v>
      </c>
      <c r="J250" s="323">
        <v>832112.26</v>
      </c>
      <c r="K250" s="11" t="b">
        <v>1</v>
      </c>
    </row>
    <row r="251" spans="1:11">
      <c r="A251" s="11" t="s">
        <v>2029</v>
      </c>
      <c r="B251" s="310" t="str">
        <f>报表附注!E568</f>
        <v>3-4年（含4年）</v>
      </c>
      <c r="C251" s="321">
        <f t="shared" si="39"/>
        <v>0</v>
      </c>
      <c r="D251" s="11" t="b">
        <f t="shared" si="38"/>
        <v>1</v>
      </c>
      <c r="E251" s="321">
        <f t="shared" si="41"/>
        <v>49532</v>
      </c>
      <c r="H251" s="11" t="b">
        <f t="shared" si="37"/>
        <v>1</v>
      </c>
      <c r="I251" s="11" t="s">
        <v>2029</v>
      </c>
      <c r="J251" s="323">
        <v>99064</v>
      </c>
      <c r="K251" s="11" t="b">
        <v>1</v>
      </c>
    </row>
    <row r="252" spans="1:11">
      <c r="A252" s="11" t="s">
        <v>2030</v>
      </c>
      <c r="B252" s="310" t="str">
        <f>报表附注!E569</f>
        <v>4-5年（含5年）</v>
      </c>
      <c r="C252" s="321">
        <f t="shared" si="39"/>
        <v>0</v>
      </c>
      <c r="D252" s="11" t="b">
        <f t="shared" si="38"/>
        <v>1</v>
      </c>
      <c r="E252" s="321">
        <f t="shared" si="41"/>
        <v>0</v>
      </c>
      <c r="H252" s="11" t="b">
        <f t="shared" si="37"/>
        <v>1</v>
      </c>
      <c r="I252" s="11" t="s">
        <v>2030</v>
      </c>
      <c r="K252" s="11" t="b">
        <v>1</v>
      </c>
    </row>
    <row r="253" spans="1:11">
      <c r="A253" s="11" t="s">
        <v>2031</v>
      </c>
      <c r="B253" s="310" t="str">
        <f>报表附注!E570</f>
        <v>5年以上</v>
      </c>
      <c r="C253" s="321">
        <f t="shared" si="39"/>
        <v>0</v>
      </c>
      <c r="D253" s="11" t="b">
        <f t="shared" si="38"/>
        <v>1</v>
      </c>
      <c r="E253" s="321">
        <f t="shared" si="41"/>
        <v>0</v>
      </c>
      <c r="H253" s="11" t="b">
        <f t="shared" si="37"/>
        <v>1</v>
      </c>
      <c r="I253" s="11" t="s">
        <v>2031</v>
      </c>
      <c r="K253" s="11" t="b">
        <v>1</v>
      </c>
    </row>
    <row r="254" spans="1:11">
      <c r="A254" s="11" t="s">
        <v>2021</v>
      </c>
      <c r="B254" s="320" t="str">
        <f>报表附注!E571</f>
        <v>合计</v>
      </c>
      <c r="C254" s="321">
        <f t="shared" si="39"/>
        <v>0</v>
      </c>
      <c r="D254" s="11" t="b">
        <f t="shared" si="38"/>
        <v>1</v>
      </c>
      <c r="E254" s="321">
        <f t="shared" si="41"/>
        <v>0</v>
      </c>
      <c r="H254" s="11" t="b">
        <f t="shared" si="37"/>
        <v>1</v>
      </c>
      <c r="I254" s="11" t="s">
        <v>2021</v>
      </c>
      <c r="K254" s="11" t="b">
        <v>1</v>
      </c>
    </row>
    <row r="255" spans="1:11">
      <c r="A255" s="11" t="s">
        <v>316</v>
      </c>
      <c r="B255" s="330" t="s">
        <v>316</v>
      </c>
      <c r="D255" s="11" t="b">
        <f t="shared" si="38"/>
        <v>1</v>
      </c>
      <c r="H255" s="11" t="b">
        <f t="shared" si="37"/>
        <v>0</v>
      </c>
      <c r="I255" s="11" t="s">
        <v>2034</v>
      </c>
      <c r="K255" s="11" t="b">
        <v>1</v>
      </c>
    </row>
    <row r="256" spans="1:11">
      <c r="A256" s="11" t="s">
        <v>2026</v>
      </c>
      <c r="B256" s="310" t="str">
        <f>报表附注!E565</f>
        <v>1年以内（含1年）</v>
      </c>
      <c r="C256" s="321">
        <f t="shared" ref="C256:C270" si="42">J248</f>
        <v>16356058.6</v>
      </c>
      <c r="D256" s="11" t="b">
        <f t="shared" si="38"/>
        <v>1</v>
      </c>
      <c r="E256" s="311"/>
      <c r="H256" s="11" t="b">
        <f t="shared" si="37"/>
        <v>1</v>
      </c>
      <c r="I256" s="11" t="s">
        <v>2026</v>
      </c>
      <c r="J256" s="323">
        <v>624116.3</v>
      </c>
      <c r="K256" s="11" t="b">
        <v>1</v>
      </c>
    </row>
    <row r="257" spans="1:11">
      <c r="A257" s="11" t="s">
        <v>2027</v>
      </c>
      <c r="B257" s="310" t="str">
        <f>报表附注!E566</f>
        <v>1-2年（含2年）</v>
      </c>
      <c r="C257" s="321">
        <f t="shared" si="42"/>
        <v>594556.18</v>
      </c>
      <c r="D257" s="11" t="b">
        <f t="shared" si="38"/>
        <v>1</v>
      </c>
      <c r="E257" s="311"/>
      <c r="H257" s="11" t="b">
        <f t="shared" si="37"/>
        <v>1</v>
      </c>
      <c r="I257" s="11" t="s">
        <v>2027</v>
      </c>
      <c r="J257" s="323">
        <v>59455.62</v>
      </c>
      <c r="K257" s="11" t="b">
        <v>1</v>
      </c>
    </row>
    <row r="258" spans="1:11">
      <c r="A258" s="11" t="s">
        <v>2028</v>
      </c>
      <c r="B258" s="310" t="str">
        <f>报表附注!E567</f>
        <v>2-3年（含3年）</v>
      </c>
      <c r="C258" s="321">
        <f t="shared" si="42"/>
        <v>832112.26</v>
      </c>
      <c r="D258" s="11" t="b">
        <f t="shared" si="38"/>
        <v>1</v>
      </c>
      <c r="E258" s="311"/>
      <c r="H258" s="11" t="b">
        <f t="shared" si="37"/>
        <v>1</v>
      </c>
      <c r="I258" s="11" t="s">
        <v>2028</v>
      </c>
      <c r="J258" s="323">
        <v>166422.45</v>
      </c>
      <c r="K258" s="11" t="b">
        <v>1</v>
      </c>
    </row>
    <row r="259" spans="1:11">
      <c r="A259" s="11" t="s">
        <v>2029</v>
      </c>
      <c r="B259" s="310" t="str">
        <f>报表附注!E568</f>
        <v>3-4年（含4年）</v>
      </c>
      <c r="C259" s="321">
        <f t="shared" si="42"/>
        <v>99064</v>
      </c>
      <c r="D259" s="11" t="b">
        <f t="shared" si="38"/>
        <v>1</v>
      </c>
      <c r="E259" s="311"/>
      <c r="H259" s="11" t="b">
        <f t="shared" si="37"/>
        <v>1</v>
      </c>
      <c r="I259" s="11" t="s">
        <v>2029</v>
      </c>
      <c r="J259" s="323">
        <v>49532</v>
      </c>
      <c r="K259" s="11" t="b">
        <v>1</v>
      </c>
    </row>
    <row r="260" spans="1:11">
      <c r="A260" s="11" t="s">
        <v>2030</v>
      </c>
      <c r="B260" s="310" t="str">
        <f>报表附注!E569</f>
        <v>4-5年（含5年）</v>
      </c>
      <c r="C260" s="321">
        <f t="shared" si="42"/>
        <v>0</v>
      </c>
      <c r="D260" s="11" t="b">
        <f t="shared" si="38"/>
        <v>1</v>
      </c>
      <c r="E260" s="311"/>
      <c r="H260" s="11" t="b">
        <f t="shared" ref="H260:H323" si="43">I260=B260</f>
        <v>1</v>
      </c>
      <c r="I260" s="11" t="s">
        <v>2030</v>
      </c>
      <c r="K260" s="11" t="b">
        <v>1</v>
      </c>
    </row>
    <row r="261" spans="1:11">
      <c r="A261" s="11" t="s">
        <v>2031</v>
      </c>
      <c r="B261" s="310" t="str">
        <f>报表附注!E570</f>
        <v>5年以上</v>
      </c>
      <c r="C261" s="321">
        <f t="shared" si="42"/>
        <v>0</v>
      </c>
      <c r="D261" s="11" t="b">
        <f t="shared" si="38"/>
        <v>1</v>
      </c>
      <c r="E261" s="311"/>
      <c r="H261" s="11" t="b">
        <f t="shared" si="43"/>
        <v>1</v>
      </c>
      <c r="I261" s="11" t="s">
        <v>2031</v>
      </c>
      <c r="K261" s="11" t="b">
        <v>1</v>
      </c>
    </row>
    <row r="262" spans="1:11">
      <c r="A262" s="11" t="s">
        <v>2021</v>
      </c>
      <c r="B262" s="320" t="str">
        <f>报表附注!E571</f>
        <v>合计</v>
      </c>
      <c r="C262" s="321">
        <f t="shared" si="42"/>
        <v>0</v>
      </c>
      <c r="D262" s="11" t="b">
        <f t="shared" si="38"/>
        <v>1</v>
      </c>
      <c r="E262" s="311"/>
      <c r="H262" s="11" t="b">
        <f t="shared" si="43"/>
        <v>1</v>
      </c>
      <c r="I262" s="11" t="s">
        <v>2021</v>
      </c>
      <c r="K262" s="11" t="b">
        <v>1</v>
      </c>
    </row>
    <row r="263" spans="1:11">
      <c r="A263" s="11" t="s">
        <v>2034</v>
      </c>
      <c r="B263" s="330" t="s">
        <v>2034</v>
      </c>
      <c r="C263" s="328">
        <f t="shared" si="42"/>
        <v>0</v>
      </c>
      <c r="D263" s="11" t="b">
        <f t="shared" si="38"/>
        <v>1</v>
      </c>
      <c r="E263" s="326"/>
      <c r="H263" s="11" t="b">
        <f t="shared" si="43"/>
        <v>0</v>
      </c>
      <c r="K263" s="11" t="b">
        <v>1</v>
      </c>
    </row>
    <row r="264" spans="1:11">
      <c r="A264" s="11" t="s">
        <v>2026</v>
      </c>
      <c r="B264" s="310" t="str">
        <f>报表附注!E565</f>
        <v>1年以内（含1年）</v>
      </c>
      <c r="C264" s="321">
        <f t="shared" si="42"/>
        <v>624116.3</v>
      </c>
      <c r="D264" s="11" t="b">
        <f t="shared" si="38"/>
        <v>1</v>
      </c>
      <c r="E264" s="311"/>
      <c r="H264" s="11" t="b">
        <f t="shared" si="43"/>
        <v>0</v>
      </c>
      <c r="I264" s="11" t="s">
        <v>2020</v>
      </c>
      <c r="K264" s="11" t="b">
        <v>1</v>
      </c>
    </row>
    <row r="265" spans="1:11">
      <c r="A265" s="11" t="s">
        <v>2027</v>
      </c>
      <c r="B265" s="310" t="str">
        <f>报表附注!E566</f>
        <v>1-2年（含2年）</v>
      </c>
      <c r="C265" s="321">
        <f t="shared" si="42"/>
        <v>59455.62</v>
      </c>
      <c r="D265" s="11" t="b">
        <f t="shared" si="38"/>
        <v>1</v>
      </c>
      <c r="E265" s="311"/>
      <c r="H265" s="11" t="b">
        <f t="shared" si="43"/>
        <v>0</v>
      </c>
      <c r="I265" s="11" t="s">
        <v>3078</v>
      </c>
      <c r="K265" s="11" t="b">
        <v>0</v>
      </c>
    </row>
    <row r="266" spans="1:11">
      <c r="A266" s="11" t="s">
        <v>2028</v>
      </c>
      <c r="B266" s="310" t="str">
        <f>报表附注!E567</f>
        <v>2-3年（含3年）</v>
      </c>
      <c r="C266" s="321">
        <f t="shared" si="42"/>
        <v>166422.45</v>
      </c>
      <c r="D266" s="11" t="b">
        <f t="shared" si="38"/>
        <v>1</v>
      </c>
      <c r="E266" s="311"/>
      <c r="H266" s="11" t="b">
        <f t="shared" si="43"/>
        <v>0</v>
      </c>
      <c r="I266" s="11" t="s">
        <v>3079</v>
      </c>
      <c r="K266" s="11" t="b">
        <v>0</v>
      </c>
    </row>
    <row r="267" spans="1:11">
      <c r="A267" s="11" t="s">
        <v>2029</v>
      </c>
      <c r="B267" s="310" t="str">
        <f>报表附注!E568</f>
        <v>3-4年（含4年）</v>
      </c>
      <c r="C267" s="321">
        <f t="shared" si="42"/>
        <v>49532</v>
      </c>
      <c r="D267" s="11" t="b">
        <f t="shared" si="38"/>
        <v>1</v>
      </c>
      <c r="E267" s="311"/>
      <c r="H267" s="11" t="b">
        <f t="shared" si="43"/>
        <v>0</v>
      </c>
      <c r="I267" s="11" t="s">
        <v>3080</v>
      </c>
      <c r="K267" s="11" t="b">
        <v>0</v>
      </c>
    </row>
    <row r="268" spans="1:11">
      <c r="A268" s="11" t="s">
        <v>2030</v>
      </c>
      <c r="B268" s="310" t="str">
        <f>报表附注!E569</f>
        <v>4-5年（含5年）</v>
      </c>
      <c r="C268" s="321">
        <f t="shared" si="42"/>
        <v>0</v>
      </c>
      <c r="D268" s="11" t="b">
        <f t="shared" ref="D268:D331" si="44">EXACT(A268,B268)</f>
        <v>1</v>
      </c>
      <c r="E268" s="311"/>
      <c r="H268" s="11" t="b">
        <f t="shared" si="43"/>
        <v>0</v>
      </c>
      <c r="I268" s="11" t="s">
        <v>2021</v>
      </c>
      <c r="K268" s="11" t="b">
        <v>1</v>
      </c>
    </row>
    <row r="269" spans="1:11">
      <c r="A269" s="11" t="s">
        <v>2031</v>
      </c>
      <c r="B269" s="310" t="str">
        <f>报表附注!E570</f>
        <v>5年以上</v>
      </c>
      <c r="C269" s="321">
        <f t="shared" si="42"/>
        <v>0</v>
      </c>
      <c r="D269" s="11" t="b">
        <f t="shared" si="44"/>
        <v>1</v>
      </c>
      <c r="E269" s="311"/>
      <c r="H269" s="11" t="b">
        <f t="shared" si="43"/>
        <v>0</v>
      </c>
      <c r="I269" s="11" t="s">
        <v>2032</v>
      </c>
      <c r="K269" s="11" t="b">
        <v>1</v>
      </c>
    </row>
    <row r="270" spans="1:11">
      <c r="A270" s="11" t="s">
        <v>2021</v>
      </c>
      <c r="B270" s="320" t="str">
        <f>报表附注!E571</f>
        <v>合计</v>
      </c>
      <c r="C270" s="321">
        <f t="shared" si="42"/>
        <v>0</v>
      </c>
      <c r="D270" s="11" t="b">
        <f t="shared" si="44"/>
        <v>1</v>
      </c>
      <c r="E270" s="311"/>
      <c r="H270" s="11" t="b">
        <f t="shared" si="43"/>
        <v>0</v>
      </c>
      <c r="I270" s="11" t="s">
        <v>3078</v>
      </c>
      <c r="K270" s="11" t="b">
        <v>0</v>
      </c>
    </row>
    <row r="271" spans="4:11">
      <c r="D271" s="11" t="b">
        <f t="shared" si="44"/>
        <v>1</v>
      </c>
      <c r="H271" s="11" t="b">
        <f t="shared" si="43"/>
        <v>0</v>
      </c>
      <c r="I271" s="11" t="s">
        <v>3079</v>
      </c>
      <c r="K271" s="11" t="b">
        <v>0</v>
      </c>
    </row>
    <row r="272" spans="1:11">
      <c r="A272" s="11" t="s">
        <v>2020</v>
      </c>
      <c r="B272" s="330" t="s">
        <v>2020</v>
      </c>
      <c r="D272" s="11" t="b">
        <f t="shared" si="44"/>
        <v>1</v>
      </c>
      <c r="H272" s="11" t="b">
        <f t="shared" si="43"/>
        <v>0</v>
      </c>
      <c r="I272" s="11" t="s">
        <v>3080</v>
      </c>
      <c r="K272" s="11" t="b">
        <v>0</v>
      </c>
    </row>
    <row r="273" ht="22.5" spans="1:11">
      <c r="A273" s="11" t="s">
        <v>2036</v>
      </c>
      <c r="B273" s="310" t="str">
        <f>报表附注!E578</f>
        <v>单项金额重大并单项计提坏账准备的的其他应收款</v>
      </c>
      <c r="C273" s="321">
        <f t="shared" ref="C273:C291" si="45">J265</f>
        <v>0</v>
      </c>
      <c r="D273" s="11" t="b">
        <f t="shared" si="44"/>
        <v>0</v>
      </c>
      <c r="E273" s="321">
        <f>C283</f>
        <v>3502548</v>
      </c>
      <c r="H273" s="11" t="b">
        <f t="shared" si="43"/>
        <v>0</v>
      </c>
      <c r="I273" s="11" t="s">
        <v>2021</v>
      </c>
      <c r="K273" s="11" t="b">
        <v>1</v>
      </c>
    </row>
    <row r="274" ht="22.5" spans="1:11">
      <c r="A274" s="11" t="s">
        <v>2037</v>
      </c>
      <c r="B274" s="310" t="str">
        <f>报表附注!E579</f>
        <v>按组合（账龄分析法）计提坏账准备的其他应收款</v>
      </c>
      <c r="C274" s="321">
        <f t="shared" si="45"/>
        <v>0</v>
      </c>
      <c r="D274" s="11" t="b">
        <f t="shared" si="44"/>
        <v>0</v>
      </c>
      <c r="E274" s="321">
        <f t="shared" ref="E274:E281" si="46">C284</f>
        <v>14379243.04</v>
      </c>
      <c r="H274" s="11" t="b">
        <f t="shared" si="43"/>
        <v>0</v>
      </c>
      <c r="I274" s="11" t="s">
        <v>316</v>
      </c>
      <c r="K274" s="11" t="b">
        <v>1</v>
      </c>
    </row>
    <row r="275" ht="22.5" spans="1:11">
      <c r="A275" s="11" t="s">
        <v>2038</v>
      </c>
      <c r="B275" s="310" t="str">
        <f>报表附注!E580</f>
        <v>单项金额虽不重大但单项计提坏账准备的其他应收款</v>
      </c>
      <c r="C275" s="321">
        <f t="shared" si="45"/>
        <v>0</v>
      </c>
      <c r="D275" s="11" t="b">
        <f t="shared" si="44"/>
        <v>0</v>
      </c>
      <c r="E275" s="321">
        <f t="shared" si="46"/>
        <v>0</v>
      </c>
      <c r="H275" s="11" t="b">
        <f t="shared" si="43"/>
        <v>0</v>
      </c>
      <c r="I275" s="11" t="s">
        <v>3078</v>
      </c>
      <c r="J275" s="323">
        <v>3502548</v>
      </c>
      <c r="K275" s="11" t="b">
        <v>0</v>
      </c>
    </row>
    <row r="276" spans="1:11">
      <c r="A276" s="11" t="s">
        <v>2021</v>
      </c>
      <c r="B276" s="320" t="str">
        <f>报表附注!E581</f>
        <v>合计</v>
      </c>
      <c r="C276" s="321">
        <f t="shared" si="45"/>
        <v>0</v>
      </c>
      <c r="D276" s="11" t="b">
        <f t="shared" si="44"/>
        <v>1</v>
      </c>
      <c r="E276" s="321">
        <f t="shared" si="46"/>
        <v>0</v>
      </c>
      <c r="H276" s="11" t="b">
        <f t="shared" si="43"/>
        <v>0</v>
      </c>
      <c r="I276" s="11" t="s">
        <v>3079</v>
      </c>
      <c r="J276" s="323">
        <f>SUM(J303:J307)</f>
        <v>14379243.04</v>
      </c>
      <c r="K276" s="11" t="b">
        <v>0</v>
      </c>
    </row>
    <row r="277" spans="1:11">
      <c r="A277" s="11" t="s">
        <v>2032</v>
      </c>
      <c r="B277" s="330" t="s">
        <v>2032</v>
      </c>
      <c r="C277" s="328">
        <f t="shared" si="45"/>
        <v>0</v>
      </c>
      <c r="D277" s="11" t="b">
        <f t="shared" si="44"/>
        <v>1</v>
      </c>
      <c r="E277" s="321">
        <f t="shared" si="46"/>
        <v>0</v>
      </c>
      <c r="H277" s="11" t="b">
        <f t="shared" si="43"/>
        <v>0</v>
      </c>
      <c r="I277" s="11" t="s">
        <v>3080</v>
      </c>
      <c r="K277" s="11" t="b">
        <v>0</v>
      </c>
    </row>
    <row r="278" ht="22.5" spans="1:11">
      <c r="A278" s="11" t="s">
        <v>2036</v>
      </c>
      <c r="B278" s="310" t="str">
        <f>报表附注!E578</f>
        <v>单项金额重大并单项计提坏账准备的的其他应收款</v>
      </c>
      <c r="C278" s="321">
        <f t="shared" si="45"/>
        <v>0</v>
      </c>
      <c r="D278" s="11" t="b">
        <f t="shared" si="44"/>
        <v>0</v>
      </c>
      <c r="E278" s="321">
        <f t="shared" si="46"/>
        <v>0</v>
      </c>
      <c r="H278" s="11" t="b">
        <f t="shared" si="43"/>
        <v>0</v>
      </c>
      <c r="I278" s="11" t="s">
        <v>2021</v>
      </c>
      <c r="K278" s="11" t="b">
        <v>1</v>
      </c>
    </row>
    <row r="279" ht="22.5" spans="1:11">
      <c r="A279" s="11" t="s">
        <v>2037</v>
      </c>
      <c r="B279" s="310" t="str">
        <f>报表附注!E579</f>
        <v>按组合（账龄分析法）计提坏账准备的其他应收款</v>
      </c>
      <c r="C279" s="321">
        <f t="shared" si="45"/>
        <v>0</v>
      </c>
      <c r="D279" s="11" t="b">
        <f t="shared" si="44"/>
        <v>0</v>
      </c>
      <c r="E279" s="321">
        <f t="shared" si="46"/>
        <v>899526.37</v>
      </c>
      <c r="H279" s="11" t="b">
        <f t="shared" si="43"/>
        <v>0</v>
      </c>
      <c r="I279" s="11" t="s">
        <v>2034</v>
      </c>
      <c r="K279" s="11" t="b">
        <v>1</v>
      </c>
    </row>
    <row r="280" ht="22.5" spans="1:11">
      <c r="A280" s="11" t="s">
        <v>2038</v>
      </c>
      <c r="B280" s="310" t="str">
        <f>报表附注!E580</f>
        <v>单项金额虽不重大但单项计提坏账准备的其他应收款</v>
      </c>
      <c r="C280" s="321">
        <f t="shared" si="45"/>
        <v>0</v>
      </c>
      <c r="D280" s="11" t="b">
        <f t="shared" si="44"/>
        <v>0</v>
      </c>
      <c r="E280" s="321">
        <f t="shared" si="46"/>
        <v>0</v>
      </c>
      <c r="H280" s="11" t="b">
        <f t="shared" si="43"/>
        <v>0</v>
      </c>
      <c r="I280" s="11" t="s">
        <v>462</v>
      </c>
      <c r="K280" s="11" t="b">
        <v>1</v>
      </c>
    </row>
    <row r="281" spans="1:11">
      <c r="A281" s="11" t="s">
        <v>2021</v>
      </c>
      <c r="B281" s="320" t="str">
        <f>报表附注!E581</f>
        <v>合计</v>
      </c>
      <c r="C281" s="321">
        <f t="shared" si="45"/>
        <v>0</v>
      </c>
      <c r="D281" s="11" t="b">
        <f t="shared" si="44"/>
        <v>1</v>
      </c>
      <c r="E281" s="321">
        <f t="shared" si="46"/>
        <v>0</v>
      </c>
      <c r="H281" s="11" t="b">
        <f t="shared" si="43"/>
        <v>0</v>
      </c>
      <c r="I281" s="11" t="s">
        <v>464</v>
      </c>
      <c r="J281" s="323">
        <f>SUM(J311:J316)</f>
        <v>899526.37</v>
      </c>
      <c r="K281" s="11" t="b">
        <v>1</v>
      </c>
    </row>
    <row r="282" spans="1:11">
      <c r="A282" s="11" t="s">
        <v>316</v>
      </c>
      <c r="B282" s="330" t="s">
        <v>316</v>
      </c>
      <c r="C282" s="328">
        <f t="shared" si="45"/>
        <v>0</v>
      </c>
      <c r="D282" s="11" t="b">
        <f t="shared" si="44"/>
        <v>1</v>
      </c>
      <c r="H282" s="11" t="b">
        <f t="shared" si="43"/>
        <v>0</v>
      </c>
      <c r="I282" s="11" t="s">
        <v>466</v>
      </c>
      <c r="K282" s="11" t="b">
        <v>1</v>
      </c>
    </row>
    <row r="283" ht="22.5" spans="1:11">
      <c r="A283" s="11" t="s">
        <v>2036</v>
      </c>
      <c r="B283" s="310" t="str">
        <f>报表附注!E578</f>
        <v>单项金额重大并单项计提坏账准备的的其他应收款</v>
      </c>
      <c r="C283" s="321">
        <f t="shared" si="45"/>
        <v>3502548</v>
      </c>
      <c r="D283" s="11" t="b">
        <f t="shared" si="44"/>
        <v>0</v>
      </c>
      <c r="E283" s="311"/>
      <c r="H283" s="11" t="b">
        <f t="shared" si="43"/>
        <v>0</v>
      </c>
      <c r="I283" s="11" t="s">
        <v>2021</v>
      </c>
      <c r="K283" s="11" t="b">
        <v>1</v>
      </c>
    </row>
    <row r="284" ht="22.5" spans="1:11">
      <c r="A284" s="11" t="s">
        <v>2037</v>
      </c>
      <c r="B284" s="310" t="str">
        <f>报表附注!E579</f>
        <v>按组合（账龄分析法）计提坏账准备的其他应收款</v>
      </c>
      <c r="C284" s="321">
        <f t="shared" si="45"/>
        <v>14379243.04</v>
      </c>
      <c r="D284" s="11" t="b">
        <f t="shared" si="44"/>
        <v>0</v>
      </c>
      <c r="E284" s="311"/>
      <c r="H284" s="11" t="b">
        <f t="shared" si="43"/>
        <v>0</v>
      </c>
      <c r="K284" s="11" t="b">
        <v>1</v>
      </c>
    </row>
    <row r="285" ht="22.5" spans="1:11">
      <c r="A285" s="11" t="s">
        <v>2038</v>
      </c>
      <c r="B285" s="310" t="str">
        <f>报表附注!E580</f>
        <v>单项金额虽不重大但单项计提坏账准备的其他应收款</v>
      </c>
      <c r="C285" s="321">
        <f t="shared" si="45"/>
        <v>0</v>
      </c>
      <c r="D285" s="11" t="b">
        <f t="shared" si="44"/>
        <v>0</v>
      </c>
      <c r="E285" s="311"/>
      <c r="H285" s="11" t="b">
        <f t="shared" si="43"/>
        <v>0</v>
      </c>
      <c r="I285" s="11" t="s">
        <v>2039</v>
      </c>
      <c r="K285" s="11" t="b">
        <v>1</v>
      </c>
    </row>
    <row r="286" spans="1:11">
      <c r="A286" s="11" t="s">
        <v>2021</v>
      </c>
      <c r="B286" s="320" t="str">
        <f>报表附注!E581</f>
        <v>合计</v>
      </c>
      <c r="C286" s="321">
        <f t="shared" si="45"/>
        <v>0</v>
      </c>
      <c r="D286" s="11" t="b">
        <f t="shared" si="44"/>
        <v>1</v>
      </c>
      <c r="E286" s="311"/>
      <c r="H286" s="11" t="b">
        <f t="shared" si="43"/>
        <v>0</v>
      </c>
      <c r="I286" s="11" t="s">
        <v>2020</v>
      </c>
      <c r="K286" s="11" t="b">
        <v>1</v>
      </c>
    </row>
    <row r="287" spans="1:11">
      <c r="A287" s="11" t="s">
        <v>2034</v>
      </c>
      <c r="B287" s="330" t="s">
        <v>2034</v>
      </c>
      <c r="C287" s="328">
        <f t="shared" si="45"/>
        <v>0</v>
      </c>
      <c r="D287" s="11" t="b">
        <f t="shared" si="44"/>
        <v>1</v>
      </c>
      <c r="E287" s="326"/>
      <c r="H287" s="11" t="b">
        <f t="shared" si="43"/>
        <v>0</v>
      </c>
      <c r="I287" s="11" t="s">
        <v>2026</v>
      </c>
      <c r="K287" s="11" t="b">
        <v>1</v>
      </c>
    </row>
    <row r="288" spans="1:11">
      <c r="A288" s="11" t="s">
        <v>462</v>
      </c>
      <c r="B288" s="341" t="s">
        <v>462</v>
      </c>
      <c r="C288" s="321">
        <f t="shared" si="45"/>
        <v>0</v>
      </c>
      <c r="D288" s="11" t="b">
        <f t="shared" si="44"/>
        <v>1</v>
      </c>
      <c r="E288" s="311"/>
      <c r="H288" s="11" t="b">
        <f t="shared" si="43"/>
        <v>0</v>
      </c>
      <c r="I288" s="11" t="s">
        <v>2027</v>
      </c>
      <c r="K288" s="11" t="b">
        <v>1</v>
      </c>
    </row>
    <row r="289" ht="22.5" spans="1:11">
      <c r="A289" s="11" t="s">
        <v>464</v>
      </c>
      <c r="B289" s="341" t="s">
        <v>464</v>
      </c>
      <c r="C289" s="321">
        <f t="shared" si="45"/>
        <v>899526.37</v>
      </c>
      <c r="D289" s="11" t="b">
        <f t="shared" si="44"/>
        <v>1</v>
      </c>
      <c r="E289" s="311"/>
      <c r="H289" s="11" t="b">
        <f t="shared" si="43"/>
        <v>0</v>
      </c>
      <c r="I289" s="11" t="s">
        <v>2028</v>
      </c>
      <c r="K289" s="11" t="b">
        <v>1</v>
      </c>
    </row>
    <row r="290" spans="1:11">
      <c r="A290" s="11" t="s">
        <v>466</v>
      </c>
      <c r="B290" s="341" t="s">
        <v>466</v>
      </c>
      <c r="C290" s="321">
        <f t="shared" si="45"/>
        <v>0</v>
      </c>
      <c r="D290" s="11" t="b">
        <f t="shared" si="44"/>
        <v>1</v>
      </c>
      <c r="E290" s="311"/>
      <c r="H290" s="11" t="b">
        <f t="shared" si="43"/>
        <v>0</v>
      </c>
      <c r="I290" s="11" t="s">
        <v>2029</v>
      </c>
      <c r="K290" s="11" t="b">
        <v>1</v>
      </c>
    </row>
    <row r="291" spans="1:11">
      <c r="A291" s="11" t="s">
        <v>2021</v>
      </c>
      <c r="B291" s="342" t="s">
        <v>2021</v>
      </c>
      <c r="C291" s="321">
        <f t="shared" si="45"/>
        <v>0</v>
      </c>
      <c r="D291" s="11" t="b">
        <f t="shared" si="44"/>
        <v>1</v>
      </c>
      <c r="E291" s="311"/>
      <c r="H291" s="11" t="b">
        <f t="shared" si="43"/>
        <v>0</v>
      </c>
      <c r="I291" s="11" t="s">
        <v>2030</v>
      </c>
      <c r="K291" s="11" t="b">
        <v>1</v>
      </c>
    </row>
    <row r="292" spans="4:11">
      <c r="D292" s="11" t="b">
        <f t="shared" si="44"/>
        <v>1</v>
      </c>
      <c r="H292" s="11" t="b">
        <f t="shared" si="43"/>
        <v>0</v>
      </c>
      <c r="I292" s="11" t="s">
        <v>2031</v>
      </c>
      <c r="K292" s="11" t="b">
        <v>1</v>
      </c>
    </row>
    <row r="293" spans="1:11">
      <c r="A293" s="11" t="s">
        <v>2039</v>
      </c>
      <c r="B293" s="335" t="s">
        <v>2039</v>
      </c>
      <c r="D293" s="11" t="b">
        <f t="shared" si="44"/>
        <v>1</v>
      </c>
      <c r="H293" s="11" t="b">
        <f t="shared" si="43"/>
        <v>0</v>
      </c>
      <c r="I293" s="11" t="s">
        <v>2021</v>
      </c>
      <c r="K293" s="11" t="b">
        <v>1</v>
      </c>
    </row>
    <row r="294" spans="1:11">
      <c r="A294" s="11" t="s">
        <v>2020</v>
      </c>
      <c r="B294" s="336" t="s">
        <v>2020</v>
      </c>
      <c r="D294" s="11" t="b">
        <f t="shared" si="44"/>
        <v>1</v>
      </c>
      <c r="H294" s="11" t="b">
        <f t="shared" si="43"/>
        <v>0</v>
      </c>
      <c r="I294" s="11" t="s">
        <v>2032</v>
      </c>
      <c r="K294" s="11" t="b">
        <v>1</v>
      </c>
    </row>
    <row r="295" spans="1:11">
      <c r="A295" s="11" t="s">
        <v>2026</v>
      </c>
      <c r="B295" s="337" t="str">
        <f>报表附注!E689</f>
        <v>1年以内（含1年）</v>
      </c>
      <c r="C295" s="321">
        <f t="shared" ref="C295:C325" si="47">J287</f>
        <v>0</v>
      </c>
      <c r="D295" s="11" t="b">
        <f t="shared" si="44"/>
        <v>1</v>
      </c>
      <c r="E295" s="321">
        <f>C311</f>
        <v>12853510.6</v>
      </c>
      <c r="H295" s="11" t="b">
        <f t="shared" si="43"/>
        <v>1</v>
      </c>
      <c r="I295" s="11" t="s">
        <v>2026</v>
      </c>
      <c r="K295" s="11" t="b">
        <v>1</v>
      </c>
    </row>
    <row r="296" spans="1:11">
      <c r="A296" s="11" t="s">
        <v>2027</v>
      </c>
      <c r="B296" s="337" t="str">
        <f>报表附注!E690</f>
        <v>1-2年（含2年）</v>
      </c>
      <c r="C296" s="321">
        <f t="shared" si="47"/>
        <v>0</v>
      </c>
      <c r="D296" s="11" t="b">
        <f t="shared" si="44"/>
        <v>1</v>
      </c>
      <c r="E296" s="321">
        <f t="shared" ref="E296:E309" si="48">C312</f>
        <v>594556.18</v>
      </c>
      <c r="H296" s="11" t="b">
        <f t="shared" si="43"/>
        <v>1</v>
      </c>
      <c r="I296" s="11" t="s">
        <v>2027</v>
      </c>
      <c r="K296" s="11" t="b">
        <v>1</v>
      </c>
    </row>
    <row r="297" spans="1:11">
      <c r="A297" s="11" t="s">
        <v>2028</v>
      </c>
      <c r="B297" s="337" t="str">
        <f>报表附注!E691</f>
        <v>2-3年（含3年）</v>
      </c>
      <c r="C297" s="321">
        <f t="shared" si="47"/>
        <v>0</v>
      </c>
      <c r="D297" s="11" t="b">
        <f t="shared" si="44"/>
        <v>1</v>
      </c>
      <c r="E297" s="321">
        <f t="shared" si="48"/>
        <v>832112.26</v>
      </c>
      <c r="H297" s="11" t="b">
        <f t="shared" si="43"/>
        <v>1</v>
      </c>
      <c r="I297" s="11" t="s">
        <v>2028</v>
      </c>
      <c r="K297" s="11" t="b">
        <v>1</v>
      </c>
    </row>
    <row r="298" spans="1:11">
      <c r="A298" s="11" t="s">
        <v>2029</v>
      </c>
      <c r="B298" s="337" t="str">
        <f>报表附注!E692</f>
        <v>3-4年（含4年）</v>
      </c>
      <c r="C298" s="321">
        <f t="shared" si="47"/>
        <v>0</v>
      </c>
      <c r="D298" s="11" t="b">
        <f t="shared" si="44"/>
        <v>1</v>
      </c>
      <c r="E298" s="321">
        <f t="shared" si="48"/>
        <v>99064</v>
      </c>
      <c r="H298" s="11" t="b">
        <f t="shared" si="43"/>
        <v>1</v>
      </c>
      <c r="I298" s="11" t="s">
        <v>2029</v>
      </c>
      <c r="K298" s="11" t="b">
        <v>1</v>
      </c>
    </row>
    <row r="299" spans="1:11">
      <c r="A299" s="11" t="s">
        <v>2030</v>
      </c>
      <c r="B299" s="337" t="str">
        <f>报表附注!E693</f>
        <v>4-5年（含5年）</v>
      </c>
      <c r="C299" s="321">
        <f t="shared" si="47"/>
        <v>0</v>
      </c>
      <c r="D299" s="11" t="b">
        <f t="shared" si="44"/>
        <v>1</v>
      </c>
      <c r="E299" s="321">
        <f t="shared" si="48"/>
        <v>0</v>
      </c>
      <c r="H299" s="11" t="b">
        <f t="shared" si="43"/>
        <v>1</v>
      </c>
      <c r="I299" s="11" t="s">
        <v>2030</v>
      </c>
      <c r="K299" s="11" t="b">
        <v>1</v>
      </c>
    </row>
    <row r="300" spans="1:11">
      <c r="A300" s="11" t="s">
        <v>2031</v>
      </c>
      <c r="B300" s="337" t="str">
        <f>报表附注!E694</f>
        <v>5年以上</v>
      </c>
      <c r="C300" s="321">
        <f t="shared" si="47"/>
        <v>0</v>
      </c>
      <c r="D300" s="11" t="b">
        <f t="shared" si="44"/>
        <v>1</v>
      </c>
      <c r="E300" s="321">
        <f t="shared" si="48"/>
        <v>0</v>
      </c>
      <c r="H300" s="11" t="b">
        <f t="shared" si="43"/>
        <v>1</v>
      </c>
      <c r="I300" s="11" t="s">
        <v>2031</v>
      </c>
      <c r="K300" s="11" t="b">
        <v>1</v>
      </c>
    </row>
    <row r="301" spans="1:11">
      <c r="A301" s="11" t="s">
        <v>2021</v>
      </c>
      <c r="B301" s="339" t="str">
        <f>报表附注!E695</f>
        <v>合计</v>
      </c>
      <c r="C301" s="321">
        <f t="shared" si="47"/>
        <v>0</v>
      </c>
      <c r="D301" s="11" t="b">
        <f t="shared" si="44"/>
        <v>1</v>
      </c>
      <c r="E301" s="321">
        <f t="shared" si="48"/>
        <v>0</v>
      </c>
      <c r="H301" s="11" t="b">
        <f t="shared" si="43"/>
        <v>1</v>
      </c>
      <c r="I301" s="11" t="s">
        <v>2021</v>
      </c>
      <c r="K301" s="11" t="b">
        <v>1</v>
      </c>
    </row>
    <row r="302" spans="1:11">
      <c r="A302" s="11" t="s">
        <v>2032</v>
      </c>
      <c r="B302" s="340" t="s">
        <v>2032</v>
      </c>
      <c r="C302" s="328">
        <f t="shared" si="47"/>
        <v>0</v>
      </c>
      <c r="D302" s="11" t="b">
        <f t="shared" si="44"/>
        <v>1</v>
      </c>
      <c r="E302" s="321">
        <f t="shared" si="48"/>
        <v>0</v>
      </c>
      <c r="H302" s="11" t="b">
        <f t="shared" si="43"/>
        <v>0</v>
      </c>
      <c r="I302" s="11" t="s">
        <v>316</v>
      </c>
      <c r="K302" s="11" t="b">
        <v>1</v>
      </c>
    </row>
    <row r="303" spans="1:11">
      <c r="A303" s="11" t="s">
        <v>2026</v>
      </c>
      <c r="B303" s="337" t="str">
        <f>报表附注!E689</f>
        <v>1年以内（含1年）</v>
      </c>
      <c r="C303" s="321">
        <f t="shared" si="47"/>
        <v>0</v>
      </c>
      <c r="D303" s="11" t="b">
        <f t="shared" si="44"/>
        <v>1</v>
      </c>
      <c r="E303" s="321">
        <f t="shared" si="48"/>
        <v>624116.3</v>
      </c>
      <c r="H303" s="11" t="b">
        <f t="shared" si="43"/>
        <v>1</v>
      </c>
      <c r="I303" s="11" t="s">
        <v>2026</v>
      </c>
      <c r="J303" s="323">
        <v>12853510.6</v>
      </c>
      <c r="K303" s="11" t="b">
        <v>1</v>
      </c>
    </row>
    <row r="304" spans="1:11">
      <c r="A304" s="11" t="s">
        <v>2027</v>
      </c>
      <c r="B304" s="337" t="str">
        <f>报表附注!E690</f>
        <v>1-2年（含2年）</v>
      </c>
      <c r="C304" s="321">
        <f t="shared" si="47"/>
        <v>0</v>
      </c>
      <c r="D304" s="11" t="b">
        <f t="shared" si="44"/>
        <v>1</v>
      </c>
      <c r="E304" s="321">
        <f t="shared" si="48"/>
        <v>59455.62</v>
      </c>
      <c r="H304" s="11" t="b">
        <f t="shared" si="43"/>
        <v>1</v>
      </c>
      <c r="I304" s="11" t="s">
        <v>2027</v>
      </c>
      <c r="J304" s="323">
        <v>594556.18</v>
      </c>
      <c r="K304" s="11" t="b">
        <v>1</v>
      </c>
    </row>
    <row r="305" spans="1:11">
      <c r="A305" s="11" t="s">
        <v>2028</v>
      </c>
      <c r="B305" s="337" t="str">
        <f>报表附注!E691</f>
        <v>2-3年（含3年）</v>
      </c>
      <c r="C305" s="321">
        <f t="shared" si="47"/>
        <v>0</v>
      </c>
      <c r="D305" s="11" t="b">
        <f t="shared" si="44"/>
        <v>1</v>
      </c>
      <c r="E305" s="321">
        <f t="shared" si="48"/>
        <v>166422.45</v>
      </c>
      <c r="H305" s="11" t="b">
        <f t="shared" si="43"/>
        <v>1</v>
      </c>
      <c r="I305" s="11" t="s">
        <v>2028</v>
      </c>
      <c r="J305" s="323">
        <v>832112.26</v>
      </c>
      <c r="K305" s="11" t="b">
        <v>1</v>
      </c>
    </row>
    <row r="306" spans="1:11">
      <c r="A306" s="11" t="s">
        <v>2029</v>
      </c>
      <c r="B306" s="337" t="str">
        <f>报表附注!E692</f>
        <v>3-4年（含4年）</v>
      </c>
      <c r="C306" s="321">
        <f t="shared" si="47"/>
        <v>0</v>
      </c>
      <c r="D306" s="11" t="b">
        <f t="shared" si="44"/>
        <v>1</v>
      </c>
      <c r="E306" s="321">
        <f t="shared" si="48"/>
        <v>49532</v>
      </c>
      <c r="H306" s="11" t="b">
        <f t="shared" si="43"/>
        <v>1</v>
      </c>
      <c r="I306" s="11" t="s">
        <v>2029</v>
      </c>
      <c r="J306" s="323">
        <v>99064</v>
      </c>
      <c r="K306" s="11" t="b">
        <v>1</v>
      </c>
    </row>
    <row r="307" spans="1:11">
      <c r="A307" s="11" t="s">
        <v>2030</v>
      </c>
      <c r="B307" s="337" t="str">
        <f>报表附注!E693</f>
        <v>4-5年（含5年）</v>
      </c>
      <c r="C307" s="321">
        <f t="shared" si="47"/>
        <v>0</v>
      </c>
      <c r="D307" s="11" t="b">
        <f t="shared" si="44"/>
        <v>1</v>
      </c>
      <c r="E307" s="321">
        <f t="shared" si="48"/>
        <v>0</v>
      </c>
      <c r="H307" s="11" t="b">
        <f t="shared" si="43"/>
        <v>1</v>
      </c>
      <c r="I307" s="11" t="s">
        <v>2030</v>
      </c>
      <c r="J307" s="323">
        <v>0</v>
      </c>
      <c r="K307" s="11" t="b">
        <v>1</v>
      </c>
    </row>
    <row r="308" spans="1:11">
      <c r="A308" s="11" t="s">
        <v>2031</v>
      </c>
      <c r="B308" s="337" t="str">
        <f>报表附注!E694</f>
        <v>5年以上</v>
      </c>
      <c r="C308" s="321">
        <f t="shared" si="47"/>
        <v>0</v>
      </c>
      <c r="D308" s="11" t="b">
        <f t="shared" si="44"/>
        <v>1</v>
      </c>
      <c r="E308" s="321">
        <f t="shared" si="48"/>
        <v>0</v>
      </c>
      <c r="H308" s="11" t="b">
        <f t="shared" si="43"/>
        <v>1</v>
      </c>
      <c r="I308" s="11" t="s">
        <v>2031</v>
      </c>
      <c r="K308" s="11" t="b">
        <v>1</v>
      </c>
    </row>
    <row r="309" spans="1:11">
      <c r="A309" s="11" t="s">
        <v>2021</v>
      </c>
      <c r="B309" s="339" t="str">
        <f>报表附注!E695</f>
        <v>合计</v>
      </c>
      <c r="C309" s="321">
        <f t="shared" si="47"/>
        <v>0</v>
      </c>
      <c r="D309" s="11" t="b">
        <f t="shared" si="44"/>
        <v>1</v>
      </c>
      <c r="E309" s="321">
        <f t="shared" si="48"/>
        <v>0</v>
      </c>
      <c r="H309" s="11" t="b">
        <f t="shared" si="43"/>
        <v>1</v>
      </c>
      <c r="I309" s="11" t="s">
        <v>2021</v>
      </c>
      <c r="K309" s="11" t="b">
        <v>1</v>
      </c>
    </row>
    <row r="310" spans="1:11">
      <c r="A310" s="11" t="s">
        <v>316</v>
      </c>
      <c r="B310" s="336" t="s">
        <v>316</v>
      </c>
      <c r="C310" s="328">
        <f t="shared" si="47"/>
        <v>0</v>
      </c>
      <c r="D310" s="11" t="b">
        <f t="shared" si="44"/>
        <v>1</v>
      </c>
      <c r="H310" s="11" t="b">
        <f t="shared" si="43"/>
        <v>0</v>
      </c>
      <c r="I310" s="11" t="s">
        <v>2034</v>
      </c>
      <c r="K310" s="11" t="b">
        <v>1</v>
      </c>
    </row>
    <row r="311" spans="1:11">
      <c r="A311" s="11" t="s">
        <v>2026</v>
      </c>
      <c r="B311" s="337" t="str">
        <f>报表附注!E689</f>
        <v>1年以内（含1年）</v>
      </c>
      <c r="C311" s="321">
        <f t="shared" si="47"/>
        <v>12853510.6</v>
      </c>
      <c r="D311" s="11" t="b">
        <f t="shared" si="44"/>
        <v>1</v>
      </c>
      <c r="E311" s="343"/>
      <c r="H311" s="11" t="b">
        <f t="shared" si="43"/>
        <v>1</v>
      </c>
      <c r="I311" s="11" t="s">
        <v>2026</v>
      </c>
      <c r="J311" s="323">
        <v>624116.3</v>
      </c>
      <c r="K311" s="11" t="b">
        <v>1</v>
      </c>
    </row>
    <row r="312" spans="1:11">
      <c r="A312" s="11" t="s">
        <v>2027</v>
      </c>
      <c r="B312" s="337" t="str">
        <f>报表附注!E690</f>
        <v>1-2年（含2年）</v>
      </c>
      <c r="C312" s="321">
        <f t="shared" si="47"/>
        <v>594556.18</v>
      </c>
      <c r="D312" s="11" t="b">
        <f t="shared" si="44"/>
        <v>1</v>
      </c>
      <c r="E312" s="343"/>
      <c r="H312" s="11" t="b">
        <f t="shared" si="43"/>
        <v>1</v>
      </c>
      <c r="I312" s="11" t="s">
        <v>2027</v>
      </c>
      <c r="J312" s="323">
        <v>59455.62</v>
      </c>
      <c r="K312" s="11" t="b">
        <v>1</v>
      </c>
    </row>
    <row r="313" spans="1:11">
      <c r="A313" s="11" t="s">
        <v>2028</v>
      </c>
      <c r="B313" s="337" t="str">
        <f>报表附注!E691</f>
        <v>2-3年（含3年）</v>
      </c>
      <c r="C313" s="321">
        <f t="shared" si="47"/>
        <v>832112.26</v>
      </c>
      <c r="D313" s="11" t="b">
        <f t="shared" si="44"/>
        <v>1</v>
      </c>
      <c r="E313" s="343"/>
      <c r="H313" s="11" t="b">
        <f t="shared" si="43"/>
        <v>1</v>
      </c>
      <c r="I313" s="11" t="s">
        <v>2028</v>
      </c>
      <c r="J313" s="323">
        <v>166422.45</v>
      </c>
      <c r="K313" s="11" t="b">
        <v>1</v>
      </c>
    </row>
    <row r="314" spans="1:11">
      <c r="A314" s="11" t="s">
        <v>2029</v>
      </c>
      <c r="B314" s="337" t="str">
        <f>报表附注!E692</f>
        <v>3-4年（含4年）</v>
      </c>
      <c r="C314" s="321">
        <f t="shared" si="47"/>
        <v>99064</v>
      </c>
      <c r="D314" s="11" t="b">
        <f t="shared" si="44"/>
        <v>1</v>
      </c>
      <c r="E314" s="343"/>
      <c r="H314" s="11" t="b">
        <f t="shared" si="43"/>
        <v>1</v>
      </c>
      <c r="I314" s="11" t="s">
        <v>2029</v>
      </c>
      <c r="J314" s="323">
        <v>49532</v>
      </c>
      <c r="K314" s="11" t="b">
        <v>1</v>
      </c>
    </row>
    <row r="315" spans="1:11">
      <c r="A315" s="11" t="s">
        <v>2030</v>
      </c>
      <c r="B315" s="337" t="str">
        <f>报表附注!E693</f>
        <v>4-5年（含5年）</v>
      </c>
      <c r="C315" s="321">
        <f t="shared" si="47"/>
        <v>0</v>
      </c>
      <c r="D315" s="11" t="b">
        <f t="shared" si="44"/>
        <v>1</v>
      </c>
      <c r="E315" s="343"/>
      <c r="H315" s="11" t="b">
        <f t="shared" si="43"/>
        <v>1</v>
      </c>
      <c r="I315" s="11" t="s">
        <v>2030</v>
      </c>
      <c r="K315" s="11" t="b">
        <v>1</v>
      </c>
    </row>
    <row r="316" spans="1:11">
      <c r="A316" s="11" t="s">
        <v>2031</v>
      </c>
      <c r="B316" s="337" t="str">
        <f>报表附注!E694</f>
        <v>5年以上</v>
      </c>
      <c r="C316" s="321">
        <f t="shared" si="47"/>
        <v>0</v>
      </c>
      <c r="D316" s="11" t="b">
        <f t="shared" si="44"/>
        <v>1</v>
      </c>
      <c r="E316" s="343"/>
      <c r="H316" s="11" t="b">
        <f t="shared" si="43"/>
        <v>1</v>
      </c>
      <c r="I316" s="11" t="s">
        <v>2031</v>
      </c>
      <c r="K316" s="11" t="b">
        <v>1</v>
      </c>
    </row>
    <row r="317" spans="1:11">
      <c r="A317" s="11" t="s">
        <v>2021</v>
      </c>
      <c r="B317" s="339" t="str">
        <f>报表附注!E695</f>
        <v>合计</v>
      </c>
      <c r="C317" s="321">
        <f t="shared" si="47"/>
        <v>0</v>
      </c>
      <c r="D317" s="11" t="b">
        <f t="shared" si="44"/>
        <v>1</v>
      </c>
      <c r="E317" s="343"/>
      <c r="H317" s="11" t="b">
        <f t="shared" si="43"/>
        <v>1</v>
      </c>
      <c r="I317" s="11" t="s">
        <v>2021</v>
      </c>
      <c r="K317" s="11" t="b">
        <v>1</v>
      </c>
    </row>
    <row r="318" spans="1:11">
      <c r="A318" s="11" t="s">
        <v>2034</v>
      </c>
      <c r="B318" s="340" t="s">
        <v>2034</v>
      </c>
      <c r="C318" s="328">
        <f t="shared" si="47"/>
        <v>0</v>
      </c>
      <c r="D318" s="11" t="b">
        <f t="shared" si="44"/>
        <v>1</v>
      </c>
      <c r="E318" s="343"/>
      <c r="H318" s="11" t="b">
        <f t="shared" si="43"/>
        <v>0</v>
      </c>
      <c r="K318" s="11" t="b">
        <v>1</v>
      </c>
    </row>
    <row r="319" spans="1:11">
      <c r="A319" s="11" t="s">
        <v>2026</v>
      </c>
      <c r="B319" s="337" t="str">
        <f>报表附注!E689</f>
        <v>1年以内（含1年）</v>
      </c>
      <c r="C319" s="321">
        <f t="shared" si="47"/>
        <v>624116.3</v>
      </c>
      <c r="D319" s="11" t="b">
        <f t="shared" si="44"/>
        <v>1</v>
      </c>
      <c r="E319" s="343"/>
      <c r="H319" s="11" t="b">
        <f t="shared" si="43"/>
        <v>0</v>
      </c>
      <c r="I319" s="11" t="s">
        <v>2046</v>
      </c>
      <c r="K319" s="11" t="b">
        <v>1</v>
      </c>
    </row>
    <row r="320" spans="1:11">
      <c r="A320" s="11" t="s">
        <v>2027</v>
      </c>
      <c r="B320" s="337" t="str">
        <f>报表附注!E690</f>
        <v>1-2年（含2年）</v>
      </c>
      <c r="C320" s="321">
        <f t="shared" si="47"/>
        <v>59455.62</v>
      </c>
      <c r="D320" s="11" t="b">
        <f t="shared" si="44"/>
        <v>1</v>
      </c>
      <c r="E320" s="343"/>
      <c r="H320" s="11" t="b">
        <f t="shared" si="43"/>
        <v>0</v>
      </c>
      <c r="I320" s="11" t="s">
        <v>2020</v>
      </c>
      <c r="K320" s="11" t="b">
        <v>1</v>
      </c>
    </row>
    <row r="321" spans="1:11">
      <c r="A321" s="11" t="s">
        <v>2028</v>
      </c>
      <c r="B321" s="337" t="str">
        <f>报表附注!E691</f>
        <v>2-3年（含3年）</v>
      </c>
      <c r="C321" s="321">
        <f t="shared" si="47"/>
        <v>166422.45</v>
      </c>
      <c r="D321" s="11" t="b">
        <f t="shared" si="44"/>
        <v>1</v>
      </c>
      <c r="E321" s="343"/>
      <c r="H321" s="11" t="b">
        <f t="shared" si="43"/>
        <v>0</v>
      </c>
      <c r="I321" s="11" t="s">
        <v>589</v>
      </c>
      <c r="K321" s="11" t="b">
        <v>1</v>
      </c>
    </row>
    <row r="322" spans="1:11">
      <c r="A322" s="11" t="s">
        <v>2029</v>
      </c>
      <c r="B322" s="337" t="str">
        <f>报表附注!E692</f>
        <v>3-4年（含4年）</v>
      </c>
      <c r="C322" s="321">
        <f t="shared" si="47"/>
        <v>49532</v>
      </c>
      <c r="D322" s="11" t="b">
        <f t="shared" si="44"/>
        <v>1</v>
      </c>
      <c r="E322" s="343"/>
      <c r="H322" s="11" t="b">
        <f t="shared" si="43"/>
        <v>0</v>
      </c>
      <c r="I322" s="11" t="s">
        <v>591</v>
      </c>
      <c r="K322" s="11" t="b">
        <v>0</v>
      </c>
    </row>
    <row r="323" spans="1:11">
      <c r="A323" s="11" t="s">
        <v>2030</v>
      </c>
      <c r="B323" s="337" t="str">
        <f>报表附注!E693</f>
        <v>4-5年（含5年）</v>
      </c>
      <c r="C323" s="321">
        <f t="shared" si="47"/>
        <v>0</v>
      </c>
      <c r="D323" s="11" t="b">
        <f t="shared" si="44"/>
        <v>1</v>
      </c>
      <c r="E323" s="343"/>
      <c r="H323" s="11" t="b">
        <f t="shared" si="43"/>
        <v>0</v>
      </c>
      <c r="I323" s="11" t="s">
        <v>3132</v>
      </c>
      <c r="K323" s="11" t="b">
        <v>0</v>
      </c>
    </row>
    <row r="324" spans="1:11">
      <c r="A324" s="11" t="s">
        <v>2031</v>
      </c>
      <c r="B324" s="337" t="str">
        <f>报表附注!E694</f>
        <v>5年以上</v>
      </c>
      <c r="C324" s="321">
        <f t="shared" si="47"/>
        <v>0</v>
      </c>
      <c r="D324" s="11" t="b">
        <f t="shared" si="44"/>
        <v>1</v>
      </c>
      <c r="E324" s="343"/>
      <c r="H324" s="11" t="b">
        <f t="shared" ref="H324:H387" si="49">I324=B324</f>
        <v>0</v>
      </c>
      <c r="I324" s="11" t="s">
        <v>2048</v>
      </c>
      <c r="K324" s="11" t="b">
        <v>0</v>
      </c>
    </row>
    <row r="325" spans="1:11">
      <c r="A325" s="11" t="s">
        <v>2021</v>
      </c>
      <c r="B325" s="339" t="str">
        <f>报表附注!E695</f>
        <v>合计</v>
      </c>
      <c r="C325" s="321">
        <f t="shared" si="47"/>
        <v>0</v>
      </c>
      <c r="D325" s="11" t="b">
        <f t="shared" si="44"/>
        <v>1</v>
      </c>
      <c r="E325" s="343"/>
      <c r="H325" s="11" t="b">
        <f t="shared" si="49"/>
        <v>0</v>
      </c>
      <c r="I325" s="11" t="s">
        <v>3133</v>
      </c>
      <c r="K325" s="11" t="b">
        <v>0</v>
      </c>
    </row>
    <row r="326" spans="4:11">
      <c r="D326" s="11" t="b">
        <f t="shared" si="44"/>
        <v>1</v>
      </c>
      <c r="E326" s="343"/>
      <c r="H326" s="11" t="b">
        <f t="shared" si="49"/>
        <v>0</v>
      </c>
      <c r="I326" s="11" t="s">
        <v>597</v>
      </c>
      <c r="K326" s="11" t="b">
        <v>1</v>
      </c>
    </row>
    <row r="327" spans="1:11">
      <c r="A327" s="11" t="s">
        <v>2046</v>
      </c>
      <c r="B327" s="329" t="s">
        <v>2046</v>
      </c>
      <c r="D327" s="11" t="b">
        <f t="shared" si="44"/>
        <v>1</v>
      </c>
      <c r="H327" s="11" t="b">
        <f t="shared" si="49"/>
        <v>0</v>
      </c>
      <c r="I327" s="11">
        <v>0</v>
      </c>
      <c r="K327" s="11" t="b">
        <v>0</v>
      </c>
    </row>
    <row r="328" spans="1:11">
      <c r="A328" s="11" t="s">
        <v>2020</v>
      </c>
      <c r="B328" s="330" t="s">
        <v>2020</v>
      </c>
      <c r="D328" s="11" t="b">
        <f t="shared" si="44"/>
        <v>1</v>
      </c>
      <c r="H328" s="11" t="b">
        <f t="shared" si="49"/>
        <v>0</v>
      </c>
      <c r="I328" s="11" t="s">
        <v>5704</v>
      </c>
      <c r="K328" s="11" t="b">
        <v>1</v>
      </c>
    </row>
    <row r="329" spans="1:11">
      <c r="A329" s="11" t="s">
        <v>589</v>
      </c>
      <c r="B329" s="334" t="str">
        <f>报表附注!E849</f>
        <v>原材料</v>
      </c>
      <c r="C329" s="321">
        <f t="shared" ref="C329:C361" si="50">J321</f>
        <v>0</v>
      </c>
      <c r="D329" s="11" t="b">
        <f t="shared" si="44"/>
        <v>1</v>
      </c>
      <c r="E329" s="321">
        <f>C363</f>
        <v>181933.99</v>
      </c>
      <c r="H329" s="11" t="b">
        <f t="shared" si="49"/>
        <v>0</v>
      </c>
      <c r="I329" s="11" t="s">
        <v>2051</v>
      </c>
      <c r="K329" s="11" t="b">
        <v>1</v>
      </c>
    </row>
    <row r="330" spans="1:11">
      <c r="A330" s="11" t="s">
        <v>2047</v>
      </c>
      <c r="B330" s="334" t="str">
        <f>报表附注!E850</f>
        <v>在产品</v>
      </c>
      <c r="C330" s="321">
        <f t="shared" si="50"/>
        <v>0</v>
      </c>
      <c r="D330" s="11" t="b">
        <f t="shared" si="44"/>
        <v>0</v>
      </c>
      <c r="E330" s="321">
        <f t="shared" ref="E330:E361" si="51">C364</f>
        <v>0</v>
      </c>
      <c r="H330" s="11" t="b">
        <f t="shared" si="49"/>
        <v>0</v>
      </c>
      <c r="I330" s="11" t="s">
        <v>2052</v>
      </c>
      <c r="K330" s="11" t="b">
        <v>1</v>
      </c>
    </row>
    <row r="331" spans="1:11">
      <c r="A331" s="11" t="s">
        <v>593</v>
      </c>
      <c r="B331" s="334" t="str">
        <f>报表附注!E851</f>
        <v>产成品</v>
      </c>
      <c r="C331" s="321">
        <f t="shared" si="50"/>
        <v>0</v>
      </c>
      <c r="D331" s="11" t="b">
        <f t="shared" si="44"/>
        <v>0</v>
      </c>
      <c r="E331" s="321">
        <f t="shared" si="51"/>
        <v>9076650.64</v>
      </c>
      <c r="H331" s="11" t="b">
        <f t="shared" si="49"/>
        <v>0</v>
      </c>
      <c r="I331" s="11" t="s">
        <v>2053</v>
      </c>
      <c r="K331" s="11" t="b">
        <v>1</v>
      </c>
    </row>
    <row r="332" spans="1:11">
      <c r="A332" s="11" t="s">
        <v>587</v>
      </c>
      <c r="B332" s="334" t="str">
        <f>报表附注!E852</f>
        <v>低值易耗品</v>
      </c>
      <c r="C332" s="321">
        <f t="shared" si="50"/>
        <v>0</v>
      </c>
      <c r="D332" s="11" t="b">
        <f t="shared" ref="D332:D395" si="52">EXACT(A332,B332)</f>
        <v>0</v>
      </c>
      <c r="E332" s="321">
        <f t="shared" si="51"/>
        <v>0</v>
      </c>
      <c r="H332" s="11" t="b">
        <f t="shared" si="49"/>
        <v>0</v>
      </c>
      <c r="I332" s="11" t="s">
        <v>2054</v>
      </c>
      <c r="K332" s="11" t="b">
        <v>1</v>
      </c>
    </row>
    <row r="333" spans="1:11">
      <c r="A333" s="11" t="s">
        <v>2048</v>
      </c>
      <c r="B333" s="334" t="str">
        <f>报表附注!E853</f>
        <v>包装物</v>
      </c>
      <c r="C333" s="321">
        <f t="shared" si="50"/>
        <v>0</v>
      </c>
      <c r="D333" s="11" t="b">
        <f t="shared" si="52"/>
        <v>0</v>
      </c>
      <c r="E333" s="321">
        <f t="shared" si="51"/>
        <v>0</v>
      </c>
      <c r="H333" s="11" t="b">
        <f t="shared" si="49"/>
        <v>0</v>
      </c>
      <c r="I333" s="11" t="s">
        <v>2055</v>
      </c>
      <c r="K333" s="11" t="b">
        <v>1</v>
      </c>
    </row>
    <row r="334" spans="1:11">
      <c r="A334" s="11" t="s">
        <v>597</v>
      </c>
      <c r="B334" s="334" t="str">
        <f>报表附注!E854</f>
        <v>委托加工物资</v>
      </c>
      <c r="C334" s="321">
        <f t="shared" si="50"/>
        <v>0</v>
      </c>
      <c r="D334" s="11" t="b">
        <f t="shared" si="52"/>
        <v>1</v>
      </c>
      <c r="E334" s="321">
        <f t="shared" si="51"/>
        <v>0</v>
      </c>
      <c r="H334" s="11" t="b">
        <f t="shared" si="49"/>
        <v>0</v>
      </c>
      <c r="I334" s="11" t="s">
        <v>2056</v>
      </c>
      <c r="K334" s="11" t="b">
        <v>1</v>
      </c>
    </row>
    <row r="335" spans="1:11">
      <c r="A335" s="11" t="s">
        <v>2049</v>
      </c>
      <c r="B335" s="334" t="str">
        <f>报表附注!E855</f>
        <v>发出商品</v>
      </c>
      <c r="C335" s="321">
        <f t="shared" si="50"/>
        <v>0</v>
      </c>
      <c r="D335" s="11" t="b">
        <f t="shared" si="52"/>
        <v>0</v>
      </c>
      <c r="E335" s="321">
        <f t="shared" si="51"/>
        <v>1046808</v>
      </c>
      <c r="H335" s="11" t="b">
        <f t="shared" si="49"/>
        <v>0</v>
      </c>
      <c r="I335" s="11" t="s">
        <v>2057</v>
      </c>
      <c r="K335" s="11" t="b">
        <v>1</v>
      </c>
    </row>
    <row r="336" spans="1:11">
      <c r="A336" s="11" t="s">
        <v>2050</v>
      </c>
      <c r="B336" s="334" t="str">
        <f>报表附注!E856</f>
        <v>增加项目1-工程施工</v>
      </c>
      <c r="C336" s="321">
        <f t="shared" si="50"/>
        <v>0</v>
      </c>
      <c r="D336" s="11" t="b">
        <f t="shared" si="52"/>
        <v>0</v>
      </c>
      <c r="E336" s="321">
        <f t="shared" si="51"/>
        <v>6908217.47</v>
      </c>
      <c r="H336" s="11" t="b">
        <f t="shared" si="49"/>
        <v>0</v>
      </c>
      <c r="I336" s="11" t="s">
        <v>2021</v>
      </c>
      <c r="K336" s="11" t="b">
        <v>1</v>
      </c>
    </row>
    <row r="337" spans="1:11">
      <c r="A337" s="11" t="s">
        <v>2051</v>
      </c>
      <c r="B337" s="334" t="str">
        <f>报表附注!E857</f>
        <v>增加项目2-</v>
      </c>
      <c r="C337" s="321">
        <f t="shared" si="50"/>
        <v>0</v>
      </c>
      <c r="D337" s="11" t="b">
        <f t="shared" si="52"/>
        <v>1</v>
      </c>
      <c r="E337" s="321">
        <f t="shared" si="51"/>
        <v>0</v>
      </c>
      <c r="H337" s="11" t="b">
        <f t="shared" si="49"/>
        <v>0</v>
      </c>
      <c r="I337" s="326" t="s">
        <v>2058</v>
      </c>
      <c r="J337" s="332"/>
      <c r="K337" s="326" t="b">
        <v>1</v>
      </c>
    </row>
    <row r="338" spans="1:11">
      <c r="A338" s="11" t="s">
        <v>2052</v>
      </c>
      <c r="B338" s="334" t="str">
        <f>报表附注!E858</f>
        <v>增加项目3-</v>
      </c>
      <c r="C338" s="321">
        <f t="shared" si="50"/>
        <v>0</v>
      </c>
      <c r="D338" s="11" t="b">
        <f t="shared" si="52"/>
        <v>1</v>
      </c>
      <c r="E338" s="321">
        <f t="shared" si="51"/>
        <v>0</v>
      </c>
      <c r="H338" s="11" t="b">
        <f t="shared" si="49"/>
        <v>0</v>
      </c>
      <c r="I338" s="326" t="s">
        <v>589</v>
      </c>
      <c r="J338" s="332"/>
      <c r="K338" s="326" t="b">
        <v>1</v>
      </c>
    </row>
    <row r="339" spans="1:12">
      <c r="A339" s="11" t="s">
        <v>2053</v>
      </c>
      <c r="B339" s="334" t="str">
        <f>报表附注!E859</f>
        <v>增加项目4-</v>
      </c>
      <c r="C339" s="321">
        <f t="shared" si="50"/>
        <v>0</v>
      </c>
      <c r="D339" s="11" t="b">
        <f t="shared" si="52"/>
        <v>1</v>
      </c>
      <c r="E339" s="321">
        <f t="shared" si="51"/>
        <v>0</v>
      </c>
      <c r="H339" s="11" t="b">
        <f t="shared" si="49"/>
        <v>0</v>
      </c>
      <c r="I339" s="326" t="s">
        <v>591</v>
      </c>
      <c r="J339" s="332"/>
      <c r="K339" s="326" t="b">
        <v>0</v>
      </c>
      <c r="L339" s="326"/>
    </row>
    <row r="340" spans="1:12">
      <c r="A340" s="11" t="s">
        <v>2054</v>
      </c>
      <c r="B340" s="334" t="str">
        <f>报表附注!E860</f>
        <v>增加项目5-</v>
      </c>
      <c r="C340" s="321">
        <f t="shared" si="50"/>
        <v>0</v>
      </c>
      <c r="D340" s="11" t="b">
        <f t="shared" si="52"/>
        <v>1</v>
      </c>
      <c r="E340" s="321">
        <f t="shared" si="51"/>
        <v>0</v>
      </c>
      <c r="H340" s="11" t="b">
        <f t="shared" si="49"/>
        <v>0</v>
      </c>
      <c r="I340" s="326" t="s">
        <v>3132</v>
      </c>
      <c r="J340" s="332"/>
      <c r="K340" s="326" t="b">
        <v>0</v>
      </c>
      <c r="L340" s="326"/>
    </row>
    <row r="341" spans="1:12">
      <c r="A341" s="11" t="s">
        <v>2055</v>
      </c>
      <c r="B341" s="334" t="str">
        <f>报表附注!E861</f>
        <v>增加项目6-</v>
      </c>
      <c r="C341" s="321">
        <f t="shared" si="50"/>
        <v>0</v>
      </c>
      <c r="D341" s="11" t="b">
        <f t="shared" si="52"/>
        <v>1</v>
      </c>
      <c r="E341" s="321">
        <f t="shared" si="51"/>
        <v>0</v>
      </c>
      <c r="H341" s="11" t="b">
        <f t="shared" si="49"/>
        <v>0</v>
      </c>
      <c r="I341" s="326" t="s">
        <v>2048</v>
      </c>
      <c r="J341" s="332"/>
      <c r="K341" s="326" t="b">
        <v>0</v>
      </c>
      <c r="L341" s="326"/>
    </row>
    <row r="342" spans="1:12">
      <c r="A342" s="11" t="s">
        <v>2056</v>
      </c>
      <c r="B342" s="334" t="str">
        <f>报表附注!E862</f>
        <v>增加项目7-</v>
      </c>
      <c r="C342" s="321">
        <f t="shared" si="50"/>
        <v>0</v>
      </c>
      <c r="D342" s="11" t="b">
        <f t="shared" si="52"/>
        <v>1</v>
      </c>
      <c r="E342" s="321">
        <f t="shared" si="51"/>
        <v>0</v>
      </c>
      <c r="H342" s="11" t="b">
        <f t="shared" si="49"/>
        <v>0</v>
      </c>
      <c r="I342" s="326" t="s">
        <v>3133</v>
      </c>
      <c r="J342" s="332"/>
      <c r="K342" s="326" t="b">
        <v>0</v>
      </c>
      <c r="L342" s="326"/>
    </row>
    <row r="343" spans="1:12">
      <c r="A343" s="11" t="s">
        <v>2057</v>
      </c>
      <c r="B343" s="334" t="str">
        <f>报表附注!E863</f>
        <v>增加项目8-</v>
      </c>
      <c r="C343" s="321">
        <f t="shared" si="50"/>
        <v>0</v>
      </c>
      <c r="D343" s="11" t="b">
        <f t="shared" si="52"/>
        <v>1</v>
      </c>
      <c r="E343" s="321">
        <f t="shared" si="51"/>
        <v>0</v>
      </c>
      <c r="H343" s="11" t="b">
        <f t="shared" si="49"/>
        <v>0</v>
      </c>
      <c r="I343" s="326" t="s">
        <v>597</v>
      </c>
      <c r="J343" s="332"/>
      <c r="K343" s="326" t="b">
        <v>1</v>
      </c>
      <c r="L343" s="326"/>
    </row>
    <row r="344" spans="1:12">
      <c r="A344" s="11" t="s">
        <v>2021</v>
      </c>
      <c r="B344" s="320" t="str">
        <f>报表附注!E864</f>
        <v>合计</v>
      </c>
      <c r="C344" s="321">
        <f t="shared" si="50"/>
        <v>0</v>
      </c>
      <c r="D344" s="11" t="b">
        <f t="shared" si="52"/>
        <v>1</v>
      </c>
      <c r="E344" s="321">
        <f t="shared" si="51"/>
        <v>0</v>
      </c>
      <c r="H344" s="11" t="b">
        <f t="shared" si="49"/>
        <v>0</v>
      </c>
      <c r="I344" s="326">
        <v>0</v>
      </c>
      <c r="J344" s="332"/>
      <c r="K344" s="326" t="b">
        <v>0</v>
      </c>
      <c r="L344" s="326"/>
    </row>
    <row r="345" spans="1:11">
      <c r="A345" s="326" t="s">
        <v>2058</v>
      </c>
      <c r="B345" s="344" t="s">
        <v>2058</v>
      </c>
      <c r="C345" s="311">
        <f t="shared" si="50"/>
        <v>0</v>
      </c>
      <c r="D345" s="11" t="b">
        <f t="shared" si="52"/>
        <v>1</v>
      </c>
      <c r="E345" s="321">
        <f t="shared" si="51"/>
        <v>0</v>
      </c>
      <c r="F345" s="11"/>
      <c r="H345" s="11" t="b">
        <f t="shared" si="49"/>
        <v>0</v>
      </c>
      <c r="I345" s="326" t="s">
        <v>5704</v>
      </c>
      <c r="J345" s="332"/>
      <c r="K345" s="326" t="b">
        <v>1</v>
      </c>
    </row>
    <row r="346" spans="1:11">
      <c r="A346" s="326" t="s">
        <v>589</v>
      </c>
      <c r="B346" s="345" t="str">
        <f>报表附注!E849</f>
        <v>原材料</v>
      </c>
      <c r="C346" s="321">
        <f t="shared" si="50"/>
        <v>0</v>
      </c>
      <c r="D346" s="11" t="b">
        <f t="shared" si="52"/>
        <v>1</v>
      </c>
      <c r="E346" s="321">
        <f t="shared" si="51"/>
        <v>0</v>
      </c>
      <c r="F346" s="11"/>
      <c r="H346" s="11" t="b">
        <f t="shared" si="49"/>
        <v>0</v>
      </c>
      <c r="I346" s="326" t="s">
        <v>2051</v>
      </c>
      <c r="J346" s="332"/>
      <c r="K346" s="326" t="b">
        <v>1</v>
      </c>
    </row>
    <row r="347" spans="1:11">
      <c r="A347" s="326" t="s">
        <v>2047</v>
      </c>
      <c r="B347" s="345" t="str">
        <f>报表附注!E850</f>
        <v>在产品</v>
      </c>
      <c r="C347" s="321">
        <f t="shared" si="50"/>
        <v>0</v>
      </c>
      <c r="D347" s="11" t="b">
        <f t="shared" si="52"/>
        <v>0</v>
      </c>
      <c r="E347" s="321">
        <f t="shared" si="51"/>
        <v>1788781.28</v>
      </c>
      <c r="F347" s="11"/>
      <c r="H347" s="11" t="b">
        <f t="shared" si="49"/>
        <v>0</v>
      </c>
      <c r="I347" s="326" t="s">
        <v>2052</v>
      </c>
      <c r="J347" s="332"/>
      <c r="K347" s="326" t="b">
        <v>1</v>
      </c>
    </row>
    <row r="348" spans="1:11">
      <c r="A348" s="326" t="s">
        <v>593</v>
      </c>
      <c r="B348" s="345" t="str">
        <f>报表附注!E851</f>
        <v>产成品</v>
      </c>
      <c r="C348" s="321">
        <f t="shared" si="50"/>
        <v>0</v>
      </c>
      <c r="D348" s="11" t="b">
        <f t="shared" si="52"/>
        <v>0</v>
      </c>
      <c r="E348" s="321">
        <f t="shared" si="51"/>
        <v>0</v>
      </c>
      <c r="F348" s="11"/>
      <c r="H348" s="11" t="b">
        <f t="shared" si="49"/>
        <v>0</v>
      </c>
      <c r="I348" s="326" t="s">
        <v>2053</v>
      </c>
      <c r="J348" s="332"/>
      <c r="K348" s="326" t="b">
        <v>1</v>
      </c>
    </row>
    <row r="349" spans="1:11">
      <c r="A349" s="326" t="s">
        <v>587</v>
      </c>
      <c r="B349" s="345" t="str">
        <f>报表附注!E852</f>
        <v>低值易耗品</v>
      </c>
      <c r="C349" s="321">
        <f t="shared" si="50"/>
        <v>0</v>
      </c>
      <c r="D349" s="11" t="b">
        <f t="shared" si="52"/>
        <v>0</v>
      </c>
      <c r="E349" s="321">
        <f t="shared" si="51"/>
        <v>0</v>
      </c>
      <c r="F349" s="11"/>
      <c r="H349" s="11" t="b">
        <f t="shared" si="49"/>
        <v>0</v>
      </c>
      <c r="I349" s="326" t="s">
        <v>2054</v>
      </c>
      <c r="J349" s="332"/>
      <c r="K349" s="326" t="b">
        <v>1</v>
      </c>
    </row>
    <row r="350" spans="1:11">
      <c r="A350" s="326" t="s">
        <v>2048</v>
      </c>
      <c r="B350" s="345" t="str">
        <f>报表附注!E853</f>
        <v>包装物</v>
      </c>
      <c r="C350" s="321">
        <f t="shared" si="50"/>
        <v>0</v>
      </c>
      <c r="D350" s="11" t="b">
        <f t="shared" si="52"/>
        <v>0</v>
      </c>
      <c r="E350" s="321">
        <f t="shared" si="51"/>
        <v>0</v>
      </c>
      <c r="F350" s="11"/>
      <c r="H350" s="11" t="b">
        <f t="shared" si="49"/>
        <v>0</v>
      </c>
      <c r="I350" s="326" t="s">
        <v>2055</v>
      </c>
      <c r="J350" s="332"/>
      <c r="K350" s="326" t="b">
        <v>1</v>
      </c>
    </row>
    <row r="351" spans="1:11">
      <c r="A351" s="326" t="s">
        <v>597</v>
      </c>
      <c r="B351" s="345" t="str">
        <f>报表附注!E854</f>
        <v>委托加工物资</v>
      </c>
      <c r="C351" s="321">
        <f t="shared" si="50"/>
        <v>0</v>
      </c>
      <c r="D351" s="11" t="b">
        <f t="shared" si="52"/>
        <v>1</v>
      </c>
      <c r="E351" s="321">
        <f t="shared" si="51"/>
        <v>0</v>
      </c>
      <c r="F351" s="11"/>
      <c r="H351" s="11" t="b">
        <f t="shared" si="49"/>
        <v>0</v>
      </c>
      <c r="I351" s="326" t="s">
        <v>2056</v>
      </c>
      <c r="J351" s="332"/>
      <c r="K351" s="326" t="b">
        <v>1</v>
      </c>
    </row>
    <row r="352" spans="1:11">
      <c r="A352" s="326" t="s">
        <v>2049</v>
      </c>
      <c r="B352" s="345" t="str">
        <f>报表附注!E855</f>
        <v>发出商品</v>
      </c>
      <c r="C352" s="321">
        <f t="shared" si="50"/>
        <v>0</v>
      </c>
      <c r="D352" s="11" t="b">
        <f t="shared" si="52"/>
        <v>0</v>
      </c>
      <c r="E352" s="321">
        <f t="shared" si="51"/>
        <v>0</v>
      </c>
      <c r="F352" s="11"/>
      <c r="H352" s="11" t="b">
        <f t="shared" si="49"/>
        <v>0</v>
      </c>
      <c r="I352" s="326" t="s">
        <v>2057</v>
      </c>
      <c r="J352" s="332"/>
      <c r="K352" s="326" t="b">
        <v>1</v>
      </c>
    </row>
    <row r="353" spans="1:11">
      <c r="A353" s="326" t="s">
        <v>2050</v>
      </c>
      <c r="B353" s="345" t="str">
        <f>报表附注!E856</f>
        <v>增加项目1-工程施工</v>
      </c>
      <c r="C353" s="321">
        <f t="shared" si="50"/>
        <v>0</v>
      </c>
      <c r="D353" s="11" t="b">
        <f t="shared" si="52"/>
        <v>0</v>
      </c>
      <c r="E353" s="321">
        <f t="shared" si="51"/>
        <v>0</v>
      </c>
      <c r="F353" s="11"/>
      <c r="H353" s="11" t="b">
        <f t="shared" si="49"/>
        <v>0</v>
      </c>
      <c r="I353" s="326" t="s">
        <v>2021</v>
      </c>
      <c r="J353" s="332"/>
      <c r="K353" s="326" t="b">
        <v>1</v>
      </c>
    </row>
    <row r="354" spans="1:11">
      <c r="A354" s="326" t="s">
        <v>2051</v>
      </c>
      <c r="B354" s="345" t="str">
        <f>报表附注!E857</f>
        <v>增加项目2-</v>
      </c>
      <c r="C354" s="321">
        <f t="shared" si="50"/>
        <v>0</v>
      </c>
      <c r="D354" s="11" t="b">
        <f t="shared" si="52"/>
        <v>1</v>
      </c>
      <c r="E354" s="321">
        <f t="shared" si="51"/>
        <v>0</v>
      </c>
      <c r="F354" s="11"/>
      <c r="H354" s="11" t="b">
        <f t="shared" si="49"/>
        <v>0</v>
      </c>
      <c r="I354" s="326" t="s">
        <v>2059</v>
      </c>
      <c r="J354" s="332"/>
      <c r="K354" s="326" t="b">
        <v>1</v>
      </c>
    </row>
    <row r="355" spans="1:11">
      <c r="A355" s="326" t="s">
        <v>2052</v>
      </c>
      <c r="B355" s="345" t="str">
        <f>报表附注!E858</f>
        <v>增加项目3-</v>
      </c>
      <c r="C355" s="321">
        <f t="shared" si="50"/>
        <v>0</v>
      </c>
      <c r="D355" s="11" t="b">
        <f t="shared" si="52"/>
        <v>1</v>
      </c>
      <c r="E355" s="321">
        <f t="shared" si="51"/>
        <v>0</v>
      </c>
      <c r="F355" s="11"/>
      <c r="H355" s="11" t="b">
        <f t="shared" si="49"/>
        <v>0</v>
      </c>
      <c r="I355" s="326" t="s">
        <v>589</v>
      </c>
      <c r="J355" s="332">
        <v>181933.99</v>
      </c>
      <c r="K355" s="326" t="b">
        <v>1</v>
      </c>
    </row>
    <row r="356" spans="1:11">
      <c r="A356" s="326" t="s">
        <v>2053</v>
      </c>
      <c r="B356" s="345" t="str">
        <f>报表附注!E859</f>
        <v>增加项目4-</v>
      </c>
      <c r="C356" s="321">
        <f t="shared" si="50"/>
        <v>0</v>
      </c>
      <c r="D356" s="11" t="b">
        <f t="shared" si="52"/>
        <v>1</v>
      </c>
      <c r="E356" s="321">
        <f t="shared" si="51"/>
        <v>0</v>
      </c>
      <c r="F356" s="11"/>
      <c r="H356" s="11" t="b">
        <f t="shared" si="49"/>
        <v>0</v>
      </c>
      <c r="I356" s="326" t="s">
        <v>591</v>
      </c>
      <c r="J356" s="332">
        <v>0</v>
      </c>
      <c r="K356" s="326" t="b">
        <v>0</v>
      </c>
    </row>
    <row r="357" spans="1:11">
      <c r="A357" s="326" t="s">
        <v>2054</v>
      </c>
      <c r="B357" s="345" t="str">
        <f>报表附注!E860</f>
        <v>增加项目5-</v>
      </c>
      <c r="C357" s="321">
        <f t="shared" si="50"/>
        <v>0</v>
      </c>
      <c r="D357" s="11" t="b">
        <f t="shared" si="52"/>
        <v>1</v>
      </c>
      <c r="E357" s="321">
        <f t="shared" si="51"/>
        <v>0</v>
      </c>
      <c r="F357" s="11"/>
      <c r="H357" s="11" t="b">
        <f t="shared" si="49"/>
        <v>0</v>
      </c>
      <c r="I357" s="326" t="s">
        <v>3132</v>
      </c>
      <c r="J357" s="332">
        <v>9076650.64</v>
      </c>
      <c r="K357" s="326" t="b">
        <v>0</v>
      </c>
    </row>
    <row r="358" spans="1:11">
      <c r="A358" s="326" t="s">
        <v>2055</v>
      </c>
      <c r="B358" s="345" t="str">
        <f>报表附注!E861</f>
        <v>增加项目6-</v>
      </c>
      <c r="C358" s="321">
        <f t="shared" si="50"/>
        <v>0</v>
      </c>
      <c r="D358" s="11" t="b">
        <f t="shared" si="52"/>
        <v>1</v>
      </c>
      <c r="E358" s="321">
        <f t="shared" si="51"/>
        <v>0</v>
      </c>
      <c r="F358" s="11"/>
      <c r="H358" s="11" t="b">
        <f t="shared" si="49"/>
        <v>0</v>
      </c>
      <c r="I358" s="326" t="s">
        <v>2048</v>
      </c>
      <c r="J358" s="332">
        <v>0</v>
      </c>
      <c r="K358" s="326" t="b">
        <v>0</v>
      </c>
    </row>
    <row r="359" spans="1:11">
      <c r="A359" s="326" t="s">
        <v>2056</v>
      </c>
      <c r="B359" s="345" t="str">
        <f>报表附注!E862</f>
        <v>增加项目7-</v>
      </c>
      <c r="C359" s="321">
        <f t="shared" si="50"/>
        <v>0</v>
      </c>
      <c r="D359" s="11" t="b">
        <f t="shared" si="52"/>
        <v>1</v>
      </c>
      <c r="E359" s="321">
        <f t="shared" si="51"/>
        <v>0</v>
      </c>
      <c r="F359" s="11"/>
      <c r="H359" s="11" t="b">
        <f t="shared" si="49"/>
        <v>0</v>
      </c>
      <c r="I359" s="326" t="s">
        <v>3133</v>
      </c>
      <c r="J359" s="332">
        <v>0</v>
      </c>
      <c r="K359" s="326" t="b">
        <v>0</v>
      </c>
    </row>
    <row r="360" spans="1:11">
      <c r="A360" s="326" t="s">
        <v>2057</v>
      </c>
      <c r="B360" s="345" t="str">
        <f>报表附注!E863</f>
        <v>增加项目8-</v>
      </c>
      <c r="C360" s="321">
        <f t="shared" si="50"/>
        <v>0</v>
      </c>
      <c r="D360" s="11" t="b">
        <f t="shared" si="52"/>
        <v>1</v>
      </c>
      <c r="E360" s="321">
        <f t="shared" si="51"/>
        <v>0</v>
      </c>
      <c r="F360" s="11"/>
      <c r="H360" s="11" t="b">
        <f t="shared" si="49"/>
        <v>0</v>
      </c>
      <c r="I360" s="326" t="s">
        <v>597</v>
      </c>
      <c r="J360" s="332">
        <v>0</v>
      </c>
      <c r="K360" s="326" t="b">
        <v>1</v>
      </c>
    </row>
    <row r="361" spans="1:11">
      <c r="A361" s="326" t="s">
        <v>2021</v>
      </c>
      <c r="B361" s="320" t="str">
        <f>报表附注!E864</f>
        <v>合计</v>
      </c>
      <c r="C361" s="321">
        <f t="shared" si="50"/>
        <v>0</v>
      </c>
      <c r="D361" s="11" t="b">
        <f t="shared" si="52"/>
        <v>1</v>
      </c>
      <c r="E361" s="321">
        <f t="shared" si="51"/>
        <v>0</v>
      </c>
      <c r="F361" s="11"/>
      <c r="H361" s="11" t="b">
        <f t="shared" si="49"/>
        <v>0</v>
      </c>
      <c r="I361" s="11" t="s">
        <v>595</v>
      </c>
      <c r="J361" s="332">
        <v>1046808</v>
      </c>
      <c r="K361" s="326" t="b">
        <v>0</v>
      </c>
    </row>
    <row r="362" spans="1:11">
      <c r="A362" s="326" t="s">
        <v>2059</v>
      </c>
      <c r="B362" s="344" t="s">
        <v>2059</v>
      </c>
      <c r="C362" s="311"/>
      <c r="D362" s="11" t="b">
        <f t="shared" si="52"/>
        <v>1</v>
      </c>
      <c r="E362" s="311"/>
      <c r="F362" s="11"/>
      <c r="H362" s="11" t="b">
        <f t="shared" si="49"/>
        <v>0</v>
      </c>
      <c r="I362" s="11" t="s">
        <v>5705</v>
      </c>
      <c r="J362" s="332">
        <v>6908217.47</v>
      </c>
      <c r="K362" s="326" t="b">
        <v>1</v>
      </c>
    </row>
    <row r="363" spans="1:11">
      <c r="A363" s="326" t="s">
        <v>589</v>
      </c>
      <c r="B363" s="345" t="str">
        <f>报表附注!E849</f>
        <v>原材料</v>
      </c>
      <c r="C363" s="321">
        <f t="shared" ref="C363:C378" si="53">J355</f>
        <v>181933.99</v>
      </c>
      <c r="D363" s="11" t="b">
        <f t="shared" si="52"/>
        <v>1</v>
      </c>
      <c r="E363" s="311"/>
      <c r="F363" s="11"/>
      <c r="H363" s="11" t="b">
        <f t="shared" si="49"/>
        <v>0</v>
      </c>
      <c r="I363" s="326" t="s">
        <v>2051</v>
      </c>
      <c r="J363" s="332"/>
      <c r="K363" s="326" t="b">
        <v>1</v>
      </c>
    </row>
    <row r="364" spans="1:11">
      <c r="A364" s="326" t="s">
        <v>2047</v>
      </c>
      <c r="B364" s="345" t="str">
        <f>报表附注!E850</f>
        <v>在产品</v>
      </c>
      <c r="C364" s="321">
        <f t="shared" si="53"/>
        <v>0</v>
      </c>
      <c r="D364" s="11" t="b">
        <f t="shared" si="52"/>
        <v>0</v>
      </c>
      <c r="E364" s="311"/>
      <c r="F364" s="11"/>
      <c r="H364" s="11" t="b">
        <f t="shared" si="49"/>
        <v>0</v>
      </c>
      <c r="I364" s="326" t="s">
        <v>2052</v>
      </c>
      <c r="J364" s="332"/>
      <c r="K364" s="326" t="b">
        <v>1</v>
      </c>
    </row>
    <row r="365" spans="1:11">
      <c r="A365" s="326" t="s">
        <v>593</v>
      </c>
      <c r="B365" s="345" t="str">
        <f>报表附注!E851</f>
        <v>产成品</v>
      </c>
      <c r="C365" s="321">
        <f t="shared" si="53"/>
        <v>9076650.64</v>
      </c>
      <c r="D365" s="11" t="b">
        <f t="shared" si="52"/>
        <v>0</v>
      </c>
      <c r="E365" s="311"/>
      <c r="F365" s="11"/>
      <c r="H365" s="11" t="b">
        <f t="shared" si="49"/>
        <v>0</v>
      </c>
      <c r="I365" s="326" t="s">
        <v>2053</v>
      </c>
      <c r="J365" s="332"/>
      <c r="K365" s="326" t="b">
        <v>1</v>
      </c>
    </row>
    <row r="366" spans="1:11">
      <c r="A366" s="326" t="s">
        <v>587</v>
      </c>
      <c r="B366" s="345" t="str">
        <f>报表附注!E852</f>
        <v>低值易耗品</v>
      </c>
      <c r="C366" s="321">
        <f t="shared" si="53"/>
        <v>0</v>
      </c>
      <c r="D366" s="11" t="b">
        <f t="shared" si="52"/>
        <v>0</v>
      </c>
      <c r="E366" s="311"/>
      <c r="F366" s="11"/>
      <c r="H366" s="11" t="b">
        <f t="shared" si="49"/>
        <v>0</v>
      </c>
      <c r="I366" s="326" t="s">
        <v>2054</v>
      </c>
      <c r="J366" s="332"/>
      <c r="K366" s="326" t="b">
        <v>1</v>
      </c>
    </row>
    <row r="367" spans="1:11">
      <c r="A367" s="326" t="s">
        <v>2048</v>
      </c>
      <c r="B367" s="345" t="str">
        <f>报表附注!E853</f>
        <v>包装物</v>
      </c>
      <c r="C367" s="321">
        <f t="shared" si="53"/>
        <v>0</v>
      </c>
      <c r="D367" s="11" t="b">
        <f t="shared" si="52"/>
        <v>0</v>
      </c>
      <c r="E367" s="311"/>
      <c r="F367" s="11"/>
      <c r="H367" s="11" t="b">
        <f t="shared" si="49"/>
        <v>0</v>
      </c>
      <c r="I367" s="326" t="s">
        <v>2055</v>
      </c>
      <c r="J367" s="332"/>
      <c r="K367" s="326" t="b">
        <v>1</v>
      </c>
    </row>
    <row r="368" spans="1:11">
      <c r="A368" s="326" t="s">
        <v>597</v>
      </c>
      <c r="B368" s="345" t="str">
        <f>报表附注!E854</f>
        <v>委托加工物资</v>
      </c>
      <c r="C368" s="321">
        <f t="shared" si="53"/>
        <v>0</v>
      </c>
      <c r="D368" s="11" t="b">
        <f t="shared" si="52"/>
        <v>1</v>
      </c>
      <c r="E368" s="311"/>
      <c r="F368" s="11"/>
      <c r="H368" s="11" t="b">
        <f t="shared" si="49"/>
        <v>0</v>
      </c>
      <c r="I368" s="326" t="s">
        <v>2056</v>
      </c>
      <c r="J368" s="332"/>
      <c r="K368" s="326" t="b">
        <v>1</v>
      </c>
    </row>
    <row r="369" spans="1:11">
      <c r="A369" s="326" t="s">
        <v>2049</v>
      </c>
      <c r="B369" s="345" t="str">
        <f>报表附注!E855</f>
        <v>发出商品</v>
      </c>
      <c r="C369" s="321">
        <f t="shared" si="53"/>
        <v>1046808</v>
      </c>
      <c r="D369" s="11" t="b">
        <f t="shared" si="52"/>
        <v>0</v>
      </c>
      <c r="E369" s="311"/>
      <c r="F369" s="11"/>
      <c r="H369" s="11" t="b">
        <f t="shared" si="49"/>
        <v>0</v>
      </c>
      <c r="I369" s="326" t="s">
        <v>2057</v>
      </c>
      <c r="J369" s="332"/>
      <c r="K369" s="326" t="b">
        <v>1</v>
      </c>
    </row>
    <row r="370" spans="1:11">
      <c r="A370" s="326" t="s">
        <v>2050</v>
      </c>
      <c r="B370" s="345" t="str">
        <f>报表附注!E856</f>
        <v>增加项目1-工程施工</v>
      </c>
      <c r="C370" s="321">
        <f t="shared" si="53"/>
        <v>6908217.47</v>
      </c>
      <c r="D370" s="11" t="b">
        <f t="shared" si="52"/>
        <v>0</v>
      </c>
      <c r="E370" s="311"/>
      <c r="F370" s="11"/>
      <c r="H370" s="11" t="b">
        <f t="shared" si="49"/>
        <v>0</v>
      </c>
      <c r="I370" s="326" t="s">
        <v>2021</v>
      </c>
      <c r="J370" s="332"/>
      <c r="K370" s="326" t="b">
        <v>1</v>
      </c>
    </row>
    <row r="371" spans="1:11">
      <c r="A371" s="326" t="s">
        <v>2051</v>
      </c>
      <c r="B371" s="345" t="str">
        <f>报表附注!E857</f>
        <v>增加项目2-</v>
      </c>
      <c r="C371" s="321">
        <f t="shared" si="53"/>
        <v>0</v>
      </c>
      <c r="D371" s="11" t="b">
        <f t="shared" si="52"/>
        <v>1</v>
      </c>
      <c r="E371" s="311"/>
      <c r="F371" s="11"/>
      <c r="H371" s="11" t="b">
        <f t="shared" si="49"/>
        <v>0</v>
      </c>
      <c r="I371" s="11" t="s">
        <v>2060</v>
      </c>
      <c r="J371" s="323"/>
      <c r="K371" s="11" t="b">
        <v>1</v>
      </c>
    </row>
    <row r="372" spans="1:11">
      <c r="A372" s="326" t="s">
        <v>2052</v>
      </c>
      <c r="B372" s="345" t="str">
        <f>报表附注!E858</f>
        <v>增加项目3-</v>
      </c>
      <c r="C372" s="321">
        <f t="shared" si="53"/>
        <v>0</v>
      </c>
      <c r="D372" s="11" t="b">
        <f t="shared" si="52"/>
        <v>1</v>
      </c>
      <c r="E372" s="311"/>
      <c r="F372" s="11"/>
      <c r="H372" s="11" t="b">
        <f t="shared" si="49"/>
        <v>0</v>
      </c>
      <c r="I372" s="11" t="s">
        <v>589</v>
      </c>
      <c r="J372" s="323"/>
      <c r="K372" s="11" t="b">
        <v>1</v>
      </c>
    </row>
    <row r="373" spans="1:12">
      <c r="A373" s="326" t="s">
        <v>2053</v>
      </c>
      <c r="B373" s="345" t="str">
        <f>报表附注!E859</f>
        <v>增加项目4-</v>
      </c>
      <c r="C373" s="321">
        <f t="shared" si="53"/>
        <v>0</v>
      </c>
      <c r="D373" s="11" t="b">
        <f t="shared" si="52"/>
        <v>1</v>
      </c>
      <c r="E373" s="311"/>
      <c r="F373" s="11"/>
      <c r="H373" s="11" t="b">
        <f t="shared" si="49"/>
        <v>0</v>
      </c>
      <c r="I373" s="11" t="s">
        <v>591</v>
      </c>
      <c r="J373" s="323">
        <v>1788781.28</v>
      </c>
      <c r="K373" s="11" t="b">
        <v>0</v>
      </c>
      <c r="L373" s="11"/>
    </row>
    <row r="374" spans="1:12">
      <c r="A374" s="326" t="s">
        <v>2054</v>
      </c>
      <c r="B374" s="345" t="str">
        <f>报表附注!E860</f>
        <v>增加项目5-</v>
      </c>
      <c r="C374" s="321">
        <f t="shared" si="53"/>
        <v>0</v>
      </c>
      <c r="D374" s="11" t="b">
        <f t="shared" si="52"/>
        <v>1</v>
      </c>
      <c r="E374" s="311"/>
      <c r="F374" s="11"/>
      <c r="H374" s="11" t="b">
        <f t="shared" si="49"/>
        <v>0</v>
      </c>
      <c r="I374" s="11" t="s">
        <v>3132</v>
      </c>
      <c r="J374" s="323"/>
      <c r="K374" s="11" t="b">
        <v>0</v>
      </c>
      <c r="L374" s="11"/>
    </row>
    <row r="375" spans="1:12">
      <c r="A375" s="326" t="s">
        <v>2055</v>
      </c>
      <c r="B375" s="345" t="str">
        <f>报表附注!E861</f>
        <v>增加项目6-</v>
      </c>
      <c r="C375" s="321">
        <f t="shared" si="53"/>
        <v>0</v>
      </c>
      <c r="D375" s="11" t="b">
        <f t="shared" si="52"/>
        <v>1</v>
      </c>
      <c r="E375" s="311"/>
      <c r="F375" s="11"/>
      <c r="H375" s="11" t="b">
        <f t="shared" si="49"/>
        <v>0</v>
      </c>
      <c r="I375" s="11" t="s">
        <v>2048</v>
      </c>
      <c r="J375" s="323"/>
      <c r="K375" s="11" t="b">
        <v>0</v>
      </c>
      <c r="L375" s="11"/>
    </row>
    <row r="376" spans="1:12">
      <c r="A376" s="326" t="s">
        <v>2056</v>
      </c>
      <c r="B376" s="345" t="str">
        <f>报表附注!E862</f>
        <v>增加项目7-</v>
      </c>
      <c r="C376" s="321">
        <f t="shared" si="53"/>
        <v>0</v>
      </c>
      <c r="D376" s="11" t="b">
        <f t="shared" si="52"/>
        <v>1</v>
      </c>
      <c r="E376" s="311"/>
      <c r="F376" s="11"/>
      <c r="H376" s="11" t="b">
        <f t="shared" si="49"/>
        <v>0</v>
      </c>
      <c r="I376" s="11" t="s">
        <v>3133</v>
      </c>
      <c r="J376" s="323"/>
      <c r="K376" s="11" t="b">
        <v>0</v>
      </c>
      <c r="L376" s="11"/>
    </row>
    <row r="377" spans="1:12">
      <c r="A377" s="326" t="s">
        <v>2057</v>
      </c>
      <c r="B377" s="345" t="str">
        <f>报表附注!E863</f>
        <v>增加项目8-</v>
      </c>
      <c r="C377" s="321">
        <f t="shared" si="53"/>
        <v>0</v>
      </c>
      <c r="D377" s="11" t="b">
        <f t="shared" si="52"/>
        <v>1</v>
      </c>
      <c r="E377" s="311"/>
      <c r="F377" s="11"/>
      <c r="H377" s="11" t="b">
        <f t="shared" si="49"/>
        <v>0</v>
      </c>
      <c r="I377" s="11" t="s">
        <v>597</v>
      </c>
      <c r="J377" s="323"/>
      <c r="K377" s="11" t="b">
        <v>1</v>
      </c>
      <c r="L377" s="11"/>
    </row>
    <row r="378" spans="1:12">
      <c r="A378" s="326" t="s">
        <v>2021</v>
      </c>
      <c r="B378" s="320" t="str">
        <f>报表附注!E864</f>
        <v>合计</v>
      </c>
      <c r="C378" s="321">
        <f t="shared" si="53"/>
        <v>0</v>
      </c>
      <c r="D378" s="11" t="b">
        <f t="shared" si="52"/>
        <v>1</v>
      </c>
      <c r="E378" s="311"/>
      <c r="F378" s="11"/>
      <c r="H378" s="11" t="b">
        <f t="shared" si="49"/>
        <v>0</v>
      </c>
      <c r="I378" s="11" t="s">
        <v>595</v>
      </c>
      <c r="J378" s="323"/>
      <c r="K378" s="11" t="b">
        <v>0</v>
      </c>
      <c r="L378" s="11"/>
    </row>
    <row r="379" spans="1:11">
      <c r="A379" s="11" t="s">
        <v>2060</v>
      </c>
      <c r="B379" s="330" t="s">
        <v>2060</v>
      </c>
      <c r="D379" s="11" t="b">
        <f t="shared" si="52"/>
        <v>1</v>
      </c>
      <c r="E379" s="326"/>
      <c r="H379" s="11" t="b">
        <f t="shared" si="49"/>
        <v>0</v>
      </c>
      <c r="I379" s="11" t="s">
        <v>5705</v>
      </c>
      <c r="K379" s="11" t="b">
        <v>1</v>
      </c>
    </row>
    <row r="380" spans="1:11">
      <c r="A380" s="11" t="s">
        <v>589</v>
      </c>
      <c r="B380" s="334" t="str">
        <f>报表附注!E849</f>
        <v>原材料</v>
      </c>
      <c r="C380" s="321">
        <f t="shared" ref="C380:C395" si="54">J372</f>
        <v>0</v>
      </c>
      <c r="D380" s="11" t="b">
        <f t="shared" si="52"/>
        <v>1</v>
      </c>
      <c r="E380" s="311"/>
      <c r="H380" s="11" t="b">
        <f t="shared" si="49"/>
        <v>0</v>
      </c>
      <c r="I380" s="11" t="s">
        <v>2051</v>
      </c>
      <c r="K380" s="11" t="b">
        <v>1</v>
      </c>
    </row>
    <row r="381" spans="1:11">
      <c r="A381" s="11" t="s">
        <v>2047</v>
      </c>
      <c r="B381" s="334" t="str">
        <f>报表附注!E850</f>
        <v>在产品</v>
      </c>
      <c r="C381" s="321">
        <f t="shared" si="54"/>
        <v>1788781.28</v>
      </c>
      <c r="D381" s="11" t="b">
        <f t="shared" si="52"/>
        <v>0</v>
      </c>
      <c r="E381" s="311"/>
      <c r="H381" s="11" t="b">
        <f t="shared" si="49"/>
        <v>0</v>
      </c>
      <c r="I381" s="11" t="s">
        <v>2052</v>
      </c>
      <c r="K381" s="11" t="b">
        <v>1</v>
      </c>
    </row>
    <row r="382" spans="1:11">
      <c r="A382" s="11" t="s">
        <v>593</v>
      </c>
      <c r="B382" s="334" t="str">
        <f>报表附注!E851</f>
        <v>产成品</v>
      </c>
      <c r="C382" s="321">
        <f t="shared" si="54"/>
        <v>0</v>
      </c>
      <c r="D382" s="11" t="b">
        <f t="shared" si="52"/>
        <v>0</v>
      </c>
      <c r="E382" s="311"/>
      <c r="H382" s="11" t="b">
        <f t="shared" si="49"/>
        <v>0</v>
      </c>
      <c r="I382" s="11" t="s">
        <v>2053</v>
      </c>
      <c r="K382" s="11" t="b">
        <v>1</v>
      </c>
    </row>
    <row r="383" spans="1:11">
      <c r="A383" s="11" t="s">
        <v>587</v>
      </c>
      <c r="B383" s="334" t="str">
        <f>报表附注!E852</f>
        <v>低值易耗品</v>
      </c>
      <c r="C383" s="321">
        <f t="shared" si="54"/>
        <v>0</v>
      </c>
      <c r="D383" s="11" t="b">
        <f t="shared" si="52"/>
        <v>0</v>
      </c>
      <c r="E383" s="311"/>
      <c r="H383" s="11" t="b">
        <f t="shared" si="49"/>
        <v>0</v>
      </c>
      <c r="I383" s="11" t="s">
        <v>2054</v>
      </c>
      <c r="K383" s="11" t="b">
        <v>1</v>
      </c>
    </row>
    <row r="384" spans="1:11">
      <c r="A384" s="11" t="s">
        <v>2048</v>
      </c>
      <c r="B384" s="334" t="str">
        <f>报表附注!E853</f>
        <v>包装物</v>
      </c>
      <c r="C384" s="321">
        <f t="shared" si="54"/>
        <v>0</v>
      </c>
      <c r="D384" s="11" t="b">
        <f t="shared" si="52"/>
        <v>0</v>
      </c>
      <c r="E384" s="311"/>
      <c r="H384" s="11" t="b">
        <f t="shared" si="49"/>
        <v>0</v>
      </c>
      <c r="I384" s="11" t="s">
        <v>2055</v>
      </c>
      <c r="K384" s="11" t="b">
        <v>1</v>
      </c>
    </row>
    <row r="385" spans="1:11">
      <c r="A385" s="11" t="s">
        <v>597</v>
      </c>
      <c r="B385" s="334" t="str">
        <f>报表附注!E854</f>
        <v>委托加工物资</v>
      </c>
      <c r="C385" s="321">
        <f t="shared" si="54"/>
        <v>0</v>
      </c>
      <c r="D385" s="11" t="b">
        <f t="shared" si="52"/>
        <v>1</v>
      </c>
      <c r="E385" s="311"/>
      <c r="H385" s="11" t="b">
        <f t="shared" si="49"/>
        <v>0</v>
      </c>
      <c r="I385" s="11" t="s">
        <v>2056</v>
      </c>
      <c r="K385" s="11" t="b">
        <v>1</v>
      </c>
    </row>
    <row r="386" spans="1:11">
      <c r="A386" s="11" t="s">
        <v>2049</v>
      </c>
      <c r="B386" s="334" t="str">
        <f>报表附注!E855</f>
        <v>发出商品</v>
      </c>
      <c r="C386" s="321">
        <f t="shared" si="54"/>
        <v>0</v>
      </c>
      <c r="D386" s="11" t="b">
        <f t="shared" si="52"/>
        <v>0</v>
      </c>
      <c r="E386" s="311"/>
      <c r="H386" s="11" t="b">
        <f t="shared" si="49"/>
        <v>0</v>
      </c>
      <c r="I386" s="11" t="s">
        <v>2057</v>
      </c>
      <c r="K386" s="11" t="b">
        <v>1</v>
      </c>
    </row>
    <row r="387" spans="1:11">
      <c r="A387" s="11" t="s">
        <v>2050</v>
      </c>
      <c r="B387" s="334" t="str">
        <f>报表附注!E856</f>
        <v>增加项目1-工程施工</v>
      </c>
      <c r="C387" s="321">
        <f t="shared" si="54"/>
        <v>0</v>
      </c>
      <c r="D387" s="11" t="b">
        <f t="shared" si="52"/>
        <v>0</v>
      </c>
      <c r="E387" s="311"/>
      <c r="H387" s="11" t="b">
        <f t="shared" si="49"/>
        <v>0</v>
      </c>
      <c r="I387" s="11" t="s">
        <v>2021</v>
      </c>
      <c r="K387" s="11" t="b">
        <v>1</v>
      </c>
    </row>
    <row r="388" spans="1:11">
      <c r="A388" s="11" t="s">
        <v>2051</v>
      </c>
      <c r="B388" s="334" t="str">
        <f>报表附注!E857</f>
        <v>增加项目2-</v>
      </c>
      <c r="C388" s="321">
        <f t="shared" si="54"/>
        <v>0</v>
      </c>
      <c r="D388" s="11" t="b">
        <f t="shared" si="52"/>
        <v>1</v>
      </c>
      <c r="E388" s="311"/>
      <c r="H388" s="11" t="b">
        <f t="shared" ref="H388:H451" si="55">I388=B388</f>
        <v>0</v>
      </c>
      <c r="I388" s="11" t="s">
        <v>2061</v>
      </c>
      <c r="K388" s="11" t="b">
        <v>1</v>
      </c>
    </row>
    <row r="389" spans="1:11">
      <c r="A389" s="11" t="s">
        <v>2052</v>
      </c>
      <c r="B389" s="334" t="str">
        <f>报表附注!E858</f>
        <v>增加项目3-</v>
      </c>
      <c r="C389" s="321">
        <f t="shared" si="54"/>
        <v>0</v>
      </c>
      <c r="D389" s="11" t="b">
        <f t="shared" si="52"/>
        <v>1</v>
      </c>
      <c r="E389" s="311"/>
      <c r="H389" s="11" t="b">
        <f t="shared" si="55"/>
        <v>0</v>
      </c>
      <c r="I389" s="11" t="s">
        <v>589</v>
      </c>
      <c r="J389" s="332">
        <v>181934</v>
      </c>
      <c r="K389" s="11" t="b">
        <v>1</v>
      </c>
    </row>
    <row r="390" spans="1:11">
      <c r="A390" s="11" t="s">
        <v>2053</v>
      </c>
      <c r="B390" s="334" t="str">
        <f>报表附注!E859</f>
        <v>增加项目4-</v>
      </c>
      <c r="C390" s="321">
        <f t="shared" si="54"/>
        <v>0</v>
      </c>
      <c r="D390" s="11" t="b">
        <f t="shared" si="52"/>
        <v>1</v>
      </c>
      <c r="E390" s="311"/>
      <c r="H390" s="11" t="b">
        <f t="shared" si="55"/>
        <v>0</v>
      </c>
      <c r="I390" s="11" t="s">
        <v>591</v>
      </c>
      <c r="J390" s="332">
        <v>0</v>
      </c>
      <c r="K390" s="11" t="b">
        <v>0</v>
      </c>
    </row>
    <row r="391" spans="1:11">
      <c r="A391" s="11" t="s">
        <v>2054</v>
      </c>
      <c r="B391" s="334" t="str">
        <f>报表附注!E860</f>
        <v>增加项目5-</v>
      </c>
      <c r="C391" s="321">
        <f t="shared" si="54"/>
        <v>0</v>
      </c>
      <c r="D391" s="11" t="b">
        <f t="shared" si="52"/>
        <v>1</v>
      </c>
      <c r="E391" s="311"/>
      <c r="H391" s="11" t="b">
        <f t="shared" si="55"/>
        <v>0</v>
      </c>
      <c r="I391" s="11" t="s">
        <v>3132</v>
      </c>
      <c r="J391" s="332">
        <v>4466870.63</v>
      </c>
      <c r="K391" s="11" t="b">
        <v>0</v>
      </c>
    </row>
    <row r="392" spans="1:11">
      <c r="A392" s="11" t="s">
        <v>2055</v>
      </c>
      <c r="B392" s="334" t="str">
        <f>报表附注!E861</f>
        <v>增加项目6-</v>
      </c>
      <c r="C392" s="321">
        <f t="shared" si="54"/>
        <v>0</v>
      </c>
      <c r="D392" s="11" t="b">
        <f t="shared" si="52"/>
        <v>1</v>
      </c>
      <c r="E392" s="311"/>
      <c r="H392" s="11" t="b">
        <f t="shared" si="55"/>
        <v>0</v>
      </c>
      <c r="I392" s="11" t="s">
        <v>2048</v>
      </c>
      <c r="J392" s="332">
        <v>0</v>
      </c>
      <c r="K392" s="11" t="b">
        <v>0</v>
      </c>
    </row>
    <row r="393" spans="1:11">
      <c r="A393" s="11" t="s">
        <v>2056</v>
      </c>
      <c r="B393" s="334" t="str">
        <f>报表附注!E862</f>
        <v>增加项目7-</v>
      </c>
      <c r="C393" s="321">
        <f t="shared" si="54"/>
        <v>0</v>
      </c>
      <c r="D393" s="11" t="b">
        <f t="shared" si="52"/>
        <v>1</v>
      </c>
      <c r="E393" s="311"/>
      <c r="H393" s="11" t="b">
        <f t="shared" si="55"/>
        <v>0</v>
      </c>
      <c r="I393" s="11" t="s">
        <v>3133</v>
      </c>
      <c r="J393" s="332">
        <v>0</v>
      </c>
      <c r="K393" s="11" t="b">
        <v>0</v>
      </c>
    </row>
    <row r="394" spans="1:11">
      <c r="A394" s="11" t="s">
        <v>2057</v>
      </c>
      <c r="B394" s="334" t="str">
        <f>报表附注!E863</f>
        <v>增加项目8-</v>
      </c>
      <c r="C394" s="321">
        <f t="shared" si="54"/>
        <v>0</v>
      </c>
      <c r="D394" s="11" t="b">
        <f t="shared" si="52"/>
        <v>1</v>
      </c>
      <c r="E394" s="311"/>
      <c r="H394" s="11" t="b">
        <f t="shared" si="55"/>
        <v>0</v>
      </c>
      <c r="I394" s="11" t="s">
        <v>597</v>
      </c>
      <c r="J394" s="332">
        <v>0</v>
      </c>
      <c r="K394" s="11" t="b">
        <v>1</v>
      </c>
    </row>
    <row r="395" spans="1:11">
      <c r="A395" s="11" t="s">
        <v>2021</v>
      </c>
      <c r="B395" s="320" t="str">
        <f>报表附注!E864</f>
        <v>合计</v>
      </c>
      <c r="C395" s="321">
        <f t="shared" si="54"/>
        <v>0</v>
      </c>
      <c r="D395" s="11" t="b">
        <f t="shared" si="52"/>
        <v>1</v>
      </c>
      <c r="E395" s="311"/>
      <c r="H395" s="11" t="b">
        <f t="shared" si="55"/>
        <v>0</v>
      </c>
      <c r="I395" s="11" t="s">
        <v>595</v>
      </c>
      <c r="J395" s="332">
        <v>1046808</v>
      </c>
      <c r="K395" s="11" t="b">
        <v>0</v>
      </c>
    </row>
    <row r="396" spans="1:11">
      <c r="A396" s="11" t="s">
        <v>2061</v>
      </c>
      <c r="B396" s="333" t="s">
        <v>2061</v>
      </c>
      <c r="D396" s="11" t="b">
        <f t="shared" ref="D396:D459" si="56">EXACT(A396,B396)</f>
        <v>1</v>
      </c>
      <c r="H396" s="11" t="b">
        <f t="shared" si="55"/>
        <v>0</v>
      </c>
      <c r="I396" s="11" t="s">
        <v>5705</v>
      </c>
      <c r="J396" s="332">
        <v>4131156.32</v>
      </c>
      <c r="K396" s="11" t="b">
        <v>1</v>
      </c>
    </row>
    <row r="397" spans="1:11">
      <c r="A397" s="11" t="s">
        <v>589</v>
      </c>
      <c r="B397" s="346" t="str">
        <f>报表附注!E869</f>
        <v>原材料</v>
      </c>
      <c r="C397" s="321">
        <f t="shared" ref="C397:C412" si="57">J389</f>
        <v>181934</v>
      </c>
      <c r="D397" s="11" t="b">
        <f t="shared" si="56"/>
        <v>1</v>
      </c>
      <c r="E397" s="321">
        <f>C397+C414-C431</f>
        <v>181934</v>
      </c>
      <c r="H397" s="11" t="b">
        <f t="shared" si="55"/>
        <v>0</v>
      </c>
      <c r="I397" s="11" t="s">
        <v>2051</v>
      </c>
      <c r="K397" s="11" t="b">
        <v>1</v>
      </c>
    </row>
    <row r="398" spans="1:11">
      <c r="A398" s="11" t="s">
        <v>2047</v>
      </c>
      <c r="B398" s="346" t="str">
        <f>报表附注!E870</f>
        <v>在产品</v>
      </c>
      <c r="C398" s="321">
        <f t="shared" si="57"/>
        <v>0</v>
      </c>
      <c r="D398" s="11" t="b">
        <f t="shared" si="56"/>
        <v>0</v>
      </c>
      <c r="E398" s="321">
        <f t="shared" ref="E398:E411" si="58">C398+C415-C432</f>
        <v>0</v>
      </c>
      <c r="H398" s="11" t="b">
        <f t="shared" si="55"/>
        <v>0</v>
      </c>
      <c r="I398" s="11" t="s">
        <v>2052</v>
      </c>
      <c r="K398" s="11" t="b">
        <v>1</v>
      </c>
    </row>
    <row r="399" spans="1:11">
      <c r="A399" s="11" t="s">
        <v>593</v>
      </c>
      <c r="B399" s="346" t="str">
        <f>报表附注!E871</f>
        <v>产成品</v>
      </c>
      <c r="C399" s="321">
        <f t="shared" si="57"/>
        <v>4466870.63</v>
      </c>
      <c r="D399" s="11" t="b">
        <f t="shared" si="56"/>
        <v>0</v>
      </c>
      <c r="E399" s="321">
        <f t="shared" si="58"/>
        <v>4466870.63</v>
      </c>
      <c r="H399" s="11" t="b">
        <f t="shared" si="55"/>
        <v>0</v>
      </c>
      <c r="I399" s="11" t="s">
        <v>2053</v>
      </c>
      <c r="K399" s="11" t="b">
        <v>1</v>
      </c>
    </row>
    <row r="400" spans="1:11">
      <c r="A400" s="11" t="s">
        <v>587</v>
      </c>
      <c r="B400" s="346" t="str">
        <f>报表附注!E872</f>
        <v>低值易耗品</v>
      </c>
      <c r="C400" s="321">
        <f t="shared" si="57"/>
        <v>0</v>
      </c>
      <c r="D400" s="11" t="b">
        <f t="shared" si="56"/>
        <v>0</v>
      </c>
      <c r="E400" s="321">
        <f t="shared" si="58"/>
        <v>0</v>
      </c>
      <c r="H400" s="11" t="b">
        <f t="shared" si="55"/>
        <v>0</v>
      </c>
      <c r="I400" s="11" t="s">
        <v>2054</v>
      </c>
      <c r="K400" s="11" t="b">
        <v>1</v>
      </c>
    </row>
    <row r="401" spans="1:11">
      <c r="A401" s="11" t="s">
        <v>2048</v>
      </c>
      <c r="B401" s="346" t="str">
        <f>报表附注!E873</f>
        <v>包装物</v>
      </c>
      <c r="C401" s="321">
        <f t="shared" si="57"/>
        <v>0</v>
      </c>
      <c r="D401" s="11" t="b">
        <f t="shared" si="56"/>
        <v>0</v>
      </c>
      <c r="E401" s="321">
        <f t="shared" si="58"/>
        <v>0</v>
      </c>
      <c r="H401" s="11" t="b">
        <f t="shared" si="55"/>
        <v>0</v>
      </c>
      <c r="I401" s="11" t="s">
        <v>2055</v>
      </c>
      <c r="K401" s="11" t="b">
        <v>1</v>
      </c>
    </row>
    <row r="402" spans="1:11">
      <c r="A402" s="11" t="s">
        <v>597</v>
      </c>
      <c r="B402" s="346" t="str">
        <f>报表附注!E874</f>
        <v>委托加工物资</v>
      </c>
      <c r="C402" s="321">
        <f t="shared" si="57"/>
        <v>0</v>
      </c>
      <c r="D402" s="11" t="b">
        <f t="shared" si="56"/>
        <v>1</v>
      </c>
      <c r="E402" s="321">
        <f t="shared" si="58"/>
        <v>0</v>
      </c>
      <c r="H402" s="11" t="b">
        <f t="shared" si="55"/>
        <v>0</v>
      </c>
      <c r="I402" s="11" t="s">
        <v>2056</v>
      </c>
      <c r="K402" s="11" t="b">
        <v>1</v>
      </c>
    </row>
    <row r="403" spans="1:11">
      <c r="A403" s="11" t="s">
        <v>2049</v>
      </c>
      <c r="B403" s="346" t="str">
        <f>报表附注!E875</f>
        <v>发出商品</v>
      </c>
      <c r="C403" s="321">
        <f t="shared" si="57"/>
        <v>1046808</v>
      </c>
      <c r="D403" s="11" t="b">
        <f t="shared" si="56"/>
        <v>0</v>
      </c>
      <c r="E403" s="321">
        <f t="shared" si="58"/>
        <v>1046808</v>
      </c>
      <c r="H403" s="11" t="b">
        <f t="shared" si="55"/>
        <v>0</v>
      </c>
      <c r="I403" s="11" t="s">
        <v>2057</v>
      </c>
      <c r="K403" s="11" t="b">
        <v>1</v>
      </c>
    </row>
    <row r="404" spans="1:11">
      <c r="A404" s="11" t="s">
        <v>2050</v>
      </c>
      <c r="B404" s="346" t="str">
        <f>报表附注!E876</f>
        <v>增加项目1-工程施工</v>
      </c>
      <c r="C404" s="321">
        <f t="shared" si="57"/>
        <v>4131156.32</v>
      </c>
      <c r="D404" s="11" t="b">
        <f t="shared" si="56"/>
        <v>0</v>
      </c>
      <c r="E404" s="321">
        <f t="shared" si="58"/>
        <v>4131156.32</v>
      </c>
      <c r="H404" s="11" t="b">
        <f t="shared" si="55"/>
        <v>0</v>
      </c>
      <c r="I404" s="11" t="s">
        <v>2021</v>
      </c>
      <c r="K404" s="11" t="b">
        <v>1</v>
      </c>
    </row>
    <row r="405" spans="1:11">
      <c r="A405" s="11" t="s">
        <v>2051</v>
      </c>
      <c r="B405" s="346" t="str">
        <f>报表附注!E877</f>
        <v>增加项目2-</v>
      </c>
      <c r="C405" s="321">
        <f t="shared" si="57"/>
        <v>0</v>
      </c>
      <c r="D405" s="11" t="b">
        <f t="shared" si="56"/>
        <v>1</v>
      </c>
      <c r="E405" s="321">
        <f t="shared" si="58"/>
        <v>0</v>
      </c>
      <c r="H405" s="11" t="b">
        <f t="shared" si="55"/>
        <v>0</v>
      </c>
      <c r="I405" s="11" t="s">
        <v>2062</v>
      </c>
      <c r="K405" s="11" t="b">
        <v>1</v>
      </c>
    </row>
    <row r="406" spans="1:11">
      <c r="A406" s="11" t="s">
        <v>2052</v>
      </c>
      <c r="B406" s="346" t="str">
        <f>报表附注!E878</f>
        <v>增加项目3-</v>
      </c>
      <c r="C406" s="321">
        <f t="shared" si="57"/>
        <v>0</v>
      </c>
      <c r="D406" s="11" t="b">
        <f t="shared" si="56"/>
        <v>1</v>
      </c>
      <c r="E406" s="321">
        <f t="shared" si="58"/>
        <v>0</v>
      </c>
      <c r="H406" s="11" t="b">
        <f t="shared" si="55"/>
        <v>0</v>
      </c>
      <c r="I406" s="11" t="s">
        <v>589</v>
      </c>
      <c r="K406" s="11" t="b">
        <v>1</v>
      </c>
    </row>
    <row r="407" spans="1:11">
      <c r="A407" s="11" t="s">
        <v>2053</v>
      </c>
      <c r="B407" s="346" t="str">
        <f>报表附注!E879</f>
        <v>增加项目4-</v>
      </c>
      <c r="C407" s="321">
        <f t="shared" si="57"/>
        <v>0</v>
      </c>
      <c r="D407" s="11" t="b">
        <f t="shared" si="56"/>
        <v>1</v>
      </c>
      <c r="E407" s="321">
        <f t="shared" si="58"/>
        <v>0</v>
      </c>
      <c r="H407" s="11" t="b">
        <f t="shared" si="55"/>
        <v>0</v>
      </c>
      <c r="I407" s="11" t="s">
        <v>591</v>
      </c>
      <c r="K407" s="11" t="b">
        <v>0</v>
      </c>
    </row>
    <row r="408" spans="1:11">
      <c r="A408" s="11" t="s">
        <v>2054</v>
      </c>
      <c r="B408" s="346" t="str">
        <f>报表附注!E880</f>
        <v>增加项目5-</v>
      </c>
      <c r="C408" s="321">
        <f t="shared" si="57"/>
        <v>0</v>
      </c>
      <c r="D408" s="11" t="b">
        <f t="shared" si="56"/>
        <v>1</v>
      </c>
      <c r="E408" s="321">
        <f t="shared" si="58"/>
        <v>0</v>
      </c>
      <c r="H408" s="11" t="b">
        <f t="shared" si="55"/>
        <v>0</v>
      </c>
      <c r="I408" s="11" t="s">
        <v>3132</v>
      </c>
      <c r="K408" s="11" t="b">
        <v>0</v>
      </c>
    </row>
    <row r="409" spans="1:11">
      <c r="A409" s="11" t="s">
        <v>2055</v>
      </c>
      <c r="B409" s="346" t="str">
        <f>报表附注!E881</f>
        <v>增加项目6-</v>
      </c>
      <c r="C409" s="321">
        <f t="shared" si="57"/>
        <v>0</v>
      </c>
      <c r="D409" s="11" t="b">
        <f t="shared" si="56"/>
        <v>1</v>
      </c>
      <c r="E409" s="321">
        <f t="shared" si="58"/>
        <v>0</v>
      </c>
      <c r="H409" s="11" t="b">
        <f t="shared" si="55"/>
        <v>0</v>
      </c>
      <c r="I409" s="11" t="s">
        <v>2048</v>
      </c>
      <c r="K409" s="11" t="b">
        <v>0</v>
      </c>
    </row>
    <row r="410" spans="1:11">
      <c r="A410" s="11" t="s">
        <v>2056</v>
      </c>
      <c r="B410" s="346" t="str">
        <f>报表附注!E882</f>
        <v>增加项目7-</v>
      </c>
      <c r="C410" s="321">
        <f t="shared" si="57"/>
        <v>0</v>
      </c>
      <c r="D410" s="11" t="b">
        <f t="shared" si="56"/>
        <v>1</v>
      </c>
      <c r="E410" s="321">
        <f t="shared" si="58"/>
        <v>0</v>
      </c>
      <c r="H410" s="11" t="b">
        <f t="shared" si="55"/>
        <v>0</v>
      </c>
      <c r="I410" s="11" t="s">
        <v>3133</v>
      </c>
      <c r="K410" s="11" t="b">
        <v>0</v>
      </c>
    </row>
    <row r="411" spans="1:11">
      <c r="A411" s="11" t="s">
        <v>2057</v>
      </c>
      <c r="B411" s="346" t="str">
        <f>报表附注!E883</f>
        <v>增加项目8-</v>
      </c>
      <c r="C411" s="321">
        <f t="shared" si="57"/>
        <v>0</v>
      </c>
      <c r="D411" s="11" t="b">
        <f t="shared" si="56"/>
        <v>1</v>
      </c>
      <c r="E411" s="321">
        <f t="shared" si="58"/>
        <v>0</v>
      </c>
      <c r="H411" s="11" t="b">
        <f t="shared" si="55"/>
        <v>0</v>
      </c>
      <c r="I411" s="11" t="s">
        <v>597</v>
      </c>
      <c r="K411" s="11" t="b">
        <v>1</v>
      </c>
    </row>
    <row r="412" spans="1:11">
      <c r="A412" s="11" t="s">
        <v>2021</v>
      </c>
      <c r="B412" s="319" t="str">
        <f>报表附注!E884</f>
        <v>合计</v>
      </c>
      <c r="C412" s="321">
        <f t="shared" si="57"/>
        <v>0</v>
      </c>
      <c r="D412" s="11" t="b">
        <f t="shared" si="56"/>
        <v>1</v>
      </c>
      <c r="E412" s="321">
        <f>SUM(E397:E411)</f>
        <v>9826768.95</v>
      </c>
      <c r="H412" s="11" t="b">
        <f t="shared" si="55"/>
        <v>0</v>
      </c>
      <c r="I412" s="11" t="s">
        <v>595</v>
      </c>
      <c r="K412" s="11" t="b">
        <v>0</v>
      </c>
    </row>
    <row r="413" spans="1:11">
      <c r="A413" s="11" t="s">
        <v>2062</v>
      </c>
      <c r="B413" s="333" t="s">
        <v>2062</v>
      </c>
      <c r="D413" s="11" t="b">
        <f t="shared" si="56"/>
        <v>1</v>
      </c>
      <c r="H413" s="11" t="b">
        <f t="shared" si="55"/>
        <v>0</v>
      </c>
      <c r="I413" s="11" t="s">
        <v>5705</v>
      </c>
      <c r="K413" s="11" t="b">
        <v>1</v>
      </c>
    </row>
    <row r="414" spans="1:11">
      <c r="A414" s="11" t="s">
        <v>589</v>
      </c>
      <c r="B414" s="346" t="str">
        <f>报表附注!E869</f>
        <v>原材料</v>
      </c>
      <c r="C414" s="321">
        <f t="shared" ref="C414:C429" si="59">J406</f>
        <v>0</v>
      </c>
      <c r="D414" s="11" t="b">
        <f t="shared" si="56"/>
        <v>1</v>
      </c>
      <c r="E414" s="311"/>
      <c r="H414" s="11" t="b">
        <f t="shared" si="55"/>
        <v>0</v>
      </c>
      <c r="I414" s="11" t="s">
        <v>2051</v>
      </c>
      <c r="K414" s="11" t="b">
        <v>1</v>
      </c>
    </row>
    <row r="415" spans="1:11">
      <c r="A415" s="11" t="s">
        <v>2047</v>
      </c>
      <c r="B415" s="346" t="str">
        <f>报表附注!E870</f>
        <v>在产品</v>
      </c>
      <c r="C415" s="321">
        <f t="shared" si="59"/>
        <v>0</v>
      </c>
      <c r="D415" s="11" t="b">
        <f t="shared" si="56"/>
        <v>0</v>
      </c>
      <c r="E415" s="311"/>
      <c r="H415" s="11" t="b">
        <f t="shared" si="55"/>
        <v>0</v>
      </c>
      <c r="I415" s="11" t="s">
        <v>2052</v>
      </c>
      <c r="K415" s="11" t="b">
        <v>1</v>
      </c>
    </row>
    <row r="416" spans="1:11">
      <c r="A416" s="11" t="s">
        <v>593</v>
      </c>
      <c r="B416" s="346" t="str">
        <f>报表附注!E871</f>
        <v>产成品</v>
      </c>
      <c r="C416" s="321">
        <f t="shared" si="59"/>
        <v>0</v>
      </c>
      <c r="D416" s="11" t="b">
        <f t="shared" si="56"/>
        <v>0</v>
      </c>
      <c r="E416" s="311"/>
      <c r="H416" s="11" t="b">
        <f t="shared" si="55"/>
        <v>0</v>
      </c>
      <c r="I416" s="11" t="s">
        <v>2053</v>
      </c>
      <c r="K416" s="11" t="b">
        <v>1</v>
      </c>
    </row>
    <row r="417" spans="1:11">
      <c r="A417" s="11" t="s">
        <v>587</v>
      </c>
      <c r="B417" s="346" t="str">
        <f>报表附注!E872</f>
        <v>低值易耗品</v>
      </c>
      <c r="C417" s="321">
        <f t="shared" si="59"/>
        <v>0</v>
      </c>
      <c r="D417" s="11" t="b">
        <f t="shared" si="56"/>
        <v>0</v>
      </c>
      <c r="E417" s="311"/>
      <c r="H417" s="11" t="b">
        <f t="shared" si="55"/>
        <v>0</v>
      </c>
      <c r="I417" s="11" t="s">
        <v>2054</v>
      </c>
      <c r="K417" s="11" t="b">
        <v>1</v>
      </c>
    </row>
    <row r="418" spans="1:11">
      <c r="A418" s="11" t="s">
        <v>2048</v>
      </c>
      <c r="B418" s="346" t="str">
        <f>报表附注!E873</f>
        <v>包装物</v>
      </c>
      <c r="C418" s="321">
        <f t="shared" si="59"/>
        <v>0</v>
      </c>
      <c r="D418" s="11" t="b">
        <f t="shared" si="56"/>
        <v>0</v>
      </c>
      <c r="E418" s="311"/>
      <c r="H418" s="11" t="b">
        <f t="shared" si="55"/>
        <v>0</v>
      </c>
      <c r="I418" s="11" t="s">
        <v>2055</v>
      </c>
      <c r="K418" s="11" t="b">
        <v>1</v>
      </c>
    </row>
    <row r="419" spans="1:11">
      <c r="A419" s="11" t="s">
        <v>597</v>
      </c>
      <c r="B419" s="346" t="str">
        <f>报表附注!E874</f>
        <v>委托加工物资</v>
      </c>
      <c r="C419" s="321">
        <f t="shared" si="59"/>
        <v>0</v>
      </c>
      <c r="D419" s="11" t="b">
        <f t="shared" si="56"/>
        <v>1</v>
      </c>
      <c r="E419" s="311"/>
      <c r="H419" s="11" t="b">
        <f t="shared" si="55"/>
        <v>0</v>
      </c>
      <c r="I419" s="11" t="s">
        <v>2056</v>
      </c>
      <c r="K419" s="11" t="b">
        <v>1</v>
      </c>
    </row>
    <row r="420" spans="1:11">
      <c r="A420" s="11" t="s">
        <v>2049</v>
      </c>
      <c r="B420" s="346" t="str">
        <f>报表附注!E875</f>
        <v>发出商品</v>
      </c>
      <c r="C420" s="321">
        <f t="shared" si="59"/>
        <v>0</v>
      </c>
      <c r="D420" s="11" t="b">
        <f t="shared" si="56"/>
        <v>0</v>
      </c>
      <c r="E420" s="311"/>
      <c r="H420" s="11" t="b">
        <f t="shared" si="55"/>
        <v>0</v>
      </c>
      <c r="I420" s="11" t="s">
        <v>2057</v>
      </c>
      <c r="K420" s="11" t="b">
        <v>1</v>
      </c>
    </row>
    <row r="421" spans="1:11">
      <c r="A421" s="11" t="s">
        <v>2050</v>
      </c>
      <c r="B421" s="346" t="str">
        <f>报表附注!E876</f>
        <v>增加项目1-工程施工</v>
      </c>
      <c r="C421" s="321">
        <f t="shared" si="59"/>
        <v>0</v>
      </c>
      <c r="D421" s="11" t="b">
        <f t="shared" si="56"/>
        <v>0</v>
      </c>
      <c r="E421" s="311"/>
      <c r="H421" s="11" t="b">
        <f t="shared" si="55"/>
        <v>0</v>
      </c>
      <c r="I421" s="11" t="s">
        <v>2021</v>
      </c>
      <c r="K421" s="11" t="b">
        <v>1</v>
      </c>
    </row>
    <row r="422" spans="1:11">
      <c r="A422" s="11" t="s">
        <v>2051</v>
      </c>
      <c r="B422" s="346" t="str">
        <f>报表附注!E877</f>
        <v>增加项目2-</v>
      </c>
      <c r="C422" s="321">
        <f t="shared" si="59"/>
        <v>0</v>
      </c>
      <c r="D422" s="11" t="b">
        <f t="shared" si="56"/>
        <v>1</v>
      </c>
      <c r="E422" s="311"/>
      <c r="H422" s="11" t="b">
        <f t="shared" si="55"/>
        <v>0</v>
      </c>
      <c r="I422" s="11" t="s">
        <v>2063</v>
      </c>
      <c r="K422" s="11" t="b">
        <v>1</v>
      </c>
    </row>
    <row r="423" spans="1:11">
      <c r="A423" s="11" t="s">
        <v>2052</v>
      </c>
      <c r="B423" s="346" t="str">
        <f>报表附注!E878</f>
        <v>增加项目3-</v>
      </c>
      <c r="C423" s="321">
        <f t="shared" si="59"/>
        <v>0</v>
      </c>
      <c r="D423" s="11" t="b">
        <f t="shared" si="56"/>
        <v>1</v>
      </c>
      <c r="E423" s="311"/>
      <c r="H423" s="11" t="b">
        <f t="shared" si="55"/>
        <v>0</v>
      </c>
      <c r="I423" s="11" t="s">
        <v>589</v>
      </c>
      <c r="K423" s="11" t="b">
        <v>1</v>
      </c>
    </row>
    <row r="424" spans="1:11">
      <c r="A424" s="11" t="s">
        <v>2053</v>
      </c>
      <c r="B424" s="346" t="str">
        <f>报表附注!E879</f>
        <v>增加项目4-</v>
      </c>
      <c r="C424" s="321">
        <f t="shared" si="59"/>
        <v>0</v>
      </c>
      <c r="D424" s="11" t="b">
        <f t="shared" si="56"/>
        <v>1</v>
      </c>
      <c r="E424" s="311"/>
      <c r="H424" s="11" t="b">
        <f t="shared" si="55"/>
        <v>0</v>
      </c>
      <c r="I424" s="11" t="s">
        <v>591</v>
      </c>
      <c r="K424" s="11" t="b">
        <v>0</v>
      </c>
    </row>
    <row r="425" spans="1:11">
      <c r="A425" s="11" t="s">
        <v>2054</v>
      </c>
      <c r="B425" s="346" t="str">
        <f>报表附注!E880</f>
        <v>增加项目5-</v>
      </c>
      <c r="C425" s="321">
        <f t="shared" si="59"/>
        <v>0</v>
      </c>
      <c r="D425" s="11" t="b">
        <f t="shared" si="56"/>
        <v>1</v>
      </c>
      <c r="E425" s="311"/>
      <c r="H425" s="11" t="b">
        <f t="shared" si="55"/>
        <v>0</v>
      </c>
      <c r="I425" s="11" t="s">
        <v>3132</v>
      </c>
      <c r="K425" s="11" t="b">
        <v>0</v>
      </c>
    </row>
    <row r="426" spans="1:11">
      <c r="A426" s="11" t="s">
        <v>2055</v>
      </c>
      <c r="B426" s="346" t="str">
        <f>报表附注!E881</f>
        <v>增加项目6-</v>
      </c>
      <c r="C426" s="321">
        <f t="shared" si="59"/>
        <v>0</v>
      </c>
      <c r="D426" s="11" t="b">
        <f t="shared" si="56"/>
        <v>1</v>
      </c>
      <c r="E426" s="311"/>
      <c r="H426" s="11" t="b">
        <f t="shared" si="55"/>
        <v>0</v>
      </c>
      <c r="I426" s="11" t="s">
        <v>2048</v>
      </c>
      <c r="K426" s="11" t="b">
        <v>0</v>
      </c>
    </row>
    <row r="427" spans="1:11">
      <c r="A427" s="11" t="s">
        <v>2056</v>
      </c>
      <c r="B427" s="346" t="str">
        <f>报表附注!E882</f>
        <v>增加项目7-</v>
      </c>
      <c r="C427" s="321">
        <f t="shared" si="59"/>
        <v>0</v>
      </c>
      <c r="D427" s="11" t="b">
        <f t="shared" si="56"/>
        <v>1</v>
      </c>
      <c r="E427" s="311"/>
      <c r="H427" s="11" t="b">
        <f t="shared" si="55"/>
        <v>0</v>
      </c>
      <c r="I427" s="11" t="s">
        <v>3133</v>
      </c>
      <c r="K427" s="11" t="b">
        <v>0</v>
      </c>
    </row>
    <row r="428" spans="1:11">
      <c r="A428" s="11" t="s">
        <v>2057</v>
      </c>
      <c r="B428" s="346" t="str">
        <f>报表附注!E883</f>
        <v>增加项目8-</v>
      </c>
      <c r="C428" s="321">
        <f t="shared" si="59"/>
        <v>0</v>
      </c>
      <c r="D428" s="11" t="b">
        <f t="shared" si="56"/>
        <v>1</v>
      </c>
      <c r="E428" s="311"/>
      <c r="H428" s="11" t="b">
        <f t="shared" si="55"/>
        <v>0</v>
      </c>
      <c r="I428" s="11" t="s">
        <v>597</v>
      </c>
      <c r="K428" s="11" t="b">
        <v>1</v>
      </c>
    </row>
    <row r="429" spans="1:11">
      <c r="A429" s="11" t="s">
        <v>2021</v>
      </c>
      <c r="B429" s="319" t="str">
        <f>报表附注!E884</f>
        <v>合计</v>
      </c>
      <c r="C429" s="321">
        <f t="shared" si="59"/>
        <v>0</v>
      </c>
      <c r="D429" s="11" t="b">
        <f t="shared" si="56"/>
        <v>1</v>
      </c>
      <c r="E429" s="311"/>
      <c r="H429" s="11" t="b">
        <f t="shared" si="55"/>
        <v>0</v>
      </c>
      <c r="I429" s="11" t="s">
        <v>595</v>
      </c>
      <c r="K429" s="11" t="b">
        <v>0</v>
      </c>
    </row>
    <row r="430" spans="1:11">
      <c r="A430" s="11" t="s">
        <v>2063</v>
      </c>
      <c r="B430" s="333" t="s">
        <v>2063</v>
      </c>
      <c r="D430" s="11" t="b">
        <f t="shared" si="56"/>
        <v>1</v>
      </c>
      <c r="E430" s="326"/>
      <c r="H430" s="11" t="b">
        <f t="shared" si="55"/>
        <v>0</v>
      </c>
      <c r="I430" s="11" t="s">
        <v>5705</v>
      </c>
      <c r="K430" s="11" t="b">
        <v>1</v>
      </c>
    </row>
    <row r="431" spans="1:11">
      <c r="A431" s="11" t="s">
        <v>589</v>
      </c>
      <c r="B431" s="346" t="str">
        <f>报表附注!E869</f>
        <v>原材料</v>
      </c>
      <c r="C431" s="321">
        <f t="shared" ref="C431:C446" si="60">J423</f>
        <v>0</v>
      </c>
      <c r="D431" s="11" t="b">
        <f t="shared" si="56"/>
        <v>1</v>
      </c>
      <c r="E431" s="311"/>
      <c r="H431" s="11" t="b">
        <f t="shared" si="55"/>
        <v>0</v>
      </c>
      <c r="I431" s="11" t="s">
        <v>2051</v>
      </c>
      <c r="K431" s="11" t="b">
        <v>1</v>
      </c>
    </row>
    <row r="432" spans="1:11">
      <c r="A432" s="11" t="s">
        <v>2047</v>
      </c>
      <c r="B432" s="346" t="str">
        <f>报表附注!E870</f>
        <v>在产品</v>
      </c>
      <c r="C432" s="321">
        <f t="shared" si="60"/>
        <v>0</v>
      </c>
      <c r="D432" s="11" t="b">
        <f t="shared" si="56"/>
        <v>0</v>
      </c>
      <c r="E432" s="311"/>
      <c r="H432" s="11" t="b">
        <f t="shared" si="55"/>
        <v>0</v>
      </c>
      <c r="I432" s="11" t="s">
        <v>2052</v>
      </c>
      <c r="K432" s="11" t="b">
        <v>1</v>
      </c>
    </row>
    <row r="433" spans="1:11">
      <c r="A433" s="11" t="s">
        <v>593</v>
      </c>
      <c r="B433" s="346" t="str">
        <f>报表附注!E871</f>
        <v>产成品</v>
      </c>
      <c r="C433" s="321">
        <f t="shared" si="60"/>
        <v>0</v>
      </c>
      <c r="D433" s="11" t="b">
        <f t="shared" si="56"/>
        <v>0</v>
      </c>
      <c r="E433" s="311"/>
      <c r="H433" s="11" t="b">
        <f t="shared" si="55"/>
        <v>0</v>
      </c>
      <c r="I433" s="11" t="s">
        <v>2053</v>
      </c>
      <c r="K433" s="11" t="b">
        <v>1</v>
      </c>
    </row>
    <row r="434" spans="1:11">
      <c r="A434" s="11" t="s">
        <v>587</v>
      </c>
      <c r="B434" s="346" t="str">
        <f>报表附注!E872</f>
        <v>低值易耗品</v>
      </c>
      <c r="C434" s="321">
        <f t="shared" si="60"/>
        <v>0</v>
      </c>
      <c r="D434" s="11" t="b">
        <f t="shared" si="56"/>
        <v>0</v>
      </c>
      <c r="E434" s="311"/>
      <c r="H434" s="11" t="b">
        <f t="shared" si="55"/>
        <v>0</v>
      </c>
      <c r="I434" s="11" t="s">
        <v>2054</v>
      </c>
      <c r="K434" s="11" t="b">
        <v>1</v>
      </c>
    </row>
    <row r="435" spans="1:11">
      <c r="A435" s="11" t="s">
        <v>2048</v>
      </c>
      <c r="B435" s="346" t="str">
        <f>报表附注!E873</f>
        <v>包装物</v>
      </c>
      <c r="C435" s="321">
        <f t="shared" si="60"/>
        <v>0</v>
      </c>
      <c r="D435" s="11" t="b">
        <f t="shared" si="56"/>
        <v>0</v>
      </c>
      <c r="E435" s="311"/>
      <c r="H435" s="11" t="b">
        <f t="shared" si="55"/>
        <v>0</v>
      </c>
      <c r="I435" s="11" t="s">
        <v>2055</v>
      </c>
      <c r="K435" s="11" t="b">
        <v>1</v>
      </c>
    </row>
    <row r="436" spans="1:11">
      <c r="A436" s="11" t="s">
        <v>597</v>
      </c>
      <c r="B436" s="346" t="str">
        <f>报表附注!E874</f>
        <v>委托加工物资</v>
      </c>
      <c r="C436" s="321">
        <f t="shared" si="60"/>
        <v>0</v>
      </c>
      <c r="D436" s="11" t="b">
        <f t="shared" si="56"/>
        <v>1</v>
      </c>
      <c r="E436" s="311"/>
      <c r="H436" s="11" t="b">
        <f t="shared" si="55"/>
        <v>0</v>
      </c>
      <c r="I436" s="11" t="s">
        <v>2056</v>
      </c>
      <c r="K436" s="11" t="b">
        <v>1</v>
      </c>
    </row>
    <row r="437" spans="1:11">
      <c r="A437" s="11" t="s">
        <v>2049</v>
      </c>
      <c r="B437" s="346" t="str">
        <f>报表附注!E875</f>
        <v>发出商品</v>
      </c>
      <c r="C437" s="321">
        <f t="shared" si="60"/>
        <v>0</v>
      </c>
      <c r="D437" s="11" t="b">
        <f t="shared" si="56"/>
        <v>0</v>
      </c>
      <c r="E437" s="311"/>
      <c r="H437" s="11" t="b">
        <f t="shared" si="55"/>
        <v>0</v>
      </c>
      <c r="I437" s="11" t="s">
        <v>2057</v>
      </c>
      <c r="K437" s="11" t="b">
        <v>1</v>
      </c>
    </row>
    <row r="438" spans="1:11">
      <c r="A438" s="11" t="s">
        <v>2050</v>
      </c>
      <c r="B438" s="346" t="str">
        <f>报表附注!E876</f>
        <v>增加项目1-工程施工</v>
      </c>
      <c r="C438" s="321">
        <f t="shared" si="60"/>
        <v>0</v>
      </c>
      <c r="D438" s="11" t="b">
        <f t="shared" si="56"/>
        <v>0</v>
      </c>
      <c r="E438" s="311"/>
      <c r="H438" s="11" t="b">
        <f t="shared" si="55"/>
        <v>0</v>
      </c>
      <c r="I438" s="11" t="s">
        <v>2021</v>
      </c>
      <c r="K438" s="11" t="b">
        <v>1</v>
      </c>
    </row>
    <row r="439" spans="1:11">
      <c r="A439" s="11" t="s">
        <v>2051</v>
      </c>
      <c r="B439" s="346" t="str">
        <f>报表附注!E877</f>
        <v>增加项目2-</v>
      </c>
      <c r="C439" s="321">
        <f t="shared" si="60"/>
        <v>0</v>
      </c>
      <c r="D439" s="11" t="b">
        <f t="shared" si="56"/>
        <v>1</v>
      </c>
      <c r="E439" s="311"/>
      <c r="H439" s="11" t="b">
        <f t="shared" si="55"/>
        <v>0</v>
      </c>
      <c r="I439" s="11" t="s">
        <v>2020</v>
      </c>
      <c r="K439" s="11" t="b">
        <v>1</v>
      </c>
    </row>
    <row r="440" spans="1:11">
      <c r="A440" s="11" t="s">
        <v>2052</v>
      </c>
      <c r="B440" s="346" t="str">
        <f>报表附注!E878</f>
        <v>增加项目3-</v>
      </c>
      <c r="C440" s="321">
        <f t="shared" si="60"/>
        <v>0</v>
      </c>
      <c r="D440" s="11" t="b">
        <f t="shared" si="56"/>
        <v>1</v>
      </c>
      <c r="E440" s="311"/>
      <c r="H440" s="11" t="b">
        <f t="shared" si="55"/>
        <v>0</v>
      </c>
      <c r="I440" s="11" t="s">
        <v>61</v>
      </c>
      <c r="K440" s="11" t="b">
        <v>1</v>
      </c>
    </row>
    <row r="441" spans="1:11">
      <c r="A441" s="11" t="s">
        <v>2053</v>
      </c>
      <c r="B441" s="346" t="str">
        <f>报表附注!E879</f>
        <v>增加项目4-</v>
      </c>
      <c r="C441" s="321">
        <f t="shared" si="60"/>
        <v>0</v>
      </c>
      <c r="D441" s="11" t="b">
        <f t="shared" si="56"/>
        <v>1</v>
      </c>
      <c r="E441" s="311"/>
      <c r="H441" s="11" t="b">
        <f t="shared" si="55"/>
        <v>0</v>
      </c>
      <c r="I441" s="11" t="s">
        <v>838</v>
      </c>
      <c r="K441" s="11" t="b">
        <v>1</v>
      </c>
    </row>
    <row r="442" spans="1:11">
      <c r="A442" s="11" t="s">
        <v>2054</v>
      </c>
      <c r="B442" s="346" t="str">
        <f>报表附注!E880</f>
        <v>增加项目5-</v>
      </c>
      <c r="C442" s="321">
        <f t="shared" si="60"/>
        <v>0</v>
      </c>
      <c r="D442" s="11" t="b">
        <f t="shared" si="56"/>
        <v>1</v>
      </c>
      <c r="E442" s="311"/>
      <c r="H442" s="11" t="b">
        <f t="shared" si="55"/>
        <v>0</v>
      </c>
      <c r="I442" s="11">
        <v>1</v>
      </c>
      <c r="K442" s="11" t="b">
        <v>1</v>
      </c>
    </row>
    <row r="443" spans="1:11">
      <c r="A443" s="11" t="s">
        <v>2055</v>
      </c>
      <c r="B443" s="346" t="str">
        <f>报表附注!E881</f>
        <v>增加项目6-</v>
      </c>
      <c r="C443" s="321">
        <f t="shared" si="60"/>
        <v>0</v>
      </c>
      <c r="D443" s="11" t="b">
        <f t="shared" si="56"/>
        <v>1</v>
      </c>
      <c r="E443" s="311"/>
      <c r="H443" s="11" t="b">
        <f t="shared" si="55"/>
        <v>0</v>
      </c>
      <c r="I443" s="11">
        <v>2</v>
      </c>
      <c r="K443" s="11" t="b">
        <v>1</v>
      </c>
    </row>
    <row r="444" spans="1:11">
      <c r="A444" s="11" t="s">
        <v>2056</v>
      </c>
      <c r="B444" s="346" t="str">
        <f>报表附注!E882</f>
        <v>增加项目7-</v>
      </c>
      <c r="C444" s="321">
        <f t="shared" si="60"/>
        <v>0</v>
      </c>
      <c r="D444" s="11" t="b">
        <f t="shared" si="56"/>
        <v>1</v>
      </c>
      <c r="E444" s="311"/>
      <c r="H444" s="11" t="b">
        <f t="shared" si="55"/>
        <v>0</v>
      </c>
      <c r="I444" s="11" t="s">
        <v>841</v>
      </c>
      <c r="K444" s="11" t="b">
        <v>1</v>
      </c>
    </row>
    <row r="445" spans="1:11">
      <c r="A445" s="11" t="s">
        <v>2057</v>
      </c>
      <c r="B445" s="346" t="str">
        <f>报表附注!E883</f>
        <v>增加项目8-</v>
      </c>
      <c r="C445" s="321">
        <f t="shared" si="60"/>
        <v>0</v>
      </c>
      <c r="D445" s="11" t="b">
        <f t="shared" si="56"/>
        <v>1</v>
      </c>
      <c r="E445" s="311"/>
      <c r="H445" s="11" t="b">
        <f t="shared" si="55"/>
        <v>0</v>
      </c>
      <c r="I445" s="11">
        <v>1</v>
      </c>
      <c r="K445" s="11" t="b">
        <v>1</v>
      </c>
    </row>
    <row r="446" spans="1:11">
      <c r="A446" s="11" t="s">
        <v>2021</v>
      </c>
      <c r="B446" s="319" t="str">
        <f>报表附注!E884</f>
        <v>合计</v>
      </c>
      <c r="C446" s="321">
        <f t="shared" si="60"/>
        <v>0</v>
      </c>
      <c r="D446" s="11" t="b">
        <f t="shared" si="56"/>
        <v>1</v>
      </c>
      <c r="E446" s="311"/>
      <c r="H446" s="11" t="b">
        <f t="shared" si="55"/>
        <v>0</v>
      </c>
      <c r="I446" s="11">
        <v>2</v>
      </c>
      <c r="K446" s="11" t="b">
        <v>1</v>
      </c>
    </row>
    <row r="447" spans="1:11">
      <c r="A447" s="11" t="s">
        <v>2020</v>
      </c>
      <c r="B447" s="330" t="s">
        <v>2020</v>
      </c>
      <c r="D447" s="11" t="b">
        <f t="shared" si="56"/>
        <v>1</v>
      </c>
      <c r="H447" s="11" t="b">
        <f t="shared" si="55"/>
        <v>0</v>
      </c>
      <c r="I447" s="11" t="s">
        <v>844</v>
      </c>
      <c r="K447" s="11" t="b">
        <v>1</v>
      </c>
    </row>
    <row r="448" spans="1:11">
      <c r="A448" s="11" t="s">
        <v>61</v>
      </c>
      <c r="B448" s="310" t="str">
        <f>报表附注!E887</f>
        <v>项目</v>
      </c>
      <c r="D448" s="11" t="b">
        <f t="shared" si="56"/>
        <v>1</v>
      </c>
      <c r="H448" s="11" t="b">
        <f t="shared" si="55"/>
        <v>0</v>
      </c>
      <c r="I448" s="11">
        <v>1</v>
      </c>
      <c r="K448" s="11" t="b">
        <v>1</v>
      </c>
    </row>
    <row r="449" spans="1:11">
      <c r="A449" s="11" t="s">
        <v>838</v>
      </c>
      <c r="B449" s="310" t="str">
        <f>报表附注!E888</f>
        <v>一、种植业</v>
      </c>
      <c r="C449" s="321"/>
      <c r="D449" s="11" t="b">
        <f t="shared" si="56"/>
        <v>1</v>
      </c>
      <c r="E449" s="321">
        <f>C464</f>
        <v>0</v>
      </c>
      <c r="H449" s="11" t="b">
        <f t="shared" si="55"/>
        <v>0</v>
      </c>
      <c r="I449" s="11">
        <v>2</v>
      </c>
      <c r="K449" s="11" t="b">
        <v>1</v>
      </c>
    </row>
    <row r="450" spans="1:11">
      <c r="A450" s="11">
        <v>1</v>
      </c>
      <c r="B450" s="310">
        <f>报表附注!E889</f>
        <v>1</v>
      </c>
      <c r="C450" s="321"/>
      <c r="D450" s="11" t="b">
        <f t="shared" si="56"/>
        <v>1</v>
      </c>
      <c r="E450" s="321">
        <f t="shared" ref="E450:E461" si="61">C465</f>
        <v>0</v>
      </c>
      <c r="H450" s="11" t="b">
        <f t="shared" si="55"/>
        <v>0</v>
      </c>
      <c r="I450" s="11" t="s">
        <v>847</v>
      </c>
      <c r="K450" s="11" t="b">
        <v>1</v>
      </c>
    </row>
    <row r="451" spans="1:11">
      <c r="A451" s="11">
        <v>2</v>
      </c>
      <c r="B451" s="310">
        <f>报表附注!E890</f>
        <v>2</v>
      </c>
      <c r="C451" s="321"/>
      <c r="D451" s="11" t="b">
        <f t="shared" si="56"/>
        <v>1</v>
      </c>
      <c r="E451" s="321">
        <f t="shared" si="61"/>
        <v>0</v>
      </c>
      <c r="H451" s="11" t="b">
        <f t="shared" si="55"/>
        <v>0</v>
      </c>
      <c r="I451" s="11">
        <v>1</v>
      </c>
      <c r="K451" s="11" t="b">
        <v>1</v>
      </c>
    </row>
    <row r="452" spans="1:11">
      <c r="A452" s="11" t="s">
        <v>841</v>
      </c>
      <c r="B452" s="310" t="str">
        <f>报表附注!E891</f>
        <v>二、畜牧养殖业</v>
      </c>
      <c r="C452" s="321"/>
      <c r="D452" s="11" t="b">
        <f t="shared" si="56"/>
        <v>1</v>
      </c>
      <c r="E452" s="321">
        <f t="shared" si="61"/>
        <v>0</v>
      </c>
      <c r="H452" s="11" t="b">
        <f t="shared" ref="H452:H515" si="62">I452=B452</f>
        <v>0</v>
      </c>
      <c r="I452" s="11">
        <v>2</v>
      </c>
      <c r="K452" s="11" t="b">
        <v>1</v>
      </c>
    </row>
    <row r="453" spans="1:11">
      <c r="A453" s="11">
        <v>1</v>
      </c>
      <c r="B453" s="310">
        <f>报表附注!E892</f>
        <v>1</v>
      </c>
      <c r="C453" s="321"/>
      <c r="D453" s="11" t="b">
        <f t="shared" si="56"/>
        <v>1</v>
      </c>
      <c r="E453" s="321">
        <f t="shared" si="61"/>
        <v>0</v>
      </c>
      <c r="H453" s="11" t="b">
        <f t="shared" si="62"/>
        <v>0</v>
      </c>
      <c r="I453" s="11" t="s">
        <v>2021</v>
      </c>
      <c r="K453" s="11" t="b">
        <v>1</v>
      </c>
    </row>
    <row r="454" spans="1:11">
      <c r="A454" s="11">
        <v>2</v>
      </c>
      <c r="B454" s="310">
        <f>报表附注!E893</f>
        <v>2</v>
      </c>
      <c r="C454" s="321"/>
      <c r="D454" s="11" t="b">
        <f t="shared" si="56"/>
        <v>1</v>
      </c>
      <c r="E454" s="321">
        <f t="shared" si="61"/>
        <v>0</v>
      </c>
      <c r="H454" s="11" t="b">
        <f t="shared" si="62"/>
        <v>0</v>
      </c>
      <c r="I454" s="11" t="s">
        <v>316</v>
      </c>
      <c r="K454" s="11" t="b">
        <v>1</v>
      </c>
    </row>
    <row r="455" spans="1:11">
      <c r="A455" s="11" t="s">
        <v>844</v>
      </c>
      <c r="B455" s="310" t="str">
        <f>报表附注!E894</f>
        <v>三、林业</v>
      </c>
      <c r="C455" s="321"/>
      <c r="D455" s="11" t="b">
        <f t="shared" si="56"/>
        <v>1</v>
      </c>
      <c r="E455" s="321">
        <f t="shared" si="61"/>
        <v>0</v>
      </c>
      <c r="H455" s="11" t="b">
        <f t="shared" si="62"/>
        <v>0</v>
      </c>
      <c r="I455" s="11" t="s">
        <v>61</v>
      </c>
      <c r="K455" s="11" t="b">
        <v>1</v>
      </c>
    </row>
    <row r="456" spans="1:11">
      <c r="A456" s="11">
        <v>1</v>
      </c>
      <c r="B456" s="310">
        <f>报表附注!E895</f>
        <v>1</v>
      </c>
      <c r="C456" s="321"/>
      <c r="D456" s="11" t="b">
        <f t="shared" si="56"/>
        <v>1</v>
      </c>
      <c r="E456" s="321">
        <f t="shared" si="61"/>
        <v>0</v>
      </c>
      <c r="H456" s="11" t="b">
        <f t="shared" si="62"/>
        <v>0</v>
      </c>
      <c r="I456" s="11" t="s">
        <v>838</v>
      </c>
      <c r="K456" s="11" t="b">
        <v>1</v>
      </c>
    </row>
    <row r="457" spans="1:11">
      <c r="A457" s="11">
        <v>2</v>
      </c>
      <c r="B457" s="310">
        <f>报表附注!E896</f>
        <v>2</v>
      </c>
      <c r="C457" s="321"/>
      <c r="D457" s="11" t="b">
        <f t="shared" si="56"/>
        <v>1</v>
      </c>
      <c r="E457" s="321">
        <f t="shared" si="61"/>
        <v>0</v>
      </c>
      <c r="H457" s="11" t="b">
        <f t="shared" si="62"/>
        <v>0</v>
      </c>
      <c r="I457" s="11">
        <v>1</v>
      </c>
      <c r="K457" s="11" t="b">
        <v>1</v>
      </c>
    </row>
    <row r="458" spans="1:11">
      <c r="A458" s="11" t="s">
        <v>847</v>
      </c>
      <c r="B458" s="310" t="str">
        <f>报表附注!E897</f>
        <v>四、水产业</v>
      </c>
      <c r="C458" s="321"/>
      <c r="D458" s="11" t="b">
        <f t="shared" si="56"/>
        <v>1</v>
      </c>
      <c r="E458" s="321">
        <f t="shared" si="61"/>
        <v>0</v>
      </c>
      <c r="H458" s="11" t="b">
        <f t="shared" si="62"/>
        <v>0</v>
      </c>
      <c r="I458" s="11">
        <v>2</v>
      </c>
      <c r="K458" s="11" t="b">
        <v>1</v>
      </c>
    </row>
    <row r="459" spans="1:11">
      <c r="A459" s="11">
        <v>1</v>
      </c>
      <c r="B459" s="310">
        <f>报表附注!E898</f>
        <v>1</v>
      </c>
      <c r="C459" s="321"/>
      <c r="D459" s="11" t="b">
        <f t="shared" si="56"/>
        <v>1</v>
      </c>
      <c r="E459" s="321">
        <f t="shared" si="61"/>
        <v>0</v>
      </c>
      <c r="H459" s="11" t="b">
        <f t="shared" si="62"/>
        <v>0</v>
      </c>
      <c r="I459" s="11" t="s">
        <v>841</v>
      </c>
      <c r="K459" s="11" t="b">
        <v>1</v>
      </c>
    </row>
    <row r="460" spans="1:11">
      <c r="A460" s="11">
        <v>2</v>
      </c>
      <c r="B460" s="310">
        <f>报表附注!E899</f>
        <v>2</v>
      </c>
      <c r="C460" s="321"/>
      <c r="D460" s="11" t="b">
        <f t="shared" ref="D460:D523" si="63">EXACT(A460,B460)</f>
        <v>1</v>
      </c>
      <c r="E460" s="321">
        <f t="shared" si="61"/>
        <v>0</v>
      </c>
      <c r="H460" s="11" t="b">
        <f t="shared" si="62"/>
        <v>0</v>
      </c>
      <c r="I460" s="11">
        <v>1</v>
      </c>
      <c r="K460" s="11" t="b">
        <v>1</v>
      </c>
    </row>
    <row r="461" spans="1:11">
      <c r="A461" s="11" t="s">
        <v>2021</v>
      </c>
      <c r="B461" s="320" t="str">
        <f>报表附注!E900</f>
        <v>合计</v>
      </c>
      <c r="C461" s="321"/>
      <c r="D461" s="11" t="b">
        <f t="shared" si="63"/>
        <v>1</v>
      </c>
      <c r="E461" s="321">
        <f t="shared" si="61"/>
        <v>0</v>
      </c>
      <c r="H461" s="11" t="b">
        <f t="shared" si="62"/>
        <v>0</v>
      </c>
      <c r="I461" s="11">
        <v>2</v>
      </c>
      <c r="K461" s="11" t="b">
        <v>1</v>
      </c>
    </row>
    <row r="462" spans="1:11">
      <c r="A462" s="11" t="s">
        <v>316</v>
      </c>
      <c r="B462" s="330" t="s">
        <v>316</v>
      </c>
      <c r="D462" s="11" t="b">
        <f t="shared" si="63"/>
        <v>1</v>
      </c>
      <c r="H462" s="11" t="b">
        <f t="shared" si="62"/>
        <v>0</v>
      </c>
      <c r="I462" s="11" t="s">
        <v>844</v>
      </c>
      <c r="K462" s="11" t="b">
        <v>1</v>
      </c>
    </row>
    <row r="463" spans="1:11">
      <c r="A463" s="11" t="s">
        <v>61</v>
      </c>
      <c r="B463" s="310" t="str">
        <f>报表附注!E887</f>
        <v>项目</v>
      </c>
      <c r="D463" s="11" t="b">
        <f t="shared" si="63"/>
        <v>1</v>
      </c>
      <c r="H463" s="11" t="b">
        <f t="shared" si="62"/>
        <v>0</v>
      </c>
      <c r="I463" s="11">
        <v>1</v>
      </c>
      <c r="K463" s="11" t="b">
        <v>1</v>
      </c>
    </row>
    <row r="464" spans="1:11">
      <c r="A464" s="11" t="s">
        <v>838</v>
      </c>
      <c r="B464" s="310" t="str">
        <f>报表附注!E888</f>
        <v>一、种植业</v>
      </c>
      <c r="C464" s="321"/>
      <c r="D464" s="11" t="b">
        <f t="shared" si="63"/>
        <v>1</v>
      </c>
      <c r="E464" s="311"/>
      <c r="H464" s="11" t="b">
        <f t="shared" si="62"/>
        <v>0</v>
      </c>
      <c r="I464" s="11">
        <v>2</v>
      </c>
      <c r="K464" s="11" t="b">
        <v>1</v>
      </c>
    </row>
    <row r="465" spans="1:11">
      <c r="A465" s="11">
        <v>1</v>
      </c>
      <c r="B465" s="310">
        <f>报表附注!E889</f>
        <v>1</v>
      </c>
      <c r="C465" s="321"/>
      <c r="D465" s="11" t="b">
        <f t="shared" si="63"/>
        <v>1</v>
      </c>
      <c r="E465" s="311"/>
      <c r="H465" s="11" t="b">
        <f t="shared" si="62"/>
        <v>0</v>
      </c>
      <c r="I465" s="11" t="s">
        <v>847</v>
      </c>
      <c r="K465" s="11" t="b">
        <v>1</v>
      </c>
    </row>
    <row r="466" spans="1:11">
      <c r="A466" s="11">
        <v>2</v>
      </c>
      <c r="B466" s="310">
        <f>报表附注!E890</f>
        <v>2</v>
      </c>
      <c r="C466" s="321"/>
      <c r="D466" s="11" t="b">
        <f t="shared" si="63"/>
        <v>1</v>
      </c>
      <c r="E466" s="311"/>
      <c r="H466" s="11" t="b">
        <f t="shared" si="62"/>
        <v>0</v>
      </c>
      <c r="I466" s="11">
        <v>1</v>
      </c>
      <c r="K466" s="11" t="b">
        <v>1</v>
      </c>
    </row>
    <row r="467" spans="1:11">
      <c r="A467" s="11" t="s">
        <v>841</v>
      </c>
      <c r="B467" s="310" t="str">
        <f>报表附注!E891</f>
        <v>二、畜牧养殖业</v>
      </c>
      <c r="C467" s="321"/>
      <c r="D467" s="11" t="b">
        <f t="shared" si="63"/>
        <v>1</v>
      </c>
      <c r="E467" s="311"/>
      <c r="H467" s="11" t="b">
        <f t="shared" si="62"/>
        <v>0</v>
      </c>
      <c r="I467" s="11">
        <v>2</v>
      </c>
      <c r="K467" s="11" t="b">
        <v>1</v>
      </c>
    </row>
    <row r="468" spans="1:11">
      <c r="A468" s="11">
        <v>1</v>
      </c>
      <c r="B468" s="310">
        <f>报表附注!E892</f>
        <v>1</v>
      </c>
      <c r="C468" s="321"/>
      <c r="D468" s="11" t="b">
        <f t="shared" si="63"/>
        <v>1</v>
      </c>
      <c r="E468" s="311"/>
      <c r="H468" s="11" t="b">
        <f t="shared" si="62"/>
        <v>0</v>
      </c>
      <c r="I468" s="11" t="s">
        <v>2021</v>
      </c>
      <c r="K468" s="11" t="b">
        <v>1</v>
      </c>
    </row>
    <row r="469" spans="1:11">
      <c r="A469" s="11">
        <v>2</v>
      </c>
      <c r="B469" s="310">
        <f>报表附注!E893</f>
        <v>2</v>
      </c>
      <c r="C469" s="321"/>
      <c r="D469" s="11" t="b">
        <f t="shared" si="63"/>
        <v>1</v>
      </c>
      <c r="E469" s="311"/>
      <c r="H469" s="11" t="b">
        <f t="shared" si="62"/>
        <v>0</v>
      </c>
      <c r="K469" s="11" t="b">
        <v>1</v>
      </c>
    </row>
    <row r="470" spans="1:11">
      <c r="A470" s="11" t="s">
        <v>844</v>
      </c>
      <c r="B470" s="310" t="str">
        <f>报表附注!E894</f>
        <v>三、林业</v>
      </c>
      <c r="C470" s="321"/>
      <c r="D470" s="11" t="b">
        <f t="shared" si="63"/>
        <v>1</v>
      </c>
      <c r="E470" s="311"/>
      <c r="H470" s="11" t="b">
        <f t="shared" si="62"/>
        <v>0</v>
      </c>
      <c r="I470" s="11" t="s">
        <v>2064</v>
      </c>
      <c r="K470" s="11" t="b">
        <v>1</v>
      </c>
    </row>
    <row r="471" spans="1:11">
      <c r="A471" s="11">
        <v>1</v>
      </c>
      <c r="B471" s="310">
        <f>报表附注!E895</f>
        <v>1</v>
      </c>
      <c r="C471" s="321"/>
      <c r="D471" s="11" t="b">
        <f t="shared" si="63"/>
        <v>1</v>
      </c>
      <c r="E471" s="311"/>
      <c r="H471" s="11" t="b">
        <f t="shared" si="62"/>
        <v>0</v>
      </c>
      <c r="I471" s="11" t="s">
        <v>589</v>
      </c>
      <c r="K471" s="11" t="b">
        <v>1</v>
      </c>
    </row>
    <row r="472" spans="1:11">
      <c r="A472" s="11">
        <v>2</v>
      </c>
      <c r="B472" s="310">
        <f>报表附注!E896</f>
        <v>2</v>
      </c>
      <c r="C472" s="321"/>
      <c r="D472" s="11" t="b">
        <f t="shared" si="63"/>
        <v>1</v>
      </c>
      <c r="E472" s="311"/>
      <c r="H472" s="11" t="b">
        <f t="shared" si="62"/>
        <v>0</v>
      </c>
      <c r="I472" s="11" t="s">
        <v>591</v>
      </c>
      <c r="K472" s="11" t="b">
        <v>0</v>
      </c>
    </row>
    <row r="473" spans="1:11">
      <c r="A473" s="11" t="s">
        <v>847</v>
      </c>
      <c r="B473" s="310" t="str">
        <f>报表附注!E897</f>
        <v>四、水产业</v>
      </c>
      <c r="C473" s="321"/>
      <c r="D473" s="11" t="b">
        <f t="shared" si="63"/>
        <v>1</v>
      </c>
      <c r="E473" s="311"/>
      <c r="H473" s="11" t="b">
        <f t="shared" si="62"/>
        <v>0</v>
      </c>
      <c r="I473" s="11" t="s">
        <v>3132</v>
      </c>
      <c r="J473" s="323"/>
      <c r="K473" s="11" t="b">
        <v>0</v>
      </c>
    </row>
    <row r="474" spans="1:11">
      <c r="A474" s="11">
        <v>1</v>
      </c>
      <c r="B474" s="310">
        <f>报表附注!E898</f>
        <v>1</v>
      </c>
      <c r="C474" s="321"/>
      <c r="D474" s="11" t="b">
        <f t="shared" si="63"/>
        <v>1</v>
      </c>
      <c r="E474" s="311"/>
      <c r="H474" s="11" t="b">
        <f t="shared" si="62"/>
        <v>0</v>
      </c>
      <c r="I474" s="11" t="s">
        <v>2048</v>
      </c>
      <c r="K474" s="11" t="b">
        <v>0</v>
      </c>
    </row>
    <row r="475" spans="1:11">
      <c r="A475" s="11">
        <v>2</v>
      </c>
      <c r="B475" s="310">
        <f>报表附注!E899</f>
        <v>2</v>
      </c>
      <c r="C475" s="321"/>
      <c r="D475" s="11" t="b">
        <f t="shared" si="63"/>
        <v>1</v>
      </c>
      <c r="E475" s="311"/>
      <c r="H475" s="11" t="b">
        <f t="shared" si="62"/>
        <v>0</v>
      </c>
      <c r="I475" s="11" t="s">
        <v>3133</v>
      </c>
      <c r="K475" s="11" t="b">
        <v>0</v>
      </c>
    </row>
    <row r="476" spans="1:11">
      <c r="A476" s="11" t="s">
        <v>2021</v>
      </c>
      <c r="B476" s="320" t="str">
        <f>报表附注!E900</f>
        <v>合计</v>
      </c>
      <c r="C476" s="321"/>
      <c r="D476" s="11" t="b">
        <f t="shared" si="63"/>
        <v>1</v>
      </c>
      <c r="E476" s="311"/>
      <c r="H476" s="11" t="b">
        <f t="shared" si="62"/>
        <v>0</v>
      </c>
      <c r="I476" s="11" t="s">
        <v>597</v>
      </c>
      <c r="K476" s="11" t="b">
        <v>1</v>
      </c>
    </row>
    <row r="477" spans="4:11">
      <c r="D477" s="11" t="b">
        <f t="shared" si="63"/>
        <v>1</v>
      </c>
      <c r="H477" s="11" t="b">
        <f t="shared" si="62"/>
        <v>0</v>
      </c>
      <c r="I477" s="11" t="s">
        <v>595</v>
      </c>
      <c r="K477" s="11" t="b">
        <v>0</v>
      </c>
    </row>
    <row r="478" spans="1:11">
      <c r="A478" s="11" t="s">
        <v>2064</v>
      </c>
      <c r="B478" s="347" t="s">
        <v>2065</v>
      </c>
      <c r="D478" s="11" t="b">
        <f t="shared" si="63"/>
        <v>1</v>
      </c>
      <c r="H478" s="11" t="b">
        <f t="shared" si="62"/>
        <v>0</v>
      </c>
      <c r="I478" s="11" t="s">
        <v>5705</v>
      </c>
      <c r="K478" s="11" t="b">
        <v>1</v>
      </c>
    </row>
    <row r="479" spans="1:11">
      <c r="A479" s="11" t="s">
        <v>589</v>
      </c>
      <c r="B479" s="310" t="str">
        <f>报表附注!E905</f>
        <v>原材料</v>
      </c>
      <c r="C479" s="321">
        <f t="shared" ref="C479:C511" si="64">J471</f>
        <v>0</v>
      </c>
      <c r="D479" s="11" t="b">
        <f t="shared" si="63"/>
        <v>1</v>
      </c>
      <c r="E479" s="321">
        <f>C479+C496-C513-C530</f>
        <v>0</v>
      </c>
      <c r="H479" s="11" t="b">
        <f t="shared" si="62"/>
        <v>0</v>
      </c>
      <c r="I479" s="11" t="s">
        <v>2051</v>
      </c>
      <c r="K479" s="11" t="b">
        <v>1</v>
      </c>
    </row>
    <row r="480" spans="1:11">
      <c r="A480" s="11" t="s">
        <v>2047</v>
      </c>
      <c r="B480" s="310" t="str">
        <f>报表附注!E906</f>
        <v>在产品</v>
      </c>
      <c r="C480" s="321">
        <f t="shared" si="64"/>
        <v>0</v>
      </c>
      <c r="D480" s="11" t="b">
        <f t="shared" si="63"/>
        <v>0</v>
      </c>
      <c r="E480" s="321">
        <f t="shared" ref="E480:E494" si="65">C480+C497-C514-C531</f>
        <v>0</v>
      </c>
      <c r="H480" s="11" t="b">
        <f t="shared" si="62"/>
        <v>0</v>
      </c>
      <c r="I480" s="11" t="s">
        <v>2052</v>
      </c>
      <c r="K480" s="11" t="b">
        <v>1</v>
      </c>
    </row>
    <row r="481" spans="1:11">
      <c r="A481" s="11" t="s">
        <v>593</v>
      </c>
      <c r="B481" s="334" t="str">
        <f>报表附注!E907</f>
        <v>产成品</v>
      </c>
      <c r="C481" s="321">
        <f t="shared" si="64"/>
        <v>0</v>
      </c>
      <c r="D481" s="11" t="b">
        <f t="shared" si="63"/>
        <v>0</v>
      </c>
      <c r="E481" s="321">
        <f t="shared" si="65"/>
        <v>0</v>
      </c>
      <c r="H481" s="11" t="b">
        <f t="shared" si="62"/>
        <v>0</v>
      </c>
      <c r="I481" s="11" t="s">
        <v>2053</v>
      </c>
      <c r="K481" s="11" t="b">
        <v>1</v>
      </c>
    </row>
    <row r="482" spans="1:11">
      <c r="A482" s="11" t="s">
        <v>587</v>
      </c>
      <c r="B482" s="334" t="str">
        <f>报表附注!E908</f>
        <v>低值易耗品</v>
      </c>
      <c r="C482" s="321">
        <f t="shared" si="64"/>
        <v>0</v>
      </c>
      <c r="D482" s="11" t="b">
        <f t="shared" si="63"/>
        <v>0</v>
      </c>
      <c r="E482" s="321">
        <f t="shared" si="65"/>
        <v>0</v>
      </c>
      <c r="H482" s="11" t="b">
        <f t="shared" si="62"/>
        <v>0</v>
      </c>
      <c r="I482" s="11" t="s">
        <v>2054</v>
      </c>
      <c r="K482" s="11" t="b">
        <v>1</v>
      </c>
    </row>
    <row r="483" spans="1:11">
      <c r="A483" s="11" t="s">
        <v>2048</v>
      </c>
      <c r="B483" s="334" t="str">
        <f>报表附注!E909</f>
        <v>包装物</v>
      </c>
      <c r="C483" s="321">
        <f t="shared" si="64"/>
        <v>0</v>
      </c>
      <c r="D483" s="11" t="b">
        <f t="shared" si="63"/>
        <v>0</v>
      </c>
      <c r="E483" s="321">
        <f t="shared" si="65"/>
        <v>0</v>
      </c>
      <c r="H483" s="11" t="b">
        <f t="shared" si="62"/>
        <v>0</v>
      </c>
      <c r="I483" s="11" t="s">
        <v>2055</v>
      </c>
      <c r="K483" s="11" t="b">
        <v>1</v>
      </c>
    </row>
    <row r="484" spans="1:11">
      <c r="A484" s="11" t="s">
        <v>597</v>
      </c>
      <c r="B484" s="334" t="str">
        <f>报表附注!E910</f>
        <v>委托加工物资</v>
      </c>
      <c r="C484" s="321">
        <f t="shared" si="64"/>
        <v>0</v>
      </c>
      <c r="D484" s="11" t="b">
        <f t="shared" si="63"/>
        <v>1</v>
      </c>
      <c r="E484" s="321">
        <f t="shared" si="65"/>
        <v>0</v>
      </c>
      <c r="H484" s="11" t="b">
        <f t="shared" si="62"/>
        <v>0</v>
      </c>
      <c r="I484" s="11" t="s">
        <v>2056</v>
      </c>
      <c r="K484" s="11" t="b">
        <v>1</v>
      </c>
    </row>
    <row r="485" spans="1:11">
      <c r="A485" s="11" t="s">
        <v>2049</v>
      </c>
      <c r="B485" s="334" t="str">
        <f>报表附注!E911</f>
        <v>发出商品</v>
      </c>
      <c r="C485" s="321">
        <f t="shared" si="64"/>
        <v>0</v>
      </c>
      <c r="D485" s="11" t="b">
        <f t="shared" si="63"/>
        <v>0</v>
      </c>
      <c r="E485" s="321">
        <f t="shared" si="65"/>
        <v>0</v>
      </c>
      <c r="H485" s="11" t="b">
        <f t="shared" si="62"/>
        <v>0</v>
      </c>
      <c r="I485" s="11" t="s">
        <v>2057</v>
      </c>
      <c r="K485" s="11" t="b">
        <v>1</v>
      </c>
    </row>
    <row r="486" spans="1:11">
      <c r="A486" s="11" t="s">
        <v>2050</v>
      </c>
      <c r="B486" s="334" t="str">
        <f>报表附注!E912</f>
        <v>增加项目1-工程施工</v>
      </c>
      <c r="C486" s="321">
        <f t="shared" si="64"/>
        <v>0</v>
      </c>
      <c r="D486" s="11" t="b">
        <f t="shared" si="63"/>
        <v>0</v>
      </c>
      <c r="E486" s="321">
        <f t="shared" si="65"/>
        <v>0</v>
      </c>
      <c r="H486" s="11" t="b">
        <f t="shared" si="62"/>
        <v>0</v>
      </c>
      <c r="I486" s="11" t="s">
        <v>2021</v>
      </c>
      <c r="K486" s="11" t="b">
        <v>1</v>
      </c>
    </row>
    <row r="487" spans="1:11">
      <c r="A487" s="11" t="s">
        <v>2051</v>
      </c>
      <c r="B487" s="334" t="str">
        <f>报表附注!E913</f>
        <v>增加项目2-</v>
      </c>
      <c r="C487" s="321">
        <f t="shared" si="64"/>
        <v>0</v>
      </c>
      <c r="D487" s="11" t="b">
        <f t="shared" si="63"/>
        <v>1</v>
      </c>
      <c r="E487" s="321">
        <f t="shared" si="65"/>
        <v>0</v>
      </c>
      <c r="H487" s="11" t="b">
        <f t="shared" si="62"/>
        <v>0</v>
      </c>
      <c r="I487" s="11" t="s">
        <v>2066</v>
      </c>
      <c r="K487" s="11" t="b">
        <v>1</v>
      </c>
    </row>
    <row r="488" spans="1:11">
      <c r="A488" s="11" t="s">
        <v>2052</v>
      </c>
      <c r="B488" s="334" t="str">
        <f>报表附注!E914</f>
        <v>增加项目3-</v>
      </c>
      <c r="C488" s="321">
        <f t="shared" si="64"/>
        <v>0</v>
      </c>
      <c r="D488" s="11" t="b">
        <f t="shared" si="63"/>
        <v>1</v>
      </c>
      <c r="E488" s="321">
        <f t="shared" si="65"/>
        <v>0</v>
      </c>
      <c r="H488" s="11" t="b">
        <f t="shared" si="62"/>
        <v>0</v>
      </c>
      <c r="I488" s="11" t="s">
        <v>589</v>
      </c>
      <c r="K488" s="11" t="b">
        <v>1</v>
      </c>
    </row>
    <row r="489" spans="1:11">
      <c r="A489" s="11" t="s">
        <v>2053</v>
      </c>
      <c r="B489" s="334" t="str">
        <f>报表附注!E915</f>
        <v>增加项目4-</v>
      </c>
      <c r="C489" s="321">
        <f t="shared" si="64"/>
        <v>0</v>
      </c>
      <c r="D489" s="11" t="b">
        <f t="shared" si="63"/>
        <v>1</v>
      </c>
      <c r="E489" s="321">
        <f t="shared" si="65"/>
        <v>0</v>
      </c>
      <c r="H489" s="11" t="b">
        <f t="shared" si="62"/>
        <v>0</v>
      </c>
      <c r="I489" s="11" t="s">
        <v>591</v>
      </c>
      <c r="K489" s="11" t="b">
        <v>0</v>
      </c>
    </row>
    <row r="490" spans="1:11">
      <c r="A490" s="11" t="s">
        <v>2054</v>
      </c>
      <c r="B490" s="334" t="str">
        <f>报表附注!E916</f>
        <v>增加项目5-</v>
      </c>
      <c r="C490" s="321">
        <f t="shared" si="64"/>
        <v>0</v>
      </c>
      <c r="D490" s="11" t="b">
        <f t="shared" si="63"/>
        <v>1</v>
      </c>
      <c r="E490" s="321">
        <f t="shared" si="65"/>
        <v>0</v>
      </c>
      <c r="H490" s="11" t="b">
        <f t="shared" si="62"/>
        <v>0</v>
      </c>
      <c r="I490" s="11" t="s">
        <v>3132</v>
      </c>
      <c r="J490" s="323"/>
      <c r="K490" s="11" t="b">
        <v>0</v>
      </c>
    </row>
    <row r="491" spans="1:11">
      <c r="A491" s="11" t="s">
        <v>2055</v>
      </c>
      <c r="B491" s="334" t="str">
        <f>报表附注!E917</f>
        <v>增加项目6-</v>
      </c>
      <c r="C491" s="321">
        <f t="shared" si="64"/>
        <v>0</v>
      </c>
      <c r="D491" s="11" t="b">
        <f t="shared" si="63"/>
        <v>1</v>
      </c>
      <c r="E491" s="321">
        <f t="shared" si="65"/>
        <v>0</v>
      </c>
      <c r="H491" s="11" t="b">
        <f t="shared" si="62"/>
        <v>0</v>
      </c>
      <c r="I491" s="11" t="s">
        <v>2048</v>
      </c>
      <c r="K491" s="11" t="b">
        <v>0</v>
      </c>
    </row>
    <row r="492" spans="1:11">
      <c r="A492" s="11" t="s">
        <v>2056</v>
      </c>
      <c r="B492" s="334" t="str">
        <f>报表附注!E918</f>
        <v>增加项目7-</v>
      </c>
      <c r="C492" s="321">
        <f t="shared" si="64"/>
        <v>0</v>
      </c>
      <c r="D492" s="11" t="b">
        <f t="shared" si="63"/>
        <v>1</v>
      </c>
      <c r="E492" s="321">
        <f t="shared" si="65"/>
        <v>0</v>
      </c>
      <c r="H492" s="11" t="b">
        <f t="shared" si="62"/>
        <v>0</v>
      </c>
      <c r="I492" s="11" t="s">
        <v>3133</v>
      </c>
      <c r="K492" s="11" t="b">
        <v>0</v>
      </c>
    </row>
    <row r="493" spans="1:11">
      <c r="A493" s="11" t="s">
        <v>2057</v>
      </c>
      <c r="B493" s="334" t="str">
        <f>报表附注!E919</f>
        <v>增加项目8-</v>
      </c>
      <c r="C493" s="321">
        <f t="shared" si="64"/>
        <v>0</v>
      </c>
      <c r="D493" s="11" t="b">
        <f t="shared" si="63"/>
        <v>1</v>
      </c>
      <c r="E493" s="321">
        <f t="shared" si="65"/>
        <v>0</v>
      </c>
      <c r="H493" s="11" t="b">
        <f t="shared" si="62"/>
        <v>0</v>
      </c>
      <c r="I493" s="11" t="s">
        <v>597</v>
      </c>
      <c r="K493" s="11" t="b">
        <v>1</v>
      </c>
    </row>
    <row r="494" spans="1:11">
      <c r="A494" s="11" t="s">
        <v>2021</v>
      </c>
      <c r="B494" s="320" t="str">
        <f>报表附注!E920</f>
        <v>合计</v>
      </c>
      <c r="C494" s="321">
        <f t="shared" si="64"/>
        <v>0</v>
      </c>
      <c r="D494" s="11" t="b">
        <f t="shared" si="63"/>
        <v>1</v>
      </c>
      <c r="E494" s="321">
        <f t="shared" si="65"/>
        <v>0</v>
      </c>
      <c r="H494" s="11" t="b">
        <f t="shared" si="62"/>
        <v>0</v>
      </c>
      <c r="I494" s="11" t="s">
        <v>595</v>
      </c>
      <c r="K494" s="11" t="b">
        <v>0</v>
      </c>
    </row>
    <row r="495" spans="1:11">
      <c r="A495" s="11" t="s">
        <v>2066</v>
      </c>
      <c r="B495" s="347" t="s">
        <v>2067</v>
      </c>
      <c r="C495" s="328">
        <f t="shared" si="64"/>
        <v>0</v>
      </c>
      <c r="D495" s="11" t="b">
        <f t="shared" si="63"/>
        <v>1</v>
      </c>
      <c r="H495" s="11" t="b">
        <f t="shared" si="62"/>
        <v>0</v>
      </c>
      <c r="I495" s="11" t="s">
        <v>5705</v>
      </c>
      <c r="K495" s="11" t="b">
        <v>1</v>
      </c>
    </row>
    <row r="496" spans="1:11">
      <c r="A496" s="11" t="s">
        <v>589</v>
      </c>
      <c r="B496" s="310" t="str">
        <f>报表附注!E905</f>
        <v>原材料</v>
      </c>
      <c r="C496" s="321">
        <f t="shared" si="64"/>
        <v>0</v>
      </c>
      <c r="D496" s="11" t="b">
        <f t="shared" si="63"/>
        <v>1</v>
      </c>
      <c r="E496" s="311"/>
      <c r="H496" s="11" t="b">
        <f t="shared" si="62"/>
        <v>0</v>
      </c>
      <c r="I496" s="11" t="s">
        <v>2051</v>
      </c>
      <c r="K496" s="11" t="b">
        <v>1</v>
      </c>
    </row>
    <row r="497" spans="1:11">
      <c r="A497" s="11" t="s">
        <v>2047</v>
      </c>
      <c r="B497" s="310" t="str">
        <f>报表附注!E906</f>
        <v>在产品</v>
      </c>
      <c r="C497" s="321">
        <f t="shared" si="64"/>
        <v>0</v>
      </c>
      <c r="D497" s="11" t="b">
        <f t="shared" si="63"/>
        <v>0</v>
      </c>
      <c r="E497" s="311"/>
      <c r="H497" s="11" t="b">
        <f t="shared" si="62"/>
        <v>0</v>
      </c>
      <c r="I497" s="11" t="s">
        <v>2052</v>
      </c>
      <c r="K497" s="11" t="b">
        <v>1</v>
      </c>
    </row>
    <row r="498" spans="1:11">
      <c r="A498" s="11" t="s">
        <v>593</v>
      </c>
      <c r="B498" s="334" t="str">
        <f>报表附注!E907</f>
        <v>产成品</v>
      </c>
      <c r="C498" s="321">
        <f t="shared" si="64"/>
        <v>0</v>
      </c>
      <c r="D498" s="11" t="b">
        <f t="shared" si="63"/>
        <v>0</v>
      </c>
      <c r="E498" s="311"/>
      <c r="H498" s="11" t="b">
        <f t="shared" si="62"/>
        <v>0</v>
      </c>
      <c r="I498" s="11" t="s">
        <v>2053</v>
      </c>
      <c r="K498" s="11" t="b">
        <v>1</v>
      </c>
    </row>
    <row r="499" spans="1:11">
      <c r="A499" s="11" t="s">
        <v>587</v>
      </c>
      <c r="B499" s="334" t="str">
        <f>报表附注!E908</f>
        <v>低值易耗品</v>
      </c>
      <c r="C499" s="321">
        <f t="shared" si="64"/>
        <v>0</v>
      </c>
      <c r="D499" s="11" t="b">
        <f t="shared" si="63"/>
        <v>0</v>
      </c>
      <c r="E499" s="311"/>
      <c r="H499" s="11" t="b">
        <f t="shared" si="62"/>
        <v>0</v>
      </c>
      <c r="I499" s="11" t="s">
        <v>2054</v>
      </c>
      <c r="K499" s="11" t="b">
        <v>1</v>
      </c>
    </row>
    <row r="500" spans="1:11">
      <c r="A500" s="11" t="s">
        <v>2048</v>
      </c>
      <c r="B500" s="334" t="str">
        <f>报表附注!E909</f>
        <v>包装物</v>
      </c>
      <c r="C500" s="321">
        <f t="shared" si="64"/>
        <v>0</v>
      </c>
      <c r="D500" s="11" t="b">
        <f t="shared" si="63"/>
        <v>0</v>
      </c>
      <c r="E500" s="311"/>
      <c r="H500" s="11" t="b">
        <f t="shared" si="62"/>
        <v>0</v>
      </c>
      <c r="I500" s="11" t="s">
        <v>2055</v>
      </c>
      <c r="K500" s="11" t="b">
        <v>1</v>
      </c>
    </row>
    <row r="501" spans="1:11">
      <c r="A501" s="11" t="s">
        <v>597</v>
      </c>
      <c r="B501" s="334" t="str">
        <f>报表附注!E910</f>
        <v>委托加工物资</v>
      </c>
      <c r="C501" s="321">
        <f t="shared" si="64"/>
        <v>0</v>
      </c>
      <c r="D501" s="11" t="b">
        <f t="shared" si="63"/>
        <v>1</v>
      </c>
      <c r="E501" s="311"/>
      <c r="H501" s="11" t="b">
        <f t="shared" si="62"/>
        <v>0</v>
      </c>
      <c r="I501" s="11" t="s">
        <v>2056</v>
      </c>
      <c r="K501" s="11" t="b">
        <v>1</v>
      </c>
    </row>
    <row r="502" spans="1:11">
      <c r="A502" s="11" t="s">
        <v>2049</v>
      </c>
      <c r="B502" s="334" t="str">
        <f>报表附注!E911</f>
        <v>发出商品</v>
      </c>
      <c r="C502" s="321">
        <f t="shared" si="64"/>
        <v>0</v>
      </c>
      <c r="D502" s="11" t="b">
        <f t="shared" si="63"/>
        <v>0</v>
      </c>
      <c r="E502" s="311"/>
      <c r="H502" s="11" t="b">
        <f t="shared" si="62"/>
        <v>0</v>
      </c>
      <c r="I502" s="11" t="s">
        <v>2057</v>
      </c>
      <c r="K502" s="11" t="b">
        <v>1</v>
      </c>
    </row>
    <row r="503" spans="1:11">
      <c r="A503" s="11" t="s">
        <v>2050</v>
      </c>
      <c r="B503" s="334" t="str">
        <f>报表附注!E912</f>
        <v>增加项目1-工程施工</v>
      </c>
      <c r="C503" s="321">
        <f t="shared" si="64"/>
        <v>0</v>
      </c>
      <c r="D503" s="11" t="b">
        <f t="shared" si="63"/>
        <v>0</v>
      </c>
      <c r="E503" s="311"/>
      <c r="H503" s="11" t="b">
        <f t="shared" si="62"/>
        <v>0</v>
      </c>
      <c r="I503" s="11" t="s">
        <v>2021</v>
      </c>
      <c r="K503" s="11" t="b">
        <v>1</v>
      </c>
    </row>
    <row r="504" spans="1:11">
      <c r="A504" s="11" t="s">
        <v>2051</v>
      </c>
      <c r="B504" s="334" t="str">
        <f>报表附注!E913</f>
        <v>增加项目2-</v>
      </c>
      <c r="C504" s="321">
        <f t="shared" si="64"/>
        <v>0</v>
      </c>
      <c r="D504" s="11" t="b">
        <f t="shared" si="63"/>
        <v>1</v>
      </c>
      <c r="E504" s="311"/>
      <c r="H504" s="11" t="b">
        <f t="shared" si="62"/>
        <v>0</v>
      </c>
      <c r="I504" s="11" t="s">
        <v>2068</v>
      </c>
      <c r="K504" s="11" t="b">
        <v>1</v>
      </c>
    </row>
    <row r="505" spans="1:11">
      <c r="A505" s="11" t="s">
        <v>2052</v>
      </c>
      <c r="B505" s="334" t="str">
        <f>报表附注!E914</f>
        <v>增加项目3-</v>
      </c>
      <c r="C505" s="321">
        <f t="shared" si="64"/>
        <v>0</v>
      </c>
      <c r="D505" s="11" t="b">
        <f t="shared" si="63"/>
        <v>1</v>
      </c>
      <c r="E505" s="311"/>
      <c r="H505" s="11" t="b">
        <f t="shared" si="62"/>
        <v>0</v>
      </c>
      <c r="I505" s="11" t="s">
        <v>589</v>
      </c>
      <c r="K505" s="11" t="b">
        <v>1</v>
      </c>
    </row>
    <row r="506" spans="1:11">
      <c r="A506" s="11" t="s">
        <v>2053</v>
      </c>
      <c r="B506" s="334" t="str">
        <f>报表附注!E915</f>
        <v>增加项目4-</v>
      </c>
      <c r="C506" s="321">
        <f t="shared" si="64"/>
        <v>0</v>
      </c>
      <c r="D506" s="11" t="b">
        <f t="shared" si="63"/>
        <v>1</v>
      </c>
      <c r="E506" s="311"/>
      <c r="H506" s="11" t="b">
        <f t="shared" si="62"/>
        <v>0</v>
      </c>
      <c r="I506" s="11" t="s">
        <v>591</v>
      </c>
      <c r="K506" s="11" t="b">
        <v>0</v>
      </c>
    </row>
    <row r="507" spans="1:11">
      <c r="A507" s="11" t="s">
        <v>2054</v>
      </c>
      <c r="B507" s="334" t="str">
        <f>报表附注!E916</f>
        <v>增加项目5-</v>
      </c>
      <c r="C507" s="321">
        <f t="shared" si="64"/>
        <v>0</v>
      </c>
      <c r="D507" s="11" t="b">
        <f t="shared" si="63"/>
        <v>1</v>
      </c>
      <c r="E507" s="311"/>
      <c r="H507" s="11" t="b">
        <f t="shared" si="62"/>
        <v>0</v>
      </c>
      <c r="I507" s="11" t="s">
        <v>3132</v>
      </c>
      <c r="K507" s="11" t="b">
        <v>0</v>
      </c>
    </row>
    <row r="508" spans="1:11">
      <c r="A508" s="11" t="s">
        <v>2055</v>
      </c>
      <c r="B508" s="334" t="str">
        <f>报表附注!E917</f>
        <v>增加项目6-</v>
      </c>
      <c r="C508" s="321">
        <f t="shared" si="64"/>
        <v>0</v>
      </c>
      <c r="D508" s="11" t="b">
        <f t="shared" si="63"/>
        <v>1</v>
      </c>
      <c r="E508" s="311"/>
      <c r="H508" s="11" t="b">
        <f t="shared" si="62"/>
        <v>0</v>
      </c>
      <c r="I508" s="11" t="s">
        <v>2048</v>
      </c>
      <c r="K508" s="11" t="b">
        <v>0</v>
      </c>
    </row>
    <row r="509" spans="1:11">
      <c r="A509" s="11" t="s">
        <v>2056</v>
      </c>
      <c r="B509" s="334" t="str">
        <f>报表附注!E918</f>
        <v>增加项目7-</v>
      </c>
      <c r="C509" s="321">
        <f t="shared" si="64"/>
        <v>0</v>
      </c>
      <c r="D509" s="11" t="b">
        <f t="shared" si="63"/>
        <v>1</v>
      </c>
      <c r="E509" s="311"/>
      <c r="H509" s="11" t="b">
        <f t="shared" si="62"/>
        <v>0</v>
      </c>
      <c r="I509" s="11" t="s">
        <v>3133</v>
      </c>
      <c r="K509" s="11" t="b">
        <v>0</v>
      </c>
    </row>
    <row r="510" spans="1:11">
      <c r="A510" s="11" t="s">
        <v>2057</v>
      </c>
      <c r="B510" s="334" t="str">
        <f>报表附注!E919</f>
        <v>增加项目8-</v>
      </c>
      <c r="C510" s="321">
        <f t="shared" si="64"/>
        <v>0</v>
      </c>
      <c r="D510" s="11" t="b">
        <f t="shared" si="63"/>
        <v>1</v>
      </c>
      <c r="E510" s="311"/>
      <c r="H510" s="11" t="b">
        <f t="shared" si="62"/>
        <v>0</v>
      </c>
      <c r="I510" s="11" t="s">
        <v>597</v>
      </c>
      <c r="K510" s="11" t="b">
        <v>1</v>
      </c>
    </row>
    <row r="511" spans="1:11">
      <c r="A511" s="11" t="s">
        <v>2021</v>
      </c>
      <c r="B511" s="320" t="str">
        <f>报表附注!E920</f>
        <v>合计</v>
      </c>
      <c r="C511" s="321">
        <f t="shared" si="64"/>
        <v>0</v>
      </c>
      <c r="D511" s="11" t="b">
        <f t="shared" si="63"/>
        <v>1</v>
      </c>
      <c r="E511" s="311"/>
      <c r="H511" s="11" t="b">
        <f t="shared" si="62"/>
        <v>0</v>
      </c>
      <c r="I511" s="11" t="s">
        <v>595</v>
      </c>
      <c r="K511" s="11" t="b">
        <v>0</v>
      </c>
    </row>
    <row r="512" spans="1:11">
      <c r="A512" s="11" t="s">
        <v>2068</v>
      </c>
      <c r="B512" s="347" t="s">
        <v>2069</v>
      </c>
      <c r="D512" s="11" t="b">
        <f t="shared" si="63"/>
        <v>1</v>
      </c>
      <c r="E512" s="326"/>
      <c r="H512" s="11" t="b">
        <f t="shared" si="62"/>
        <v>0</v>
      </c>
      <c r="I512" s="11" t="s">
        <v>5705</v>
      </c>
      <c r="K512" s="11" t="b">
        <v>1</v>
      </c>
    </row>
    <row r="513" spans="1:11">
      <c r="A513" s="11" t="s">
        <v>589</v>
      </c>
      <c r="B513" s="310" t="str">
        <f>报表附注!E905</f>
        <v>原材料</v>
      </c>
      <c r="C513" s="321">
        <f t="shared" ref="C513:C535" si="66">J505</f>
        <v>0</v>
      </c>
      <c r="D513" s="11" t="b">
        <f t="shared" si="63"/>
        <v>1</v>
      </c>
      <c r="E513" s="311"/>
      <c r="H513" s="11" t="b">
        <f t="shared" si="62"/>
        <v>0</v>
      </c>
      <c r="I513" s="11" t="s">
        <v>2051</v>
      </c>
      <c r="K513" s="11" t="b">
        <v>1</v>
      </c>
    </row>
    <row r="514" spans="1:11">
      <c r="A514" s="11" t="s">
        <v>2047</v>
      </c>
      <c r="B514" s="310" t="str">
        <f>报表附注!E906</f>
        <v>在产品</v>
      </c>
      <c r="C514" s="321">
        <f t="shared" si="66"/>
        <v>0</v>
      </c>
      <c r="D514" s="11" t="b">
        <f t="shared" si="63"/>
        <v>0</v>
      </c>
      <c r="E514" s="311"/>
      <c r="H514" s="11" t="b">
        <f t="shared" si="62"/>
        <v>0</v>
      </c>
      <c r="I514" s="11" t="s">
        <v>2052</v>
      </c>
      <c r="K514" s="11" t="b">
        <v>1</v>
      </c>
    </row>
    <row r="515" spans="1:11">
      <c r="A515" s="11" t="s">
        <v>593</v>
      </c>
      <c r="B515" s="334" t="str">
        <f>报表附注!E907</f>
        <v>产成品</v>
      </c>
      <c r="C515" s="321">
        <f t="shared" si="66"/>
        <v>0</v>
      </c>
      <c r="D515" s="11" t="b">
        <f t="shared" si="63"/>
        <v>0</v>
      </c>
      <c r="E515" s="311"/>
      <c r="H515" s="11" t="b">
        <f t="shared" si="62"/>
        <v>0</v>
      </c>
      <c r="I515" s="11" t="s">
        <v>2053</v>
      </c>
      <c r="K515" s="11" t="b">
        <v>1</v>
      </c>
    </row>
    <row r="516" spans="1:11">
      <c r="A516" s="11" t="s">
        <v>587</v>
      </c>
      <c r="B516" s="334" t="str">
        <f>报表附注!E908</f>
        <v>低值易耗品</v>
      </c>
      <c r="C516" s="321">
        <f t="shared" si="66"/>
        <v>0</v>
      </c>
      <c r="D516" s="11" t="b">
        <f t="shared" si="63"/>
        <v>0</v>
      </c>
      <c r="E516" s="311"/>
      <c r="H516" s="11" t="b">
        <f t="shared" ref="H516:H579" si="67">I516=B516</f>
        <v>0</v>
      </c>
      <c r="I516" s="11" t="s">
        <v>2054</v>
      </c>
      <c r="K516" s="11" t="b">
        <v>1</v>
      </c>
    </row>
    <row r="517" spans="1:11">
      <c r="A517" s="11" t="s">
        <v>2048</v>
      </c>
      <c r="B517" s="334" t="str">
        <f>报表附注!E909</f>
        <v>包装物</v>
      </c>
      <c r="C517" s="321">
        <f t="shared" si="66"/>
        <v>0</v>
      </c>
      <c r="D517" s="11" t="b">
        <f t="shared" si="63"/>
        <v>0</v>
      </c>
      <c r="E517" s="311"/>
      <c r="H517" s="11" t="b">
        <f t="shared" si="67"/>
        <v>0</v>
      </c>
      <c r="I517" s="11" t="s">
        <v>2055</v>
      </c>
      <c r="K517" s="11" t="b">
        <v>1</v>
      </c>
    </row>
    <row r="518" spans="1:11">
      <c r="A518" s="11" t="s">
        <v>597</v>
      </c>
      <c r="B518" s="334" t="str">
        <f>报表附注!E910</f>
        <v>委托加工物资</v>
      </c>
      <c r="C518" s="321">
        <f t="shared" si="66"/>
        <v>0</v>
      </c>
      <c r="D518" s="11" t="b">
        <f t="shared" si="63"/>
        <v>1</v>
      </c>
      <c r="E518" s="311"/>
      <c r="H518" s="11" t="b">
        <f t="shared" si="67"/>
        <v>0</v>
      </c>
      <c r="I518" s="11" t="s">
        <v>2056</v>
      </c>
      <c r="K518" s="11" t="b">
        <v>1</v>
      </c>
    </row>
    <row r="519" spans="1:11">
      <c r="A519" s="11" t="s">
        <v>2049</v>
      </c>
      <c r="B519" s="334" t="str">
        <f>报表附注!E911</f>
        <v>发出商品</v>
      </c>
      <c r="C519" s="321">
        <f t="shared" si="66"/>
        <v>0</v>
      </c>
      <c r="D519" s="11" t="b">
        <f t="shared" si="63"/>
        <v>0</v>
      </c>
      <c r="E519" s="311"/>
      <c r="H519" s="11" t="b">
        <f t="shared" si="67"/>
        <v>0</v>
      </c>
      <c r="I519" s="11" t="s">
        <v>2057</v>
      </c>
      <c r="K519" s="11" t="b">
        <v>1</v>
      </c>
    </row>
    <row r="520" spans="1:11">
      <c r="A520" s="11" t="s">
        <v>2050</v>
      </c>
      <c r="B520" s="334" t="str">
        <f>报表附注!E912</f>
        <v>增加项目1-工程施工</v>
      </c>
      <c r="C520" s="321">
        <f t="shared" si="66"/>
        <v>0</v>
      </c>
      <c r="D520" s="11" t="b">
        <f t="shared" si="63"/>
        <v>0</v>
      </c>
      <c r="E520" s="311"/>
      <c r="H520" s="11" t="b">
        <f t="shared" si="67"/>
        <v>0</v>
      </c>
      <c r="I520" s="11" t="s">
        <v>2021</v>
      </c>
      <c r="K520" s="11" t="b">
        <v>1</v>
      </c>
    </row>
    <row r="521" spans="1:11">
      <c r="A521" s="11" t="s">
        <v>2051</v>
      </c>
      <c r="B521" s="334" t="str">
        <f>报表附注!E913</f>
        <v>增加项目2-</v>
      </c>
      <c r="C521" s="321">
        <f t="shared" si="66"/>
        <v>0</v>
      </c>
      <c r="D521" s="11" t="b">
        <f t="shared" si="63"/>
        <v>1</v>
      </c>
      <c r="E521" s="311"/>
      <c r="H521" s="11" t="b">
        <f t="shared" si="67"/>
        <v>0</v>
      </c>
      <c r="I521" s="11" t="s">
        <v>2070</v>
      </c>
      <c r="K521" s="11" t="b">
        <v>1</v>
      </c>
    </row>
    <row r="522" spans="1:11">
      <c r="A522" s="11" t="s">
        <v>2052</v>
      </c>
      <c r="B522" s="334" t="str">
        <f>报表附注!E914</f>
        <v>增加项目3-</v>
      </c>
      <c r="C522" s="321">
        <f t="shared" si="66"/>
        <v>0</v>
      </c>
      <c r="D522" s="11" t="b">
        <f t="shared" si="63"/>
        <v>1</v>
      </c>
      <c r="E522" s="311"/>
      <c r="H522" s="11" t="b">
        <f t="shared" si="67"/>
        <v>0</v>
      </c>
      <c r="I522" s="11" t="s">
        <v>589</v>
      </c>
      <c r="K522" s="11" t="b">
        <v>1</v>
      </c>
    </row>
    <row r="523" spans="1:11">
      <c r="A523" s="11" t="s">
        <v>2053</v>
      </c>
      <c r="B523" s="334" t="str">
        <f>报表附注!E915</f>
        <v>增加项目4-</v>
      </c>
      <c r="C523" s="321">
        <f t="shared" si="66"/>
        <v>0</v>
      </c>
      <c r="D523" s="11" t="b">
        <f t="shared" si="63"/>
        <v>1</v>
      </c>
      <c r="E523" s="311"/>
      <c r="H523" s="11" t="b">
        <f t="shared" si="67"/>
        <v>0</v>
      </c>
      <c r="I523" s="11" t="s">
        <v>591</v>
      </c>
      <c r="K523" s="11" t="b">
        <v>0</v>
      </c>
    </row>
    <row r="524" spans="1:11">
      <c r="A524" s="11" t="s">
        <v>2054</v>
      </c>
      <c r="B524" s="334" t="str">
        <f>报表附注!E916</f>
        <v>增加项目5-</v>
      </c>
      <c r="C524" s="321">
        <f t="shared" si="66"/>
        <v>0</v>
      </c>
      <c r="D524" s="11" t="b">
        <f t="shared" ref="D524:D587" si="68">EXACT(A524,B524)</f>
        <v>1</v>
      </c>
      <c r="E524" s="311"/>
      <c r="H524" s="11" t="b">
        <f t="shared" si="67"/>
        <v>0</v>
      </c>
      <c r="I524" s="11" t="s">
        <v>3132</v>
      </c>
      <c r="K524" s="11" t="b">
        <v>0</v>
      </c>
    </row>
    <row r="525" spans="1:11">
      <c r="A525" s="11" t="s">
        <v>2055</v>
      </c>
      <c r="B525" s="334" t="str">
        <f>报表附注!E917</f>
        <v>增加项目6-</v>
      </c>
      <c r="C525" s="321">
        <f t="shared" si="66"/>
        <v>0</v>
      </c>
      <c r="D525" s="11" t="b">
        <f t="shared" si="68"/>
        <v>1</v>
      </c>
      <c r="E525" s="311"/>
      <c r="H525" s="11" t="b">
        <f t="shared" si="67"/>
        <v>0</v>
      </c>
      <c r="I525" s="11" t="s">
        <v>2048</v>
      </c>
      <c r="K525" s="11" t="b">
        <v>0</v>
      </c>
    </row>
    <row r="526" spans="1:11">
      <c r="A526" s="11" t="s">
        <v>2056</v>
      </c>
      <c r="B526" s="334" t="str">
        <f>报表附注!E918</f>
        <v>增加项目7-</v>
      </c>
      <c r="C526" s="321">
        <f t="shared" si="66"/>
        <v>0</v>
      </c>
      <c r="D526" s="11" t="b">
        <f t="shared" si="68"/>
        <v>1</v>
      </c>
      <c r="E526" s="311"/>
      <c r="H526" s="11" t="b">
        <f t="shared" si="67"/>
        <v>0</v>
      </c>
      <c r="I526" s="11" t="s">
        <v>3133</v>
      </c>
      <c r="K526" s="11" t="b">
        <v>0</v>
      </c>
    </row>
    <row r="527" spans="1:11">
      <c r="A527" s="11" t="s">
        <v>2057</v>
      </c>
      <c r="B527" s="334" t="str">
        <f>报表附注!E919</f>
        <v>增加项目8-</v>
      </c>
      <c r="C527" s="321">
        <f t="shared" si="66"/>
        <v>0</v>
      </c>
      <c r="D527" s="11" t="b">
        <f t="shared" si="68"/>
        <v>1</v>
      </c>
      <c r="E527" s="311"/>
      <c r="H527" s="11" t="b">
        <f t="shared" si="67"/>
        <v>0</v>
      </c>
      <c r="I527" s="11" t="s">
        <v>597</v>
      </c>
      <c r="K527" s="11" t="b">
        <v>1</v>
      </c>
    </row>
    <row r="528" spans="1:11">
      <c r="A528" s="11" t="s">
        <v>2021</v>
      </c>
      <c r="B528" s="320" t="str">
        <f>报表附注!E920</f>
        <v>合计</v>
      </c>
      <c r="C528" s="321">
        <f t="shared" si="66"/>
        <v>0</v>
      </c>
      <c r="D528" s="11" t="b">
        <f t="shared" si="68"/>
        <v>1</v>
      </c>
      <c r="E528" s="311"/>
      <c r="H528" s="11" t="b">
        <f t="shared" si="67"/>
        <v>0</v>
      </c>
      <c r="I528" s="11" t="s">
        <v>595</v>
      </c>
      <c r="K528" s="11" t="b">
        <v>0</v>
      </c>
    </row>
    <row r="529" spans="1:11">
      <c r="A529" s="11" t="s">
        <v>2070</v>
      </c>
      <c r="B529" s="347" t="s">
        <v>2071</v>
      </c>
      <c r="C529" s="328">
        <f t="shared" si="66"/>
        <v>0</v>
      </c>
      <c r="D529" s="11" t="b">
        <f t="shared" si="68"/>
        <v>1</v>
      </c>
      <c r="E529" s="326"/>
      <c r="H529" s="11" t="b">
        <f t="shared" si="67"/>
        <v>0</v>
      </c>
      <c r="I529" s="11" t="s">
        <v>5705</v>
      </c>
      <c r="K529" s="11" t="b">
        <v>1</v>
      </c>
    </row>
    <row r="530" spans="1:11">
      <c r="A530" s="11" t="s">
        <v>589</v>
      </c>
      <c r="B530" s="310" t="str">
        <f>报表附注!E905</f>
        <v>原材料</v>
      </c>
      <c r="C530" s="321">
        <f t="shared" si="66"/>
        <v>0</v>
      </c>
      <c r="D530" s="11" t="b">
        <f t="shared" si="68"/>
        <v>1</v>
      </c>
      <c r="E530" s="311"/>
      <c r="H530" s="11" t="b">
        <f t="shared" si="67"/>
        <v>0</v>
      </c>
      <c r="I530" s="11" t="s">
        <v>2051</v>
      </c>
      <c r="K530" s="11" t="b">
        <v>1</v>
      </c>
    </row>
    <row r="531" spans="1:11">
      <c r="A531" s="11" t="s">
        <v>2047</v>
      </c>
      <c r="B531" s="310" t="str">
        <f>报表附注!E906</f>
        <v>在产品</v>
      </c>
      <c r="C531" s="321">
        <f t="shared" si="66"/>
        <v>0</v>
      </c>
      <c r="D531" s="11" t="b">
        <f t="shared" si="68"/>
        <v>0</v>
      </c>
      <c r="E531" s="311"/>
      <c r="H531" s="11" t="b">
        <f t="shared" si="67"/>
        <v>0</v>
      </c>
      <c r="I531" s="11" t="s">
        <v>2052</v>
      </c>
      <c r="K531" s="11" t="b">
        <v>1</v>
      </c>
    </row>
    <row r="532" spans="1:11">
      <c r="A532" s="11" t="s">
        <v>593</v>
      </c>
      <c r="B532" s="334" t="str">
        <f>报表附注!E907</f>
        <v>产成品</v>
      </c>
      <c r="C532" s="321">
        <f t="shared" si="66"/>
        <v>0</v>
      </c>
      <c r="D532" s="11" t="b">
        <f t="shared" si="68"/>
        <v>0</v>
      </c>
      <c r="E532" s="311"/>
      <c r="H532" s="11" t="b">
        <f t="shared" si="67"/>
        <v>0</v>
      </c>
      <c r="I532" s="11" t="s">
        <v>2053</v>
      </c>
      <c r="K532" s="11" t="b">
        <v>1</v>
      </c>
    </row>
    <row r="533" spans="1:11">
      <c r="A533" s="11" t="s">
        <v>587</v>
      </c>
      <c r="B533" s="334" t="str">
        <f>报表附注!E908</f>
        <v>低值易耗品</v>
      </c>
      <c r="C533" s="321">
        <f t="shared" si="66"/>
        <v>0</v>
      </c>
      <c r="D533" s="11" t="b">
        <f t="shared" si="68"/>
        <v>0</v>
      </c>
      <c r="E533" s="311"/>
      <c r="H533" s="11" t="b">
        <f t="shared" si="67"/>
        <v>0</v>
      </c>
      <c r="I533" s="11" t="s">
        <v>2054</v>
      </c>
      <c r="K533" s="11" t="b">
        <v>1</v>
      </c>
    </row>
    <row r="534" spans="1:11">
      <c r="A534" s="11" t="s">
        <v>2048</v>
      </c>
      <c r="B534" s="334" t="str">
        <f>报表附注!E909</f>
        <v>包装物</v>
      </c>
      <c r="C534" s="321">
        <f t="shared" si="66"/>
        <v>0</v>
      </c>
      <c r="D534" s="11" t="b">
        <f t="shared" si="68"/>
        <v>0</v>
      </c>
      <c r="E534" s="311"/>
      <c r="H534" s="11" t="b">
        <f t="shared" si="67"/>
        <v>0</v>
      </c>
      <c r="I534" s="11" t="s">
        <v>2055</v>
      </c>
      <c r="K534" s="11" t="b">
        <v>1</v>
      </c>
    </row>
    <row r="535" spans="1:11">
      <c r="A535" s="11" t="s">
        <v>597</v>
      </c>
      <c r="B535" s="334" t="str">
        <f>报表附注!E910</f>
        <v>委托加工物资</v>
      </c>
      <c r="C535" s="321">
        <f t="shared" si="66"/>
        <v>0</v>
      </c>
      <c r="D535" s="11" t="b">
        <f t="shared" si="68"/>
        <v>1</v>
      </c>
      <c r="E535" s="311"/>
      <c r="H535" s="11" t="b">
        <f t="shared" si="67"/>
        <v>0</v>
      </c>
      <c r="I535" s="11" t="s">
        <v>2056</v>
      </c>
      <c r="K535" s="11" t="b">
        <v>1</v>
      </c>
    </row>
    <row r="536" spans="1:11">
      <c r="A536" s="11" t="s">
        <v>2049</v>
      </c>
      <c r="B536" s="334" t="str">
        <f>报表附注!E911</f>
        <v>发出商品</v>
      </c>
      <c r="C536" s="321">
        <f t="shared" ref="C536:C545" si="69">J528</f>
        <v>0</v>
      </c>
      <c r="D536" s="11" t="b">
        <f t="shared" si="68"/>
        <v>0</v>
      </c>
      <c r="E536" s="311"/>
      <c r="H536" s="11" t="b">
        <f t="shared" si="67"/>
        <v>0</v>
      </c>
      <c r="I536" s="11" t="s">
        <v>2057</v>
      </c>
      <c r="K536" s="11" t="b">
        <v>1</v>
      </c>
    </row>
    <row r="537" spans="1:11">
      <c r="A537" s="11" t="s">
        <v>2050</v>
      </c>
      <c r="B537" s="334" t="str">
        <f>报表附注!E912</f>
        <v>增加项目1-工程施工</v>
      </c>
      <c r="C537" s="321">
        <f t="shared" si="69"/>
        <v>0</v>
      </c>
      <c r="D537" s="11" t="b">
        <f t="shared" si="68"/>
        <v>0</v>
      </c>
      <c r="E537" s="311"/>
      <c r="H537" s="11" t="b">
        <f t="shared" si="67"/>
        <v>0</v>
      </c>
      <c r="I537" s="11" t="s">
        <v>2021</v>
      </c>
      <c r="K537" s="11" t="b">
        <v>1</v>
      </c>
    </row>
    <row r="538" spans="1:11">
      <c r="A538" s="11" t="s">
        <v>2051</v>
      </c>
      <c r="B538" s="334" t="str">
        <f>报表附注!E913</f>
        <v>增加项目2-</v>
      </c>
      <c r="C538" s="321">
        <f t="shared" si="69"/>
        <v>0</v>
      </c>
      <c r="D538" s="11" t="b">
        <f t="shared" si="68"/>
        <v>1</v>
      </c>
      <c r="E538" s="311"/>
      <c r="H538" s="11" t="b">
        <f t="shared" si="67"/>
        <v>0</v>
      </c>
      <c r="K538" s="11" t="b">
        <v>1</v>
      </c>
    </row>
    <row r="539" spans="1:11">
      <c r="A539" s="11" t="s">
        <v>2052</v>
      </c>
      <c r="B539" s="334" t="str">
        <f>报表附注!E914</f>
        <v>增加项目3-</v>
      </c>
      <c r="C539" s="321">
        <f t="shared" si="69"/>
        <v>0</v>
      </c>
      <c r="D539" s="11" t="b">
        <f t="shared" si="68"/>
        <v>1</v>
      </c>
      <c r="E539" s="311"/>
      <c r="H539" s="11" t="b">
        <f t="shared" si="67"/>
        <v>0</v>
      </c>
      <c r="I539" s="11" t="s">
        <v>2072</v>
      </c>
      <c r="K539" s="11" t="b">
        <v>1</v>
      </c>
    </row>
    <row r="540" spans="1:11">
      <c r="A540" s="11" t="s">
        <v>2053</v>
      </c>
      <c r="B540" s="334" t="str">
        <f>报表附注!E915</f>
        <v>增加项目4-</v>
      </c>
      <c r="C540" s="321">
        <f t="shared" si="69"/>
        <v>0</v>
      </c>
      <c r="D540" s="11" t="b">
        <f t="shared" si="68"/>
        <v>1</v>
      </c>
      <c r="E540" s="311"/>
      <c r="H540" s="11" t="b">
        <f t="shared" si="67"/>
        <v>0</v>
      </c>
      <c r="K540" s="11" t="b">
        <v>1</v>
      </c>
    </row>
    <row r="541" spans="1:11">
      <c r="A541" s="11" t="s">
        <v>2054</v>
      </c>
      <c r="B541" s="334" t="str">
        <f>报表附注!E916</f>
        <v>增加项目5-</v>
      </c>
      <c r="C541" s="321">
        <f t="shared" si="69"/>
        <v>0</v>
      </c>
      <c r="D541" s="11" t="b">
        <f t="shared" si="68"/>
        <v>1</v>
      </c>
      <c r="E541" s="311"/>
      <c r="H541" s="11" t="b">
        <f t="shared" si="67"/>
        <v>0</v>
      </c>
      <c r="I541" s="11" t="s">
        <v>2073</v>
      </c>
      <c r="K541" s="11" t="b">
        <v>1</v>
      </c>
    </row>
    <row r="542" spans="1:11">
      <c r="A542" s="11" t="s">
        <v>2055</v>
      </c>
      <c r="B542" s="334" t="str">
        <f>报表附注!E917</f>
        <v>增加项目6-</v>
      </c>
      <c r="C542" s="321">
        <f t="shared" si="69"/>
        <v>0</v>
      </c>
      <c r="D542" s="11" t="b">
        <f t="shared" si="68"/>
        <v>1</v>
      </c>
      <c r="E542" s="311"/>
      <c r="H542" s="11" t="b">
        <f t="shared" si="67"/>
        <v>0</v>
      </c>
      <c r="I542" s="11" t="s">
        <v>2020</v>
      </c>
      <c r="K542" s="11" t="b">
        <v>1</v>
      </c>
    </row>
    <row r="543" spans="1:11">
      <c r="A543" s="11" t="s">
        <v>2056</v>
      </c>
      <c r="B543" s="334" t="str">
        <f>报表附注!E918</f>
        <v>增加项目7-</v>
      </c>
      <c r="C543" s="321">
        <f t="shared" si="69"/>
        <v>0</v>
      </c>
      <c r="D543" s="11" t="b">
        <f t="shared" si="68"/>
        <v>1</v>
      </c>
      <c r="E543" s="311"/>
      <c r="H543" s="11" t="b">
        <f t="shared" si="67"/>
        <v>0</v>
      </c>
      <c r="I543" s="11" t="s">
        <v>2074</v>
      </c>
      <c r="K543" s="11" t="b">
        <v>1</v>
      </c>
    </row>
    <row r="544" spans="1:11">
      <c r="A544" s="11" t="s">
        <v>2057</v>
      </c>
      <c r="B544" s="334" t="str">
        <f>报表附注!E919</f>
        <v>增加项目8-</v>
      </c>
      <c r="C544" s="321">
        <f t="shared" si="69"/>
        <v>0</v>
      </c>
      <c r="D544" s="11" t="b">
        <f t="shared" si="68"/>
        <v>1</v>
      </c>
      <c r="E544" s="311"/>
      <c r="H544" s="11" t="b">
        <f t="shared" si="67"/>
        <v>0</v>
      </c>
      <c r="I544" s="11" t="s">
        <v>636</v>
      </c>
      <c r="K544" s="11" t="b">
        <v>1</v>
      </c>
    </row>
    <row r="545" spans="1:11">
      <c r="A545" s="11" t="s">
        <v>2021</v>
      </c>
      <c r="B545" s="320" t="str">
        <f>报表附注!E920</f>
        <v>合计</v>
      </c>
      <c r="C545" s="321">
        <f t="shared" si="69"/>
        <v>0</v>
      </c>
      <c r="D545" s="11" t="b">
        <f t="shared" si="68"/>
        <v>1</v>
      </c>
      <c r="E545" s="311"/>
      <c r="H545" s="11" t="b">
        <f t="shared" si="67"/>
        <v>0</v>
      </c>
      <c r="I545" s="11" t="s">
        <v>280</v>
      </c>
      <c r="K545" s="11" t="b">
        <v>1</v>
      </c>
    </row>
    <row r="546" spans="4:11">
      <c r="D546" s="11" t="b">
        <f t="shared" si="68"/>
        <v>1</v>
      </c>
      <c r="H546" s="11" t="b">
        <f t="shared" si="67"/>
        <v>0</v>
      </c>
      <c r="I546" s="11" t="s">
        <v>2021</v>
      </c>
      <c r="K546" s="11" t="b">
        <v>1</v>
      </c>
    </row>
    <row r="547" spans="1:11">
      <c r="A547" s="11" t="s">
        <v>2072</v>
      </c>
      <c r="B547" s="331" t="s">
        <v>2072</v>
      </c>
      <c r="D547" s="11" t="b">
        <f t="shared" si="68"/>
        <v>1</v>
      </c>
      <c r="H547" s="11" t="b">
        <f t="shared" si="67"/>
        <v>0</v>
      </c>
      <c r="I547" s="11" t="s">
        <v>316</v>
      </c>
      <c r="K547" s="11" t="b">
        <v>1</v>
      </c>
    </row>
    <row r="548" spans="4:11">
      <c r="D548" s="11" t="b">
        <f t="shared" si="68"/>
        <v>1</v>
      </c>
      <c r="H548" s="11" t="b">
        <f t="shared" si="67"/>
        <v>0</v>
      </c>
      <c r="I548" s="11" t="s">
        <v>2074</v>
      </c>
      <c r="K548" s="11" t="b">
        <v>1</v>
      </c>
    </row>
    <row r="549" spans="1:11">
      <c r="A549" s="11" t="s">
        <v>2073</v>
      </c>
      <c r="B549" s="329" t="s">
        <v>2073</v>
      </c>
      <c r="D549" s="11" t="b">
        <f t="shared" si="68"/>
        <v>1</v>
      </c>
      <c r="H549" s="11" t="b">
        <f t="shared" si="67"/>
        <v>0</v>
      </c>
      <c r="I549" s="11" t="s">
        <v>636</v>
      </c>
      <c r="K549" s="11" t="b">
        <v>1</v>
      </c>
    </row>
    <row r="550" spans="1:11">
      <c r="A550" s="11" t="s">
        <v>2020</v>
      </c>
      <c r="B550" s="330" t="s">
        <v>2020</v>
      </c>
      <c r="D550" s="11" t="b">
        <f t="shared" si="68"/>
        <v>1</v>
      </c>
      <c r="H550" s="11" t="b">
        <f t="shared" si="67"/>
        <v>0</v>
      </c>
      <c r="I550" s="11" t="s">
        <v>280</v>
      </c>
      <c r="K550" s="11" t="b">
        <v>1</v>
      </c>
    </row>
    <row r="551" spans="1:11">
      <c r="A551" s="11" t="s">
        <v>2074</v>
      </c>
      <c r="B551" s="310" t="str">
        <f>报表附注!E963</f>
        <v>可供出售债权投资</v>
      </c>
      <c r="C551" s="321">
        <f t="shared" ref="C551:C559" si="70">J543</f>
        <v>0</v>
      </c>
      <c r="D551" s="11" t="b">
        <f t="shared" si="68"/>
        <v>1</v>
      </c>
      <c r="E551" s="321">
        <f>C556</f>
        <v>0</v>
      </c>
      <c r="H551" s="11" t="b">
        <f t="shared" si="67"/>
        <v>0</v>
      </c>
      <c r="I551" s="11" t="s">
        <v>2021</v>
      </c>
      <c r="K551" s="11" t="b">
        <v>1</v>
      </c>
    </row>
    <row r="552" spans="1:11">
      <c r="A552" s="11" t="s">
        <v>636</v>
      </c>
      <c r="B552" s="310" t="str">
        <f>报表附注!E964</f>
        <v>可供出售权益工具</v>
      </c>
      <c r="C552" s="321">
        <f t="shared" si="70"/>
        <v>0</v>
      </c>
      <c r="D552" s="11" t="b">
        <f t="shared" si="68"/>
        <v>1</v>
      </c>
      <c r="E552" s="321">
        <f t="shared" ref="E552:E554" si="71">C557</f>
        <v>0</v>
      </c>
      <c r="H552" s="11" t="b">
        <f t="shared" si="67"/>
        <v>0</v>
      </c>
      <c r="K552" s="11" t="b">
        <v>1</v>
      </c>
    </row>
    <row r="553" spans="1:11">
      <c r="A553" s="11" t="s">
        <v>280</v>
      </c>
      <c r="B553" s="310" t="str">
        <f>报表附注!E965</f>
        <v>其他</v>
      </c>
      <c r="C553" s="321">
        <f t="shared" si="70"/>
        <v>0</v>
      </c>
      <c r="D553" s="11" t="b">
        <f t="shared" si="68"/>
        <v>1</v>
      </c>
      <c r="E553" s="321">
        <f t="shared" si="71"/>
        <v>0</v>
      </c>
      <c r="H553" s="11" t="b">
        <f t="shared" si="67"/>
        <v>0</v>
      </c>
      <c r="I553" s="11" t="s">
        <v>2075</v>
      </c>
      <c r="K553" s="11" t="b">
        <v>1</v>
      </c>
    </row>
    <row r="554" spans="1:11">
      <c r="A554" s="11" t="s">
        <v>2021</v>
      </c>
      <c r="B554" s="320" t="str">
        <f>报表附注!E966</f>
        <v>合计</v>
      </c>
      <c r="C554" s="321">
        <f t="shared" si="70"/>
        <v>0</v>
      </c>
      <c r="D554" s="11" t="b">
        <f t="shared" si="68"/>
        <v>1</v>
      </c>
      <c r="E554" s="321">
        <f t="shared" si="71"/>
        <v>0</v>
      </c>
      <c r="H554" s="11" t="b">
        <f t="shared" si="67"/>
        <v>0</v>
      </c>
      <c r="K554" s="11" t="b">
        <v>1</v>
      </c>
    </row>
    <row r="555" spans="1:11">
      <c r="A555" s="11" t="s">
        <v>316</v>
      </c>
      <c r="B555" s="330" t="s">
        <v>316</v>
      </c>
      <c r="C555" s="328">
        <f t="shared" si="70"/>
        <v>0</v>
      </c>
      <c r="D555" s="11" t="b">
        <f t="shared" si="68"/>
        <v>1</v>
      </c>
      <c r="H555" s="11" t="b">
        <f t="shared" si="67"/>
        <v>0</v>
      </c>
      <c r="I555" s="11" t="s">
        <v>2076</v>
      </c>
      <c r="K555" s="11" t="b">
        <v>1</v>
      </c>
    </row>
    <row r="556" spans="1:11">
      <c r="A556" s="11" t="s">
        <v>2074</v>
      </c>
      <c r="B556" s="310" t="str">
        <f>报表附注!E963</f>
        <v>可供出售债权投资</v>
      </c>
      <c r="C556" s="321">
        <f t="shared" si="70"/>
        <v>0</v>
      </c>
      <c r="D556" s="11" t="b">
        <f t="shared" si="68"/>
        <v>1</v>
      </c>
      <c r="E556" s="311"/>
      <c r="H556" s="11" t="b">
        <f t="shared" si="67"/>
        <v>0</v>
      </c>
      <c r="I556" s="11" t="s">
        <v>2020</v>
      </c>
      <c r="K556" s="11" t="b">
        <v>1</v>
      </c>
    </row>
    <row r="557" spans="1:11">
      <c r="A557" s="11" t="s">
        <v>636</v>
      </c>
      <c r="B557" s="310" t="str">
        <f>报表附注!E964</f>
        <v>可供出售权益工具</v>
      </c>
      <c r="C557" s="321">
        <f t="shared" si="70"/>
        <v>0</v>
      </c>
      <c r="D557" s="11" t="b">
        <f t="shared" si="68"/>
        <v>1</v>
      </c>
      <c r="E557" s="311"/>
      <c r="H557" s="11" t="b">
        <f t="shared" si="67"/>
        <v>0</v>
      </c>
      <c r="I557" s="11" t="s">
        <v>659</v>
      </c>
      <c r="K557" s="11" t="b">
        <v>1</v>
      </c>
    </row>
    <row r="558" spans="1:11">
      <c r="A558" s="11" t="s">
        <v>280</v>
      </c>
      <c r="B558" s="310" t="str">
        <f>报表附注!E965</f>
        <v>其他</v>
      </c>
      <c r="C558" s="321">
        <f t="shared" si="70"/>
        <v>0</v>
      </c>
      <c r="D558" s="11" t="b">
        <f t="shared" si="68"/>
        <v>1</v>
      </c>
      <c r="E558" s="311"/>
      <c r="H558" s="11" t="b">
        <f t="shared" si="67"/>
        <v>0</v>
      </c>
      <c r="I558" s="11" t="s">
        <v>661</v>
      </c>
      <c r="K558" s="11" t="b">
        <v>1</v>
      </c>
    </row>
    <row r="559" spans="1:11">
      <c r="A559" s="11" t="s">
        <v>2021</v>
      </c>
      <c r="B559" s="320" t="str">
        <f>报表附注!E966</f>
        <v>合计</v>
      </c>
      <c r="C559" s="321">
        <f t="shared" si="70"/>
        <v>0</v>
      </c>
      <c r="D559" s="11" t="b">
        <f t="shared" si="68"/>
        <v>1</v>
      </c>
      <c r="E559" s="311"/>
      <c r="H559" s="11" t="b">
        <f t="shared" si="67"/>
        <v>0</v>
      </c>
      <c r="I559" s="11" t="s">
        <v>663</v>
      </c>
      <c r="K559" s="11" t="b">
        <v>1</v>
      </c>
    </row>
    <row r="560" spans="4:11">
      <c r="D560" s="11" t="b">
        <f t="shared" si="68"/>
        <v>1</v>
      </c>
      <c r="H560" s="11" t="b">
        <f t="shared" si="67"/>
        <v>0</v>
      </c>
      <c r="I560" s="11" t="s">
        <v>280</v>
      </c>
      <c r="K560" s="11" t="b">
        <v>1</v>
      </c>
    </row>
    <row r="561" spans="1:11">
      <c r="A561" s="11" t="s">
        <v>2075</v>
      </c>
      <c r="B561" s="331" t="s">
        <v>2075</v>
      </c>
      <c r="D561" s="11" t="b">
        <f t="shared" si="68"/>
        <v>1</v>
      </c>
      <c r="H561" s="11" t="b">
        <f t="shared" si="67"/>
        <v>0</v>
      </c>
      <c r="I561" s="11" t="s">
        <v>2021</v>
      </c>
      <c r="K561" s="11" t="b">
        <v>1</v>
      </c>
    </row>
    <row r="562" spans="4:11">
      <c r="D562" s="11" t="b">
        <f t="shared" si="68"/>
        <v>1</v>
      </c>
      <c r="H562" s="11" t="b">
        <f t="shared" si="67"/>
        <v>0</v>
      </c>
      <c r="I562" s="11" t="s">
        <v>316</v>
      </c>
      <c r="K562" s="11" t="b">
        <v>1</v>
      </c>
    </row>
    <row r="563" spans="1:11">
      <c r="A563" s="11" t="s">
        <v>2076</v>
      </c>
      <c r="B563" s="329" t="s">
        <v>2076</v>
      </c>
      <c r="D563" s="11" t="b">
        <f t="shared" si="68"/>
        <v>1</v>
      </c>
      <c r="H563" s="11" t="b">
        <f t="shared" si="67"/>
        <v>0</v>
      </c>
      <c r="I563" s="11" t="s">
        <v>659</v>
      </c>
      <c r="K563" s="11" t="b">
        <v>1</v>
      </c>
    </row>
    <row r="564" spans="1:11">
      <c r="A564" s="11" t="s">
        <v>2020</v>
      </c>
      <c r="B564" s="330" t="s">
        <v>2020</v>
      </c>
      <c r="D564" s="11" t="b">
        <f t="shared" si="68"/>
        <v>1</v>
      </c>
      <c r="H564" s="11" t="b">
        <f t="shared" si="67"/>
        <v>0</v>
      </c>
      <c r="I564" s="11" t="s">
        <v>661</v>
      </c>
      <c r="K564" s="11" t="b">
        <v>1</v>
      </c>
    </row>
    <row r="565" spans="1:11">
      <c r="A565" s="11" t="s">
        <v>659</v>
      </c>
      <c r="B565" s="310" t="str">
        <f>报表附注!E1016</f>
        <v>融资租赁</v>
      </c>
      <c r="C565" s="321">
        <f t="shared" ref="C565:C575" si="72">J557</f>
        <v>0</v>
      </c>
      <c r="D565" s="11" t="b">
        <f t="shared" si="68"/>
        <v>1</v>
      </c>
      <c r="E565" s="321">
        <f>C571</f>
        <v>0</v>
      </c>
      <c r="H565" s="11" t="b">
        <f t="shared" si="67"/>
        <v>0</v>
      </c>
      <c r="I565" s="11" t="s">
        <v>663</v>
      </c>
      <c r="J565" s="323">
        <v>9658781.06</v>
      </c>
      <c r="K565" s="11" t="b">
        <v>1</v>
      </c>
    </row>
    <row r="566" spans="1:11">
      <c r="A566" s="11" t="s">
        <v>661</v>
      </c>
      <c r="B566" s="310" t="str">
        <f>报表附注!E1017</f>
        <v>分期收款销售商品</v>
      </c>
      <c r="C566" s="321">
        <f t="shared" si="72"/>
        <v>0</v>
      </c>
      <c r="D566" s="11" t="b">
        <f t="shared" si="68"/>
        <v>1</v>
      </c>
      <c r="E566" s="321">
        <f t="shared" ref="E566:E569" si="73">C572</f>
        <v>0</v>
      </c>
      <c r="H566" s="11" t="b">
        <f t="shared" si="67"/>
        <v>0</v>
      </c>
      <c r="I566" s="11" t="s">
        <v>280</v>
      </c>
      <c r="K566" s="11" t="b">
        <v>1</v>
      </c>
    </row>
    <row r="567" spans="1:11">
      <c r="A567" s="11" t="s">
        <v>663</v>
      </c>
      <c r="B567" s="310" t="str">
        <f>报表附注!E1018</f>
        <v>分期收款提供劳务</v>
      </c>
      <c r="C567" s="321">
        <f t="shared" si="72"/>
        <v>0</v>
      </c>
      <c r="D567" s="11" t="b">
        <f t="shared" si="68"/>
        <v>1</v>
      </c>
      <c r="E567" s="321">
        <f t="shared" si="73"/>
        <v>9658781.06</v>
      </c>
      <c r="H567" s="11" t="b">
        <f t="shared" si="67"/>
        <v>0</v>
      </c>
      <c r="I567" s="11" t="s">
        <v>2021</v>
      </c>
      <c r="K567" s="11" t="b">
        <v>1</v>
      </c>
    </row>
    <row r="568" spans="1:11">
      <c r="A568" s="11" t="s">
        <v>280</v>
      </c>
      <c r="B568" s="310" t="str">
        <f>报表附注!E1019</f>
        <v>其他</v>
      </c>
      <c r="C568" s="321">
        <f t="shared" si="72"/>
        <v>0</v>
      </c>
      <c r="D568" s="11" t="b">
        <f t="shared" si="68"/>
        <v>1</v>
      </c>
      <c r="E568" s="321">
        <f t="shared" si="73"/>
        <v>0</v>
      </c>
      <c r="H568" s="11" t="b">
        <f t="shared" si="67"/>
        <v>0</v>
      </c>
      <c r="K568" s="11" t="b">
        <v>1</v>
      </c>
    </row>
    <row r="569" spans="1:11">
      <c r="A569" s="11" t="s">
        <v>2021</v>
      </c>
      <c r="B569" s="320" t="str">
        <f>报表附注!E1020</f>
        <v>合计</v>
      </c>
      <c r="C569" s="321">
        <f t="shared" si="72"/>
        <v>0</v>
      </c>
      <c r="D569" s="11" t="b">
        <f t="shared" si="68"/>
        <v>1</v>
      </c>
      <c r="E569" s="321">
        <f t="shared" si="73"/>
        <v>0</v>
      </c>
      <c r="H569" s="11" t="b">
        <f t="shared" si="67"/>
        <v>0</v>
      </c>
      <c r="I569" s="11" t="s">
        <v>2077</v>
      </c>
      <c r="K569" s="11" t="b">
        <v>1</v>
      </c>
    </row>
    <row r="570" spans="1:11">
      <c r="A570" s="11" t="s">
        <v>316</v>
      </c>
      <c r="B570" s="330" t="s">
        <v>316</v>
      </c>
      <c r="C570" s="328">
        <f t="shared" si="72"/>
        <v>0</v>
      </c>
      <c r="D570" s="11" t="b">
        <f t="shared" si="68"/>
        <v>1</v>
      </c>
      <c r="H570" s="11" t="b">
        <f t="shared" si="67"/>
        <v>0</v>
      </c>
      <c r="K570" s="11" t="b">
        <v>1</v>
      </c>
    </row>
    <row r="571" spans="1:11">
      <c r="A571" s="11" t="s">
        <v>659</v>
      </c>
      <c r="B571" s="310" t="str">
        <f>报表附注!E1016</f>
        <v>融资租赁</v>
      </c>
      <c r="C571" s="321">
        <f t="shared" si="72"/>
        <v>0</v>
      </c>
      <c r="D571" s="11" t="b">
        <f t="shared" si="68"/>
        <v>1</v>
      </c>
      <c r="E571" s="311"/>
      <c r="H571" s="11" t="b">
        <f t="shared" si="67"/>
        <v>0</v>
      </c>
      <c r="I571" s="11" t="s">
        <v>2078</v>
      </c>
      <c r="K571" s="11" t="b">
        <v>1</v>
      </c>
    </row>
    <row r="572" spans="1:11">
      <c r="A572" s="11" t="s">
        <v>661</v>
      </c>
      <c r="B572" s="310" t="str">
        <f>报表附注!E1017</f>
        <v>分期收款销售商品</v>
      </c>
      <c r="C572" s="321">
        <f t="shared" si="72"/>
        <v>0</v>
      </c>
      <c r="D572" s="11" t="b">
        <f t="shared" si="68"/>
        <v>1</v>
      </c>
      <c r="E572" s="311"/>
      <c r="H572" s="11" t="b">
        <f t="shared" si="67"/>
        <v>0</v>
      </c>
      <c r="K572" s="11" t="b">
        <v>1</v>
      </c>
    </row>
    <row r="573" spans="1:11">
      <c r="A573" s="11" t="s">
        <v>663</v>
      </c>
      <c r="B573" s="310" t="str">
        <f>报表附注!E1018</f>
        <v>分期收款提供劳务</v>
      </c>
      <c r="C573" s="321">
        <f t="shared" si="72"/>
        <v>9658781.06</v>
      </c>
      <c r="D573" s="11" t="b">
        <f t="shared" si="68"/>
        <v>1</v>
      </c>
      <c r="E573" s="311"/>
      <c r="H573" s="11" t="b">
        <f t="shared" si="67"/>
        <v>0</v>
      </c>
      <c r="I573" s="11" t="s">
        <v>2079</v>
      </c>
      <c r="K573" s="11" t="b">
        <v>1</v>
      </c>
    </row>
    <row r="574" spans="1:11">
      <c r="A574" s="11" t="s">
        <v>280</v>
      </c>
      <c r="B574" s="310" t="str">
        <f>报表附注!E1019</f>
        <v>其他</v>
      </c>
      <c r="C574" s="321">
        <f t="shared" si="72"/>
        <v>0</v>
      </c>
      <c r="D574" s="11" t="b">
        <f t="shared" si="68"/>
        <v>1</v>
      </c>
      <c r="E574" s="311"/>
      <c r="H574" s="11" t="b">
        <f t="shared" si="67"/>
        <v>0</v>
      </c>
      <c r="I574" s="11" t="s">
        <v>2080</v>
      </c>
      <c r="K574" s="11" t="b">
        <v>1</v>
      </c>
    </row>
    <row r="575" spans="1:11">
      <c r="A575" s="11" t="s">
        <v>2021</v>
      </c>
      <c r="B575" s="320" t="str">
        <f>报表附注!E1020</f>
        <v>合计</v>
      </c>
      <c r="C575" s="321">
        <f t="shared" si="72"/>
        <v>0</v>
      </c>
      <c r="D575" s="11" t="b">
        <f t="shared" si="68"/>
        <v>1</v>
      </c>
      <c r="E575" s="311"/>
      <c r="H575" s="11" t="b">
        <f t="shared" si="67"/>
        <v>0</v>
      </c>
      <c r="I575" s="11" t="s">
        <v>2020</v>
      </c>
      <c r="K575" s="11" t="b">
        <v>1</v>
      </c>
    </row>
    <row r="576" spans="4:11">
      <c r="D576" s="11" t="b">
        <f t="shared" si="68"/>
        <v>1</v>
      </c>
      <c r="E576" s="326"/>
      <c r="H576" s="11" t="b">
        <f t="shared" si="67"/>
        <v>0</v>
      </c>
      <c r="I576" s="11" t="s">
        <v>715</v>
      </c>
      <c r="K576" s="11" t="b">
        <v>1</v>
      </c>
    </row>
    <row r="577" spans="1:11">
      <c r="A577" s="11" t="s">
        <v>2077</v>
      </c>
      <c r="B577" s="331" t="s">
        <v>2077</v>
      </c>
      <c r="D577" s="11" t="b">
        <f t="shared" si="68"/>
        <v>1</v>
      </c>
      <c r="H577" s="11" t="b">
        <f t="shared" si="67"/>
        <v>0</v>
      </c>
      <c r="I577" s="11" t="s">
        <v>2081</v>
      </c>
      <c r="K577" s="11" t="b">
        <v>1</v>
      </c>
    </row>
    <row r="578" spans="4:11">
      <c r="D578" s="11" t="b">
        <f t="shared" si="68"/>
        <v>1</v>
      </c>
      <c r="H578" s="11" t="b">
        <f t="shared" si="67"/>
        <v>0</v>
      </c>
      <c r="I578" s="11" t="s">
        <v>2082</v>
      </c>
      <c r="K578" s="11" t="b">
        <v>1</v>
      </c>
    </row>
    <row r="579" spans="1:11">
      <c r="A579" s="11" t="s">
        <v>2078</v>
      </c>
      <c r="B579" s="331" t="s">
        <v>2078</v>
      </c>
      <c r="D579" s="11" t="b">
        <f t="shared" si="68"/>
        <v>1</v>
      </c>
      <c r="H579" s="11" t="b">
        <f t="shared" si="67"/>
        <v>0</v>
      </c>
      <c r="I579" s="11" t="s">
        <v>2083</v>
      </c>
      <c r="K579" s="11" t="b">
        <v>1</v>
      </c>
    </row>
    <row r="580" spans="4:11">
      <c r="D580" s="11" t="b">
        <f t="shared" si="68"/>
        <v>1</v>
      </c>
      <c r="H580" s="11" t="b">
        <f t="shared" ref="H580:H643" si="74">I580=B580</f>
        <v>0</v>
      </c>
      <c r="I580" s="11" t="s">
        <v>2081</v>
      </c>
      <c r="K580" s="11" t="b">
        <v>1</v>
      </c>
    </row>
    <row r="581" spans="1:11">
      <c r="A581" s="11" t="s">
        <v>2079</v>
      </c>
      <c r="B581" s="329" t="s">
        <v>2079</v>
      </c>
      <c r="D581" s="11" t="b">
        <f t="shared" si="68"/>
        <v>1</v>
      </c>
      <c r="H581" s="11" t="b">
        <f t="shared" si="74"/>
        <v>0</v>
      </c>
      <c r="I581" s="11" t="s">
        <v>2082</v>
      </c>
      <c r="K581" s="11" t="b">
        <v>1</v>
      </c>
    </row>
    <row r="582" spans="1:11">
      <c r="A582" s="11" t="s">
        <v>2080</v>
      </c>
      <c r="B582" s="329" t="s">
        <v>2080</v>
      </c>
      <c r="D582" s="11" t="b">
        <f t="shared" si="68"/>
        <v>1</v>
      </c>
      <c r="H582" s="11" t="b">
        <f t="shared" si="74"/>
        <v>0</v>
      </c>
      <c r="I582" s="11" t="s">
        <v>2084</v>
      </c>
      <c r="K582" s="11" t="b">
        <v>1</v>
      </c>
    </row>
    <row r="583" spans="1:11">
      <c r="A583" s="11" t="s">
        <v>2020</v>
      </c>
      <c r="B583" s="333" t="s">
        <v>2020</v>
      </c>
      <c r="D583" s="11" t="b">
        <f t="shared" si="68"/>
        <v>1</v>
      </c>
      <c r="H583" s="11" t="b">
        <f t="shared" si="74"/>
        <v>0</v>
      </c>
      <c r="I583" s="11" t="s">
        <v>2081</v>
      </c>
      <c r="K583" s="11" t="b">
        <v>1</v>
      </c>
    </row>
    <row r="584" spans="1:11">
      <c r="A584" s="11" t="s">
        <v>715</v>
      </c>
      <c r="B584" s="310" t="str">
        <f>报表附注!E1104</f>
        <v>一、原价合计</v>
      </c>
      <c r="C584" s="321">
        <f t="shared" ref="C584:C615" si="75">J576</f>
        <v>0</v>
      </c>
      <c r="D584" s="11" t="b">
        <f t="shared" si="68"/>
        <v>1</v>
      </c>
      <c r="E584" s="321">
        <f>C584+C594-C604</f>
        <v>0</v>
      </c>
      <c r="H584" s="11" t="b">
        <f t="shared" si="74"/>
        <v>0</v>
      </c>
      <c r="I584" s="11" t="s">
        <v>2082</v>
      </c>
      <c r="K584" s="11" t="b">
        <v>1</v>
      </c>
    </row>
    <row r="585" spans="1:11">
      <c r="A585" s="11" t="s">
        <v>2081</v>
      </c>
      <c r="B585" s="310" t="str">
        <f>报表附注!E1105</f>
        <v>1．房屋、建筑物</v>
      </c>
      <c r="C585" s="321">
        <f t="shared" si="75"/>
        <v>0</v>
      </c>
      <c r="D585" s="11" t="b">
        <f t="shared" si="68"/>
        <v>1</v>
      </c>
      <c r="E585" s="321">
        <f t="shared" ref="E585:E592" si="76">C585+C595-C605</f>
        <v>0</v>
      </c>
      <c r="H585" s="11" t="b">
        <f t="shared" si="74"/>
        <v>0</v>
      </c>
      <c r="I585" s="11" t="s">
        <v>672</v>
      </c>
      <c r="K585" s="11" t="b">
        <v>1</v>
      </c>
    </row>
    <row r="586" spans="1:11">
      <c r="A586" s="11" t="s">
        <v>2082</v>
      </c>
      <c r="B586" s="310" t="str">
        <f>报表附注!E1106</f>
        <v>2．土地使用权</v>
      </c>
      <c r="C586" s="321">
        <f t="shared" si="75"/>
        <v>0</v>
      </c>
      <c r="D586" s="11" t="b">
        <f t="shared" si="68"/>
        <v>1</v>
      </c>
      <c r="E586" s="321">
        <f t="shared" si="76"/>
        <v>0</v>
      </c>
      <c r="H586" s="11" t="b">
        <f t="shared" si="74"/>
        <v>0</v>
      </c>
      <c r="I586" s="11" t="s">
        <v>715</v>
      </c>
      <c r="K586" s="11" t="b">
        <v>1</v>
      </c>
    </row>
    <row r="587" spans="1:11">
      <c r="A587" s="11" t="s">
        <v>2083</v>
      </c>
      <c r="B587" s="310" t="str">
        <f>报表附注!E1107</f>
        <v>二、累计折旧或累计摊销合计</v>
      </c>
      <c r="C587" s="321">
        <f t="shared" si="75"/>
        <v>0</v>
      </c>
      <c r="D587" s="11" t="b">
        <f t="shared" si="68"/>
        <v>1</v>
      </c>
      <c r="E587" s="321">
        <f t="shared" si="76"/>
        <v>0</v>
      </c>
      <c r="H587" s="11" t="b">
        <f t="shared" si="74"/>
        <v>0</v>
      </c>
      <c r="I587" s="11" t="s">
        <v>2081</v>
      </c>
      <c r="K587" s="11" t="b">
        <v>1</v>
      </c>
    </row>
    <row r="588" spans="1:11">
      <c r="A588" s="11" t="s">
        <v>2081</v>
      </c>
      <c r="B588" s="310" t="str">
        <f>报表附注!E1108</f>
        <v>1．房屋、建筑物</v>
      </c>
      <c r="C588" s="321">
        <f t="shared" si="75"/>
        <v>0</v>
      </c>
      <c r="D588" s="11" t="b">
        <f t="shared" ref="D588:D651" si="77">EXACT(A588,B588)</f>
        <v>1</v>
      </c>
      <c r="E588" s="321">
        <f t="shared" si="76"/>
        <v>0</v>
      </c>
      <c r="H588" s="11" t="b">
        <f t="shared" si="74"/>
        <v>0</v>
      </c>
      <c r="I588" s="11" t="s">
        <v>2082</v>
      </c>
      <c r="K588" s="11" t="b">
        <v>1</v>
      </c>
    </row>
    <row r="589" spans="1:11">
      <c r="A589" s="11" t="s">
        <v>2082</v>
      </c>
      <c r="B589" s="310" t="str">
        <f>报表附注!E1109</f>
        <v>2．土地使用权</v>
      </c>
      <c r="C589" s="321">
        <f t="shared" si="75"/>
        <v>0</v>
      </c>
      <c r="D589" s="11" t="b">
        <f t="shared" si="77"/>
        <v>1</v>
      </c>
      <c r="E589" s="321">
        <f t="shared" si="76"/>
        <v>0</v>
      </c>
      <c r="H589" s="11" t="b">
        <f t="shared" si="74"/>
        <v>0</v>
      </c>
      <c r="I589" s="11" t="s">
        <v>2083</v>
      </c>
      <c r="K589" s="11" t="b">
        <v>1</v>
      </c>
    </row>
    <row r="590" spans="1:11">
      <c r="A590" s="11" t="s">
        <v>2084</v>
      </c>
      <c r="B590" s="310" t="str">
        <f>报表附注!E1110</f>
        <v>三、投资性房地产减值准备合计</v>
      </c>
      <c r="C590" s="321">
        <f t="shared" si="75"/>
        <v>0</v>
      </c>
      <c r="D590" s="11" t="b">
        <f t="shared" si="77"/>
        <v>1</v>
      </c>
      <c r="E590" s="321">
        <f t="shared" si="76"/>
        <v>0</v>
      </c>
      <c r="H590" s="11" t="b">
        <f t="shared" si="74"/>
        <v>0</v>
      </c>
      <c r="I590" s="11" t="s">
        <v>2081</v>
      </c>
      <c r="K590" s="11" t="b">
        <v>1</v>
      </c>
    </row>
    <row r="591" spans="1:11">
      <c r="A591" s="11" t="s">
        <v>2081</v>
      </c>
      <c r="B591" s="310" t="str">
        <f>报表附注!E1111</f>
        <v>1．房屋、建筑物</v>
      </c>
      <c r="C591" s="321">
        <f t="shared" si="75"/>
        <v>0</v>
      </c>
      <c r="D591" s="11" t="b">
        <f t="shared" si="77"/>
        <v>1</v>
      </c>
      <c r="E591" s="321">
        <f t="shared" si="76"/>
        <v>0</v>
      </c>
      <c r="H591" s="11" t="b">
        <f t="shared" si="74"/>
        <v>0</v>
      </c>
      <c r="I591" s="11" t="s">
        <v>2082</v>
      </c>
      <c r="K591" s="11" t="b">
        <v>1</v>
      </c>
    </row>
    <row r="592" spans="1:11">
      <c r="A592" s="11" t="s">
        <v>2082</v>
      </c>
      <c r="B592" s="310" t="str">
        <f>报表附注!E1112</f>
        <v>2．土地使用权</v>
      </c>
      <c r="C592" s="321">
        <f t="shared" si="75"/>
        <v>0</v>
      </c>
      <c r="D592" s="11" t="b">
        <f t="shared" si="77"/>
        <v>1</v>
      </c>
      <c r="E592" s="321">
        <f t="shared" si="76"/>
        <v>0</v>
      </c>
      <c r="H592" s="11" t="b">
        <f t="shared" si="74"/>
        <v>0</v>
      </c>
      <c r="I592" s="11" t="s">
        <v>2084</v>
      </c>
      <c r="K592" s="11" t="b">
        <v>1</v>
      </c>
    </row>
    <row r="593" spans="1:11">
      <c r="A593" s="11" t="s">
        <v>672</v>
      </c>
      <c r="B593" s="333" t="s">
        <v>672</v>
      </c>
      <c r="C593" s="328">
        <f t="shared" si="75"/>
        <v>0</v>
      </c>
      <c r="D593" s="11" t="b">
        <f t="shared" si="77"/>
        <v>1</v>
      </c>
      <c r="H593" s="11" t="b">
        <f t="shared" si="74"/>
        <v>0</v>
      </c>
      <c r="I593" s="11" t="s">
        <v>2081</v>
      </c>
      <c r="K593" s="11" t="b">
        <v>1</v>
      </c>
    </row>
    <row r="594" spans="1:11">
      <c r="A594" s="11" t="s">
        <v>715</v>
      </c>
      <c r="B594" s="310" t="str">
        <f>报表附注!E1104</f>
        <v>一、原价合计</v>
      </c>
      <c r="C594" s="321">
        <f t="shared" si="75"/>
        <v>0</v>
      </c>
      <c r="D594" s="11" t="b">
        <f t="shared" si="77"/>
        <v>1</v>
      </c>
      <c r="E594" s="311"/>
      <c r="H594" s="11" t="b">
        <f t="shared" si="74"/>
        <v>0</v>
      </c>
      <c r="I594" s="11" t="s">
        <v>2082</v>
      </c>
      <c r="K594" s="11" t="b">
        <v>1</v>
      </c>
    </row>
    <row r="595" spans="1:11">
      <c r="A595" s="11" t="s">
        <v>2081</v>
      </c>
      <c r="B595" s="310" t="str">
        <f>报表附注!E1105</f>
        <v>1．房屋、建筑物</v>
      </c>
      <c r="C595" s="321">
        <f t="shared" si="75"/>
        <v>0</v>
      </c>
      <c r="D595" s="11" t="b">
        <f t="shared" si="77"/>
        <v>1</v>
      </c>
      <c r="E595" s="311"/>
      <c r="H595" s="11" t="b">
        <f t="shared" si="74"/>
        <v>0</v>
      </c>
      <c r="I595" s="11" t="s">
        <v>673</v>
      </c>
      <c r="K595" s="11" t="b">
        <v>1</v>
      </c>
    </row>
    <row r="596" spans="1:11">
      <c r="A596" s="11" t="s">
        <v>2082</v>
      </c>
      <c r="B596" s="310" t="str">
        <f>报表附注!E1106</f>
        <v>2．土地使用权</v>
      </c>
      <c r="C596" s="321">
        <f t="shared" si="75"/>
        <v>0</v>
      </c>
      <c r="D596" s="11" t="b">
        <f t="shared" si="77"/>
        <v>1</v>
      </c>
      <c r="E596" s="311"/>
      <c r="H596" s="11" t="b">
        <f t="shared" si="74"/>
        <v>0</v>
      </c>
      <c r="I596" s="11" t="s">
        <v>715</v>
      </c>
      <c r="K596" s="11" t="b">
        <v>1</v>
      </c>
    </row>
    <row r="597" spans="1:11">
      <c r="A597" s="11" t="s">
        <v>2083</v>
      </c>
      <c r="B597" s="310" t="str">
        <f>报表附注!E1107</f>
        <v>二、累计折旧或累计摊销合计</v>
      </c>
      <c r="C597" s="321">
        <f t="shared" si="75"/>
        <v>0</v>
      </c>
      <c r="D597" s="11" t="b">
        <f t="shared" si="77"/>
        <v>1</v>
      </c>
      <c r="E597" s="311"/>
      <c r="H597" s="11" t="b">
        <f t="shared" si="74"/>
        <v>0</v>
      </c>
      <c r="I597" s="11" t="s">
        <v>2081</v>
      </c>
      <c r="K597" s="11" t="b">
        <v>1</v>
      </c>
    </row>
    <row r="598" spans="1:11">
      <c r="A598" s="11" t="s">
        <v>2081</v>
      </c>
      <c r="B598" s="310" t="str">
        <f>报表附注!E1108</f>
        <v>1．房屋、建筑物</v>
      </c>
      <c r="C598" s="321">
        <f t="shared" si="75"/>
        <v>0</v>
      </c>
      <c r="D598" s="11" t="b">
        <f t="shared" si="77"/>
        <v>1</v>
      </c>
      <c r="E598" s="311"/>
      <c r="H598" s="11" t="b">
        <f t="shared" si="74"/>
        <v>0</v>
      </c>
      <c r="I598" s="11" t="s">
        <v>2082</v>
      </c>
      <c r="K598" s="11" t="b">
        <v>1</v>
      </c>
    </row>
    <row r="599" spans="1:11">
      <c r="A599" s="11" t="s">
        <v>2082</v>
      </c>
      <c r="B599" s="310" t="str">
        <f>报表附注!E1109</f>
        <v>2．土地使用权</v>
      </c>
      <c r="C599" s="321">
        <f t="shared" si="75"/>
        <v>0</v>
      </c>
      <c r="D599" s="11" t="b">
        <f t="shared" si="77"/>
        <v>1</v>
      </c>
      <c r="E599" s="311"/>
      <c r="H599" s="11" t="b">
        <f t="shared" si="74"/>
        <v>0</v>
      </c>
      <c r="I599" s="11" t="s">
        <v>2083</v>
      </c>
      <c r="K599" s="11" t="b">
        <v>1</v>
      </c>
    </row>
    <row r="600" spans="1:11">
      <c r="A600" s="11" t="s">
        <v>2084</v>
      </c>
      <c r="B600" s="310" t="str">
        <f>报表附注!E1110</f>
        <v>三、投资性房地产减值准备合计</v>
      </c>
      <c r="C600" s="321">
        <f t="shared" si="75"/>
        <v>0</v>
      </c>
      <c r="D600" s="11" t="b">
        <f t="shared" si="77"/>
        <v>1</v>
      </c>
      <c r="E600" s="311"/>
      <c r="H600" s="11" t="b">
        <f t="shared" si="74"/>
        <v>0</v>
      </c>
      <c r="I600" s="11" t="s">
        <v>2081</v>
      </c>
      <c r="K600" s="11" t="b">
        <v>1</v>
      </c>
    </row>
    <row r="601" spans="1:11">
      <c r="A601" s="11" t="s">
        <v>2081</v>
      </c>
      <c r="B601" s="310" t="str">
        <f>报表附注!E1111</f>
        <v>1．房屋、建筑物</v>
      </c>
      <c r="C601" s="321">
        <f t="shared" si="75"/>
        <v>0</v>
      </c>
      <c r="D601" s="11" t="b">
        <f t="shared" si="77"/>
        <v>1</v>
      </c>
      <c r="E601" s="311"/>
      <c r="H601" s="11" t="b">
        <f t="shared" si="74"/>
        <v>0</v>
      </c>
      <c r="I601" s="11" t="s">
        <v>2082</v>
      </c>
      <c r="K601" s="11" t="b">
        <v>1</v>
      </c>
    </row>
    <row r="602" spans="1:11">
      <c r="A602" s="11" t="s">
        <v>2082</v>
      </c>
      <c r="B602" s="310" t="str">
        <f>报表附注!E1112</f>
        <v>2．土地使用权</v>
      </c>
      <c r="C602" s="321">
        <f t="shared" si="75"/>
        <v>0</v>
      </c>
      <c r="D602" s="11" t="b">
        <f t="shared" si="77"/>
        <v>1</v>
      </c>
      <c r="E602" s="311"/>
      <c r="H602" s="11" t="b">
        <f t="shared" si="74"/>
        <v>0</v>
      </c>
      <c r="I602" s="11" t="s">
        <v>2084</v>
      </c>
      <c r="K602" s="11" t="b">
        <v>1</v>
      </c>
    </row>
    <row r="603" spans="1:11">
      <c r="A603" s="11" t="s">
        <v>673</v>
      </c>
      <c r="B603" s="333" t="s">
        <v>673</v>
      </c>
      <c r="C603" s="328">
        <f t="shared" si="75"/>
        <v>0</v>
      </c>
      <c r="D603" s="11" t="b">
        <f t="shared" si="77"/>
        <v>1</v>
      </c>
      <c r="E603" s="326"/>
      <c r="H603" s="11" t="b">
        <f t="shared" si="74"/>
        <v>0</v>
      </c>
      <c r="I603" s="11" t="s">
        <v>2081</v>
      </c>
      <c r="K603" s="11" t="b">
        <v>1</v>
      </c>
    </row>
    <row r="604" spans="1:11">
      <c r="A604" s="11" t="s">
        <v>715</v>
      </c>
      <c r="B604" s="310" t="str">
        <f>报表附注!E1104</f>
        <v>一、原价合计</v>
      </c>
      <c r="C604" s="321">
        <f t="shared" si="75"/>
        <v>0</v>
      </c>
      <c r="D604" s="11" t="b">
        <f t="shared" si="77"/>
        <v>1</v>
      </c>
      <c r="E604" s="311"/>
      <c r="H604" s="11" t="b">
        <f t="shared" si="74"/>
        <v>0</v>
      </c>
      <c r="I604" s="11" t="s">
        <v>2082</v>
      </c>
      <c r="K604" s="11" t="b">
        <v>1</v>
      </c>
    </row>
    <row r="605" spans="1:11">
      <c r="A605" s="11" t="s">
        <v>2081</v>
      </c>
      <c r="B605" s="310" t="str">
        <f>报表附注!E1105</f>
        <v>1．房屋、建筑物</v>
      </c>
      <c r="C605" s="321">
        <f t="shared" si="75"/>
        <v>0</v>
      </c>
      <c r="D605" s="11" t="b">
        <f t="shared" si="77"/>
        <v>1</v>
      </c>
      <c r="E605" s="311"/>
      <c r="H605" s="11" t="b">
        <f t="shared" si="74"/>
        <v>0</v>
      </c>
      <c r="K605" s="11" t="b">
        <v>1</v>
      </c>
    </row>
    <row r="606" spans="1:11">
      <c r="A606" s="11" t="s">
        <v>2082</v>
      </c>
      <c r="B606" s="310" t="str">
        <f>报表附注!E1106</f>
        <v>2．土地使用权</v>
      </c>
      <c r="C606" s="321">
        <f t="shared" si="75"/>
        <v>0</v>
      </c>
      <c r="D606" s="11" t="b">
        <f t="shared" si="77"/>
        <v>1</v>
      </c>
      <c r="E606" s="311"/>
      <c r="H606" s="11" t="b">
        <f t="shared" si="74"/>
        <v>0</v>
      </c>
      <c r="I606" s="11" t="s">
        <v>2085</v>
      </c>
      <c r="K606" s="11" t="b">
        <v>1</v>
      </c>
    </row>
    <row r="607" spans="1:11">
      <c r="A607" s="11" t="s">
        <v>2083</v>
      </c>
      <c r="B607" s="310" t="str">
        <f>报表附注!E1107</f>
        <v>二、累计折旧或累计摊销合计</v>
      </c>
      <c r="C607" s="321">
        <f t="shared" si="75"/>
        <v>0</v>
      </c>
      <c r="D607" s="11" t="b">
        <f t="shared" si="77"/>
        <v>1</v>
      </c>
      <c r="E607" s="311"/>
      <c r="H607" s="11" t="b">
        <f t="shared" si="74"/>
        <v>0</v>
      </c>
      <c r="I607" s="11" t="s">
        <v>2086</v>
      </c>
      <c r="K607" s="11" t="b">
        <v>1</v>
      </c>
    </row>
    <row r="608" spans="1:11">
      <c r="A608" s="11" t="s">
        <v>2081</v>
      </c>
      <c r="B608" s="310" t="str">
        <f>报表附注!E1108</f>
        <v>1．房屋、建筑物</v>
      </c>
      <c r="C608" s="321">
        <f t="shared" si="75"/>
        <v>0</v>
      </c>
      <c r="D608" s="11" t="b">
        <f t="shared" si="77"/>
        <v>1</v>
      </c>
      <c r="E608" s="311"/>
      <c r="H608" s="11" t="b">
        <f t="shared" si="74"/>
        <v>0</v>
      </c>
      <c r="I608" s="11" t="s">
        <v>2087</v>
      </c>
      <c r="K608" s="11" t="b">
        <v>1</v>
      </c>
    </row>
    <row r="609" spans="1:11">
      <c r="A609" s="11" t="s">
        <v>2082</v>
      </c>
      <c r="B609" s="310" t="str">
        <f>报表附注!E1109</f>
        <v>2．土地使用权</v>
      </c>
      <c r="C609" s="321">
        <f t="shared" si="75"/>
        <v>0</v>
      </c>
      <c r="D609" s="11" t="b">
        <f t="shared" si="77"/>
        <v>1</v>
      </c>
      <c r="E609" s="311"/>
      <c r="H609" s="11" t="b">
        <f t="shared" si="74"/>
        <v>0</v>
      </c>
      <c r="I609" s="11" t="s">
        <v>2088</v>
      </c>
      <c r="K609" s="11" t="b">
        <v>1</v>
      </c>
    </row>
    <row r="610" spans="1:11">
      <c r="A610" s="11" t="s">
        <v>2084</v>
      </c>
      <c r="B610" s="310" t="str">
        <f>报表附注!E1110</f>
        <v>三、投资性房地产减值准备合计</v>
      </c>
      <c r="C610" s="321">
        <f t="shared" si="75"/>
        <v>0</v>
      </c>
      <c r="D610" s="11" t="b">
        <f t="shared" si="77"/>
        <v>1</v>
      </c>
      <c r="E610" s="311"/>
      <c r="H610" s="11" t="b">
        <f t="shared" si="74"/>
        <v>0</v>
      </c>
      <c r="I610" s="11" t="s">
        <v>2089</v>
      </c>
      <c r="K610" s="11" t="b">
        <v>1</v>
      </c>
    </row>
    <row r="611" spans="1:11">
      <c r="A611" s="11" t="s">
        <v>2081</v>
      </c>
      <c r="B611" s="310" t="str">
        <f>报表附注!E1111</f>
        <v>1．房屋、建筑物</v>
      </c>
      <c r="C611" s="321">
        <f t="shared" si="75"/>
        <v>0</v>
      </c>
      <c r="D611" s="11" t="b">
        <f t="shared" si="77"/>
        <v>1</v>
      </c>
      <c r="E611" s="311"/>
      <c r="H611" s="11" t="b">
        <f t="shared" si="74"/>
        <v>0</v>
      </c>
      <c r="I611" s="11" t="s">
        <v>2090</v>
      </c>
      <c r="K611" s="11" t="b">
        <v>1</v>
      </c>
    </row>
    <row r="612" spans="1:11">
      <c r="A612" s="11" t="s">
        <v>2082</v>
      </c>
      <c r="B612" s="310" t="str">
        <f>报表附注!E1112</f>
        <v>2．土地使用权</v>
      </c>
      <c r="C612" s="321">
        <f t="shared" si="75"/>
        <v>0</v>
      </c>
      <c r="D612" s="11" t="b">
        <f t="shared" si="77"/>
        <v>1</v>
      </c>
      <c r="E612" s="311"/>
      <c r="H612" s="11" t="b">
        <f t="shared" si="74"/>
        <v>0</v>
      </c>
      <c r="I612" s="11" t="s">
        <v>2091</v>
      </c>
      <c r="K612" s="11" t="b">
        <v>1</v>
      </c>
    </row>
    <row r="613" spans="3:11">
      <c r="C613" s="328">
        <f t="shared" si="75"/>
        <v>0</v>
      </c>
      <c r="D613" s="11" t="b">
        <f t="shared" si="77"/>
        <v>1</v>
      </c>
      <c r="H613" s="11" t="b">
        <f t="shared" si="74"/>
        <v>0</v>
      </c>
      <c r="I613" s="11" t="s">
        <v>2088</v>
      </c>
      <c r="K613" s="11" t="b">
        <v>1</v>
      </c>
    </row>
    <row r="614" spans="1:11">
      <c r="A614" s="11" t="s">
        <v>2085</v>
      </c>
      <c r="B614" s="348" t="s">
        <v>2085</v>
      </c>
      <c r="C614" s="328">
        <f t="shared" si="75"/>
        <v>0</v>
      </c>
      <c r="D614" s="11" t="b">
        <f t="shared" si="77"/>
        <v>1</v>
      </c>
      <c r="H614" s="11" t="b">
        <f t="shared" si="74"/>
        <v>0</v>
      </c>
      <c r="I614" s="11" t="s">
        <v>2089</v>
      </c>
      <c r="K614" s="11" t="b">
        <v>1</v>
      </c>
    </row>
    <row r="615" spans="1:11">
      <c r="A615" s="11" t="s">
        <v>2086</v>
      </c>
      <c r="B615" s="333" t="s">
        <v>2086</v>
      </c>
      <c r="C615" s="328">
        <f t="shared" si="75"/>
        <v>0</v>
      </c>
      <c r="D615" s="11" t="b">
        <f t="shared" si="77"/>
        <v>1</v>
      </c>
      <c r="H615" s="11" t="b">
        <f t="shared" si="74"/>
        <v>0</v>
      </c>
      <c r="I615" s="11" t="s">
        <v>2090</v>
      </c>
      <c r="K615" s="11" t="b">
        <v>1</v>
      </c>
    </row>
    <row r="616" spans="1:11">
      <c r="A616" s="11" t="s">
        <v>2087</v>
      </c>
      <c r="B616" s="310" t="str">
        <f>报表附注!E1122</f>
        <v>1.成本合计</v>
      </c>
      <c r="C616" s="321">
        <f t="shared" ref="C616:C647" si="78">J608</f>
        <v>0</v>
      </c>
      <c r="D616" s="11" t="b">
        <f t="shared" si="77"/>
        <v>1</v>
      </c>
      <c r="E616" s="321">
        <f>SUM(E617:E619)</f>
        <v>0</v>
      </c>
      <c r="H616" s="11" t="b">
        <f t="shared" si="74"/>
        <v>0</v>
      </c>
      <c r="I616" s="11" t="s">
        <v>2092</v>
      </c>
      <c r="K616" s="11" t="b">
        <v>1</v>
      </c>
    </row>
    <row r="617" spans="1:11">
      <c r="A617" s="11" t="s">
        <v>2088</v>
      </c>
      <c r="B617" s="310" t="str">
        <f>报表附注!E1123</f>
        <v>（1）房屋、建筑物</v>
      </c>
      <c r="C617" s="321">
        <f t="shared" si="78"/>
        <v>0</v>
      </c>
      <c r="D617" s="11" t="b">
        <f t="shared" si="77"/>
        <v>1</v>
      </c>
      <c r="E617" s="321">
        <f t="shared" ref="E617:E627" si="79">C617+C630+C643+C656-C669-C682</f>
        <v>0</v>
      </c>
      <c r="H617" s="11" t="b">
        <f t="shared" si="74"/>
        <v>1</v>
      </c>
      <c r="I617" s="11" t="s">
        <v>2088</v>
      </c>
      <c r="K617" s="11" t="b">
        <v>1</v>
      </c>
    </row>
    <row r="618" spans="1:11">
      <c r="A618" s="11" t="s">
        <v>2089</v>
      </c>
      <c r="B618" s="310" t="str">
        <f>报表附注!E1124</f>
        <v>（2）土地使用权</v>
      </c>
      <c r="C618" s="321">
        <f t="shared" si="78"/>
        <v>0</v>
      </c>
      <c r="D618" s="11" t="b">
        <f t="shared" si="77"/>
        <v>1</v>
      </c>
      <c r="E618" s="321">
        <f t="shared" si="79"/>
        <v>0</v>
      </c>
      <c r="H618" s="11" t="b">
        <f t="shared" si="74"/>
        <v>1</v>
      </c>
      <c r="I618" s="11" t="s">
        <v>2089</v>
      </c>
      <c r="K618" s="11" t="b">
        <v>1</v>
      </c>
    </row>
    <row r="619" spans="1:11">
      <c r="A619" s="11" t="s">
        <v>2090</v>
      </c>
      <c r="B619" s="310" t="str">
        <f>报表附注!E1125</f>
        <v>（3）其他</v>
      </c>
      <c r="C619" s="321">
        <f t="shared" si="78"/>
        <v>0</v>
      </c>
      <c r="D619" s="11" t="b">
        <f t="shared" si="77"/>
        <v>1</v>
      </c>
      <c r="E619" s="321">
        <f t="shared" si="79"/>
        <v>0</v>
      </c>
      <c r="H619" s="11" t="b">
        <f t="shared" si="74"/>
        <v>1</v>
      </c>
      <c r="I619" s="11" t="s">
        <v>2090</v>
      </c>
      <c r="K619" s="11" t="b">
        <v>1</v>
      </c>
    </row>
    <row r="620" spans="1:11">
      <c r="A620" s="11" t="s">
        <v>2091</v>
      </c>
      <c r="B620" s="310" t="str">
        <f>报表附注!E1126</f>
        <v>2.公允价值变动合计</v>
      </c>
      <c r="C620" s="321">
        <f t="shared" si="78"/>
        <v>0</v>
      </c>
      <c r="D620" s="11" t="b">
        <f t="shared" si="77"/>
        <v>1</v>
      </c>
      <c r="E620" s="321">
        <f>SUM(E621:E623)</f>
        <v>0</v>
      </c>
      <c r="H620" s="11" t="b">
        <f t="shared" si="74"/>
        <v>0</v>
      </c>
      <c r="I620" s="11" t="s">
        <v>2093</v>
      </c>
      <c r="K620" s="11" t="b">
        <v>1</v>
      </c>
    </row>
    <row r="621" spans="1:11">
      <c r="A621" s="11" t="s">
        <v>2088</v>
      </c>
      <c r="B621" s="310" t="str">
        <f>报表附注!E1127</f>
        <v>（1）房屋、建筑物</v>
      </c>
      <c r="C621" s="321">
        <f t="shared" si="78"/>
        <v>0</v>
      </c>
      <c r="D621" s="11" t="b">
        <f t="shared" si="77"/>
        <v>1</v>
      </c>
      <c r="E621" s="321">
        <f t="shared" si="79"/>
        <v>0</v>
      </c>
      <c r="H621" s="11" t="b">
        <f t="shared" si="74"/>
        <v>0</v>
      </c>
      <c r="I621" s="11" t="s">
        <v>2087</v>
      </c>
      <c r="K621" s="11" t="b">
        <v>1</v>
      </c>
    </row>
    <row r="622" spans="1:11">
      <c r="A622" s="11" t="s">
        <v>2089</v>
      </c>
      <c r="B622" s="310" t="str">
        <f>报表附注!E1128</f>
        <v>（2）土地使用权</v>
      </c>
      <c r="C622" s="321">
        <f t="shared" si="78"/>
        <v>0</v>
      </c>
      <c r="D622" s="11" t="b">
        <f t="shared" si="77"/>
        <v>1</v>
      </c>
      <c r="E622" s="321">
        <f t="shared" si="79"/>
        <v>0</v>
      </c>
      <c r="H622" s="11" t="b">
        <f t="shared" si="74"/>
        <v>0</v>
      </c>
      <c r="I622" s="11" t="s">
        <v>2088</v>
      </c>
      <c r="K622" s="11" t="b">
        <v>1</v>
      </c>
    </row>
    <row r="623" spans="1:11">
      <c r="A623" s="11" t="s">
        <v>2090</v>
      </c>
      <c r="B623" s="310" t="str">
        <f>报表附注!E1129</f>
        <v>（3）其他</v>
      </c>
      <c r="C623" s="321">
        <f t="shared" si="78"/>
        <v>0</v>
      </c>
      <c r="D623" s="11" t="b">
        <f t="shared" si="77"/>
        <v>1</v>
      </c>
      <c r="E623" s="321">
        <f t="shared" si="79"/>
        <v>0</v>
      </c>
      <c r="H623" s="11" t="b">
        <f t="shared" si="74"/>
        <v>0</v>
      </c>
      <c r="I623" s="11" t="s">
        <v>2089</v>
      </c>
      <c r="K623" s="11" t="b">
        <v>1</v>
      </c>
    </row>
    <row r="624" spans="1:11">
      <c r="A624" s="11" t="s">
        <v>2092</v>
      </c>
      <c r="B624" s="310" t="str">
        <f>报表附注!E1130</f>
        <v>3.投资性房地产账面价值合计</v>
      </c>
      <c r="C624" s="321">
        <f t="shared" si="78"/>
        <v>0</v>
      </c>
      <c r="D624" s="11" t="b">
        <f t="shared" si="77"/>
        <v>1</v>
      </c>
      <c r="E624" s="321">
        <f>SUM(E625:E627)</f>
        <v>0</v>
      </c>
      <c r="H624" s="11" t="b">
        <f t="shared" si="74"/>
        <v>0</v>
      </c>
      <c r="I624" s="11" t="s">
        <v>2090</v>
      </c>
      <c r="K624" s="11" t="b">
        <v>1</v>
      </c>
    </row>
    <row r="625" spans="1:11">
      <c r="A625" s="11" t="s">
        <v>2088</v>
      </c>
      <c r="B625" s="310" t="str">
        <f>报表附注!E1131</f>
        <v>（1）房屋、建筑物</v>
      </c>
      <c r="C625" s="321">
        <f t="shared" si="78"/>
        <v>0</v>
      </c>
      <c r="D625" s="11" t="b">
        <f t="shared" si="77"/>
        <v>1</v>
      </c>
      <c r="E625" s="321">
        <f t="shared" si="79"/>
        <v>0</v>
      </c>
      <c r="H625" s="11" t="b">
        <f t="shared" si="74"/>
        <v>0</v>
      </c>
      <c r="I625" s="11" t="s">
        <v>2091</v>
      </c>
      <c r="K625" s="11" t="b">
        <v>1</v>
      </c>
    </row>
    <row r="626" spans="1:11">
      <c r="A626" s="11" t="s">
        <v>2089</v>
      </c>
      <c r="B626" s="310" t="str">
        <f>报表附注!E1132</f>
        <v>（2）土地使用权</v>
      </c>
      <c r="C626" s="321">
        <f t="shared" si="78"/>
        <v>0</v>
      </c>
      <c r="D626" s="11" t="b">
        <f t="shared" si="77"/>
        <v>1</v>
      </c>
      <c r="E626" s="321">
        <f t="shared" si="79"/>
        <v>0</v>
      </c>
      <c r="H626" s="11" t="b">
        <f t="shared" si="74"/>
        <v>0</v>
      </c>
      <c r="I626" s="11" t="s">
        <v>2088</v>
      </c>
      <c r="K626" s="11" t="b">
        <v>1</v>
      </c>
    </row>
    <row r="627" spans="1:11">
      <c r="A627" s="11" t="s">
        <v>2090</v>
      </c>
      <c r="B627" s="310" t="str">
        <f>报表附注!E1133</f>
        <v>（3）其他</v>
      </c>
      <c r="C627" s="321">
        <f t="shared" si="78"/>
        <v>0</v>
      </c>
      <c r="D627" s="11" t="b">
        <f t="shared" si="77"/>
        <v>1</v>
      </c>
      <c r="E627" s="321">
        <f t="shared" si="79"/>
        <v>0</v>
      </c>
      <c r="H627" s="11" t="b">
        <f t="shared" si="74"/>
        <v>0</v>
      </c>
      <c r="I627" s="11" t="s">
        <v>2089</v>
      </c>
      <c r="K627" s="11" t="b">
        <v>1</v>
      </c>
    </row>
    <row r="628" spans="1:11">
      <c r="A628" s="11" t="s">
        <v>2093</v>
      </c>
      <c r="B628" s="333" t="s">
        <v>2093</v>
      </c>
      <c r="C628" s="328">
        <f t="shared" si="78"/>
        <v>0</v>
      </c>
      <c r="D628" s="11" t="b">
        <f t="shared" si="77"/>
        <v>1</v>
      </c>
      <c r="H628" s="11" t="b">
        <f t="shared" si="74"/>
        <v>0</v>
      </c>
      <c r="I628" s="11" t="s">
        <v>2090</v>
      </c>
      <c r="K628" s="11" t="b">
        <v>1</v>
      </c>
    </row>
    <row r="629" spans="1:11">
      <c r="A629" s="11" t="s">
        <v>2087</v>
      </c>
      <c r="B629" s="310" t="str">
        <f>报表附注!E1122</f>
        <v>1.成本合计</v>
      </c>
      <c r="C629" s="321">
        <f t="shared" si="78"/>
        <v>0</v>
      </c>
      <c r="D629" s="11" t="b">
        <f t="shared" si="77"/>
        <v>1</v>
      </c>
      <c r="E629" s="311"/>
      <c r="H629" s="11" t="b">
        <f t="shared" si="74"/>
        <v>0</v>
      </c>
      <c r="I629" s="11" t="s">
        <v>2092</v>
      </c>
      <c r="K629" s="11" t="b">
        <v>1</v>
      </c>
    </row>
    <row r="630" spans="1:11">
      <c r="A630" s="11" t="s">
        <v>2088</v>
      </c>
      <c r="B630" s="310" t="str">
        <f>报表附注!E1123</f>
        <v>（1）房屋、建筑物</v>
      </c>
      <c r="C630" s="321">
        <f t="shared" si="78"/>
        <v>0</v>
      </c>
      <c r="D630" s="11" t="b">
        <f t="shared" si="77"/>
        <v>1</v>
      </c>
      <c r="E630" s="311"/>
      <c r="H630" s="11" t="b">
        <f t="shared" si="74"/>
        <v>1</v>
      </c>
      <c r="I630" s="11" t="s">
        <v>2088</v>
      </c>
      <c r="K630" s="11" t="b">
        <v>1</v>
      </c>
    </row>
    <row r="631" spans="1:11">
      <c r="A631" s="11" t="s">
        <v>2089</v>
      </c>
      <c r="B631" s="310" t="str">
        <f>报表附注!E1124</f>
        <v>（2）土地使用权</v>
      </c>
      <c r="C631" s="321">
        <f t="shared" si="78"/>
        <v>0</v>
      </c>
      <c r="D631" s="11" t="b">
        <f t="shared" si="77"/>
        <v>1</v>
      </c>
      <c r="E631" s="311"/>
      <c r="H631" s="11" t="b">
        <f t="shared" si="74"/>
        <v>1</v>
      </c>
      <c r="I631" s="11" t="s">
        <v>2089</v>
      </c>
      <c r="K631" s="11" t="b">
        <v>1</v>
      </c>
    </row>
    <row r="632" spans="1:11">
      <c r="A632" s="11" t="s">
        <v>2090</v>
      </c>
      <c r="B632" s="310" t="str">
        <f>报表附注!E1125</f>
        <v>（3）其他</v>
      </c>
      <c r="C632" s="321">
        <f t="shared" si="78"/>
        <v>0</v>
      </c>
      <c r="D632" s="11" t="b">
        <f t="shared" si="77"/>
        <v>1</v>
      </c>
      <c r="E632" s="311"/>
      <c r="H632" s="11" t="b">
        <f t="shared" si="74"/>
        <v>1</v>
      </c>
      <c r="I632" s="11" t="s">
        <v>2090</v>
      </c>
      <c r="K632" s="11" t="b">
        <v>1</v>
      </c>
    </row>
    <row r="633" spans="1:11">
      <c r="A633" s="11" t="s">
        <v>2091</v>
      </c>
      <c r="B633" s="310" t="str">
        <f>报表附注!E1126</f>
        <v>2.公允价值变动合计</v>
      </c>
      <c r="C633" s="321">
        <f t="shared" si="78"/>
        <v>0</v>
      </c>
      <c r="D633" s="11" t="b">
        <f t="shared" si="77"/>
        <v>1</v>
      </c>
      <c r="E633" s="311"/>
      <c r="H633" s="11" t="b">
        <f t="shared" si="74"/>
        <v>0</v>
      </c>
      <c r="I633" s="11" t="s">
        <v>2094</v>
      </c>
      <c r="K633" s="11" t="b">
        <v>1</v>
      </c>
    </row>
    <row r="634" spans="1:11">
      <c r="A634" s="11" t="s">
        <v>2088</v>
      </c>
      <c r="B634" s="310" t="str">
        <f>报表附注!E1127</f>
        <v>（1）房屋、建筑物</v>
      </c>
      <c r="C634" s="321">
        <f t="shared" si="78"/>
        <v>0</v>
      </c>
      <c r="D634" s="11" t="b">
        <f t="shared" si="77"/>
        <v>1</v>
      </c>
      <c r="E634" s="311"/>
      <c r="H634" s="11" t="b">
        <f t="shared" si="74"/>
        <v>0</v>
      </c>
      <c r="I634" s="11" t="s">
        <v>2087</v>
      </c>
      <c r="K634" s="11" t="b">
        <v>1</v>
      </c>
    </row>
    <row r="635" spans="1:11">
      <c r="A635" s="11" t="s">
        <v>2089</v>
      </c>
      <c r="B635" s="310" t="str">
        <f>报表附注!E1128</f>
        <v>（2）土地使用权</v>
      </c>
      <c r="C635" s="321">
        <f t="shared" si="78"/>
        <v>0</v>
      </c>
      <c r="D635" s="11" t="b">
        <f t="shared" si="77"/>
        <v>1</v>
      </c>
      <c r="E635" s="311"/>
      <c r="H635" s="11" t="b">
        <f t="shared" si="74"/>
        <v>0</v>
      </c>
      <c r="I635" s="11" t="s">
        <v>2088</v>
      </c>
      <c r="K635" s="11" t="b">
        <v>1</v>
      </c>
    </row>
    <row r="636" spans="1:11">
      <c r="A636" s="11" t="s">
        <v>2090</v>
      </c>
      <c r="B636" s="310" t="str">
        <f>报表附注!E1129</f>
        <v>（3）其他</v>
      </c>
      <c r="C636" s="321">
        <f t="shared" si="78"/>
        <v>0</v>
      </c>
      <c r="D636" s="11" t="b">
        <f t="shared" si="77"/>
        <v>1</v>
      </c>
      <c r="E636" s="311"/>
      <c r="H636" s="11" t="b">
        <f t="shared" si="74"/>
        <v>0</v>
      </c>
      <c r="I636" s="11" t="s">
        <v>2089</v>
      </c>
      <c r="K636" s="11" t="b">
        <v>1</v>
      </c>
    </row>
    <row r="637" spans="1:11">
      <c r="A637" s="11" t="s">
        <v>2092</v>
      </c>
      <c r="B637" s="310" t="str">
        <f>报表附注!E1130</f>
        <v>3.投资性房地产账面价值合计</v>
      </c>
      <c r="C637" s="321">
        <f t="shared" si="78"/>
        <v>0</v>
      </c>
      <c r="D637" s="11" t="b">
        <f t="shared" si="77"/>
        <v>1</v>
      </c>
      <c r="E637" s="311"/>
      <c r="H637" s="11" t="b">
        <f t="shared" si="74"/>
        <v>0</v>
      </c>
      <c r="I637" s="11" t="s">
        <v>2090</v>
      </c>
      <c r="K637" s="11" t="b">
        <v>1</v>
      </c>
    </row>
    <row r="638" spans="1:11">
      <c r="A638" s="11" t="s">
        <v>2088</v>
      </c>
      <c r="B638" s="310" t="str">
        <f>报表附注!E1131</f>
        <v>（1）房屋、建筑物</v>
      </c>
      <c r="C638" s="321">
        <f t="shared" si="78"/>
        <v>0</v>
      </c>
      <c r="D638" s="11" t="b">
        <f t="shared" si="77"/>
        <v>1</v>
      </c>
      <c r="E638" s="311"/>
      <c r="H638" s="11" t="b">
        <f t="shared" si="74"/>
        <v>0</v>
      </c>
      <c r="I638" s="11" t="s">
        <v>2091</v>
      </c>
      <c r="K638" s="11" t="b">
        <v>1</v>
      </c>
    </row>
    <row r="639" spans="1:11">
      <c r="A639" s="11" t="s">
        <v>2089</v>
      </c>
      <c r="B639" s="310" t="str">
        <f>报表附注!E1132</f>
        <v>（2）土地使用权</v>
      </c>
      <c r="C639" s="321">
        <f t="shared" si="78"/>
        <v>0</v>
      </c>
      <c r="D639" s="11" t="b">
        <f t="shared" si="77"/>
        <v>1</v>
      </c>
      <c r="E639" s="311"/>
      <c r="H639" s="11" t="b">
        <f t="shared" si="74"/>
        <v>0</v>
      </c>
      <c r="I639" s="11" t="s">
        <v>2088</v>
      </c>
      <c r="K639" s="11" t="b">
        <v>1</v>
      </c>
    </row>
    <row r="640" spans="1:11">
      <c r="A640" s="11" t="s">
        <v>2090</v>
      </c>
      <c r="B640" s="310" t="str">
        <f>报表附注!E1133</f>
        <v>（3）其他</v>
      </c>
      <c r="C640" s="321">
        <f t="shared" si="78"/>
        <v>0</v>
      </c>
      <c r="D640" s="11" t="b">
        <f t="shared" si="77"/>
        <v>1</v>
      </c>
      <c r="E640" s="311"/>
      <c r="H640" s="11" t="b">
        <f t="shared" si="74"/>
        <v>0</v>
      </c>
      <c r="I640" s="11" t="s">
        <v>2089</v>
      </c>
      <c r="K640" s="11" t="b">
        <v>1</v>
      </c>
    </row>
    <row r="641" spans="1:11">
      <c r="A641" s="11" t="s">
        <v>2094</v>
      </c>
      <c r="B641" s="333" t="s">
        <v>2094</v>
      </c>
      <c r="C641" s="328">
        <f t="shared" si="78"/>
        <v>0</v>
      </c>
      <c r="D641" s="11" t="b">
        <f t="shared" si="77"/>
        <v>1</v>
      </c>
      <c r="E641" s="326"/>
      <c r="H641" s="11" t="b">
        <f t="shared" si="74"/>
        <v>0</v>
      </c>
      <c r="I641" s="11" t="s">
        <v>2090</v>
      </c>
      <c r="K641" s="11" t="b">
        <v>1</v>
      </c>
    </row>
    <row r="642" spans="1:11">
      <c r="A642" s="11" t="s">
        <v>2087</v>
      </c>
      <c r="B642" s="310" t="str">
        <f>报表附注!E1122</f>
        <v>1.成本合计</v>
      </c>
      <c r="C642" s="321">
        <f t="shared" si="78"/>
        <v>0</v>
      </c>
      <c r="D642" s="11" t="b">
        <f t="shared" si="77"/>
        <v>1</v>
      </c>
      <c r="E642" s="311"/>
      <c r="H642" s="11" t="b">
        <f t="shared" si="74"/>
        <v>0</v>
      </c>
      <c r="I642" s="11" t="s">
        <v>2092</v>
      </c>
      <c r="K642" s="11" t="b">
        <v>1</v>
      </c>
    </row>
    <row r="643" spans="1:11">
      <c r="A643" s="11" t="s">
        <v>2088</v>
      </c>
      <c r="B643" s="310" t="str">
        <f>报表附注!E1123</f>
        <v>（1）房屋、建筑物</v>
      </c>
      <c r="C643" s="321">
        <f t="shared" si="78"/>
        <v>0</v>
      </c>
      <c r="D643" s="11" t="b">
        <f t="shared" si="77"/>
        <v>1</v>
      </c>
      <c r="E643" s="311"/>
      <c r="H643" s="11" t="b">
        <f t="shared" si="74"/>
        <v>1</v>
      </c>
      <c r="I643" s="11" t="s">
        <v>2088</v>
      </c>
      <c r="K643" s="11" t="b">
        <v>1</v>
      </c>
    </row>
    <row r="644" spans="1:11">
      <c r="A644" s="11" t="s">
        <v>2089</v>
      </c>
      <c r="B644" s="310" t="str">
        <f>报表附注!E1124</f>
        <v>（2）土地使用权</v>
      </c>
      <c r="C644" s="321">
        <f t="shared" si="78"/>
        <v>0</v>
      </c>
      <c r="D644" s="11" t="b">
        <f t="shared" si="77"/>
        <v>1</v>
      </c>
      <c r="E644" s="311"/>
      <c r="H644" s="11" t="b">
        <f t="shared" ref="H644:H707" si="80">I644=B644</f>
        <v>1</v>
      </c>
      <c r="I644" s="11" t="s">
        <v>2089</v>
      </c>
      <c r="K644" s="11" t="b">
        <v>1</v>
      </c>
    </row>
    <row r="645" spans="1:11">
      <c r="A645" s="11" t="s">
        <v>2090</v>
      </c>
      <c r="B645" s="310" t="str">
        <f>报表附注!E1125</f>
        <v>（3）其他</v>
      </c>
      <c r="C645" s="321">
        <f t="shared" si="78"/>
        <v>0</v>
      </c>
      <c r="D645" s="11" t="b">
        <f t="shared" si="77"/>
        <v>1</v>
      </c>
      <c r="E645" s="311"/>
      <c r="H645" s="11" t="b">
        <f t="shared" si="80"/>
        <v>1</v>
      </c>
      <c r="I645" s="11" t="s">
        <v>2090</v>
      </c>
      <c r="K645" s="11" t="b">
        <v>1</v>
      </c>
    </row>
    <row r="646" spans="1:11">
      <c r="A646" s="11" t="s">
        <v>2091</v>
      </c>
      <c r="B646" s="310" t="str">
        <f>报表附注!E1126</f>
        <v>2.公允价值变动合计</v>
      </c>
      <c r="C646" s="321">
        <f t="shared" si="78"/>
        <v>0</v>
      </c>
      <c r="D646" s="11" t="b">
        <f t="shared" si="77"/>
        <v>1</v>
      </c>
      <c r="E646" s="311"/>
      <c r="H646" s="11" t="b">
        <f t="shared" si="80"/>
        <v>0</v>
      </c>
      <c r="I646" s="11" t="s">
        <v>2095</v>
      </c>
      <c r="K646" s="11" t="b">
        <v>1</v>
      </c>
    </row>
    <row r="647" spans="1:11">
      <c r="A647" s="11" t="s">
        <v>2088</v>
      </c>
      <c r="B647" s="310" t="str">
        <f>报表附注!E1127</f>
        <v>（1）房屋、建筑物</v>
      </c>
      <c r="C647" s="321">
        <f t="shared" si="78"/>
        <v>0</v>
      </c>
      <c r="D647" s="11" t="b">
        <f t="shared" si="77"/>
        <v>1</v>
      </c>
      <c r="E647" s="311"/>
      <c r="H647" s="11" t="b">
        <f t="shared" si="80"/>
        <v>0</v>
      </c>
      <c r="I647" s="11" t="s">
        <v>2087</v>
      </c>
      <c r="K647" s="11" t="b">
        <v>1</v>
      </c>
    </row>
    <row r="648" spans="1:11">
      <c r="A648" s="11" t="s">
        <v>2089</v>
      </c>
      <c r="B648" s="310" t="str">
        <f>报表附注!E1128</f>
        <v>（2）土地使用权</v>
      </c>
      <c r="C648" s="321">
        <f t="shared" ref="C648:C679" si="81">J640</f>
        <v>0</v>
      </c>
      <c r="D648" s="11" t="b">
        <f t="shared" si="77"/>
        <v>1</v>
      </c>
      <c r="E648" s="311"/>
      <c r="H648" s="11" t="b">
        <f t="shared" si="80"/>
        <v>0</v>
      </c>
      <c r="I648" s="11" t="s">
        <v>2088</v>
      </c>
      <c r="K648" s="11" t="b">
        <v>1</v>
      </c>
    </row>
    <row r="649" spans="1:11">
      <c r="A649" s="11" t="s">
        <v>2090</v>
      </c>
      <c r="B649" s="310" t="str">
        <f>报表附注!E1129</f>
        <v>（3）其他</v>
      </c>
      <c r="C649" s="321">
        <f t="shared" si="81"/>
        <v>0</v>
      </c>
      <c r="D649" s="11" t="b">
        <f t="shared" si="77"/>
        <v>1</v>
      </c>
      <c r="E649" s="311"/>
      <c r="H649" s="11" t="b">
        <f t="shared" si="80"/>
        <v>0</v>
      </c>
      <c r="I649" s="11" t="s">
        <v>2089</v>
      </c>
      <c r="K649" s="11" t="b">
        <v>1</v>
      </c>
    </row>
    <row r="650" spans="1:11">
      <c r="A650" s="11" t="s">
        <v>2092</v>
      </c>
      <c r="B650" s="310" t="str">
        <f>报表附注!E1130</f>
        <v>3.投资性房地产账面价值合计</v>
      </c>
      <c r="C650" s="321">
        <f t="shared" si="81"/>
        <v>0</v>
      </c>
      <c r="D650" s="11" t="b">
        <f t="shared" si="77"/>
        <v>1</v>
      </c>
      <c r="E650" s="311"/>
      <c r="H650" s="11" t="b">
        <f t="shared" si="80"/>
        <v>0</v>
      </c>
      <c r="I650" s="11" t="s">
        <v>2090</v>
      </c>
      <c r="K650" s="11" t="b">
        <v>1</v>
      </c>
    </row>
    <row r="651" spans="1:11">
      <c r="A651" s="11" t="s">
        <v>2088</v>
      </c>
      <c r="B651" s="310" t="str">
        <f>报表附注!E1131</f>
        <v>（1）房屋、建筑物</v>
      </c>
      <c r="C651" s="321">
        <f t="shared" si="81"/>
        <v>0</v>
      </c>
      <c r="D651" s="11" t="b">
        <f t="shared" si="77"/>
        <v>1</v>
      </c>
      <c r="E651" s="311"/>
      <c r="H651" s="11" t="b">
        <f t="shared" si="80"/>
        <v>0</v>
      </c>
      <c r="I651" s="11" t="s">
        <v>2091</v>
      </c>
      <c r="K651" s="11" t="b">
        <v>1</v>
      </c>
    </row>
    <row r="652" spans="1:11">
      <c r="A652" s="11" t="s">
        <v>2089</v>
      </c>
      <c r="B652" s="310" t="str">
        <f>报表附注!E1132</f>
        <v>（2）土地使用权</v>
      </c>
      <c r="C652" s="321">
        <f t="shared" si="81"/>
        <v>0</v>
      </c>
      <c r="D652" s="11" t="b">
        <f t="shared" ref="D652:D715" si="82">EXACT(A652,B652)</f>
        <v>1</v>
      </c>
      <c r="E652" s="311"/>
      <c r="H652" s="11" t="b">
        <f t="shared" si="80"/>
        <v>0</v>
      </c>
      <c r="I652" s="11" t="s">
        <v>2088</v>
      </c>
      <c r="K652" s="11" t="b">
        <v>1</v>
      </c>
    </row>
    <row r="653" spans="1:11">
      <c r="A653" s="11" t="s">
        <v>2090</v>
      </c>
      <c r="B653" s="310" t="str">
        <f>报表附注!E1133</f>
        <v>（3）其他</v>
      </c>
      <c r="C653" s="321">
        <f t="shared" si="81"/>
        <v>0</v>
      </c>
      <c r="D653" s="11" t="b">
        <f t="shared" si="82"/>
        <v>1</v>
      </c>
      <c r="E653" s="311"/>
      <c r="H653" s="11" t="b">
        <f t="shared" si="80"/>
        <v>0</v>
      </c>
      <c r="I653" s="11" t="s">
        <v>2089</v>
      </c>
      <c r="K653" s="11" t="b">
        <v>1</v>
      </c>
    </row>
    <row r="654" spans="1:11">
      <c r="A654" s="11" t="s">
        <v>2095</v>
      </c>
      <c r="B654" s="333" t="s">
        <v>2095</v>
      </c>
      <c r="C654" s="328">
        <f t="shared" si="81"/>
        <v>0</v>
      </c>
      <c r="D654" s="11" t="b">
        <f t="shared" si="82"/>
        <v>1</v>
      </c>
      <c r="E654" s="326"/>
      <c r="H654" s="11" t="b">
        <f t="shared" si="80"/>
        <v>0</v>
      </c>
      <c r="I654" s="11" t="s">
        <v>2090</v>
      </c>
      <c r="K654" s="11" t="b">
        <v>1</v>
      </c>
    </row>
    <row r="655" spans="1:11">
      <c r="A655" s="11" t="s">
        <v>2087</v>
      </c>
      <c r="B655" s="310" t="str">
        <f>报表附注!E1122</f>
        <v>1.成本合计</v>
      </c>
      <c r="C655" s="321">
        <f t="shared" si="81"/>
        <v>0</v>
      </c>
      <c r="D655" s="11" t="b">
        <f t="shared" si="82"/>
        <v>1</v>
      </c>
      <c r="E655" s="311"/>
      <c r="H655" s="11" t="b">
        <f t="shared" si="80"/>
        <v>0</v>
      </c>
      <c r="I655" s="11" t="s">
        <v>2092</v>
      </c>
      <c r="K655" s="11" t="b">
        <v>1</v>
      </c>
    </row>
    <row r="656" spans="1:11">
      <c r="A656" s="11" t="s">
        <v>2088</v>
      </c>
      <c r="B656" s="310" t="str">
        <f>报表附注!E1123</f>
        <v>（1）房屋、建筑物</v>
      </c>
      <c r="C656" s="321">
        <f t="shared" si="81"/>
        <v>0</v>
      </c>
      <c r="D656" s="11" t="b">
        <f t="shared" si="82"/>
        <v>1</v>
      </c>
      <c r="E656" s="311"/>
      <c r="H656" s="11" t="b">
        <f t="shared" si="80"/>
        <v>1</v>
      </c>
      <c r="I656" s="11" t="s">
        <v>2088</v>
      </c>
      <c r="K656" s="11" t="b">
        <v>1</v>
      </c>
    </row>
    <row r="657" spans="1:11">
      <c r="A657" s="11" t="s">
        <v>2089</v>
      </c>
      <c r="B657" s="310" t="str">
        <f>报表附注!E1124</f>
        <v>（2）土地使用权</v>
      </c>
      <c r="C657" s="321">
        <f t="shared" si="81"/>
        <v>0</v>
      </c>
      <c r="D657" s="11" t="b">
        <f t="shared" si="82"/>
        <v>1</v>
      </c>
      <c r="E657" s="311"/>
      <c r="H657" s="11" t="b">
        <f t="shared" si="80"/>
        <v>1</v>
      </c>
      <c r="I657" s="11" t="s">
        <v>2089</v>
      </c>
      <c r="K657" s="11" t="b">
        <v>1</v>
      </c>
    </row>
    <row r="658" spans="1:11">
      <c r="A658" s="11" t="s">
        <v>2090</v>
      </c>
      <c r="B658" s="310" t="str">
        <f>报表附注!E1125</f>
        <v>（3）其他</v>
      </c>
      <c r="C658" s="321">
        <f t="shared" si="81"/>
        <v>0</v>
      </c>
      <c r="D658" s="11" t="b">
        <f t="shared" si="82"/>
        <v>1</v>
      </c>
      <c r="E658" s="311"/>
      <c r="H658" s="11" t="b">
        <f t="shared" si="80"/>
        <v>1</v>
      </c>
      <c r="I658" s="11" t="s">
        <v>2090</v>
      </c>
      <c r="K658" s="11" t="b">
        <v>1</v>
      </c>
    </row>
    <row r="659" spans="1:11">
      <c r="A659" s="11" t="s">
        <v>2091</v>
      </c>
      <c r="B659" s="310" t="str">
        <f>报表附注!E1126</f>
        <v>2.公允价值变动合计</v>
      </c>
      <c r="C659" s="321">
        <f t="shared" si="81"/>
        <v>0</v>
      </c>
      <c r="D659" s="11" t="b">
        <f t="shared" si="82"/>
        <v>1</v>
      </c>
      <c r="E659" s="311"/>
      <c r="H659" s="11" t="b">
        <f t="shared" si="80"/>
        <v>0</v>
      </c>
      <c r="I659" s="11" t="s">
        <v>2096</v>
      </c>
      <c r="K659" s="11" t="b">
        <v>1</v>
      </c>
    </row>
    <row r="660" spans="1:11">
      <c r="A660" s="11" t="s">
        <v>2088</v>
      </c>
      <c r="B660" s="310" t="str">
        <f>报表附注!E1127</f>
        <v>（1）房屋、建筑物</v>
      </c>
      <c r="C660" s="321">
        <f t="shared" si="81"/>
        <v>0</v>
      </c>
      <c r="D660" s="11" t="b">
        <f t="shared" si="82"/>
        <v>1</v>
      </c>
      <c r="E660" s="311"/>
      <c r="H660" s="11" t="b">
        <f t="shared" si="80"/>
        <v>0</v>
      </c>
      <c r="I660" s="11" t="s">
        <v>2087</v>
      </c>
      <c r="K660" s="11" t="b">
        <v>1</v>
      </c>
    </row>
    <row r="661" spans="1:11">
      <c r="A661" s="11" t="s">
        <v>2089</v>
      </c>
      <c r="B661" s="310" t="str">
        <f>报表附注!E1128</f>
        <v>（2）土地使用权</v>
      </c>
      <c r="C661" s="321">
        <f t="shared" si="81"/>
        <v>0</v>
      </c>
      <c r="D661" s="11" t="b">
        <f t="shared" si="82"/>
        <v>1</v>
      </c>
      <c r="E661" s="311"/>
      <c r="H661" s="11" t="b">
        <f t="shared" si="80"/>
        <v>0</v>
      </c>
      <c r="I661" s="11" t="s">
        <v>2088</v>
      </c>
      <c r="K661" s="11" t="b">
        <v>1</v>
      </c>
    </row>
    <row r="662" spans="1:11">
      <c r="A662" s="11" t="s">
        <v>2090</v>
      </c>
      <c r="B662" s="310" t="str">
        <f>报表附注!E1129</f>
        <v>（3）其他</v>
      </c>
      <c r="C662" s="321">
        <f t="shared" si="81"/>
        <v>0</v>
      </c>
      <c r="D662" s="11" t="b">
        <f t="shared" si="82"/>
        <v>1</v>
      </c>
      <c r="E662" s="311"/>
      <c r="H662" s="11" t="b">
        <f t="shared" si="80"/>
        <v>0</v>
      </c>
      <c r="I662" s="11" t="s">
        <v>2089</v>
      </c>
      <c r="K662" s="11" t="b">
        <v>1</v>
      </c>
    </row>
    <row r="663" spans="1:11">
      <c r="A663" s="11" t="s">
        <v>2092</v>
      </c>
      <c r="B663" s="310" t="str">
        <f>报表附注!E1130</f>
        <v>3.投资性房地产账面价值合计</v>
      </c>
      <c r="C663" s="321">
        <f t="shared" si="81"/>
        <v>0</v>
      </c>
      <c r="D663" s="11" t="b">
        <f t="shared" si="82"/>
        <v>1</v>
      </c>
      <c r="E663" s="311"/>
      <c r="H663" s="11" t="b">
        <f t="shared" si="80"/>
        <v>0</v>
      </c>
      <c r="I663" s="11" t="s">
        <v>2090</v>
      </c>
      <c r="K663" s="11" t="b">
        <v>1</v>
      </c>
    </row>
    <row r="664" spans="1:11">
      <c r="A664" s="11" t="s">
        <v>2088</v>
      </c>
      <c r="B664" s="310" t="str">
        <f>报表附注!E1131</f>
        <v>（1）房屋、建筑物</v>
      </c>
      <c r="C664" s="321">
        <f t="shared" si="81"/>
        <v>0</v>
      </c>
      <c r="D664" s="11" t="b">
        <f t="shared" si="82"/>
        <v>1</v>
      </c>
      <c r="E664" s="311"/>
      <c r="H664" s="11" t="b">
        <f t="shared" si="80"/>
        <v>0</v>
      </c>
      <c r="I664" s="11" t="s">
        <v>2091</v>
      </c>
      <c r="K664" s="11" t="b">
        <v>1</v>
      </c>
    </row>
    <row r="665" spans="1:11">
      <c r="A665" s="11" t="s">
        <v>2089</v>
      </c>
      <c r="B665" s="310" t="str">
        <f>报表附注!E1132</f>
        <v>（2）土地使用权</v>
      </c>
      <c r="C665" s="321">
        <f t="shared" si="81"/>
        <v>0</v>
      </c>
      <c r="D665" s="11" t="b">
        <f t="shared" si="82"/>
        <v>1</v>
      </c>
      <c r="E665" s="311"/>
      <c r="H665" s="11" t="b">
        <f t="shared" si="80"/>
        <v>0</v>
      </c>
      <c r="I665" s="11" t="s">
        <v>2088</v>
      </c>
      <c r="K665" s="11" t="b">
        <v>1</v>
      </c>
    </row>
    <row r="666" spans="1:11">
      <c r="A666" s="11" t="s">
        <v>2090</v>
      </c>
      <c r="B666" s="310" t="str">
        <f>报表附注!E1133</f>
        <v>（3）其他</v>
      </c>
      <c r="C666" s="321">
        <f t="shared" si="81"/>
        <v>0</v>
      </c>
      <c r="D666" s="11" t="b">
        <f t="shared" si="82"/>
        <v>1</v>
      </c>
      <c r="E666" s="311"/>
      <c r="H666" s="11" t="b">
        <f t="shared" si="80"/>
        <v>0</v>
      </c>
      <c r="I666" s="11" t="s">
        <v>2089</v>
      </c>
      <c r="K666" s="11" t="b">
        <v>1</v>
      </c>
    </row>
    <row r="667" spans="1:11">
      <c r="A667" s="11" t="s">
        <v>2096</v>
      </c>
      <c r="B667" s="333" t="s">
        <v>2096</v>
      </c>
      <c r="C667" s="328">
        <f t="shared" si="81"/>
        <v>0</v>
      </c>
      <c r="D667" s="11" t="b">
        <f t="shared" si="82"/>
        <v>1</v>
      </c>
      <c r="E667" s="326"/>
      <c r="H667" s="11" t="b">
        <f t="shared" si="80"/>
        <v>0</v>
      </c>
      <c r="I667" s="11" t="s">
        <v>2090</v>
      </c>
      <c r="K667" s="11" t="b">
        <v>1</v>
      </c>
    </row>
    <row r="668" spans="1:11">
      <c r="A668" s="11" t="s">
        <v>2087</v>
      </c>
      <c r="B668" s="310" t="str">
        <f>报表附注!E1122</f>
        <v>1.成本合计</v>
      </c>
      <c r="C668" s="321">
        <f t="shared" si="81"/>
        <v>0</v>
      </c>
      <c r="D668" s="11" t="b">
        <f t="shared" si="82"/>
        <v>1</v>
      </c>
      <c r="E668" s="311"/>
      <c r="H668" s="11" t="b">
        <f t="shared" si="80"/>
        <v>0</v>
      </c>
      <c r="I668" s="11" t="s">
        <v>2092</v>
      </c>
      <c r="K668" s="11" t="b">
        <v>1</v>
      </c>
    </row>
    <row r="669" spans="1:11">
      <c r="A669" s="11" t="s">
        <v>2088</v>
      </c>
      <c r="B669" s="310" t="str">
        <f>报表附注!E1123</f>
        <v>（1）房屋、建筑物</v>
      </c>
      <c r="C669" s="321">
        <f t="shared" si="81"/>
        <v>0</v>
      </c>
      <c r="D669" s="11" t="b">
        <f t="shared" si="82"/>
        <v>1</v>
      </c>
      <c r="E669" s="311"/>
      <c r="H669" s="11" t="b">
        <f t="shared" si="80"/>
        <v>1</v>
      </c>
      <c r="I669" s="11" t="s">
        <v>2088</v>
      </c>
      <c r="K669" s="11" t="b">
        <v>1</v>
      </c>
    </row>
    <row r="670" spans="1:11">
      <c r="A670" s="11" t="s">
        <v>2089</v>
      </c>
      <c r="B670" s="310" t="str">
        <f>报表附注!E1124</f>
        <v>（2）土地使用权</v>
      </c>
      <c r="C670" s="321">
        <f t="shared" si="81"/>
        <v>0</v>
      </c>
      <c r="D670" s="11" t="b">
        <f t="shared" si="82"/>
        <v>1</v>
      </c>
      <c r="E670" s="311"/>
      <c r="H670" s="11" t="b">
        <f t="shared" si="80"/>
        <v>1</v>
      </c>
      <c r="I670" s="11" t="s">
        <v>2089</v>
      </c>
      <c r="K670" s="11" t="b">
        <v>1</v>
      </c>
    </row>
    <row r="671" spans="1:11">
      <c r="A671" s="11" t="s">
        <v>2090</v>
      </c>
      <c r="B671" s="310" t="str">
        <f>报表附注!E1125</f>
        <v>（3）其他</v>
      </c>
      <c r="C671" s="321">
        <f t="shared" si="81"/>
        <v>0</v>
      </c>
      <c r="D671" s="11" t="b">
        <f t="shared" si="82"/>
        <v>1</v>
      </c>
      <c r="E671" s="311"/>
      <c r="H671" s="11" t="b">
        <f t="shared" si="80"/>
        <v>1</v>
      </c>
      <c r="I671" s="11" t="s">
        <v>2090</v>
      </c>
      <c r="K671" s="11" t="b">
        <v>1</v>
      </c>
    </row>
    <row r="672" spans="1:11">
      <c r="A672" s="11" t="s">
        <v>2091</v>
      </c>
      <c r="B672" s="310" t="str">
        <f>报表附注!E1126</f>
        <v>2.公允价值变动合计</v>
      </c>
      <c r="C672" s="321">
        <f t="shared" si="81"/>
        <v>0</v>
      </c>
      <c r="D672" s="11" t="b">
        <f t="shared" si="82"/>
        <v>1</v>
      </c>
      <c r="E672" s="311"/>
      <c r="H672" s="11" t="b">
        <f t="shared" si="80"/>
        <v>0</v>
      </c>
      <c r="I672" s="11" t="s">
        <v>2097</v>
      </c>
      <c r="K672" s="11" t="b">
        <v>1</v>
      </c>
    </row>
    <row r="673" spans="1:11">
      <c r="A673" s="11" t="s">
        <v>2088</v>
      </c>
      <c r="B673" s="310" t="str">
        <f>报表附注!E1127</f>
        <v>（1）房屋、建筑物</v>
      </c>
      <c r="C673" s="321">
        <f t="shared" si="81"/>
        <v>0</v>
      </c>
      <c r="D673" s="11" t="b">
        <f t="shared" si="82"/>
        <v>1</v>
      </c>
      <c r="E673" s="311"/>
      <c r="H673" s="11" t="b">
        <f t="shared" si="80"/>
        <v>0</v>
      </c>
      <c r="I673" s="11" t="s">
        <v>2087</v>
      </c>
      <c r="K673" s="11" t="b">
        <v>1</v>
      </c>
    </row>
    <row r="674" spans="1:11">
      <c r="A674" s="11" t="s">
        <v>2089</v>
      </c>
      <c r="B674" s="310" t="str">
        <f>报表附注!E1128</f>
        <v>（2）土地使用权</v>
      </c>
      <c r="C674" s="321">
        <f t="shared" si="81"/>
        <v>0</v>
      </c>
      <c r="D674" s="11" t="b">
        <f t="shared" si="82"/>
        <v>1</v>
      </c>
      <c r="E674" s="311"/>
      <c r="H674" s="11" t="b">
        <f t="shared" si="80"/>
        <v>0</v>
      </c>
      <c r="I674" s="11" t="s">
        <v>2088</v>
      </c>
      <c r="K674" s="11" t="b">
        <v>1</v>
      </c>
    </row>
    <row r="675" spans="1:11">
      <c r="A675" s="11" t="s">
        <v>2090</v>
      </c>
      <c r="B675" s="310" t="str">
        <f>报表附注!E1129</f>
        <v>（3）其他</v>
      </c>
      <c r="C675" s="321">
        <f t="shared" si="81"/>
        <v>0</v>
      </c>
      <c r="D675" s="11" t="b">
        <f t="shared" si="82"/>
        <v>1</v>
      </c>
      <c r="E675" s="311"/>
      <c r="H675" s="11" t="b">
        <f t="shared" si="80"/>
        <v>0</v>
      </c>
      <c r="I675" s="11" t="s">
        <v>2089</v>
      </c>
      <c r="K675" s="11" t="b">
        <v>1</v>
      </c>
    </row>
    <row r="676" spans="1:11">
      <c r="A676" s="11" t="s">
        <v>2092</v>
      </c>
      <c r="B676" s="310" t="str">
        <f>报表附注!E1130</f>
        <v>3.投资性房地产账面价值合计</v>
      </c>
      <c r="C676" s="321">
        <f t="shared" si="81"/>
        <v>0</v>
      </c>
      <c r="D676" s="11" t="b">
        <f t="shared" si="82"/>
        <v>1</v>
      </c>
      <c r="E676" s="311"/>
      <c r="H676" s="11" t="b">
        <f t="shared" si="80"/>
        <v>0</v>
      </c>
      <c r="I676" s="11" t="s">
        <v>2090</v>
      </c>
      <c r="K676" s="11" t="b">
        <v>1</v>
      </c>
    </row>
    <row r="677" spans="1:11">
      <c r="A677" s="11" t="s">
        <v>2088</v>
      </c>
      <c r="B677" s="310" t="str">
        <f>报表附注!E1131</f>
        <v>（1）房屋、建筑物</v>
      </c>
      <c r="C677" s="321">
        <f t="shared" si="81"/>
        <v>0</v>
      </c>
      <c r="D677" s="11" t="b">
        <f t="shared" si="82"/>
        <v>1</v>
      </c>
      <c r="E677" s="311"/>
      <c r="H677" s="11" t="b">
        <f t="shared" si="80"/>
        <v>0</v>
      </c>
      <c r="I677" s="11" t="s">
        <v>2091</v>
      </c>
      <c r="K677" s="11" t="b">
        <v>1</v>
      </c>
    </row>
    <row r="678" spans="1:11">
      <c r="A678" s="11" t="s">
        <v>2089</v>
      </c>
      <c r="B678" s="310" t="str">
        <f>报表附注!E1132</f>
        <v>（2）土地使用权</v>
      </c>
      <c r="C678" s="321">
        <f t="shared" si="81"/>
        <v>0</v>
      </c>
      <c r="D678" s="11" t="b">
        <f t="shared" si="82"/>
        <v>1</v>
      </c>
      <c r="E678" s="311"/>
      <c r="H678" s="11" t="b">
        <f t="shared" si="80"/>
        <v>0</v>
      </c>
      <c r="I678" s="11" t="s">
        <v>2088</v>
      </c>
      <c r="K678" s="11" t="b">
        <v>1</v>
      </c>
    </row>
    <row r="679" spans="1:11">
      <c r="A679" s="11" t="s">
        <v>2090</v>
      </c>
      <c r="B679" s="310" t="str">
        <f>报表附注!E1133</f>
        <v>（3）其他</v>
      </c>
      <c r="C679" s="321">
        <f t="shared" si="81"/>
        <v>0</v>
      </c>
      <c r="D679" s="11" t="b">
        <f t="shared" si="82"/>
        <v>1</v>
      </c>
      <c r="E679" s="311"/>
      <c r="H679" s="11" t="b">
        <f t="shared" si="80"/>
        <v>0</v>
      </c>
      <c r="I679" s="11" t="s">
        <v>2089</v>
      </c>
      <c r="K679" s="11" t="b">
        <v>1</v>
      </c>
    </row>
    <row r="680" spans="1:11">
      <c r="A680" s="11" t="s">
        <v>2097</v>
      </c>
      <c r="B680" s="333" t="s">
        <v>2097</v>
      </c>
      <c r="C680" s="328">
        <f t="shared" ref="C680:C692" si="83">J672</f>
        <v>0</v>
      </c>
      <c r="D680" s="11" t="b">
        <f t="shared" si="82"/>
        <v>1</v>
      </c>
      <c r="E680" s="326"/>
      <c r="H680" s="11" t="b">
        <f t="shared" si="80"/>
        <v>0</v>
      </c>
      <c r="I680" s="11" t="s">
        <v>2090</v>
      </c>
      <c r="K680" s="11" t="b">
        <v>1</v>
      </c>
    </row>
    <row r="681" spans="1:11">
      <c r="A681" s="11" t="s">
        <v>2087</v>
      </c>
      <c r="B681" s="310" t="str">
        <f>报表附注!E1122</f>
        <v>1.成本合计</v>
      </c>
      <c r="C681" s="321">
        <f t="shared" si="83"/>
        <v>0</v>
      </c>
      <c r="D681" s="11" t="b">
        <f t="shared" si="82"/>
        <v>1</v>
      </c>
      <c r="E681" s="311"/>
      <c r="H681" s="11" t="b">
        <f t="shared" si="80"/>
        <v>0</v>
      </c>
      <c r="I681" s="11" t="s">
        <v>2092</v>
      </c>
      <c r="K681" s="11" t="b">
        <v>1</v>
      </c>
    </row>
    <row r="682" spans="1:11">
      <c r="A682" s="11" t="s">
        <v>2088</v>
      </c>
      <c r="B682" s="310" t="str">
        <f>报表附注!E1123</f>
        <v>（1）房屋、建筑物</v>
      </c>
      <c r="C682" s="321">
        <f t="shared" si="83"/>
        <v>0</v>
      </c>
      <c r="D682" s="11" t="b">
        <f t="shared" si="82"/>
        <v>1</v>
      </c>
      <c r="E682" s="311"/>
      <c r="H682" s="11" t="b">
        <f t="shared" si="80"/>
        <v>1</v>
      </c>
      <c r="I682" s="11" t="s">
        <v>2088</v>
      </c>
      <c r="K682" s="11" t="b">
        <v>1</v>
      </c>
    </row>
    <row r="683" spans="1:11">
      <c r="A683" s="11" t="s">
        <v>2089</v>
      </c>
      <c r="B683" s="310" t="str">
        <f>报表附注!E1124</f>
        <v>（2）土地使用权</v>
      </c>
      <c r="C683" s="321">
        <f t="shared" si="83"/>
        <v>0</v>
      </c>
      <c r="D683" s="11" t="b">
        <f t="shared" si="82"/>
        <v>1</v>
      </c>
      <c r="E683" s="311"/>
      <c r="H683" s="11" t="b">
        <f t="shared" si="80"/>
        <v>1</v>
      </c>
      <c r="I683" s="11" t="s">
        <v>2089</v>
      </c>
      <c r="K683" s="11" t="b">
        <v>1</v>
      </c>
    </row>
    <row r="684" spans="1:11">
      <c r="A684" s="11" t="s">
        <v>2090</v>
      </c>
      <c r="B684" s="310" t="str">
        <f>报表附注!E1125</f>
        <v>（3）其他</v>
      </c>
      <c r="C684" s="321">
        <f t="shared" si="83"/>
        <v>0</v>
      </c>
      <c r="D684" s="11" t="b">
        <f t="shared" si="82"/>
        <v>1</v>
      </c>
      <c r="E684" s="311"/>
      <c r="H684" s="11" t="b">
        <f t="shared" si="80"/>
        <v>1</v>
      </c>
      <c r="I684" s="11" t="s">
        <v>2090</v>
      </c>
      <c r="K684" s="11" t="b">
        <v>1</v>
      </c>
    </row>
    <row r="685" spans="1:11">
      <c r="A685" s="11" t="s">
        <v>2091</v>
      </c>
      <c r="B685" s="310" t="str">
        <f>报表附注!E1126</f>
        <v>2.公允价值变动合计</v>
      </c>
      <c r="C685" s="321">
        <f t="shared" si="83"/>
        <v>0</v>
      </c>
      <c r="D685" s="11" t="b">
        <f t="shared" si="82"/>
        <v>1</v>
      </c>
      <c r="E685" s="311"/>
      <c r="H685" s="11" t="b">
        <f t="shared" si="80"/>
        <v>0</v>
      </c>
      <c r="K685" s="11" t="b">
        <v>1</v>
      </c>
    </row>
    <row r="686" spans="1:11">
      <c r="A686" s="11" t="s">
        <v>2088</v>
      </c>
      <c r="B686" s="310" t="str">
        <f>报表附注!E1127</f>
        <v>（1）房屋、建筑物</v>
      </c>
      <c r="C686" s="321">
        <f t="shared" si="83"/>
        <v>0</v>
      </c>
      <c r="D686" s="11" t="b">
        <f t="shared" si="82"/>
        <v>1</v>
      </c>
      <c r="E686" s="311"/>
      <c r="H686" s="11" t="b">
        <f t="shared" si="80"/>
        <v>0</v>
      </c>
      <c r="I686" s="11" t="s">
        <v>2098</v>
      </c>
      <c r="K686" s="11" t="b">
        <v>1</v>
      </c>
    </row>
    <row r="687" spans="1:11">
      <c r="A687" s="11" t="s">
        <v>2089</v>
      </c>
      <c r="B687" s="310" t="str">
        <f>报表附注!E1128</f>
        <v>（2）土地使用权</v>
      </c>
      <c r="C687" s="321">
        <f t="shared" si="83"/>
        <v>0</v>
      </c>
      <c r="D687" s="11" t="b">
        <f t="shared" si="82"/>
        <v>1</v>
      </c>
      <c r="E687" s="311"/>
      <c r="H687" s="11" t="b">
        <f t="shared" si="80"/>
        <v>0</v>
      </c>
      <c r="I687" s="11" t="s">
        <v>671</v>
      </c>
      <c r="K687" s="11" t="b">
        <v>1</v>
      </c>
    </row>
    <row r="688" spans="1:11">
      <c r="A688" s="11" t="s">
        <v>2090</v>
      </c>
      <c r="B688" s="310" t="str">
        <f>报表附注!E1129</f>
        <v>（3）其他</v>
      </c>
      <c r="C688" s="321">
        <f t="shared" si="83"/>
        <v>0</v>
      </c>
      <c r="D688" s="11" t="b">
        <f t="shared" si="82"/>
        <v>1</v>
      </c>
      <c r="E688" s="311"/>
      <c r="H688" s="11" t="b">
        <f t="shared" si="80"/>
        <v>0</v>
      </c>
      <c r="I688" s="11" t="s">
        <v>715</v>
      </c>
      <c r="K688" s="11" t="b">
        <v>1</v>
      </c>
    </row>
    <row r="689" spans="1:11">
      <c r="A689" s="11" t="s">
        <v>2092</v>
      </c>
      <c r="B689" s="310" t="str">
        <f>报表附注!E1130</f>
        <v>3.投资性房地产账面价值合计</v>
      </c>
      <c r="C689" s="321">
        <f t="shared" si="83"/>
        <v>0</v>
      </c>
      <c r="D689" s="11" t="b">
        <f t="shared" si="82"/>
        <v>1</v>
      </c>
      <c r="E689" s="311"/>
      <c r="H689" s="11" t="b">
        <f t="shared" si="80"/>
        <v>0</v>
      </c>
      <c r="I689" s="11" t="s">
        <v>5706</v>
      </c>
      <c r="K689" s="11" t="b">
        <v>0</v>
      </c>
    </row>
    <row r="690" spans="1:11">
      <c r="A690" s="11" t="s">
        <v>2088</v>
      </c>
      <c r="B690" s="310" t="str">
        <f>报表附注!E1131</f>
        <v>（1）房屋、建筑物</v>
      </c>
      <c r="C690" s="321">
        <f t="shared" si="83"/>
        <v>0</v>
      </c>
      <c r="D690" s="11" t="b">
        <f t="shared" si="82"/>
        <v>1</v>
      </c>
      <c r="E690" s="311"/>
      <c r="H690" s="11" t="b">
        <f t="shared" si="80"/>
        <v>0</v>
      </c>
      <c r="I690" s="11" t="s">
        <v>3277</v>
      </c>
      <c r="K690" s="11" t="b">
        <v>0</v>
      </c>
    </row>
    <row r="691" spans="1:11">
      <c r="A691" s="11" t="s">
        <v>2089</v>
      </c>
      <c r="B691" s="310" t="str">
        <f>报表附注!E1132</f>
        <v>（2）土地使用权</v>
      </c>
      <c r="C691" s="321">
        <f t="shared" si="83"/>
        <v>0</v>
      </c>
      <c r="D691" s="11" t="b">
        <f t="shared" si="82"/>
        <v>1</v>
      </c>
      <c r="E691" s="311"/>
      <c r="H691" s="11" t="b">
        <f t="shared" si="80"/>
        <v>0</v>
      </c>
      <c r="I691" s="11" t="s">
        <v>3278</v>
      </c>
      <c r="K691" s="11" t="b">
        <v>0</v>
      </c>
    </row>
    <row r="692" spans="1:11">
      <c r="A692" s="11" t="s">
        <v>2090</v>
      </c>
      <c r="B692" s="310" t="str">
        <f>报表附注!E1133</f>
        <v>（3）其他</v>
      </c>
      <c r="C692" s="321">
        <f t="shared" si="83"/>
        <v>0</v>
      </c>
      <c r="D692" s="11" t="b">
        <f t="shared" si="82"/>
        <v>1</v>
      </c>
      <c r="E692" s="311"/>
      <c r="H692" s="11" t="b">
        <f t="shared" si="80"/>
        <v>0</v>
      </c>
      <c r="I692" s="11" t="s">
        <v>3279</v>
      </c>
      <c r="K692" s="11" t="b">
        <v>0</v>
      </c>
    </row>
    <row r="693" spans="4:11">
      <c r="D693" s="11" t="b">
        <f t="shared" si="82"/>
        <v>1</v>
      </c>
      <c r="H693" s="11" t="b">
        <f t="shared" si="80"/>
        <v>1</v>
      </c>
      <c r="I693" s="11">
        <v>0</v>
      </c>
      <c r="K693" s="11" t="b">
        <v>0</v>
      </c>
    </row>
    <row r="694" spans="1:11">
      <c r="A694" s="11" t="s">
        <v>2098</v>
      </c>
      <c r="B694" s="329" t="s">
        <v>2098</v>
      </c>
      <c r="D694" s="11" t="b">
        <f t="shared" si="82"/>
        <v>1</v>
      </c>
      <c r="H694" s="11" t="b">
        <f t="shared" si="80"/>
        <v>0</v>
      </c>
      <c r="I694" s="11" t="s">
        <v>760</v>
      </c>
      <c r="K694" s="11" t="b">
        <v>1</v>
      </c>
    </row>
    <row r="695" spans="1:11">
      <c r="A695" s="11" t="s">
        <v>671</v>
      </c>
      <c r="B695" s="333" t="s">
        <v>671</v>
      </c>
      <c r="D695" s="11" t="b">
        <f t="shared" si="82"/>
        <v>1</v>
      </c>
      <c r="H695" s="11" t="b">
        <f t="shared" si="80"/>
        <v>0</v>
      </c>
      <c r="I695" s="11" t="s">
        <v>5706</v>
      </c>
      <c r="K695" s="11" t="b">
        <v>0</v>
      </c>
    </row>
    <row r="696" spans="1:11">
      <c r="A696" s="11" t="s">
        <v>715</v>
      </c>
      <c r="B696" s="310" t="str">
        <f>报表附注!E1144</f>
        <v>一、原价合计</v>
      </c>
      <c r="C696" s="321">
        <f t="shared" ref="C696:C727" si="84">J688</f>
        <v>0</v>
      </c>
      <c r="D696" s="11" t="b">
        <f t="shared" si="82"/>
        <v>1</v>
      </c>
      <c r="E696" s="321">
        <f>C760</f>
        <v>0</v>
      </c>
      <c r="H696" s="11" t="b">
        <f t="shared" si="80"/>
        <v>0</v>
      </c>
      <c r="I696" s="11" t="s">
        <v>3277</v>
      </c>
      <c r="K696" s="11" t="b">
        <v>0</v>
      </c>
    </row>
    <row r="697" spans="1:11">
      <c r="A697" s="11" t="s">
        <v>2099</v>
      </c>
      <c r="B697" s="310" t="str">
        <f>报表附注!E1145</f>
        <v>    其中：节能服务资产</v>
      </c>
      <c r="C697" s="321">
        <f t="shared" si="84"/>
        <v>0</v>
      </c>
      <c r="D697" s="11" t="b">
        <f t="shared" si="82"/>
        <v>0</v>
      </c>
      <c r="E697" s="321">
        <f t="shared" ref="E697:E707" si="85">C761</f>
        <v>0</v>
      </c>
      <c r="H697" s="11" t="b">
        <f t="shared" si="80"/>
        <v>0</v>
      </c>
      <c r="I697" s="11" t="s">
        <v>3278</v>
      </c>
      <c r="K697" s="11" t="b">
        <v>0</v>
      </c>
    </row>
    <row r="698" spans="1:11">
      <c r="A698" s="11" t="s">
        <v>2100</v>
      </c>
      <c r="B698" s="310" t="str">
        <f>报表附注!E1146</f>
        <v>        机器设备</v>
      </c>
      <c r="C698" s="321">
        <f t="shared" si="84"/>
        <v>0</v>
      </c>
      <c r="D698" s="11" t="b">
        <f t="shared" si="82"/>
        <v>0</v>
      </c>
      <c r="E698" s="321">
        <f t="shared" si="85"/>
        <v>0</v>
      </c>
      <c r="H698" s="11" t="b">
        <f t="shared" si="80"/>
        <v>0</v>
      </c>
      <c r="I698" s="11" t="s">
        <v>3279</v>
      </c>
      <c r="K698" s="11" t="b">
        <v>0</v>
      </c>
    </row>
    <row r="699" spans="1:11">
      <c r="A699" s="11" t="s">
        <v>2101</v>
      </c>
      <c r="B699" s="310" t="str">
        <f>报表附注!E1147</f>
        <v>        运输工具</v>
      </c>
      <c r="C699" s="321">
        <f t="shared" si="84"/>
        <v>0</v>
      </c>
      <c r="D699" s="11" t="b">
        <f t="shared" si="82"/>
        <v>0</v>
      </c>
      <c r="E699" s="321">
        <f t="shared" si="85"/>
        <v>0</v>
      </c>
      <c r="H699" s="11" t="b">
        <f t="shared" si="80"/>
        <v>0</v>
      </c>
      <c r="I699" s="11">
        <v>0</v>
      </c>
      <c r="K699" s="11" t="b">
        <v>0</v>
      </c>
    </row>
    <row r="700" spans="1:11">
      <c r="A700" s="11" t="s">
        <v>2102</v>
      </c>
      <c r="B700" s="310" t="str">
        <f>报表附注!E1148</f>
        <v>        电子设备及其他</v>
      </c>
      <c r="C700" s="321">
        <f t="shared" si="84"/>
        <v>0</v>
      </c>
      <c r="D700" s="11" t="b">
        <f t="shared" si="82"/>
        <v>0</v>
      </c>
      <c r="E700" s="321">
        <f t="shared" si="85"/>
        <v>0</v>
      </c>
      <c r="H700" s="11" t="b">
        <f t="shared" si="80"/>
        <v>0</v>
      </c>
      <c r="I700" s="11" t="s">
        <v>2103</v>
      </c>
      <c r="K700" s="11" t="b">
        <v>1</v>
      </c>
    </row>
    <row r="701" spans="1:11">
      <c r="A701" s="11">
        <v>0</v>
      </c>
      <c r="B701" s="310">
        <f>报表附注!E1149</f>
        <v>0</v>
      </c>
      <c r="C701" s="321">
        <f t="shared" si="84"/>
        <v>0</v>
      </c>
      <c r="D701" s="11" t="b">
        <f t="shared" si="82"/>
        <v>1</v>
      </c>
      <c r="E701" s="321">
        <f t="shared" si="85"/>
        <v>0</v>
      </c>
      <c r="H701" s="11" t="b">
        <f t="shared" si="80"/>
        <v>0</v>
      </c>
      <c r="I701" s="11" t="s">
        <v>5706</v>
      </c>
      <c r="K701" s="11" t="b">
        <v>0</v>
      </c>
    </row>
    <row r="702" spans="1:11">
      <c r="A702" s="11" t="s">
        <v>760</v>
      </c>
      <c r="B702" s="310" t="str">
        <f>报表附注!E1151</f>
        <v>二、累计折旧合计</v>
      </c>
      <c r="C702" s="321">
        <f t="shared" si="84"/>
        <v>0</v>
      </c>
      <c r="D702" s="11" t="b">
        <f t="shared" si="82"/>
        <v>1</v>
      </c>
      <c r="E702" s="321">
        <f t="shared" si="85"/>
        <v>0</v>
      </c>
      <c r="H702" s="11" t="b">
        <f t="shared" si="80"/>
        <v>0</v>
      </c>
      <c r="I702" s="11" t="s">
        <v>3277</v>
      </c>
      <c r="K702" s="11" t="b">
        <v>0</v>
      </c>
    </row>
    <row r="703" spans="1:11">
      <c r="A703" s="11" t="s">
        <v>2099</v>
      </c>
      <c r="B703" s="310" t="str">
        <f>报表附注!E1152</f>
        <v>    其中：节能服务资产</v>
      </c>
      <c r="C703" s="321">
        <f t="shared" si="84"/>
        <v>0</v>
      </c>
      <c r="D703" s="11" t="b">
        <f t="shared" si="82"/>
        <v>0</v>
      </c>
      <c r="E703" s="321">
        <f t="shared" si="85"/>
        <v>0</v>
      </c>
      <c r="H703" s="11" t="b">
        <f t="shared" si="80"/>
        <v>0</v>
      </c>
      <c r="I703" s="11" t="s">
        <v>3278</v>
      </c>
      <c r="K703" s="11" t="b">
        <v>0</v>
      </c>
    </row>
    <row r="704" spans="1:11">
      <c r="A704" s="11" t="s">
        <v>2100</v>
      </c>
      <c r="B704" s="310" t="str">
        <f>报表附注!E1153</f>
        <v>        机器设备</v>
      </c>
      <c r="C704" s="321">
        <f t="shared" si="84"/>
        <v>0</v>
      </c>
      <c r="D704" s="11" t="b">
        <f t="shared" si="82"/>
        <v>0</v>
      </c>
      <c r="E704" s="321">
        <f t="shared" si="85"/>
        <v>0</v>
      </c>
      <c r="H704" s="11" t="b">
        <f t="shared" si="80"/>
        <v>0</v>
      </c>
      <c r="I704" s="11" t="s">
        <v>3279</v>
      </c>
      <c r="K704" s="11" t="b">
        <v>0</v>
      </c>
    </row>
    <row r="705" spans="1:11">
      <c r="A705" s="11" t="s">
        <v>2101</v>
      </c>
      <c r="B705" s="310" t="str">
        <f>报表附注!E1154</f>
        <v>        运输工具</v>
      </c>
      <c r="C705" s="321">
        <f t="shared" si="84"/>
        <v>0</v>
      </c>
      <c r="D705" s="11" t="b">
        <f t="shared" si="82"/>
        <v>0</v>
      </c>
      <c r="E705" s="321">
        <f t="shared" si="85"/>
        <v>0</v>
      </c>
      <c r="H705" s="11" t="b">
        <f t="shared" si="80"/>
        <v>0</v>
      </c>
      <c r="I705" s="11">
        <v>0</v>
      </c>
      <c r="K705" s="11" t="b">
        <v>0</v>
      </c>
    </row>
    <row r="706" spans="1:11">
      <c r="A706" s="11" t="s">
        <v>2102</v>
      </c>
      <c r="B706" s="310" t="str">
        <f>报表附注!E1155</f>
        <v>        电子设备及其他</v>
      </c>
      <c r="C706" s="321">
        <f t="shared" si="84"/>
        <v>0</v>
      </c>
      <c r="D706" s="11" t="b">
        <f t="shared" si="82"/>
        <v>0</v>
      </c>
      <c r="E706" s="321">
        <f t="shared" si="85"/>
        <v>0</v>
      </c>
      <c r="H706" s="11" t="b">
        <f t="shared" si="80"/>
        <v>0</v>
      </c>
      <c r="I706" s="11" t="s">
        <v>672</v>
      </c>
      <c r="K706" s="11" t="b">
        <v>1</v>
      </c>
    </row>
    <row r="707" spans="1:11">
      <c r="A707" s="11">
        <v>0</v>
      </c>
      <c r="B707" s="334">
        <f>报表附注!E1156</f>
        <v>0</v>
      </c>
      <c r="C707" s="321">
        <f t="shared" si="84"/>
        <v>0</v>
      </c>
      <c r="D707" s="11" t="b">
        <f t="shared" si="82"/>
        <v>1</v>
      </c>
      <c r="E707" s="321">
        <f t="shared" si="85"/>
        <v>0</v>
      </c>
      <c r="H707" s="11" t="b">
        <f t="shared" si="80"/>
        <v>0</v>
      </c>
      <c r="I707" s="11" t="s">
        <v>715</v>
      </c>
      <c r="K707" s="11" t="b">
        <v>1</v>
      </c>
    </row>
    <row r="708" spans="1:11">
      <c r="A708" s="11" t="s">
        <v>2103</v>
      </c>
      <c r="B708" s="310" t="str">
        <f>报表附注!E1157</f>
        <v>三、固定资产减值准备合计</v>
      </c>
      <c r="C708" s="321">
        <f t="shared" si="84"/>
        <v>0</v>
      </c>
      <c r="D708" s="11" t="b">
        <f t="shared" si="82"/>
        <v>1</v>
      </c>
      <c r="E708" s="321">
        <f>C773</f>
        <v>0</v>
      </c>
      <c r="H708" s="11" t="b">
        <f t="shared" ref="H708:H771" si="86">I708=B708</f>
        <v>0</v>
      </c>
      <c r="I708" s="11" t="s">
        <v>5706</v>
      </c>
      <c r="K708" s="11" t="b">
        <v>0</v>
      </c>
    </row>
    <row r="709" spans="1:11">
      <c r="A709" s="11" t="s">
        <v>2099</v>
      </c>
      <c r="B709" s="310" t="str">
        <f>报表附注!E1158</f>
        <v>    其中：节能服务资产</v>
      </c>
      <c r="C709" s="321">
        <f t="shared" si="84"/>
        <v>0</v>
      </c>
      <c r="D709" s="11" t="b">
        <f t="shared" si="82"/>
        <v>0</v>
      </c>
      <c r="E709" s="321">
        <f t="shared" ref="E709:E713" si="87">C774</f>
        <v>0</v>
      </c>
      <c r="H709" s="11" t="b">
        <f t="shared" si="86"/>
        <v>0</v>
      </c>
      <c r="I709" s="11" t="s">
        <v>3277</v>
      </c>
      <c r="K709" s="11" t="b">
        <v>0</v>
      </c>
    </row>
    <row r="710" spans="1:11">
      <c r="A710" s="11" t="s">
        <v>2100</v>
      </c>
      <c r="B710" s="310" t="str">
        <f>报表附注!E1159</f>
        <v>        机器设备</v>
      </c>
      <c r="C710" s="321">
        <f t="shared" si="84"/>
        <v>0</v>
      </c>
      <c r="D710" s="11" t="b">
        <f t="shared" si="82"/>
        <v>0</v>
      </c>
      <c r="E710" s="321">
        <f t="shared" si="87"/>
        <v>0</v>
      </c>
      <c r="H710" s="11" t="b">
        <f t="shared" si="86"/>
        <v>0</v>
      </c>
      <c r="I710" s="11" t="s">
        <v>3278</v>
      </c>
      <c r="K710" s="11" t="b">
        <v>0</v>
      </c>
    </row>
    <row r="711" spans="1:11">
      <c r="A711" s="11" t="s">
        <v>2101</v>
      </c>
      <c r="B711" s="310" t="str">
        <f>报表附注!E1160</f>
        <v>        运输工具</v>
      </c>
      <c r="C711" s="321">
        <f t="shared" si="84"/>
        <v>0</v>
      </c>
      <c r="D711" s="11" t="b">
        <f t="shared" si="82"/>
        <v>0</v>
      </c>
      <c r="E711" s="321">
        <f t="shared" si="87"/>
        <v>0</v>
      </c>
      <c r="H711" s="11" t="b">
        <f t="shared" si="86"/>
        <v>0</v>
      </c>
      <c r="I711" s="11" t="s">
        <v>3279</v>
      </c>
      <c r="K711" s="11" t="b">
        <v>0</v>
      </c>
    </row>
    <row r="712" spans="1:11">
      <c r="A712" s="11" t="s">
        <v>2102</v>
      </c>
      <c r="B712" s="310" t="str">
        <f>报表附注!E1161</f>
        <v>        电子设备及其他</v>
      </c>
      <c r="C712" s="321">
        <f t="shared" si="84"/>
        <v>0</v>
      </c>
      <c r="D712" s="11" t="b">
        <f t="shared" si="82"/>
        <v>0</v>
      </c>
      <c r="E712" s="321">
        <f t="shared" si="87"/>
        <v>0</v>
      </c>
      <c r="H712" s="11" t="b">
        <f t="shared" si="86"/>
        <v>0</v>
      </c>
      <c r="I712" s="11">
        <v>0</v>
      </c>
      <c r="K712" s="11" t="b">
        <v>0</v>
      </c>
    </row>
    <row r="713" spans="1:11">
      <c r="A713" s="11">
        <v>0</v>
      </c>
      <c r="B713" s="334">
        <f>报表附注!E1162</f>
        <v>0</v>
      </c>
      <c r="C713" s="321">
        <f t="shared" si="84"/>
        <v>0</v>
      </c>
      <c r="D713" s="11" t="b">
        <f t="shared" si="82"/>
        <v>1</v>
      </c>
      <c r="E713" s="321">
        <f t="shared" si="87"/>
        <v>0</v>
      </c>
      <c r="H713" s="11" t="b">
        <f t="shared" si="86"/>
        <v>0</v>
      </c>
      <c r="I713" s="11" t="s">
        <v>760</v>
      </c>
      <c r="K713" s="11" t="b">
        <v>1</v>
      </c>
    </row>
    <row r="714" spans="1:11">
      <c r="A714" s="11" t="s">
        <v>672</v>
      </c>
      <c r="B714" s="333" t="s">
        <v>672</v>
      </c>
      <c r="C714" s="328">
        <f t="shared" si="84"/>
        <v>0</v>
      </c>
      <c r="D714" s="11" t="b">
        <f t="shared" si="82"/>
        <v>1</v>
      </c>
      <c r="H714" s="11" t="b">
        <f t="shared" si="86"/>
        <v>0</v>
      </c>
      <c r="I714" s="11" t="s">
        <v>5706</v>
      </c>
      <c r="K714" s="11" t="b">
        <v>0</v>
      </c>
    </row>
    <row r="715" spans="1:11">
      <c r="A715" s="11" t="s">
        <v>715</v>
      </c>
      <c r="B715" s="310" t="str">
        <f>报表附注!E1144</f>
        <v>一、原价合计</v>
      </c>
      <c r="C715" s="321">
        <f t="shared" si="84"/>
        <v>0</v>
      </c>
      <c r="D715" s="11" t="b">
        <f t="shared" si="82"/>
        <v>1</v>
      </c>
      <c r="E715" s="311"/>
      <c r="H715" s="11" t="b">
        <f t="shared" si="86"/>
        <v>0</v>
      </c>
      <c r="I715" s="11" t="s">
        <v>3277</v>
      </c>
      <c r="K715" s="11" t="b">
        <v>0</v>
      </c>
    </row>
    <row r="716" spans="1:11">
      <c r="A716" s="11" t="s">
        <v>2099</v>
      </c>
      <c r="B716" s="310" t="str">
        <f>报表附注!E1145</f>
        <v>    其中：节能服务资产</v>
      </c>
      <c r="C716" s="321">
        <f t="shared" si="84"/>
        <v>0</v>
      </c>
      <c r="D716" s="11" t="b">
        <f t="shared" ref="D716:D779" si="88">EXACT(A716,B716)</f>
        <v>0</v>
      </c>
      <c r="E716" s="311"/>
      <c r="H716" s="11" t="b">
        <f t="shared" si="86"/>
        <v>0</v>
      </c>
      <c r="I716" s="11" t="s">
        <v>3278</v>
      </c>
      <c r="K716" s="11" t="b">
        <v>0</v>
      </c>
    </row>
    <row r="717" spans="1:11">
      <c r="A717" s="11" t="s">
        <v>2100</v>
      </c>
      <c r="B717" s="310" t="str">
        <f>报表附注!E1146</f>
        <v>        机器设备</v>
      </c>
      <c r="C717" s="321">
        <f t="shared" si="84"/>
        <v>0</v>
      </c>
      <c r="D717" s="11" t="b">
        <f t="shared" si="88"/>
        <v>0</v>
      </c>
      <c r="E717" s="311"/>
      <c r="H717" s="11" t="b">
        <f t="shared" si="86"/>
        <v>0</v>
      </c>
      <c r="I717" s="11" t="s">
        <v>3279</v>
      </c>
      <c r="K717" s="11" t="b">
        <v>0</v>
      </c>
    </row>
    <row r="718" spans="1:11">
      <c r="A718" s="11" t="s">
        <v>2101</v>
      </c>
      <c r="B718" s="310" t="str">
        <f>报表附注!E1147</f>
        <v>        运输工具</v>
      </c>
      <c r="C718" s="321">
        <f t="shared" si="84"/>
        <v>0</v>
      </c>
      <c r="D718" s="11" t="b">
        <f t="shared" si="88"/>
        <v>0</v>
      </c>
      <c r="E718" s="311"/>
      <c r="H718" s="11" t="b">
        <f t="shared" si="86"/>
        <v>0</v>
      </c>
      <c r="I718" s="11">
        <v>0</v>
      </c>
      <c r="K718" s="11" t="b">
        <v>0</v>
      </c>
    </row>
    <row r="719" spans="1:11">
      <c r="A719" s="11" t="s">
        <v>2102</v>
      </c>
      <c r="B719" s="310" t="str">
        <f>报表附注!E1148</f>
        <v>        电子设备及其他</v>
      </c>
      <c r="C719" s="321">
        <f t="shared" si="84"/>
        <v>0</v>
      </c>
      <c r="D719" s="11" t="b">
        <f t="shared" si="88"/>
        <v>0</v>
      </c>
      <c r="E719" s="311"/>
      <c r="H719" s="11" t="b">
        <f t="shared" si="86"/>
        <v>0</v>
      </c>
      <c r="I719" s="11" t="s">
        <v>2103</v>
      </c>
      <c r="K719" s="11" t="b">
        <v>1</v>
      </c>
    </row>
    <row r="720" spans="1:11">
      <c r="A720" s="11">
        <v>0</v>
      </c>
      <c r="B720" s="310">
        <f>报表附注!E1149</f>
        <v>0</v>
      </c>
      <c r="C720" s="321">
        <f t="shared" si="84"/>
        <v>0</v>
      </c>
      <c r="D720" s="11" t="b">
        <f t="shared" si="88"/>
        <v>1</v>
      </c>
      <c r="E720" s="311"/>
      <c r="H720" s="11" t="b">
        <f t="shared" si="86"/>
        <v>0</v>
      </c>
      <c r="I720" s="11" t="s">
        <v>5706</v>
      </c>
      <c r="K720" s="11" t="b">
        <v>0</v>
      </c>
    </row>
    <row r="721" spans="1:11">
      <c r="A721" s="11" t="s">
        <v>760</v>
      </c>
      <c r="B721" s="310" t="str">
        <f>报表附注!E1151</f>
        <v>二、累计折旧合计</v>
      </c>
      <c r="C721" s="321">
        <f t="shared" si="84"/>
        <v>0</v>
      </c>
      <c r="D721" s="11" t="b">
        <f t="shared" si="88"/>
        <v>1</v>
      </c>
      <c r="E721" s="311"/>
      <c r="H721" s="11" t="b">
        <f t="shared" si="86"/>
        <v>0</v>
      </c>
      <c r="I721" s="11" t="s">
        <v>3277</v>
      </c>
      <c r="K721" s="11" t="b">
        <v>0</v>
      </c>
    </row>
    <row r="722" spans="1:11">
      <c r="A722" s="11" t="s">
        <v>2099</v>
      </c>
      <c r="B722" s="310" t="str">
        <f>报表附注!E1152</f>
        <v>    其中：节能服务资产</v>
      </c>
      <c r="C722" s="321">
        <f t="shared" si="84"/>
        <v>0</v>
      </c>
      <c r="D722" s="11" t="b">
        <f t="shared" si="88"/>
        <v>0</v>
      </c>
      <c r="E722" s="311"/>
      <c r="H722" s="11" t="b">
        <f t="shared" si="86"/>
        <v>0</v>
      </c>
      <c r="I722" s="11" t="s">
        <v>3278</v>
      </c>
      <c r="K722" s="11" t="b">
        <v>0</v>
      </c>
    </row>
    <row r="723" spans="1:11">
      <c r="A723" s="11" t="s">
        <v>2100</v>
      </c>
      <c r="B723" s="310" t="str">
        <f>报表附注!E1153</f>
        <v>        机器设备</v>
      </c>
      <c r="C723" s="321">
        <f t="shared" si="84"/>
        <v>0</v>
      </c>
      <c r="D723" s="11" t="b">
        <f t="shared" si="88"/>
        <v>0</v>
      </c>
      <c r="E723" s="311"/>
      <c r="H723" s="11" t="b">
        <f t="shared" si="86"/>
        <v>0</v>
      </c>
      <c r="I723" s="11" t="s">
        <v>3279</v>
      </c>
      <c r="K723" s="11" t="b">
        <v>0</v>
      </c>
    </row>
    <row r="724" spans="1:11">
      <c r="A724" s="11" t="s">
        <v>2101</v>
      </c>
      <c r="B724" s="310" t="str">
        <f>报表附注!E1154</f>
        <v>        运输工具</v>
      </c>
      <c r="C724" s="321">
        <f t="shared" si="84"/>
        <v>0</v>
      </c>
      <c r="D724" s="11" t="b">
        <f t="shared" si="88"/>
        <v>0</v>
      </c>
      <c r="E724" s="311"/>
      <c r="H724" s="11" t="b">
        <f t="shared" si="86"/>
        <v>0</v>
      </c>
      <c r="I724" s="11">
        <v>0</v>
      </c>
      <c r="K724" s="11" t="b">
        <v>0</v>
      </c>
    </row>
    <row r="725" spans="1:11">
      <c r="A725" s="11" t="s">
        <v>2102</v>
      </c>
      <c r="B725" s="310" t="str">
        <f>报表附注!E1155</f>
        <v>        电子设备及其他</v>
      </c>
      <c r="C725" s="321">
        <f t="shared" si="84"/>
        <v>0</v>
      </c>
      <c r="D725" s="11" t="b">
        <f t="shared" si="88"/>
        <v>0</v>
      </c>
      <c r="E725" s="311"/>
      <c r="H725" s="11" t="b">
        <f t="shared" si="86"/>
        <v>0</v>
      </c>
      <c r="I725" s="11" t="s">
        <v>2104</v>
      </c>
      <c r="K725" s="11" t="b">
        <v>1</v>
      </c>
    </row>
    <row r="726" spans="1:11">
      <c r="A726" s="11">
        <v>0</v>
      </c>
      <c r="B726" s="334">
        <f>报表附注!E1156</f>
        <v>0</v>
      </c>
      <c r="C726" s="321">
        <f t="shared" si="84"/>
        <v>0</v>
      </c>
      <c r="D726" s="11" t="b">
        <f t="shared" si="88"/>
        <v>1</v>
      </c>
      <c r="E726" s="311"/>
      <c r="H726" s="11" t="b">
        <f t="shared" si="86"/>
        <v>0</v>
      </c>
      <c r="I726" s="11" t="s">
        <v>760</v>
      </c>
      <c r="K726" s="11" t="b">
        <v>1</v>
      </c>
    </row>
    <row r="727" spans="1:11">
      <c r="A727" s="11" t="s">
        <v>2103</v>
      </c>
      <c r="B727" s="310" t="str">
        <f>报表附注!E1157</f>
        <v>三、固定资产减值准备合计</v>
      </c>
      <c r="C727" s="321">
        <f t="shared" si="84"/>
        <v>0</v>
      </c>
      <c r="D727" s="11" t="b">
        <f t="shared" si="88"/>
        <v>1</v>
      </c>
      <c r="E727" s="311"/>
      <c r="H727" s="11" t="b">
        <f t="shared" si="86"/>
        <v>0</v>
      </c>
      <c r="I727" s="11" t="s">
        <v>5706</v>
      </c>
      <c r="K727" s="11" t="b">
        <v>0</v>
      </c>
    </row>
    <row r="728" spans="1:11">
      <c r="A728" s="11" t="s">
        <v>2099</v>
      </c>
      <c r="B728" s="310" t="str">
        <f>报表附注!E1158</f>
        <v>    其中：节能服务资产</v>
      </c>
      <c r="C728" s="321">
        <f t="shared" ref="C728:C759" si="89">J720</f>
        <v>0</v>
      </c>
      <c r="D728" s="11" t="b">
        <f t="shared" si="88"/>
        <v>0</v>
      </c>
      <c r="E728" s="311"/>
      <c r="H728" s="11" t="b">
        <f t="shared" si="86"/>
        <v>0</v>
      </c>
      <c r="I728" s="11" t="s">
        <v>3277</v>
      </c>
      <c r="K728" s="11" t="b">
        <v>0</v>
      </c>
    </row>
    <row r="729" spans="1:11">
      <c r="A729" s="11" t="s">
        <v>2100</v>
      </c>
      <c r="B729" s="310" t="str">
        <f>报表附注!E1159</f>
        <v>        机器设备</v>
      </c>
      <c r="C729" s="321">
        <f t="shared" si="89"/>
        <v>0</v>
      </c>
      <c r="D729" s="11" t="b">
        <f t="shared" si="88"/>
        <v>0</v>
      </c>
      <c r="E729" s="311"/>
      <c r="H729" s="11" t="b">
        <f t="shared" si="86"/>
        <v>0</v>
      </c>
      <c r="I729" s="11" t="s">
        <v>3278</v>
      </c>
      <c r="K729" s="11" t="b">
        <v>0</v>
      </c>
    </row>
    <row r="730" spans="1:11">
      <c r="A730" s="11" t="s">
        <v>2101</v>
      </c>
      <c r="B730" s="310" t="str">
        <f>报表附注!E1160</f>
        <v>        运输工具</v>
      </c>
      <c r="C730" s="321">
        <f t="shared" si="89"/>
        <v>0</v>
      </c>
      <c r="D730" s="11" t="b">
        <f t="shared" si="88"/>
        <v>0</v>
      </c>
      <c r="E730" s="311"/>
      <c r="H730" s="11" t="b">
        <f t="shared" si="86"/>
        <v>0</v>
      </c>
      <c r="I730" s="11" t="s">
        <v>3279</v>
      </c>
      <c r="K730" s="11" t="b">
        <v>0</v>
      </c>
    </row>
    <row r="731" spans="1:11">
      <c r="A731" s="11" t="s">
        <v>2102</v>
      </c>
      <c r="B731" s="310" t="str">
        <f>报表附注!E1161</f>
        <v>        电子设备及其他</v>
      </c>
      <c r="C731" s="321">
        <f t="shared" si="89"/>
        <v>0</v>
      </c>
      <c r="D731" s="11" t="b">
        <f t="shared" si="88"/>
        <v>0</v>
      </c>
      <c r="E731" s="311"/>
      <c r="H731" s="11" t="b">
        <f t="shared" si="86"/>
        <v>0</v>
      </c>
      <c r="I731" s="11">
        <v>0</v>
      </c>
      <c r="K731" s="11" t="b">
        <v>0</v>
      </c>
    </row>
    <row r="732" spans="1:11">
      <c r="A732" s="11">
        <v>0</v>
      </c>
      <c r="B732" s="334">
        <f>报表附注!E1162</f>
        <v>0</v>
      </c>
      <c r="C732" s="321">
        <f t="shared" si="89"/>
        <v>0</v>
      </c>
      <c r="D732" s="11" t="b">
        <f t="shared" si="88"/>
        <v>1</v>
      </c>
      <c r="E732" s="311"/>
      <c r="H732" s="11" t="b">
        <f t="shared" si="86"/>
        <v>0</v>
      </c>
      <c r="I732" s="11" t="s">
        <v>673</v>
      </c>
      <c r="K732" s="11" t="b">
        <v>1</v>
      </c>
    </row>
    <row r="733" spans="1:11">
      <c r="A733" s="11" t="s">
        <v>2104</v>
      </c>
      <c r="B733" s="349" t="s">
        <v>2104</v>
      </c>
      <c r="C733" s="321">
        <f t="shared" si="89"/>
        <v>0</v>
      </c>
      <c r="D733" s="11" t="b">
        <f t="shared" si="88"/>
        <v>1</v>
      </c>
      <c r="E733" s="311"/>
      <c r="H733" s="11" t="b">
        <f t="shared" si="86"/>
        <v>0</v>
      </c>
      <c r="I733" s="11" t="s">
        <v>715</v>
      </c>
      <c r="K733" s="11" t="b">
        <v>1</v>
      </c>
    </row>
    <row r="734" spans="1:11">
      <c r="A734" s="11" t="s">
        <v>760</v>
      </c>
      <c r="B734" s="350" t="str">
        <f t="shared" ref="B734:B739" si="90">B721</f>
        <v>二、累计折旧合计</v>
      </c>
      <c r="C734" s="321">
        <f t="shared" si="89"/>
        <v>0</v>
      </c>
      <c r="D734" s="11" t="b">
        <f t="shared" si="88"/>
        <v>1</v>
      </c>
      <c r="E734" s="311"/>
      <c r="H734" s="11" t="b">
        <f t="shared" si="86"/>
        <v>0</v>
      </c>
      <c r="I734" s="11" t="s">
        <v>5706</v>
      </c>
      <c r="K734" s="11" t="b">
        <v>0</v>
      </c>
    </row>
    <row r="735" spans="1:11">
      <c r="A735" s="11" t="s">
        <v>2099</v>
      </c>
      <c r="B735" s="350" t="str">
        <f t="shared" si="90"/>
        <v>    其中：节能服务资产</v>
      </c>
      <c r="C735" s="321">
        <f t="shared" si="89"/>
        <v>0</v>
      </c>
      <c r="D735" s="11" t="b">
        <f t="shared" si="88"/>
        <v>0</v>
      </c>
      <c r="E735" s="311"/>
      <c r="H735" s="11" t="b">
        <f t="shared" si="86"/>
        <v>0</v>
      </c>
      <c r="I735" s="11" t="s">
        <v>3277</v>
      </c>
      <c r="K735" s="11" t="b">
        <v>0</v>
      </c>
    </row>
    <row r="736" spans="1:11">
      <c r="A736" s="11" t="s">
        <v>2100</v>
      </c>
      <c r="B736" s="350" t="str">
        <f t="shared" si="90"/>
        <v>        机器设备</v>
      </c>
      <c r="C736" s="321">
        <f t="shared" si="89"/>
        <v>0</v>
      </c>
      <c r="D736" s="11" t="b">
        <f t="shared" si="88"/>
        <v>0</v>
      </c>
      <c r="E736" s="311"/>
      <c r="H736" s="11" t="b">
        <f t="shared" si="86"/>
        <v>0</v>
      </c>
      <c r="I736" s="11" t="s">
        <v>3278</v>
      </c>
      <c r="K736" s="11" t="b">
        <v>0</v>
      </c>
    </row>
    <row r="737" spans="1:11">
      <c r="A737" s="11" t="s">
        <v>2101</v>
      </c>
      <c r="B737" s="350" t="str">
        <f t="shared" si="90"/>
        <v>        运输工具</v>
      </c>
      <c r="C737" s="321">
        <f t="shared" si="89"/>
        <v>0</v>
      </c>
      <c r="D737" s="11" t="b">
        <f t="shared" si="88"/>
        <v>0</v>
      </c>
      <c r="E737" s="311"/>
      <c r="H737" s="11" t="b">
        <f t="shared" si="86"/>
        <v>0</v>
      </c>
      <c r="I737" s="11" t="s">
        <v>3279</v>
      </c>
      <c r="K737" s="11" t="b">
        <v>0</v>
      </c>
    </row>
    <row r="738" spans="1:11">
      <c r="A738" s="11" t="s">
        <v>2102</v>
      </c>
      <c r="B738" s="350" t="str">
        <f t="shared" si="90"/>
        <v>        电子设备及其他</v>
      </c>
      <c r="C738" s="321">
        <f t="shared" si="89"/>
        <v>0</v>
      </c>
      <c r="D738" s="11" t="b">
        <f t="shared" si="88"/>
        <v>0</v>
      </c>
      <c r="E738" s="311"/>
      <c r="H738" s="11" t="b">
        <f t="shared" si="86"/>
        <v>0</v>
      </c>
      <c r="I738" s="11">
        <v>0</v>
      </c>
      <c r="K738" s="11" t="b">
        <v>0</v>
      </c>
    </row>
    <row r="739" spans="1:11">
      <c r="A739" s="11">
        <v>0</v>
      </c>
      <c r="B739" s="350">
        <f t="shared" si="90"/>
        <v>0</v>
      </c>
      <c r="C739" s="321">
        <f t="shared" si="89"/>
        <v>0</v>
      </c>
      <c r="D739" s="11" t="b">
        <f t="shared" si="88"/>
        <v>1</v>
      </c>
      <c r="E739" s="311"/>
      <c r="H739" s="11" t="b">
        <f t="shared" si="86"/>
        <v>0</v>
      </c>
      <c r="I739" s="11" t="s">
        <v>760</v>
      </c>
      <c r="K739" s="11" t="b">
        <v>1</v>
      </c>
    </row>
    <row r="740" spans="1:11">
      <c r="A740" s="11" t="s">
        <v>673</v>
      </c>
      <c r="B740" s="333" t="s">
        <v>673</v>
      </c>
      <c r="C740" s="328">
        <f t="shared" si="89"/>
        <v>0</v>
      </c>
      <c r="D740" s="11" t="b">
        <f t="shared" si="88"/>
        <v>1</v>
      </c>
      <c r="E740" s="326"/>
      <c r="H740" s="11" t="b">
        <f t="shared" si="86"/>
        <v>0</v>
      </c>
      <c r="I740" s="11" t="s">
        <v>5706</v>
      </c>
      <c r="K740" s="11" t="b">
        <v>0</v>
      </c>
    </row>
    <row r="741" spans="1:11">
      <c r="A741" s="11" t="s">
        <v>715</v>
      </c>
      <c r="B741" s="310" t="str">
        <f>报表附注!E1144</f>
        <v>一、原价合计</v>
      </c>
      <c r="C741" s="321">
        <f t="shared" si="89"/>
        <v>0</v>
      </c>
      <c r="D741" s="11" t="b">
        <f t="shared" si="88"/>
        <v>1</v>
      </c>
      <c r="E741" s="311"/>
      <c r="H741" s="11" t="b">
        <f t="shared" si="86"/>
        <v>0</v>
      </c>
      <c r="I741" s="11" t="s">
        <v>3277</v>
      </c>
      <c r="K741" s="11" t="b">
        <v>0</v>
      </c>
    </row>
    <row r="742" spans="1:11">
      <c r="A742" s="11" t="s">
        <v>2099</v>
      </c>
      <c r="B742" s="310" t="str">
        <f>报表附注!E1145</f>
        <v>    其中：节能服务资产</v>
      </c>
      <c r="C742" s="321">
        <f t="shared" si="89"/>
        <v>0</v>
      </c>
      <c r="D742" s="11" t="b">
        <f t="shared" si="88"/>
        <v>0</v>
      </c>
      <c r="E742" s="311"/>
      <c r="H742" s="11" t="b">
        <f t="shared" si="86"/>
        <v>0</v>
      </c>
      <c r="I742" s="11" t="s">
        <v>3278</v>
      </c>
      <c r="K742" s="11" t="b">
        <v>0</v>
      </c>
    </row>
    <row r="743" spans="1:11">
      <c r="A743" s="11" t="s">
        <v>2100</v>
      </c>
      <c r="B743" s="310" t="str">
        <f>报表附注!E1146</f>
        <v>        机器设备</v>
      </c>
      <c r="C743" s="321">
        <f t="shared" si="89"/>
        <v>0</v>
      </c>
      <c r="D743" s="11" t="b">
        <f t="shared" si="88"/>
        <v>0</v>
      </c>
      <c r="E743" s="311"/>
      <c r="H743" s="11" t="b">
        <f t="shared" si="86"/>
        <v>0</v>
      </c>
      <c r="I743" s="11" t="s">
        <v>3279</v>
      </c>
      <c r="K743" s="11" t="b">
        <v>0</v>
      </c>
    </row>
    <row r="744" spans="1:11">
      <c r="A744" s="11" t="s">
        <v>2101</v>
      </c>
      <c r="B744" s="310" t="str">
        <f>报表附注!E1147</f>
        <v>        运输工具</v>
      </c>
      <c r="C744" s="321">
        <f t="shared" si="89"/>
        <v>0</v>
      </c>
      <c r="D744" s="11" t="b">
        <f t="shared" si="88"/>
        <v>0</v>
      </c>
      <c r="E744" s="311"/>
      <c r="H744" s="11" t="b">
        <f t="shared" si="86"/>
        <v>0</v>
      </c>
      <c r="I744" s="11">
        <v>0</v>
      </c>
      <c r="K744" s="11" t="b">
        <v>0</v>
      </c>
    </row>
    <row r="745" spans="1:11">
      <c r="A745" s="11" t="s">
        <v>2102</v>
      </c>
      <c r="B745" s="310" t="str">
        <f>报表附注!E1148</f>
        <v>        电子设备及其他</v>
      </c>
      <c r="C745" s="321">
        <f t="shared" si="89"/>
        <v>0</v>
      </c>
      <c r="D745" s="11" t="b">
        <f t="shared" si="88"/>
        <v>0</v>
      </c>
      <c r="E745" s="311"/>
      <c r="H745" s="11" t="b">
        <f t="shared" si="86"/>
        <v>0</v>
      </c>
      <c r="I745" s="11" t="s">
        <v>2103</v>
      </c>
      <c r="K745" s="11" t="b">
        <v>1</v>
      </c>
    </row>
    <row r="746" spans="1:11">
      <c r="A746" s="11">
        <v>0</v>
      </c>
      <c r="B746" s="310">
        <f>报表附注!E1149</f>
        <v>0</v>
      </c>
      <c r="C746" s="321">
        <f t="shared" si="89"/>
        <v>0</v>
      </c>
      <c r="D746" s="11" t="b">
        <f t="shared" si="88"/>
        <v>1</v>
      </c>
      <c r="E746" s="311"/>
      <c r="H746" s="11" t="b">
        <f t="shared" si="86"/>
        <v>0</v>
      </c>
      <c r="I746" s="11" t="s">
        <v>5706</v>
      </c>
      <c r="K746" s="11" t="b">
        <v>0</v>
      </c>
    </row>
    <row r="747" spans="1:11">
      <c r="A747" s="11" t="s">
        <v>760</v>
      </c>
      <c r="B747" s="310" t="str">
        <f>报表附注!E1151</f>
        <v>二、累计折旧合计</v>
      </c>
      <c r="C747" s="321">
        <f t="shared" si="89"/>
        <v>0</v>
      </c>
      <c r="D747" s="11" t="b">
        <f t="shared" si="88"/>
        <v>1</v>
      </c>
      <c r="E747" s="311"/>
      <c r="H747" s="11" t="b">
        <f t="shared" si="86"/>
        <v>0</v>
      </c>
      <c r="I747" s="11" t="s">
        <v>3277</v>
      </c>
      <c r="K747" s="11" t="b">
        <v>0</v>
      </c>
    </row>
    <row r="748" spans="1:11">
      <c r="A748" s="11" t="s">
        <v>2099</v>
      </c>
      <c r="B748" s="310" t="str">
        <f>报表附注!E1152</f>
        <v>    其中：节能服务资产</v>
      </c>
      <c r="C748" s="321">
        <f t="shared" si="89"/>
        <v>0</v>
      </c>
      <c r="D748" s="11" t="b">
        <f t="shared" si="88"/>
        <v>0</v>
      </c>
      <c r="E748" s="311"/>
      <c r="H748" s="11" t="b">
        <f t="shared" si="86"/>
        <v>0</v>
      </c>
      <c r="I748" s="11" t="s">
        <v>3278</v>
      </c>
      <c r="K748" s="11" t="b">
        <v>0</v>
      </c>
    </row>
    <row r="749" spans="1:11">
      <c r="A749" s="11" t="s">
        <v>2100</v>
      </c>
      <c r="B749" s="310" t="str">
        <f>报表附注!E1153</f>
        <v>        机器设备</v>
      </c>
      <c r="C749" s="321">
        <f t="shared" si="89"/>
        <v>0</v>
      </c>
      <c r="D749" s="11" t="b">
        <f t="shared" si="88"/>
        <v>0</v>
      </c>
      <c r="E749" s="311"/>
      <c r="H749" s="11" t="b">
        <f t="shared" si="86"/>
        <v>0</v>
      </c>
      <c r="I749" s="11" t="s">
        <v>3279</v>
      </c>
      <c r="K749" s="11" t="b">
        <v>0</v>
      </c>
    </row>
    <row r="750" spans="1:11">
      <c r="A750" s="11" t="s">
        <v>2101</v>
      </c>
      <c r="B750" s="310" t="str">
        <f>报表附注!E1154</f>
        <v>        运输工具</v>
      </c>
      <c r="C750" s="321">
        <f t="shared" si="89"/>
        <v>0</v>
      </c>
      <c r="D750" s="11" t="b">
        <f t="shared" si="88"/>
        <v>0</v>
      </c>
      <c r="E750" s="311"/>
      <c r="H750" s="11" t="b">
        <f t="shared" si="86"/>
        <v>0</v>
      </c>
      <c r="I750" s="11">
        <v>0</v>
      </c>
      <c r="K750" s="11" t="b">
        <v>0</v>
      </c>
    </row>
    <row r="751" spans="1:11">
      <c r="A751" s="11" t="s">
        <v>2102</v>
      </c>
      <c r="B751" s="310" t="str">
        <f>报表附注!E1155</f>
        <v>        电子设备及其他</v>
      </c>
      <c r="C751" s="321">
        <f t="shared" si="89"/>
        <v>0</v>
      </c>
      <c r="D751" s="11" t="b">
        <f t="shared" si="88"/>
        <v>0</v>
      </c>
      <c r="E751" s="311"/>
      <c r="H751" s="11" t="b">
        <f t="shared" si="86"/>
        <v>0</v>
      </c>
      <c r="I751" s="11" t="s">
        <v>2105</v>
      </c>
      <c r="K751" s="11" t="b">
        <v>1</v>
      </c>
    </row>
    <row r="752" spans="1:11">
      <c r="A752" s="11">
        <v>0</v>
      </c>
      <c r="B752" s="334">
        <f>报表附注!E1156</f>
        <v>0</v>
      </c>
      <c r="C752" s="321">
        <f t="shared" si="89"/>
        <v>0</v>
      </c>
      <c r="D752" s="11" t="b">
        <f t="shared" si="88"/>
        <v>1</v>
      </c>
      <c r="E752" s="311"/>
      <c r="H752" s="11" t="b">
        <f t="shared" si="86"/>
        <v>0</v>
      </c>
      <c r="I752" s="11" t="s">
        <v>715</v>
      </c>
      <c r="K752" s="11" t="b">
        <v>1</v>
      </c>
    </row>
    <row r="753" spans="1:11">
      <c r="A753" s="11" t="s">
        <v>2103</v>
      </c>
      <c r="B753" s="310" t="str">
        <f>报表附注!E1157</f>
        <v>三、固定资产减值准备合计</v>
      </c>
      <c r="C753" s="321">
        <f t="shared" si="89"/>
        <v>0</v>
      </c>
      <c r="D753" s="11" t="b">
        <f t="shared" si="88"/>
        <v>1</v>
      </c>
      <c r="E753" s="311"/>
      <c r="H753" s="11" t="b">
        <f t="shared" si="86"/>
        <v>0</v>
      </c>
      <c r="I753" s="11" t="s">
        <v>5706</v>
      </c>
      <c r="K753" s="11" t="b">
        <v>0</v>
      </c>
    </row>
    <row r="754" spans="1:11">
      <c r="A754" s="11" t="s">
        <v>2099</v>
      </c>
      <c r="B754" s="310" t="str">
        <f>报表附注!E1158</f>
        <v>    其中：节能服务资产</v>
      </c>
      <c r="C754" s="321">
        <f t="shared" si="89"/>
        <v>0</v>
      </c>
      <c r="D754" s="11" t="b">
        <f t="shared" si="88"/>
        <v>0</v>
      </c>
      <c r="E754" s="311"/>
      <c r="H754" s="11" t="b">
        <f t="shared" si="86"/>
        <v>0</v>
      </c>
      <c r="I754" s="11" t="s">
        <v>3277</v>
      </c>
      <c r="K754" s="11" t="b">
        <v>0</v>
      </c>
    </row>
    <row r="755" spans="1:11">
      <c r="A755" s="11" t="s">
        <v>2100</v>
      </c>
      <c r="B755" s="310" t="str">
        <f>报表附注!E1159</f>
        <v>        机器设备</v>
      </c>
      <c r="C755" s="321">
        <f t="shared" si="89"/>
        <v>0</v>
      </c>
      <c r="D755" s="11" t="b">
        <f t="shared" si="88"/>
        <v>0</v>
      </c>
      <c r="E755" s="311"/>
      <c r="H755" s="11" t="b">
        <f t="shared" si="86"/>
        <v>0</v>
      </c>
      <c r="I755" s="11" t="s">
        <v>3278</v>
      </c>
      <c r="K755" s="11" t="b">
        <v>0</v>
      </c>
    </row>
    <row r="756" spans="1:11">
      <c r="A756" s="11" t="s">
        <v>2101</v>
      </c>
      <c r="B756" s="310" t="str">
        <f>报表附注!E1160</f>
        <v>        运输工具</v>
      </c>
      <c r="C756" s="321">
        <f t="shared" si="89"/>
        <v>0</v>
      </c>
      <c r="D756" s="11" t="b">
        <f t="shared" si="88"/>
        <v>0</v>
      </c>
      <c r="E756" s="311"/>
      <c r="H756" s="11" t="b">
        <f t="shared" si="86"/>
        <v>0</v>
      </c>
      <c r="I756" s="11" t="s">
        <v>3279</v>
      </c>
      <c r="K756" s="11" t="b">
        <v>0</v>
      </c>
    </row>
    <row r="757" spans="1:11">
      <c r="A757" s="11" t="s">
        <v>2102</v>
      </c>
      <c r="B757" s="310" t="str">
        <f>报表附注!E1161</f>
        <v>        电子设备及其他</v>
      </c>
      <c r="C757" s="321">
        <f t="shared" si="89"/>
        <v>0</v>
      </c>
      <c r="D757" s="11" t="b">
        <f t="shared" si="88"/>
        <v>0</v>
      </c>
      <c r="E757" s="311"/>
      <c r="H757" s="11" t="b">
        <f t="shared" si="86"/>
        <v>0</v>
      </c>
      <c r="I757" s="11">
        <v>0</v>
      </c>
      <c r="K757" s="11" t="b">
        <v>0</v>
      </c>
    </row>
    <row r="758" spans="1:11">
      <c r="A758" s="11">
        <v>0</v>
      </c>
      <c r="B758" s="334">
        <f>报表附注!E1162</f>
        <v>0</v>
      </c>
      <c r="C758" s="321">
        <f t="shared" si="89"/>
        <v>0</v>
      </c>
      <c r="D758" s="11" t="b">
        <f t="shared" si="88"/>
        <v>1</v>
      </c>
      <c r="E758" s="311"/>
      <c r="H758" s="11" t="b">
        <f t="shared" si="86"/>
        <v>1</v>
      </c>
      <c r="I758" s="11">
        <v>0</v>
      </c>
      <c r="K758" s="11" t="b">
        <v>1</v>
      </c>
    </row>
    <row r="759" spans="1:11">
      <c r="A759" s="11" t="s">
        <v>2105</v>
      </c>
      <c r="B759" s="333" t="s">
        <v>2105</v>
      </c>
      <c r="C759" s="321">
        <f t="shared" si="89"/>
        <v>0</v>
      </c>
      <c r="D759" s="11" t="b">
        <f t="shared" si="88"/>
        <v>1</v>
      </c>
      <c r="E759" s="311"/>
      <c r="H759" s="11" t="b">
        <f t="shared" si="86"/>
        <v>0</v>
      </c>
      <c r="I759" s="11" t="s">
        <v>760</v>
      </c>
      <c r="K759" s="11" t="b">
        <v>1</v>
      </c>
    </row>
    <row r="760" spans="1:11">
      <c r="A760" s="11" t="s">
        <v>715</v>
      </c>
      <c r="B760" s="350" t="str">
        <f>报表附注!E1144</f>
        <v>一、原价合计</v>
      </c>
      <c r="C760" s="321">
        <f t="shared" ref="C760:C791" si="91">J752</f>
        <v>0</v>
      </c>
      <c r="D760" s="11" t="b">
        <f t="shared" si="88"/>
        <v>1</v>
      </c>
      <c r="E760" s="311"/>
      <c r="H760" s="11" t="b">
        <f t="shared" si="86"/>
        <v>0</v>
      </c>
      <c r="I760" s="11" t="s">
        <v>5706</v>
      </c>
      <c r="K760" s="11" t="b">
        <v>0</v>
      </c>
    </row>
    <row r="761" spans="1:11">
      <c r="A761" s="11" t="s">
        <v>2099</v>
      </c>
      <c r="B761" s="350" t="str">
        <f>报表附注!E1145</f>
        <v>    其中：节能服务资产</v>
      </c>
      <c r="C761" s="321">
        <f t="shared" si="91"/>
        <v>0</v>
      </c>
      <c r="D761" s="11" t="b">
        <f t="shared" si="88"/>
        <v>0</v>
      </c>
      <c r="E761" s="311"/>
      <c r="H761" s="11" t="b">
        <f t="shared" si="86"/>
        <v>0</v>
      </c>
      <c r="I761" s="11" t="s">
        <v>3277</v>
      </c>
      <c r="K761" s="11" t="b">
        <v>0</v>
      </c>
    </row>
    <row r="762" spans="1:11">
      <c r="A762" s="11" t="s">
        <v>2100</v>
      </c>
      <c r="B762" s="350" t="str">
        <f>报表附注!E1146</f>
        <v>        机器设备</v>
      </c>
      <c r="C762" s="321">
        <f t="shared" si="91"/>
        <v>0</v>
      </c>
      <c r="D762" s="11" t="b">
        <f t="shared" si="88"/>
        <v>0</v>
      </c>
      <c r="E762" s="311"/>
      <c r="H762" s="11" t="b">
        <f t="shared" si="86"/>
        <v>0</v>
      </c>
      <c r="I762" s="11" t="s">
        <v>3278</v>
      </c>
      <c r="K762" s="11" t="b">
        <v>0</v>
      </c>
    </row>
    <row r="763" spans="1:11">
      <c r="A763" s="11" t="s">
        <v>2101</v>
      </c>
      <c r="B763" s="350" t="str">
        <f>报表附注!E1147</f>
        <v>        运输工具</v>
      </c>
      <c r="C763" s="321">
        <f t="shared" si="91"/>
        <v>0</v>
      </c>
      <c r="D763" s="11" t="b">
        <f t="shared" si="88"/>
        <v>0</v>
      </c>
      <c r="E763" s="311"/>
      <c r="H763" s="11" t="b">
        <f t="shared" si="86"/>
        <v>0</v>
      </c>
      <c r="I763" s="11" t="s">
        <v>3279</v>
      </c>
      <c r="K763" s="11" t="b">
        <v>0</v>
      </c>
    </row>
    <row r="764" spans="1:11">
      <c r="A764" s="11" t="s">
        <v>2102</v>
      </c>
      <c r="B764" s="350" t="str">
        <f>报表附注!E1148</f>
        <v>        电子设备及其他</v>
      </c>
      <c r="C764" s="321">
        <f t="shared" si="91"/>
        <v>0</v>
      </c>
      <c r="D764" s="11" t="b">
        <f t="shared" si="88"/>
        <v>0</v>
      </c>
      <c r="E764" s="311"/>
      <c r="H764" s="11" t="b">
        <f t="shared" si="86"/>
        <v>0</v>
      </c>
      <c r="I764" s="11">
        <v>0</v>
      </c>
      <c r="K764" s="11" t="b">
        <v>0</v>
      </c>
    </row>
    <row r="765" spans="1:11">
      <c r="A765" s="11">
        <v>0</v>
      </c>
      <c r="B765" s="350">
        <f>报表附注!E1149</f>
        <v>0</v>
      </c>
      <c r="C765" s="321">
        <f t="shared" si="91"/>
        <v>0</v>
      </c>
      <c r="D765" s="11" t="b">
        <f t="shared" si="88"/>
        <v>1</v>
      </c>
      <c r="E765" s="311"/>
      <c r="H765" s="11" t="b">
        <f t="shared" si="86"/>
        <v>0</v>
      </c>
      <c r="I765" s="11" t="s">
        <v>2103</v>
      </c>
      <c r="K765" s="11" t="b">
        <v>1</v>
      </c>
    </row>
    <row r="766" spans="1:11">
      <c r="A766" s="11">
        <v>0</v>
      </c>
      <c r="B766" s="351">
        <f>报表附注!E1150</f>
        <v>0</v>
      </c>
      <c r="C766" s="321">
        <f t="shared" si="91"/>
        <v>0</v>
      </c>
      <c r="D766" s="11" t="b">
        <f t="shared" si="88"/>
        <v>1</v>
      </c>
      <c r="E766" s="311"/>
      <c r="H766" s="11" t="b">
        <f t="shared" si="86"/>
        <v>0</v>
      </c>
      <c r="I766" s="11" t="s">
        <v>5706</v>
      </c>
      <c r="K766" s="11" t="b">
        <v>0</v>
      </c>
    </row>
    <row r="767" spans="1:11">
      <c r="A767" s="11" t="s">
        <v>760</v>
      </c>
      <c r="B767" s="350" t="str">
        <f>报表附注!E1151</f>
        <v>二、累计折旧合计</v>
      </c>
      <c r="C767" s="321">
        <f t="shared" si="91"/>
        <v>0</v>
      </c>
      <c r="D767" s="11" t="b">
        <f t="shared" si="88"/>
        <v>1</v>
      </c>
      <c r="E767" s="311"/>
      <c r="H767" s="11" t="b">
        <f t="shared" si="86"/>
        <v>0</v>
      </c>
      <c r="I767" s="11" t="s">
        <v>3277</v>
      </c>
      <c r="K767" s="11" t="b">
        <v>0</v>
      </c>
    </row>
    <row r="768" spans="1:11">
      <c r="A768" s="11" t="s">
        <v>2099</v>
      </c>
      <c r="B768" s="350" t="str">
        <f>报表附注!E1152</f>
        <v>    其中：节能服务资产</v>
      </c>
      <c r="C768" s="321">
        <f t="shared" si="91"/>
        <v>0</v>
      </c>
      <c r="D768" s="11" t="b">
        <f t="shared" si="88"/>
        <v>0</v>
      </c>
      <c r="E768" s="311"/>
      <c r="H768" s="11" t="b">
        <f t="shared" si="86"/>
        <v>0</v>
      </c>
      <c r="I768" s="11" t="s">
        <v>3278</v>
      </c>
      <c r="K768" s="11" t="b">
        <v>0</v>
      </c>
    </row>
    <row r="769" spans="1:11">
      <c r="A769" s="11" t="s">
        <v>2100</v>
      </c>
      <c r="B769" s="350" t="str">
        <f>报表附注!E1153</f>
        <v>        机器设备</v>
      </c>
      <c r="C769" s="321">
        <f t="shared" si="91"/>
        <v>0</v>
      </c>
      <c r="D769" s="11" t="b">
        <f t="shared" si="88"/>
        <v>0</v>
      </c>
      <c r="E769" s="311"/>
      <c r="H769" s="11" t="b">
        <f t="shared" si="86"/>
        <v>0</v>
      </c>
      <c r="I769" s="11" t="s">
        <v>3279</v>
      </c>
      <c r="K769" s="11" t="b">
        <v>0</v>
      </c>
    </row>
    <row r="770" spans="1:11">
      <c r="A770" s="11" t="s">
        <v>2101</v>
      </c>
      <c r="B770" s="350" t="str">
        <f>报表附注!E1154</f>
        <v>        运输工具</v>
      </c>
      <c r="C770" s="321">
        <f t="shared" si="91"/>
        <v>0</v>
      </c>
      <c r="D770" s="11" t="b">
        <f t="shared" si="88"/>
        <v>0</v>
      </c>
      <c r="E770" s="311"/>
      <c r="H770" s="11" t="b">
        <f t="shared" si="86"/>
        <v>0</v>
      </c>
      <c r="I770" s="11">
        <v>0</v>
      </c>
      <c r="K770" s="11" t="b">
        <v>0</v>
      </c>
    </row>
    <row r="771" spans="1:11">
      <c r="A771" s="11" t="s">
        <v>2102</v>
      </c>
      <c r="B771" s="350" t="str">
        <f>报表附注!E1155</f>
        <v>        电子设备及其他</v>
      </c>
      <c r="C771" s="321">
        <f t="shared" si="91"/>
        <v>0</v>
      </c>
      <c r="D771" s="11" t="b">
        <f t="shared" si="88"/>
        <v>0</v>
      </c>
      <c r="E771" s="311"/>
      <c r="H771" s="11" t="b">
        <f t="shared" si="86"/>
        <v>0</v>
      </c>
      <c r="I771" s="11" t="s">
        <v>772</v>
      </c>
      <c r="K771" s="11" t="b">
        <v>1</v>
      </c>
    </row>
    <row r="772" spans="1:11">
      <c r="A772" s="11">
        <v>0</v>
      </c>
      <c r="B772" s="351">
        <f>报表附注!E1156</f>
        <v>0</v>
      </c>
      <c r="C772" s="321">
        <f t="shared" si="91"/>
        <v>0</v>
      </c>
      <c r="D772" s="11" t="b">
        <f t="shared" si="88"/>
        <v>1</v>
      </c>
      <c r="E772" s="311"/>
      <c r="H772" s="11" t="b">
        <f t="shared" ref="H772:H835" si="92">I772=B772</f>
        <v>0</v>
      </c>
      <c r="I772" s="11" t="s">
        <v>5706</v>
      </c>
      <c r="K772" s="11" t="b">
        <v>0</v>
      </c>
    </row>
    <row r="773" spans="1:11">
      <c r="A773" s="11" t="s">
        <v>2103</v>
      </c>
      <c r="B773" s="350" t="str">
        <f>报表附注!E1157</f>
        <v>三、固定资产减值准备合计</v>
      </c>
      <c r="C773" s="321">
        <f t="shared" si="91"/>
        <v>0</v>
      </c>
      <c r="D773" s="11" t="b">
        <f t="shared" si="88"/>
        <v>1</v>
      </c>
      <c r="E773" s="311"/>
      <c r="H773" s="11" t="b">
        <f t="shared" si="92"/>
        <v>0</v>
      </c>
      <c r="I773" s="11" t="s">
        <v>3277</v>
      </c>
      <c r="K773" s="11" t="b">
        <v>0</v>
      </c>
    </row>
    <row r="774" spans="1:11">
      <c r="A774" s="11" t="s">
        <v>2099</v>
      </c>
      <c r="B774" s="350" t="str">
        <f>报表附注!E1158</f>
        <v>    其中：节能服务资产</v>
      </c>
      <c r="C774" s="321">
        <f t="shared" si="91"/>
        <v>0</v>
      </c>
      <c r="D774" s="11" t="b">
        <f t="shared" si="88"/>
        <v>0</v>
      </c>
      <c r="E774" s="311"/>
      <c r="H774" s="11" t="b">
        <f t="shared" si="92"/>
        <v>0</v>
      </c>
      <c r="I774" s="11" t="s">
        <v>3278</v>
      </c>
      <c r="K774" s="11" t="b">
        <v>0</v>
      </c>
    </row>
    <row r="775" spans="1:11">
      <c r="A775" s="11" t="s">
        <v>2100</v>
      </c>
      <c r="B775" s="350" t="str">
        <f>报表附注!E1159</f>
        <v>        机器设备</v>
      </c>
      <c r="C775" s="321">
        <f t="shared" si="91"/>
        <v>0</v>
      </c>
      <c r="D775" s="11" t="b">
        <f t="shared" si="88"/>
        <v>0</v>
      </c>
      <c r="E775" s="311"/>
      <c r="H775" s="11" t="b">
        <f t="shared" si="92"/>
        <v>0</v>
      </c>
      <c r="I775" s="11" t="s">
        <v>3279</v>
      </c>
      <c r="K775" s="11" t="b">
        <v>0</v>
      </c>
    </row>
    <row r="776" spans="1:11">
      <c r="A776" s="11" t="s">
        <v>2101</v>
      </c>
      <c r="B776" s="350" t="str">
        <f>报表附注!E1160</f>
        <v>        运输工具</v>
      </c>
      <c r="C776" s="321">
        <f t="shared" si="91"/>
        <v>0</v>
      </c>
      <c r="D776" s="11" t="b">
        <f t="shared" si="88"/>
        <v>0</v>
      </c>
      <c r="E776" s="311"/>
      <c r="H776" s="11" t="b">
        <f t="shared" si="92"/>
        <v>0</v>
      </c>
      <c r="I776" s="11">
        <v>0</v>
      </c>
      <c r="K776" s="11" t="b">
        <v>0</v>
      </c>
    </row>
    <row r="777" spans="1:11">
      <c r="A777" s="11" t="s">
        <v>2102</v>
      </c>
      <c r="B777" s="350" t="str">
        <f>报表附注!E1161</f>
        <v>        电子设备及其他</v>
      </c>
      <c r="C777" s="321">
        <f t="shared" si="91"/>
        <v>0</v>
      </c>
      <c r="D777" s="11" t="b">
        <f t="shared" si="88"/>
        <v>0</v>
      </c>
      <c r="E777" s="311"/>
      <c r="H777" s="11" t="b">
        <f t="shared" si="92"/>
        <v>0</v>
      </c>
      <c r="K777" s="11" t="b">
        <v>1</v>
      </c>
    </row>
    <row r="778" spans="1:11">
      <c r="A778" s="11">
        <v>0</v>
      </c>
      <c r="B778" s="351">
        <f>报表附注!E1162</f>
        <v>0</v>
      </c>
      <c r="C778" s="321">
        <f t="shared" si="91"/>
        <v>0</v>
      </c>
      <c r="D778" s="11" t="b">
        <f t="shared" si="88"/>
        <v>1</v>
      </c>
      <c r="E778" s="311"/>
      <c r="H778" s="11" t="b">
        <f t="shared" si="92"/>
        <v>0</v>
      </c>
      <c r="I778" s="11" t="s">
        <v>2106</v>
      </c>
      <c r="K778" s="11" t="b">
        <v>1</v>
      </c>
    </row>
    <row r="779" spans="1:11">
      <c r="A779" s="11" t="s">
        <v>772</v>
      </c>
      <c r="B779" s="350" t="str">
        <f>报表附注!E1163</f>
        <v>四、固定资产账面价值合计</v>
      </c>
      <c r="C779" s="321">
        <f t="shared" si="91"/>
        <v>0</v>
      </c>
      <c r="D779" s="11" t="b">
        <f t="shared" si="88"/>
        <v>1</v>
      </c>
      <c r="E779" s="311"/>
      <c r="H779" s="11" t="b">
        <f t="shared" si="92"/>
        <v>0</v>
      </c>
      <c r="I779" s="11" t="s">
        <v>2107</v>
      </c>
      <c r="K779" s="11" t="b">
        <v>1</v>
      </c>
    </row>
    <row r="780" spans="1:11">
      <c r="A780" s="11" t="s">
        <v>2099</v>
      </c>
      <c r="B780" s="350" t="str">
        <f>报表附注!E1164</f>
        <v>    其中：节能服务资产</v>
      </c>
      <c r="C780" s="321">
        <f t="shared" si="91"/>
        <v>0</v>
      </c>
      <c r="D780" s="11" t="b">
        <f t="shared" ref="D780:D843" si="93">EXACT(A780,B780)</f>
        <v>0</v>
      </c>
      <c r="E780" s="311"/>
      <c r="H780" s="11" t="b">
        <f t="shared" si="92"/>
        <v>0</v>
      </c>
      <c r="I780" s="11" t="s">
        <v>5706</v>
      </c>
      <c r="K780" s="11" t="b">
        <v>0</v>
      </c>
    </row>
    <row r="781" spans="1:11">
      <c r="A781" s="11" t="s">
        <v>2100</v>
      </c>
      <c r="B781" s="350" t="str">
        <f>报表附注!E1165</f>
        <v>        机器设备</v>
      </c>
      <c r="C781" s="321">
        <f t="shared" si="91"/>
        <v>0</v>
      </c>
      <c r="D781" s="11" t="b">
        <f t="shared" si="93"/>
        <v>0</v>
      </c>
      <c r="E781" s="311"/>
      <c r="H781" s="11" t="b">
        <f t="shared" si="92"/>
        <v>1</v>
      </c>
      <c r="I781" s="11" t="s">
        <v>3277</v>
      </c>
      <c r="K781" s="11" t="b">
        <v>0</v>
      </c>
    </row>
    <row r="782" spans="1:11">
      <c r="A782" s="11" t="s">
        <v>2101</v>
      </c>
      <c r="B782" s="350" t="str">
        <f>报表附注!E1166</f>
        <v>        运输工具</v>
      </c>
      <c r="C782" s="321">
        <f t="shared" si="91"/>
        <v>0</v>
      </c>
      <c r="D782" s="11" t="b">
        <f t="shared" si="93"/>
        <v>0</v>
      </c>
      <c r="E782" s="311"/>
      <c r="H782" s="11" t="b">
        <f t="shared" si="92"/>
        <v>1</v>
      </c>
      <c r="I782" s="11" t="s">
        <v>3278</v>
      </c>
      <c r="K782" s="11" t="b">
        <v>0</v>
      </c>
    </row>
    <row r="783" spans="1:11">
      <c r="A783" s="11" t="s">
        <v>2102</v>
      </c>
      <c r="B783" s="350" t="str">
        <f>报表附注!E1167</f>
        <v>        电子设备及其他</v>
      </c>
      <c r="C783" s="321">
        <f t="shared" si="91"/>
        <v>0</v>
      </c>
      <c r="D783" s="11" t="b">
        <f t="shared" si="93"/>
        <v>0</v>
      </c>
      <c r="E783" s="311"/>
      <c r="H783" s="11" t="b">
        <f t="shared" si="92"/>
        <v>1</v>
      </c>
      <c r="I783" s="11" t="s">
        <v>3279</v>
      </c>
      <c r="K783" s="11" t="b">
        <v>0</v>
      </c>
    </row>
    <row r="784" spans="1:11">
      <c r="A784" s="11">
        <v>0</v>
      </c>
      <c r="B784" s="351">
        <f>报表附注!E1168</f>
        <v>0</v>
      </c>
      <c r="C784" s="321">
        <f t="shared" si="91"/>
        <v>0</v>
      </c>
      <c r="D784" s="11" t="b">
        <f t="shared" si="93"/>
        <v>1</v>
      </c>
      <c r="E784" s="311"/>
      <c r="H784" s="11" t="b">
        <f t="shared" si="92"/>
        <v>1</v>
      </c>
      <c r="I784" s="11">
        <v>0</v>
      </c>
      <c r="K784" s="11" t="b">
        <v>0</v>
      </c>
    </row>
    <row r="785" spans="3:11">
      <c r="C785" s="328">
        <f t="shared" si="91"/>
        <v>0</v>
      </c>
      <c r="D785" s="11" t="b">
        <f t="shared" si="93"/>
        <v>1</v>
      </c>
      <c r="E785" s="326"/>
      <c r="H785" s="11" t="b">
        <f t="shared" si="92"/>
        <v>0</v>
      </c>
      <c r="I785" s="11" t="s">
        <v>2021</v>
      </c>
      <c r="K785" s="11" t="b">
        <v>1</v>
      </c>
    </row>
    <row r="786" spans="1:11">
      <c r="A786" s="11" t="s">
        <v>2106</v>
      </c>
      <c r="B786" s="352" t="s">
        <v>2106</v>
      </c>
      <c r="C786" s="328">
        <f t="shared" si="91"/>
        <v>0</v>
      </c>
      <c r="D786" s="11" t="b">
        <f t="shared" si="93"/>
        <v>1</v>
      </c>
      <c r="E786" s="326"/>
      <c r="H786" s="11" t="b">
        <f t="shared" si="92"/>
        <v>0</v>
      </c>
      <c r="I786" s="11" t="s">
        <v>860</v>
      </c>
      <c r="K786" s="11" t="b">
        <v>1</v>
      </c>
    </row>
    <row r="787" spans="1:11">
      <c r="A787" s="11" t="s">
        <v>2107</v>
      </c>
      <c r="B787" s="333" t="s">
        <v>2107</v>
      </c>
      <c r="C787" s="328">
        <f t="shared" si="91"/>
        <v>0</v>
      </c>
      <c r="D787" s="11" t="b">
        <f t="shared" si="93"/>
        <v>1</v>
      </c>
      <c r="E787" s="326"/>
      <c r="H787" s="11" t="b">
        <f t="shared" si="92"/>
        <v>0</v>
      </c>
      <c r="I787" s="11" t="s">
        <v>5706</v>
      </c>
      <c r="K787" s="11" t="b">
        <v>0</v>
      </c>
    </row>
    <row r="788" spans="1:11">
      <c r="A788" s="11" t="s">
        <v>2099</v>
      </c>
      <c r="B788" s="310" t="str">
        <f>报表附注!E1175</f>
        <v>    其中：节能服务资产</v>
      </c>
      <c r="C788" s="321">
        <f t="shared" si="91"/>
        <v>0</v>
      </c>
      <c r="D788" s="11" t="b">
        <f t="shared" si="93"/>
        <v>0</v>
      </c>
      <c r="E788" s="311"/>
      <c r="H788" s="11" t="b">
        <f t="shared" si="92"/>
        <v>0</v>
      </c>
      <c r="I788" s="11" t="s">
        <v>3277</v>
      </c>
      <c r="K788" s="11" t="b">
        <v>0</v>
      </c>
    </row>
    <row r="789" spans="1:11">
      <c r="A789" s="11" t="s">
        <v>2100</v>
      </c>
      <c r="B789" s="310" t="str">
        <f>报表附注!E1176</f>
        <v>        机器设备</v>
      </c>
      <c r="C789" s="321">
        <f t="shared" si="91"/>
        <v>0</v>
      </c>
      <c r="D789" s="11" t="b">
        <f t="shared" si="93"/>
        <v>0</v>
      </c>
      <c r="E789" s="311"/>
      <c r="H789" s="11" t="b">
        <f t="shared" si="92"/>
        <v>0</v>
      </c>
      <c r="I789" s="11" t="s">
        <v>3278</v>
      </c>
      <c r="K789" s="11" t="b">
        <v>0</v>
      </c>
    </row>
    <row r="790" spans="1:11">
      <c r="A790" s="11" t="s">
        <v>2101</v>
      </c>
      <c r="B790" s="310" t="str">
        <f>报表附注!E1177</f>
        <v>        运输工具</v>
      </c>
      <c r="C790" s="321">
        <f t="shared" si="91"/>
        <v>0</v>
      </c>
      <c r="D790" s="11" t="b">
        <f t="shared" si="93"/>
        <v>0</v>
      </c>
      <c r="E790" s="311"/>
      <c r="H790" s="11" t="b">
        <f t="shared" si="92"/>
        <v>0</v>
      </c>
      <c r="I790" s="11" t="s">
        <v>3279</v>
      </c>
      <c r="K790" s="11" t="b">
        <v>0</v>
      </c>
    </row>
    <row r="791" spans="1:11">
      <c r="A791" s="11" t="s">
        <v>2102</v>
      </c>
      <c r="B791" s="310" t="str">
        <f>报表附注!E1178</f>
        <v>        电子设备及其他</v>
      </c>
      <c r="C791" s="321">
        <f t="shared" si="91"/>
        <v>0</v>
      </c>
      <c r="D791" s="11" t="b">
        <f t="shared" si="93"/>
        <v>0</v>
      </c>
      <c r="E791" s="311"/>
      <c r="H791" s="11" t="b">
        <f t="shared" si="92"/>
        <v>0</v>
      </c>
      <c r="I791" s="11">
        <v>0</v>
      </c>
      <c r="K791" s="11" t="b">
        <v>0</v>
      </c>
    </row>
    <row r="792" spans="1:11">
      <c r="A792" s="11">
        <v>0</v>
      </c>
      <c r="B792" s="310">
        <f>报表附注!E1179</f>
        <v>0</v>
      </c>
      <c r="C792" s="321">
        <f t="shared" ref="C792:C793" si="94">J784</f>
        <v>0</v>
      </c>
      <c r="D792" s="11" t="b">
        <f t="shared" si="93"/>
        <v>1</v>
      </c>
      <c r="E792" s="311"/>
      <c r="H792" s="11" t="b">
        <f t="shared" si="92"/>
        <v>0</v>
      </c>
      <c r="I792" s="11" t="s">
        <v>2021</v>
      </c>
      <c r="K792" s="11" t="b">
        <v>1</v>
      </c>
    </row>
    <row r="793" spans="1:11">
      <c r="A793" s="11" t="s">
        <v>2021</v>
      </c>
      <c r="B793" s="320" t="str">
        <f>报表附注!E1180</f>
        <v>合计</v>
      </c>
      <c r="C793" s="321">
        <f t="shared" si="94"/>
        <v>0</v>
      </c>
      <c r="D793" s="11" t="b">
        <f t="shared" si="93"/>
        <v>1</v>
      </c>
      <c r="E793" s="311"/>
      <c r="H793" s="11" t="b">
        <f t="shared" si="92"/>
        <v>0</v>
      </c>
      <c r="I793" s="11" t="s">
        <v>776</v>
      </c>
      <c r="K793" s="11" t="b">
        <v>1</v>
      </c>
    </row>
    <row r="794" spans="1:11">
      <c r="A794" s="11" t="s">
        <v>860</v>
      </c>
      <c r="B794" s="333" t="s">
        <v>860</v>
      </c>
      <c r="D794" s="11" t="b">
        <f t="shared" si="93"/>
        <v>1</v>
      </c>
      <c r="E794" s="326"/>
      <c r="H794" s="11" t="b">
        <f t="shared" si="92"/>
        <v>0</v>
      </c>
      <c r="I794" s="11" t="s">
        <v>5706</v>
      </c>
      <c r="K794" s="11" t="b">
        <v>0</v>
      </c>
    </row>
    <row r="795" spans="1:11">
      <c r="A795" s="11" t="s">
        <v>2099</v>
      </c>
      <c r="B795" s="310" t="str">
        <f>报表附注!E1175</f>
        <v>    其中：节能服务资产</v>
      </c>
      <c r="C795" s="321">
        <f t="shared" ref="C795:C826" si="95">J787</f>
        <v>0</v>
      </c>
      <c r="D795" s="11" t="b">
        <f t="shared" si="93"/>
        <v>0</v>
      </c>
      <c r="E795" s="311"/>
      <c r="H795" s="11" t="b">
        <f t="shared" si="92"/>
        <v>0</v>
      </c>
      <c r="I795" s="11" t="s">
        <v>3277</v>
      </c>
      <c r="K795" s="11" t="b">
        <v>0</v>
      </c>
    </row>
    <row r="796" spans="1:11">
      <c r="A796" s="11" t="s">
        <v>2100</v>
      </c>
      <c r="B796" s="310" t="str">
        <f>报表附注!E1176</f>
        <v>        机器设备</v>
      </c>
      <c r="C796" s="321">
        <f t="shared" si="95"/>
        <v>0</v>
      </c>
      <c r="D796" s="11" t="b">
        <f t="shared" si="93"/>
        <v>0</v>
      </c>
      <c r="E796" s="311"/>
      <c r="H796" s="11" t="b">
        <f t="shared" si="92"/>
        <v>0</v>
      </c>
      <c r="I796" s="11" t="s">
        <v>3278</v>
      </c>
      <c r="K796" s="11" t="b">
        <v>0</v>
      </c>
    </row>
    <row r="797" spans="1:11">
      <c r="A797" s="11" t="s">
        <v>2101</v>
      </c>
      <c r="B797" s="310" t="str">
        <f>报表附注!E1177</f>
        <v>        运输工具</v>
      </c>
      <c r="C797" s="321">
        <f t="shared" si="95"/>
        <v>0</v>
      </c>
      <c r="D797" s="11" t="b">
        <f t="shared" si="93"/>
        <v>0</v>
      </c>
      <c r="E797" s="311"/>
      <c r="H797" s="11" t="b">
        <f t="shared" si="92"/>
        <v>0</v>
      </c>
      <c r="I797" s="11" t="s">
        <v>3279</v>
      </c>
      <c r="K797" s="11" t="b">
        <v>0</v>
      </c>
    </row>
    <row r="798" spans="1:11">
      <c r="A798" s="11" t="s">
        <v>2102</v>
      </c>
      <c r="B798" s="310" t="str">
        <f>报表附注!E1178</f>
        <v>        电子设备及其他</v>
      </c>
      <c r="C798" s="321">
        <f t="shared" si="95"/>
        <v>0</v>
      </c>
      <c r="D798" s="11" t="b">
        <f t="shared" si="93"/>
        <v>0</v>
      </c>
      <c r="E798" s="311"/>
      <c r="H798" s="11" t="b">
        <f t="shared" si="92"/>
        <v>0</v>
      </c>
      <c r="I798" s="11">
        <v>0</v>
      </c>
      <c r="K798" s="11" t="b">
        <v>0</v>
      </c>
    </row>
    <row r="799" spans="1:11">
      <c r="A799" s="11">
        <v>0</v>
      </c>
      <c r="B799" s="310">
        <f>报表附注!E1179</f>
        <v>0</v>
      </c>
      <c r="C799" s="321">
        <f t="shared" si="95"/>
        <v>0</v>
      </c>
      <c r="D799" s="11" t="b">
        <f t="shared" si="93"/>
        <v>1</v>
      </c>
      <c r="E799" s="311"/>
      <c r="H799" s="11" t="b">
        <f t="shared" si="92"/>
        <v>0</v>
      </c>
      <c r="I799" s="11" t="s">
        <v>2021</v>
      </c>
      <c r="K799" s="11" t="b">
        <v>1</v>
      </c>
    </row>
    <row r="800" spans="1:11">
      <c r="A800" s="11" t="s">
        <v>2021</v>
      </c>
      <c r="B800" s="320" t="str">
        <f>报表附注!E1180</f>
        <v>合计</v>
      </c>
      <c r="C800" s="321">
        <f t="shared" si="95"/>
        <v>0</v>
      </c>
      <c r="D800" s="11" t="b">
        <f t="shared" si="93"/>
        <v>1</v>
      </c>
      <c r="E800" s="311"/>
      <c r="H800" s="11" t="b">
        <f t="shared" si="92"/>
        <v>0</v>
      </c>
      <c r="I800" s="11" t="s">
        <v>2108</v>
      </c>
      <c r="K800" s="11" t="b">
        <v>1</v>
      </c>
    </row>
    <row r="801" spans="1:11">
      <c r="A801" s="11" t="s">
        <v>776</v>
      </c>
      <c r="B801" s="333" t="s">
        <v>776</v>
      </c>
      <c r="C801" s="328">
        <f t="shared" si="95"/>
        <v>0</v>
      </c>
      <c r="D801" s="11" t="b">
        <f t="shared" si="93"/>
        <v>1</v>
      </c>
      <c r="E801" s="326"/>
      <c r="H801" s="11" t="b">
        <f t="shared" si="92"/>
        <v>0</v>
      </c>
      <c r="I801" s="11" t="s">
        <v>2107</v>
      </c>
      <c r="K801" s="11" t="b">
        <v>1</v>
      </c>
    </row>
    <row r="802" spans="1:11">
      <c r="A802" s="11" t="s">
        <v>2099</v>
      </c>
      <c r="B802" s="310" t="str">
        <f>报表附注!E1175</f>
        <v>    其中：节能服务资产</v>
      </c>
      <c r="C802" s="321">
        <f t="shared" si="95"/>
        <v>0</v>
      </c>
      <c r="D802" s="11" t="b">
        <f t="shared" si="93"/>
        <v>0</v>
      </c>
      <c r="E802" s="311"/>
      <c r="H802" s="11" t="b">
        <f t="shared" si="92"/>
        <v>0</v>
      </c>
      <c r="I802" s="11" t="s">
        <v>5706</v>
      </c>
      <c r="K802" s="11" t="b">
        <v>0</v>
      </c>
    </row>
    <row r="803" spans="1:11">
      <c r="A803" s="11" t="s">
        <v>2100</v>
      </c>
      <c r="B803" s="310" t="str">
        <f>报表附注!E1176</f>
        <v>        机器设备</v>
      </c>
      <c r="C803" s="321">
        <f t="shared" si="95"/>
        <v>0</v>
      </c>
      <c r="D803" s="11" t="b">
        <f t="shared" si="93"/>
        <v>0</v>
      </c>
      <c r="E803" s="311"/>
      <c r="H803" s="11" t="b">
        <f t="shared" si="92"/>
        <v>1</v>
      </c>
      <c r="I803" s="11" t="s">
        <v>3277</v>
      </c>
      <c r="K803" s="11" t="b">
        <v>0</v>
      </c>
    </row>
    <row r="804" spans="1:11">
      <c r="A804" s="11" t="s">
        <v>2101</v>
      </c>
      <c r="B804" s="310" t="str">
        <f>报表附注!E1177</f>
        <v>        运输工具</v>
      </c>
      <c r="C804" s="321">
        <f t="shared" si="95"/>
        <v>0</v>
      </c>
      <c r="D804" s="11" t="b">
        <f t="shared" si="93"/>
        <v>0</v>
      </c>
      <c r="E804" s="311"/>
      <c r="H804" s="11" t="b">
        <f t="shared" si="92"/>
        <v>1</v>
      </c>
      <c r="I804" s="11" t="s">
        <v>3278</v>
      </c>
      <c r="K804" s="11" t="b">
        <v>0</v>
      </c>
    </row>
    <row r="805" spans="1:11">
      <c r="A805" s="11" t="s">
        <v>2102</v>
      </c>
      <c r="B805" s="310" t="str">
        <f>报表附注!E1178</f>
        <v>        电子设备及其他</v>
      </c>
      <c r="C805" s="321">
        <f t="shared" si="95"/>
        <v>0</v>
      </c>
      <c r="D805" s="11" t="b">
        <f t="shared" si="93"/>
        <v>0</v>
      </c>
      <c r="E805" s="311"/>
      <c r="H805" s="11" t="b">
        <f t="shared" si="92"/>
        <v>1</v>
      </c>
      <c r="I805" s="11" t="s">
        <v>3279</v>
      </c>
      <c r="K805" s="11" t="b">
        <v>0</v>
      </c>
    </row>
    <row r="806" spans="1:11">
      <c r="A806" s="11">
        <v>0</v>
      </c>
      <c r="B806" s="310">
        <f>报表附注!E1179</f>
        <v>0</v>
      </c>
      <c r="C806" s="321">
        <f t="shared" si="95"/>
        <v>0</v>
      </c>
      <c r="D806" s="11" t="b">
        <f t="shared" si="93"/>
        <v>1</v>
      </c>
      <c r="E806" s="311"/>
      <c r="H806" s="11" t="b">
        <f t="shared" si="92"/>
        <v>1</v>
      </c>
      <c r="I806" s="11">
        <v>0</v>
      </c>
      <c r="K806" s="11" t="b">
        <v>0</v>
      </c>
    </row>
    <row r="807" spans="1:11">
      <c r="A807" s="11" t="s">
        <v>2021</v>
      </c>
      <c r="B807" s="320" t="str">
        <f>报表附注!E1180</f>
        <v>合计</v>
      </c>
      <c r="C807" s="321">
        <f t="shared" si="95"/>
        <v>0</v>
      </c>
      <c r="D807" s="11" t="b">
        <f t="shared" si="93"/>
        <v>1</v>
      </c>
      <c r="E807" s="311"/>
      <c r="H807" s="11" t="b">
        <f t="shared" si="92"/>
        <v>1</v>
      </c>
      <c r="I807" s="11" t="s">
        <v>2021</v>
      </c>
      <c r="K807" s="11" t="b">
        <v>1</v>
      </c>
    </row>
    <row r="808" spans="1:11">
      <c r="A808" s="11" t="s">
        <v>2108</v>
      </c>
      <c r="B808" s="353" t="s">
        <v>2108</v>
      </c>
      <c r="C808" s="328">
        <f t="shared" si="95"/>
        <v>0</v>
      </c>
      <c r="D808" s="11" t="b">
        <f t="shared" si="93"/>
        <v>1</v>
      </c>
      <c r="E808" s="326"/>
      <c r="H808" s="11" t="b">
        <f t="shared" si="92"/>
        <v>0</v>
      </c>
      <c r="I808" s="11" t="s">
        <v>860</v>
      </c>
      <c r="K808" s="11" t="b">
        <v>1</v>
      </c>
    </row>
    <row r="809" spans="1:11">
      <c r="A809" s="11" t="s">
        <v>2107</v>
      </c>
      <c r="B809" s="333" t="s">
        <v>2107</v>
      </c>
      <c r="C809" s="328">
        <f t="shared" si="95"/>
        <v>0</v>
      </c>
      <c r="D809" s="11" t="b">
        <f t="shared" si="93"/>
        <v>1</v>
      </c>
      <c r="E809" s="326"/>
      <c r="H809" s="11" t="b">
        <f t="shared" si="92"/>
        <v>0</v>
      </c>
      <c r="I809" s="11" t="s">
        <v>5706</v>
      </c>
      <c r="K809" s="11" t="b">
        <v>0</v>
      </c>
    </row>
    <row r="810" spans="1:11">
      <c r="A810" s="11" t="s">
        <v>2099</v>
      </c>
      <c r="B810" s="334" t="str">
        <f>报表附注!E1184</f>
        <v>    其中：节能服务资产</v>
      </c>
      <c r="C810" s="321">
        <f t="shared" si="95"/>
        <v>0</v>
      </c>
      <c r="D810" s="11" t="b">
        <f t="shared" si="93"/>
        <v>0</v>
      </c>
      <c r="E810" s="311"/>
      <c r="H810" s="11" t="b">
        <f t="shared" si="92"/>
        <v>0</v>
      </c>
      <c r="I810" s="11" t="s">
        <v>3277</v>
      </c>
      <c r="K810" s="11" t="b">
        <v>0</v>
      </c>
    </row>
    <row r="811" spans="1:11">
      <c r="A811" s="11" t="s">
        <v>2100</v>
      </c>
      <c r="B811" s="334" t="str">
        <f>报表附注!E1185</f>
        <v>        机器设备</v>
      </c>
      <c r="C811" s="321">
        <f t="shared" si="95"/>
        <v>0</v>
      </c>
      <c r="D811" s="11" t="b">
        <f t="shared" si="93"/>
        <v>0</v>
      </c>
      <c r="E811" s="311"/>
      <c r="H811" s="11" t="b">
        <f t="shared" si="92"/>
        <v>0</v>
      </c>
      <c r="I811" s="11" t="s">
        <v>3278</v>
      </c>
      <c r="K811" s="11" t="b">
        <v>0</v>
      </c>
    </row>
    <row r="812" spans="1:11">
      <c r="A812" s="11" t="s">
        <v>2101</v>
      </c>
      <c r="B812" s="334" t="str">
        <f>报表附注!E1186</f>
        <v>        运输工具</v>
      </c>
      <c r="C812" s="321">
        <f t="shared" si="95"/>
        <v>0</v>
      </c>
      <c r="D812" s="11" t="b">
        <f t="shared" si="93"/>
        <v>0</v>
      </c>
      <c r="E812" s="311"/>
      <c r="H812" s="11" t="b">
        <f t="shared" si="92"/>
        <v>0</v>
      </c>
      <c r="I812" s="11" t="s">
        <v>3279</v>
      </c>
      <c r="K812" s="11" t="b">
        <v>0</v>
      </c>
    </row>
    <row r="813" spans="1:11">
      <c r="A813" s="11" t="s">
        <v>2102</v>
      </c>
      <c r="B813" s="334" t="str">
        <f>报表附注!E1187</f>
        <v>        电子设备及其他</v>
      </c>
      <c r="C813" s="321">
        <f t="shared" si="95"/>
        <v>0</v>
      </c>
      <c r="D813" s="11" t="b">
        <f t="shared" si="93"/>
        <v>0</v>
      </c>
      <c r="E813" s="311"/>
      <c r="H813" s="11" t="b">
        <f t="shared" si="92"/>
        <v>0</v>
      </c>
      <c r="I813" s="11">
        <v>0</v>
      </c>
      <c r="K813" s="11" t="b">
        <v>0</v>
      </c>
    </row>
    <row r="814" spans="1:11">
      <c r="A814" s="11">
        <v>0</v>
      </c>
      <c r="B814" s="334">
        <f>报表附注!E1188</f>
        <v>0</v>
      </c>
      <c r="C814" s="321">
        <f t="shared" si="95"/>
        <v>0</v>
      </c>
      <c r="D814" s="11" t="b">
        <f t="shared" si="93"/>
        <v>1</v>
      </c>
      <c r="E814" s="311"/>
      <c r="H814" s="11" t="b">
        <f t="shared" si="92"/>
        <v>0</v>
      </c>
      <c r="I814" s="11" t="s">
        <v>2021</v>
      </c>
      <c r="K814" s="11" t="b">
        <v>1</v>
      </c>
    </row>
    <row r="815" spans="1:11">
      <c r="A815" s="11" t="s">
        <v>2021</v>
      </c>
      <c r="B815" s="339" t="str">
        <f>报表附注!E1189</f>
        <v>合计</v>
      </c>
      <c r="C815" s="321">
        <f t="shared" si="95"/>
        <v>0</v>
      </c>
      <c r="D815" s="11" t="b">
        <f t="shared" si="93"/>
        <v>1</v>
      </c>
      <c r="E815" s="311"/>
      <c r="H815" s="11" t="b">
        <f t="shared" si="92"/>
        <v>0</v>
      </c>
      <c r="I815" s="11" t="s">
        <v>776</v>
      </c>
      <c r="K815" s="11" t="b">
        <v>1</v>
      </c>
    </row>
    <row r="816" spans="1:11">
      <c r="A816" s="11" t="s">
        <v>860</v>
      </c>
      <c r="B816" s="333" t="s">
        <v>860</v>
      </c>
      <c r="C816" s="328">
        <f t="shared" si="95"/>
        <v>0</v>
      </c>
      <c r="D816" s="11" t="b">
        <f t="shared" si="93"/>
        <v>1</v>
      </c>
      <c r="E816" s="326"/>
      <c r="H816" s="11" t="b">
        <f t="shared" si="92"/>
        <v>0</v>
      </c>
      <c r="I816" s="11" t="s">
        <v>5706</v>
      </c>
      <c r="K816" s="11" t="b">
        <v>0</v>
      </c>
    </row>
    <row r="817" spans="1:11">
      <c r="A817" s="11" t="s">
        <v>2099</v>
      </c>
      <c r="B817" s="346" t="str">
        <f>报表附注!E1184</f>
        <v>    其中：节能服务资产</v>
      </c>
      <c r="C817" s="321">
        <f t="shared" si="95"/>
        <v>0</v>
      </c>
      <c r="D817" s="11" t="b">
        <f t="shared" si="93"/>
        <v>0</v>
      </c>
      <c r="E817" s="311"/>
      <c r="H817" s="11" t="b">
        <f t="shared" si="92"/>
        <v>0</v>
      </c>
      <c r="I817" s="11" t="s">
        <v>3277</v>
      </c>
      <c r="K817" s="11" t="b">
        <v>0</v>
      </c>
    </row>
    <row r="818" spans="1:11">
      <c r="A818" s="11" t="s">
        <v>2100</v>
      </c>
      <c r="B818" s="334" t="str">
        <f>报表附注!E1185</f>
        <v>        机器设备</v>
      </c>
      <c r="C818" s="321">
        <f t="shared" si="95"/>
        <v>0</v>
      </c>
      <c r="D818" s="11" t="b">
        <f t="shared" si="93"/>
        <v>0</v>
      </c>
      <c r="E818" s="311"/>
      <c r="H818" s="11" t="b">
        <f t="shared" si="92"/>
        <v>0</v>
      </c>
      <c r="I818" s="11" t="s">
        <v>3278</v>
      </c>
      <c r="K818" s="11" t="b">
        <v>0</v>
      </c>
    </row>
    <row r="819" spans="1:11">
      <c r="A819" s="11" t="s">
        <v>2101</v>
      </c>
      <c r="B819" s="334" t="str">
        <f>报表附注!E1186</f>
        <v>        运输工具</v>
      </c>
      <c r="C819" s="321">
        <f t="shared" si="95"/>
        <v>0</v>
      </c>
      <c r="D819" s="11" t="b">
        <f t="shared" si="93"/>
        <v>0</v>
      </c>
      <c r="E819" s="311"/>
      <c r="H819" s="11" t="b">
        <f t="shared" si="92"/>
        <v>0</v>
      </c>
      <c r="I819" s="11" t="s">
        <v>3279</v>
      </c>
      <c r="K819" s="11" t="b">
        <v>0</v>
      </c>
    </row>
    <row r="820" spans="1:11">
      <c r="A820" s="11" t="s">
        <v>2102</v>
      </c>
      <c r="B820" s="334" t="str">
        <f>报表附注!E1187</f>
        <v>        电子设备及其他</v>
      </c>
      <c r="C820" s="321">
        <f t="shared" si="95"/>
        <v>0</v>
      </c>
      <c r="D820" s="11" t="b">
        <f t="shared" si="93"/>
        <v>0</v>
      </c>
      <c r="E820" s="311"/>
      <c r="H820" s="11" t="b">
        <f t="shared" si="92"/>
        <v>0</v>
      </c>
      <c r="I820" s="11">
        <v>0</v>
      </c>
      <c r="K820" s="11" t="b">
        <v>0</v>
      </c>
    </row>
    <row r="821" spans="1:11">
      <c r="A821" s="11">
        <v>0</v>
      </c>
      <c r="B821" s="334">
        <f>报表附注!E1188</f>
        <v>0</v>
      </c>
      <c r="C821" s="321">
        <f t="shared" si="95"/>
        <v>0</v>
      </c>
      <c r="D821" s="11" t="b">
        <f t="shared" si="93"/>
        <v>1</v>
      </c>
      <c r="E821" s="311"/>
      <c r="H821" s="11" t="b">
        <f t="shared" si="92"/>
        <v>0</v>
      </c>
      <c r="I821" s="11" t="s">
        <v>2021</v>
      </c>
      <c r="K821" s="11" t="b">
        <v>1</v>
      </c>
    </row>
    <row r="822" spans="1:11">
      <c r="A822" s="11" t="s">
        <v>2021</v>
      </c>
      <c r="B822" s="339" t="str">
        <f>报表附注!E1189</f>
        <v>合计</v>
      </c>
      <c r="C822" s="321">
        <f t="shared" si="95"/>
        <v>0</v>
      </c>
      <c r="D822" s="11" t="b">
        <f t="shared" si="93"/>
        <v>1</v>
      </c>
      <c r="E822" s="311"/>
      <c r="H822" s="11" t="b">
        <f t="shared" si="92"/>
        <v>0</v>
      </c>
      <c r="I822" s="11" t="s">
        <v>2109</v>
      </c>
      <c r="K822" s="11" t="b">
        <v>1</v>
      </c>
    </row>
    <row r="823" spans="1:11">
      <c r="A823" s="11" t="s">
        <v>776</v>
      </c>
      <c r="B823" s="333" t="s">
        <v>776</v>
      </c>
      <c r="C823" s="328">
        <f t="shared" si="95"/>
        <v>0</v>
      </c>
      <c r="D823" s="11" t="b">
        <f t="shared" si="93"/>
        <v>1</v>
      </c>
      <c r="E823" s="326"/>
      <c r="H823" s="11" t="b">
        <f t="shared" si="92"/>
        <v>0</v>
      </c>
      <c r="I823" s="11" t="s">
        <v>2107</v>
      </c>
      <c r="K823" s="11" t="b">
        <v>1</v>
      </c>
    </row>
    <row r="824" spans="1:11">
      <c r="A824" s="11" t="s">
        <v>2099</v>
      </c>
      <c r="B824" s="346" t="str">
        <f>报表附注!E1184</f>
        <v>    其中：节能服务资产</v>
      </c>
      <c r="C824" s="321">
        <f t="shared" si="95"/>
        <v>0</v>
      </c>
      <c r="D824" s="11" t="b">
        <f t="shared" si="93"/>
        <v>0</v>
      </c>
      <c r="E824" s="311"/>
      <c r="H824" s="11" t="b">
        <f t="shared" si="92"/>
        <v>0</v>
      </c>
      <c r="I824" s="11" t="s">
        <v>5706</v>
      </c>
      <c r="K824" s="11" t="b">
        <v>0</v>
      </c>
    </row>
    <row r="825" spans="1:11">
      <c r="A825" s="11" t="s">
        <v>2100</v>
      </c>
      <c r="B825" s="334" t="str">
        <f>报表附注!E1185</f>
        <v>        机器设备</v>
      </c>
      <c r="C825" s="321">
        <f t="shared" si="95"/>
        <v>0</v>
      </c>
      <c r="D825" s="11" t="b">
        <f t="shared" si="93"/>
        <v>0</v>
      </c>
      <c r="E825" s="311"/>
      <c r="H825" s="11" t="b">
        <f t="shared" si="92"/>
        <v>1</v>
      </c>
      <c r="I825" s="11" t="s">
        <v>3277</v>
      </c>
      <c r="K825" s="11" t="b">
        <v>0</v>
      </c>
    </row>
    <row r="826" spans="1:11">
      <c r="A826" s="11" t="s">
        <v>2101</v>
      </c>
      <c r="B826" s="334" t="str">
        <f>报表附注!E1186</f>
        <v>        运输工具</v>
      </c>
      <c r="C826" s="321">
        <f t="shared" si="95"/>
        <v>0</v>
      </c>
      <c r="D826" s="11" t="b">
        <f t="shared" si="93"/>
        <v>0</v>
      </c>
      <c r="E826" s="311"/>
      <c r="H826" s="11" t="b">
        <f t="shared" si="92"/>
        <v>1</v>
      </c>
      <c r="I826" s="11" t="s">
        <v>3278</v>
      </c>
      <c r="K826" s="11" t="b">
        <v>0</v>
      </c>
    </row>
    <row r="827" spans="1:11">
      <c r="A827" s="11" t="s">
        <v>2102</v>
      </c>
      <c r="B827" s="334" t="str">
        <f>报表附注!E1187</f>
        <v>        电子设备及其他</v>
      </c>
      <c r="C827" s="321">
        <f t="shared" ref="C827:C858" si="96">J819</f>
        <v>0</v>
      </c>
      <c r="D827" s="11" t="b">
        <f t="shared" si="93"/>
        <v>0</v>
      </c>
      <c r="E827" s="311"/>
      <c r="H827" s="11" t="b">
        <f t="shared" si="92"/>
        <v>1</v>
      </c>
      <c r="I827" s="11" t="s">
        <v>3279</v>
      </c>
      <c r="K827" s="11" t="b">
        <v>0</v>
      </c>
    </row>
    <row r="828" spans="1:11">
      <c r="A828" s="11">
        <v>0</v>
      </c>
      <c r="B828" s="334">
        <f>报表附注!E1188</f>
        <v>0</v>
      </c>
      <c r="C828" s="321">
        <f t="shared" si="96"/>
        <v>0</v>
      </c>
      <c r="D828" s="11" t="b">
        <f t="shared" si="93"/>
        <v>1</v>
      </c>
      <c r="E828" s="311"/>
      <c r="H828" s="11" t="b">
        <f t="shared" si="92"/>
        <v>1</v>
      </c>
      <c r="I828" s="11">
        <v>0</v>
      </c>
      <c r="K828" s="11" t="b">
        <v>0</v>
      </c>
    </row>
    <row r="829" spans="1:11">
      <c r="A829" s="11" t="s">
        <v>2021</v>
      </c>
      <c r="B829" s="339" t="str">
        <f>报表附注!E1189</f>
        <v>合计</v>
      </c>
      <c r="C829" s="321">
        <f t="shared" si="96"/>
        <v>0</v>
      </c>
      <c r="D829" s="11" t="b">
        <f t="shared" si="93"/>
        <v>1</v>
      </c>
      <c r="E829" s="311"/>
      <c r="H829" s="11" t="b">
        <f t="shared" si="92"/>
        <v>1</v>
      </c>
      <c r="I829" s="11" t="s">
        <v>2021</v>
      </c>
      <c r="K829" s="11" t="b">
        <v>1</v>
      </c>
    </row>
    <row r="830" spans="1:11">
      <c r="A830" s="11" t="s">
        <v>2109</v>
      </c>
      <c r="B830" s="353" t="s">
        <v>2109</v>
      </c>
      <c r="C830" s="328">
        <f t="shared" si="96"/>
        <v>0</v>
      </c>
      <c r="D830" s="11" t="b">
        <f t="shared" si="93"/>
        <v>1</v>
      </c>
      <c r="E830" s="326"/>
      <c r="H830" s="11" t="b">
        <f t="shared" si="92"/>
        <v>0</v>
      </c>
      <c r="I830" s="11" t="s">
        <v>860</v>
      </c>
      <c r="K830" s="11" t="b">
        <v>1</v>
      </c>
    </row>
    <row r="831" spans="1:11">
      <c r="A831" s="11" t="s">
        <v>2107</v>
      </c>
      <c r="B831" s="333" t="s">
        <v>2107</v>
      </c>
      <c r="C831" s="328">
        <f t="shared" si="96"/>
        <v>0</v>
      </c>
      <c r="D831" s="11" t="b">
        <f t="shared" si="93"/>
        <v>1</v>
      </c>
      <c r="E831" s="326"/>
      <c r="H831" s="11" t="b">
        <f t="shared" si="92"/>
        <v>0</v>
      </c>
      <c r="I831" s="11" t="s">
        <v>5706</v>
      </c>
      <c r="K831" s="11" t="b">
        <v>0</v>
      </c>
    </row>
    <row r="832" spans="1:11">
      <c r="A832" s="11" t="s">
        <v>2099</v>
      </c>
      <c r="B832" s="334" t="str">
        <f>报表附注!E1193</f>
        <v>    其中：节能服务资产</v>
      </c>
      <c r="C832" s="321">
        <f t="shared" si="96"/>
        <v>0</v>
      </c>
      <c r="D832" s="11" t="b">
        <f t="shared" si="93"/>
        <v>0</v>
      </c>
      <c r="E832" s="311"/>
      <c r="H832" s="11" t="b">
        <f t="shared" si="92"/>
        <v>0</v>
      </c>
      <c r="I832" s="11" t="s">
        <v>3277</v>
      </c>
      <c r="K832" s="11" t="b">
        <v>0</v>
      </c>
    </row>
    <row r="833" spans="1:11">
      <c r="A833" s="11" t="s">
        <v>2100</v>
      </c>
      <c r="B833" s="334" t="str">
        <f>报表附注!E1194</f>
        <v>        机器设备</v>
      </c>
      <c r="C833" s="321">
        <f t="shared" si="96"/>
        <v>0</v>
      </c>
      <c r="D833" s="11" t="b">
        <f t="shared" si="93"/>
        <v>0</v>
      </c>
      <c r="E833" s="311"/>
      <c r="H833" s="11" t="b">
        <f t="shared" si="92"/>
        <v>0</v>
      </c>
      <c r="I833" s="11" t="s">
        <v>3278</v>
      </c>
      <c r="K833" s="11" t="b">
        <v>0</v>
      </c>
    </row>
    <row r="834" spans="1:11">
      <c r="A834" s="11" t="s">
        <v>2101</v>
      </c>
      <c r="B834" s="334" t="str">
        <f>报表附注!E1195</f>
        <v>        运输工具</v>
      </c>
      <c r="C834" s="321">
        <f t="shared" si="96"/>
        <v>0</v>
      </c>
      <c r="D834" s="11" t="b">
        <f t="shared" si="93"/>
        <v>0</v>
      </c>
      <c r="E834" s="311"/>
      <c r="H834" s="11" t="b">
        <f t="shared" si="92"/>
        <v>0</v>
      </c>
      <c r="I834" s="11" t="s">
        <v>3279</v>
      </c>
      <c r="K834" s="11" t="b">
        <v>0</v>
      </c>
    </row>
    <row r="835" spans="1:11">
      <c r="A835" s="11" t="s">
        <v>2102</v>
      </c>
      <c r="B835" s="334" t="str">
        <f>报表附注!E1196</f>
        <v>        电子设备及其他</v>
      </c>
      <c r="C835" s="321">
        <f t="shared" si="96"/>
        <v>0</v>
      </c>
      <c r="D835" s="11" t="b">
        <f t="shared" si="93"/>
        <v>0</v>
      </c>
      <c r="E835" s="311"/>
      <c r="H835" s="11" t="b">
        <f t="shared" si="92"/>
        <v>0</v>
      </c>
      <c r="I835" s="11">
        <v>0</v>
      </c>
      <c r="K835" s="11" t="b">
        <v>0</v>
      </c>
    </row>
    <row r="836" spans="1:11">
      <c r="A836" s="11">
        <v>0</v>
      </c>
      <c r="B836" s="334">
        <f>报表附注!E1197</f>
        <v>0</v>
      </c>
      <c r="C836" s="321">
        <f t="shared" si="96"/>
        <v>0</v>
      </c>
      <c r="D836" s="11" t="b">
        <f t="shared" si="93"/>
        <v>1</v>
      </c>
      <c r="E836" s="311"/>
      <c r="H836" s="11" t="b">
        <f t="shared" ref="H836:H899" si="97">I836=B836</f>
        <v>0</v>
      </c>
      <c r="I836" s="11" t="s">
        <v>2021</v>
      </c>
      <c r="K836" s="11" t="b">
        <v>1</v>
      </c>
    </row>
    <row r="837" spans="1:11">
      <c r="A837" s="11" t="s">
        <v>2021</v>
      </c>
      <c r="B837" s="339" t="str">
        <f>报表附注!E1198</f>
        <v>合计</v>
      </c>
      <c r="C837" s="321">
        <f t="shared" si="96"/>
        <v>0</v>
      </c>
      <c r="D837" s="11" t="b">
        <f t="shared" si="93"/>
        <v>1</v>
      </c>
      <c r="E837" s="311"/>
      <c r="H837" s="11" t="b">
        <f t="shared" si="97"/>
        <v>0</v>
      </c>
      <c r="I837" s="11" t="s">
        <v>776</v>
      </c>
      <c r="K837" s="11" t="b">
        <v>1</v>
      </c>
    </row>
    <row r="838" spans="1:11">
      <c r="A838" s="11" t="s">
        <v>860</v>
      </c>
      <c r="B838" s="333" t="s">
        <v>860</v>
      </c>
      <c r="C838" s="328">
        <f t="shared" si="96"/>
        <v>0</v>
      </c>
      <c r="D838" s="11" t="b">
        <f t="shared" si="93"/>
        <v>1</v>
      </c>
      <c r="E838" s="326"/>
      <c r="H838" s="11" t="b">
        <f t="shared" si="97"/>
        <v>0</v>
      </c>
      <c r="I838" s="11" t="s">
        <v>5706</v>
      </c>
      <c r="K838" s="11" t="b">
        <v>0</v>
      </c>
    </row>
    <row r="839" spans="1:11">
      <c r="A839" s="11" t="s">
        <v>2099</v>
      </c>
      <c r="B839" s="334" t="str">
        <f>报表附注!E1193</f>
        <v>    其中：节能服务资产</v>
      </c>
      <c r="C839" s="321">
        <f t="shared" si="96"/>
        <v>0</v>
      </c>
      <c r="D839" s="11" t="b">
        <f t="shared" si="93"/>
        <v>0</v>
      </c>
      <c r="E839" s="311"/>
      <c r="H839" s="11" t="b">
        <f t="shared" si="97"/>
        <v>0</v>
      </c>
      <c r="I839" s="11" t="s">
        <v>3277</v>
      </c>
      <c r="K839" s="11" t="b">
        <v>0</v>
      </c>
    </row>
    <row r="840" spans="1:11">
      <c r="A840" s="11" t="s">
        <v>2100</v>
      </c>
      <c r="B840" s="334" t="str">
        <f>报表附注!E1194</f>
        <v>        机器设备</v>
      </c>
      <c r="C840" s="321">
        <f t="shared" si="96"/>
        <v>0</v>
      </c>
      <c r="D840" s="11" t="b">
        <f t="shared" si="93"/>
        <v>0</v>
      </c>
      <c r="E840" s="311"/>
      <c r="H840" s="11" t="b">
        <f t="shared" si="97"/>
        <v>0</v>
      </c>
      <c r="I840" s="11" t="s">
        <v>3278</v>
      </c>
      <c r="K840" s="11" t="b">
        <v>0</v>
      </c>
    </row>
    <row r="841" spans="1:11">
      <c r="A841" s="11" t="s">
        <v>2101</v>
      </c>
      <c r="B841" s="334" t="str">
        <f>报表附注!E1195</f>
        <v>        运输工具</v>
      </c>
      <c r="C841" s="321">
        <f t="shared" si="96"/>
        <v>0</v>
      </c>
      <c r="D841" s="11" t="b">
        <f t="shared" si="93"/>
        <v>0</v>
      </c>
      <c r="E841" s="311"/>
      <c r="H841" s="11" t="b">
        <f t="shared" si="97"/>
        <v>0</v>
      </c>
      <c r="I841" s="11" t="s">
        <v>3279</v>
      </c>
      <c r="K841" s="11" t="b">
        <v>0</v>
      </c>
    </row>
    <row r="842" spans="1:11">
      <c r="A842" s="11" t="s">
        <v>2102</v>
      </c>
      <c r="B842" s="334" t="str">
        <f>报表附注!E1196</f>
        <v>        电子设备及其他</v>
      </c>
      <c r="C842" s="321">
        <f t="shared" si="96"/>
        <v>0</v>
      </c>
      <c r="D842" s="11" t="b">
        <f t="shared" si="93"/>
        <v>0</v>
      </c>
      <c r="E842" s="311"/>
      <c r="H842" s="11" t="b">
        <f t="shared" si="97"/>
        <v>0</v>
      </c>
      <c r="I842" s="11">
        <v>0</v>
      </c>
      <c r="K842" s="11" t="b">
        <v>0</v>
      </c>
    </row>
    <row r="843" spans="1:11">
      <c r="A843" s="11">
        <v>0</v>
      </c>
      <c r="B843" s="334">
        <f>报表附注!E1197</f>
        <v>0</v>
      </c>
      <c r="C843" s="321">
        <f t="shared" si="96"/>
        <v>0</v>
      </c>
      <c r="D843" s="11" t="b">
        <f t="shared" si="93"/>
        <v>1</v>
      </c>
      <c r="E843" s="311"/>
      <c r="H843" s="11" t="b">
        <f t="shared" si="97"/>
        <v>0</v>
      </c>
      <c r="I843" s="11" t="s">
        <v>2021</v>
      </c>
      <c r="K843" s="11" t="b">
        <v>1</v>
      </c>
    </row>
    <row r="844" spans="1:11">
      <c r="A844" s="11" t="s">
        <v>2021</v>
      </c>
      <c r="B844" s="339" t="str">
        <f>报表附注!E1198</f>
        <v>合计</v>
      </c>
      <c r="C844" s="321">
        <f t="shared" si="96"/>
        <v>0</v>
      </c>
      <c r="D844" s="11" t="b">
        <f t="shared" ref="D844:D907" si="98">EXACT(A844,B844)</f>
        <v>1</v>
      </c>
      <c r="E844" s="311"/>
      <c r="H844" s="11" t="b">
        <f t="shared" si="97"/>
        <v>0</v>
      </c>
      <c r="I844" s="11" t="s">
        <v>2110</v>
      </c>
      <c r="K844" s="11" t="b">
        <v>1</v>
      </c>
    </row>
    <row r="845" spans="1:11">
      <c r="A845" s="11" t="s">
        <v>776</v>
      </c>
      <c r="B845" s="333" t="s">
        <v>776</v>
      </c>
      <c r="C845" s="328">
        <f t="shared" si="96"/>
        <v>0</v>
      </c>
      <c r="D845" s="11" t="b">
        <f t="shared" si="98"/>
        <v>1</v>
      </c>
      <c r="E845" s="326"/>
      <c r="H845" s="11" t="b">
        <f t="shared" si="97"/>
        <v>0</v>
      </c>
      <c r="I845" s="11" t="s">
        <v>2111</v>
      </c>
      <c r="K845" s="11" t="b">
        <v>1</v>
      </c>
    </row>
    <row r="846" spans="1:11">
      <c r="A846" s="11" t="s">
        <v>2099</v>
      </c>
      <c r="B846" s="346" t="str">
        <f>报表附注!E1193</f>
        <v>    其中：节能服务资产</v>
      </c>
      <c r="C846" s="321">
        <f t="shared" si="96"/>
        <v>0</v>
      </c>
      <c r="D846" s="11" t="b">
        <f t="shared" si="98"/>
        <v>0</v>
      </c>
      <c r="E846" s="311"/>
      <c r="H846" s="11" t="b">
        <f t="shared" si="97"/>
        <v>0</v>
      </c>
      <c r="I846" s="11" t="s">
        <v>5706</v>
      </c>
      <c r="K846" s="11" t="b">
        <v>0</v>
      </c>
    </row>
    <row r="847" spans="1:11">
      <c r="A847" s="11" t="s">
        <v>2100</v>
      </c>
      <c r="B847" s="346" t="str">
        <f>报表附注!E1194</f>
        <v>        机器设备</v>
      </c>
      <c r="C847" s="321">
        <f t="shared" si="96"/>
        <v>0</v>
      </c>
      <c r="D847" s="11" t="b">
        <f t="shared" si="98"/>
        <v>0</v>
      </c>
      <c r="E847" s="311"/>
      <c r="H847" s="11" t="b">
        <f t="shared" si="97"/>
        <v>1</v>
      </c>
      <c r="I847" s="11" t="s">
        <v>3277</v>
      </c>
      <c r="K847" s="11" t="b">
        <v>0</v>
      </c>
    </row>
    <row r="848" spans="1:11">
      <c r="A848" s="11" t="s">
        <v>2101</v>
      </c>
      <c r="B848" s="346" t="str">
        <f>报表附注!E1195</f>
        <v>        运输工具</v>
      </c>
      <c r="C848" s="321">
        <f t="shared" si="96"/>
        <v>0</v>
      </c>
      <c r="D848" s="11" t="b">
        <f t="shared" si="98"/>
        <v>0</v>
      </c>
      <c r="E848" s="311"/>
      <c r="H848" s="11" t="b">
        <f t="shared" si="97"/>
        <v>1</v>
      </c>
      <c r="I848" s="11" t="s">
        <v>3278</v>
      </c>
      <c r="K848" s="11" t="b">
        <v>0</v>
      </c>
    </row>
    <row r="849" spans="1:11">
      <c r="A849" s="11" t="s">
        <v>2102</v>
      </c>
      <c r="B849" s="346" t="str">
        <f>报表附注!E1196</f>
        <v>        电子设备及其他</v>
      </c>
      <c r="C849" s="321">
        <f t="shared" si="96"/>
        <v>0</v>
      </c>
      <c r="D849" s="11" t="b">
        <f t="shared" si="98"/>
        <v>0</v>
      </c>
      <c r="E849" s="311"/>
      <c r="H849" s="11" t="b">
        <f t="shared" si="97"/>
        <v>1</v>
      </c>
      <c r="I849" s="11" t="s">
        <v>3279</v>
      </c>
      <c r="K849" s="11" t="b">
        <v>0</v>
      </c>
    </row>
    <row r="850" spans="1:11">
      <c r="A850" s="11">
        <v>0</v>
      </c>
      <c r="B850" s="346">
        <f>报表附注!E1197</f>
        <v>0</v>
      </c>
      <c r="C850" s="321">
        <f t="shared" si="96"/>
        <v>0</v>
      </c>
      <c r="D850" s="11" t="b">
        <f t="shared" si="98"/>
        <v>1</v>
      </c>
      <c r="E850" s="311"/>
      <c r="H850" s="11" t="b">
        <f t="shared" si="97"/>
        <v>1</v>
      </c>
      <c r="I850" s="11">
        <v>0</v>
      </c>
      <c r="K850" s="11" t="b">
        <v>0</v>
      </c>
    </row>
    <row r="851" spans="1:11">
      <c r="A851" s="11" t="s">
        <v>2021</v>
      </c>
      <c r="B851" s="354" t="str">
        <f>报表附注!E1198</f>
        <v>合计</v>
      </c>
      <c r="C851" s="321">
        <f t="shared" si="96"/>
        <v>0</v>
      </c>
      <c r="D851" s="11" t="b">
        <f t="shared" si="98"/>
        <v>1</v>
      </c>
      <c r="E851" s="311"/>
      <c r="H851" s="11" t="b">
        <f t="shared" si="97"/>
        <v>1</v>
      </c>
      <c r="I851" s="11" t="s">
        <v>2021</v>
      </c>
      <c r="K851" s="11" t="b">
        <v>1</v>
      </c>
    </row>
    <row r="852" spans="1:11">
      <c r="A852" s="11" t="s">
        <v>2110</v>
      </c>
      <c r="B852" s="353" t="s">
        <v>2110</v>
      </c>
      <c r="C852" s="328">
        <f t="shared" si="96"/>
        <v>0</v>
      </c>
      <c r="D852" s="11" t="b">
        <f t="shared" si="98"/>
        <v>1</v>
      </c>
      <c r="E852" s="326"/>
      <c r="H852" s="11" t="b">
        <f t="shared" si="97"/>
        <v>0</v>
      </c>
      <c r="I852" s="11" t="s">
        <v>2112</v>
      </c>
      <c r="K852" s="11" t="b">
        <v>1</v>
      </c>
    </row>
    <row r="853" spans="1:11">
      <c r="A853" s="11" t="s">
        <v>2111</v>
      </c>
      <c r="B853" s="333" t="s">
        <v>2111</v>
      </c>
      <c r="C853" s="328">
        <f t="shared" si="96"/>
        <v>0</v>
      </c>
      <c r="D853" s="11" t="b">
        <f t="shared" si="98"/>
        <v>1</v>
      </c>
      <c r="E853" s="326"/>
      <c r="H853" s="11" t="b">
        <f t="shared" si="97"/>
        <v>0</v>
      </c>
      <c r="I853" s="11" t="s">
        <v>5706</v>
      </c>
      <c r="K853" s="11" t="b">
        <v>0</v>
      </c>
    </row>
    <row r="854" spans="1:11">
      <c r="A854" s="11" t="s">
        <v>2099</v>
      </c>
      <c r="B854" s="346" t="str">
        <f>报表附注!E1202</f>
        <v>    其中：节能服务资产</v>
      </c>
      <c r="C854" s="321">
        <f t="shared" si="96"/>
        <v>0</v>
      </c>
      <c r="D854" s="11" t="b">
        <f t="shared" si="98"/>
        <v>0</v>
      </c>
      <c r="E854" s="311"/>
      <c r="H854" s="11" t="b">
        <f t="shared" si="97"/>
        <v>0</v>
      </c>
      <c r="I854" s="11" t="s">
        <v>3277</v>
      </c>
      <c r="K854" s="11" t="b">
        <v>0</v>
      </c>
    </row>
    <row r="855" spans="1:11">
      <c r="A855" s="11" t="s">
        <v>2100</v>
      </c>
      <c r="B855" s="346" t="str">
        <f>报表附注!E1203</f>
        <v>        机器设备</v>
      </c>
      <c r="C855" s="321">
        <f t="shared" si="96"/>
        <v>0</v>
      </c>
      <c r="D855" s="11" t="b">
        <f t="shared" si="98"/>
        <v>0</v>
      </c>
      <c r="E855" s="311"/>
      <c r="H855" s="11" t="b">
        <f t="shared" si="97"/>
        <v>0</v>
      </c>
      <c r="I855" s="11" t="s">
        <v>3278</v>
      </c>
      <c r="K855" s="11" t="b">
        <v>0</v>
      </c>
    </row>
    <row r="856" spans="1:11">
      <c r="A856" s="11" t="s">
        <v>2101</v>
      </c>
      <c r="B856" s="346" t="str">
        <f>报表附注!E1204</f>
        <v>        运输工具</v>
      </c>
      <c r="C856" s="321">
        <f t="shared" si="96"/>
        <v>0</v>
      </c>
      <c r="D856" s="11" t="b">
        <f t="shared" si="98"/>
        <v>0</v>
      </c>
      <c r="E856" s="311"/>
      <c r="H856" s="11" t="b">
        <f t="shared" si="97"/>
        <v>0</v>
      </c>
      <c r="I856" s="11" t="s">
        <v>3279</v>
      </c>
      <c r="K856" s="11" t="b">
        <v>0</v>
      </c>
    </row>
    <row r="857" spans="1:11">
      <c r="A857" s="11" t="s">
        <v>2102</v>
      </c>
      <c r="B857" s="346" t="str">
        <f>报表附注!E1205</f>
        <v>        电子设备及其他</v>
      </c>
      <c r="C857" s="321">
        <f t="shared" si="96"/>
        <v>0</v>
      </c>
      <c r="D857" s="11" t="b">
        <f t="shared" si="98"/>
        <v>0</v>
      </c>
      <c r="E857" s="311"/>
      <c r="H857" s="11" t="b">
        <f t="shared" si="97"/>
        <v>0</v>
      </c>
      <c r="I857" s="11">
        <v>0</v>
      </c>
      <c r="K857" s="11" t="b">
        <v>0</v>
      </c>
    </row>
    <row r="858" spans="1:11">
      <c r="A858" s="11">
        <v>0</v>
      </c>
      <c r="B858" s="346">
        <f>报表附注!E1206</f>
        <v>0</v>
      </c>
      <c r="C858" s="321">
        <f t="shared" si="96"/>
        <v>0</v>
      </c>
      <c r="D858" s="11" t="b">
        <f t="shared" si="98"/>
        <v>1</v>
      </c>
      <c r="E858" s="311"/>
      <c r="H858" s="11" t="b">
        <f t="shared" si="97"/>
        <v>0</v>
      </c>
      <c r="I858" s="11" t="s">
        <v>2021</v>
      </c>
      <c r="K858" s="11" t="b">
        <v>1</v>
      </c>
    </row>
    <row r="859" spans="1:11">
      <c r="A859" s="11" t="s">
        <v>2021</v>
      </c>
      <c r="B859" s="354" t="str">
        <f>报表附注!E1207</f>
        <v>合计</v>
      </c>
      <c r="C859" s="321">
        <f t="shared" ref="C859:C873" si="99">J851</f>
        <v>0</v>
      </c>
      <c r="D859" s="11" t="b">
        <f t="shared" si="98"/>
        <v>1</v>
      </c>
      <c r="E859" s="311"/>
      <c r="H859" s="11" t="b">
        <f t="shared" si="97"/>
        <v>0</v>
      </c>
      <c r="I859" s="11" t="s">
        <v>2113</v>
      </c>
      <c r="K859" s="11" t="b">
        <v>1</v>
      </c>
    </row>
    <row r="860" spans="1:11">
      <c r="A860" s="11" t="s">
        <v>2112</v>
      </c>
      <c r="B860" s="333" t="s">
        <v>2112</v>
      </c>
      <c r="C860" s="328">
        <f t="shared" si="99"/>
        <v>0</v>
      </c>
      <c r="D860" s="11" t="b">
        <f t="shared" si="98"/>
        <v>1</v>
      </c>
      <c r="E860" s="326"/>
      <c r="H860" s="11" t="b">
        <f t="shared" si="97"/>
        <v>0</v>
      </c>
      <c r="I860" s="11" t="s">
        <v>5706</v>
      </c>
      <c r="K860" s="11" t="b">
        <v>0</v>
      </c>
    </row>
    <row r="861" spans="1:11">
      <c r="A861" s="11" t="s">
        <v>2099</v>
      </c>
      <c r="B861" s="334" t="str">
        <f>报表附注!E1202</f>
        <v>    其中：节能服务资产</v>
      </c>
      <c r="C861" s="321">
        <f t="shared" si="99"/>
        <v>0</v>
      </c>
      <c r="D861" s="11" t="b">
        <f t="shared" si="98"/>
        <v>0</v>
      </c>
      <c r="E861" s="311"/>
      <c r="H861" s="11" t="b">
        <f t="shared" si="97"/>
        <v>0</v>
      </c>
      <c r="I861" s="11" t="s">
        <v>3277</v>
      </c>
      <c r="K861" s="11" t="b">
        <v>0</v>
      </c>
    </row>
    <row r="862" spans="1:11">
      <c r="A862" s="11" t="s">
        <v>2100</v>
      </c>
      <c r="B862" s="334" t="str">
        <f>报表附注!E1203</f>
        <v>        机器设备</v>
      </c>
      <c r="C862" s="321">
        <f t="shared" si="99"/>
        <v>0</v>
      </c>
      <c r="D862" s="11" t="b">
        <f t="shared" si="98"/>
        <v>0</v>
      </c>
      <c r="E862" s="311"/>
      <c r="H862" s="11" t="b">
        <f t="shared" si="97"/>
        <v>0</v>
      </c>
      <c r="I862" s="11" t="s">
        <v>3278</v>
      </c>
      <c r="K862" s="11" t="b">
        <v>0</v>
      </c>
    </row>
    <row r="863" spans="1:11">
      <c r="A863" s="11" t="s">
        <v>2101</v>
      </c>
      <c r="B863" s="334" t="str">
        <f>报表附注!E1204</f>
        <v>        运输工具</v>
      </c>
      <c r="C863" s="321">
        <f t="shared" si="99"/>
        <v>0</v>
      </c>
      <c r="D863" s="11" t="b">
        <f t="shared" si="98"/>
        <v>0</v>
      </c>
      <c r="E863" s="311"/>
      <c r="H863" s="11" t="b">
        <f t="shared" si="97"/>
        <v>0</v>
      </c>
      <c r="I863" s="11" t="s">
        <v>3279</v>
      </c>
      <c r="K863" s="11" t="b">
        <v>0</v>
      </c>
    </row>
    <row r="864" spans="1:11">
      <c r="A864" s="11" t="s">
        <v>2102</v>
      </c>
      <c r="B864" s="334" t="str">
        <f>报表附注!E1205</f>
        <v>        电子设备及其他</v>
      </c>
      <c r="C864" s="321">
        <f t="shared" si="99"/>
        <v>0</v>
      </c>
      <c r="D864" s="11" t="b">
        <f t="shared" si="98"/>
        <v>0</v>
      </c>
      <c r="E864" s="311"/>
      <c r="H864" s="11" t="b">
        <f t="shared" si="97"/>
        <v>0</v>
      </c>
      <c r="I864" s="11">
        <v>0</v>
      </c>
      <c r="K864" s="11" t="b">
        <v>0</v>
      </c>
    </row>
    <row r="865" spans="1:11">
      <c r="A865" s="11">
        <v>0</v>
      </c>
      <c r="B865" s="334">
        <f>报表附注!E1206</f>
        <v>0</v>
      </c>
      <c r="C865" s="321">
        <f t="shared" si="99"/>
        <v>0</v>
      </c>
      <c r="D865" s="11" t="b">
        <f t="shared" si="98"/>
        <v>1</v>
      </c>
      <c r="E865" s="311"/>
      <c r="H865" s="11" t="b">
        <f t="shared" si="97"/>
        <v>0</v>
      </c>
      <c r="I865" s="11" t="s">
        <v>2021</v>
      </c>
      <c r="K865" s="11" t="b">
        <v>1</v>
      </c>
    </row>
    <row r="866" spans="1:11">
      <c r="A866" s="11" t="s">
        <v>2021</v>
      </c>
      <c r="B866" s="339" t="str">
        <f>报表附注!E1207</f>
        <v>合计</v>
      </c>
      <c r="C866" s="321">
        <f t="shared" si="99"/>
        <v>0</v>
      </c>
      <c r="D866" s="11" t="b">
        <f t="shared" si="98"/>
        <v>1</v>
      </c>
      <c r="E866" s="311"/>
      <c r="H866" s="11" t="b">
        <f t="shared" si="97"/>
        <v>0</v>
      </c>
      <c r="K866" s="11" t="b">
        <v>1</v>
      </c>
    </row>
    <row r="867" spans="1:11">
      <c r="A867" s="11" t="s">
        <v>2113</v>
      </c>
      <c r="B867" s="333" t="s">
        <v>2113</v>
      </c>
      <c r="C867" s="328">
        <f t="shared" si="99"/>
        <v>0</v>
      </c>
      <c r="D867" s="11" t="b">
        <f t="shared" si="98"/>
        <v>1</v>
      </c>
      <c r="E867" s="326"/>
      <c r="H867" s="11" t="b">
        <f t="shared" si="97"/>
        <v>0</v>
      </c>
      <c r="I867" s="11" t="s">
        <v>2114</v>
      </c>
      <c r="K867" s="11" t="b">
        <v>1</v>
      </c>
    </row>
    <row r="868" spans="1:11">
      <c r="A868" s="11" t="s">
        <v>2099</v>
      </c>
      <c r="B868" s="334" t="str">
        <f>报表附注!E1202</f>
        <v>    其中：节能服务资产</v>
      </c>
      <c r="C868" s="321">
        <f t="shared" si="99"/>
        <v>0</v>
      </c>
      <c r="D868" s="11" t="b">
        <f t="shared" si="98"/>
        <v>0</v>
      </c>
      <c r="E868" s="311"/>
      <c r="H868" s="11" t="b">
        <f t="shared" si="97"/>
        <v>0</v>
      </c>
      <c r="K868" s="11" t="b">
        <v>1</v>
      </c>
    </row>
    <row r="869" spans="1:11">
      <c r="A869" s="11" t="s">
        <v>2100</v>
      </c>
      <c r="B869" s="334" t="str">
        <f>报表附注!E1203</f>
        <v>        机器设备</v>
      </c>
      <c r="C869" s="321">
        <f t="shared" si="99"/>
        <v>0</v>
      </c>
      <c r="D869" s="11" t="b">
        <f t="shared" si="98"/>
        <v>0</v>
      </c>
      <c r="E869" s="311"/>
      <c r="H869" s="11" t="b">
        <f t="shared" si="97"/>
        <v>0</v>
      </c>
      <c r="I869" s="11" t="s">
        <v>2115</v>
      </c>
      <c r="K869" s="11" t="b">
        <v>1</v>
      </c>
    </row>
    <row r="870" spans="1:11">
      <c r="A870" s="11" t="s">
        <v>2101</v>
      </c>
      <c r="B870" s="334" t="str">
        <f>报表附注!E1204</f>
        <v>        运输工具</v>
      </c>
      <c r="C870" s="321">
        <f t="shared" si="99"/>
        <v>0</v>
      </c>
      <c r="D870" s="11" t="b">
        <f t="shared" si="98"/>
        <v>0</v>
      </c>
      <c r="E870" s="311"/>
      <c r="H870" s="11" t="b">
        <f t="shared" si="97"/>
        <v>0</v>
      </c>
      <c r="K870" s="11" t="b">
        <v>1</v>
      </c>
    </row>
    <row r="871" spans="1:11">
      <c r="A871" s="11" t="s">
        <v>2102</v>
      </c>
      <c r="B871" s="334" t="str">
        <f>报表附注!E1205</f>
        <v>        电子设备及其他</v>
      </c>
      <c r="C871" s="321">
        <f t="shared" si="99"/>
        <v>0</v>
      </c>
      <c r="D871" s="11" t="b">
        <f t="shared" si="98"/>
        <v>0</v>
      </c>
      <c r="E871" s="311"/>
      <c r="H871" s="11" t="b">
        <f t="shared" si="97"/>
        <v>0</v>
      </c>
      <c r="I871" s="11" t="s">
        <v>2116</v>
      </c>
      <c r="K871" s="11" t="b">
        <v>1</v>
      </c>
    </row>
    <row r="872" spans="1:11">
      <c r="A872" s="11">
        <v>0</v>
      </c>
      <c r="B872" s="334">
        <f>报表附注!E1206</f>
        <v>0</v>
      </c>
      <c r="C872" s="321">
        <f t="shared" si="99"/>
        <v>0</v>
      </c>
      <c r="D872" s="11" t="b">
        <f t="shared" si="98"/>
        <v>1</v>
      </c>
      <c r="E872" s="311"/>
      <c r="H872" s="11" t="b">
        <f t="shared" si="97"/>
        <v>1</v>
      </c>
      <c r="K872" s="11" t="b">
        <v>1</v>
      </c>
    </row>
    <row r="873" spans="1:11">
      <c r="A873" s="11" t="s">
        <v>2021</v>
      </c>
      <c r="B873" s="339" t="str">
        <f>报表附注!E1207</f>
        <v>合计</v>
      </c>
      <c r="C873" s="321">
        <f t="shared" si="99"/>
        <v>0</v>
      </c>
      <c r="D873" s="11" t="b">
        <f t="shared" si="98"/>
        <v>1</v>
      </c>
      <c r="E873" s="311"/>
      <c r="H873" s="11" t="b">
        <f t="shared" si="97"/>
        <v>0</v>
      </c>
      <c r="I873" s="11" t="s">
        <v>2117</v>
      </c>
      <c r="K873" s="11" t="b">
        <v>1</v>
      </c>
    </row>
    <row r="874" spans="4:11">
      <c r="D874" s="11" t="b">
        <f t="shared" si="98"/>
        <v>1</v>
      </c>
      <c r="E874" s="326"/>
      <c r="H874" s="11" t="b">
        <f t="shared" si="97"/>
        <v>0</v>
      </c>
      <c r="I874" s="11" t="s">
        <v>671</v>
      </c>
      <c r="K874" s="11" t="b">
        <v>1</v>
      </c>
    </row>
    <row r="875" spans="1:11">
      <c r="A875" s="11" t="s">
        <v>2114</v>
      </c>
      <c r="B875" s="331" t="s">
        <v>2114</v>
      </c>
      <c r="D875" s="11" t="b">
        <f t="shared" si="98"/>
        <v>1</v>
      </c>
      <c r="H875" s="11" t="b">
        <f t="shared" si="97"/>
        <v>0</v>
      </c>
      <c r="I875" s="11" t="s">
        <v>2118</v>
      </c>
      <c r="K875" s="11" t="b">
        <v>1</v>
      </c>
    </row>
    <row r="876" spans="4:11">
      <c r="D876" s="11" t="b">
        <f t="shared" si="98"/>
        <v>1</v>
      </c>
      <c r="H876" s="11" t="b">
        <f t="shared" si="97"/>
        <v>0</v>
      </c>
      <c r="I876" s="11" t="s">
        <v>2119</v>
      </c>
      <c r="K876" s="11" t="b">
        <v>1</v>
      </c>
    </row>
    <row r="877" spans="1:11">
      <c r="A877" s="11" t="s">
        <v>2115</v>
      </c>
      <c r="B877" s="331" t="s">
        <v>2115</v>
      </c>
      <c r="D877" s="11" t="b">
        <f t="shared" si="98"/>
        <v>1</v>
      </c>
      <c r="H877" s="11" t="b">
        <f t="shared" si="97"/>
        <v>0</v>
      </c>
      <c r="I877" s="11" t="s">
        <v>863</v>
      </c>
      <c r="K877" s="11" t="b">
        <v>1</v>
      </c>
    </row>
    <row r="878" spans="4:11">
      <c r="D878" s="11" t="b">
        <f t="shared" si="98"/>
        <v>1</v>
      </c>
      <c r="H878" s="11" t="b">
        <f t="shared" si="97"/>
        <v>0</v>
      </c>
      <c r="I878" s="11" t="s">
        <v>865</v>
      </c>
      <c r="K878" s="11" t="b">
        <v>1</v>
      </c>
    </row>
    <row r="879" spans="1:11">
      <c r="A879" s="11" t="s">
        <v>2116</v>
      </c>
      <c r="B879" s="355" t="s">
        <v>2116</v>
      </c>
      <c r="D879" s="11" t="b">
        <f t="shared" si="98"/>
        <v>1</v>
      </c>
      <c r="H879" s="11" t="b">
        <f t="shared" si="97"/>
        <v>0</v>
      </c>
      <c r="I879" s="11" t="s">
        <v>2120</v>
      </c>
      <c r="K879" s="11" t="b">
        <v>1</v>
      </c>
    </row>
    <row r="880" spans="4:11">
      <c r="D880" s="11" t="b">
        <f t="shared" si="98"/>
        <v>1</v>
      </c>
      <c r="H880" s="11" t="b">
        <f t="shared" si="97"/>
        <v>0</v>
      </c>
      <c r="I880" s="11" t="s">
        <v>760</v>
      </c>
      <c r="K880" s="11" t="b">
        <v>1</v>
      </c>
    </row>
    <row r="881" spans="1:11">
      <c r="A881" s="11" t="s">
        <v>2117</v>
      </c>
      <c r="B881" s="329" t="s">
        <v>2117</v>
      </c>
      <c r="D881" s="11" t="b">
        <f t="shared" si="98"/>
        <v>1</v>
      </c>
      <c r="H881" s="11" t="b">
        <f t="shared" si="97"/>
        <v>0</v>
      </c>
      <c r="I881" s="11" t="s">
        <v>2119</v>
      </c>
      <c r="K881" s="11" t="b">
        <v>1</v>
      </c>
    </row>
    <row r="882" spans="1:11">
      <c r="A882" s="11" t="s">
        <v>671</v>
      </c>
      <c r="B882" s="333" t="s">
        <v>671</v>
      </c>
      <c r="D882" s="11" t="b">
        <f t="shared" si="98"/>
        <v>1</v>
      </c>
      <c r="H882" s="11" t="b">
        <f t="shared" si="97"/>
        <v>0</v>
      </c>
      <c r="I882" s="11" t="s">
        <v>863</v>
      </c>
      <c r="K882" s="11" t="b">
        <v>1</v>
      </c>
    </row>
    <row r="883" spans="1:11">
      <c r="A883" s="11" t="s">
        <v>2118</v>
      </c>
      <c r="B883" s="310" t="str">
        <f>报表附注!E1368</f>
        <v>一、原价合计 </v>
      </c>
      <c r="C883" s="321"/>
      <c r="D883" s="11" t="b">
        <f t="shared" si="98"/>
        <v>1</v>
      </c>
      <c r="E883" s="321">
        <f>C883+C899-C915</f>
        <v>0</v>
      </c>
      <c r="H883" s="11" t="b">
        <f t="shared" si="97"/>
        <v>0</v>
      </c>
      <c r="I883" s="11" t="s">
        <v>865</v>
      </c>
      <c r="K883" s="11" t="b">
        <v>1</v>
      </c>
    </row>
    <row r="884" spans="1:11">
      <c r="A884" s="11" t="s">
        <v>2119</v>
      </c>
      <c r="B884" s="310" t="str">
        <f>报表附注!E1369</f>
        <v>其中：种植业</v>
      </c>
      <c r="C884" s="321"/>
      <c r="D884" s="11" t="b">
        <f t="shared" si="98"/>
        <v>1</v>
      </c>
      <c r="E884" s="321">
        <f t="shared" ref="E884:E897" si="100">C884+C900-C916</f>
        <v>0</v>
      </c>
      <c r="H884" s="11" t="b">
        <f t="shared" si="97"/>
        <v>0</v>
      </c>
      <c r="I884" s="11" t="s">
        <v>2120</v>
      </c>
      <c r="K884" s="11" t="b">
        <v>1</v>
      </c>
    </row>
    <row r="885" spans="1:11">
      <c r="A885" s="11" t="s">
        <v>863</v>
      </c>
      <c r="B885" s="310" t="str">
        <f>报表附注!E1370</f>
        <v>畜牧养殖业</v>
      </c>
      <c r="C885" s="321"/>
      <c r="D885" s="11" t="b">
        <f t="shared" si="98"/>
        <v>1</v>
      </c>
      <c r="E885" s="321">
        <f t="shared" si="100"/>
        <v>0</v>
      </c>
      <c r="H885" s="11" t="b">
        <f t="shared" si="97"/>
        <v>0</v>
      </c>
      <c r="I885" s="11" t="s">
        <v>2121</v>
      </c>
      <c r="K885" s="11" t="b">
        <v>1</v>
      </c>
    </row>
    <row r="886" spans="1:11">
      <c r="A886" s="11" t="s">
        <v>865</v>
      </c>
      <c r="B886" s="310" t="str">
        <f>报表附注!E1371</f>
        <v>林业</v>
      </c>
      <c r="C886" s="321"/>
      <c r="D886" s="11" t="b">
        <f t="shared" si="98"/>
        <v>1</v>
      </c>
      <c r="E886" s="321">
        <f t="shared" si="100"/>
        <v>0</v>
      </c>
      <c r="H886" s="11" t="b">
        <f t="shared" si="97"/>
        <v>0</v>
      </c>
      <c r="I886" s="11" t="s">
        <v>2119</v>
      </c>
      <c r="K886" s="11" t="b">
        <v>1</v>
      </c>
    </row>
    <row r="887" spans="1:11">
      <c r="A887" s="11" t="s">
        <v>2120</v>
      </c>
      <c r="B887" s="310" t="str">
        <f>报表附注!E1372</f>
        <v>……  水产业</v>
      </c>
      <c r="C887" s="321"/>
      <c r="D887" s="11" t="b">
        <f t="shared" si="98"/>
        <v>1</v>
      </c>
      <c r="E887" s="321">
        <f t="shared" si="100"/>
        <v>0</v>
      </c>
      <c r="H887" s="11" t="b">
        <f t="shared" si="97"/>
        <v>0</v>
      </c>
      <c r="I887" s="11" t="s">
        <v>863</v>
      </c>
      <c r="K887" s="11" t="b">
        <v>1</v>
      </c>
    </row>
    <row r="888" spans="1:11">
      <c r="A888" s="11" t="s">
        <v>760</v>
      </c>
      <c r="B888" s="310" t="str">
        <f>报表附注!E1373</f>
        <v>二、累计折旧合计</v>
      </c>
      <c r="C888" s="321"/>
      <c r="D888" s="11" t="b">
        <f t="shared" si="98"/>
        <v>1</v>
      </c>
      <c r="E888" s="321">
        <f t="shared" si="100"/>
        <v>0</v>
      </c>
      <c r="H888" s="11" t="b">
        <f t="shared" si="97"/>
        <v>0</v>
      </c>
      <c r="I888" s="11" t="s">
        <v>865</v>
      </c>
      <c r="K888" s="11" t="b">
        <v>1</v>
      </c>
    </row>
    <row r="889" spans="1:11">
      <c r="A889" s="11" t="s">
        <v>2119</v>
      </c>
      <c r="B889" s="310" t="str">
        <f>报表附注!E1374</f>
        <v>其中：种植业</v>
      </c>
      <c r="C889" s="321"/>
      <c r="D889" s="11" t="b">
        <f t="shared" si="98"/>
        <v>1</v>
      </c>
      <c r="E889" s="321">
        <f t="shared" si="100"/>
        <v>0</v>
      </c>
      <c r="H889" s="11" t="b">
        <f t="shared" si="97"/>
        <v>0</v>
      </c>
      <c r="I889" s="11" t="s">
        <v>2120</v>
      </c>
      <c r="K889" s="11" t="b">
        <v>1</v>
      </c>
    </row>
    <row r="890" spans="1:11">
      <c r="A890" s="11" t="s">
        <v>863</v>
      </c>
      <c r="B890" s="310" t="str">
        <f>报表附注!E1375</f>
        <v>畜牧养殖业</v>
      </c>
      <c r="C890" s="321"/>
      <c r="D890" s="11" t="b">
        <f t="shared" si="98"/>
        <v>1</v>
      </c>
      <c r="E890" s="321">
        <f t="shared" si="100"/>
        <v>0</v>
      </c>
      <c r="H890" s="11" t="b">
        <f t="shared" si="97"/>
        <v>0</v>
      </c>
      <c r="I890" s="11" t="s">
        <v>672</v>
      </c>
      <c r="K890" s="11" t="b">
        <v>1</v>
      </c>
    </row>
    <row r="891" spans="1:11">
      <c r="A891" s="11" t="s">
        <v>865</v>
      </c>
      <c r="B891" s="310" t="str">
        <f>报表附注!E1376</f>
        <v>林业</v>
      </c>
      <c r="C891" s="321"/>
      <c r="D891" s="11" t="b">
        <f t="shared" si="98"/>
        <v>1</v>
      </c>
      <c r="E891" s="321">
        <f t="shared" si="100"/>
        <v>0</v>
      </c>
      <c r="H891" s="11" t="b">
        <f t="shared" si="97"/>
        <v>0</v>
      </c>
      <c r="I891" s="11" t="s">
        <v>2118</v>
      </c>
      <c r="K891" s="11" t="b">
        <v>1</v>
      </c>
    </row>
    <row r="892" spans="1:11">
      <c r="A892" s="11" t="s">
        <v>2120</v>
      </c>
      <c r="B892" s="310" t="str">
        <f>报表附注!E1377</f>
        <v>……  水产业</v>
      </c>
      <c r="C892" s="321"/>
      <c r="D892" s="11" t="b">
        <f t="shared" si="98"/>
        <v>1</v>
      </c>
      <c r="E892" s="321">
        <f t="shared" si="100"/>
        <v>0</v>
      </c>
      <c r="H892" s="11" t="b">
        <f t="shared" si="97"/>
        <v>0</v>
      </c>
      <c r="I892" s="11" t="s">
        <v>2119</v>
      </c>
      <c r="K892" s="11" t="b">
        <v>1</v>
      </c>
    </row>
    <row r="893" spans="1:11">
      <c r="A893" s="11" t="s">
        <v>2121</v>
      </c>
      <c r="B893" s="310" t="str">
        <f>报表附注!E1378</f>
        <v>三、减值准备累计金额合计</v>
      </c>
      <c r="C893" s="321"/>
      <c r="D893" s="11" t="b">
        <f t="shared" si="98"/>
        <v>1</v>
      </c>
      <c r="E893" s="321">
        <f t="shared" si="100"/>
        <v>0</v>
      </c>
      <c r="H893" s="11" t="b">
        <f t="shared" si="97"/>
        <v>0</v>
      </c>
      <c r="I893" s="11" t="s">
        <v>863</v>
      </c>
      <c r="K893" s="11" t="b">
        <v>1</v>
      </c>
    </row>
    <row r="894" spans="1:11">
      <c r="A894" s="11" t="s">
        <v>2119</v>
      </c>
      <c r="B894" s="310" t="str">
        <f>报表附注!E1379</f>
        <v>其中：种植业</v>
      </c>
      <c r="C894" s="321"/>
      <c r="D894" s="11" t="b">
        <f t="shared" si="98"/>
        <v>1</v>
      </c>
      <c r="E894" s="321">
        <f t="shared" si="100"/>
        <v>0</v>
      </c>
      <c r="H894" s="11" t="b">
        <f t="shared" si="97"/>
        <v>0</v>
      </c>
      <c r="I894" s="11" t="s">
        <v>865</v>
      </c>
      <c r="K894" s="11" t="b">
        <v>1</v>
      </c>
    </row>
    <row r="895" spans="1:11">
      <c r="A895" s="11" t="s">
        <v>863</v>
      </c>
      <c r="B895" s="310" t="str">
        <f>报表附注!E1380</f>
        <v>畜牧养殖业</v>
      </c>
      <c r="C895" s="321"/>
      <c r="D895" s="11" t="b">
        <f t="shared" si="98"/>
        <v>1</v>
      </c>
      <c r="E895" s="321">
        <f t="shared" si="100"/>
        <v>0</v>
      </c>
      <c r="H895" s="11" t="b">
        <f t="shared" si="97"/>
        <v>0</v>
      </c>
      <c r="I895" s="11" t="s">
        <v>2120</v>
      </c>
      <c r="K895" s="11" t="b">
        <v>1</v>
      </c>
    </row>
    <row r="896" spans="1:11">
      <c r="A896" s="11" t="s">
        <v>865</v>
      </c>
      <c r="B896" s="310" t="str">
        <f>报表附注!E1381</f>
        <v>林业</v>
      </c>
      <c r="C896" s="321"/>
      <c r="D896" s="11" t="b">
        <f t="shared" si="98"/>
        <v>1</v>
      </c>
      <c r="E896" s="321">
        <f t="shared" si="100"/>
        <v>0</v>
      </c>
      <c r="H896" s="11" t="b">
        <f t="shared" si="97"/>
        <v>0</v>
      </c>
      <c r="I896" s="11" t="s">
        <v>760</v>
      </c>
      <c r="K896" s="11" t="b">
        <v>1</v>
      </c>
    </row>
    <row r="897" spans="1:11">
      <c r="A897" s="11" t="s">
        <v>2120</v>
      </c>
      <c r="B897" s="310" t="str">
        <f>报表附注!E1382</f>
        <v>……  水产业</v>
      </c>
      <c r="C897" s="321"/>
      <c r="D897" s="11" t="b">
        <f t="shared" si="98"/>
        <v>1</v>
      </c>
      <c r="E897" s="321">
        <f t="shared" si="100"/>
        <v>0</v>
      </c>
      <c r="H897" s="11" t="b">
        <f t="shared" si="97"/>
        <v>0</v>
      </c>
      <c r="I897" s="11" t="s">
        <v>2119</v>
      </c>
      <c r="K897" s="11" t="b">
        <v>1</v>
      </c>
    </row>
    <row r="898" spans="1:11">
      <c r="A898" s="11" t="s">
        <v>672</v>
      </c>
      <c r="B898" s="333" t="s">
        <v>672</v>
      </c>
      <c r="D898" s="11" t="b">
        <f t="shared" si="98"/>
        <v>1</v>
      </c>
      <c r="H898" s="11" t="b">
        <f t="shared" si="97"/>
        <v>0</v>
      </c>
      <c r="I898" s="11" t="s">
        <v>863</v>
      </c>
      <c r="K898" s="11" t="b">
        <v>1</v>
      </c>
    </row>
    <row r="899" spans="1:11">
      <c r="A899" s="11" t="s">
        <v>2118</v>
      </c>
      <c r="B899" s="310" t="str">
        <f>报表附注!E1368</f>
        <v>一、原价合计 </v>
      </c>
      <c r="C899" s="321"/>
      <c r="D899" s="11" t="b">
        <f t="shared" si="98"/>
        <v>1</v>
      </c>
      <c r="E899" s="311"/>
      <c r="H899" s="11" t="b">
        <f t="shared" si="97"/>
        <v>0</v>
      </c>
      <c r="I899" s="11" t="s">
        <v>865</v>
      </c>
      <c r="K899" s="11" t="b">
        <v>1</v>
      </c>
    </row>
    <row r="900" spans="1:11">
      <c r="A900" s="11" t="s">
        <v>2119</v>
      </c>
      <c r="B900" s="310" t="str">
        <f>报表附注!E1369</f>
        <v>其中：种植业</v>
      </c>
      <c r="C900" s="321"/>
      <c r="D900" s="11" t="b">
        <f t="shared" si="98"/>
        <v>1</v>
      </c>
      <c r="E900" s="311"/>
      <c r="H900" s="11" t="b">
        <f t="shared" ref="H900:H963" si="101">I900=B900</f>
        <v>0</v>
      </c>
      <c r="I900" s="11" t="s">
        <v>2120</v>
      </c>
      <c r="K900" s="11" t="b">
        <v>1</v>
      </c>
    </row>
    <row r="901" spans="1:11">
      <c r="A901" s="11" t="s">
        <v>863</v>
      </c>
      <c r="B901" s="310" t="str">
        <f>报表附注!E1370</f>
        <v>畜牧养殖业</v>
      </c>
      <c r="C901" s="321"/>
      <c r="D901" s="11" t="b">
        <f t="shared" si="98"/>
        <v>1</v>
      </c>
      <c r="E901" s="311"/>
      <c r="H901" s="11" t="b">
        <f t="shared" si="101"/>
        <v>0</v>
      </c>
      <c r="I901" s="11" t="s">
        <v>2121</v>
      </c>
      <c r="K901" s="11" t="b">
        <v>1</v>
      </c>
    </row>
    <row r="902" spans="1:11">
      <c r="A902" s="11" t="s">
        <v>865</v>
      </c>
      <c r="B902" s="310" t="str">
        <f>报表附注!E1371</f>
        <v>林业</v>
      </c>
      <c r="C902" s="321"/>
      <c r="D902" s="11" t="b">
        <f t="shared" si="98"/>
        <v>1</v>
      </c>
      <c r="E902" s="311"/>
      <c r="H902" s="11" t="b">
        <f t="shared" si="101"/>
        <v>0</v>
      </c>
      <c r="I902" s="11" t="s">
        <v>2119</v>
      </c>
      <c r="K902" s="11" t="b">
        <v>1</v>
      </c>
    </row>
    <row r="903" spans="1:11">
      <c r="A903" s="11" t="s">
        <v>2120</v>
      </c>
      <c r="B903" s="310" t="str">
        <f>报表附注!E1372</f>
        <v>……  水产业</v>
      </c>
      <c r="C903" s="321"/>
      <c r="D903" s="11" t="b">
        <f t="shared" si="98"/>
        <v>1</v>
      </c>
      <c r="E903" s="311"/>
      <c r="H903" s="11" t="b">
        <f t="shared" si="101"/>
        <v>0</v>
      </c>
      <c r="I903" s="11" t="s">
        <v>863</v>
      </c>
      <c r="K903" s="11" t="b">
        <v>1</v>
      </c>
    </row>
    <row r="904" spans="1:11">
      <c r="A904" s="11" t="s">
        <v>760</v>
      </c>
      <c r="B904" s="310" t="str">
        <f>报表附注!E1373</f>
        <v>二、累计折旧合计</v>
      </c>
      <c r="C904" s="321"/>
      <c r="D904" s="11" t="b">
        <f t="shared" si="98"/>
        <v>1</v>
      </c>
      <c r="E904" s="311"/>
      <c r="H904" s="11" t="b">
        <f t="shared" si="101"/>
        <v>0</v>
      </c>
      <c r="I904" s="11" t="s">
        <v>865</v>
      </c>
      <c r="K904" s="11" t="b">
        <v>1</v>
      </c>
    </row>
    <row r="905" spans="1:11">
      <c r="A905" s="11" t="s">
        <v>2119</v>
      </c>
      <c r="B905" s="310" t="str">
        <f>报表附注!E1374</f>
        <v>其中：种植业</v>
      </c>
      <c r="C905" s="321"/>
      <c r="D905" s="11" t="b">
        <f t="shared" si="98"/>
        <v>1</v>
      </c>
      <c r="E905" s="311"/>
      <c r="H905" s="11" t="b">
        <f t="shared" si="101"/>
        <v>0</v>
      </c>
      <c r="I905" s="11" t="s">
        <v>2120</v>
      </c>
      <c r="K905" s="11" t="b">
        <v>1</v>
      </c>
    </row>
    <row r="906" spans="1:11">
      <c r="A906" s="11" t="s">
        <v>863</v>
      </c>
      <c r="B906" s="310" t="str">
        <f>报表附注!E1375</f>
        <v>畜牧养殖业</v>
      </c>
      <c r="C906" s="321"/>
      <c r="D906" s="11" t="b">
        <f t="shared" si="98"/>
        <v>1</v>
      </c>
      <c r="E906" s="311"/>
      <c r="H906" s="11" t="b">
        <f t="shared" si="101"/>
        <v>0</v>
      </c>
      <c r="I906" s="11" t="s">
        <v>673</v>
      </c>
      <c r="K906" s="11" t="b">
        <v>1</v>
      </c>
    </row>
    <row r="907" spans="1:11">
      <c r="A907" s="11" t="s">
        <v>865</v>
      </c>
      <c r="B907" s="310" t="str">
        <f>报表附注!E1376</f>
        <v>林业</v>
      </c>
      <c r="C907" s="321"/>
      <c r="D907" s="11" t="b">
        <f t="shared" si="98"/>
        <v>1</v>
      </c>
      <c r="E907" s="311"/>
      <c r="H907" s="11" t="b">
        <f t="shared" si="101"/>
        <v>0</v>
      </c>
      <c r="I907" s="11" t="s">
        <v>2118</v>
      </c>
      <c r="K907" s="11" t="b">
        <v>1</v>
      </c>
    </row>
    <row r="908" spans="1:11">
      <c r="A908" s="11" t="s">
        <v>2120</v>
      </c>
      <c r="B908" s="310" t="str">
        <f>报表附注!E1377</f>
        <v>……  水产业</v>
      </c>
      <c r="C908" s="321"/>
      <c r="D908" s="11" t="b">
        <f t="shared" ref="D908:D971" si="102">EXACT(A908,B908)</f>
        <v>1</v>
      </c>
      <c r="E908" s="311"/>
      <c r="H908" s="11" t="b">
        <f t="shared" si="101"/>
        <v>0</v>
      </c>
      <c r="I908" s="11" t="s">
        <v>2119</v>
      </c>
      <c r="K908" s="11" t="b">
        <v>1</v>
      </c>
    </row>
    <row r="909" spans="1:11">
      <c r="A909" s="11" t="s">
        <v>2121</v>
      </c>
      <c r="B909" s="310" t="str">
        <f>报表附注!E1378</f>
        <v>三、减值准备累计金额合计</v>
      </c>
      <c r="C909" s="321"/>
      <c r="D909" s="11" t="b">
        <f t="shared" si="102"/>
        <v>1</v>
      </c>
      <c r="E909" s="311"/>
      <c r="H909" s="11" t="b">
        <f t="shared" si="101"/>
        <v>0</v>
      </c>
      <c r="I909" s="11" t="s">
        <v>863</v>
      </c>
      <c r="K909" s="11" t="b">
        <v>1</v>
      </c>
    </row>
    <row r="910" spans="1:11">
      <c r="A910" s="11" t="s">
        <v>2119</v>
      </c>
      <c r="B910" s="310" t="str">
        <f>报表附注!E1379</f>
        <v>其中：种植业</v>
      </c>
      <c r="C910" s="321"/>
      <c r="D910" s="11" t="b">
        <f t="shared" si="102"/>
        <v>1</v>
      </c>
      <c r="E910" s="311"/>
      <c r="H910" s="11" t="b">
        <f t="shared" si="101"/>
        <v>0</v>
      </c>
      <c r="I910" s="11" t="s">
        <v>865</v>
      </c>
      <c r="K910" s="11" t="b">
        <v>1</v>
      </c>
    </row>
    <row r="911" spans="1:11">
      <c r="A911" s="11" t="s">
        <v>863</v>
      </c>
      <c r="B911" s="310" t="str">
        <f>报表附注!E1380</f>
        <v>畜牧养殖业</v>
      </c>
      <c r="C911" s="321"/>
      <c r="D911" s="11" t="b">
        <f t="shared" si="102"/>
        <v>1</v>
      </c>
      <c r="E911" s="311"/>
      <c r="H911" s="11" t="b">
        <f t="shared" si="101"/>
        <v>0</v>
      </c>
      <c r="I911" s="11" t="s">
        <v>2120</v>
      </c>
      <c r="K911" s="11" t="b">
        <v>1</v>
      </c>
    </row>
    <row r="912" spans="1:11">
      <c r="A912" s="11" t="s">
        <v>865</v>
      </c>
      <c r="B912" s="310" t="str">
        <f>报表附注!E1381</f>
        <v>林业</v>
      </c>
      <c r="C912" s="321"/>
      <c r="D912" s="11" t="b">
        <f t="shared" si="102"/>
        <v>1</v>
      </c>
      <c r="E912" s="311"/>
      <c r="H912" s="11" t="b">
        <f t="shared" si="101"/>
        <v>0</v>
      </c>
      <c r="I912" s="11" t="s">
        <v>760</v>
      </c>
      <c r="K912" s="11" t="b">
        <v>1</v>
      </c>
    </row>
    <row r="913" spans="1:11">
      <c r="A913" s="11" t="s">
        <v>2120</v>
      </c>
      <c r="B913" s="310" t="str">
        <f>报表附注!E1382</f>
        <v>……  水产业</v>
      </c>
      <c r="C913" s="321"/>
      <c r="D913" s="11" t="b">
        <f t="shared" si="102"/>
        <v>1</v>
      </c>
      <c r="E913" s="311"/>
      <c r="H913" s="11" t="b">
        <f t="shared" si="101"/>
        <v>0</v>
      </c>
      <c r="I913" s="11" t="s">
        <v>2119</v>
      </c>
      <c r="K913" s="11" t="b">
        <v>1</v>
      </c>
    </row>
    <row r="914" spans="1:11">
      <c r="A914" s="11" t="s">
        <v>673</v>
      </c>
      <c r="B914" s="333" t="s">
        <v>673</v>
      </c>
      <c r="D914" s="11" t="b">
        <f t="shared" si="102"/>
        <v>1</v>
      </c>
      <c r="E914" s="326"/>
      <c r="H914" s="11" t="b">
        <f t="shared" si="101"/>
        <v>0</v>
      </c>
      <c r="I914" s="11" t="s">
        <v>863</v>
      </c>
      <c r="K914" s="11" t="b">
        <v>1</v>
      </c>
    </row>
    <row r="915" spans="1:11">
      <c r="A915" s="11" t="s">
        <v>2118</v>
      </c>
      <c r="B915" s="310" t="str">
        <f>报表附注!E1368</f>
        <v>一、原价合计 </v>
      </c>
      <c r="C915" s="321"/>
      <c r="D915" s="11" t="b">
        <f t="shared" si="102"/>
        <v>1</v>
      </c>
      <c r="E915" s="311"/>
      <c r="H915" s="11" t="b">
        <f t="shared" si="101"/>
        <v>0</v>
      </c>
      <c r="I915" s="11" t="s">
        <v>865</v>
      </c>
      <c r="K915" s="11" t="b">
        <v>1</v>
      </c>
    </row>
    <row r="916" spans="1:11">
      <c r="A916" s="11" t="s">
        <v>2119</v>
      </c>
      <c r="B916" s="310" t="str">
        <f>报表附注!E1369</f>
        <v>其中：种植业</v>
      </c>
      <c r="C916" s="321"/>
      <c r="D916" s="11" t="b">
        <f t="shared" si="102"/>
        <v>1</v>
      </c>
      <c r="E916" s="311"/>
      <c r="H916" s="11" t="b">
        <f t="shared" si="101"/>
        <v>0</v>
      </c>
      <c r="I916" s="11" t="s">
        <v>2120</v>
      </c>
      <c r="K916" s="11" t="b">
        <v>1</v>
      </c>
    </row>
    <row r="917" spans="1:11">
      <c r="A917" s="11" t="s">
        <v>863</v>
      </c>
      <c r="B917" s="310" t="str">
        <f>报表附注!E1370</f>
        <v>畜牧养殖业</v>
      </c>
      <c r="C917" s="321"/>
      <c r="D917" s="11" t="b">
        <f t="shared" si="102"/>
        <v>1</v>
      </c>
      <c r="E917" s="311"/>
      <c r="H917" s="11" t="b">
        <f t="shared" si="101"/>
        <v>0</v>
      </c>
      <c r="I917" s="11" t="s">
        <v>2121</v>
      </c>
      <c r="K917" s="11" t="b">
        <v>1</v>
      </c>
    </row>
    <row r="918" spans="1:11">
      <c r="A918" s="11" t="s">
        <v>865</v>
      </c>
      <c r="B918" s="310" t="str">
        <f>报表附注!E1371</f>
        <v>林业</v>
      </c>
      <c r="C918" s="321"/>
      <c r="D918" s="11" t="b">
        <f t="shared" si="102"/>
        <v>1</v>
      </c>
      <c r="E918" s="311"/>
      <c r="H918" s="11" t="b">
        <f t="shared" si="101"/>
        <v>0</v>
      </c>
      <c r="I918" s="11" t="s">
        <v>2119</v>
      </c>
      <c r="K918" s="11" t="b">
        <v>1</v>
      </c>
    </row>
    <row r="919" spans="1:11">
      <c r="A919" s="11" t="s">
        <v>2120</v>
      </c>
      <c r="B919" s="310" t="str">
        <f>报表附注!E1372</f>
        <v>……  水产业</v>
      </c>
      <c r="C919" s="321"/>
      <c r="D919" s="11" t="b">
        <f t="shared" si="102"/>
        <v>1</v>
      </c>
      <c r="E919" s="311"/>
      <c r="H919" s="11" t="b">
        <f t="shared" si="101"/>
        <v>0</v>
      </c>
      <c r="I919" s="11" t="s">
        <v>863</v>
      </c>
      <c r="K919" s="11" t="b">
        <v>1</v>
      </c>
    </row>
    <row r="920" spans="1:11">
      <c r="A920" s="11" t="s">
        <v>760</v>
      </c>
      <c r="B920" s="310" t="str">
        <f>报表附注!E1373</f>
        <v>二、累计折旧合计</v>
      </c>
      <c r="C920" s="321"/>
      <c r="D920" s="11" t="b">
        <f t="shared" si="102"/>
        <v>1</v>
      </c>
      <c r="E920" s="311"/>
      <c r="H920" s="11" t="b">
        <f t="shared" si="101"/>
        <v>0</v>
      </c>
      <c r="I920" s="11" t="s">
        <v>865</v>
      </c>
      <c r="K920" s="11" t="b">
        <v>1</v>
      </c>
    </row>
    <row r="921" spans="1:11">
      <c r="A921" s="11" t="s">
        <v>2119</v>
      </c>
      <c r="B921" s="310" t="str">
        <f>报表附注!E1374</f>
        <v>其中：种植业</v>
      </c>
      <c r="C921" s="321"/>
      <c r="D921" s="11" t="b">
        <f t="shared" si="102"/>
        <v>1</v>
      </c>
      <c r="E921" s="311"/>
      <c r="H921" s="11" t="b">
        <f t="shared" si="101"/>
        <v>0</v>
      </c>
      <c r="I921" s="11" t="s">
        <v>2120</v>
      </c>
      <c r="K921" s="11" t="b">
        <v>1</v>
      </c>
    </row>
    <row r="922" spans="1:11">
      <c r="A922" s="11" t="s">
        <v>863</v>
      </c>
      <c r="B922" s="310" t="str">
        <f>报表附注!E1375</f>
        <v>畜牧养殖业</v>
      </c>
      <c r="C922" s="321"/>
      <c r="D922" s="11" t="b">
        <f t="shared" si="102"/>
        <v>1</v>
      </c>
      <c r="E922" s="311"/>
      <c r="H922" s="11" t="b">
        <f t="shared" si="101"/>
        <v>0</v>
      </c>
      <c r="K922" s="11" t="b">
        <v>1</v>
      </c>
    </row>
    <row r="923" spans="1:11">
      <c r="A923" s="11" t="s">
        <v>865</v>
      </c>
      <c r="B923" s="310" t="str">
        <f>报表附注!E1376</f>
        <v>林业</v>
      </c>
      <c r="C923" s="321"/>
      <c r="D923" s="11" t="b">
        <f t="shared" si="102"/>
        <v>1</v>
      </c>
      <c r="E923" s="311"/>
      <c r="H923" s="11" t="b">
        <f t="shared" si="101"/>
        <v>0</v>
      </c>
      <c r="I923" s="11" t="s">
        <v>2122</v>
      </c>
      <c r="K923" s="11" t="b">
        <v>1</v>
      </c>
    </row>
    <row r="924" spans="1:11">
      <c r="A924" s="11" t="s">
        <v>2120</v>
      </c>
      <c r="B924" s="310" t="str">
        <f>报表附注!E1377</f>
        <v>……  水产业</v>
      </c>
      <c r="C924" s="321"/>
      <c r="D924" s="11" t="b">
        <f t="shared" si="102"/>
        <v>1</v>
      </c>
      <c r="E924" s="311"/>
      <c r="H924" s="11" t="b">
        <f t="shared" si="101"/>
        <v>0</v>
      </c>
      <c r="I924" s="11" t="s">
        <v>671</v>
      </c>
      <c r="K924" s="11" t="b">
        <v>1</v>
      </c>
    </row>
    <row r="925" spans="1:11">
      <c r="A925" s="11" t="s">
        <v>2121</v>
      </c>
      <c r="B925" s="310" t="str">
        <f>报表附注!E1378</f>
        <v>三、减值准备累计金额合计</v>
      </c>
      <c r="C925" s="321"/>
      <c r="D925" s="11" t="b">
        <f t="shared" si="102"/>
        <v>1</v>
      </c>
      <c r="E925" s="311"/>
      <c r="H925" s="11" t="b">
        <f t="shared" si="101"/>
        <v>0</v>
      </c>
      <c r="I925" s="11" t="s">
        <v>715</v>
      </c>
      <c r="K925" s="11" t="b">
        <v>1</v>
      </c>
    </row>
    <row r="926" spans="1:11">
      <c r="A926" s="11" t="s">
        <v>2119</v>
      </c>
      <c r="B926" s="310" t="str">
        <f>报表附注!E1379</f>
        <v>其中：种植业</v>
      </c>
      <c r="C926" s="321"/>
      <c r="D926" s="11" t="b">
        <f t="shared" si="102"/>
        <v>1</v>
      </c>
      <c r="E926" s="311"/>
      <c r="H926" s="11" t="b">
        <f t="shared" si="101"/>
        <v>0</v>
      </c>
      <c r="I926" s="11" t="s">
        <v>2123</v>
      </c>
      <c r="K926" s="11" t="b">
        <v>1</v>
      </c>
    </row>
    <row r="927" spans="1:11">
      <c r="A927" s="11" t="s">
        <v>863</v>
      </c>
      <c r="B927" s="310" t="str">
        <f>报表附注!E1380</f>
        <v>畜牧养殖业</v>
      </c>
      <c r="C927" s="321"/>
      <c r="D927" s="11" t="b">
        <f t="shared" si="102"/>
        <v>1</v>
      </c>
      <c r="E927" s="311"/>
      <c r="H927" s="11" t="b">
        <f t="shared" si="101"/>
        <v>0</v>
      </c>
      <c r="I927" s="11" t="s">
        <v>2124</v>
      </c>
      <c r="K927" s="11" t="b">
        <v>1</v>
      </c>
    </row>
    <row r="928" spans="1:11">
      <c r="A928" s="11" t="s">
        <v>865</v>
      </c>
      <c r="B928" s="310" t="str">
        <f>报表附注!E1381</f>
        <v>林业</v>
      </c>
      <c r="C928" s="321"/>
      <c r="D928" s="11" t="b">
        <f t="shared" si="102"/>
        <v>1</v>
      </c>
      <c r="E928" s="311"/>
      <c r="H928" s="11" t="b">
        <f t="shared" si="101"/>
        <v>0</v>
      </c>
      <c r="I928" s="11" t="s">
        <v>2125</v>
      </c>
      <c r="K928" s="11" t="b">
        <v>1</v>
      </c>
    </row>
    <row r="929" spans="1:11">
      <c r="A929" s="11" t="s">
        <v>2120</v>
      </c>
      <c r="B929" s="310" t="str">
        <f>报表附注!E1382</f>
        <v>……  水产业</v>
      </c>
      <c r="C929" s="321"/>
      <c r="D929" s="11" t="b">
        <f t="shared" si="102"/>
        <v>1</v>
      </c>
      <c r="E929" s="311"/>
      <c r="H929" s="11" t="b">
        <f t="shared" si="101"/>
        <v>0</v>
      </c>
      <c r="I929" s="11" t="s">
        <v>890</v>
      </c>
      <c r="K929" s="11" t="b">
        <v>1</v>
      </c>
    </row>
    <row r="930" spans="4:11">
      <c r="D930" s="11" t="b">
        <f t="shared" si="102"/>
        <v>1</v>
      </c>
      <c r="H930" s="11" t="b">
        <f t="shared" si="101"/>
        <v>0</v>
      </c>
      <c r="I930" s="11" t="s">
        <v>2123</v>
      </c>
      <c r="K930" s="11" t="b">
        <v>1</v>
      </c>
    </row>
    <row r="931" spans="1:11">
      <c r="A931" s="11" t="s">
        <v>2122</v>
      </c>
      <c r="B931" s="329" t="s">
        <v>2122</v>
      </c>
      <c r="D931" s="11" t="b">
        <f t="shared" si="102"/>
        <v>1</v>
      </c>
      <c r="H931" s="11" t="b">
        <f t="shared" si="101"/>
        <v>0</v>
      </c>
      <c r="I931" s="11" t="s">
        <v>2126</v>
      </c>
      <c r="K931" s="11" t="b">
        <v>1</v>
      </c>
    </row>
    <row r="932" spans="1:11">
      <c r="A932" s="11" t="s">
        <v>671</v>
      </c>
      <c r="B932" s="333" t="s">
        <v>671</v>
      </c>
      <c r="D932" s="11" t="b">
        <f t="shared" si="102"/>
        <v>1</v>
      </c>
      <c r="H932" s="11" t="b">
        <f t="shared" si="101"/>
        <v>0</v>
      </c>
      <c r="I932" s="11" t="s">
        <v>895</v>
      </c>
      <c r="K932" s="11" t="b">
        <v>1</v>
      </c>
    </row>
    <row r="933" spans="1:11">
      <c r="A933" s="11" t="s">
        <v>715</v>
      </c>
      <c r="B933" s="334" t="str">
        <f>报表附注!E1396</f>
        <v>一、原价合计</v>
      </c>
      <c r="C933" s="321"/>
      <c r="D933" s="11" t="b">
        <f t="shared" si="102"/>
        <v>1</v>
      </c>
      <c r="E933" s="321">
        <f>C933+C945-C957</f>
        <v>0</v>
      </c>
      <c r="H933" s="11" t="b">
        <f t="shared" si="101"/>
        <v>0</v>
      </c>
      <c r="I933" s="11" t="s">
        <v>2123</v>
      </c>
      <c r="K933" s="11" t="b">
        <v>1</v>
      </c>
    </row>
    <row r="934" spans="1:11">
      <c r="A934" s="11" t="s">
        <v>2123</v>
      </c>
      <c r="B934" s="334" t="str">
        <f>报表附注!E1397</f>
        <v>1．探明矿区权益</v>
      </c>
      <c r="C934" s="321"/>
      <c r="D934" s="11" t="b">
        <f t="shared" si="102"/>
        <v>1</v>
      </c>
      <c r="E934" s="321">
        <f t="shared" ref="E934:E943" si="103">C934+C946-C958</f>
        <v>0</v>
      </c>
      <c r="H934" s="11" t="b">
        <f t="shared" si="101"/>
        <v>0</v>
      </c>
      <c r="I934" s="11" t="s">
        <v>2124</v>
      </c>
      <c r="K934" s="11" t="b">
        <v>1</v>
      </c>
    </row>
    <row r="935" spans="1:11">
      <c r="A935" s="11" t="s">
        <v>2124</v>
      </c>
      <c r="B935" s="334" t="str">
        <f>报表附注!E1398</f>
        <v>2．未探明矿区权益</v>
      </c>
      <c r="C935" s="321"/>
      <c r="D935" s="11" t="b">
        <f t="shared" si="102"/>
        <v>1</v>
      </c>
      <c r="E935" s="321">
        <f t="shared" si="103"/>
        <v>0</v>
      </c>
      <c r="H935" s="11" t="b">
        <f t="shared" si="101"/>
        <v>0</v>
      </c>
      <c r="I935" s="11" t="s">
        <v>2125</v>
      </c>
      <c r="K935" s="11" t="b">
        <v>1</v>
      </c>
    </row>
    <row r="936" spans="1:11">
      <c r="A936" s="11" t="s">
        <v>2125</v>
      </c>
      <c r="B936" s="334" t="str">
        <f>报表附注!E1399</f>
        <v>3．井及相关设施</v>
      </c>
      <c r="C936" s="321"/>
      <c r="D936" s="11" t="b">
        <f t="shared" si="102"/>
        <v>1</v>
      </c>
      <c r="E936" s="321">
        <f t="shared" si="103"/>
        <v>0</v>
      </c>
      <c r="H936" s="11" t="b">
        <f t="shared" si="101"/>
        <v>0</v>
      </c>
      <c r="I936" s="11" t="s">
        <v>672</v>
      </c>
      <c r="K936" s="11" t="b">
        <v>1</v>
      </c>
    </row>
    <row r="937" spans="1:11">
      <c r="A937" s="11" t="s">
        <v>890</v>
      </c>
      <c r="B937" s="334" t="str">
        <f>报表附注!E1400</f>
        <v>二、累计折耗合计</v>
      </c>
      <c r="C937" s="321"/>
      <c r="D937" s="11" t="b">
        <f t="shared" si="102"/>
        <v>1</v>
      </c>
      <c r="E937" s="321">
        <f t="shared" si="103"/>
        <v>0</v>
      </c>
      <c r="H937" s="11" t="b">
        <f t="shared" si="101"/>
        <v>0</v>
      </c>
      <c r="I937" s="11" t="s">
        <v>715</v>
      </c>
      <c r="K937" s="11" t="b">
        <v>1</v>
      </c>
    </row>
    <row r="938" spans="1:11">
      <c r="A938" s="11" t="s">
        <v>2123</v>
      </c>
      <c r="B938" s="334" t="str">
        <f>报表附注!E1401</f>
        <v>1．探明矿区权益</v>
      </c>
      <c r="C938" s="321"/>
      <c r="D938" s="11" t="b">
        <f t="shared" si="102"/>
        <v>1</v>
      </c>
      <c r="E938" s="321">
        <f t="shared" si="103"/>
        <v>0</v>
      </c>
      <c r="H938" s="11" t="b">
        <f t="shared" si="101"/>
        <v>1</v>
      </c>
      <c r="I938" s="11" t="s">
        <v>2123</v>
      </c>
      <c r="K938" s="11" t="b">
        <v>1</v>
      </c>
    </row>
    <row r="939" spans="1:11">
      <c r="A939" s="11" t="s">
        <v>2126</v>
      </c>
      <c r="B939" s="334" t="str">
        <f>报表附注!E1402</f>
        <v>2．井及相关设施</v>
      </c>
      <c r="C939" s="321"/>
      <c r="D939" s="11" t="b">
        <f t="shared" si="102"/>
        <v>1</v>
      </c>
      <c r="E939" s="321">
        <f t="shared" si="103"/>
        <v>0</v>
      </c>
      <c r="H939" s="11" t="b">
        <f t="shared" si="101"/>
        <v>0</v>
      </c>
      <c r="I939" s="11" t="s">
        <v>2124</v>
      </c>
      <c r="K939" s="11" t="b">
        <v>1</v>
      </c>
    </row>
    <row r="940" spans="1:11">
      <c r="A940" s="11" t="s">
        <v>895</v>
      </c>
      <c r="B940" s="334" t="str">
        <f>报表附注!E1403</f>
        <v>三、油气资产减值准备累计金额合计</v>
      </c>
      <c r="C940" s="321"/>
      <c r="D940" s="11" t="b">
        <f t="shared" si="102"/>
        <v>1</v>
      </c>
      <c r="E940" s="321">
        <f t="shared" si="103"/>
        <v>0</v>
      </c>
      <c r="H940" s="11" t="b">
        <f t="shared" si="101"/>
        <v>0</v>
      </c>
      <c r="I940" s="11" t="s">
        <v>2125</v>
      </c>
      <c r="K940" s="11" t="b">
        <v>1</v>
      </c>
    </row>
    <row r="941" spans="1:11">
      <c r="A941" s="11" t="s">
        <v>2123</v>
      </c>
      <c r="B941" s="334" t="str">
        <f>报表附注!E1404</f>
        <v>1．探明矿区权益</v>
      </c>
      <c r="C941" s="321"/>
      <c r="D941" s="11" t="b">
        <f t="shared" si="102"/>
        <v>1</v>
      </c>
      <c r="E941" s="321">
        <f t="shared" si="103"/>
        <v>0</v>
      </c>
      <c r="H941" s="11" t="b">
        <f t="shared" si="101"/>
        <v>0</v>
      </c>
      <c r="I941" s="11" t="s">
        <v>890</v>
      </c>
      <c r="K941" s="11" t="b">
        <v>1</v>
      </c>
    </row>
    <row r="942" spans="1:11">
      <c r="A942" s="11" t="s">
        <v>2124</v>
      </c>
      <c r="B942" s="334" t="str">
        <f>报表附注!E1405</f>
        <v>2．未探明矿区权益</v>
      </c>
      <c r="C942" s="321"/>
      <c r="D942" s="11" t="b">
        <f t="shared" si="102"/>
        <v>1</v>
      </c>
      <c r="E942" s="321">
        <f t="shared" si="103"/>
        <v>0</v>
      </c>
      <c r="H942" s="11" t="b">
        <f t="shared" si="101"/>
        <v>0</v>
      </c>
      <c r="I942" s="11" t="s">
        <v>2123</v>
      </c>
      <c r="K942" s="11" t="b">
        <v>1</v>
      </c>
    </row>
    <row r="943" spans="1:11">
      <c r="A943" s="11" t="s">
        <v>2125</v>
      </c>
      <c r="B943" s="334" t="str">
        <f>报表附注!E1406</f>
        <v>3．井及相关设施</v>
      </c>
      <c r="C943" s="321"/>
      <c r="D943" s="11" t="b">
        <f t="shared" si="102"/>
        <v>1</v>
      </c>
      <c r="E943" s="321">
        <f t="shared" si="103"/>
        <v>0</v>
      </c>
      <c r="H943" s="11" t="b">
        <f t="shared" si="101"/>
        <v>0</v>
      </c>
      <c r="I943" s="11" t="s">
        <v>2126</v>
      </c>
      <c r="K943" s="11" t="b">
        <v>1</v>
      </c>
    </row>
    <row r="944" spans="1:11">
      <c r="A944" s="11" t="s">
        <v>672</v>
      </c>
      <c r="B944" s="333" t="s">
        <v>672</v>
      </c>
      <c r="D944" s="11" t="b">
        <f t="shared" si="102"/>
        <v>1</v>
      </c>
      <c r="H944" s="11" t="b">
        <f t="shared" si="101"/>
        <v>0</v>
      </c>
      <c r="I944" s="11" t="s">
        <v>895</v>
      </c>
      <c r="K944" s="11" t="b">
        <v>1</v>
      </c>
    </row>
    <row r="945" spans="1:11">
      <c r="A945" s="11" t="s">
        <v>715</v>
      </c>
      <c r="B945" s="334" t="str">
        <f>报表附注!E1396</f>
        <v>一、原价合计</v>
      </c>
      <c r="C945" s="321"/>
      <c r="D945" s="11" t="b">
        <f t="shared" si="102"/>
        <v>1</v>
      </c>
      <c r="E945" s="311"/>
      <c r="H945" s="11" t="b">
        <f t="shared" si="101"/>
        <v>0</v>
      </c>
      <c r="I945" s="11" t="s">
        <v>2123</v>
      </c>
      <c r="K945" s="11" t="b">
        <v>1</v>
      </c>
    </row>
    <row r="946" spans="1:11">
      <c r="A946" s="11" t="s">
        <v>2123</v>
      </c>
      <c r="B946" s="334" t="str">
        <f>报表附注!E1397</f>
        <v>1．探明矿区权益</v>
      </c>
      <c r="C946" s="321"/>
      <c r="D946" s="11" t="b">
        <f t="shared" si="102"/>
        <v>1</v>
      </c>
      <c r="E946" s="311"/>
      <c r="H946" s="11" t="b">
        <f t="shared" si="101"/>
        <v>0</v>
      </c>
      <c r="I946" s="11" t="s">
        <v>2124</v>
      </c>
      <c r="K946" s="11" t="b">
        <v>1</v>
      </c>
    </row>
    <row r="947" spans="1:11">
      <c r="A947" s="11" t="s">
        <v>2124</v>
      </c>
      <c r="B947" s="334" t="str">
        <f>报表附注!E1398</f>
        <v>2．未探明矿区权益</v>
      </c>
      <c r="C947" s="321"/>
      <c r="D947" s="11" t="b">
        <f t="shared" si="102"/>
        <v>1</v>
      </c>
      <c r="E947" s="311"/>
      <c r="H947" s="11" t="b">
        <f t="shared" si="101"/>
        <v>0</v>
      </c>
      <c r="I947" s="11" t="s">
        <v>2125</v>
      </c>
      <c r="K947" s="11" t="b">
        <v>1</v>
      </c>
    </row>
    <row r="948" spans="1:11">
      <c r="A948" s="11" t="s">
        <v>2125</v>
      </c>
      <c r="B948" s="334" t="str">
        <f>报表附注!E1399</f>
        <v>3．井及相关设施</v>
      </c>
      <c r="C948" s="321"/>
      <c r="D948" s="11" t="b">
        <f t="shared" si="102"/>
        <v>1</v>
      </c>
      <c r="E948" s="311"/>
      <c r="H948" s="11" t="b">
        <f t="shared" si="101"/>
        <v>0</v>
      </c>
      <c r="I948" s="11" t="s">
        <v>673</v>
      </c>
      <c r="K948" s="11" t="b">
        <v>1</v>
      </c>
    </row>
    <row r="949" spans="1:11">
      <c r="A949" s="11" t="s">
        <v>890</v>
      </c>
      <c r="B949" s="334" t="str">
        <f>报表附注!E1400</f>
        <v>二、累计折耗合计</v>
      </c>
      <c r="C949" s="321"/>
      <c r="D949" s="11" t="b">
        <f t="shared" si="102"/>
        <v>1</v>
      </c>
      <c r="E949" s="311"/>
      <c r="H949" s="11" t="b">
        <f t="shared" si="101"/>
        <v>0</v>
      </c>
      <c r="I949" s="11" t="s">
        <v>715</v>
      </c>
      <c r="K949" s="11" t="b">
        <v>1</v>
      </c>
    </row>
    <row r="950" spans="1:11">
      <c r="A950" s="11" t="s">
        <v>2123</v>
      </c>
      <c r="B950" s="334" t="str">
        <f>报表附注!E1401</f>
        <v>1．探明矿区权益</v>
      </c>
      <c r="C950" s="321"/>
      <c r="D950" s="11" t="b">
        <f t="shared" si="102"/>
        <v>1</v>
      </c>
      <c r="E950" s="311"/>
      <c r="H950" s="11" t="b">
        <f t="shared" si="101"/>
        <v>1</v>
      </c>
      <c r="I950" s="11" t="s">
        <v>2123</v>
      </c>
      <c r="K950" s="11" t="b">
        <v>1</v>
      </c>
    </row>
    <row r="951" spans="1:11">
      <c r="A951" s="11" t="s">
        <v>2126</v>
      </c>
      <c r="B951" s="334" t="str">
        <f>报表附注!E1402</f>
        <v>2．井及相关设施</v>
      </c>
      <c r="C951" s="321"/>
      <c r="D951" s="11" t="b">
        <f t="shared" si="102"/>
        <v>1</v>
      </c>
      <c r="E951" s="311"/>
      <c r="H951" s="11" t="b">
        <f t="shared" si="101"/>
        <v>0</v>
      </c>
      <c r="I951" s="11" t="s">
        <v>2124</v>
      </c>
      <c r="K951" s="11" t="b">
        <v>1</v>
      </c>
    </row>
    <row r="952" spans="1:11">
      <c r="A952" s="11" t="s">
        <v>895</v>
      </c>
      <c r="B952" s="334" t="str">
        <f>报表附注!E1403</f>
        <v>三、油气资产减值准备累计金额合计</v>
      </c>
      <c r="C952" s="321"/>
      <c r="D952" s="11" t="b">
        <f t="shared" si="102"/>
        <v>1</v>
      </c>
      <c r="E952" s="311"/>
      <c r="H952" s="11" t="b">
        <f t="shared" si="101"/>
        <v>0</v>
      </c>
      <c r="I952" s="11" t="s">
        <v>2125</v>
      </c>
      <c r="K952" s="11" t="b">
        <v>1</v>
      </c>
    </row>
    <row r="953" spans="1:11">
      <c r="A953" s="11" t="s">
        <v>2123</v>
      </c>
      <c r="B953" s="334" t="str">
        <f>报表附注!E1404</f>
        <v>1．探明矿区权益</v>
      </c>
      <c r="C953" s="321"/>
      <c r="D953" s="11" t="b">
        <f t="shared" si="102"/>
        <v>1</v>
      </c>
      <c r="E953" s="311"/>
      <c r="H953" s="11" t="b">
        <f t="shared" si="101"/>
        <v>0</v>
      </c>
      <c r="I953" s="11" t="s">
        <v>890</v>
      </c>
      <c r="K953" s="11" t="b">
        <v>1</v>
      </c>
    </row>
    <row r="954" spans="1:11">
      <c r="A954" s="11" t="s">
        <v>2124</v>
      </c>
      <c r="B954" s="334" t="str">
        <f>报表附注!E1405</f>
        <v>2．未探明矿区权益</v>
      </c>
      <c r="C954" s="321"/>
      <c r="D954" s="11" t="b">
        <f t="shared" si="102"/>
        <v>1</v>
      </c>
      <c r="E954" s="311"/>
      <c r="H954" s="11" t="b">
        <f t="shared" si="101"/>
        <v>0</v>
      </c>
      <c r="I954" s="11" t="s">
        <v>2123</v>
      </c>
      <c r="K954" s="11" t="b">
        <v>1</v>
      </c>
    </row>
    <row r="955" spans="1:11">
      <c r="A955" s="11" t="s">
        <v>2125</v>
      </c>
      <c r="B955" s="334" t="str">
        <f>报表附注!E1406</f>
        <v>3．井及相关设施</v>
      </c>
      <c r="C955" s="321"/>
      <c r="D955" s="11" t="b">
        <f t="shared" si="102"/>
        <v>1</v>
      </c>
      <c r="E955" s="311"/>
      <c r="H955" s="11" t="b">
        <f t="shared" si="101"/>
        <v>0</v>
      </c>
      <c r="I955" s="11" t="s">
        <v>2126</v>
      </c>
      <c r="K955" s="11" t="b">
        <v>1</v>
      </c>
    </row>
    <row r="956" spans="1:11">
      <c r="A956" s="11" t="s">
        <v>673</v>
      </c>
      <c r="B956" s="333" t="s">
        <v>673</v>
      </c>
      <c r="D956" s="11" t="b">
        <f t="shared" si="102"/>
        <v>1</v>
      </c>
      <c r="E956" s="326"/>
      <c r="H956" s="11" t="b">
        <f t="shared" si="101"/>
        <v>0</v>
      </c>
      <c r="I956" s="11" t="s">
        <v>895</v>
      </c>
      <c r="K956" s="11" t="b">
        <v>1</v>
      </c>
    </row>
    <row r="957" spans="1:11">
      <c r="A957" s="11" t="s">
        <v>715</v>
      </c>
      <c r="B957" s="334" t="str">
        <f>报表附注!E1396</f>
        <v>一、原价合计</v>
      </c>
      <c r="C957" s="321"/>
      <c r="D957" s="11" t="b">
        <f t="shared" si="102"/>
        <v>1</v>
      </c>
      <c r="E957" s="311"/>
      <c r="H957" s="11" t="b">
        <f t="shared" si="101"/>
        <v>0</v>
      </c>
      <c r="I957" s="11" t="s">
        <v>2123</v>
      </c>
      <c r="K957" s="11" t="b">
        <v>1</v>
      </c>
    </row>
    <row r="958" spans="1:11">
      <c r="A958" s="11" t="s">
        <v>2123</v>
      </c>
      <c r="B958" s="334" t="str">
        <f>报表附注!E1397</f>
        <v>1．探明矿区权益</v>
      </c>
      <c r="C958" s="321"/>
      <c r="D958" s="11" t="b">
        <f t="shared" si="102"/>
        <v>1</v>
      </c>
      <c r="E958" s="311"/>
      <c r="H958" s="11" t="b">
        <f t="shared" si="101"/>
        <v>0</v>
      </c>
      <c r="I958" s="11" t="s">
        <v>2124</v>
      </c>
      <c r="K958" s="11" t="b">
        <v>1</v>
      </c>
    </row>
    <row r="959" spans="1:11">
      <c r="A959" s="11" t="s">
        <v>2124</v>
      </c>
      <c r="B959" s="334" t="str">
        <f>报表附注!E1398</f>
        <v>2．未探明矿区权益</v>
      </c>
      <c r="C959" s="321"/>
      <c r="D959" s="11" t="b">
        <f t="shared" si="102"/>
        <v>1</v>
      </c>
      <c r="E959" s="311"/>
      <c r="H959" s="11" t="b">
        <f t="shared" si="101"/>
        <v>0</v>
      </c>
      <c r="I959" s="11" t="s">
        <v>2125</v>
      </c>
      <c r="K959" s="11" t="b">
        <v>1</v>
      </c>
    </row>
    <row r="960" spans="1:11">
      <c r="A960" s="11" t="s">
        <v>2125</v>
      </c>
      <c r="B960" s="334" t="str">
        <f>报表附注!E1399</f>
        <v>3．井及相关设施</v>
      </c>
      <c r="C960" s="321"/>
      <c r="D960" s="11" t="b">
        <f t="shared" si="102"/>
        <v>1</v>
      </c>
      <c r="E960" s="311"/>
      <c r="H960" s="11" t="b">
        <f t="shared" si="101"/>
        <v>0</v>
      </c>
      <c r="K960" s="11" t="b">
        <v>1</v>
      </c>
    </row>
    <row r="961" spans="1:11">
      <c r="A961" s="11" t="s">
        <v>890</v>
      </c>
      <c r="B961" s="334" t="str">
        <f>报表附注!E1400</f>
        <v>二、累计折耗合计</v>
      </c>
      <c r="C961" s="321"/>
      <c r="D961" s="11" t="b">
        <f t="shared" si="102"/>
        <v>1</v>
      </c>
      <c r="E961" s="311"/>
      <c r="H961" s="11" t="b">
        <f t="shared" si="101"/>
        <v>0</v>
      </c>
      <c r="K961" s="11" t="b">
        <v>1</v>
      </c>
    </row>
    <row r="962" spans="1:11">
      <c r="A962" s="11" t="s">
        <v>2123</v>
      </c>
      <c r="B962" s="334" t="str">
        <f>报表附注!E1401</f>
        <v>1．探明矿区权益</v>
      </c>
      <c r="C962" s="321"/>
      <c r="D962" s="11" t="b">
        <f t="shared" si="102"/>
        <v>1</v>
      </c>
      <c r="E962" s="311"/>
      <c r="H962" s="11" t="b">
        <f t="shared" si="101"/>
        <v>0</v>
      </c>
      <c r="I962" s="11" t="s">
        <v>2127</v>
      </c>
      <c r="K962" s="11" t="b">
        <v>1</v>
      </c>
    </row>
    <row r="963" spans="1:11">
      <c r="A963" s="11" t="s">
        <v>2126</v>
      </c>
      <c r="B963" s="334" t="str">
        <f>报表附注!E1402</f>
        <v>2．井及相关设施</v>
      </c>
      <c r="C963" s="321"/>
      <c r="D963" s="11" t="b">
        <f t="shared" si="102"/>
        <v>1</v>
      </c>
      <c r="E963" s="311"/>
      <c r="H963" s="11" t="b">
        <f t="shared" si="101"/>
        <v>0</v>
      </c>
      <c r="I963" s="11" t="s">
        <v>2020</v>
      </c>
      <c r="K963" s="11" t="b">
        <v>1</v>
      </c>
    </row>
    <row r="964" spans="1:11">
      <c r="A964" s="11" t="s">
        <v>895</v>
      </c>
      <c r="B964" s="334" t="str">
        <f>报表附注!E1403</f>
        <v>三、油气资产减值准备累计金额合计</v>
      </c>
      <c r="C964" s="321"/>
      <c r="D964" s="11" t="b">
        <f t="shared" si="102"/>
        <v>1</v>
      </c>
      <c r="E964" s="311"/>
      <c r="H964" s="11" t="b">
        <f t="shared" ref="H964:H1027" si="104">I964=B964</f>
        <v>0</v>
      </c>
      <c r="I964" s="11" t="s">
        <v>715</v>
      </c>
      <c r="K964" s="11" t="b">
        <v>1</v>
      </c>
    </row>
    <row r="965" spans="1:11">
      <c r="A965" s="11" t="s">
        <v>2123</v>
      </c>
      <c r="B965" s="334" t="str">
        <f>报表附注!E1404</f>
        <v>1．探明矿区权益</v>
      </c>
      <c r="C965" s="321"/>
      <c r="D965" s="11" t="b">
        <f t="shared" si="102"/>
        <v>1</v>
      </c>
      <c r="E965" s="311"/>
      <c r="H965" s="11" t="b">
        <f t="shared" si="104"/>
        <v>0</v>
      </c>
      <c r="I965" s="11" t="s">
        <v>5707</v>
      </c>
      <c r="K965" s="11" t="b">
        <v>0</v>
      </c>
    </row>
    <row r="966" spans="1:11">
      <c r="A966" s="11" t="s">
        <v>2124</v>
      </c>
      <c r="B966" s="334" t="str">
        <f>报表附注!E1405</f>
        <v>2．未探明矿区权益</v>
      </c>
      <c r="C966" s="321"/>
      <c r="D966" s="11" t="b">
        <f t="shared" si="102"/>
        <v>1</v>
      </c>
      <c r="E966" s="311"/>
      <c r="H966" s="11" t="b">
        <f t="shared" si="104"/>
        <v>0</v>
      </c>
      <c r="I966" s="11" t="s">
        <v>5708</v>
      </c>
      <c r="K966" s="11" t="b">
        <v>0</v>
      </c>
    </row>
    <row r="967" spans="1:11">
      <c r="A967" s="11" t="s">
        <v>2125</v>
      </c>
      <c r="B967" s="334" t="str">
        <f>报表附注!E1406</f>
        <v>3．井及相关设施</v>
      </c>
      <c r="C967" s="321"/>
      <c r="D967" s="11" t="b">
        <f t="shared" si="102"/>
        <v>1</v>
      </c>
      <c r="E967" s="311"/>
      <c r="H967" s="11" t="b">
        <f t="shared" si="104"/>
        <v>0</v>
      </c>
      <c r="I967" s="11" t="s">
        <v>5709</v>
      </c>
      <c r="K967" s="11" t="b">
        <v>0</v>
      </c>
    </row>
    <row r="968" spans="4:11">
      <c r="D968" s="11" t="b">
        <f t="shared" si="102"/>
        <v>1</v>
      </c>
      <c r="H968" s="11" t="b">
        <f t="shared" si="104"/>
        <v>0</v>
      </c>
      <c r="I968" s="11" t="s">
        <v>5710</v>
      </c>
      <c r="K968" s="11" t="b">
        <v>0</v>
      </c>
    </row>
    <row r="969" spans="4:11">
      <c r="D969" s="11" t="b">
        <f t="shared" si="102"/>
        <v>1</v>
      </c>
      <c r="H969" s="11" t="b">
        <f t="shared" si="104"/>
        <v>1</v>
      </c>
      <c r="I969" s="11">
        <v>0</v>
      </c>
      <c r="K969" s="11" t="b">
        <v>0</v>
      </c>
    </row>
    <row r="970" spans="1:11">
      <c r="A970" s="11" t="s">
        <v>2127</v>
      </c>
      <c r="B970" s="329" t="s">
        <v>2127</v>
      </c>
      <c r="D970" s="11" t="b">
        <f t="shared" si="102"/>
        <v>1</v>
      </c>
      <c r="H970" s="11" t="b">
        <f t="shared" si="104"/>
        <v>0</v>
      </c>
      <c r="I970" s="11">
        <v>0</v>
      </c>
      <c r="K970" s="11" t="b">
        <v>0</v>
      </c>
    </row>
    <row r="971" spans="1:11">
      <c r="A971" s="11" t="s">
        <v>2020</v>
      </c>
      <c r="B971" s="333" t="s">
        <v>2020</v>
      </c>
      <c r="D971" s="11" t="b">
        <f t="shared" si="102"/>
        <v>1</v>
      </c>
      <c r="H971" s="11" t="b">
        <f t="shared" si="104"/>
        <v>0</v>
      </c>
      <c r="I971" s="11">
        <v>0</v>
      </c>
      <c r="K971" s="11" t="b">
        <v>0</v>
      </c>
    </row>
    <row r="972" spans="1:11">
      <c r="A972" s="11" t="s">
        <v>715</v>
      </c>
      <c r="B972" s="351" t="str">
        <f>报表附注!E1421</f>
        <v>一、原价合计</v>
      </c>
      <c r="C972" s="321">
        <f t="shared" ref="C972:C1003" si="105">J964</f>
        <v>0</v>
      </c>
      <c r="D972" s="11" t="b">
        <f t="shared" ref="D972:D1035" si="106">EXACT(A972,B972)</f>
        <v>1</v>
      </c>
      <c r="E972" s="321">
        <f>C1110</f>
        <v>0</v>
      </c>
      <c r="H972" s="11" t="b">
        <f t="shared" si="104"/>
        <v>0</v>
      </c>
      <c r="I972" s="11">
        <v>0</v>
      </c>
      <c r="K972" s="11" t="b">
        <v>0</v>
      </c>
    </row>
    <row r="973" spans="1:11">
      <c r="A973" s="11" t="s">
        <v>2128</v>
      </c>
      <c r="B973" s="351" t="str">
        <f>报表附注!E1422</f>
        <v>1、土地使用权</v>
      </c>
      <c r="C973" s="321">
        <f t="shared" si="105"/>
        <v>0</v>
      </c>
      <c r="D973" s="11" t="b">
        <f t="shared" si="106"/>
        <v>0</v>
      </c>
      <c r="E973" s="321">
        <f t="shared" ref="E973:E1016" si="107">C1111</f>
        <v>0</v>
      </c>
      <c r="H973" s="11" t="b">
        <f t="shared" si="104"/>
        <v>0</v>
      </c>
      <c r="I973" s="11">
        <v>0</v>
      </c>
      <c r="K973" s="11" t="b">
        <v>0</v>
      </c>
    </row>
    <row r="974" spans="1:11">
      <c r="A974" s="11" t="s">
        <v>2129</v>
      </c>
      <c r="B974" s="351" t="str">
        <f>报表附注!E1423</f>
        <v>2、软件</v>
      </c>
      <c r="C974" s="321">
        <f t="shared" si="105"/>
        <v>0</v>
      </c>
      <c r="D974" s="11" t="b">
        <f t="shared" si="106"/>
        <v>0</v>
      </c>
      <c r="E974" s="321">
        <f t="shared" si="107"/>
        <v>0</v>
      </c>
      <c r="H974" s="11" t="b">
        <f t="shared" si="104"/>
        <v>0</v>
      </c>
      <c r="I974" s="11">
        <v>0</v>
      </c>
      <c r="K974" s="11" t="b">
        <v>0</v>
      </c>
    </row>
    <row r="975" spans="1:11">
      <c r="A975" s="11" t="s">
        <v>2130</v>
      </c>
      <c r="B975" s="351" t="str">
        <f>报表附注!E1424</f>
        <v>3、专利权</v>
      </c>
      <c r="C975" s="321">
        <f t="shared" si="105"/>
        <v>0</v>
      </c>
      <c r="D975" s="11" t="b">
        <f t="shared" si="106"/>
        <v>0</v>
      </c>
      <c r="E975" s="321">
        <f t="shared" si="107"/>
        <v>0</v>
      </c>
      <c r="H975" s="11" t="b">
        <f t="shared" si="104"/>
        <v>0</v>
      </c>
      <c r="I975" s="11">
        <v>0</v>
      </c>
      <c r="K975" s="11" t="b">
        <v>0</v>
      </c>
    </row>
    <row r="976" spans="1:11">
      <c r="A976" s="11" t="s">
        <v>2131</v>
      </c>
      <c r="B976" s="351" t="str">
        <f>报表附注!E1425</f>
        <v>4、其它</v>
      </c>
      <c r="C976" s="321">
        <f t="shared" si="105"/>
        <v>0</v>
      </c>
      <c r="D976" s="11" t="b">
        <f t="shared" si="106"/>
        <v>0</v>
      </c>
      <c r="E976" s="321">
        <f t="shared" si="107"/>
        <v>0</v>
      </c>
      <c r="H976" s="11" t="b">
        <f t="shared" si="104"/>
        <v>0</v>
      </c>
      <c r="I976" s="11">
        <v>0</v>
      </c>
      <c r="K976" s="11" t="b">
        <v>0</v>
      </c>
    </row>
    <row r="977" spans="1:11">
      <c r="A977" s="11" t="s">
        <v>2132</v>
      </c>
      <c r="B977" s="351">
        <f>报表附注!E1426</f>
        <v>0</v>
      </c>
      <c r="C977" s="321">
        <f t="shared" si="105"/>
        <v>0</v>
      </c>
      <c r="D977" s="11" t="b">
        <f t="shared" si="106"/>
        <v>0</v>
      </c>
      <c r="E977" s="321">
        <f t="shared" si="107"/>
        <v>0</v>
      </c>
      <c r="H977" s="11" t="b">
        <f t="shared" si="104"/>
        <v>1</v>
      </c>
      <c r="I977" s="11">
        <v>0</v>
      </c>
      <c r="K977" s="11" t="b">
        <v>0</v>
      </c>
    </row>
    <row r="978" spans="1:11">
      <c r="A978" s="11" t="s">
        <v>2133</v>
      </c>
      <c r="B978" s="351">
        <f>报表附注!E1427</f>
        <v>0</v>
      </c>
      <c r="C978" s="321">
        <f t="shared" si="105"/>
        <v>0</v>
      </c>
      <c r="D978" s="11" t="b">
        <f t="shared" si="106"/>
        <v>0</v>
      </c>
      <c r="E978" s="321">
        <f t="shared" si="107"/>
        <v>0</v>
      </c>
      <c r="H978" s="11" t="b">
        <f t="shared" si="104"/>
        <v>1</v>
      </c>
      <c r="I978" s="11">
        <v>0</v>
      </c>
      <c r="K978" s="11" t="b">
        <v>0</v>
      </c>
    </row>
    <row r="979" spans="1:11">
      <c r="A979" s="11" t="s">
        <v>2134</v>
      </c>
      <c r="B979" s="351">
        <f>报表附注!E1428</f>
        <v>0</v>
      </c>
      <c r="C979" s="321">
        <f t="shared" si="105"/>
        <v>0</v>
      </c>
      <c r="D979" s="11" t="b">
        <f t="shared" si="106"/>
        <v>0</v>
      </c>
      <c r="E979" s="321">
        <f t="shared" si="107"/>
        <v>0</v>
      </c>
      <c r="H979" s="11" t="b">
        <f t="shared" si="104"/>
        <v>0</v>
      </c>
      <c r="I979" s="11" t="s">
        <v>905</v>
      </c>
      <c r="K979" s="11" t="b">
        <v>1</v>
      </c>
    </row>
    <row r="980" spans="1:11">
      <c r="A980" s="11" t="s">
        <v>2135</v>
      </c>
      <c r="B980" s="351">
        <f>报表附注!E1429</f>
        <v>0</v>
      </c>
      <c r="C980" s="321">
        <f t="shared" si="105"/>
        <v>0</v>
      </c>
      <c r="D980" s="11" t="b">
        <f t="shared" si="106"/>
        <v>0</v>
      </c>
      <c r="E980" s="321">
        <f t="shared" si="107"/>
        <v>0</v>
      </c>
      <c r="H980" s="11" t="b">
        <f t="shared" si="104"/>
        <v>0</v>
      </c>
      <c r="I980" s="11" t="s">
        <v>5707</v>
      </c>
      <c r="K980" s="11" t="b">
        <v>0</v>
      </c>
    </row>
    <row r="981" spans="1:11">
      <c r="A981" s="11" t="s">
        <v>2136</v>
      </c>
      <c r="B981" s="351">
        <f>报表附注!E1430</f>
        <v>0</v>
      </c>
      <c r="C981" s="321">
        <f t="shared" si="105"/>
        <v>0</v>
      </c>
      <c r="D981" s="11" t="b">
        <f t="shared" si="106"/>
        <v>0</v>
      </c>
      <c r="E981" s="321">
        <f t="shared" si="107"/>
        <v>0</v>
      </c>
      <c r="H981" s="11" t="b">
        <f t="shared" si="104"/>
        <v>0</v>
      </c>
      <c r="I981" s="11" t="s">
        <v>5708</v>
      </c>
      <c r="K981" s="11" t="b">
        <v>0</v>
      </c>
    </row>
    <row r="982" spans="1:11">
      <c r="A982" s="11" t="s">
        <v>2137</v>
      </c>
      <c r="B982" s="351">
        <f>报表附注!E1431</f>
        <v>0</v>
      </c>
      <c r="C982" s="321">
        <f t="shared" si="105"/>
        <v>0</v>
      </c>
      <c r="D982" s="11" t="b">
        <f t="shared" si="106"/>
        <v>0</v>
      </c>
      <c r="E982" s="321">
        <f t="shared" si="107"/>
        <v>0</v>
      </c>
      <c r="H982" s="11" t="b">
        <f t="shared" si="104"/>
        <v>0</v>
      </c>
      <c r="I982" s="11" t="s">
        <v>5709</v>
      </c>
      <c r="K982" s="11" t="b">
        <v>0</v>
      </c>
    </row>
    <row r="983" spans="1:11">
      <c r="A983" s="11" t="s">
        <v>2138</v>
      </c>
      <c r="B983" s="351">
        <f>报表附注!E1432</f>
        <v>0</v>
      </c>
      <c r="C983" s="321">
        <f t="shared" si="105"/>
        <v>0</v>
      </c>
      <c r="D983" s="11" t="b">
        <f t="shared" si="106"/>
        <v>0</v>
      </c>
      <c r="E983" s="321">
        <f t="shared" si="107"/>
        <v>0</v>
      </c>
      <c r="H983" s="11" t="b">
        <f t="shared" si="104"/>
        <v>0</v>
      </c>
      <c r="I983" s="11" t="s">
        <v>5710</v>
      </c>
      <c r="K983" s="11" t="b">
        <v>0</v>
      </c>
    </row>
    <row r="984" spans="1:11">
      <c r="A984" s="11" t="s">
        <v>2139</v>
      </c>
      <c r="B984" s="351">
        <f>报表附注!E1433</f>
        <v>0</v>
      </c>
      <c r="C984" s="321">
        <f t="shared" si="105"/>
        <v>0</v>
      </c>
      <c r="D984" s="11" t="b">
        <f t="shared" si="106"/>
        <v>0</v>
      </c>
      <c r="E984" s="321">
        <f t="shared" si="107"/>
        <v>0</v>
      </c>
      <c r="H984" s="11" t="b">
        <f t="shared" si="104"/>
        <v>1</v>
      </c>
      <c r="I984" s="11">
        <v>0</v>
      </c>
      <c r="K984" s="11" t="b">
        <v>0</v>
      </c>
    </row>
    <row r="985" spans="1:11">
      <c r="A985" s="11" t="s">
        <v>2140</v>
      </c>
      <c r="B985" s="351">
        <f>报表附注!E1434</f>
        <v>0</v>
      </c>
      <c r="C985" s="321">
        <f t="shared" si="105"/>
        <v>0</v>
      </c>
      <c r="D985" s="11" t="b">
        <f t="shared" si="106"/>
        <v>0</v>
      </c>
      <c r="E985" s="321">
        <f t="shared" si="107"/>
        <v>0</v>
      </c>
      <c r="H985" s="11" t="b">
        <f t="shared" si="104"/>
        <v>1</v>
      </c>
      <c r="I985" s="11">
        <v>0</v>
      </c>
      <c r="K985" s="11" t="b">
        <v>0</v>
      </c>
    </row>
    <row r="986" spans="1:11">
      <c r="A986" s="11" t="s">
        <v>2141</v>
      </c>
      <c r="B986" s="351">
        <f>报表附注!E1435</f>
        <v>0</v>
      </c>
      <c r="C986" s="321">
        <f t="shared" si="105"/>
        <v>0</v>
      </c>
      <c r="D986" s="11" t="b">
        <f t="shared" si="106"/>
        <v>0</v>
      </c>
      <c r="E986" s="321">
        <f t="shared" si="107"/>
        <v>0</v>
      </c>
      <c r="H986" s="11" t="b">
        <f t="shared" si="104"/>
        <v>1</v>
      </c>
      <c r="I986" s="11">
        <v>0</v>
      </c>
      <c r="K986" s="11" t="b">
        <v>0</v>
      </c>
    </row>
    <row r="987" spans="1:11">
      <c r="A987" s="11" t="s">
        <v>905</v>
      </c>
      <c r="B987" s="351" t="str">
        <f>报表附注!E1436</f>
        <v>二、累计摊销额合计</v>
      </c>
      <c r="C987" s="321">
        <f t="shared" si="105"/>
        <v>0</v>
      </c>
      <c r="D987" s="11" t="b">
        <f t="shared" si="106"/>
        <v>1</v>
      </c>
      <c r="E987" s="321">
        <f t="shared" si="107"/>
        <v>0</v>
      </c>
      <c r="H987" s="11" t="b">
        <f t="shared" si="104"/>
        <v>0</v>
      </c>
      <c r="I987" s="11">
        <v>0</v>
      </c>
      <c r="K987" s="11" t="b">
        <v>0</v>
      </c>
    </row>
    <row r="988" spans="1:11">
      <c r="A988" s="11" t="s">
        <v>2128</v>
      </c>
      <c r="B988" s="351" t="str">
        <f>报表附注!E1437</f>
        <v>1、土地使用权</v>
      </c>
      <c r="C988" s="321">
        <f t="shared" si="105"/>
        <v>0</v>
      </c>
      <c r="D988" s="11" t="b">
        <f t="shared" si="106"/>
        <v>0</v>
      </c>
      <c r="E988" s="321">
        <f t="shared" si="107"/>
        <v>0</v>
      </c>
      <c r="H988" s="11" t="b">
        <f t="shared" si="104"/>
        <v>0</v>
      </c>
      <c r="I988" s="11">
        <v>0</v>
      </c>
      <c r="K988" s="11" t="b">
        <v>0</v>
      </c>
    </row>
    <row r="989" spans="1:11">
      <c r="A989" s="11" t="s">
        <v>2129</v>
      </c>
      <c r="B989" s="351" t="str">
        <f>报表附注!E1438</f>
        <v>2、软件</v>
      </c>
      <c r="C989" s="321">
        <f t="shared" si="105"/>
        <v>0</v>
      </c>
      <c r="D989" s="11" t="b">
        <f t="shared" si="106"/>
        <v>0</v>
      </c>
      <c r="E989" s="321">
        <f t="shared" si="107"/>
        <v>0</v>
      </c>
      <c r="H989" s="11" t="b">
        <f t="shared" si="104"/>
        <v>0</v>
      </c>
      <c r="I989" s="11">
        <v>0</v>
      </c>
      <c r="K989" s="11" t="b">
        <v>0</v>
      </c>
    </row>
    <row r="990" spans="1:11">
      <c r="A990" s="11" t="s">
        <v>2130</v>
      </c>
      <c r="B990" s="351" t="str">
        <f>报表附注!E1439</f>
        <v>3、专利权</v>
      </c>
      <c r="C990" s="321">
        <f t="shared" si="105"/>
        <v>0</v>
      </c>
      <c r="D990" s="11" t="b">
        <f t="shared" si="106"/>
        <v>0</v>
      </c>
      <c r="E990" s="321">
        <f t="shared" si="107"/>
        <v>0</v>
      </c>
      <c r="H990" s="11" t="b">
        <f t="shared" si="104"/>
        <v>0</v>
      </c>
      <c r="I990" s="11">
        <v>0</v>
      </c>
      <c r="K990" s="11" t="b">
        <v>0</v>
      </c>
    </row>
    <row r="991" spans="1:11">
      <c r="A991" s="11" t="s">
        <v>2131</v>
      </c>
      <c r="B991" s="351" t="str">
        <f>报表附注!E1440</f>
        <v>4、其它</v>
      </c>
      <c r="C991" s="321">
        <f t="shared" si="105"/>
        <v>0</v>
      </c>
      <c r="D991" s="11" t="b">
        <f t="shared" si="106"/>
        <v>0</v>
      </c>
      <c r="E991" s="321">
        <f t="shared" si="107"/>
        <v>0</v>
      </c>
      <c r="H991" s="11" t="b">
        <f t="shared" si="104"/>
        <v>0</v>
      </c>
      <c r="I991" s="11">
        <v>0</v>
      </c>
      <c r="K991" s="11" t="b">
        <v>0</v>
      </c>
    </row>
    <row r="992" spans="1:11">
      <c r="A992" s="11" t="s">
        <v>2132</v>
      </c>
      <c r="B992" s="351">
        <f>报表附注!E1441</f>
        <v>0</v>
      </c>
      <c r="C992" s="321">
        <f t="shared" si="105"/>
        <v>0</v>
      </c>
      <c r="D992" s="11" t="b">
        <f t="shared" si="106"/>
        <v>0</v>
      </c>
      <c r="E992" s="321">
        <f t="shared" si="107"/>
        <v>0</v>
      </c>
      <c r="H992" s="11" t="b">
        <f t="shared" si="104"/>
        <v>1</v>
      </c>
      <c r="I992" s="11">
        <v>0</v>
      </c>
      <c r="K992" s="11" t="b">
        <v>0</v>
      </c>
    </row>
    <row r="993" spans="1:11">
      <c r="A993" s="11" t="s">
        <v>2133</v>
      </c>
      <c r="B993" s="351">
        <f>报表附注!E1442</f>
        <v>0</v>
      </c>
      <c r="C993" s="321">
        <f t="shared" si="105"/>
        <v>0</v>
      </c>
      <c r="D993" s="11" t="b">
        <f t="shared" si="106"/>
        <v>0</v>
      </c>
      <c r="E993" s="321">
        <f t="shared" si="107"/>
        <v>0</v>
      </c>
      <c r="H993" s="11" t="b">
        <f t="shared" si="104"/>
        <v>1</v>
      </c>
      <c r="I993" s="11">
        <v>0</v>
      </c>
      <c r="K993" s="11" t="b">
        <v>0</v>
      </c>
    </row>
    <row r="994" spans="1:11">
      <c r="A994" s="11" t="s">
        <v>2134</v>
      </c>
      <c r="B994" s="351">
        <f>报表附注!E1443</f>
        <v>0</v>
      </c>
      <c r="C994" s="321">
        <f t="shared" si="105"/>
        <v>0</v>
      </c>
      <c r="D994" s="11" t="b">
        <f t="shared" si="106"/>
        <v>0</v>
      </c>
      <c r="E994" s="321">
        <f t="shared" si="107"/>
        <v>0</v>
      </c>
      <c r="H994" s="11" t="b">
        <f t="shared" si="104"/>
        <v>0</v>
      </c>
      <c r="I994" s="11" t="s">
        <v>908</v>
      </c>
      <c r="K994" s="11" t="b">
        <v>1</v>
      </c>
    </row>
    <row r="995" spans="1:11">
      <c r="A995" s="11" t="s">
        <v>2135</v>
      </c>
      <c r="B995" s="351">
        <f>报表附注!E1444</f>
        <v>0</v>
      </c>
      <c r="C995" s="321">
        <f t="shared" si="105"/>
        <v>0</v>
      </c>
      <c r="D995" s="11" t="b">
        <f t="shared" si="106"/>
        <v>0</v>
      </c>
      <c r="E995" s="321">
        <f t="shared" si="107"/>
        <v>0</v>
      </c>
      <c r="H995" s="11" t="b">
        <f t="shared" si="104"/>
        <v>0</v>
      </c>
      <c r="I995" s="11" t="s">
        <v>5707</v>
      </c>
      <c r="K995" s="11" t="b">
        <v>0</v>
      </c>
    </row>
    <row r="996" spans="1:11">
      <c r="A996" s="11" t="s">
        <v>2136</v>
      </c>
      <c r="B996" s="351">
        <f>报表附注!E1445</f>
        <v>0</v>
      </c>
      <c r="C996" s="321">
        <f t="shared" si="105"/>
        <v>0</v>
      </c>
      <c r="D996" s="11" t="b">
        <f t="shared" si="106"/>
        <v>0</v>
      </c>
      <c r="E996" s="321">
        <f t="shared" si="107"/>
        <v>0</v>
      </c>
      <c r="H996" s="11" t="b">
        <f t="shared" si="104"/>
        <v>0</v>
      </c>
      <c r="I996" s="11" t="s">
        <v>5708</v>
      </c>
      <c r="K996" s="11" t="b">
        <v>0</v>
      </c>
    </row>
    <row r="997" spans="1:11">
      <c r="A997" s="11" t="s">
        <v>2137</v>
      </c>
      <c r="B997" s="351">
        <f>报表附注!E1446</f>
        <v>0</v>
      </c>
      <c r="C997" s="321">
        <f t="shared" si="105"/>
        <v>0</v>
      </c>
      <c r="D997" s="11" t="b">
        <f t="shared" si="106"/>
        <v>0</v>
      </c>
      <c r="E997" s="321">
        <f t="shared" si="107"/>
        <v>0</v>
      </c>
      <c r="H997" s="11" t="b">
        <f t="shared" si="104"/>
        <v>0</v>
      </c>
      <c r="I997" s="11" t="s">
        <v>5709</v>
      </c>
      <c r="K997" s="11" t="b">
        <v>0</v>
      </c>
    </row>
    <row r="998" spans="1:11">
      <c r="A998" s="11" t="s">
        <v>2138</v>
      </c>
      <c r="B998" s="351">
        <f>报表附注!E1447</f>
        <v>0</v>
      </c>
      <c r="C998" s="321">
        <f t="shared" si="105"/>
        <v>0</v>
      </c>
      <c r="D998" s="11" t="b">
        <f t="shared" si="106"/>
        <v>0</v>
      </c>
      <c r="E998" s="321">
        <f t="shared" si="107"/>
        <v>0</v>
      </c>
      <c r="H998" s="11" t="b">
        <f t="shared" si="104"/>
        <v>0</v>
      </c>
      <c r="I998" s="11" t="s">
        <v>5710</v>
      </c>
      <c r="K998" s="11" t="b">
        <v>0</v>
      </c>
    </row>
    <row r="999" spans="1:11">
      <c r="A999" s="11" t="s">
        <v>2139</v>
      </c>
      <c r="B999" s="351">
        <f>报表附注!E1448</f>
        <v>0</v>
      </c>
      <c r="C999" s="321">
        <f t="shared" si="105"/>
        <v>0</v>
      </c>
      <c r="D999" s="11" t="b">
        <f t="shared" si="106"/>
        <v>0</v>
      </c>
      <c r="E999" s="321">
        <f t="shared" si="107"/>
        <v>0</v>
      </c>
      <c r="H999" s="11" t="b">
        <f t="shared" si="104"/>
        <v>1</v>
      </c>
      <c r="I999" s="11">
        <v>0</v>
      </c>
      <c r="K999" s="11" t="b">
        <v>0</v>
      </c>
    </row>
    <row r="1000" spans="1:11">
      <c r="A1000" s="11" t="s">
        <v>2140</v>
      </c>
      <c r="B1000" s="351">
        <f>报表附注!E1449</f>
        <v>0</v>
      </c>
      <c r="C1000" s="321">
        <f t="shared" si="105"/>
        <v>0</v>
      </c>
      <c r="D1000" s="11" t="b">
        <f t="shared" si="106"/>
        <v>0</v>
      </c>
      <c r="E1000" s="321">
        <f t="shared" si="107"/>
        <v>0</v>
      </c>
      <c r="H1000" s="11" t="b">
        <f t="shared" si="104"/>
        <v>1</v>
      </c>
      <c r="I1000" s="11">
        <v>0</v>
      </c>
      <c r="K1000" s="11" t="b">
        <v>0</v>
      </c>
    </row>
    <row r="1001" spans="1:11">
      <c r="A1001" s="11" t="s">
        <v>2141</v>
      </c>
      <c r="B1001" s="351">
        <f>报表附注!E1450</f>
        <v>0</v>
      </c>
      <c r="C1001" s="321">
        <f t="shared" si="105"/>
        <v>0</v>
      </c>
      <c r="D1001" s="11" t="b">
        <f t="shared" si="106"/>
        <v>0</v>
      </c>
      <c r="E1001" s="321">
        <f t="shared" si="107"/>
        <v>0</v>
      </c>
      <c r="H1001" s="11" t="b">
        <f t="shared" si="104"/>
        <v>1</v>
      </c>
      <c r="I1001" s="11">
        <v>0</v>
      </c>
      <c r="K1001" s="11" t="b">
        <v>0</v>
      </c>
    </row>
    <row r="1002" spans="1:11">
      <c r="A1002" s="11" t="s">
        <v>908</v>
      </c>
      <c r="B1002" s="351" t="str">
        <f>报表附注!E1451</f>
        <v>三、无形资产减值准备累计金额合计</v>
      </c>
      <c r="C1002" s="321">
        <f t="shared" si="105"/>
        <v>0</v>
      </c>
      <c r="D1002" s="11" t="b">
        <f t="shared" si="106"/>
        <v>1</v>
      </c>
      <c r="E1002" s="321">
        <f t="shared" si="107"/>
        <v>0</v>
      </c>
      <c r="H1002" s="11" t="b">
        <f t="shared" si="104"/>
        <v>0</v>
      </c>
      <c r="I1002" s="11">
        <v>0</v>
      </c>
      <c r="K1002" s="11" t="b">
        <v>0</v>
      </c>
    </row>
    <row r="1003" spans="1:11">
      <c r="A1003" s="11" t="s">
        <v>2128</v>
      </c>
      <c r="B1003" s="351" t="str">
        <f>报表附注!E1452</f>
        <v>1、土地使用权</v>
      </c>
      <c r="C1003" s="321">
        <f t="shared" si="105"/>
        <v>0</v>
      </c>
      <c r="D1003" s="11" t="b">
        <f t="shared" si="106"/>
        <v>0</v>
      </c>
      <c r="E1003" s="321">
        <f t="shared" si="107"/>
        <v>0</v>
      </c>
      <c r="H1003" s="11" t="b">
        <f t="shared" si="104"/>
        <v>0</v>
      </c>
      <c r="I1003" s="11">
        <v>0</v>
      </c>
      <c r="K1003" s="11" t="b">
        <v>0</v>
      </c>
    </row>
    <row r="1004" spans="1:11">
      <c r="A1004" s="11" t="s">
        <v>2129</v>
      </c>
      <c r="B1004" s="351" t="str">
        <f>报表附注!E1453</f>
        <v>2、软件</v>
      </c>
      <c r="C1004" s="321">
        <f t="shared" ref="C1004:C1035" si="108">J996</f>
        <v>0</v>
      </c>
      <c r="D1004" s="11" t="b">
        <f t="shared" si="106"/>
        <v>0</v>
      </c>
      <c r="E1004" s="321">
        <f t="shared" si="107"/>
        <v>0</v>
      </c>
      <c r="H1004" s="11" t="b">
        <f t="shared" si="104"/>
        <v>0</v>
      </c>
      <c r="I1004" s="11">
        <v>0</v>
      </c>
      <c r="K1004" s="11" t="b">
        <v>0</v>
      </c>
    </row>
    <row r="1005" spans="1:11">
      <c r="A1005" s="11" t="s">
        <v>2130</v>
      </c>
      <c r="B1005" s="351" t="str">
        <f>报表附注!E1454</f>
        <v>3、专利权</v>
      </c>
      <c r="C1005" s="321">
        <f t="shared" si="108"/>
        <v>0</v>
      </c>
      <c r="D1005" s="11" t="b">
        <f t="shared" si="106"/>
        <v>0</v>
      </c>
      <c r="E1005" s="321">
        <f t="shared" si="107"/>
        <v>0</v>
      </c>
      <c r="H1005" s="11" t="b">
        <f t="shared" si="104"/>
        <v>0</v>
      </c>
      <c r="I1005" s="11">
        <v>0</v>
      </c>
      <c r="K1005" s="11" t="b">
        <v>0</v>
      </c>
    </row>
    <row r="1006" spans="1:11">
      <c r="A1006" s="11" t="s">
        <v>2131</v>
      </c>
      <c r="B1006" s="351" t="str">
        <f>报表附注!E1455</f>
        <v>4、其它</v>
      </c>
      <c r="C1006" s="321">
        <f t="shared" si="108"/>
        <v>0</v>
      </c>
      <c r="D1006" s="11" t="b">
        <f t="shared" si="106"/>
        <v>0</v>
      </c>
      <c r="E1006" s="321">
        <f t="shared" si="107"/>
        <v>0</v>
      </c>
      <c r="H1006" s="11" t="b">
        <f t="shared" si="104"/>
        <v>0</v>
      </c>
      <c r="I1006" s="11">
        <v>0</v>
      </c>
      <c r="K1006" s="11" t="b">
        <v>0</v>
      </c>
    </row>
    <row r="1007" spans="1:11">
      <c r="A1007" s="11" t="s">
        <v>2132</v>
      </c>
      <c r="B1007" s="351">
        <f>报表附注!E1456</f>
        <v>0</v>
      </c>
      <c r="C1007" s="321">
        <f t="shared" si="108"/>
        <v>0</v>
      </c>
      <c r="D1007" s="11" t="b">
        <f t="shared" si="106"/>
        <v>0</v>
      </c>
      <c r="E1007" s="321">
        <f t="shared" si="107"/>
        <v>0</v>
      </c>
      <c r="H1007" s="11" t="b">
        <f t="shared" si="104"/>
        <v>1</v>
      </c>
      <c r="I1007" s="11">
        <v>0</v>
      </c>
      <c r="K1007" s="11" t="b">
        <v>0</v>
      </c>
    </row>
    <row r="1008" spans="1:11">
      <c r="A1008" s="11" t="s">
        <v>2133</v>
      </c>
      <c r="B1008" s="351">
        <f>报表附注!E1457</f>
        <v>0</v>
      </c>
      <c r="C1008" s="321">
        <f t="shared" si="108"/>
        <v>0</v>
      </c>
      <c r="D1008" s="11" t="b">
        <f t="shared" si="106"/>
        <v>0</v>
      </c>
      <c r="E1008" s="321">
        <f t="shared" si="107"/>
        <v>0</v>
      </c>
      <c r="H1008" s="11" t="b">
        <f t="shared" si="104"/>
        <v>1</v>
      </c>
      <c r="I1008" s="11">
        <v>0</v>
      </c>
      <c r="K1008" s="11" t="b">
        <v>0</v>
      </c>
    </row>
    <row r="1009" spans="1:11">
      <c r="A1009" s="11" t="s">
        <v>2134</v>
      </c>
      <c r="B1009" s="351">
        <f>报表附注!E1458</f>
        <v>0</v>
      </c>
      <c r="C1009" s="321">
        <f t="shared" si="108"/>
        <v>0</v>
      </c>
      <c r="D1009" s="11" t="b">
        <f t="shared" si="106"/>
        <v>0</v>
      </c>
      <c r="E1009" s="321">
        <f t="shared" si="107"/>
        <v>0</v>
      </c>
      <c r="H1009" s="11" t="b">
        <f t="shared" si="104"/>
        <v>0</v>
      </c>
      <c r="I1009" s="11" t="s">
        <v>672</v>
      </c>
      <c r="K1009" s="11" t="b">
        <v>1</v>
      </c>
    </row>
    <row r="1010" spans="1:11">
      <c r="A1010" s="11" t="s">
        <v>2135</v>
      </c>
      <c r="B1010" s="351">
        <f>报表附注!E1459</f>
        <v>0</v>
      </c>
      <c r="C1010" s="321">
        <f t="shared" si="108"/>
        <v>0</v>
      </c>
      <c r="D1010" s="11" t="b">
        <f t="shared" si="106"/>
        <v>0</v>
      </c>
      <c r="E1010" s="321">
        <f t="shared" si="107"/>
        <v>0</v>
      </c>
      <c r="H1010" s="11" t="b">
        <f t="shared" si="104"/>
        <v>0</v>
      </c>
      <c r="I1010" s="11" t="s">
        <v>715</v>
      </c>
      <c r="K1010" s="11" t="b">
        <v>1</v>
      </c>
    </row>
    <row r="1011" spans="1:11">
      <c r="A1011" s="11" t="s">
        <v>2136</v>
      </c>
      <c r="B1011" s="351">
        <f>报表附注!E1460</f>
        <v>0</v>
      </c>
      <c r="C1011" s="321">
        <f t="shared" si="108"/>
        <v>0</v>
      </c>
      <c r="D1011" s="11" t="b">
        <f t="shared" si="106"/>
        <v>0</v>
      </c>
      <c r="E1011" s="321">
        <f t="shared" si="107"/>
        <v>0</v>
      </c>
      <c r="H1011" s="11" t="b">
        <f t="shared" si="104"/>
        <v>0</v>
      </c>
      <c r="I1011" s="11" t="s">
        <v>5707</v>
      </c>
      <c r="K1011" s="11" t="b">
        <v>0</v>
      </c>
    </row>
    <row r="1012" spans="1:11">
      <c r="A1012" s="11" t="s">
        <v>2137</v>
      </c>
      <c r="B1012" s="351">
        <f>报表附注!E1461</f>
        <v>0</v>
      </c>
      <c r="C1012" s="321">
        <f t="shared" si="108"/>
        <v>0</v>
      </c>
      <c r="D1012" s="11" t="b">
        <f t="shared" si="106"/>
        <v>0</v>
      </c>
      <c r="E1012" s="321">
        <f t="shared" si="107"/>
        <v>0</v>
      </c>
      <c r="H1012" s="11" t="b">
        <f t="shared" si="104"/>
        <v>0</v>
      </c>
      <c r="I1012" s="11" t="s">
        <v>5708</v>
      </c>
      <c r="K1012" s="11" t="b">
        <v>0</v>
      </c>
    </row>
    <row r="1013" spans="1:11">
      <c r="A1013" s="11" t="s">
        <v>2138</v>
      </c>
      <c r="B1013" s="351">
        <f>报表附注!E1462</f>
        <v>0</v>
      </c>
      <c r="C1013" s="321">
        <f t="shared" si="108"/>
        <v>0</v>
      </c>
      <c r="D1013" s="11" t="b">
        <f t="shared" si="106"/>
        <v>0</v>
      </c>
      <c r="E1013" s="321">
        <f t="shared" si="107"/>
        <v>0</v>
      </c>
      <c r="H1013" s="11" t="b">
        <f t="shared" si="104"/>
        <v>0</v>
      </c>
      <c r="I1013" s="11" t="s">
        <v>5709</v>
      </c>
      <c r="K1013" s="11" t="b">
        <v>0</v>
      </c>
    </row>
    <row r="1014" spans="1:11">
      <c r="A1014" s="11" t="s">
        <v>2139</v>
      </c>
      <c r="B1014" s="351">
        <f>报表附注!E1463</f>
        <v>0</v>
      </c>
      <c r="C1014" s="321">
        <f t="shared" si="108"/>
        <v>0</v>
      </c>
      <c r="D1014" s="11" t="b">
        <f t="shared" si="106"/>
        <v>0</v>
      </c>
      <c r="E1014" s="321">
        <f t="shared" si="107"/>
        <v>0</v>
      </c>
      <c r="H1014" s="11" t="b">
        <f t="shared" si="104"/>
        <v>0</v>
      </c>
      <c r="I1014" s="11" t="s">
        <v>5710</v>
      </c>
      <c r="K1014" s="11" t="b">
        <v>0</v>
      </c>
    </row>
    <row r="1015" spans="1:11">
      <c r="A1015" s="11" t="s">
        <v>2140</v>
      </c>
      <c r="B1015" s="351">
        <f>报表附注!E1464</f>
        <v>0</v>
      </c>
      <c r="C1015" s="321">
        <f t="shared" si="108"/>
        <v>0</v>
      </c>
      <c r="D1015" s="11" t="b">
        <f t="shared" si="106"/>
        <v>0</v>
      </c>
      <c r="E1015" s="321">
        <f t="shared" si="107"/>
        <v>0</v>
      </c>
      <c r="H1015" s="11" t="b">
        <f t="shared" si="104"/>
        <v>1</v>
      </c>
      <c r="I1015" s="11">
        <v>0</v>
      </c>
      <c r="K1015" s="11" t="b">
        <v>0</v>
      </c>
    </row>
    <row r="1016" spans="1:11">
      <c r="A1016" s="11" t="s">
        <v>2141</v>
      </c>
      <c r="B1016" s="351">
        <f>报表附注!E1465</f>
        <v>0</v>
      </c>
      <c r="C1016" s="321">
        <f t="shared" si="108"/>
        <v>0</v>
      </c>
      <c r="D1016" s="11" t="b">
        <f t="shared" si="106"/>
        <v>0</v>
      </c>
      <c r="E1016" s="321">
        <f t="shared" si="107"/>
        <v>0</v>
      </c>
      <c r="H1016" s="11" t="b">
        <f t="shared" si="104"/>
        <v>1</v>
      </c>
      <c r="I1016" s="11">
        <v>0</v>
      </c>
      <c r="K1016" s="11" t="b">
        <v>0</v>
      </c>
    </row>
    <row r="1017" spans="1:11">
      <c r="A1017" s="11" t="s">
        <v>672</v>
      </c>
      <c r="B1017" s="356" t="s">
        <v>672</v>
      </c>
      <c r="C1017" s="328">
        <f t="shared" si="108"/>
        <v>0</v>
      </c>
      <c r="D1017" s="11" t="b">
        <f t="shared" si="106"/>
        <v>1</v>
      </c>
      <c r="H1017" s="11" t="b">
        <f t="shared" si="104"/>
        <v>0</v>
      </c>
      <c r="I1017" s="11">
        <v>0</v>
      </c>
      <c r="K1017" s="11" t="b">
        <v>0</v>
      </c>
    </row>
    <row r="1018" spans="1:11">
      <c r="A1018" s="11" t="s">
        <v>715</v>
      </c>
      <c r="B1018" s="351" t="str">
        <f>报表附注!E1421</f>
        <v>一、原价合计</v>
      </c>
      <c r="C1018" s="321">
        <f t="shared" si="108"/>
        <v>0</v>
      </c>
      <c r="D1018" s="11" t="b">
        <f t="shared" si="106"/>
        <v>1</v>
      </c>
      <c r="E1018" s="311"/>
      <c r="H1018" s="11" t="b">
        <f t="shared" si="104"/>
        <v>0</v>
      </c>
      <c r="I1018" s="11">
        <v>0</v>
      </c>
      <c r="K1018" s="11" t="b">
        <v>0</v>
      </c>
    </row>
    <row r="1019" spans="1:11">
      <c r="A1019" s="11" t="s">
        <v>2128</v>
      </c>
      <c r="B1019" s="351" t="str">
        <f>报表附注!E1422</f>
        <v>1、土地使用权</v>
      </c>
      <c r="C1019" s="321">
        <f t="shared" si="108"/>
        <v>0</v>
      </c>
      <c r="D1019" s="11" t="b">
        <f t="shared" si="106"/>
        <v>0</v>
      </c>
      <c r="E1019" s="311"/>
      <c r="H1019" s="11" t="b">
        <f t="shared" si="104"/>
        <v>0</v>
      </c>
      <c r="I1019" s="11">
        <v>0</v>
      </c>
      <c r="K1019" s="11" t="b">
        <v>0</v>
      </c>
    </row>
    <row r="1020" spans="1:11">
      <c r="A1020" s="11" t="s">
        <v>2129</v>
      </c>
      <c r="B1020" s="351" t="str">
        <f>报表附注!E1423</f>
        <v>2、软件</v>
      </c>
      <c r="C1020" s="321">
        <f t="shared" si="108"/>
        <v>0</v>
      </c>
      <c r="D1020" s="11" t="b">
        <f t="shared" si="106"/>
        <v>0</v>
      </c>
      <c r="E1020" s="311"/>
      <c r="H1020" s="11" t="b">
        <f t="shared" si="104"/>
        <v>0</v>
      </c>
      <c r="I1020" s="11">
        <v>0</v>
      </c>
      <c r="K1020" s="11" t="b">
        <v>0</v>
      </c>
    </row>
    <row r="1021" spans="1:11">
      <c r="A1021" s="11" t="s">
        <v>2130</v>
      </c>
      <c r="B1021" s="351" t="str">
        <f>报表附注!E1424</f>
        <v>3、专利权</v>
      </c>
      <c r="C1021" s="321">
        <f t="shared" si="108"/>
        <v>0</v>
      </c>
      <c r="D1021" s="11" t="b">
        <f t="shared" si="106"/>
        <v>0</v>
      </c>
      <c r="E1021" s="311"/>
      <c r="H1021" s="11" t="b">
        <f t="shared" si="104"/>
        <v>0</v>
      </c>
      <c r="I1021" s="11">
        <v>0</v>
      </c>
      <c r="K1021" s="11" t="b">
        <v>0</v>
      </c>
    </row>
    <row r="1022" spans="1:11">
      <c r="A1022" s="11" t="s">
        <v>2131</v>
      </c>
      <c r="B1022" s="351" t="str">
        <f>报表附注!E1425</f>
        <v>4、其它</v>
      </c>
      <c r="C1022" s="321">
        <f t="shared" si="108"/>
        <v>0</v>
      </c>
      <c r="D1022" s="11" t="b">
        <f t="shared" si="106"/>
        <v>0</v>
      </c>
      <c r="E1022" s="311"/>
      <c r="H1022" s="11" t="b">
        <f t="shared" si="104"/>
        <v>0</v>
      </c>
      <c r="I1022" s="11">
        <v>0</v>
      </c>
      <c r="K1022" s="11" t="b">
        <v>0</v>
      </c>
    </row>
    <row r="1023" spans="1:11">
      <c r="A1023" s="11" t="s">
        <v>2132</v>
      </c>
      <c r="B1023" s="351">
        <f>报表附注!E1426</f>
        <v>0</v>
      </c>
      <c r="C1023" s="321">
        <f t="shared" si="108"/>
        <v>0</v>
      </c>
      <c r="D1023" s="11" t="b">
        <f t="shared" si="106"/>
        <v>0</v>
      </c>
      <c r="E1023" s="311"/>
      <c r="H1023" s="11" t="b">
        <f t="shared" si="104"/>
        <v>1</v>
      </c>
      <c r="I1023" s="11">
        <v>0</v>
      </c>
      <c r="K1023" s="11" t="b">
        <v>0</v>
      </c>
    </row>
    <row r="1024" spans="1:11">
      <c r="A1024" s="11" t="s">
        <v>2133</v>
      </c>
      <c r="B1024" s="351">
        <f>报表附注!E1427</f>
        <v>0</v>
      </c>
      <c r="C1024" s="321">
        <f t="shared" si="108"/>
        <v>0</v>
      </c>
      <c r="D1024" s="11" t="b">
        <f t="shared" si="106"/>
        <v>0</v>
      </c>
      <c r="E1024" s="311"/>
      <c r="H1024" s="11" t="b">
        <f t="shared" si="104"/>
        <v>1</v>
      </c>
      <c r="I1024" s="11">
        <v>0</v>
      </c>
      <c r="K1024" s="11" t="b">
        <v>0</v>
      </c>
    </row>
    <row r="1025" spans="1:11">
      <c r="A1025" s="11" t="s">
        <v>2134</v>
      </c>
      <c r="B1025" s="351">
        <f>报表附注!E1428</f>
        <v>0</v>
      </c>
      <c r="C1025" s="321">
        <f t="shared" si="108"/>
        <v>0</v>
      </c>
      <c r="D1025" s="11" t="b">
        <f t="shared" si="106"/>
        <v>0</v>
      </c>
      <c r="E1025" s="311"/>
      <c r="H1025" s="11" t="b">
        <f t="shared" si="104"/>
        <v>0</v>
      </c>
      <c r="I1025" s="11" t="s">
        <v>905</v>
      </c>
      <c r="K1025" s="11" t="b">
        <v>1</v>
      </c>
    </row>
    <row r="1026" spans="1:11">
      <c r="A1026" s="11" t="s">
        <v>2135</v>
      </c>
      <c r="B1026" s="351">
        <f>报表附注!E1429</f>
        <v>0</v>
      </c>
      <c r="C1026" s="321">
        <f t="shared" si="108"/>
        <v>0</v>
      </c>
      <c r="D1026" s="11" t="b">
        <f t="shared" si="106"/>
        <v>0</v>
      </c>
      <c r="E1026" s="311"/>
      <c r="H1026" s="11" t="b">
        <f t="shared" si="104"/>
        <v>0</v>
      </c>
      <c r="I1026" s="11" t="s">
        <v>5707</v>
      </c>
      <c r="K1026" s="11" t="b">
        <v>0</v>
      </c>
    </row>
    <row r="1027" spans="1:11">
      <c r="A1027" s="11" t="s">
        <v>2136</v>
      </c>
      <c r="B1027" s="351">
        <f>报表附注!E1430</f>
        <v>0</v>
      </c>
      <c r="C1027" s="321">
        <f t="shared" si="108"/>
        <v>0</v>
      </c>
      <c r="D1027" s="11" t="b">
        <f t="shared" si="106"/>
        <v>0</v>
      </c>
      <c r="E1027" s="311"/>
      <c r="H1027" s="11" t="b">
        <f t="shared" si="104"/>
        <v>0</v>
      </c>
      <c r="I1027" s="11" t="s">
        <v>5708</v>
      </c>
      <c r="K1027" s="11" t="b">
        <v>0</v>
      </c>
    </row>
    <row r="1028" spans="1:11">
      <c r="A1028" s="11" t="s">
        <v>2137</v>
      </c>
      <c r="B1028" s="351">
        <f>报表附注!E1431</f>
        <v>0</v>
      </c>
      <c r="C1028" s="321">
        <f t="shared" si="108"/>
        <v>0</v>
      </c>
      <c r="D1028" s="11" t="b">
        <f t="shared" si="106"/>
        <v>0</v>
      </c>
      <c r="E1028" s="311"/>
      <c r="H1028" s="11" t="b">
        <f t="shared" ref="H1028:H1091" si="109">I1028=B1028</f>
        <v>0</v>
      </c>
      <c r="I1028" s="11" t="s">
        <v>5709</v>
      </c>
      <c r="K1028" s="11" t="b">
        <v>0</v>
      </c>
    </row>
    <row r="1029" spans="1:11">
      <c r="A1029" s="11" t="s">
        <v>2138</v>
      </c>
      <c r="B1029" s="351">
        <f>报表附注!E1432</f>
        <v>0</v>
      </c>
      <c r="C1029" s="321">
        <f t="shared" si="108"/>
        <v>0</v>
      </c>
      <c r="D1029" s="11" t="b">
        <f t="shared" si="106"/>
        <v>0</v>
      </c>
      <c r="E1029" s="311"/>
      <c r="H1029" s="11" t="b">
        <f t="shared" si="109"/>
        <v>0</v>
      </c>
      <c r="I1029" s="11" t="s">
        <v>5710</v>
      </c>
      <c r="K1029" s="11" t="b">
        <v>0</v>
      </c>
    </row>
    <row r="1030" spans="1:11">
      <c r="A1030" s="11" t="s">
        <v>2139</v>
      </c>
      <c r="B1030" s="351">
        <f>报表附注!E1433</f>
        <v>0</v>
      </c>
      <c r="C1030" s="321">
        <f t="shared" si="108"/>
        <v>0</v>
      </c>
      <c r="D1030" s="11" t="b">
        <f t="shared" si="106"/>
        <v>0</v>
      </c>
      <c r="E1030" s="311"/>
      <c r="H1030" s="11" t="b">
        <f t="shared" si="109"/>
        <v>1</v>
      </c>
      <c r="I1030" s="11">
        <v>0</v>
      </c>
      <c r="K1030" s="11" t="b">
        <v>0</v>
      </c>
    </row>
    <row r="1031" spans="1:11">
      <c r="A1031" s="11" t="s">
        <v>2140</v>
      </c>
      <c r="B1031" s="351">
        <f>报表附注!E1434</f>
        <v>0</v>
      </c>
      <c r="C1031" s="321">
        <f t="shared" si="108"/>
        <v>0</v>
      </c>
      <c r="D1031" s="11" t="b">
        <f t="shared" si="106"/>
        <v>0</v>
      </c>
      <c r="E1031" s="311"/>
      <c r="H1031" s="11" t="b">
        <f t="shared" si="109"/>
        <v>1</v>
      </c>
      <c r="I1031" s="11">
        <v>0</v>
      </c>
      <c r="K1031" s="11" t="b">
        <v>0</v>
      </c>
    </row>
    <row r="1032" spans="1:11">
      <c r="A1032" s="11" t="s">
        <v>2141</v>
      </c>
      <c r="B1032" s="351">
        <f>报表附注!E1435</f>
        <v>0</v>
      </c>
      <c r="C1032" s="321">
        <f t="shared" si="108"/>
        <v>0</v>
      </c>
      <c r="D1032" s="11" t="b">
        <f t="shared" si="106"/>
        <v>0</v>
      </c>
      <c r="E1032" s="311"/>
      <c r="H1032" s="11" t="b">
        <f t="shared" si="109"/>
        <v>1</v>
      </c>
      <c r="I1032" s="11">
        <v>0</v>
      </c>
      <c r="K1032" s="11" t="b">
        <v>0</v>
      </c>
    </row>
    <row r="1033" spans="1:11">
      <c r="A1033" s="11" t="s">
        <v>905</v>
      </c>
      <c r="B1033" s="351" t="str">
        <f>报表附注!E1436</f>
        <v>二、累计摊销额合计</v>
      </c>
      <c r="C1033" s="321">
        <f t="shared" si="108"/>
        <v>0</v>
      </c>
      <c r="D1033" s="11" t="b">
        <f t="shared" si="106"/>
        <v>1</v>
      </c>
      <c r="E1033" s="311"/>
      <c r="H1033" s="11" t="b">
        <f t="shared" si="109"/>
        <v>0</v>
      </c>
      <c r="I1033" s="11">
        <v>0</v>
      </c>
      <c r="K1033" s="11" t="b">
        <v>0</v>
      </c>
    </row>
    <row r="1034" spans="1:11">
      <c r="A1034" s="11" t="s">
        <v>2128</v>
      </c>
      <c r="B1034" s="351" t="str">
        <f>报表附注!E1437</f>
        <v>1、土地使用权</v>
      </c>
      <c r="C1034" s="321">
        <f t="shared" si="108"/>
        <v>0</v>
      </c>
      <c r="D1034" s="11" t="b">
        <f t="shared" si="106"/>
        <v>0</v>
      </c>
      <c r="E1034" s="311"/>
      <c r="H1034" s="11" t="b">
        <f t="shared" si="109"/>
        <v>0</v>
      </c>
      <c r="I1034" s="11">
        <v>0</v>
      </c>
      <c r="K1034" s="11" t="b">
        <v>0</v>
      </c>
    </row>
    <row r="1035" spans="1:11">
      <c r="A1035" s="11" t="s">
        <v>2129</v>
      </c>
      <c r="B1035" s="351" t="str">
        <f>报表附注!E1438</f>
        <v>2、软件</v>
      </c>
      <c r="C1035" s="321">
        <f t="shared" si="108"/>
        <v>0</v>
      </c>
      <c r="D1035" s="11" t="b">
        <f t="shared" si="106"/>
        <v>0</v>
      </c>
      <c r="E1035" s="311"/>
      <c r="H1035" s="11" t="b">
        <f t="shared" si="109"/>
        <v>0</v>
      </c>
      <c r="I1035" s="11">
        <v>0</v>
      </c>
      <c r="K1035" s="11" t="b">
        <v>0</v>
      </c>
    </row>
    <row r="1036" spans="1:11">
      <c r="A1036" s="11" t="s">
        <v>2130</v>
      </c>
      <c r="B1036" s="351" t="str">
        <f>报表附注!E1439</f>
        <v>3、专利权</v>
      </c>
      <c r="C1036" s="321">
        <f t="shared" ref="C1036:C1067" si="110">J1028</f>
        <v>0</v>
      </c>
      <c r="D1036" s="11" t="b">
        <f t="shared" ref="D1036:D1099" si="111">EXACT(A1036,B1036)</f>
        <v>0</v>
      </c>
      <c r="E1036" s="311"/>
      <c r="H1036" s="11" t="b">
        <f t="shared" si="109"/>
        <v>0</v>
      </c>
      <c r="I1036" s="11">
        <v>0</v>
      </c>
      <c r="K1036" s="11" t="b">
        <v>0</v>
      </c>
    </row>
    <row r="1037" spans="1:11">
      <c r="A1037" s="11" t="s">
        <v>2131</v>
      </c>
      <c r="B1037" s="351" t="str">
        <f>报表附注!E1440</f>
        <v>4、其它</v>
      </c>
      <c r="C1037" s="321">
        <f t="shared" si="110"/>
        <v>0</v>
      </c>
      <c r="D1037" s="11" t="b">
        <f t="shared" si="111"/>
        <v>0</v>
      </c>
      <c r="E1037" s="311"/>
      <c r="H1037" s="11" t="b">
        <f t="shared" si="109"/>
        <v>0</v>
      </c>
      <c r="I1037" s="11">
        <v>0</v>
      </c>
      <c r="K1037" s="11" t="b">
        <v>0</v>
      </c>
    </row>
    <row r="1038" spans="1:11">
      <c r="A1038" s="11" t="s">
        <v>2132</v>
      </c>
      <c r="B1038" s="351">
        <f>报表附注!E1441</f>
        <v>0</v>
      </c>
      <c r="C1038" s="321">
        <f t="shared" si="110"/>
        <v>0</v>
      </c>
      <c r="D1038" s="11" t="b">
        <f t="shared" si="111"/>
        <v>0</v>
      </c>
      <c r="E1038" s="311"/>
      <c r="H1038" s="11" t="b">
        <f t="shared" si="109"/>
        <v>1</v>
      </c>
      <c r="I1038" s="11">
        <v>0</v>
      </c>
      <c r="K1038" s="11" t="b">
        <v>0</v>
      </c>
    </row>
    <row r="1039" spans="1:11">
      <c r="A1039" s="11" t="s">
        <v>2133</v>
      </c>
      <c r="B1039" s="351">
        <f>报表附注!E1442</f>
        <v>0</v>
      </c>
      <c r="C1039" s="321">
        <f t="shared" si="110"/>
        <v>0</v>
      </c>
      <c r="D1039" s="11" t="b">
        <f t="shared" si="111"/>
        <v>0</v>
      </c>
      <c r="E1039" s="311"/>
      <c r="H1039" s="11" t="b">
        <f t="shared" si="109"/>
        <v>1</v>
      </c>
      <c r="I1039" s="11">
        <v>0</v>
      </c>
      <c r="K1039" s="11" t="b">
        <v>0</v>
      </c>
    </row>
    <row r="1040" spans="1:11">
      <c r="A1040" s="11" t="s">
        <v>2134</v>
      </c>
      <c r="B1040" s="351">
        <f>报表附注!E1443</f>
        <v>0</v>
      </c>
      <c r="C1040" s="321">
        <f t="shared" si="110"/>
        <v>0</v>
      </c>
      <c r="D1040" s="11" t="b">
        <f t="shared" si="111"/>
        <v>0</v>
      </c>
      <c r="E1040" s="311"/>
      <c r="H1040" s="11" t="b">
        <f t="shared" si="109"/>
        <v>0</v>
      </c>
      <c r="I1040" s="11" t="s">
        <v>908</v>
      </c>
      <c r="K1040" s="11" t="b">
        <v>1</v>
      </c>
    </row>
    <row r="1041" spans="1:11">
      <c r="A1041" s="11" t="s">
        <v>2135</v>
      </c>
      <c r="B1041" s="351">
        <f>报表附注!E1444</f>
        <v>0</v>
      </c>
      <c r="C1041" s="321">
        <f t="shared" si="110"/>
        <v>0</v>
      </c>
      <c r="D1041" s="11" t="b">
        <f t="shared" si="111"/>
        <v>0</v>
      </c>
      <c r="E1041" s="311"/>
      <c r="H1041" s="11" t="b">
        <f t="shared" si="109"/>
        <v>0</v>
      </c>
      <c r="I1041" s="11" t="s">
        <v>5707</v>
      </c>
      <c r="K1041" s="11" t="b">
        <v>0</v>
      </c>
    </row>
    <row r="1042" spans="1:11">
      <c r="A1042" s="11" t="s">
        <v>2136</v>
      </c>
      <c r="B1042" s="351">
        <f>报表附注!E1445</f>
        <v>0</v>
      </c>
      <c r="C1042" s="321">
        <f t="shared" si="110"/>
        <v>0</v>
      </c>
      <c r="D1042" s="11" t="b">
        <f t="shared" si="111"/>
        <v>0</v>
      </c>
      <c r="E1042" s="311"/>
      <c r="H1042" s="11" t="b">
        <f t="shared" si="109"/>
        <v>0</v>
      </c>
      <c r="I1042" s="11" t="s">
        <v>5708</v>
      </c>
      <c r="K1042" s="11" t="b">
        <v>0</v>
      </c>
    </row>
    <row r="1043" spans="1:11">
      <c r="A1043" s="11" t="s">
        <v>2137</v>
      </c>
      <c r="B1043" s="351">
        <f>报表附注!E1446</f>
        <v>0</v>
      </c>
      <c r="C1043" s="321">
        <f t="shared" si="110"/>
        <v>0</v>
      </c>
      <c r="D1043" s="11" t="b">
        <f t="shared" si="111"/>
        <v>0</v>
      </c>
      <c r="E1043" s="311"/>
      <c r="H1043" s="11" t="b">
        <f t="shared" si="109"/>
        <v>0</v>
      </c>
      <c r="I1043" s="11" t="s">
        <v>5709</v>
      </c>
      <c r="K1043" s="11" t="b">
        <v>0</v>
      </c>
    </row>
    <row r="1044" spans="1:11">
      <c r="A1044" s="11" t="s">
        <v>2138</v>
      </c>
      <c r="B1044" s="351">
        <f>报表附注!E1447</f>
        <v>0</v>
      </c>
      <c r="C1044" s="321">
        <f t="shared" si="110"/>
        <v>0</v>
      </c>
      <c r="D1044" s="11" t="b">
        <f t="shared" si="111"/>
        <v>0</v>
      </c>
      <c r="E1044" s="311"/>
      <c r="H1044" s="11" t="b">
        <f t="shared" si="109"/>
        <v>0</v>
      </c>
      <c r="I1044" s="11" t="s">
        <v>5710</v>
      </c>
      <c r="K1044" s="11" t="b">
        <v>0</v>
      </c>
    </row>
    <row r="1045" spans="1:11">
      <c r="A1045" s="11" t="s">
        <v>2139</v>
      </c>
      <c r="B1045" s="351">
        <f>报表附注!E1448</f>
        <v>0</v>
      </c>
      <c r="C1045" s="321">
        <f t="shared" si="110"/>
        <v>0</v>
      </c>
      <c r="D1045" s="11" t="b">
        <f t="shared" si="111"/>
        <v>0</v>
      </c>
      <c r="E1045" s="311"/>
      <c r="H1045" s="11" t="b">
        <f t="shared" si="109"/>
        <v>1</v>
      </c>
      <c r="I1045" s="11">
        <v>0</v>
      </c>
      <c r="K1045" s="11" t="b">
        <v>0</v>
      </c>
    </row>
    <row r="1046" spans="1:11">
      <c r="A1046" s="11" t="s">
        <v>2140</v>
      </c>
      <c r="B1046" s="351">
        <f>报表附注!E1449</f>
        <v>0</v>
      </c>
      <c r="C1046" s="321">
        <f t="shared" si="110"/>
        <v>0</v>
      </c>
      <c r="D1046" s="11" t="b">
        <f t="shared" si="111"/>
        <v>0</v>
      </c>
      <c r="E1046" s="311"/>
      <c r="H1046" s="11" t="b">
        <f t="shared" si="109"/>
        <v>1</v>
      </c>
      <c r="I1046" s="11">
        <v>0</v>
      </c>
      <c r="K1046" s="11" t="b">
        <v>0</v>
      </c>
    </row>
    <row r="1047" spans="1:11">
      <c r="A1047" s="11" t="s">
        <v>2141</v>
      </c>
      <c r="B1047" s="351">
        <f>报表附注!E1450</f>
        <v>0</v>
      </c>
      <c r="C1047" s="321">
        <f t="shared" si="110"/>
        <v>0</v>
      </c>
      <c r="D1047" s="11" t="b">
        <f t="shared" si="111"/>
        <v>0</v>
      </c>
      <c r="E1047" s="311"/>
      <c r="H1047" s="11" t="b">
        <f t="shared" si="109"/>
        <v>1</v>
      </c>
      <c r="I1047" s="11">
        <v>0</v>
      </c>
      <c r="K1047" s="11" t="b">
        <v>0</v>
      </c>
    </row>
    <row r="1048" spans="1:11">
      <c r="A1048" s="11" t="s">
        <v>908</v>
      </c>
      <c r="B1048" s="351" t="str">
        <f>报表附注!E1451</f>
        <v>三、无形资产减值准备累计金额合计</v>
      </c>
      <c r="C1048" s="321">
        <f t="shared" si="110"/>
        <v>0</v>
      </c>
      <c r="D1048" s="11" t="b">
        <f t="shared" si="111"/>
        <v>1</v>
      </c>
      <c r="E1048" s="311"/>
      <c r="H1048" s="11" t="b">
        <f t="shared" si="109"/>
        <v>0</v>
      </c>
      <c r="I1048" s="11">
        <v>0</v>
      </c>
      <c r="K1048" s="11" t="b">
        <v>0</v>
      </c>
    </row>
    <row r="1049" spans="1:11">
      <c r="A1049" s="11" t="s">
        <v>2128</v>
      </c>
      <c r="B1049" s="351" t="str">
        <f>报表附注!E1452</f>
        <v>1、土地使用权</v>
      </c>
      <c r="C1049" s="321">
        <f t="shared" si="110"/>
        <v>0</v>
      </c>
      <c r="D1049" s="11" t="b">
        <f t="shared" si="111"/>
        <v>0</v>
      </c>
      <c r="E1049" s="311"/>
      <c r="H1049" s="11" t="b">
        <f t="shared" si="109"/>
        <v>0</v>
      </c>
      <c r="I1049" s="11">
        <v>0</v>
      </c>
      <c r="K1049" s="11" t="b">
        <v>0</v>
      </c>
    </row>
    <row r="1050" spans="1:11">
      <c r="A1050" s="11" t="s">
        <v>2129</v>
      </c>
      <c r="B1050" s="351" t="str">
        <f>报表附注!E1453</f>
        <v>2、软件</v>
      </c>
      <c r="C1050" s="321">
        <f t="shared" si="110"/>
        <v>0</v>
      </c>
      <c r="D1050" s="11" t="b">
        <f t="shared" si="111"/>
        <v>0</v>
      </c>
      <c r="E1050" s="311"/>
      <c r="H1050" s="11" t="b">
        <f t="shared" si="109"/>
        <v>0</v>
      </c>
      <c r="I1050" s="11">
        <v>0</v>
      </c>
      <c r="K1050" s="11" t="b">
        <v>0</v>
      </c>
    </row>
    <row r="1051" spans="1:11">
      <c r="A1051" s="11" t="s">
        <v>2130</v>
      </c>
      <c r="B1051" s="351" t="str">
        <f>报表附注!E1454</f>
        <v>3、专利权</v>
      </c>
      <c r="C1051" s="321">
        <f t="shared" si="110"/>
        <v>0</v>
      </c>
      <c r="D1051" s="11" t="b">
        <f t="shared" si="111"/>
        <v>0</v>
      </c>
      <c r="E1051" s="311"/>
      <c r="H1051" s="11" t="b">
        <f t="shared" si="109"/>
        <v>0</v>
      </c>
      <c r="I1051" s="11">
        <v>0</v>
      </c>
      <c r="K1051" s="11" t="b">
        <v>0</v>
      </c>
    </row>
    <row r="1052" spans="1:11">
      <c r="A1052" s="11" t="s">
        <v>2131</v>
      </c>
      <c r="B1052" s="351" t="str">
        <f>报表附注!E1455</f>
        <v>4、其它</v>
      </c>
      <c r="C1052" s="321">
        <f t="shared" si="110"/>
        <v>0</v>
      </c>
      <c r="D1052" s="11" t="b">
        <f t="shared" si="111"/>
        <v>0</v>
      </c>
      <c r="E1052" s="311"/>
      <c r="H1052" s="11" t="b">
        <f t="shared" si="109"/>
        <v>0</v>
      </c>
      <c r="I1052" s="11">
        <v>0</v>
      </c>
      <c r="K1052" s="11" t="b">
        <v>0</v>
      </c>
    </row>
    <row r="1053" spans="1:11">
      <c r="A1053" s="11" t="s">
        <v>2132</v>
      </c>
      <c r="B1053" s="351">
        <f>报表附注!E1456</f>
        <v>0</v>
      </c>
      <c r="C1053" s="321">
        <f t="shared" si="110"/>
        <v>0</v>
      </c>
      <c r="D1053" s="11" t="b">
        <f t="shared" si="111"/>
        <v>0</v>
      </c>
      <c r="E1053" s="311"/>
      <c r="H1053" s="11" t="b">
        <f t="shared" si="109"/>
        <v>1</v>
      </c>
      <c r="I1053" s="11">
        <v>0</v>
      </c>
      <c r="K1053" s="11" t="b">
        <v>0</v>
      </c>
    </row>
    <row r="1054" spans="1:11">
      <c r="A1054" s="11" t="s">
        <v>2133</v>
      </c>
      <c r="B1054" s="351">
        <f>报表附注!E1457</f>
        <v>0</v>
      </c>
      <c r="C1054" s="321">
        <f t="shared" si="110"/>
        <v>0</v>
      </c>
      <c r="D1054" s="11" t="b">
        <f t="shared" si="111"/>
        <v>0</v>
      </c>
      <c r="E1054" s="311"/>
      <c r="H1054" s="11" t="b">
        <f t="shared" si="109"/>
        <v>1</v>
      </c>
      <c r="I1054" s="11">
        <v>0</v>
      </c>
      <c r="K1054" s="11" t="b">
        <v>0</v>
      </c>
    </row>
    <row r="1055" spans="1:11">
      <c r="A1055" s="11" t="s">
        <v>2134</v>
      </c>
      <c r="B1055" s="351">
        <f>报表附注!E1458</f>
        <v>0</v>
      </c>
      <c r="C1055" s="321">
        <f t="shared" si="110"/>
        <v>0</v>
      </c>
      <c r="D1055" s="11" t="b">
        <f t="shared" si="111"/>
        <v>0</v>
      </c>
      <c r="E1055" s="311"/>
      <c r="H1055" s="11" t="b">
        <f t="shared" si="109"/>
        <v>0</v>
      </c>
      <c r="I1055" s="11" t="s">
        <v>673</v>
      </c>
      <c r="K1055" s="11" t="b">
        <v>1</v>
      </c>
    </row>
    <row r="1056" spans="1:11">
      <c r="A1056" s="11" t="s">
        <v>2135</v>
      </c>
      <c r="B1056" s="351">
        <f>报表附注!E1459</f>
        <v>0</v>
      </c>
      <c r="C1056" s="321">
        <f t="shared" si="110"/>
        <v>0</v>
      </c>
      <c r="D1056" s="11" t="b">
        <f t="shared" si="111"/>
        <v>0</v>
      </c>
      <c r="E1056" s="311"/>
      <c r="H1056" s="11" t="b">
        <f t="shared" si="109"/>
        <v>0</v>
      </c>
      <c r="I1056" s="11" t="s">
        <v>715</v>
      </c>
      <c r="K1056" s="11" t="b">
        <v>1</v>
      </c>
    </row>
    <row r="1057" spans="1:11">
      <c r="A1057" s="11" t="s">
        <v>2136</v>
      </c>
      <c r="B1057" s="351">
        <f>报表附注!E1460</f>
        <v>0</v>
      </c>
      <c r="C1057" s="321">
        <f t="shared" si="110"/>
        <v>0</v>
      </c>
      <c r="D1057" s="11" t="b">
        <f t="shared" si="111"/>
        <v>0</v>
      </c>
      <c r="E1057" s="311"/>
      <c r="H1057" s="11" t="b">
        <f t="shared" si="109"/>
        <v>0</v>
      </c>
      <c r="I1057" s="11" t="s">
        <v>5707</v>
      </c>
      <c r="K1057" s="11" t="b">
        <v>0</v>
      </c>
    </row>
    <row r="1058" spans="1:11">
      <c r="A1058" s="11" t="s">
        <v>2137</v>
      </c>
      <c r="B1058" s="351">
        <f>报表附注!E1461</f>
        <v>0</v>
      </c>
      <c r="C1058" s="321">
        <f t="shared" si="110"/>
        <v>0</v>
      </c>
      <c r="D1058" s="11" t="b">
        <f t="shared" si="111"/>
        <v>0</v>
      </c>
      <c r="E1058" s="311"/>
      <c r="H1058" s="11" t="b">
        <f t="shared" si="109"/>
        <v>0</v>
      </c>
      <c r="I1058" s="11" t="s">
        <v>5708</v>
      </c>
      <c r="K1058" s="11" t="b">
        <v>0</v>
      </c>
    </row>
    <row r="1059" spans="1:11">
      <c r="A1059" s="11" t="s">
        <v>2138</v>
      </c>
      <c r="B1059" s="351">
        <f>报表附注!E1462</f>
        <v>0</v>
      </c>
      <c r="C1059" s="321">
        <f t="shared" si="110"/>
        <v>0</v>
      </c>
      <c r="D1059" s="11" t="b">
        <f t="shared" si="111"/>
        <v>0</v>
      </c>
      <c r="E1059" s="311"/>
      <c r="H1059" s="11" t="b">
        <f t="shared" si="109"/>
        <v>0</v>
      </c>
      <c r="I1059" s="11" t="s">
        <v>5709</v>
      </c>
      <c r="K1059" s="11" t="b">
        <v>0</v>
      </c>
    </row>
    <row r="1060" spans="1:11">
      <c r="A1060" s="11" t="s">
        <v>2139</v>
      </c>
      <c r="B1060" s="351">
        <f>报表附注!E1463</f>
        <v>0</v>
      </c>
      <c r="C1060" s="321">
        <f t="shared" si="110"/>
        <v>0</v>
      </c>
      <c r="D1060" s="11" t="b">
        <f t="shared" si="111"/>
        <v>0</v>
      </c>
      <c r="E1060" s="311"/>
      <c r="H1060" s="11" t="b">
        <f t="shared" si="109"/>
        <v>0</v>
      </c>
      <c r="I1060" s="11" t="s">
        <v>5710</v>
      </c>
      <c r="K1060" s="11" t="b">
        <v>0</v>
      </c>
    </row>
    <row r="1061" spans="1:11">
      <c r="A1061" s="11" t="s">
        <v>2140</v>
      </c>
      <c r="B1061" s="351">
        <f>报表附注!E1464</f>
        <v>0</v>
      </c>
      <c r="C1061" s="321">
        <f t="shared" si="110"/>
        <v>0</v>
      </c>
      <c r="D1061" s="11" t="b">
        <f t="shared" si="111"/>
        <v>0</v>
      </c>
      <c r="E1061" s="311"/>
      <c r="H1061" s="11" t="b">
        <f t="shared" si="109"/>
        <v>1</v>
      </c>
      <c r="I1061" s="11">
        <v>0</v>
      </c>
      <c r="K1061" s="11" t="b">
        <v>0</v>
      </c>
    </row>
    <row r="1062" spans="1:11">
      <c r="A1062" s="11" t="s">
        <v>2141</v>
      </c>
      <c r="B1062" s="351">
        <f>报表附注!E1465</f>
        <v>0</v>
      </c>
      <c r="C1062" s="321">
        <f t="shared" si="110"/>
        <v>0</v>
      </c>
      <c r="D1062" s="11" t="b">
        <f t="shared" si="111"/>
        <v>0</v>
      </c>
      <c r="E1062" s="311"/>
      <c r="H1062" s="11" t="b">
        <f t="shared" si="109"/>
        <v>1</v>
      </c>
      <c r="I1062" s="11">
        <v>0</v>
      </c>
      <c r="K1062" s="11" t="b">
        <v>0</v>
      </c>
    </row>
    <row r="1063" spans="1:11">
      <c r="A1063" s="11" t="s">
        <v>673</v>
      </c>
      <c r="B1063" s="356" t="s">
        <v>673</v>
      </c>
      <c r="C1063" s="328">
        <f t="shared" si="110"/>
        <v>0</v>
      </c>
      <c r="D1063" s="11" t="b">
        <f t="shared" si="111"/>
        <v>1</v>
      </c>
      <c r="E1063" s="326"/>
      <c r="H1063" s="11" t="b">
        <f t="shared" si="109"/>
        <v>0</v>
      </c>
      <c r="I1063" s="11">
        <v>0</v>
      </c>
      <c r="K1063" s="11" t="b">
        <v>0</v>
      </c>
    </row>
    <row r="1064" spans="1:11">
      <c r="A1064" s="11" t="s">
        <v>715</v>
      </c>
      <c r="B1064" s="351" t="str">
        <f>报表附注!E1421</f>
        <v>一、原价合计</v>
      </c>
      <c r="C1064" s="321">
        <f t="shared" si="110"/>
        <v>0</v>
      </c>
      <c r="D1064" s="11" t="b">
        <f t="shared" si="111"/>
        <v>1</v>
      </c>
      <c r="E1064" s="311"/>
      <c r="H1064" s="11" t="b">
        <f t="shared" si="109"/>
        <v>0</v>
      </c>
      <c r="I1064" s="11">
        <v>0</v>
      </c>
      <c r="K1064" s="11" t="b">
        <v>0</v>
      </c>
    </row>
    <row r="1065" spans="1:11">
      <c r="A1065" s="11" t="s">
        <v>2128</v>
      </c>
      <c r="B1065" s="351" t="str">
        <f>报表附注!E1422</f>
        <v>1、土地使用权</v>
      </c>
      <c r="C1065" s="321">
        <f t="shared" si="110"/>
        <v>0</v>
      </c>
      <c r="D1065" s="11" t="b">
        <f t="shared" si="111"/>
        <v>0</v>
      </c>
      <c r="E1065" s="311"/>
      <c r="H1065" s="11" t="b">
        <f t="shared" si="109"/>
        <v>0</v>
      </c>
      <c r="I1065" s="11">
        <v>0</v>
      </c>
      <c r="K1065" s="11" t="b">
        <v>0</v>
      </c>
    </row>
    <row r="1066" spans="1:11">
      <c r="A1066" s="11" t="s">
        <v>2129</v>
      </c>
      <c r="B1066" s="351" t="str">
        <f>报表附注!E1423</f>
        <v>2、软件</v>
      </c>
      <c r="C1066" s="321">
        <f t="shared" si="110"/>
        <v>0</v>
      </c>
      <c r="D1066" s="11" t="b">
        <f t="shared" si="111"/>
        <v>0</v>
      </c>
      <c r="E1066" s="311"/>
      <c r="H1066" s="11" t="b">
        <f t="shared" si="109"/>
        <v>0</v>
      </c>
      <c r="I1066" s="11">
        <v>0</v>
      </c>
      <c r="K1066" s="11" t="b">
        <v>0</v>
      </c>
    </row>
    <row r="1067" spans="1:11">
      <c r="A1067" s="11" t="s">
        <v>2130</v>
      </c>
      <c r="B1067" s="351" t="str">
        <f>报表附注!E1424</f>
        <v>3、专利权</v>
      </c>
      <c r="C1067" s="321">
        <f t="shared" si="110"/>
        <v>0</v>
      </c>
      <c r="D1067" s="11" t="b">
        <f t="shared" si="111"/>
        <v>0</v>
      </c>
      <c r="E1067" s="311"/>
      <c r="H1067" s="11" t="b">
        <f t="shared" si="109"/>
        <v>0</v>
      </c>
      <c r="I1067" s="11">
        <v>0</v>
      </c>
      <c r="K1067" s="11" t="b">
        <v>0</v>
      </c>
    </row>
    <row r="1068" spans="1:11">
      <c r="A1068" s="11" t="s">
        <v>2131</v>
      </c>
      <c r="B1068" s="351" t="str">
        <f>报表附注!E1425</f>
        <v>4、其它</v>
      </c>
      <c r="C1068" s="321">
        <f t="shared" ref="C1068:C1099" si="112">J1060</f>
        <v>0</v>
      </c>
      <c r="D1068" s="11" t="b">
        <f t="shared" si="111"/>
        <v>0</v>
      </c>
      <c r="E1068" s="311"/>
      <c r="H1068" s="11" t="b">
        <f t="shared" si="109"/>
        <v>0</v>
      </c>
      <c r="I1068" s="11">
        <v>0</v>
      </c>
      <c r="K1068" s="11" t="b">
        <v>0</v>
      </c>
    </row>
    <row r="1069" spans="1:11">
      <c r="A1069" s="11" t="s">
        <v>2132</v>
      </c>
      <c r="B1069" s="351">
        <f>报表附注!E1426</f>
        <v>0</v>
      </c>
      <c r="C1069" s="321">
        <f t="shared" si="112"/>
        <v>0</v>
      </c>
      <c r="D1069" s="11" t="b">
        <f t="shared" si="111"/>
        <v>0</v>
      </c>
      <c r="E1069" s="311"/>
      <c r="H1069" s="11" t="b">
        <f t="shared" si="109"/>
        <v>1</v>
      </c>
      <c r="I1069" s="11">
        <v>0</v>
      </c>
      <c r="K1069" s="11" t="b">
        <v>0</v>
      </c>
    </row>
    <row r="1070" spans="1:11">
      <c r="A1070" s="11" t="s">
        <v>2133</v>
      </c>
      <c r="B1070" s="351">
        <f>报表附注!E1427</f>
        <v>0</v>
      </c>
      <c r="C1070" s="321">
        <f t="shared" si="112"/>
        <v>0</v>
      </c>
      <c r="D1070" s="11" t="b">
        <f t="shared" si="111"/>
        <v>0</v>
      </c>
      <c r="E1070" s="311"/>
      <c r="H1070" s="11" t="b">
        <f t="shared" si="109"/>
        <v>1</v>
      </c>
      <c r="I1070" s="11">
        <v>0</v>
      </c>
      <c r="K1070" s="11" t="b">
        <v>0</v>
      </c>
    </row>
    <row r="1071" spans="1:11">
      <c r="A1071" s="11" t="s">
        <v>2134</v>
      </c>
      <c r="B1071" s="351">
        <f>报表附注!E1428</f>
        <v>0</v>
      </c>
      <c r="C1071" s="321">
        <f t="shared" si="112"/>
        <v>0</v>
      </c>
      <c r="D1071" s="11" t="b">
        <f t="shared" si="111"/>
        <v>0</v>
      </c>
      <c r="E1071" s="311"/>
      <c r="H1071" s="11" t="b">
        <f t="shared" si="109"/>
        <v>0</v>
      </c>
      <c r="I1071" s="11" t="s">
        <v>905</v>
      </c>
      <c r="K1071" s="11" t="b">
        <v>1</v>
      </c>
    </row>
    <row r="1072" spans="1:11">
      <c r="A1072" s="11" t="s">
        <v>2135</v>
      </c>
      <c r="B1072" s="351">
        <f>报表附注!E1429</f>
        <v>0</v>
      </c>
      <c r="C1072" s="321">
        <f t="shared" si="112"/>
        <v>0</v>
      </c>
      <c r="D1072" s="11" t="b">
        <f t="shared" si="111"/>
        <v>0</v>
      </c>
      <c r="E1072" s="311"/>
      <c r="H1072" s="11" t="b">
        <f t="shared" si="109"/>
        <v>0</v>
      </c>
      <c r="I1072" s="11" t="s">
        <v>5707</v>
      </c>
      <c r="K1072" s="11" t="b">
        <v>0</v>
      </c>
    </row>
    <row r="1073" spans="1:11">
      <c r="A1073" s="11" t="s">
        <v>2136</v>
      </c>
      <c r="B1073" s="351">
        <f>报表附注!E1430</f>
        <v>0</v>
      </c>
      <c r="C1073" s="321">
        <f t="shared" si="112"/>
        <v>0</v>
      </c>
      <c r="D1073" s="11" t="b">
        <f t="shared" si="111"/>
        <v>0</v>
      </c>
      <c r="E1073" s="311"/>
      <c r="H1073" s="11" t="b">
        <f t="shared" si="109"/>
        <v>0</v>
      </c>
      <c r="I1073" s="11" t="s">
        <v>5708</v>
      </c>
      <c r="K1073" s="11" t="b">
        <v>0</v>
      </c>
    </row>
    <row r="1074" spans="1:11">
      <c r="A1074" s="11" t="s">
        <v>2137</v>
      </c>
      <c r="B1074" s="351">
        <f>报表附注!E1431</f>
        <v>0</v>
      </c>
      <c r="C1074" s="321">
        <f t="shared" si="112"/>
        <v>0</v>
      </c>
      <c r="D1074" s="11" t="b">
        <f t="shared" si="111"/>
        <v>0</v>
      </c>
      <c r="E1074" s="311"/>
      <c r="H1074" s="11" t="b">
        <f t="shared" si="109"/>
        <v>0</v>
      </c>
      <c r="I1074" s="11" t="s">
        <v>5709</v>
      </c>
      <c r="K1074" s="11" t="b">
        <v>0</v>
      </c>
    </row>
    <row r="1075" spans="1:11">
      <c r="A1075" s="11" t="s">
        <v>2138</v>
      </c>
      <c r="B1075" s="351">
        <f>报表附注!E1432</f>
        <v>0</v>
      </c>
      <c r="C1075" s="321">
        <f t="shared" si="112"/>
        <v>0</v>
      </c>
      <c r="D1075" s="11" t="b">
        <f t="shared" si="111"/>
        <v>0</v>
      </c>
      <c r="E1075" s="311"/>
      <c r="H1075" s="11" t="b">
        <f t="shared" si="109"/>
        <v>0</v>
      </c>
      <c r="I1075" s="11" t="s">
        <v>5710</v>
      </c>
      <c r="K1075" s="11" t="b">
        <v>0</v>
      </c>
    </row>
    <row r="1076" spans="1:11">
      <c r="A1076" s="11" t="s">
        <v>2139</v>
      </c>
      <c r="B1076" s="351">
        <f>报表附注!E1433</f>
        <v>0</v>
      </c>
      <c r="C1076" s="321">
        <f t="shared" si="112"/>
        <v>0</v>
      </c>
      <c r="D1076" s="11" t="b">
        <f t="shared" si="111"/>
        <v>0</v>
      </c>
      <c r="E1076" s="311"/>
      <c r="H1076" s="11" t="b">
        <f t="shared" si="109"/>
        <v>1</v>
      </c>
      <c r="I1076" s="11">
        <v>0</v>
      </c>
      <c r="K1076" s="11" t="b">
        <v>0</v>
      </c>
    </row>
    <row r="1077" spans="1:11">
      <c r="A1077" s="11" t="s">
        <v>2140</v>
      </c>
      <c r="B1077" s="351">
        <f>报表附注!E1434</f>
        <v>0</v>
      </c>
      <c r="C1077" s="321">
        <f t="shared" si="112"/>
        <v>0</v>
      </c>
      <c r="D1077" s="11" t="b">
        <f t="shared" si="111"/>
        <v>0</v>
      </c>
      <c r="E1077" s="311"/>
      <c r="H1077" s="11" t="b">
        <f t="shared" si="109"/>
        <v>1</v>
      </c>
      <c r="I1077" s="11">
        <v>0</v>
      </c>
      <c r="K1077" s="11" t="b">
        <v>0</v>
      </c>
    </row>
    <row r="1078" spans="1:11">
      <c r="A1078" s="11" t="s">
        <v>2141</v>
      </c>
      <c r="B1078" s="351">
        <f>报表附注!E1435</f>
        <v>0</v>
      </c>
      <c r="C1078" s="321">
        <f t="shared" si="112"/>
        <v>0</v>
      </c>
      <c r="D1078" s="11" t="b">
        <f t="shared" si="111"/>
        <v>0</v>
      </c>
      <c r="E1078" s="311"/>
      <c r="H1078" s="11" t="b">
        <f t="shared" si="109"/>
        <v>1</v>
      </c>
      <c r="I1078" s="11">
        <v>0</v>
      </c>
      <c r="K1078" s="11" t="b">
        <v>0</v>
      </c>
    </row>
    <row r="1079" spans="1:11">
      <c r="A1079" s="11" t="s">
        <v>905</v>
      </c>
      <c r="B1079" s="351" t="str">
        <f>报表附注!E1436</f>
        <v>二、累计摊销额合计</v>
      </c>
      <c r="C1079" s="321">
        <f t="shared" si="112"/>
        <v>0</v>
      </c>
      <c r="D1079" s="11" t="b">
        <f t="shared" si="111"/>
        <v>1</v>
      </c>
      <c r="E1079" s="311"/>
      <c r="H1079" s="11" t="b">
        <f t="shared" si="109"/>
        <v>0</v>
      </c>
      <c r="I1079" s="11">
        <v>0</v>
      </c>
      <c r="K1079" s="11" t="b">
        <v>0</v>
      </c>
    </row>
    <row r="1080" spans="1:11">
      <c r="A1080" s="11" t="s">
        <v>2128</v>
      </c>
      <c r="B1080" s="351" t="str">
        <f>报表附注!E1437</f>
        <v>1、土地使用权</v>
      </c>
      <c r="C1080" s="321">
        <f t="shared" si="112"/>
        <v>0</v>
      </c>
      <c r="D1080" s="11" t="b">
        <f t="shared" si="111"/>
        <v>0</v>
      </c>
      <c r="E1080" s="311"/>
      <c r="H1080" s="11" t="b">
        <f t="shared" si="109"/>
        <v>0</v>
      </c>
      <c r="I1080" s="11">
        <v>0</v>
      </c>
      <c r="K1080" s="11" t="b">
        <v>0</v>
      </c>
    </row>
    <row r="1081" spans="1:11">
      <c r="A1081" s="11" t="s">
        <v>2129</v>
      </c>
      <c r="B1081" s="351" t="str">
        <f>报表附注!E1438</f>
        <v>2、软件</v>
      </c>
      <c r="C1081" s="321">
        <f t="shared" si="112"/>
        <v>0</v>
      </c>
      <c r="D1081" s="11" t="b">
        <f t="shared" si="111"/>
        <v>0</v>
      </c>
      <c r="E1081" s="311"/>
      <c r="H1081" s="11" t="b">
        <f t="shared" si="109"/>
        <v>0</v>
      </c>
      <c r="I1081" s="11">
        <v>0</v>
      </c>
      <c r="K1081" s="11" t="b">
        <v>0</v>
      </c>
    </row>
    <row r="1082" spans="1:11">
      <c r="A1082" s="11" t="s">
        <v>2130</v>
      </c>
      <c r="B1082" s="351" t="str">
        <f>报表附注!E1439</f>
        <v>3、专利权</v>
      </c>
      <c r="C1082" s="321">
        <f t="shared" si="112"/>
        <v>0</v>
      </c>
      <c r="D1082" s="11" t="b">
        <f t="shared" si="111"/>
        <v>0</v>
      </c>
      <c r="E1082" s="311"/>
      <c r="H1082" s="11" t="b">
        <f t="shared" si="109"/>
        <v>0</v>
      </c>
      <c r="I1082" s="11">
        <v>0</v>
      </c>
      <c r="K1082" s="11" t="b">
        <v>0</v>
      </c>
    </row>
    <row r="1083" spans="1:11">
      <c r="A1083" s="11" t="s">
        <v>2131</v>
      </c>
      <c r="B1083" s="351" t="str">
        <f>报表附注!E1440</f>
        <v>4、其它</v>
      </c>
      <c r="C1083" s="321">
        <f t="shared" si="112"/>
        <v>0</v>
      </c>
      <c r="D1083" s="11" t="b">
        <f t="shared" si="111"/>
        <v>0</v>
      </c>
      <c r="E1083" s="311"/>
      <c r="H1083" s="11" t="b">
        <f t="shared" si="109"/>
        <v>0</v>
      </c>
      <c r="I1083" s="11">
        <v>0</v>
      </c>
      <c r="K1083" s="11" t="b">
        <v>0</v>
      </c>
    </row>
    <row r="1084" spans="1:11">
      <c r="A1084" s="11" t="s">
        <v>2132</v>
      </c>
      <c r="B1084" s="351">
        <f>报表附注!E1441</f>
        <v>0</v>
      </c>
      <c r="C1084" s="321">
        <f t="shared" si="112"/>
        <v>0</v>
      </c>
      <c r="D1084" s="11" t="b">
        <f t="shared" si="111"/>
        <v>0</v>
      </c>
      <c r="E1084" s="311"/>
      <c r="H1084" s="11" t="b">
        <f t="shared" si="109"/>
        <v>1</v>
      </c>
      <c r="I1084" s="11">
        <v>0</v>
      </c>
      <c r="K1084" s="11" t="b">
        <v>0</v>
      </c>
    </row>
    <row r="1085" spans="1:11">
      <c r="A1085" s="11" t="s">
        <v>2133</v>
      </c>
      <c r="B1085" s="351">
        <f>报表附注!E1442</f>
        <v>0</v>
      </c>
      <c r="C1085" s="321">
        <f t="shared" si="112"/>
        <v>0</v>
      </c>
      <c r="D1085" s="11" t="b">
        <f t="shared" si="111"/>
        <v>0</v>
      </c>
      <c r="E1085" s="311"/>
      <c r="H1085" s="11" t="b">
        <f t="shared" si="109"/>
        <v>1</v>
      </c>
      <c r="I1085" s="11">
        <v>0</v>
      </c>
      <c r="K1085" s="11" t="b">
        <v>0</v>
      </c>
    </row>
    <row r="1086" spans="1:11">
      <c r="A1086" s="11" t="s">
        <v>2134</v>
      </c>
      <c r="B1086" s="351">
        <f>报表附注!E1443</f>
        <v>0</v>
      </c>
      <c r="C1086" s="321">
        <f t="shared" si="112"/>
        <v>0</v>
      </c>
      <c r="D1086" s="11" t="b">
        <f t="shared" si="111"/>
        <v>0</v>
      </c>
      <c r="E1086" s="311"/>
      <c r="H1086" s="11" t="b">
        <f t="shared" si="109"/>
        <v>0</v>
      </c>
      <c r="I1086" s="11" t="s">
        <v>908</v>
      </c>
      <c r="K1086" s="11" t="b">
        <v>1</v>
      </c>
    </row>
    <row r="1087" spans="1:11">
      <c r="A1087" s="11" t="s">
        <v>2135</v>
      </c>
      <c r="B1087" s="351">
        <f>报表附注!E1444</f>
        <v>0</v>
      </c>
      <c r="C1087" s="321">
        <f t="shared" si="112"/>
        <v>0</v>
      </c>
      <c r="D1087" s="11" t="b">
        <f t="shared" si="111"/>
        <v>0</v>
      </c>
      <c r="E1087" s="311"/>
      <c r="H1087" s="11" t="b">
        <f t="shared" si="109"/>
        <v>0</v>
      </c>
      <c r="I1087" s="11" t="s">
        <v>5707</v>
      </c>
      <c r="K1087" s="11" t="b">
        <v>0</v>
      </c>
    </row>
    <row r="1088" spans="1:11">
      <c r="A1088" s="11" t="s">
        <v>2136</v>
      </c>
      <c r="B1088" s="351">
        <f>报表附注!E1445</f>
        <v>0</v>
      </c>
      <c r="C1088" s="321">
        <f t="shared" si="112"/>
        <v>0</v>
      </c>
      <c r="D1088" s="11" t="b">
        <f t="shared" si="111"/>
        <v>0</v>
      </c>
      <c r="E1088" s="311"/>
      <c r="H1088" s="11" t="b">
        <f t="shared" si="109"/>
        <v>0</v>
      </c>
      <c r="I1088" s="11" t="s">
        <v>5708</v>
      </c>
      <c r="K1088" s="11" t="b">
        <v>0</v>
      </c>
    </row>
    <row r="1089" spans="1:11">
      <c r="A1089" s="11" t="s">
        <v>2137</v>
      </c>
      <c r="B1089" s="351">
        <f>报表附注!E1446</f>
        <v>0</v>
      </c>
      <c r="C1089" s="321">
        <f t="shared" si="112"/>
        <v>0</v>
      </c>
      <c r="D1089" s="11" t="b">
        <f t="shared" si="111"/>
        <v>0</v>
      </c>
      <c r="E1089" s="311"/>
      <c r="H1089" s="11" t="b">
        <f t="shared" si="109"/>
        <v>0</v>
      </c>
      <c r="I1089" s="11" t="s">
        <v>5709</v>
      </c>
      <c r="K1089" s="11" t="b">
        <v>0</v>
      </c>
    </row>
    <row r="1090" spans="1:11">
      <c r="A1090" s="11" t="s">
        <v>2138</v>
      </c>
      <c r="B1090" s="351">
        <f>报表附注!E1447</f>
        <v>0</v>
      </c>
      <c r="C1090" s="321">
        <f t="shared" si="112"/>
        <v>0</v>
      </c>
      <c r="D1090" s="11" t="b">
        <f t="shared" si="111"/>
        <v>0</v>
      </c>
      <c r="E1090" s="311"/>
      <c r="H1090" s="11" t="b">
        <f t="shared" si="109"/>
        <v>0</v>
      </c>
      <c r="I1090" s="11" t="s">
        <v>5710</v>
      </c>
      <c r="K1090" s="11" t="b">
        <v>0</v>
      </c>
    </row>
    <row r="1091" spans="1:11">
      <c r="A1091" s="11" t="s">
        <v>2139</v>
      </c>
      <c r="B1091" s="351">
        <f>报表附注!E1448</f>
        <v>0</v>
      </c>
      <c r="C1091" s="321">
        <f t="shared" si="112"/>
        <v>0</v>
      </c>
      <c r="D1091" s="11" t="b">
        <f t="shared" si="111"/>
        <v>0</v>
      </c>
      <c r="E1091" s="311"/>
      <c r="H1091" s="11" t="b">
        <f t="shared" si="109"/>
        <v>1</v>
      </c>
      <c r="I1091" s="11">
        <v>0</v>
      </c>
      <c r="K1091" s="11" t="b">
        <v>0</v>
      </c>
    </row>
    <row r="1092" spans="1:11">
      <c r="A1092" s="11" t="s">
        <v>2140</v>
      </c>
      <c r="B1092" s="351">
        <f>报表附注!E1449</f>
        <v>0</v>
      </c>
      <c r="C1092" s="321">
        <f t="shared" si="112"/>
        <v>0</v>
      </c>
      <c r="D1092" s="11" t="b">
        <f t="shared" si="111"/>
        <v>0</v>
      </c>
      <c r="E1092" s="311"/>
      <c r="H1092" s="11" t="b">
        <f t="shared" ref="H1092:H1155" si="113">I1092=B1092</f>
        <v>1</v>
      </c>
      <c r="I1092" s="11">
        <v>0</v>
      </c>
      <c r="K1092" s="11" t="b">
        <v>0</v>
      </c>
    </row>
    <row r="1093" spans="1:11">
      <c r="A1093" s="11" t="s">
        <v>2141</v>
      </c>
      <c r="B1093" s="351">
        <f>报表附注!E1450</f>
        <v>0</v>
      </c>
      <c r="C1093" s="321">
        <f t="shared" si="112"/>
        <v>0</v>
      </c>
      <c r="D1093" s="11" t="b">
        <f t="shared" si="111"/>
        <v>0</v>
      </c>
      <c r="E1093" s="311"/>
      <c r="H1093" s="11" t="b">
        <f t="shared" si="113"/>
        <v>1</v>
      </c>
      <c r="I1093" s="11">
        <v>0</v>
      </c>
      <c r="K1093" s="11" t="b">
        <v>0</v>
      </c>
    </row>
    <row r="1094" spans="1:11">
      <c r="A1094" s="11" t="s">
        <v>908</v>
      </c>
      <c r="B1094" s="351" t="str">
        <f>报表附注!E1451</f>
        <v>三、无形资产减值准备累计金额合计</v>
      </c>
      <c r="C1094" s="321">
        <f t="shared" si="112"/>
        <v>0</v>
      </c>
      <c r="D1094" s="11" t="b">
        <f t="shared" si="111"/>
        <v>1</v>
      </c>
      <c r="E1094" s="311"/>
      <c r="H1094" s="11" t="b">
        <f t="shared" si="113"/>
        <v>0</v>
      </c>
      <c r="I1094" s="11">
        <v>0</v>
      </c>
      <c r="K1094" s="11" t="b">
        <v>0</v>
      </c>
    </row>
    <row r="1095" spans="1:11">
      <c r="A1095" s="11" t="s">
        <v>2128</v>
      </c>
      <c r="B1095" s="351" t="str">
        <f>报表附注!E1452</f>
        <v>1、土地使用权</v>
      </c>
      <c r="C1095" s="321">
        <f t="shared" si="112"/>
        <v>0</v>
      </c>
      <c r="D1095" s="11" t="b">
        <f t="shared" si="111"/>
        <v>0</v>
      </c>
      <c r="E1095" s="311"/>
      <c r="H1095" s="11" t="b">
        <f t="shared" si="113"/>
        <v>0</v>
      </c>
      <c r="I1095" s="11">
        <v>0</v>
      </c>
      <c r="K1095" s="11" t="b">
        <v>0</v>
      </c>
    </row>
    <row r="1096" spans="1:11">
      <c r="A1096" s="11" t="s">
        <v>2129</v>
      </c>
      <c r="B1096" s="351" t="str">
        <f>报表附注!E1453</f>
        <v>2、软件</v>
      </c>
      <c r="C1096" s="321">
        <f t="shared" si="112"/>
        <v>0</v>
      </c>
      <c r="D1096" s="11" t="b">
        <f t="shared" si="111"/>
        <v>0</v>
      </c>
      <c r="E1096" s="311"/>
      <c r="H1096" s="11" t="b">
        <f t="shared" si="113"/>
        <v>0</v>
      </c>
      <c r="I1096" s="11">
        <v>0</v>
      </c>
      <c r="K1096" s="11" t="b">
        <v>0</v>
      </c>
    </row>
    <row r="1097" spans="1:11">
      <c r="A1097" s="11" t="s">
        <v>2130</v>
      </c>
      <c r="B1097" s="351" t="str">
        <f>报表附注!E1454</f>
        <v>3、专利权</v>
      </c>
      <c r="C1097" s="321">
        <f t="shared" si="112"/>
        <v>0</v>
      </c>
      <c r="D1097" s="11" t="b">
        <f t="shared" si="111"/>
        <v>0</v>
      </c>
      <c r="E1097" s="311"/>
      <c r="H1097" s="11" t="b">
        <f t="shared" si="113"/>
        <v>0</v>
      </c>
      <c r="I1097" s="11">
        <v>0</v>
      </c>
      <c r="K1097" s="11" t="b">
        <v>0</v>
      </c>
    </row>
    <row r="1098" spans="1:11">
      <c r="A1098" s="11" t="s">
        <v>2131</v>
      </c>
      <c r="B1098" s="351" t="str">
        <f>报表附注!E1455</f>
        <v>4、其它</v>
      </c>
      <c r="C1098" s="321">
        <f t="shared" si="112"/>
        <v>0</v>
      </c>
      <c r="D1098" s="11" t="b">
        <f t="shared" si="111"/>
        <v>0</v>
      </c>
      <c r="E1098" s="311"/>
      <c r="H1098" s="11" t="b">
        <f t="shared" si="113"/>
        <v>0</v>
      </c>
      <c r="I1098" s="11">
        <v>0</v>
      </c>
      <c r="K1098" s="11" t="b">
        <v>0</v>
      </c>
    </row>
    <row r="1099" spans="1:11">
      <c r="A1099" s="11" t="s">
        <v>2132</v>
      </c>
      <c r="B1099" s="351">
        <f>报表附注!E1456</f>
        <v>0</v>
      </c>
      <c r="C1099" s="321">
        <f t="shared" si="112"/>
        <v>0</v>
      </c>
      <c r="D1099" s="11" t="b">
        <f t="shared" si="111"/>
        <v>0</v>
      </c>
      <c r="E1099" s="311"/>
      <c r="H1099" s="11" t="b">
        <f t="shared" si="113"/>
        <v>1</v>
      </c>
      <c r="I1099" s="11">
        <v>0</v>
      </c>
      <c r="K1099" s="11" t="b">
        <v>0</v>
      </c>
    </row>
    <row r="1100" spans="1:11">
      <c r="A1100" s="11" t="s">
        <v>2133</v>
      </c>
      <c r="B1100" s="351">
        <f>报表附注!E1457</f>
        <v>0</v>
      </c>
      <c r="C1100" s="321">
        <f t="shared" ref="C1100:C1131" si="114">J1092</f>
        <v>0</v>
      </c>
      <c r="D1100" s="11" t="b">
        <f t="shared" ref="D1100:D1163" si="115">EXACT(A1100,B1100)</f>
        <v>0</v>
      </c>
      <c r="E1100" s="311"/>
      <c r="H1100" s="11" t="b">
        <f t="shared" si="113"/>
        <v>1</v>
      </c>
      <c r="I1100" s="11">
        <v>0</v>
      </c>
      <c r="K1100" s="11" t="b">
        <v>0</v>
      </c>
    </row>
    <row r="1101" spans="1:11">
      <c r="A1101" s="11" t="s">
        <v>2134</v>
      </c>
      <c r="B1101" s="351">
        <f>报表附注!E1458</f>
        <v>0</v>
      </c>
      <c r="C1101" s="321">
        <f t="shared" si="114"/>
        <v>0</v>
      </c>
      <c r="D1101" s="11" t="b">
        <f t="shared" si="115"/>
        <v>0</v>
      </c>
      <c r="E1101" s="311"/>
      <c r="H1101" s="11" t="b">
        <f t="shared" si="113"/>
        <v>0</v>
      </c>
      <c r="I1101" s="11" t="s">
        <v>516</v>
      </c>
      <c r="K1101" s="11" t="b">
        <v>1</v>
      </c>
    </row>
    <row r="1102" spans="1:11">
      <c r="A1102" s="11" t="s">
        <v>2135</v>
      </c>
      <c r="B1102" s="351">
        <f>报表附注!E1459</f>
        <v>0</v>
      </c>
      <c r="C1102" s="321">
        <f t="shared" si="114"/>
        <v>0</v>
      </c>
      <c r="D1102" s="11" t="b">
        <f t="shared" si="115"/>
        <v>0</v>
      </c>
      <c r="E1102" s="311"/>
      <c r="H1102" s="11" t="b">
        <f t="shared" si="113"/>
        <v>0</v>
      </c>
      <c r="I1102" s="11" t="s">
        <v>715</v>
      </c>
      <c r="K1102" s="11" t="b">
        <v>1</v>
      </c>
    </row>
    <row r="1103" spans="1:11">
      <c r="A1103" s="11" t="s">
        <v>2136</v>
      </c>
      <c r="B1103" s="351">
        <f>报表附注!E1460</f>
        <v>0</v>
      </c>
      <c r="C1103" s="321">
        <f t="shared" si="114"/>
        <v>0</v>
      </c>
      <c r="D1103" s="11" t="b">
        <f t="shared" si="115"/>
        <v>0</v>
      </c>
      <c r="E1103" s="311"/>
      <c r="H1103" s="11" t="b">
        <f t="shared" si="113"/>
        <v>0</v>
      </c>
      <c r="I1103" s="11" t="s">
        <v>5707</v>
      </c>
      <c r="K1103" s="11" t="b">
        <v>0</v>
      </c>
    </row>
    <row r="1104" spans="1:11">
      <c r="A1104" s="11" t="s">
        <v>2137</v>
      </c>
      <c r="B1104" s="351">
        <f>报表附注!E1461</f>
        <v>0</v>
      </c>
      <c r="C1104" s="321">
        <f t="shared" si="114"/>
        <v>0</v>
      </c>
      <c r="D1104" s="11" t="b">
        <f t="shared" si="115"/>
        <v>0</v>
      </c>
      <c r="E1104" s="311"/>
      <c r="H1104" s="11" t="b">
        <f t="shared" si="113"/>
        <v>0</v>
      </c>
      <c r="I1104" s="11" t="s">
        <v>5708</v>
      </c>
      <c r="K1104" s="11" t="b">
        <v>0</v>
      </c>
    </row>
    <row r="1105" spans="1:11">
      <c r="A1105" s="11" t="s">
        <v>2138</v>
      </c>
      <c r="B1105" s="351">
        <f>报表附注!E1462</f>
        <v>0</v>
      </c>
      <c r="C1105" s="321">
        <f t="shared" si="114"/>
        <v>0</v>
      </c>
      <c r="D1105" s="11" t="b">
        <f t="shared" si="115"/>
        <v>0</v>
      </c>
      <c r="E1105" s="311"/>
      <c r="H1105" s="11" t="b">
        <f t="shared" si="113"/>
        <v>0</v>
      </c>
      <c r="I1105" s="11" t="s">
        <v>5709</v>
      </c>
      <c r="K1105" s="11" t="b">
        <v>0</v>
      </c>
    </row>
    <row r="1106" spans="1:11">
      <c r="A1106" s="11" t="s">
        <v>2139</v>
      </c>
      <c r="B1106" s="351">
        <f>报表附注!E1463</f>
        <v>0</v>
      </c>
      <c r="C1106" s="321">
        <f t="shared" si="114"/>
        <v>0</v>
      </c>
      <c r="D1106" s="11" t="b">
        <f t="shared" si="115"/>
        <v>0</v>
      </c>
      <c r="E1106" s="311"/>
      <c r="H1106" s="11" t="b">
        <f t="shared" si="113"/>
        <v>0</v>
      </c>
      <c r="I1106" s="11" t="s">
        <v>5710</v>
      </c>
      <c r="K1106" s="11" t="b">
        <v>0</v>
      </c>
    </row>
    <row r="1107" spans="1:11">
      <c r="A1107" s="11" t="s">
        <v>2140</v>
      </c>
      <c r="B1107" s="351">
        <f>报表附注!E1464</f>
        <v>0</v>
      </c>
      <c r="C1107" s="321">
        <f t="shared" si="114"/>
        <v>0</v>
      </c>
      <c r="D1107" s="11" t="b">
        <f t="shared" si="115"/>
        <v>0</v>
      </c>
      <c r="E1107" s="311"/>
      <c r="H1107" s="11" t="b">
        <f t="shared" si="113"/>
        <v>1</v>
      </c>
      <c r="I1107" s="11">
        <v>0</v>
      </c>
      <c r="K1107" s="11" t="b">
        <v>0</v>
      </c>
    </row>
    <row r="1108" spans="1:11">
      <c r="A1108" s="11" t="s">
        <v>2141</v>
      </c>
      <c r="B1108" s="351">
        <f>报表附注!E1465</f>
        <v>0</v>
      </c>
      <c r="C1108" s="321">
        <f t="shared" si="114"/>
        <v>0</v>
      </c>
      <c r="D1108" s="11" t="b">
        <f t="shared" si="115"/>
        <v>0</v>
      </c>
      <c r="E1108" s="311"/>
      <c r="H1108" s="11" t="b">
        <f t="shared" si="113"/>
        <v>1</v>
      </c>
      <c r="I1108" s="11">
        <v>0</v>
      </c>
      <c r="K1108" s="11" t="b">
        <v>0</v>
      </c>
    </row>
    <row r="1109" spans="1:11">
      <c r="A1109" s="11" t="s">
        <v>516</v>
      </c>
      <c r="B1109" s="356" t="s">
        <v>516</v>
      </c>
      <c r="C1109" s="321">
        <f t="shared" si="114"/>
        <v>0</v>
      </c>
      <c r="D1109" s="11" t="b">
        <f t="shared" si="115"/>
        <v>1</v>
      </c>
      <c r="E1109" s="311"/>
      <c r="H1109" s="11" t="b">
        <f t="shared" si="113"/>
        <v>0</v>
      </c>
      <c r="I1109" s="11">
        <v>0</v>
      </c>
      <c r="K1109" s="11" t="b">
        <v>0</v>
      </c>
    </row>
    <row r="1110" spans="1:11">
      <c r="A1110" s="11" t="s">
        <v>715</v>
      </c>
      <c r="B1110" s="351" t="str">
        <f>报表附注!E1421</f>
        <v>一、原价合计</v>
      </c>
      <c r="C1110" s="321">
        <f t="shared" si="114"/>
        <v>0</v>
      </c>
      <c r="D1110" s="11" t="b">
        <f t="shared" si="115"/>
        <v>1</v>
      </c>
      <c r="E1110" s="311"/>
      <c r="H1110" s="11" t="b">
        <f t="shared" si="113"/>
        <v>0</v>
      </c>
      <c r="I1110" s="11">
        <v>0</v>
      </c>
      <c r="K1110" s="11" t="b">
        <v>0</v>
      </c>
    </row>
    <row r="1111" spans="1:11">
      <c r="A1111" s="11" t="s">
        <v>2128</v>
      </c>
      <c r="B1111" s="351" t="str">
        <f>报表附注!E1422</f>
        <v>1、土地使用权</v>
      </c>
      <c r="C1111" s="321">
        <f t="shared" si="114"/>
        <v>0</v>
      </c>
      <c r="D1111" s="11" t="b">
        <f t="shared" si="115"/>
        <v>0</v>
      </c>
      <c r="E1111" s="311"/>
      <c r="H1111" s="11" t="b">
        <f t="shared" si="113"/>
        <v>0</v>
      </c>
      <c r="I1111" s="11">
        <v>0</v>
      </c>
      <c r="K1111" s="11" t="b">
        <v>0</v>
      </c>
    </row>
    <row r="1112" spans="1:11">
      <c r="A1112" s="11" t="s">
        <v>2129</v>
      </c>
      <c r="B1112" s="351" t="str">
        <f>报表附注!E1423</f>
        <v>2、软件</v>
      </c>
      <c r="C1112" s="321">
        <f t="shared" si="114"/>
        <v>0</v>
      </c>
      <c r="D1112" s="11" t="b">
        <f t="shared" si="115"/>
        <v>0</v>
      </c>
      <c r="E1112" s="311"/>
      <c r="H1112" s="11" t="b">
        <f t="shared" si="113"/>
        <v>0</v>
      </c>
      <c r="I1112" s="11">
        <v>0</v>
      </c>
      <c r="K1112" s="11" t="b">
        <v>0</v>
      </c>
    </row>
    <row r="1113" spans="1:11">
      <c r="A1113" s="11" t="s">
        <v>2130</v>
      </c>
      <c r="B1113" s="351" t="str">
        <f>报表附注!E1424</f>
        <v>3、专利权</v>
      </c>
      <c r="C1113" s="321">
        <f t="shared" si="114"/>
        <v>0</v>
      </c>
      <c r="D1113" s="11" t="b">
        <f t="shared" si="115"/>
        <v>0</v>
      </c>
      <c r="E1113" s="311"/>
      <c r="H1113" s="11" t="b">
        <f t="shared" si="113"/>
        <v>0</v>
      </c>
      <c r="I1113" s="11">
        <v>0</v>
      </c>
      <c r="K1113" s="11" t="b">
        <v>0</v>
      </c>
    </row>
    <row r="1114" spans="1:11">
      <c r="A1114" s="11" t="s">
        <v>2131</v>
      </c>
      <c r="B1114" s="351" t="str">
        <f>报表附注!E1425</f>
        <v>4、其它</v>
      </c>
      <c r="C1114" s="321">
        <f t="shared" si="114"/>
        <v>0</v>
      </c>
      <c r="D1114" s="11" t="b">
        <f t="shared" si="115"/>
        <v>0</v>
      </c>
      <c r="E1114" s="311"/>
      <c r="H1114" s="11" t="b">
        <f t="shared" si="113"/>
        <v>0</v>
      </c>
      <c r="I1114" s="11">
        <v>0</v>
      </c>
      <c r="K1114" s="11" t="b">
        <v>0</v>
      </c>
    </row>
    <row r="1115" spans="1:11">
      <c r="A1115" s="11" t="s">
        <v>2132</v>
      </c>
      <c r="B1115" s="351">
        <f>报表附注!E1426</f>
        <v>0</v>
      </c>
      <c r="C1115" s="321">
        <f t="shared" si="114"/>
        <v>0</v>
      </c>
      <c r="D1115" s="11" t="b">
        <f t="shared" si="115"/>
        <v>0</v>
      </c>
      <c r="E1115" s="311"/>
      <c r="H1115" s="11" t="b">
        <f t="shared" si="113"/>
        <v>1</v>
      </c>
      <c r="I1115" s="11">
        <v>0</v>
      </c>
      <c r="K1115" s="11" t="b">
        <v>0</v>
      </c>
    </row>
    <row r="1116" spans="1:11">
      <c r="A1116" s="11" t="s">
        <v>2133</v>
      </c>
      <c r="B1116" s="351">
        <f>报表附注!E1427</f>
        <v>0</v>
      </c>
      <c r="C1116" s="321">
        <f t="shared" si="114"/>
        <v>0</v>
      </c>
      <c r="D1116" s="11" t="b">
        <f t="shared" si="115"/>
        <v>0</v>
      </c>
      <c r="E1116" s="311"/>
      <c r="H1116" s="11" t="b">
        <f t="shared" si="113"/>
        <v>1</v>
      </c>
      <c r="I1116" s="11">
        <v>0</v>
      </c>
      <c r="K1116" s="11" t="b">
        <v>0</v>
      </c>
    </row>
    <row r="1117" spans="1:11">
      <c r="A1117" s="11" t="s">
        <v>2134</v>
      </c>
      <c r="B1117" s="351">
        <f>报表附注!E1428</f>
        <v>0</v>
      </c>
      <c r="C1117" s="321">
        <f t="shared" si="114"/>
        <v>0</v>
      </c>
      <c r="D1117" s="11" t="b">
        <f t="shared" si="115"/>
        <v>0</v>
      </c>
      <c r="E1117" s="311"/>
      <c r="H1117" s="11" t="b">
        <f t="shared" si="113"/>
        <v>0</v>
      </c>
      <c r="I1117" s="11" t="s">
        <v>905</v>
      </c>
      <c r="K1117" s="11" t="b">
        <v>1</v>
      </c>
    </row>
    <row r="1118" spans="1:11">
      <c r="A1118" s="11" t="s">
        <v>2135</v>
      </c>
      <c r="B1118" s="351">
        <f>报表附注!E1429</f>
        <v>0</v>
      </c>
      <c r="C1118" s="321">
        <f t="shared" si="114"/>
        <v>0</v>
      </c>
      <c r="D1118" s="11" t="b">
        <f t="shared" si="115"/>
        <v>0</v>
      </c>
      <c r="E1118" s="311"/>
      <c r="H1118" s="11" t="b">
        <f t="shared" si="113"/>
        <v>0</v>
      </c>
      <c r="I1118" s="11" t="s">
        <v>5707</v>
      </c>
      <c r="K1118" s="11" t="b">
        <v>0</v>
      </c>
    </row>
    <row r="1119" spans="1:11">
      <c r="A1119" s="11" t="s">
        <v>2136</v>
      </c>
      <c r="B1119" s="351">
        <f>报表附注!E1430</f>
        <v>0</v>
      </c>
      <c r="C1119" s="321">
        <f t="shared" si="114"/>
        <v>0</v>
      </c>
      <c r="D1119" s="11" t="b">
        <f t="shared" si="115"/>
        <v>0</v>
      </c>
      <c r="E1119" s="311"/>
      <c r="H1119" s="11" t="b">
        <f t="shared" si="113"/>
        <v>0</v>
      </c>
      <c r="I1119" s="11" t="s">
        <v>5708</v>
      </c>
      <c r="K1119" s="11" t="b">
        <v>0</v>
      </c>
    </row>
    <row r="1120" spans="1:11">
      <c r="A1120" s="11" t="s">
        <v>2137</v>
      </c>
      <c r="B1120" s="351">
        <f>报表附注!E1431</f>
        <v>0</v>
      </c>
      <c r="C1120" s="321">
        <f t="shared" si="114"/>
        <v>0</v>
      </c>
      <c r="D1120" s="11" t="b">
        <f t="shared" si="115"/>
        <v>0</v>
      </c>
      <c r="E1120" s="311"/>
      <c r="H1120" s="11" t="b">
        <f t="shared" si="113"/>
        <v>0</v>
      </c>
      <c r="I1120" s="11" t="s">
        <v>5709</v>
      </c>
      <c r="K1120" s="11" t="b">
        <v>0</v>
      </c>
    </row>
    <row r="1121" spans="1:11">
      <c r="A1121" s="11" t="s">
        <v>2138</v>
      </c>
      <c r="B1121" s="351">
        <f>报表附注!E1432</f>
        <v>0</v>
      </c>
      <c r="C1121" s="321">
        <f t="shared" si="114"/>
        <v>0</v>
      </c>
      <c r="D1121" s="11" t="b">
        <f t="shared" si="115"/>
        <v>0</v>
      </c>
      <c r="E1121" s="311"/>
      <c r="H1121" s="11" t="b">
        <f t="shared" si="113"/>
        <v>0</v>
      </c>
      <c r="I1121" s="11" t="s">
        <v>5710</v>
      </c>
      <c r="K1121" s="11" t="b">
        <v>0</v>
      </c>
    </row>
    <row r="1122" spans="1:11">
      <c r="A1122" s="11" t="s">
        <v>2139</v>
      </c>
      <c r="B1122" s="351">
        <f>报表附注!E1433</f>
        <v>0</v>
      </c>
      <c r="C1122" s="321">
        <f t="shared" si="114"/>
        <v>0</v>
      </c>
      <c r="D1122" s="11" t="b">
        <f t="shared" si="115"/>
        <v>0</v>
      </c>
      <c r="E1122" s="311"/>
      <c r="H1122" s="11" t="b">
        <f t="shared" si="113"/>
        <v>1</v>
      </c>
      <c r="I1122" s="11">
        <v>0</v>
      </c>
      <c r="K1122" s="11" t="b">
        <v>0</v>
      </c>
    </row>
    <row r="1123" spans="1:11">
      <c r="A1123" s="11" t="s">
        <v>2140</v>
      </c>
      <c r="B1123" s="351">
        <f>报表附注!E1434</f>
        <v>0</v>
      </c>
      <c r="C1123" s="321">
        <f t="shared" si="114"/>
        <v>0</v>
      </c>
      <c r="D1123" s="11" t="b">
        <f t="shared" si="115"/>
        <v>0</v>
      </c>
      <c r="E1123" s="311"/>
      <c r="H1123" s="11" t="b">
        <f t="shared" si="113"/>
        <v>1</v>
      </c>
      <c r="I1123" s="11">
        <v>0</v>
      </c>
      <c r="K1123" s="11" t="b">
        <v>0</v>
      </c>
    </row>
    <row r="1124" spans="1:11">
      <c r="A1124" s="11" t="s">
        <v>2141</v>
      </c>
      <c r="B1124" s="351">
        <f>报表附注!E1435</f>
        <v>0</v>
      </c>
      <c r="C1124" s="321">
        <f t="shared" si="114"/>
        <v>0</v>
      </c>
      <c r="D1124" s="11" t="b">
        <f t="shared" si="115"/>
        <v>0</v>
      </c>
      <c r="E1124" s="311"/>
      <c r="H1124" s="11" t="b">
        <f t="shared" si="113"/>
        <v>1</v>
      </c>
      <c r="I1124" s="11">
        <v>0</v>
      </c>
      <c r="K1124" s="11" t="b">
        <v>0</v>
      </c>
    </row>
    <row r="1125" spans="1:11">
      <c r="A1125" s="11" t="s">
        <v>905</v>
      </c>
      <c r="B1125" s="351" t="str">
        <f>报表附注!E1436</f>
        <v>二、累计摊销额合计</v>
      </c>
      <c r="C1125" s="321">
        <f t="shared" si="114"/>
        <v>0</v>
      </c>
      <c r="D1125" s="11" t="b">
        <f t="shared" si="115"/>
        <v>1</v>
      </c>
      <c r="E1125" s="311"/>
      <c r="H1125" s="11" t="b">
        <f t="shared" si="113"/>
        <v>0</v>
      </c>
      <c r="I1125" s="11">
        <v>0</v>
      </c>
      <c r="K1125" s="11" t="b">
        <v>0</v>
      </c>
    </row>
    <row r="1126" spans="1:11">
      <c r="A1126" s="11" t="s">
        <v>2128</v>
      </c>
      <c r="B1126" s="351" t="str">
        <f>报表附注!E1437</f>
        <v>1、土地使用权</v>
      </c>
      <c r="C1126" s="321">
        <f t="shared" si="114"/>
        <v>0</v>
      </c>
      <c r="D1126" s="11" t="b">
        <f t="shared" si="115"/>
        <v>0</v>
      </c>
      <c r="E1126" s="311"/>
      <c r="H1126" s="11" t="b">
        <f t="shared" si="113"/>
        <v>0</v>
      </c>
      <c r="I1126" s="11">
        <v>0</v>
      </c>
      <c r="K1126" s="11" t="b">
        <v>0</v>
      </c>
    </row>
    <row r="1127" spans="1:11">
      <c r="A1127" s="11" t="s">
        <v>2129</v>
      </c>
      <c r="B1127" s="351" t="str">
        <f>报表附注!E1438</f>
        <v>2、软件</v>
      </c>
      <c r="C1127" s="321">
        <f t="shared" si="114"/>
        <v>0</v>
      </c>
      <c r="D1127" s="11" t="b">
        <f t="shared" si="115"/>
        <v>0</v>
      </c>
      <c r="E1127" s="311"/>
      <c r="H1127" s="11" t="b">
        <f t="shared" si="113"/>
        <v>0</v>
      </c>
      <c r="I1127" s="11">
        <v>0</v>
      </c>
      <c r="K1127" s="11" t="b">
        <v>0</v>
      </c>
    </row>
    <row r="1128" spans="1:11">
      <c r="A1128" s="11" t="s">
        <v>2130</v>
      </c>
      <c r="B1128" s="351" t="str">
        <f>报表附注!E1439</f>
        <v>3、专利权</v>
      </c>
      <c r="C1128" s="321">
        <f t="shared" si="114"/>
        <v>0</v>
      </c>
      <c r="D1128" s="11" t="b">
        <f t="shared" si="115"/>
        <v>0</v>
      </c>
      <c r="E1128" s="311"/>
      <c r="H1128" s="11" t="b">
        <f t="shared" si="113"/>
        <v>0</v>
      </c>
      <c r="I1128" s="11">
        <v>0</v>
      </c>
      <c r="K1128" s="11" t="b">
        <v>0</v>
      </c>
    </row>
    <row r="1129" spans="1:11">
      <c r="A1129" s="11" t="s">
        <v>2131</v>
      </c>
      <c r="B1129" s="351" t="str">
        <f>报表附注!E1440</f>
        <v>4、其它</v>
      </c>
      <c r="C1129" s="321">
        <f t="shared" si="114"/>
        <v>0</v>
      </c>
      <c r="D1129" s="11" t="b">
        <f t="shared" si="115"/>
        <v>0</v>
      </c>
      <c r="E1129" s="311"/>
      <c r="H1129" s="11" t="b">
        <f t="shared" si="113"/>
        <v>0</v>
      </c>
      <c r="I1129" s="11">
        <v>0</v>
      </c>
      <c r="K1129" s="11" t="b">
        <v>0</v>
      </c>
    </row>
    <row r="1130" spans="1:11">
      <c r="A1130" s="11" t="s">
        <v>2132</v>
      </c>
      <c r="B1130" s="351">
        <f>报表附注!E1441</f>
        <v>0</v>
      </c>
      <c r="C1130" s="321">
        <f t="shared" si="114"/>
        <v>0</v>
      </c>
      <c r="D1130" s="11" t="b">
        <f t="shared" si="115"/>
        <v>0</v>
      </c>
      <c r="E1130" s="311"/>
      <c r="H1130" s="11" t="b">
        <f t="shared" si="113"/>
        <v>1</v>
      </c>
      <c r="I1130" s="11">
        <v>0</v>
      </c>
      <c r="K1130" s="11" t="b">
        <v>0</v>
      </c>
    </row>
    <row r="1131" spans="1:11">
      <c r="A1131" s="11" t="s">
        <v>2133</v>
      </c>
      <c r="B1131" s="351">
        <f>报表附注!E1442</f>
        <v>0</v>
      </c>
      <c r="C1131" s="321">
        <f t="shared" si="114"/>
        <v>0</v>
      </c>
      <c r="D1131" s="11" t="b">
        <f t="shared" si="115"/>
        <v>0</v>
      </c>
      <c r="E1131" s="311"/>
      <c r="H1131" s="11" t="b">
        <f t="shared" si="113"/>
        <v>1</v>
      </c>
      <c r="I1131" s="11">
        <v>0</v>
      </c>
      <c r="K1131" s="11" t="b">
        <v>0</v>
      </c>
    </row>
    <row r="1132" spans="1:11">
      <c r="A1132" s="11" t="s">
        <v>2134</v>
      </c>
      <c r="B1132" s="351">
        <f>报表附注!E1443</f>
        <v>0</v>
      </c>
      <c r="C1132" s="321">
        <f t="shared" ref="C1132:C1163" si="116">J1124</f>
        <v>0</v>
      </c>
      <c r="D1132" s="11" t="b">
        <f t="shared" si="115"/>
        <v>0</v>
      </c>
      <c r="E1132" s="311"/>
      <c r="H1132" s="11" t="b">
        <f t="shared" si="113"/>
        <v>0</v>
      </c>
      <c r="I1132" s="11" t="s">
        <v>908</v>
      </c>
      <c r="K1132" s="11" t="b">
        <v>1</v>
      </c>
    </row>
    <row r="1133" spans="1:11">
      <c r="A1133" s="11" t="s">
        <v>2135</v>
      </c>
      <c r="B1133" s="351">
        <f>报表附注!E1444</f>
        <v>0</v>
      </c>
      <c r="C1133" s="321">
        <f t="shared" si="116"/>
        <v>0</v>
      </c>
      <c r="D1133" s="11" t="b">
        <f t="shared" si="115"/>
        <v>0</v>
      </c>
      <c r="E1133" s="311"/>
      <c r="H1133" s="11" t="b">
        <f t="shared" si="113"/>
        <v>0</v>
      </c>
      <c r="I1133" s="11" t="s">
        <v>5707</v>
      </c>
      <c r="K1133" s="11" t="b">
        <v>0</v>
      </c>
    </row>
    <row r="1134" spans="1:11">
      <c r="A1134" s="11" t="s">
        <v>2136</v>
      </c>
      <c r="B1134" s="351">
        <f>报表附注!E1445</f>
        <v>0</v>
      </c>
      <c r="C1134" s="321">
        <f t="shared" si="116"/>
        <v>0</v>
      </c>
      <c r="D1134" s="11" t="b">
        <f t="shared" si="115"/>
        <v>0</v>
      </c>
      <c r="E1134" s="311"/>
      <c r="H1134" s="11" t="b">
        <f t="shared" si="113"/>
        <v>0</v>
      </c>
      <c r="I1134" s="11" t="s">
        <v>5708</v>
      </c>
      <c r="K1134" s="11" t="b">
        <v>0</v>
      </c>
    </row>
    <row r="1135" spans="1:11">
      <c r="A1135" s="11" t="s">
        <v>2137</v>
      </c>
      <c r="B1135" s="351">
        <f>报表附注!E1446</f>
        <v>0</v>
      </c>
      <c r="C1135" s="321">
        <f t="shared" si="116"/>
        <v>0</v>
      </c>
      <c r="D1135" s="11" t="b">
        <f t="shared" si="115"/>
        <v>0</v>
      </c>
      <c r="E1135" s="311"/>
      <c r="H1135" s="11" t="b">
        <f t="shared" si="113"/>
        <v>0</v>
      </c>
      <c r="I1135" s="11" t="s">
        <v>5709</v>
      </c>
      <c r="K1135" s="11" t="b">
        <v>0</v>
      </c>
    </row>
    <row r="1136" spans="1:11">
      <c r="A1136" s="11" t="s">
        <v>2138</v>
      </c>
      <c r="B1136" s="351">
        <f>报表附注!E1447</f>
        <v>0</v>
      </c>
      <c r="C1136" s="321">
        <f t="shared" si="116"/>
        <v>0</v>
      </c>
      <c r="D1136" s="11" t="b">
        <f t="shared" si="115"/>
        <v>0</v>
      </c>
      <c r="E1136" s="311"/>
      <c r="H1136" s="11" t="b">
        <f t="shared" si="113"/>
        <v>0</v>
      </c>
      <c r="I1136" s="11" t="s">
        <v>5710</v>
      </c>
      <c r="K1136" s="11" t="b">
        <v>0</v>
      </c>
    </row>
    <row r="1137" spans="1:11">
      <c r="A1137" s="11" t="s">
        <v>2139</v>
      </c>
      <c r="B1137" s="351">
        <f>报表附注!E1448</f>
        <v>0</v>
      </c>
      <c r="C1137" s="321">
        <f t="shared" si="116"/>
        <v>0</v>
      </c>
      <c r="D1137" s="11" t="b">
        <f t="shared" si="115"/>
        <v>0</v>
      </c>
      <c r="E1137" s="311"/>
      <c r="H1137" s="11" t="b">
        <f t="shared" si="113"/>
        <v>1</v>
      </c>
      <c r="I1137" s="11">
        <v>0</v>
      </c>
      <c r="K1137" s="11" t="b">
        <v>0</v>
      </c>
    </row>
    <row r="1138" spans="1:11">
      <c r="A1138" s="11" t="s">
        <v>2140</v>
      </c>
      <c r="B1138" s="351">
        <f>报表附注!E1449</f>
        <v>0</v>
      </c>
      <c r="C1138" s="321">
        <f t="shared" si="116"/>
        <v>0</v>
      </c>
      <c r="D1138" s="11" t="b">
        <f t="shared" si="115"/>
        <v>0</v>
      </c>
      <c r="E1138" s="311"/>
      <c r="H1138" s="11" t="b">
        <f t="shared" si="113"/>
        <v>1</v>
      </c>
      <c r="I1138" s="11">
        <v>0</v>
      </c>
      <c r="K1138" s="11" t="b">
        <v>0</v>
      </c>
    </row>
    <row r="1139" spans="1:11">
      <c r="A1139" s="11" t="s">
        <v>2141</v>
      </c>
      <c r="B1139" s="351">
        <f>报表附注!E1450</f>
        <v>0</v>
      </c>
      <c r="C1139" s="321">
        <f t="shared" si="116"/>
        <v>0</v>
      </c>
      <c r="D1139" s="11" t="b">
        <f t="shared" si="115"/>
        <v>0</v>
      </c>
      <c r="E1139" s="311"/>
      <c r="H1139" s="11" t="b">
        <f t="shared" si="113"/>
        <v>1</v>
      </c>
      <c r="I1139" s="11">
        <v>0</v>
      </c>
      <c r="K1139" s="11" t="b">
        <v>0</v>
      </c>
    </row>
    <row r="1140" spans="1:11">
      <c r="A1140" s="11" t="s">
        <v>908</v>
      </c>
      <c r="B1140" s="351" t="str">
        <f>报表附注!E1451</f>
        <v>三、无形资产减值准备累计金额合计</v>
      </c>
      <c r="C1140" s="321">
        <f t="shared" si="116"/>
        <v>0</v>
      </c>
      <c r="D1140" s="11" t="b">
        <f t="shared" si="115"/>
        <v>1</v>
      </c>
      <c r="E1140" s="311"/>
      <c r="H1140" s="11" t="b">
        <f t="shared" si="113"/>
        <v>0</v>
      </c>
      <c r="I1140" s="11">
        <v>0</v>
      </c>
      <c r="K1140" s="11" t="b">
        <v>0</v>
      </c>
    </row>
    <row r="1141" spans="1:11">
      <c r="A1141" s="11" t="s">
        <v>2128</v>
      </c>
      <c r="B1141" s="351" t="str">
        <f>报表附注!E1452</f>
        <v>1、土地使用权</v>
      </c>
      <c r="C1141" s="321">
        <f t="shared" si="116"/>
        <v>0</v>
      </c>
      <c r="D1141" s="11" t="b">
        <f t="shared" si="115"/>
        <v>0</v>
      </c>
      <c r="E1141" s="311"/>
      <c r="H1141" s="11" t="b">
        <f t="shared" si="113"/>
        <v>0</v>
      </c>
      <c r="I1141" s="11">
        <v>0</v>
      </c>
      <c r="K1141" s="11" t="b">
        <v>0</v>
      </c>
    </row>
    <row r="1142" spans="1:11">
      <c r="A1142" s="11" t="s">
        <v>2129</v>
      </c>
      <c r="B1142" s="351" t="str">
        <f>报表附注!E1453</f>
        <v>2、软件</v>
      </c>
      <c r="C1142" s="321">
        <f t="shared" si="116"/>
        <v>0</v>
      </c>
      <c r="D1142" s="11" t="b">
        <f t="shared" si="115"/>
        <v>0</v>
      </c>
      <c r="E1142" s="311"/>
      <c r="H1142" s="11" t="b">
        <f t="shared" si="113"/>
        <v>0</v>
      </c>
      <c r="I1142" s="11">
        <v>0</v>
      </c>
      <c r="K1142" s="11" t="b">
        <v>0</v>
      </c>
    </row>
    <row r="1143" spans="1:11">
      <c r="A1143" s="11" t="s">
        <v>2130</v>
      </c>
      <c r="B1143" s="351" t="str">
        <f>报表附注!E1454</f>
        <v>3、专利权</v>
      </c>
      <c r="C1143" s="321">
        <f t="shared" si="116"/>
        <v>0</v>
      </c>
      <c r="D1143" s="11" t="b">
        <f t="shared" si="115"/>
        <v>0</v>
      </c>
      <c r="E1143" s="311"/>
      <c r="H1143" s="11" t="b">
        <f t="shared" si="113"/>
        <v>0</v>
      </c>
      <c r="I1143" s="11">
        <v>0</v>
      </c>
      <c r="K1143" s="11" t="b">
        <v>0</v>
      </c>
    </row>
    <row r="1144" spans="1:11">
      <c r="A1144" s="11" t="s">
        <v>2131</v>
      </c>
      <c r="B1144" s="351" t="str">
        <f>报表附注!E1455</f>
        <v>4、其它</v>
      </c>
      <c r="C1144" s="321">
        <f t="shared" si="116"/>
        <v>0</v>
      </c>
      <c r="D1144" s="11" t="b">
        <f t="shared" si="115"/>
        <v>0</v>
      </c>
      <c r="E1144" s="311"/>
      <c r="H1144" s="11" t="b">
        <f t="shared" si="113"/>
        <v>0</v>
      </c>
      <c r="I1144" s="11">
        <v>0</v>
      </c>
      <c r="K1144" s="11" t="b">
        <v>0</v>
      </c>
    </row>
    <row r="1145" spans="1:11">
      <c r="A1145" s="11" t="s">
        <v>2132</v>
      </c>
      <c r="B1145" s="351">
        <f>报表附注!E1456</f>
        <v>0</v>
      </c>
      <c r="C1145" s="321">
        <f t="shared" si="116"/>
        <v>0</v>
      </c>
      <c r="D1145" s="11" t="b">
        <f t="shared" si="115"/>
        <v>0</v>
      </c>
      <c r="E1145" s="311"/>
      <c r="H1145" s="11" t="b">
        <f t="shared" si="113"/>
        <v>1</v>
      </c>
      <c r="I1145" s="11">
        <v>0</v>
      </c>
      <c r="K1145" s="11" t="b">
        <v>0</v>
      </c>
    </row>
    <row r="1146" spans="1:11">
      <c r="A1146" s="11" t="s">
        <v>2133</v>
      </c>
      <c r="B1146" s="351">
        <f>报表附注!E1457</f>
        <v>0</v>
      </c>
      <c r="C1146" s="321">
        <f t="shared" si="116"/>
        <v>0</v>
      </c>
      <c r="D1146" s="11" t="b">
        <f t="shared" si="115"/>
        <v>0</v>
      </c>
      <c r="E1146" s="311"/>
      <c r="H1146" s="11" t="b">
        <f t="shared" si="113"/>
        <v>1</v>
      </c>
      <c r="I1146" s="11">
        <v>0</v>
      </c>
      <c r="K1146" s="11" t="b">
        <v>0</v>
      </c>
    </row>
    <row r="1147" spans="1:11">
      <c r="A1147" s="11" t="s">
        <v>2134</v>
      </c>
      <c r="B1147" s="351">
        <f>报表附注!E1458</f>
        <v>0</v>
      </c>
      <c r="C1147" s="321">
        <f t="shared" si="116"/>
        <v>0</v>
      </c>
      <c r="D1147" s="11" t="b">
        <f t="shared" si="115"/>
        <v>0</v>
      </c>
      <c r="E1147" s="311"/>
      <c r="H1147" s="11" t="b">
        <f t="shared" si="113"/>
        <v>0</v>
      </c>
      <c r="I1147" s="11" t="s">
        <v>911</v>
      </c>
      <c r="K1147" s="11" t="b">
        <v>1</v>
      </c>
    </row>
    <row r="1148" spans="1:11">
      <c r="A1148" s="11" t="s">
        <v>2135</v>
      </c>
      <c r="B1148" s="351">
        <f>报表附注!E1459</f>
        <v>0</v>
      </c>
      <c r="C1148" s="321">
        <f t="shared" si="116"/>
        <v>0</v>
      </c>
      <c r="D1148" s="11" t="b">
        <f t="shared" si="115"/>
        <v>0</v>
      </c>
      <c r="E1148" s="311"/>
      <c r="H1148" s="11" t="b">
        <f t="shared" si="113"/>
        <v>0</v>
      </c>
      <c r="I1148" s="11" t="s">
        <v>5707</v>
      </c>
      <c r="K1148" s="11" t="b">
        <v>0</v>
      </c>
    </row>
    <row r="1149" spans="1:11">
      <c r="A1149" s="11" t="s">
        <v>2136</v>
      </c>
      <c r="B1149" s="351">
        <f>报表附注!E1460</f>
        <v>0</v>
      </c>
      <c r="C1149" s="321">
        <f t="shared" si="116"/>
        <v>0</v>
      </c>
      <c r="D1149" s="11" t="b">
        <f t="shared" si="115"/>
        <v>0</v>
      </c>
      <c r="E1149" s="311"/>
      <c r="H1149" s="11" t="b">
        <f t="shared" si="113"/>
        <v>0</v>
      </c>
      <c r="I1149" s="11" t="s">
        <v>5708</v>
      </c>
      <c r="K1149" s="11" t="b">
        <v>0</v>
      </c>
    </row>
    <row r="1150" spans="1:11">
      <c r="A1150" s="11" t="s">
        <v>2137</v>
      </c>
      <c r="B1150" s="351">
        <f>报表附注!E1461</f>
        <v>0</v>
      </c>
      <c r="C1150" s="321">
        <f t="shared" si="116"/>
        <v>0</v>
      </c>
      <c r="D1150" s="11" t="b">
        <f t="shared" si="115"/>
        <v>0</v>
      </c>
      <c r="E1150" s="311"/>
      <c r="H1150" s="11" t="b">
        <f t="shared" si="113"/>
        <v>0</v>
      </c>
      <c r="I1150" s="11" t="s">
        <v>5709</v>
      </c>
      <c r="K1150" s="11" t="b">
        <v>0</v>
      </c>
    </row>
    <row r="1151" spans="1:11">
      <c r="A1151" s="11" t="s">
        <v>2138</v>
      </c>
      <c r="B1151" s="351">
        <f>报表附注!E1462</f>
        <v>0</v>
      </c>
      <c r="C1151" s="321">
        <f t="shared" si="116"/>
        <v>0</v>
      </c>
      <c r="D1151" s="11" t="b">
        <f t="shared" si="115"/>
        <v>0</v>
      </c>
      <c r="E1151" s="311"/>
      <c r="H1151" s="11" t="b">
        <f t="shared" si="113"/>
        <v>0</v>
      </c>
      <c r="I1151" s="11" t="s">
        <v>5710</v>
      </c>
      <c r="K1151" s="11" t="b">
        <v>0</v>
      </c>
    </row>
    <row r="1152" spans="1:11">
      <c r="A1152" s="11" t="s">
        <v>2139</v>
      </c>
      <c r="B1152" s="351">
        <f>报表附注!E1463</f>
        <v>0</v>
      </c>
      <c r="C1152" s="321">
        <f t="shared" si="116"/>
        <v>0</v>
      </c>
      <c r="D1152" s="11" t="b">
        <f t="shared" si="115"/>
        <v>0</v>
      </c>
      <c r="E1152" s="311"/>
      <c r="H1152" s="11" t="b">
        <f t="shared" si="113"/>
        <v>1</v>
      </c>
      <c r="I1152" s="11">
        <v>0</v>
      </c>
      <c r="K1152" s="11" t="b">
        <v>0</v>
      </c>
    </row>
    <row r="1153" spans="1:11">
      <c r="A1153" s="11" t="s">
        <v>2140</v>
      </c>
      <c r="B1153" s="351">
        <f>报表附注!E1464</f>
        <v>0</v>
      </c>
      <c r="C1153" s="321">
        <f t="shared" si="116"/>
        <v>0</v>
      </c>
      <c r="D1153" s="11" t="b">
        <f t="shared" si="115"/>
        <v>0</v>
      </c>
      <c r="E1153" s="311"/>
      <c r="H1153" s="11" t="b">
        <f t="shared" si="113"/>
        <v>1</v>
      </c>
      <c r="I1153" s="11">
        <v>0</v>
      </c>
      <c r="K1153" s="11" t="b">
        <v>0</v>
      </c>
    </row>
    <row r="1154" spans="1:11">
      <c r="A1154" s="11" t="s">
        <v>2141</v>
      </c>
      <c r="B1154" s="351">
        <f>报表附注!E1465</f>
        <v>0</v>
      </c>
      <c r="C1154" s="321">
        <f t="shared" si="116"/>
        <v>0</v>
      </c>
      <c r="D1154" s="11" t="b">
        <f t="shared" si="115"/>
        <v>0</v>
      </c>
      <c r="E1154" s="311"/>
      <c r="H1154" s="11" t="b">
        <f t="shared" si="113"/>
        <v>1</v>
      </c>
      <c r="I1154" s="11">
        <v>0</v>
      </c>
      <c r="K1154" s="11" t="b">
        <v>0</v>
      </c>
    </row>
    <row r="1155" spans="1:11">
      <c r="A1155" s="11" t="s">
        <v>911</v>
      </c>
      <c r="B1155" s="351" t="str">
        <f>报表附注!E1466</f>
        <v>四、无形资产账面价值合计</v>
      </c>
      <c r="C1155" s="321">
        <f t="shared" si="116"/>
        <v>0</v>
      </c>
      <c r="D1155" s="11" t="b">
        <f t="shared" si="115"/>
        <v>1</v>
      </c>
      <c r="E1155" s="311"/>
      <c r="H1155" s="11" t="b">
        <f t="shared" si="113"/>
        <v>0</v>
      </c>
      <c r="I1155" s="11">
        <v>0</v>
      </c>
      <c r="K1155" s="11" t="b">
        <v>0</v>
      </c>
    </row>
    <row r="1156" spans="1:11">
      <c r="A1156" s="11" t="s">
        <v>2128</v>
      </c>
      <c r="B1156" s="351" t="str">
        <f>报表附注!E1467</f>
        <v>1、土地使用权</v>
      </c>
      <c r="C1156" s="321">
        <f t="shared" si="116"/>
        <v>0</v>
      </c>
      <c r="D1156" s="11" t="b">
        <f t="shared" si="115"/>
        <v>0</v>
      </c>
      <c r="E1156" s="311"/>
      <c r="H1156" s="11" t="b">
        <f t="shared" ref="H1156:H1219" si="117">I1156=B1156</f>
        <v>0</v>
      </c>
      <c r="I1156" s="11">
        <v>0</v>
      </c>
      <c r="K1156" s="11" t="b">
        <v>0</v>
      </c>
    </row>
    <row r="1157" spans="1:11">
      <c r="A1157" s="11" t="s">
        <v>2129</v>
      </c>
      <c r="B1157" s="351" t="str">
        <f>报表附注!E1468</f>
        <v>2、软件</v>
      </c>
      <c r="C1157" s="321">
        <f t="shared" si="116"/>
        <v>0</v>
      </c>
      <c r="D1157" s="11" t="b">
        <f t="shared" si="115"/>
        <v>0</v>
      </c>
      <c r="E1157" s="311"/>
      <c r="H1157" s="11" t="b">
        <f t="shared" si="117"/>
        <v>0</v>
      </c>
      <c r="I1157" s="11">
        <v>0</v>
      </c>
      <c r="K1157" s="11" t="b">
        <v>0</v>
      </c>
    </row>
    <row r="1158" spans="1:11">
      <c r="A1158" s="11" t="s">
        <v>2130</v>
      </c>
      <c r="B1158" s="351" t="str">
        <f>报表附注!E1469</f>
        <v>3、专利权</v>
      </c>
      <c r="C1158" s="321">
        <f t="shared" si="116"/>
        <v>0</v>
      </c>
      <c r="D1158" s="11" t="b">
        <f t="shared" si="115"/>
        <v>0</v>
      </c>
      <c r="E1158" s="311"/>
      <c r="H1158" s="11" t="b">
        <f t="shared" si="117"/>
        <v>0</v>
      </c>
      <c r="I1158" s="11">
        <v>0</v>
      </c>
      <c r="K1158" s="11" t="b">
        <v>0</v>
      </c>
    </row>
    <row r="1159" spans="1:11">
      <c r="A1159" s="11" t="s">
        <v>2131</v>
      </c>
      <c r="B1159" s="351" t="str">
        <f>报表附注!E1470</f>
        <v>4、其它</v>
      </c>
      <c r="C1159" s="321">
        <f t="shared" si="116"/>
        <v>0</v>
      </c>
      <c r="D1159" s="11" t="b">
        <f t="shared" si="115"/>
        <v>0</v>
      </c>
      <c r="E1159" s="311"/>
      <c r="H1159" s="11" t="b">
        <f t="shared" si="117"/>
        <v>0</v>
      </c>
      <c r="I1159" s="11">
        <v>0</v>
      </c>
      <c r="K1159" s="11" t="b">
        <v>0</v>
      </c>
    </row>
    <row r="1160" spans="1:11">
      <c r="A1160" s="11" t="s">
        <v>2132</v>
      </c>
      <c r="B1160" s="351">
        <f>报表附注!E1471</f>
        <v>0</v>
      </c>
      <c r="C1160" s="321">
        <f t="shared" si="116"/>
        <v>0</v>
      </c>
      <c r="D1160" s="11" t="b">
        <f t="shared" si="115"/>
        <v>0</v>
      </c>
      <c r="E1160" s="311"/>
      <c r="H1160" s="11" t="b">
        <f t="shared" si="117"/>
        <v>1</v>
      </c>
      <c r="I1160" s="11">
        <v>0</v>
      </c>
      <c r="K1160" s="11" t="b">
        <v>0</v>
      </c>
    </row>
    <row r="1161" spans="1:11">
      <c r="A1161" s="11" t="s">
        <v>2133</v>
      </c>
      <c r="B1161" s="351">
        <f>报表附注!E1472</f>
        <v>0</v>
      </c>
      <c r="C1161" s="321">
        <f t="shared" si="116"/>
        <v>0</v>
      </c>
      <c r="D1161" s="11" t="b">
        <f t="shared" si="115"/>
        <v>0</v>
      </c>
      <c r="E1161" s="311"/>
      <c r="H1161" s="11" t="b">
        <f t="shared" si="117"/>
        <v>1</v>
      </c>
      <c r="I1161" s="11">
        <v>0</v>
      </c>
      <c r="K1161" s="11" t="b">
        <v>0</v>
      </c>
    </row>
    <row r="1162" spans="1:11">
      <c r="A1162" s="11" t="s">
        <v>2134</v>
      </c>
      <c r="B1162" s="351">
        <f>报表附注!E1473</f>
        <v>0</v>
      </c>
      <c r="C1162" s="321">
        <f t="shared" si="116"/>
        <v>0</v>
      </c>
      <c r="D1162" s="11" t="b">
        <f t="shared" si="115"/>
        <v>0</v>
      </c>
      <c r="E1162" s="311"/>
      <c r="H1162" s="11" t="b">
        <f t="shared" si="117"/>
        <v>1</v>
      </c>
      <c r="K1162" s="11" t="b">
        <v>1</v>
      </c>
    </row>
    <row r="1163" spans="1:11">
      <c r="A1163" s="11" t="s">
        <v>2135</v>
      </c>
      <c r="B1163" s="351">
        <f>报表附注!E1474</f>
        <v>0</v>
      </c>
      <c r="C1163" s="321">
        <f t="shared" si="116"/>
        <v>0</v>
      </c>
      <c r="D1163" s="11" t="b">
        <f t="shared" si="115"/>
        <v>0</v>
      </c>
      <c r="E1163" s="311"/>
      <c r="H1163" s="11" t="b">
        <f t="shared" si="117"/>
        <v>1</v>
      </c>
      <c r="K1163" s="11" t="b">
        <v>1</v>
      </c>
    </row>
    <row r="1164" spans="1:11">
      <c r="A1164" s="11" t="s">
        <v>2136</v>
      </c>
      <c r="B1164" s="351">
        <f>报表附注!E1475</f>
        <v>0</v>
      </c>
      <c r="C1164" s="321">
        <f t="shared" ref="C1164:C1169" si="118">J1156</f>
        <v>0</v>
      </c>
      <c r="D1164" s="11" t="b">
        <f t="shared" ref="D1164:D1227" si="119">EXACT(A1164,B1164)</f>
        <v>0</v>
      </c>
      <c r="E1164" s="311"/>
      <c r="H1164" s="11" t="b">
        <f t="shared" si="117"/>
        <v>0</v>
      </c>
      <c r="I1164" s="11" t="s">
        <v>2142</v>
      </c>
      <c r="K1164" s="11" t="b">
        <v>1</v>
      </c>
    </row>
    <row r="1165" spans="1:11">
      <c r="A1165" s="11" t="s">
        <v>2137</v>
      </c>
      <c r="B1165" s="351">
        <f>报表附注!E1476</f>
        <v>0</v>
      </c>
      <c r="C1165" s="321">
        <f t="shared" si="118"/>
        <v>0</v>
      </c>
      <c r="D1165" s="11" t="b">
        <f t="shared" si="119"/>
        <v>0</v>
      </c>
      <c r="E1165" s="311"/>
      <c r="H1165" s="11" t="b">
        <f t="shared" si="117"/>
        <v>0</v>
      </c>
      <c r="I1165" s="11" t="s">
        <v>671</v>
      </c>
      <c r="K1165" s="11" t="b">
        <v>1</v>
      </c>
    </row>
    <row r="1166" spans="1:11">
      <c r="A1166" s="11" t="s">
        <v>2138</v>
      </c>
      <c r="B1166" s="351">
        <f>报表附注!E1477</f>
        <v>0</v>
      </c>
      <c r="C1166" s="321">
        <f t="shared" si="118"/>
        <v>0</v>
      </c>
      <c r="D1166" s="11" t="b">
        <f t="shared" si="119"/>
        <v>0</v>
      </c>
      <c r="E1166" s="311"/>
      <c r="H1166" s="11" t="b">
        <f t="shared" si="117"/>
        <v>0</v>
      </c>
      <c r="I1166" s="11" t="s">
        <v>2143</v>
      </c>
      <c r="K1166" s="11" t="b">
        <v>1</v>
      </c>
    </row>
    <row r="1167" spans="1:11">
      <c r="A1167" s="11" t="s">
        <v>2139</v>
      </c>
      <c r="B1167" s="351">
        <f>报表附注!E1478</f>
        <v>0</v>
      </c>
      <c r="C1167" s="321">
        <f t="shared" si="118"/>
        <v>0</v>
      </c>
      <c r="D1167" s="11" t="b">
        <f t="shared" si="119"/>
        <v>0</v>
      </c>
      <c r="E1167" s="311"/>
      <c r="H1167" s="11" t="b">
        <f t="shared" si="117"/>
        <v>0</v>
      </c>
      <c r="I1167" s="11" t="s">
        <v>247</v>
      </c>
      <c r="K1167" s="11" t="b">
        <v>1</v>
      </c>
    </row>
    <row r="1168" spans="1:11">
      <c r="A1168" s="11" t="s">
        <v>2140</v>
      </c>
      <c r="B1168" s="351">
        <f>报表附注!E1479</f>
        <v>0</v>
      </c>
      <c r="C1168" s="321">
        <f t="shared" si="118"/>
        <v>0</v>
      </c>
      <c r="D1168" s="11" t="b">
        <f t="shared" si="119"/>
        <v>0</v>
      </c>
      <c r="E1168" s="311"/>
      <c r="H1168" s="11" t="b">
        <f t="shared" si="117"/>
        <v>0</v>
      </c>
      <c r="I1168" s="11" t="s">
        <v>2021</v>
      </c>
      <c r="K1168" s="11" t="b">
        <v>1</v>
      </c>
    </row>
    <row r="1169" spans="1:11">
      <c r="A1169" s="11" t="s">
        <v>2141</v>
      </c>
      <c r="B1169" s="351">
        <f>报表附注!E1480</f>
        <v>0</v>
      </c>
      <c r="C1169" s="321">
        <f t="shared" si="118"/>
        <v>0</v>
      </c>
      <c r="D1169" s="11" t="b">
        <f t="shared" si="119"/>
        <v>0</v>
      </c>
      <c r="E1169" s="311"/>
      <c r="H1169" s="11" t="b">
        <f t="shared" si="117"/>
        <v>0</v>
      </c>
      <c r="I1169" s="11" t="s">
        <v>672</v>
      </c>
      <c r="K1169" s="11" t="b">
        <v>1</v>
      </c>
    </row>
    <row r="1170" spans="2:11">
      <c r="B1170" s="334"/>
      <c r="C1170" s="321"/>
      <c r="D1170" s="11" t="b">
        <f t="shared" si="119"/>
        <v>1</v>
      </c>
      <c r="E1170" s="311"/>
      <c r="H1170" s="11" t="b">
        <f t="shared" si="117"/>
        <v>0</v>
      </c>
      <c r="I1170" s="11" t="s">
        <v>2143</v>
      </c>
      <c r="K1170" s="11" t="b">
        <v>1</v>
      </c>
    </row>
    <row r="1171" spans="4:11">
      <c r="D1171" s="11" t="b">
        <f t="shared" si="119"/>
        <v>1</v>
      </c>
      <c r="H1171" s="11" t="b">
        <f t="shared" si="117"/>
        <v>0</v>
      </c>
      <c r="I1171" s="11" t="s">
        <v>247</v>
      </c>
      <c r="K1171" s="11" t="b">
        <v>1</v>
      </c>
    </row>
    <row r="1172" spans="1:11">
      <c r="A1172" s="11" t="s">
        <v>2142</v>
      </c>
      <c r="B1172" s="353" t="s">
        <v>2142</v>
      </c>
      <c r="D1172" s="11" t="b">
        <f t="shared" si="119"/>
        <v>1</v>
      </c>
      <c r="H1172" s="11" t="b">
        <f t="shared" si="117"/>
        <v>0</v>
      </c>
      <c r="I1172" s="11" t="s">
        <v>2021</v>
      </c>
      <c r="K1172" s="11" t="b">
        <v>1</v>
      </c>
    </row>
    <row r="1173" spans="1:11">
      <c r="A1173" s="11" t="s">
        <v>671</v>
      </c>
      <c r="B1173" s="333" t="s">
        <v>671</v>
      </c>
      <c r="D1173" s="11" t="b">
        <f t="shared" si="119"/>
        <v>1</v>
      </c>
      <c r="H1173" s="11" t="b">
        <f t="shared" si="117"/>
        <v>0</v>
      </c>
      <c r="I1173" s="11" t="s">
        <v>2144</v>
      </c>
      <c r="K1173" s="11" t="b">
        <v>1</v>
      </c>
    </row>
    <row r="1174" spans="1:11">
      <c r="A1174" s="11" t="s">
        <v>2143</v>
      </c>
      <c r="B1174" s="310" t="str">
        <f>报表附注!E1509</f>
        <v>研究支出</v>
      </c>
      <c r="C1174" s="357">
        <f t="shared" ref="C1174:C1188" si="120">J1166</f>
        <v>0</v>
      </c>
      <c r="D1174" s="11" t="b">
        <f t="shared" si="119"/>
        <v>1</v>
      </c>
      <c r="E1174" s="357">
        <f>C1174+C1178-C1182-C1186</f>
        <v>0</v>
      </c>
      <c r="H1174" s="11" t="b">
        <f t="shared" si="117"/>
        <v>1</v>
      </c>
      <c r="I1174" s="11" t="s">
        <v>2143</v>
      </c>
      <c r="K1174" s="11" t="b">
        <v>1</v>
      </c>
    </row>
    <row r="1175" spans="1:11">
      <c r="A1175" s="11" t="s">
        <v>247</v>
      </c>
      <c r="B1175" s="310" t="str">
        <f>报表附注!E1510</f>
        <v>开发支出</v>
      </c>
      <c r="C1175" s="357">
        <f t="shared" si="120"/>
        <v>0</v>
      </c>
      <c r="D1175" s="11" t="b">
        <f t="shared" si="119"/>
        <v>1</v>
      </c>
      <c r="E1175" s="357">
        <f t="shared" ref="E1175:E1176" si="121">C1175+C1179-C1183-C1187</f>
        <v>0</v>
      </c>
      <c r="H1175" s="11" t="b">
        <f t="shared" si="117"/>
        <v>1</v>
      </c>
      <c r="I1175" s="11" t="s">
        <v>247</v>
      </c>
      <c r="K1175" s="11" t="b">
        <v>1</v>
      </c>
    </row>
    <row r="1176" spans="1:11">
      <c r="A1176" s="11" t="s">
        <v>2021</v>
      </c>
      <c r="B1176" s="320" t="str">
        <f>报表附注!E1511</f>
        <v>合计</v>
      </c>
      <c r="C1176" s="357">
        <f t="shared" si="120"/>
        <v>0</v>
      </c>
      <c r="D1176" s="11" t="b">
        <f t="shared" si="119"/>
        <v>1</v>
      </c>
      <c r="E1176" s="357">
        <f t="shared" si="121"/>
        <v>0</v>
      </c>
      <c r="H1176" s="11" t="b">
        <f t="shared" si="117"/>
        <v>1</v>
      </c>
      <c r="I1176" s="11" t="s">
        <v>2021</v>
      </c>
      <c r="K1176" s="11" t="b">
        <v>1</v>
      </c>
    </row>
    <row r="1177" spans="1:11">
      <c r="A1177" s="11" t="s">
        <v>672</v>
      </c>
      <c r="B1177" s="333" t="s">
        <v>672</v>
      </c>
      <c r="C1177" s="328">
        <f t="shared" si="120"/>
        <v>0</v>
      </c>
      <c r="D1177" s="11" t="b">
        <f t="shared" si="119"/>
        <v>1</v>
      </c>
      <c r="H1177" s="11" t="b">
        <f t="shared" si="117"/>
        <v>0</v>
      </c>
      <c r="I1177" s="11" t="s">
        <v>2145</v>
      </c>
      <c r="K1177" s="11" t="b">
        <v>1</v>
      </c>
    </row>
    <row r="1178" spans="1:11">
      <c r="A1178" s="11" t="s">
        <v>2143</v>
      </c>
      <c r="B1178" s="310" t="str">
        <f>报表附注!E1509</f>
        <v>研究支出</v>
      </c>
      <c r="C1178" s="321">
        <f t="shared" si="120"/>
        <v>0</v>
      </c>
      <c r="D1178" s="11" t="b">
        <f t="shared" si="119"/>
        <v>1</v>
      </c>
      <c r="E1178" s="311"/>
      <c r="H1178" s="11" t="b">
        <f t="shared" si="117"/>
        <v>1</v>
      </c>
      <c r="I1178" s="11" t="s">
        <v>2143</v>
      </c>
      <c r="K1178" s="11" t="b">
        <v>1</v>
      </c>
    </row>
    <row r="1179" spans="1:11">
      <c r="A1179" s="11" t="s">
        <v>247</v>
      </c>
      <c r="B1179" s="310" t="str">
        <f>报表附注!E1510</f>
        <v>开发支出</v>
      </c>
      <c r="C1179" s="321">
        <f t="shared" si="120"/>
        <v>0</v>
      </c>
      <c r="D1179" s="11" t="b">
        <f t="shared" si="119"/>
        <v>1</v>
      </c>
      <c r="E1179" s="311"/>
      <c r="H1179" s="11" t="b">
        <f t="shared" si="117"/>
        <v>1</v>
      </c>
      <c r="I1179" s="11" t="s">
        <v>247</v>
      </c>
      <c r="K1179" s="11" t="b">
        <v>1</v>
      </c>
    </row>
    <row r="1180" spans="1:11">
      <c r="A1180" s="11" t="s">
        <v>2021</v>
      </c>
      <c r="B1180" s="320" t="str">
        <f>报表附注!E1511</f>
        <v>合计</v>
      </c>
      <c r="C1180" s="321">
        <f t="shared" si="120"/>
        <v>0</v>
      </c>
      <c r="D1180" s="11" t="b">
        <f t="shared" si="119"/>
        <v>1</v>
      </c>
      <c r="E1180" s="311"/>
      <c r="H1180" s="11" t="b">
        <f t="shared" si="117"/>
        <v>1</v>
      </c>
      <c r="I1180" s="11" t="s">
        <v>2021</v>
      </c>
      <c r="K1180" s="11" t="b">
        <v>1</v>
      </c>
    </row>
    <row r="1181" spans="1:11">
      <c r="A1181" s="11" t="s">
        <v>2144</v>
      </c>
      <c r="B1181" s="333" t="s">
        <v>2144</v>
      </c>
      <c r="C1181" s="328">
        <f t="shared" si="120"/>
        <v>0</v>
      </c>
      <c r="D1181" s="11" t="b">
        <f t="shared" si="119"/>
        <v>1</v>
      </c>
      <c r="E1181" s="326"/>
      <c r="H1181" s="11" t="b">
        <f t="shared" si="117"/>
        <v>0</v>
      </c>
      <c r="K1181" s="11" t="b">
        <v>1</v>
      </c>
    </row>
    <row r="1182" spans="1:11">
      <c r="A1182" s="11" t="s">
        <v>2143</v>
      </c>
      <c r="B1182" s="310" t="str">
        <f>报表附注!E1509</f>
        <v>研究支出</v>
      </c>
      <c r="C1182" s="321">
        <f t="shared" si="120"/>
        <v>0</v>
      </c>
      <c r="D1182" s="11" t="b">
        <f t="shared" si="119"/>
        <v>1</v>
      </c>
      <c r="E1182" s="311"/>
      <c r="H1182" s="11" t="b">
        <f t="shared" si="117"/>
        <v>0</v>
      </c>
      <c r="K1182" s="11" t="b">
        <v>1</v>
      </c>
    </row>
    <row r="1183" spans="1:11">
      <c r="A1183" s="11" t="s">
        <v>247</v>
      </c>
      <c r="B1183" s="310" t="str">
        <f>报表附注!E1510</f>
        <v>开发支出</v>
      </c>
      <c r="C1183" s="321">
        <f t="shared" si="120"/>
        <v>0</v>
      </c>
      <c r="D1183" s="11" t="b">
        <f t="shared" si="119"/>
        <v>1</v>
      </c>
      <c r="E1183" s="311"/>
      <c r="H1183" s="11" t="b">
        <f t="shared" si="117"/>
        <v>0</v>
      </c>
      <c r="I1183" s="11" t="s">
        <v>2146</v>
      </c>
      <c r="K1183" s="11" t="b">
        <v>1</v>
      </c>
    </row>
    <row r="1184" spans="1:11">
      <c r="A1184" s="11" t="s">
        <v>2021</v>
      </c>
      <c r="B1184" s="320" t="str">
        <f>报表附注!E1511</f>
        <v>合计</v>
      </c>
      <c r="C1184" s="321">
        <f t="shared" si="120"/>
        <v>0</v>
      </c>
      <c r="D1184" s="11" t="b">
        <f t="shared" si="119"/>
        <v>1</v>
      </c>
      <c r="E1184" s="311"/>
      <c r="H1184" s="11" t="b">
        <f t="shared" si="117"/>
        <v>0</v>
      </c>
      <c r="K1184" s="11" t="b">
        <v>1</v>
      </c>
    </row>
    <row r="1185" spans="1:11">
      <c r="A1185" s="11" t="s">
        <v>2145</v>
      </c>
      <c r="B1185" s="333" t="s">
        <v>2145</v>
      </c>
      <c r="C1185" s="328">
        <f t="shared" si="120"/>
        <v>0</v>
      </c>
      <c r="D1185" s="11" t="b">
        <f t="shared" si="119"/>
        <v>1</v>
      </c>
      <c r="E1185" s="326"/>
      <c r="H1185" s="11" t="b">
        <f t="shared" si="117"/>
        <v>0</v>
      </c>
      <c r="I1185" s="11" t="s">
        <v>2147</v>
      </c>
      <c r="K1185" s="11" t="b">
        <v>1</v>
      </c>
    </row>
    <row r="1186" spans="1:11">
      <c r="A1186" s="11" t="s">
        <v>2143</v>
      </c>
      <c r="B1186" s="310" t="str">
        <f>报表附注!E1509</f>
        <v>研究支出</v>
      </c>
      <c r="C1186" s="321">
        <f t="shared" si="120"/>
        <v>0</v>
      </c>
      <c r="D1186" s="11" t="b">
        <f t="shared" si="119"/>
        <v>1</v>
      </c>
      <c r="E1186" s="311"/>
      <c r="H1186" s="11" t="b">
        <f t="shared" si="117"/>
        <v>0</v>
      </c>
      <c r="K1186" s="11" t="b">
        <v>1</v>
      </c>
    </row>
    <row r="1187" spans="1:11">
      <c r="A1187" s="11" t="s">
        <v>247</v>
      </c>
      <c r="B1187" s="310" t="str">
        <f>报表附注!E1510</f>
        <v>开发支出</v>
      </c>
      <c r="C1187" s="321">
        <f t="shared" si="120"/>
        <v>0</v>
      </c>
      <c r="D1187" s="11" t="b">
        <f t="shared" si="119"/>
        <v>1</v>
      </c>
      <c r="E1187" s="311"/>
      <c r="H1187" s="11" t="b">
        <f t="shared" si="117"/>
        <v>0</v>
      </c>
      <c r="I1187" s="11" t="s">
        <v>2148</v>
      </c>
      <c r="K1187" s="11" t="b">
        <v>1</v>
      </c>
    </row>
    <row r="1188" spans="1:11">
      <c r="A1188" s="11" t="s">
        <v>2021</v>
      </c>
      <c r="B1188" s="320" t="str">
        <f>报表附注!E1511</f>
        <v>合计</v>
      </c>
      <c r="C1188" s="321">
        <f t="shared" si="120"/>
        <v>0</v>
      </c>
      <c r="D1188" s="11" t="b">
        <f t="shared" si="119"/>
        <v>1</v>
      </c>
      <c r="E1188" s="311"/>
      <c r="H1188" s="11" t="b">
        <f t="shared" si="117"/>
        <v>0</v>
      </c>
      <c r="K1188" s="11" t="b">
        <v>1</v>
      </c>
    </row>
    <row r="1189" spans="4:11">
      <c r="D1189" s="11" t="b">
        <f t="shared" si="119"/>
        <v>1</v>
      </c>
      <c r="H1189" s="11" t="b">
        <f t="shared" si="117"/>
        <v>0</v>
      </c>
      <c r="I1189" s="11" t="s">
        <v>2149</v>
      </c>
      <c r="K1189" s="11" t="b">
        <v>1</v>
      </c>
    </row>
    <row r="1190" spans="4:11">
      <c r="D1190" s="11" t="b">
        <f t="shared" si="119"/>
        <v>1</v>
      </c>
      <c r="H1190" s="11" t="b">
        <f t="shared" si="117"/>
        <v>0</v>
      </c>
      <c r="I1190" s="11" t="s">
        <v>316</v>
      </c>
      <c r="K1190" s="11" t="b">
        <v>1</v>
      </c>
    </row>
    <row r="1191" spans="1:11">
      <c r="A1191" s="11" t="s">
        <v>2146</v>
      </c>
      <c r="B1191" s="331" t="s">
        <v>2146</v>
      </c>
      <c r="D1191" s="11" t="b">
        <f t="shared" si="119"/>
        <v>1</v>
      </c>
      <c r="H1191" s="11" t="b">
        <f t="shared" si="117"/>
        <v>0</v>
      </c>
      <c r="I1191" s="11" t="s">
        <v>935</v>
      </c>
      <c r="K1191" s="11" t="b">
        <v>1</v>
      </c>
    </row>
    <row r="1192" spans="4:11">
      <c r="D1192" s="11" t="b">
        <f t="shared" si="119"/>
        <v>1</v>
      </c>
      <c r="H1192" s="11" t="b">
        <f t="shared" si="117"/>
        <v>0</v>
      </c>
      <c r="I1192" s="11" t="s">
        <v>2150</v>
      </c>
      <c r="K1192" s="11" t="b">
        <v>1</v>
      </c>
    </row>
    <row r="1193" spans="1:11">
      <c r="A1193" s="11" t="s">
        <v>2147</v>
      </c>
      <c r="B1193" s="331" t="s">
        <v>2147</v>
      </c>
      <c r="D1193" s="11" t="b">
        <f t="shared" si="119"/>
        <v>1</v>
      </c>
      <c r="H1193" s="11" t="b">
        <f t="shared" si="117"/>
        <v>0</v>
      </c>
      <c r="I1193" s="11" t="s">
        <v>2151</v>
      </c>
      <c r="J1193" s="323">
        <f>ROUND(J1222*15%,2)</f>
        <v>542375.04</v>
      </c>
      <c r="K1193" s="11" t="b">
        <v>1</v>
      </c>
    </row>
    <row r="1194" spans="4:11">
      <c r="D1194" s="11" t="b">
        <f t="shared" si="119"/>
        <v>1</v>
      </c>
      <c r="H1194" s="11" t="b">
        <f t="shared" si="117"/>
        <v>0</v>
      </c>
      <c r="I1194" s="11" t="s">
        <v>2152</v>
      </c>
      <c r="J1194" s="323">
        <f>ROUND(J1223*15%,2)</f>
        <v>268317.19</v>
      </c>
      <c r="K1194" s="11" t="b">
        <v>1</v>
      </c>
    </row>
    <row r="1195" spans="1:11">
      <c r="A1195" s="11" t="s">
        <v>2148</v>
      </c>
      <c r="B1195" s="358" t="s">
        <v>2148</v>
      </c>
      <c r="D1195" s="11" t="b">
        <f t="shared" si="119"/>
        <v>1</v>
      </c>
      <c r="H1195" s="11" t="b">
        <f t="shared" si="117"/>
        <v>0</v>
      </c>
      <c r="I1195" s="11" t="s">
        <v>2153</v>
      </c>
      <c r="K1195" s="11" t="b">
        <v>1</v>
      </c>
    </row>
    <row r="1196" spans="4:11">
      <c r="D1196" s="11" t="b">
        <f t="shared" si="119"/>
        <v>1</v>
      </c>
      <c r="H1196" s="11" t="b">
        <f t="shared" si="117"/>
        <v>0</v>
      </c>
      <c r="I1196" s="11" t="s">
        <v>2154</v>
      </c>
      <c r="K1196" s="11" t="b">
        <v>1</v>
      </c>
    </row>
    <row r="1197" spans="1:11">
      <c r="A1197" s="11" t="s">
        <v>2149</v>
      </c>
      <c r="B1197" s="329" t="s">
        <v>2149</v>
      </c>
      <c r="D1197" s="11" t="b">
        <f t="shared" si="119"/>
        <v>1</v>
      </c>
      <c r="H1197" s="11" t="b">
        <f t="shared" si="117"/>
        <v>0</v>
      </c>
      <c r="I1197" s="11" t="s">
        <v>2155</v>
      </c>
      <c r="K1197" s="11" t="b">
        <v>1</v>
      </c>
    </row>
    <row r="1198" spans="1:11">
      <c r="A1198" s="11" t="s">
        <v>316</v>
      </c>
      <c r="B1198" s="333" t="s">
        <v>316</v>
      </c>
      <c r="D1198" s="11" t="b">
        <f t="shared" si="119"/>
        <v>1</v>
      </c>
      <c r="H1198" s="11" t="b">
        <f t="shared" si="117"/>
        <v>0</v>
      </c>
      <c r="I1198" s="11" t="s">
        <v>2156</v>
      </c>
      <c r="K1198" s="11" t="b">
        <v>1</v>
      </c>
    </row>
    <row r="1199" spans="1:11">
      <c r="A1199" s="11" t="s">
        <v>935</v>
      </c>
      <c r="B1199" s="315" t="str">
        <f>报表附注!E1602</f>
        <v>一、递延所得税资产</v>
      </c>
      <c r="C1199" s="318">
        <f t="shared" ref="C1199:C1230" si="122">J1191</f>
        <v>0</v>
      </c>
      <c r="D1199" s="11" t="b">
        <f t="shared" si="119"/>
        <v>1</v>
      </c>
      <c r="E1199" s="311"/>
      <c r="H1199" s="11" t="b">
        <f t="shared" si="117"/>
        <v>0</v>
      </c>
      <c r="I1199" s="11" t="s">
        <v>2157</v>
      </c>
      <c r="K1199" s="11" t="b">
        <v>1</v>
      </c>
    </row>
    <row r="1200" spans="1:11">
      <c r="A1200" s="11" t="s">
        <v>2150</v>
      </c>
      <c r="B1200" s="310" t="str">
        <f>报表附注!E1603</f>
        <v>1、资产减值准备：</v>
      </c>
      <c r="C1200" s="318">
        <f t="shared" si="122"/>
        <v>0</v>
      </c>
      <c r="D1200" s="11" t="b">
        <f t="shared" si="119"/>
        <v>0</v>
      </c>
      <c r="E1200" s="311"/>
      <c r="H1200" s="11" t="b">
        <f t="shared" si="117"/>
        <v>0</v>
      </c>
      <c r="I1200" s="11" t="s">
        <v>5711</v>
      </c>
      <c r="K1200" s="11" t="b">
        <v>0</v>
      </c>
    </row>
    <row r="1201" spans="1:11">
      <c r="A1201" s="11" t="s">
        <v>2151</v>
      </c>
      <c r="B1201" s="334" t="str">
        <f>报表附注!E1604</f>
        <v>      其中：坏账准备</v>
      </c>
      <c r="C1201" s="318">
        <f t="shared" si="122"/>
        <v>542375.04</v>
      </c>
      <c r="D1201" s="11" t="b">
        <f t="shared" si="119"/>
        <v>1</v>
      </c>
      <c r="E1201" s="311"/>
      <c r="H1201" s="11" t="b">
        <f t="shared" si="117"/>
        <v>0</v>
      </c>
      <c r="I1201" s="11" t="s">
        <v>5712</v>
      </c>
      <c r="K1201" s="11" t="b">
        <v>0</v>
      </c>
    </row>
    <row r="1202" spans="1:11">
      <c r="A1202" s="11" t="s">
        <v>2152</v>
      </c>
      <c r="B1202" s="334" t="str">
        <f>报表附注!E1605</f>
        <v>           存货减值</v>
      </c>
      <c r="C1202" s="318">
        <f t="shared" si="122"/>
        <v>268317.19</v>
      </c>
      <c r="D1202" s="11" t="b">
        <f t="shared" si="119"/>
        <v>1</v>
      </c>
      <c r="E1202" s="311"/>
      <c r="H1202" s="11" t="b">
        <f t="shared" si="117"/>
        <v>0</v>
      </c>
      <c r="I1202" s="11" t="s">
        <v>3489</v>
      </c>
      <c r="K1202" s="11" t="b">
        <v>0</v>
      </c>
    </row>
    <row r="1203" spans="1:11">
      <c r="A1203" s="11" t="s">
        <v>2153</v>
      </c>
      <c r="B1203" s="334" t="str">
        <f>报表附注!E1606</f>
        <v>           在建工程减值</v>
      </c>
      <c r="C1203" s="318">
        <f t="shared" si="122"/>
        <v>0</v>
      </c>
      <c r="D1203" s="11" t="b">
        <f t="shared" si="119"/>
        <v>1</v>
      </c>
      <c r="E1203" s="311"/>
      <c r="H1203" s="11" t="b">
        <f t="shared" si="117"/>
        <v>0</v>
      </c>
      <c r="I1203" s="11" t="s">
        <v>3490</v>
      </c>
      <c r="K1203" s="11" t="b">
        <v>0</v>
      </c>
    </row>
    <row r="1204" spans="1:11">
      <c r="A1204" s="11" t="s">
        <v>2154</v>
      </c>
      <c r="B1204" s="334" t="str">
        <f>报表附注!E1607</f>
        <v>           长期股权投资减值</v>
      </c>
      <c r="C1204" s="318">
        <f t="shared" si="122"/>
        <v>0</v>
      </c>
      <c r="D1204" s="11" t="b">
        <f t="shared" si="119"/>
        <v>1</v>
      </c>
      <c r="E1204" s="311"/>
      <c r="H1204" s="11" t="b">
        <f t="shared" si="117"/>
        <v>0</v>
      </c>
      <c r="I1204" s="11" t="s">
        <v>5713</v>
      </c>
      <c r="K1204" s="11" t="b">
        <v>0</v>
      </c>
    </row>
    <row r="1205" spans="1:11">
      <c r="A1205" s="11" t="s">
        <v>2155</v>
      </c>
      <c r="B1205" s="334" t="str">
        <f>报表附注!E1608</f>
        <v>           固定资产减值</v>
      </c>
      <c r="C1205" s="318">
        <f t="shared" si="122"/>
        <v>0</v>
      </c>
      <c r="D1205" s="11" t="b">
        <f t="shared" si="119"/>
        <v>1</v>
      </c>
      <c r="E1205" s="311"/>
      <c r="H1205" s="11" t="b">
        <f t="shared" si="117"/>
        <v>0</v>
      </c>
      <c r="I1205" s="11" t="s">
        <v>5714</v>
      </c>
      <c r="K1205" s="11" t="b">
        <v>0</v>
      </c>
    </row>
    <row r="1206" spans="1:11">
      <c r="A1206" s="11" t="s">
        <v>2156</v>
      </c>
      <c r="B1206" s="310" t="str">
        <f>报表附注!E1609</f>
        <v>            无形资产减值</v>
      </c>
      <c r="C1206" s="318">
        <f t="shared" si="122"/>
        <v>0</v>
      </c>
      <c r="D1206" s="11" t="b">
        <f t="shared" si="119"/>
        <v>1</v>
      </c>
      <c r="E1206" s="311"/>
      <c r="H1206" s="11" t="b">
        <f t="shared" si="117"/>
        <v>0</v>
      </c>
      <c r="I1206" s="11" t="s">
        <v>937</v>
      </c>
      <c r="K1206" s="11" t="b">
        <v>1</v>
      </c>
    </row>
    <row r="1207" spans="1:11">
      <c r="A1207" s="11" t="s">
        <v>2157</v>
      </c>
      <c r="B1207" s="310" t="str">
        <f>报表附注!E1610</f>
        <v>            商誉减值</v>
      </c>
      <c r="C1207" s="318">
        <f t="shared" si="122"/>
        <v>0</v>
      </c>
      <c r="D1207" s="11" t="b">
        <f t="shared" si="119"/>
        <v>1</v>
      </c>
      <c r="E1207" s="311"/>
      <c r="H1207" s="11" t="b">
        <f t="shared" si="117"/>
        <v>0</v>
      </c>
      <c r="I1207" s="11" t="s">
        <v>2164</v>
      </c>
      <c r="K1207" s="11" t="b">
        <v>1</v>
      </c>
    </row>
    <row r="1208" spans="1:11">
      <c r="A1208" s="11" t="s">
        <v>2158</v>
      </c>
      <c r="B1208" s="310" t="str">
        <f>报表附注!E1611</f>
        <v>2、预计后期到票的无票支出</v>
      </c>
      <c r="C1208" s="318">
        <f t="shared" si="122"/>
        <v>0</v>
      </c>
      <c r="D1208" s="11" t="b">
        <f t="shared" si="119"/>
        <v>0</v>
      </c>
      <c r="E1208" s="311"/>
      <c r="H1208" s="11" t="b">
        <f t="shared" si="117"/>
        <v>0</v>
      </c>
      <c r="I1208" s="11" t="s">
        <v>2165</v>
      </c>
      <c r="K1208" s="11" t="b">
        <v>1</v>
      </c>
    </row>
    <row r="1209" spans="1:11">
      <c r="A1209" s="11" t="s">
        <v>2159</v>
      </c>
      <c r="B1209" s="310" t="str">
        <f>报表附注!E1612</f>
        <v>3、分期付款购入存货融资费用</v>
      </c>
      <c r="C1209" s="318">
        <f t="shared" si="122"/>
        <v>0</v>
      </c>
      <c r="D1209" s="11" t="b">
        <f t="shared" si="119"/>
        <v>0</v>
      </c>
      <c r="E1209" s="311"/>
      <c r="H1209" s="11" t="b">
        <f t="shared" si="117"/>
        <v>0</v>
      </c>
      <c r="I1209" s="11" t="s">
        <v>3495</v>
      </c>
      <c r="K1209" s="11" t="b">
        <v>0</v>
      </c>
    </row>
    <row r="1210" ht="22.5" spans="1:11">
      <c r="A1210" s="11" t="s">
        <v>2160</v>
      </c>
      <c r="B1210" s="310" t="str">
        <f>报表附注!E1613</f>
        <v>4、非同一控制下企业合并产生递延所得税资产</v>
      </c>
      <c r="C1210" s="318">
        <f t="shared" si="122"/>
        <v>0</v>
      </c>
      <c r="D1210" s="11" t="b">
        <f t="shared" si="119"/>
        <v>0</v>
      </c>
      <c r="E1210" s="311"/>
      <c r="H1210" s="11" t="b">
        <f t="shared" si="117"/>
        <v>0</v>
      </c>
      <c r="I1210" s="11" t="s">
        <v>3496</v>
      </c>
      <c r="K1210" s="11" t="b">
        <v>0</v>
      </c>
    </row>
    <row r="1211" spans="1:11">
      <c r="A1211" s="11" t="s">
        <v>2161</v>
      </c>
      <c r="B1211" s="310" t="str">
        <f>报表附注!E1614</f>
        <v>5、计提未付的工资</v>
      </c>
      <c r="C1211" s="318">
        <f t="shared" si="122"/>
        <v>0</v>
      </c>
      <c r="D1211" s="11" t="b">
        <f t="shared" si="119"/>
        <v>0</v>
      </c>
      <c r="E1211" s="311"/>
      <c r="H1211" s="11" t="b">
        <f t="shared" si="117"/>
        <v>0</v>
      </c>
      <c r="I1211" s="11" t="s">
        <v>2166</v>
      </c>
      <c r="K1211" s="11" t="b">
        <v>1</v>
      </c>
    </row>
    <row r="1212" spans="1:11">
      <c r="A1212" s="11" t="s">
        <v>2162</v>
      </c>
      <c r="B1212" s="310" t="str">
        <f>报表附注!E1615</f>
        <v>6、递延收益</v>
      </c>
      <c r="C1212" s="318">
        <f t="shared" si="122"/>
        <v>0</v>
      </c>
      <c r="D1212" s="11" t="b">
        <f t="shared" si="119"/>
        <v>0</v>
      </c>
      <c r="E1212" s="311"/>
      <c r="H1212" s="11" t="b">
        <f t="shared" si="117"/>
        <v>0</v>
      </c>
      <c r="I1212" s="11" t="s">
        <v>2167</v>
      </c>
      <c r="K1212" s="11" t="b">
        <v>1</v>
      </c>
    </row>
    <row r="1213" spans="1:11">
      <c r="A1213" s="11" t="s">
        <v>2163</v>
      </c>
      <c r="B1213" s="310" t="str">
        <f>报表附注!E1616</f>
        <v>7、内部交易未实现损益</v>
      </c>
      <c r="C1213" s="318">
        <f t="shared" si="122"/>
        <v>0</v>
      </c>
      <c r="D1213" s="11" t="b">
        <f t="shared" si="119"/>
        <v>0</v>
      </c>
      <c r="E1213" s="311"/>
      <c r="H1213" s="11" t="b">
        <f t="shared" si="117"/>
        <v>0</v>
      </c>
      <c r="I1213" s="11" t="s">
        <v>2168</v>
      </c>
      <c r="K1213" s="11" t="b">
        <v>1</v>
      </c>
    </row>
    <row r="1214" spans="1:11">
      <c r="A1214" s="11" t="s">
        <v>937</v>
      </c>
      <c r="B1214" s="315" t="str">
        <f>报表附注!E1617</f>
        <v>二、递延所得税负债</v>
      </c>
      <c r="C1214" s="318">
        <f t="shared" si="122"/>
        <v>0</v>
      </c>
      <c r="D1214" s="11" t="b">
        <f t="shared" si="119"/>
        <v>1</v>
      </c>
      <c r="E1214" s="311"/>
      <c r="H1214" s="11" t="b">
        <f t="shared" si="117"/>
        <v>0</v>
      </c>
      <c r="I1214" s="11" t="s">
        <v>2169</v>
      </c>
      <c r="K1214" s="11" t="b">
        <v>1</v>
      </c>
    </row>
    <row r="1215" spans="1:11">
      <c r="A1215" s="11" t="s">
        <v>2164</v>
      </c>
      <c r="B1215" s="310" t="str">
        <f>报表附注!E1618</f>
        <v>1、交易性金融工具、衍生金融工具的估值</v>
      </c>
      <c r="C1215" s="318">
        <f t="shared" si="122"/>
        <v>0</v>
      </c>
      <c r="D1215" s="11" t="b">
        <f t="shared" si="119"/>
        <v>0</v>
      </c>
      <c r="E1215" s="311"/>
      <c r="H1215" s="11" t="b">
        <f t="shared" si="117"/>
        <v>0</v>
      </c>
      <c r="I1215" s="11" t="s">
        <v>2170</v>
      </c>
      <c r="K1215" s="11" t="b">
        <v>1</v>
      </c>
    </row>
    <row r="1216" ht="22.5" spans="1:11">
      <c r="A1216" s="11" t="s">
        <v>2165</v>
      </c>
      <c r="B1216" s="310" t="str">
        <f>报表附注!E1619</f>
        <v>2、计入资本公积的可供出售金融资产公允价值变动</v>
      </c>
      <c r="C1216" s="318">
        <f t="shared" si="122"/>
        <v>0</v>
      </c>
      <c r="D1216" s="11" t="b">
        <f t="shared" si="119"/>
        <v>0</v>
      </c>
      <c r="E1216" s="311"/>
      <c r="H1216" s="11" t="b">
        <f t="shared" si="117"/>
        <v>0</v>
      </c>
      <c r="I1216" s="11" t="s">
        <v>2171</v>
      </c>
      <c r="K1216" s="11" t="b">
        <v>1</v>
      </c>
    </row>
    <row r="1217" ht="22.5" spans="1:11">
      <c r="A1217" s="11" t="s">
        <v>2162</v>
      </c>
      <c r="B1217" s="310" t="str">
        <f>报表附注!E1620</f>
        <v>3、非同一控制下企业合并产生递延所得税负债</v>
      </c>
      <c r="C1217" s="318">
        <f t="shared" si="122"/>
        <v>0</v>
      </c>
      <c r="D1217" s="11" t="b">
        <f t="shared" si="119"/>
        <v>0</v>
      </c>
      <c r="E1217" s="311"/>
      <c r="H1217" s="11" t="b">
        <f t="shared" si="117"/>
        <v>0</v>
      </c>
      <c r="I1217" s="11" t="s">
        <v>2172</v>
      </c>
      <c r="K1217" s="11" t="b">
        <v>1</v>
      </c>
    </row>
    <row r="1218" spans="1:11">
      <c r="A1218" s="11" t="s">
        <v>2163</v>
      </c>
      <c r="B1218" s="310" t="str">
        <f>报表附注!E1621</f>
        <v>4、内部交易未实现损益</v>
      </c>
      <c r="C1218" s="318">
        <f t="shared" si="122"/>
        <v>0</v>
      </c>
      <c r="D1218" s="11" t="b">
        <f t="shared" si="119"/>
        <v>0</v>
      </c>
      <c r="E1218" s="311"/>
      <c r="H1218" s="11" t="b">
        <f t="shared" si="117"/>
        <v>0</v>
      </c>
      <c r="I1218" s="11" t="s">
        <v>2173</v>
      </c>
      <c r="K1218" s="11" t="b">
        <v>1</v>
      </c>
    </row>
    <row r="1219" spans="1:11">
      <c r="A1219" s="11" t="s">
        <v>2166</v>
      </c>
      <c r="B1219" s="310" t="str">
        <f>报表附注!E1622</f>
        <v>5、固定资产评估增值</v>
      </c>
      <c r="C1219" s="318">
        <f t="shared" si="122"/>
        <v>0</v>
      </c>
      <c r="D1219" s="11" t="b">
        <f t="shared" si="119"/>
        <v>0</v>
      </c>
      <c r="E1219" s="311"/>
      <c r="H1219" s="11" t="b">
        <f t="shared" si="117"/>
        <v>0</v>
      </c>
      <c r="I1219" s="11" t="s">
        <v>2174</v>
      </c>
      <c r="K1219" s="11" t="b">
        <v>1</v>
      </c>
    </row>
    <row r="1220" spans="1:11">
      <c r="A1220" s="11" t="s">
        <v>2167</v>
      </c>
      <c r="B1220" s="310" t="str">
        <f>报表附注!E1623</f>
        <v>新增项目4……</v>
      </c>
      <c r="C1220" s="318">
        <f t="shared" si="122"/>
        <v>0</v>
      </c>
      <c r="D1220" s="11" t="b">
        <f t="shared" si="119"/>
        <v>1</v>
      </c>
      <c r="E1220" s="311"/>
      <c r="H1220" s="11" t="b">
        <f t="shared" ref="H1220:H1283" si="123">I1220=B1220</f>
        <v>0</v>
      </c>
      <c r="I1220" s="11" t="s">
        <v>935</v>
      </c>
      <c r="K1220" s="11" t="b">
        <v>1</v>
      </c>
    </row>
    <row r="1221" spans="1:11">
      <c r="A1221" s="11" t="s">
        <v>2168</v>
      </c>
      <c r="B1221" s="310" t="str">
        <f>报表附注!E1624</f>
        <v>新增项目5……</v>
      </c>
      <c r="C1221" s="318">
        <f t="shared" si="122"/>
        <v>0</v>
      </c>
      <c r="D1221" s="11" t="b">
        <f t="shared" si="119"/>
        <v>1</v>
      </c>
      <c r="E1221" s="311"/>
      <c r="H1221" s="11" t="b">
        <f t="shared" si="123"/>
        <v>0</v>
      </c>
      <c r="I1221" s="11" t="s">
        <v>2150</v>
      </c>
      <c r="K1221" s="11" t="b">
        <v>1</v>
      </c>
    </row>
    <row r="1222" spans="1:11">
      <c r="A1222" s="11" t="s">
        <v>2169</v>
      </c>
      <c r="B1222" s="310" t="str">
        <f>报表附注!E1625</f>
        <v>新增项目6……</v>
      </c>
      <c r="C1222" s="318">
        <f t="shared" si="122"/>
        <v>0</v>
      </c>
      <c r="D1222" s="11" t="b">
        <f t="shared" si="119"/>
        <v>1</v>
      </c>
      <c r="E1222" s="311"/>
      <c r="H1222" s="11" t="b">
        <f t="shared" si="123"/>
        <v>0</v>
      </c>
      <c r="I1222" s="11" t="s">
        <v>2151</v>
      </c>
      <c r="J1222" s="323">
        <v>3615833.59</v>
      </c>
      <c r="K1222" s="11" t="b">
        <v>1</v>
      </c>
    </row>
    <row r="1223" spans="1:11">
      <c r="A1223" s="11" t="s">
        <v>2170</v>
      </c>
      <c r="B1223" s="310" t="str">
        <f>报表附注!E1626</f>
        <v>新增项目7……</v>
      </c>
      <c r="C1223" s="318">
        <f t="shared" si="122"/>
        <v>0</v>
      </c>
      <c r="D1223" s="11" t="b">
        <f t="shared" si="119"/>
        <v>1</v>
      </c>
      <c r="E1223" s="311"/>
      <c r="H1223" s="11" t="b">
        <f t="shared" si="123"/>
        <v>0</v>
      </c>
      <c r="I1223" s="11" t="s">
        <v>2152</v>
      </c>
      <c r="J1223" s="323">
        <v>1788781.28</v>
      </c>
      <c r="K1223" s="11" t="b">
        <v>1</v>
      </c>
    </row>
    <row r="1224" spans="1:11">
      <c r="A1224" s="11" t="s">
        <v>2171</v>
      </c>
      <c r="B1224" s="310" t="str">
        <f>报表附注!E1627</f>
        <v>新增项目8……</v>
      </c>
      <c r="C1224" s="318">
        <f t="shared" si="122"/>
        <v>0</v>
      </c>
      <c r="D1224" s="11" t="b">
        <f t="shared" si="119"/>
        <v>1</v>
      </c>
      <c r="E1224" s="311"/>
      <c r="H1224" s="11" t="b">
        <f t="shared" si="123"/>
        <v>0</v>
      </c>
      <c r="I1224" s="11" t="s">
        <v>2153</v>
      </c>
      <c r="K1224" s="11" t="b">
        <v>1</v>
      </c>
    </row>
    <row r="1225" spans="1:11">
      <c r="A1225" s="11" t="s">
        <v>2172</v>
      </c>
      <c r="B1225" s="310" t="str">
        <f>报表附注!E1628</f>
        <v>新增项目9……</v>
      </c>
      <c r="C1225" s="318">
        <f t="shared" si="122"/>
        <v>0</v>
      </c>
      <c r="D1225" s="11" t="b">
        <f t="shared" si="119"/>
        <v>1</v>
      </c>
      <c r="E1225" s="311"/>
      <c r="H1225" s="11" t="b">
        <f t="shared" si="123"/>
        <v>0</v>
      </c>
      <c r="I1225" s="11" t="s">
        <v>2154</v>
      </c>
      <c r="K1225" s="11" t="b">
        <v>1</v>
      </c>
    </row>
    <row r="1226" spans="1:11">
      <c r="A1226" s="11" t="s">
        <v>2173</v>
      </c>
      <c r="B1226" s="310" t="str">
        <f>报表附注!E1629</f>
        <v>新增项目10……</v>
      </c>
      <c r="C1226" s="318">
        <f t="shared" si="122"/>
        <v>0</v>
      </c>
      <c r="D1226" s="11" t="b">
        <f t="shared" si="119"/>
        <v>1</v>
      </c>
      <c r="E1226" s="311"/>
      <c r="H1226" s="11" t="b">
        <f t="shared" si="123"/>
        <v>0</v>
      </c>
      <c r="I1226" s="11" t="s">
        <v>2155</v>
      </c>
      <c r="K1226" s="11" t="b">
        <v>1</v>
      </c>
    </row>
    <row r="1227" spans="1:11">
      <c r="A1227" s="11" t="s">
        <v>2174</v>
      </c>
      <c r="B1227" s="333" t="s">
        <v>2174</v>
      </c>
      <c r="C1227" s="328">
        <f t="shared" si="122"/>
        <v>0</v>
      </c>
      <c r="D1227" s="11" t="b">
        <f t="shared" si="119"/>
        <v>1</v>
      </c>
      <c r="E1227" s="326"/>
      <c r="H1227" s="11" t="b">
        <f t="shared" si="123"/>
        <v>0</v>
      </c>
      <c r="I1227" s="11" t="s">
        <v>2156</v>
      </c>
      <c r="K1227" s="11" t="b">
        <v>1</v>
      </c>
    </row>
    <row r="1228" spans="1:11">
      <c r="A1228" s="11" t="s">
        <v>935</v>
      </c>
      <c r="B1228" s="310" t="str">
        <f>报表附注!E1602</f>
        <v>一、递延所得税资产</v>
      </c>
      <c r="C1228" s="318">
        <f t="shared" si="122"/>
        <v>0</v>
      </c>
      <c r="D1228" s="11" t="b">
        <f t="shared" ref="D1228:D1291" si="124">EXACT(A1228,B1228)</f>
        <v>1</v>
      </c>
      <c r="E1228" s="311"/>
      <c r="H1228" s="11" t="b">
        <f t="shared" si="123"/>
        <v>0</v>
      </c>
      <c r="I1228" s="11" t="s">
        <v>2157</v>
      </c>
      <c r="K1228" s="11" t="b">
        <v>1</v>
      </c>
    </row>
    <row r="1229" spans="1:11">
      <c r="A1229" s="11" t="s">
        <v>2150</v>
      </c>
      <c r="B1229" s="310" t="str">
        <f>报表附注!E1603</f>
        <v>1、资产减值准备：</v>
      </c>
      <c r="C1229" s="318">
        <f t="shared" si="122"/>
        <v>0</v>
      </c>
      <c r="D1229" s="11" t="b">
        <f t="shared" si="124"/>
        <v>0</v>
      </c>
      <c r="E1229" s="311"/>
      <c r="H1229" s="11" t="b">
        <f t="shared" si="123"/>
        <v>0</v>
      </c>
      <c r="I1229" s="11" t="s">
        <v>5711</v>
      </c>
      <c r="K1229" s="11" t="b">
        <v>0</v>
      </c>
    </row>
    <row r="1230" spans="1:11">
      <c r="A1230" s="11" t="s">
        <v>2151</v>
      </c>
      <c r="B1230" s="334" t="str">
        <f>报表附注!E1604</f>
        <v>      其中：坏账准备</v>
      </c>
      <c r="C1230" s="318">
        <f t="shared" si="122"/>
        <v>3615833.59</v>
      </c>
      <c r="D1230" s="11" t="b">
        <f t="shared" si="124"/>
        <v>1</v>
      </c>
      <c r="E1230" s="311"/>
      <c r="H1230" s="11" t="b">
        <f t="shared" si="123"/>
        <v>0</v>
      </c>
      <c r="I1230" s="11" t="s">
        <v>5712</v>
      </c>
      <c r="K1230" s="11" t="b">
        <v>0</v>
      </c>
    </row>
    <row r="1231" spans="1:11">
      <c r="A1231" s="11" t="s">
        <v>2152</v>
      </c>
      <c r="B1231" s="334" t="str">
        <f>报表附注!E1605</f>
        <v>           存货减值</v>
      </c>
      <c r="C1231" s="318">
        <f t="shared" ref="C1231:C1262" si="125">J1223</f>
        <v>1788781.28</v>
      </c>
      <c r="D1231" s="11" t="b">
        <f t="shared" si="124"/>
        <v>1</v>
      </c>
      <c r="E1231" s="311"/>
      <c r="H1231" s="11" t="b">
        <f t="shared" si="123"/>
        <v>0</v>
      </c>
      <c r="I1231" s="11" t="s">
        <v>3489</v>
      </c>
      <c r="K1231" s="11" t="b">
        <v>0</v>
      </c>
    </row>
    <row r="1232" spans="1:11">
      <c r="A1232" s="11" t="s">
        <v>2153</v>
      </c>
      <c r="B1232" s="334" t="str">
        <f>报表附注!E1606</f>
        <v>           在建工程减值</v>
      </c>
      <c r="C1232" s="318">
        <f t="shared" si="125"/>
        <v>0</v>
      </c>
      <c r="D1232" s="11" t="b">
        <f t="shared" si="124"/>
        <v>1</v>
      </c>
      <c r="E1232" s="311"/>
      <c r="H1232" s="11" t="b">
        <f t="shared" si="123"/>
        <v>0</v>
      </c>
      <c r="I1232" s="11" t="s">
        <v>3490</v>
      </c>
      <c r="K1232" s="11" t="b">
        <v>0</v>
      </c>
    </row>
    <row r="1233" spans="1:11">
      <c r="A1233" s="11" t="s">
        <v>2154</v>
      </c>
      <c r="B1233" s="334" t="str">
        <f>报表附注!E1607</f>
        <v>           长期股权投资减值</v>
      </c>
      <c r="C1233" s="318">
        <f t="shared" si="125"/>
        <v>0</v>
      </c>
      <c r="D1233" s="11" t="b">
        <f t="shared" si="124"/>
        <v>1</v>
      </c>
      <c r="E1233" s="311"/>
      <c r="H1233" s="11" t="b">
        <f t="shared" si="123"/>
        <v>0</v>
      </c>
      <c r="I1233" s="11" t="s">
        <v>5713</v>
      </c>
      <c r="K1233" s="11" t="b">
        <v>0</v>
      </c>
    </row>
    <row r="1234" spans="1:11">
      <c r="A1234" s="11" t="s">
        <v>2155</v>
      </c>
      <c r="B1234" s="334" t="str">
        <f>报表附注!E1608</f>
        <v>           固定资产减值</v>
      </c>
      <c r="C1234" s="318">
        <f t="shared" si="125"/>
        <v>0</v>
      </c>
      <c r="D1234" s="11" t="b">
        <f t="shared" si="124"/>
        <v>1</v>
      </c>
      <c r="E1234" s="311"/>
      <c r="H1234" s="11" t="b">
        <f t="shared" si="123"/>
        <v>0</v>
      </c>
      <c r="I1234" s="11" t="s">
        <v>5714</v>
      </c>
      <c r="K1234" s="11" t="b">
        <v>0</v>
      </c>
    </row>
    <row r="1235" spans="1:11">
      <c r="A1235" s="11" t="s">
        <v>2156</v>
      </c>
      <c r="B1235" s="310" t="str">
        <f>报表附注!E1609</f>
        <v>            无形资产减值</v>
      </c>
      <c r="C1235" s="318">
        <f t="shared" si="125"/>
        <v>0</v>
      </c>
      <c r="D1235" s="11" t="b">
        <f t="shared" si="124"/>
        <v>1</v>
      </c>
      <c r="E1235" s="311"/>
      <c r="H1235" s="11" t="b">
        <f t="shared" si="123"/>
        <v>0</v>
      </c>
      <c r="I1235" s="11" t="s">
        <v>937</v>
      </c>
      <c r="K1235" s="11" t="b">
        <v>1</v>
      </c>
    </row>
    <row r="1236" spans="1:11">
      <c r="A1236" s="11" t="s">
        <v>2157</v>
      </c>
      <c r="B1236" s="310" t="str">
        <f>报表附注!E1610</f>
        <v>            商誉减值</v>
      </c>
      <c r="C1236" s="318">
        <f t="shared" si="125"/>
        <v>0</v>
      </c>
      <c r="D1236" s="11" t="b">
        <f t="shared" si="124"/>
        <v>1</v>
      </c>
      <c r="E1236" s="311"/>
      <c r="H1236" s="11" t="b">
        <f t="shared" si="123"/>
        <v>0</v>
      </c>
      <c r="I1236" s="11" t="s">
        <v>2164</v>
      </c>
      <c r="K1236" s="11" t="b">
        <v>1</v>
      </c>
    </row>
    <row r="1237" spans="1:11">
      <c r="A1237" s="11" t="s">
        <v>2158</v>
      </c>
      <c r="B1237" s="310" t="str">
        <f>报表附注!E1611</f>
        <v>2、预计后期到票的无票支出</v>
      </c>
      <c r="C1237" s="318">
        <f t="shared" si="125"/>
        <v>0</v>
      </c>
      <c r="D1237" s="11" t="b">
        <f t="shared" si="124"/>
        <v>0</v>
      </c>
      <c r="E1237" s="311"/>
      <c r="H1237" s="11" t="b">
        <f t="shared" si="123"/>
        <v>0</v>
      </c>
      <c r="I1237" s="11" t="s">
        <v>2165</v>
      </c>
      <c r="K1237" s="11" t="b">
        <v>1</v>
      </c>
    </row>
    <row r="1238" spans="1:11">
      <c r="A1238" s="11" t="s">
        <v>2159</v>
      </c>
      <c r="B1238" s="310" t="str">
        <f>报表附注!E1612</f>
        <v>3、分期付款购入存货融资费用</v>
      </c>
      <c r="C1238" s="318">
        <f t="shared" si="125"/>
        <v>0</v>
      </c>
      <c r="D1238" s="11" t="b">
        <f t="shared" si="124"/>
        <v>0</v>
      </c>
      <c r="E1238" s="311"/>
      <c r="H1238" s="11" t="b">
        <f t="shared" si="123"/>
        <v>0</v>
      </c>
      <c r="I1238" s="11" t="s">
        <v>3495</v>
      </c>
      <c r="K1238" s="11" t="b">
        <v>0</v>
      </c>
    </row>
    <row r="1239" ht="22.5" spans="1:11">
      <c r="A1239" s="11" t="s">
        <v>2160</v>
      </c>
      <c r="B1239" s="310" t="str">
        <f>报表附注!E1613</f>
        <v>4、非同一控制下企业合并产生递延所得税资产</v>
      </c>
      <c r="C1239" s="318">
        <f t="shared" si="125"/>
        <v>0</v>
      </c>
      <c r="D1239" s="11" t="b">
        <f t="shared" si="124"/>
        <v>0</v>
      </c>
      <c r="E1239" s="311"/>
      <c r="H1239" s="11" t="b">
        <f t="shared" si="123"/>
        <v>0</v>
      </c>
      <c r="I1239" s="11" t="s">
        <v>3496</v>
      </c>
      <c r="K1239" s="11" t="b">
        <v>0</v>
      </c>
    </row>
    <row r="1240" spans="1:11">
      <c r="A1240" s="11" t="s">
        <v>2161</v>
      </c>
      <c r="B1240" s="310" t="str">
        <f>报表附注!E1614</f>
        <v>5、计提未付的工资</v>
      </c>
      <c r="C1240" s="318">
        <f t="shared" si="125"/>
        <v>0</v>
      </c>
      <c r="D1240" s="11" t="b">
        <f t="shared" si="124"/>
        <v>0</v>
      </c>
      <c r="E1240" s="311"/>
      <c r="H1240" s="11" t="b">
        <f t="shared" si="123"/>
        <v>0</v>
      </c>
      <c r="I1240" s="11" t="s">
        <v>2166</v>
      </c>
      <c r="K1240" s="11" t="b">
        <v>1</v>
      </c>
    </row>
    <row r="1241" spans="1:11">
      <c r="A1241" s="11" t="s">
        <v>2162</v>
      </c>
      <c r="B1241" s="310" t="str">
        <f>报表附注!E1615</f>
        <v>6、递延收益</v>
      </c>
      <c r="C1241" s="318">
        <f t="shared" si="125"/>
        <v>0</v>
      </c>
      <c r="D1241" s="11" t="b">
        <f t="shared" si="124"/>
        <v>0</v>
      </c>
      <c r="E1241" s="311"/>
      <c r="H1241" s="11" t="b">
        <f t="shared" si="123"/>
        <v>0</v>
      </c>
      <c r="I1241" s="11" t="s">
        <v>2167</v>
      </c>
      <c r="K1241" s="11" t="b">
        <v>1</v>
      </c>
    </row>
    <row r="1242" spans="1:11">
      <c r="A1242" s="11" t="s">
        <v>2163</v>
      </c>
      <c r="B1242" s="310" t="str">
        <f>报表附注!E1616</f>
        <v>7、内部交易未实现损益</v>
      </c>
      <c r="C1242" s="318">
        <f t="shared" si="125"/>
        <v>0</v>
      </c>
      <c r="D1242" s="11" t="b">
        <f t="shared" si="124"/>
        <v>0</v>
      </c>
      <c r="E1242" s="311"/>
      <c r="H1242" s="11" t="b">
        <f t="shared" si="123"/>
        <v>0</v>
      </c>
      <c r="I1242" s="11" t="s">
        <v>2168</v>
      </c>
      <c r="K1242" s="11" t="b">
        <v>1</v>
      </c>
    </row>
    <row r="1243" spans="1:11">
      <c r="A1243" s="11" t="s">
        <v>937</v>
      </c>
      <c r="B1243" s="310" t="str">
        <f>报表附注!E1617</f>
        <v>二、递延所得税负债</v>
      </c>
      <c r="C1243" s="318">
        <f t="shared" si="125"/>
        <v>0</v>
      </c>
      <c r="D1243" s="11" t="b">
        <f t="shared" si="124"/>
        <v>1</v>
      </c>
      <c r="E1243" s="311"/>
      <c r="H1243" s="11" t="b">
        <f t="shared" si="123"/>
        <v>0</v>
      </c>
      <c r="I1243" s="11" t="s">
        <v>2169</v>
      </c>
      <c r="K1243" s="11" t="b">
        <v>1</v>
      </c>
    </row>
    <row r="1244" spans="1:11">
      <c r="A1244" s="11" t="s">
        <v>2164</v>
      </c>
      <c r="B1244" s="310" t="str">
        <f>报表附注!E1618</f>
        <v>1、交易性金融工具、衍生金融工具的估值</v>
      </c>
      <c r="C1244" s="318">
        <f t="shared" si="125"/>
        <v>0</v>
      </c>
      <c r="D1244" s="11" t="b">
        <f t="shared" si="124"/>
        <v>0</v>
      </c>
      <c r="E1244" s="311"/>
      <c r="H1244" s="11" t="b">
        <f t="shared" si="123"/>
        <v>0</v>
      </c>
      <c r="I1244" s="11" t="s">
        <v>2170</v>
      </c>
      <c r="K1244" s="11" t="b">
        <v>1</v>
      </c>
    </row>
    <row r="1245" ht="22.5" spans="1:11">
      <c r="A1245" s="11" t="s">
        <v>2165</v>
      </c>
      <c r="B1245" s="310" t="str">
        <f>报表附注!E1619</f>
        <v>2、计入资本公积的可供出售金融资产公允价值变动</v>
      </c>
      <c r="C1245" s="318">
        <f t="shared" si="125"/>
        <v>0</v>
      </c>
      <c r="D1245" s="11" t="b">
        <f t="shared" si="124"/>
        <v>0</v>
      </c>
      <c r="E1245" s="311"/>
      <c r="H1245" s="11" t="b">
        <f t="shared" si="123"/>
        <v>0</v>
      </c>
      <c r="I1245" s="11" t="s">
        <v>2171</v>
      </c>
      <c r="K1245" s="11" t="b">
        <v>1</v>
      </c>
    </row>
    <row r="1246" ht="22.5" spans="1:11">
      <c r="A1246" s="11" t="s">
        <v>2162</v>
      </c>
      <c r="B1246" s="310" t="str">
        <f>报表附注!E1620</f>
        <v>3、非同一控制下企业合并产生递延所得税负债</v>
      </c>
      <c r="C1246" s="318">
        <f t="shared" si="125"/>
        <v>0</v>
      </c>
      <c r="D1246" s="11" t="b">
        <f t="shared" si="124"/>
        <v>0</v>
      </c>
      <c r="E1246" s="311"/>
      <c r="H1246" s="11" t="b">
        <f t="shared" si="123"/>
        <v>0</v>
      </c>
      <c r="I1246" s="11" t="s">
        <v>2172</v>
      </c>
      <c r="K1246" s="11" t="b">
        <v>1</v>
      </c>
    </row>
    <row r="1247" spans="1:11">
      <c r="A1247" s="11" t="s">
        <v>2163</v>
      </c>
      <c r="B1247" s="310" t="str">
        <f>报表附注!E1621</f>
        <v>4、内部交易未实现损益</v>
      </c>
      <c r="C1247" s="318">
        <f t="shared" si="125"/>
        <v>0</v>
      </c>
      <c r="D1247" s="11" t="b">
        <f t="shared" si="124"/>
        <v>0</v>
      </c>
      <c r="E1247" s="311"/>
      <c r="H1247" s="11" t="b">
        <f t="shared" si="123"/>
        <v>0</v>
      </c>
      <c r="I1247" s="11" t="s">
        <v>2173</v>
      </c>
      <c r="K1247" s="11" t="b">
        <v>1</v>
      </c>
    </row>
    <row r="1248" spans="1:11">
      <c r="A1248" s="11" t="s">
        <v>2166</v>
      </c>
      <c r="B1248" s="310" t="str">
        <f>报表附注!E1622</f>
        <v>5、固定资产评估增值</v>
      </c>
      <c r="C1248" s="318">
        <f t="shared" si="125"/>
        <v>0</v>
      </c>
      <c r="D1248" s="11" t="b">
        <f t="shared" si="124"/>
        <v>0</v>
      </c>
      <c r="E1248" s="311"/>
      <c r="H1248" s="11" t="b">
        <f t="shared" si="123"/>
        <v>0</v>
      </c>
      <c r="I1248" s="11" t="s">
        <v>2020</v>
      </c>
      <c r="K1248" s="11" t="b">
        <v>1</v>
      </c>
    </row>
    <row r="1249" spans="1:11">
      <c r="A1249" s="11" t="s">
        <v>2167</v>
      </c>
      <c r="B1249" s="310" t="str">
        <f>报表附注!E1623</f>
        <v>新增项目4……</v>
      </c>
      <c r="C1249" s="318">
        <f t="shared" si="125"/>
        <v>0</v>
      </c>
      <c r="D1249" s="11" t="b">
        <f t="shared" si="124"/>
        <v>1</v>
      </c>
      <c r="E1249" s="311"/>
      <c r="H1249" s="11" t="b">
        <f t="shared" si="123"/>
        <v>0</v>
      </c>
      <c r="I1249" s="11" t="s">
        <v>935</v>
      </c>
      <c r="K1249" s="11" t="b">
        <v>1</v>
      </c>
    </row>
    <row r="1250" spans="1:11">
      <c r="A1250" s="11" t="s">
        <v>2168</v>
      </c>
      <c r="B1250" s="310" t="str">
        <f>报表附注!E1624</f>
        <v>新增项目5……</v>
      </c>
      <c r="C1250" s="318">
        <f t="shared" si="125"/>
        <v>0</v>
      </c>
      <c r="D1250" s="11" t="b">
        <f t="shared" si="124"/>
        <v>1</v>
      </c>
      <c r="E1250" s="311"/>
      <c r="H1250" s="11" t="b">
        <f t="shared" si="123"/>
        <v>0</v>
      </c>
      <c r="I1250" s="11" t="s">
        <v>2150</v>
      </c>
      <c r="K1250" s="11" t="b">
        <v>1</v>
      </c>
    </row>
    <row r="1251" spans="1:11">
      <c r="A1251" s="11" t="s">
        <v>2169</v>
      </c>
      <c r="B1251" s="310" t="str">
        <f>报表附注!E1625</f>
        <v>新增项目6……</v>
      </c>
      <c r="C1251" s="318">
        <f t="shared" si="125"/>
        <v>0</v>
      </c>
      <c r="D1251" s="11" t="b">
        <f t="shared" si="124"/>
        <v>1</v>
      </c>
      <c r="E1251" s="311"/>
      <c r="H1251" s="11" t="b">
        <f t="shared" si="123"/>
        <v>0</v>
      </c>
      <c r="I1251" s="11" t="s">
        <v>2151</v>
      </c>
      <c r="K1251" s="11" t="b">
        <v>1</v>
      </c>
    </row>
    <row r="1252" spans="1:11">
      <c r="A1252" s="11" t="s">
        <v>2170</v>
      </c>
      <c r="B1252" s="310" t="str">
        <f>报表附注!E1626</f>
        <v>新增项目7……</v>
      </c>
      <c r="C1252" s="318">
        <f t="shared" si="125"/>
        <v>0</v>
      </c>
      <c r="D1252" s="11" t="b">
        <f t="shared" si="124"/>
        <v>1</v>
      </c>
      <c r="E1252" s="311"/>
      <c r="H1252" s="11" t="b">
        <f t="shared" si="123"/>
        <v>0</v>
      </c>
      <c r="I1252" s="11" t="s">
        <v>2152</v>
      </c>
      <c r="K1252" s="11" t="b">
        <v>1</v>
      </c>
    </row>
    <row r="1253" spans="1:11">
      <c r="A1253" s="11" t="s">
        <v>2171</v>
      </c>
      <c r="B1253" s="310" t="str">
        <f>报表附注!E1627</f>
        <v>新增项目8……</v>
      </c>
      <c r="C1253" s="318">
        <f t="shared" si="125"/>
        <v>0</v>
      </c>
      <c r="D1253" s="11" t="b">
        <f t="shared" si="124"/>
        <v>1</v>
      </c>
      <c r="E1253" s="311"/>
      <c r="H1253" s="11" t="b">
        <f t="shared" si="123"/>
        <v>0</v>
      </c>
      <c r="I1253" s="11" t="s">
        <v>2153</v>
      </c>
      <c r="K1253" s="11" t="b">
        <v>1</v>
      </c>
    </row>
    <row r="1254" spans="1:11">
      <c r="A1254" s="11" t="s">
        <v>2172</v>
      </c>
      <c r="B1254" s="310" t="str">
        <f>报表附注!E1628</f>
        <v>新增项目9……</v>
      </c>
      <c r="C1254" s="318">
        <f t="shared" si="125"/>
        <v>0</v>
      </c>
      <c r="D1254" s="11" t="b">
        <f t="shared" si="124"/>
        <v>1</v>
      </c>
      <c r="E1254" s="311"/>
      <c r="H1254" s="11" t="b">
        <f t="shared" si="123"/>
        <v>0</v>
      </c>
      <c r="I1254" s="11" t="s">
        <v>2154</v>
      </c>
      <c r="K1254" s="11" t="b">
        <v>1</v>
      </c>
    </row>
    <row r="1255" spans="1:11">
      <c r="A1255" s="11" t="s">
        <v>2173</v>
      </c>
      <c r="B1255" s="310" t="str">
        <f>报表附注!E1629</f>
        <v>新增项目10……</v>
      </c>
      <c r="C1255" s="318">
        <f t="shared" si="125"/>
        <v>0</v>
      </c>
      <c r="D1255" s="11" t="b">
        <f t="shared" si="124"/>
        <v>1</v>
      </c>
      <c r="E1255" s="311"/>
      <c r="H1255" s="11" t="b">
        <f t="shared" si="123"/>
        <v>0</v>
      </c>
      <c r="I1255" s="11" t="s">
        <v>2155</v>
      </c>
      <c r="K1255" s="11" t="b">
        <v>1</v>
      </c>
    </row>
    <row r="1256" spans="1:11">
      <c r="A1256" s="11" t="s">
        <v>2020</v>
      </c>
      <c r="B1256" s="333" t="s">
        <v>2020</v>
      </c>
      <c r="C1256" s="328">
        <f t="shared" si="125"/>
        <v>0</v>
      </c>
      <c r="D1256" s="11" t="b">
        <f t="shared" si="124"/>
        <v>1</v>
      </c>
      <c r="H1256" s="11" t="b">
        <f t="shared" si="123"/>
        <v>0</v>
      </c>
      <c r="I1256" s="11" t="s">
        <v>2156</v>
      </c>
      <c r="K1256" s="11" t="b">
        <v>1</v>
      </c>
    </row>
    <row r="1257" spans="1:11">
      <c r="A1257" s="11" t="s">
        <v>935</v>
      </c>
      <c r="B1257" s="310" t="str">
        <f>报表附注!E1602</f>
        <v>一、递延所得税资产</v>
      </c>
      <c r="C1257" s="321">
        <f t="shared" si="125"/>
        <v>0</v>
      </c>
      <c r="D1257" s="11" t="b">
        <f t="shared" si="124"/>
        <v>1</v>
      </c>
      <c r="E1257" s="321">
        <f>C1199</f>
        <v>0</v>
      </c>
      <c r="H1257" s="11" t="b">
        <f t="shared" si="123"/>
        <v>0</v>
      </c>
      <c r="I1257" s="11" t="s">
        <v>2157</v>
      </c>
      <c r="K1257" s="11" t="b">
        <v>1</v>
      </c>
    </row>
    <row r="1258" spans="1:11">
      <c r="A1258" s="11" t="s">
        <v>2150</v>
      </c>
      <c r="B1258" s="310" t="str">
        <f>报表附注!E1603</f>
        <v>1、资产减值准备：</v>
      </c>
      <c r="C1258" s="321">
        <f t="shared" si="125"/>
        <v>0</v>
      </c>
      <c r="D1258" s="11" t="b">
        <f t="shared" si="124"/>
        <v>0</v>
      </c>
      <c r="E1258" s="321">
        <f t="shared" ref="E1258:E1313" si="126">C1200</f>
        <v>0</v>
      </c>
      <c r="H1258" s="11" t="b">
        <f t="shared" si="123"/>
        <v>0</v>
      </c>
      <c r="I1258" s="11" t="s">
        <v>5711</v>
      </c>
      <c r="K1258" s="11" t="b">
        <v>0</v>
      </c>
    </row>
    <row r="1259" spans="1:11">
      <c r="A1259" s="11" t="s">
        <v>2151</v>
      </c>
      <c r="B1259" s="334" t="str">
        <f>报表附注!E1604</f>
        <v>      其中：坏账准备</v>
      </c>
      <c r="C1259" s="321">
        <f t="shared" si="125"/>
        <v>0</v>
      </c>
      <c r="D1259" s="11" t="b">
        <f t="shared" si="124"/>
        <v>1</v>
      </c>
      <c r="E1259" s="321">
        <f t="shared" si="126"/>
        <v>542375.04</v>
      </c>
      <c r="H1259" s="11" t="b">
        <f t="shared" si="123"/>
        <v>0</v>
      </c>
      <c r="I1259" s="11" t="s">
        <v>5712</v>
      </c>
      <c r="K1259" s="11" t="b">
        <v>0</v>
      </c>
    </row>
    <row r="1260" spans="1:11">
      <c r="A1260" s="11" t="s">
        <v>2152</v>
      </c>
      <c r="B1260" s="334" t="str">
        <f>报表附注!E1605</f>
        <v>           存货减值</v>
      </c>
      <c r="C1260" s="321">
        <f t="shared" si="125"/>
        <v>0</v>
      </c>
      <c r="D1260" s="11" t="b">
        <f t="shared" si="124"/>
        <v>1</v>
      </c>
      <c r="E1260" s="321">
        <f t="shared" si="126"/>
        <v>268317.19</v>
      </c>
      <c r="H1260" s="11" t="b">
        <f t="shared" si="123"/>
        <v>0</v>
      </c>
      <c r="I1260" s="11" t="s">
        <v>3489</v>
      </c>
      <c r="K1260" s="11" t="b">
        <v>0</v>
      </c>
    </row>
    <row r="1261" spans="1:11">
      <c r="A1261" s="11" t="s">
        <v>2153</v>
      </c>
      <c r="B1261" s="334" t="str">
        <f>报表附注!E1606</f>
        <v>           在建工程减值</v>
      </c>
      <c r="C1261" s="321">
        <f t="shared" si="125"/>
        <v>0</v>
      </c>
      <c r="D1261" s="11" t="b">
        <f t="shared" si="124"/>
        <v>1</v>
      </c>
      <c r="E1261" s="321">
        <f t="shared" si="126"/>
        <v>0</v>
      </c>
      <c r="H1261" s="11" t="b">
        <f t="shared" si="123"/>
        <v>0</v>
      </c>
      <c r="I1261" s="11" t="s">
        <v>3490</v>
      </c>
      <c r="K1261" s="11" t="b">
        <v>0</v>
      </c>
    </row>
    <row r="1262" spans="1:11">
      <c r="A1262" s="11" t="s">
        <v>2154</v>
      </c>
      <c r="B1262" s="334" t="str">
        <f>报表附注!E1607</f>
        <v>           长期股权投资减值</v>
      </c>
      <c r="C1262" s="321">
        <f t="shared" si="125"/>
        <v>0</v>
      </c>
      <c r="D1262" s="11" t="b">
        <f t="shared" si="124"/>
        <v>1</v>
      </c>
      <c r="E1262" s="321">
        <f t="shared" si="126"/>
        <v>0</v>
      </c>
      <c r="H1262" s="11" t="b">
        <f t="shared" si="123"/>
        <v>0</v>
      </c>
      <c r="I1262" s="11" t="s">
        <v>5713</v>
      </c>
      <c r="K1262" s="11" t="b">
        <v>0</v>
      </c>
    </row>
    <row r="1263" spans="1:11">
      <c r="A1263" s="11" t="s">
        <v>2155</v>
      </c>
      <c r="B1263" s="334" t="str">
        <f>报表附注!E1608</f>
        <v>           固定资产减值</v>
      </c>
      <c r="C1263" s="321">
        <f t="shared" ref="C1263:C1294" si="127">J1255</f>
        <v>0</v>
      </c>
      <c r="D1263" s="11" t="b">
        <f t="shared" si="124"/>
        <v>1</v>
      </c>
      <c r="E1263" s="321">
        <f t="shared" si="126"/>
        <v>0</v>
      </c>
      <c r="H1263" s="11" t="b">
        <f t="shared" si="123"/>
        <v>0</v>
      </c>
      <c r="I1263" s="11" t="s">
        <v>5714</v>
      </c>
      <c r="K1263" s="11" t="b">
        <v>0</v>
      </c>
    </row>
    <row r="1264" spans="1:11">
      <c r="A1264" s="11" t="s">
        <v>2156</v>
      </c>
      <c r="B1264" s="310" t="str">
        <f>报表附注!E1609</f>
        <v>            无形资产减值</v>
      </c>
      <c r="C1264" s="321">
        <f t="shared" si="127"/>
        <v>0</v>
      </c>
      <c r="D1264" s="11" t="b">
        <f t="shared" si="124"/>
        <v>1</v>
      </c>
      <c r="E1264" s="321">
        <f t="shared" si="126"/>
        <v>0</v>
      </c>
      <c r="H1264" s="11" t="b">
        <f t="shared" si="123"/>
        <v>0</v>
      </c>
      <c r="I1264" s="11" t="s">
        <v>937</v>
      </c>
      <c r="K1264" s="11" t="b">
        <v>1</v>
      </c>
    </row>
    <row r="1265" spans="1:11">
      <c r="A1265" s="11" t="s">
        <v>2157</v>
      </c>
      <c r="B1265" s="310" t="str">
        <f>报表附注!E1610</f>
        <v>            商誉减值</v>
      </c>
      <c r="C1265" s="321">
        <f t="shared" si="127"/>
        <v>0</v>
      </c>
      <c r="D1265" s="11" t="b">
        <f t="shared" si="124"/>
        <v>1</v>
      </c>
      <c r="E1265" s="321">
        <f t="shared" si="126"/>
        <v>0</v>
      </c>
      <c r="H1265" s="11" t="b">
        <f t="shared" si="123"/>
        <v>0</v>
      </c>
      <c r="I1265" s="11" t="s">
        <v>2164</v>
      </c>
      <c r="K1265" s="11" t="b">
        <v>1</v>
      </c>
    </row>
    <row r="1266" spans="1:11">
      <c r="A1266" s="11" t="s">
        <v>2158</v>
      </c>
      <c r="B1266" s="310" t="str">
        <f>报表附注!E1611</f>
        <v>2、预计后期到票的无票支出</v>
      </c>
      <c r="C1266" s="321">
        <f t="shared" si="127"/>
        <v>0</v>
      </c>
      <c r="D1266" s="11" t="b">
        <f t="shared" si="124"/>
        <v>0</v>
      </c>
      <c r="E1266" s="321">
        <f t="shared" si="126"/>
        <v>0</v>
      </c>
      <c r="H1266" s="11" t="b">
        <f t="shared" si="123"/>
        <v>0</v>
      </c>
      <c r="I1266" s="11" t="s">
        <v>2165</v>
      </c>
      <c r="K1266" s="11" t="b">
        <v>1</v>
      </c>
    </row>
    <row r="1267" spans="1:11">
      <c r="A1267" s="11" t="s">
        <v>2159</v>
      </c>
      <c r="B1267" s="310" t="str">
        <f>报表附注!E1612</f>
        <v>3、分期付款购入存货融资费用</v>
      </c>
      <c r="C1267" s="321">
        <f t="shared" si="127"/>
        <v>0</v>
      </c>
      <c r="D1267" s="11" t="b">
        <f t="shared" si="124"/>
        <v>0</v>
      </c>
      <c r="E1267" s="321">
        <f t="shared" si="126"/>
        <v>0</v>
      </c>
      <c r="H1267" s="11" t="b">
        <f t="shared" si="123"/>
        <v>0</v>
      </c>
      <c r="I1267" s="11" t="s">
        <v>3495</v>
      </c>
      <c r="K1267" s="11" t="b">
        <v>0</v>
      </c>
    </row>
    <row r="1268" ht="22.5" spans="1:11">
      <c r="A1268" s="11" t="s">
        <v>2160</v>
      </c>
      <c r="B1268" s="310" t="str">
        <f>报表附注!E1613</f>
        <v>4、非同一控制下企业合并产生递延所得税资产</v>
      </c>
      <c r="C1268" s="321">
        <f t="shared" si="127"/>
        <v>0</v>
      </c>
      <c r="D1268" s="11" t="b">
        <f t="shared" si="124"/>
        <v>0</v>
      </c>
      <c r="E1268" s="321">
        <f t="shared" si="126"/>
        <v>0</v>
      </c>
      <c r="H1268" s="11" t="b">
        <f t="shared" si="123"/>
        <v>0</v>
      </c>
      <c r="I1268" s="11" t="s">
        <v>3496</v>
      </c>
      <c r="K1268" s="11" t="b">
        <v>0</v>
      </c>
    </row>
    <row r="1269" spans="1:11">
      <c r="A1269" s="11" t="s">
        <v>2161</v>
      </c>
      <c r="B1269" s="310" t="str">
        <f>报表附注!E1614</f>
        <v>5、计提未付的工资</v>
      </c>
      <c r="C1269" s="321">
        <f t="shared" si="127"/>
        <v>0</v>
      </c>
      <c r="D1269" s="11" t="b">
        <f t="shared" si="124"/>
        <v>0</v>
      </c>
      <c r="E1269" s="321">
        <f t="shared" si="126"/>
        <v>0</v>
      </c>
      <c r="H1269" s="11" t="b">
        <f t="shared" si="123"/>
        <v>0</v>
      </c>
      <c r="I1269" s="11" t="s">
        <v>2166</v>
      </c>
      <c r="K1269" s="11" t="b">
        <v>1</v>
      </c>
    </row>
    <row r="1270" spans="1:11">
      <c r="A1270" s="11" t="s">
        <v>2162</v>
      </c>
      <c r="B1270" s="310" t="str">
        <f>报表附注!E1615</f>
        <v>6、递延收益</v>
      </c>
      <c r="C1270" s="321">
        <f t="shared" si="127"/>
        <v>0</v>
      </c>
      <c r="D1270" s="11" t="b">
        <f t="shared" si="124"/>
        <v>0</v>
      </c>
      <c r="E1270" s="321">
        <f t="shared" si="126"/>
        <v>0</v>
      </c>
      <c r="H1270" s="11" t="b">
        <f t="shared" si="123"/>
        <v>0</v>
      </c>
      <c r="I1270" s="11" t="s">
        <v>2167</v>
      </c>
      <c r="K1270" s="11" t="b">
        <v>1</v>
      </c>
    </row>
    <row r="1271" spans="1:11">
      <c r="A1271" s="11" t="s">
        <v>2163</v>
      </c>
      <c r="B1271" s="310" t="str">
        <f>报表附注!E1616</f>
        <v>7、内部交易未实现损益</v>
      </c>
      <c r="C1271" s="321">
        <f t="shared" si="127"/>
        <v>0</v>
      </c>
      <c r="D1271" s="11" t="b">
        <f t="shared" si="124"/>
        <v>0</v>
      </c>
      <c r="E1271" s="321">
        <f t="shared" si="126"/>
        <v>0</v>
      </c>
      <c r="H1271" s="11" t="b">
        <f t="shared" si="123"/>
        <v>0</v>
      </c>
      <c r="I1271" s="11" t="s">
        <v>2168</v>
      </c>
      <c r="K1271" s="11" t="b">
        <v>1</v>
      </c>
    </row>
    <row r="1272" spans="1:11">
      <c r="A1272" s="11" t="s">
        <v>937</v>
      </c>
      <c r="B1272" s="310" t="str">
        <f>报表附注!E1617</f>
        <v>二、递延所得税负债</v>
      </c>
      <c r="C1272" s="321">
        <f t="shared" si="127"/>
        <v>0</v>
      </c>
      <c r="D1272" s="11" t="b">
        <f t="shared" si="124"/>
        <v>1</v>
      </c>
      <c r="E1272" s="321">
        <f t="shared" si="126"/>
        <v>0</v>
      </c>
      <c r="H1272" s="11" t="b">
        <f t="shared" si="123"/>
        <v>0</v>
      </c>
      <c r="I1272" s="11" t="s">
        <v>2169</v>
      </c>
      <c r="K1272" s="11" t="b">
        <v>1</v>
      </c>
    </row>
    <row r="1273" spans="1:11">
      <c r="A1273" s="11" t="s">
        <v>2164</v>
      </c>
      <c r="B1273" s="310" t="str">
        <f>报表附注!E1618</f>
        <v>1、交易性金融工具、衍生金融工具的估值</v>
      </c>
      <c r="C1273" s="321">
        <f t="shared" si="127"/>
        <v>0</v>
      </c>
      <c r="D1273" s="11" t="b">
        <f t="shared" si="124"/>
        <v>0</v>
      </c>
      <c r="E1273" s="321">
        <f t="shared" si="126"/>
        <v>0</v>
      </c>
      <c r="H1273" s="11" t="b">
        <f t="shared" si="123"/>
        <v>0</v>
      </c>
      <c r="I1273" s="11" t="s">
        <v>2170</v>
      </c>
      <c r="K1273" s="11" t="b">
        <v>1</v>
      </c>
    </row>
    <row r="1274" ht="22.5" spans="1:11">
      <c r="A1274" s="11" t="s">
        <v>2165</v>
      </c>
      <c r="B1274" s="310" t="str">
        <f>报表附注!E1619</f>
        <v>2、计入资本公积的可供出售金融资产公允价值变动</v>
      </c>
      <c r="C1274" s="321">
        <f t="shared" si="127"/>
        <v>0</v>
      </c>
      <c r="D1274" s="11" t="b">
        <f t="shared" si="124"/>
        <v>0</v>
      </c>
      <c r="E1274" s="321">
        <f t="shared" si="126"/>
        <v>0</v>
      </c>
      <c r="H1274" s="11" t="b">
        <f t="shared" si="123"/>
        <v>0</v>
      </c>
      <c r="I1274" s="11" t="s">
        <v>2171</v>
      </c>
      <c r="K1274" s="11" t="b">
        <v>1</v>
      </c>
    </row>
    <row r="1275" ht="22.5" spans="1:11">
      <c r="A1275" s="11" t="s">
        <v>2162</v>
      </c>
      <c r="B1275" s="310" t="str">
        <f>报表附注!E1620</f>
        <v>3、非同一控制下企业合并产生递延所得税负债</v>
      </c>
      <c r="C1275" s="321">
        <f t="shared" si="127"/>
        <v>0</v>
      </c>
      <c r="D1275" s="11" t="b">
        <f t="shared" si="124"/>
        <v>0</v>
      </c>
      <c r="E1275" s="321">
        <f t="shared" si="126"/>
        <v>0</v>
      </c>
      <c r="H1275" s="11" t="b">
        <f t="shared" si="123"/>
        <v>0</v>
      </c>
      <c r="I1275" s="11" t="s">
        <v>2172</v>
      </c>
      <c r="K1275" s="11" t="b">
        <v>1</v>
      </c>
    </row>
    <row r="1276" spans="1:11">
      <c r="A1276" s="11" t="s">
        <v>2163</v>
      </c>
      <c r="B1276" s="310" t="str">
        <f>报表附注!E1621</f>
        <v>4、内部交易未实现损益</v>
      </c>
      <c r="C1276" s="321">
        <f t="shared" si="127"/>
        <v>0</v>
      </c>
      <c r="D1276" s="11" t="b">
        <f t="shared" si="124"/>
        <v>0</v>
      </c>
      <c r="E1276" s="321">
        <f t="shared" si="126"/>
        <v>0</v>
      </c>
      <c r="H1276" s="11" t="b">
        <f t="shared" si="123"/>
        <v>0</v>
      </c>
      <c r="I1276" s="11" t="s">
        <v>2173</v>
      </c>
      <c r="K1276" s="11" t="b">
        <v>1</v>
      </c>
    </row>
    <row r="1277" spans="1:11">
      <c r="A1277" s="11" t="s">
        <v>2166</v>
      </c>
      <c r="B1277" s="310" t="str">
        <f>报表附注!E1622</f>
        <v>5、固定资产评估增值</v>
      </c>
      <c r="C1277" s="321">
        <f t="shared" si="127"/>
        <v>0</v>
      </c>
      <c r="D1277" s="11" t="b">
        <f t="shared" si="124"/>
        <v>0</v>
      </c>
      <c r="E1277" s="321">
        <f t="shared" si="126"/>
        <v>0</v>
      </c>
      <c r="H1277" s="11" t="b">
        <f t="shared" si="123"/>
        <v>0</v>
      </c>
      <c r="I1277" s="11" t="s">
        <v>2175</v>
      </c>
      <c r="K1277" s="11" t="b">
        <v>1</v>
      </c>
    </row>
    <row r="1278" spans="1:11">
      <c r="A1278" s="11" t="s">
        <v>2167</v>
      </c>
      <c r="B1278" s="310" t="str">
        <f>报表附注!E1623</f>
        <v>新增项目4……</v>
      </c>
      <c r="C1278" s="321">
        <f t="shared" si="127"/>
        <v>0</v>
      </c>
      <c r="D1278" s="11" t="b">
        <f t="shared" si="124"/>
        <v>1</v>
      </c>
      <c r="E1278" s="321">
        <f t="shared" si="126"/>
        <v>0</v>
      </c>
      <c r="H1278" s="11" t="b">
        <f t="shared" si="123"/>
        <v>0</v>
      </c>
      <c r="I1278" s="11" t="s">
        <v>935</v>
      </c>
      <c r="K1278" s="11" t="b">
        <v>1</v>
      </c>
    </row>
    <row r="1279" spans="1:11">
      <c r="A1279" s="11" t="s">
        <v>2168</v>
      </c>
      <c r="B1279" s="310" t="str">
        <f>报表附注!E1624</f>
        <v>新增项目5……</v>
      </c>
      <c r="C1279" s="321">
        <f t="shared" si="127"/>
        <v>0</v>
      </c>
      <c r="D1279" s="11" t="b">
        <f t="shared" si="124"/>
        <v>1</v>
      </c>
      <c r="E1279" s="321">
        <f t="shared" si="126"/>
        <v>0</v>
      </c>
      <c r="H1279" s="11" t="b">
        <f t="shared" si="123"/>
        <v>0</v>
      </c>
      <c r="I1279" s="11" t="s">
        <v>2150</v>
      </c>
      <c r="K1279" s="11" t="b">
        <v>1</v>
      </c>
    </row>
    <row r="1280" spans="1:11">
      <c r="A1280" s="11" t="s">
        <v>2169</v>
      </c>
      <c r="B1280" s="310" t="str">
        <f>报表附注!E1625</f>
        <v>新增项目6……</v>
      </c>
      <c r="C1280" s="321">
        <f t="shared" si="127"/>
        <v>0</v>
      </c>
      <c r="D1280" s="11" t="b">
        <f t="shared" si="124"/>
        <v>1</v>
      </c>
      <c r="E1280" s="321">
        <f t="shared" si="126"/>
        <v>0</v>
      </c>
      <c r="H1280" s="11" t="b">
        <f t="shared" si="123"/>
        <v>0</v>
      </c>
      <c r="I1280" s="11" t="s">
        <v>2151</v>
      </c>
      <c r="K1280" s="11" t="b">
        <v>1</v>
      </c>
    </row>
    <row r="1281" spans="1:11">
      <c r="A1281" s="11" t="s">
        <v>2170</v>
      </c>
      <c r="B1281" s="310" t="str">
        <f>报表附注!E1626</f>
        <v>新增项目7……</v>
      </c>
      <c r="C1281" s="321">
        <f t="shared" si="127"/>
        <v>0</v>
      </c>
      <c r="D1281" s="11" t="b">
        <f t="shared" si="124"/>
        <v>1</v>
      </c>
      <c r="E1281" s="321">
        <f t="shared" si="126"/>
        <v>0</v>
      </c>
      <c r="H1281" s="11" t="b">
        <f t="shared" si="123"/>
        <v>0</v>
      </c>
      <c r="I1281" s="11" t="s">
        <v>2152</v>
      </c>
      <c r="K1281" s="11" t="b">
        <v>1</v>
      </c>
    </row>
    <row r="1282" spans="1:11">
      <c r="A1282" s="11" t="s">
        <v>2171</v>
      </c>
      <c r="B1282" s="310" t="str">
        <f>报表附注!E1627</f>
        <v>新增项目8……</v>
      </c>
      <c r="C1282" s="321">
        <f t="shared" si="127"/>
        <v>0</v>
      </c>
      <c r="D1282" s="11" t="b">
        <f t="shared" si="124"/>
        <v>1</v>
      </c>
      <c r="E1282" s="321">
        <f t="shared" si="126"/>
        <v>0</v>
      </c>
      <c r="H1282" s="11" t="b">
        <f t="shared" si="123"/>
        <v>0</v>
      </c>
      <c r="I1282" s="11" t="s">
        <v>2153</v>
      </c>
      <c r="K1282" s="11" t="b">
        <v>1</v>
      </c>
    </row>
    <row r="1283" spans="1:11">
      <c r="A1283" s="11" t="s">
        <v>2172</v>
      </c>
      <c r="B1283" s="310" t="str">
        <f>报表附注!E1628</f>
        <v>新增项目9……</v>
      </c>
      <c r="C1283" s="321">
        <f t="shared" si="127"/>
        <v>0</v>
      </c>
      <c r="D1283" s="11" t="b">
        <f t="shared" si="124"/>
        <v>1</v>
      </c>
      <c r="E1283" s="321">
        <f t="shared" si="126"/>
        <v>0</v>
      </c>
      <c r="H1283" s="11" t="b">
        <f t="shared" si="123"/>
        <v>0</v>
      </c>
      <c r="I1283" s="11" t="s">
        <v>2154</v>
      </c>
      <c r="K1283" s="11" t="b">
        <v>1</v>
      </c>
    </row>
    <row r="1284" spans="1:11">
      <c r="A1284" s="11" t="s">
        <v>2173</v>
      </c>
      <c r="B1284" s="310" t="str">
        <f>报表附注!E1629</f>
        <v>新增项目10……</v>
      </c>
      <c r="C1284" s="321">
        <f t="shared" si="127"/>
        <v>0</v>
      </c>
      <c r="D1284" s="11" t="b">
        <f t="shared" si="124"/>
        <v>1</v>
      </c>
      <c r="E1284" s="321">
        <f t="shared" si="126"/>
        <v>0</v>
      </c>
      <c r="H1284" s="11" t="b">
        <f t="shared" ref="H1284:H1347" si="128">I1284=B1284</f>
        <v>0</v>
      </c>
      <c r="I1284" s="11" t="s">
        <v>2155</v>
      </c>
      <c r="K1284" s="11" t="b">
        <v>1</v>
      </c>
    </row>
    <row r="1285" spans="1:11">
      <c r="A1285" s="11" t="s">
        <v>2175</v>
      </c>
      <c r="B1285" s="333" t="s">
        <v>2175</v>
      </c>
      <c r="C1285" s="328">
        <f t="shared" si="127"/>
        <v>0</v>
      </c>
      <c r="D1285" s="11" t="b">
        <f t="shared" si="124"/>
        <v>1</v>
      </c>
      <c r="E1285" s="321">
        <f t="shared" si="126"/>
        <v>0</v>
      </c>
      <c r="H1285" s="11" t="b">
        <f t="shared" si="128"/>
        <v>0</v>
      </c>
      <c r="I1285" s="11" t="s">
        <v>2156</v>
      </c>
      <c r="K1285" s="11" t="b">
        <v>1</v>
      </c>
    </row>
    <row r="1286" spans="1:11">
      <c r="A1286" s="11" t="s">
        <v>935</v>
      </c>
      <c r="B1286" s="310" t="str">
        <f>报表附注!E1602</f>
        <v>一、递延所得税资产</v>
      </c>
      <c r="C1286" s="321">
        <f t="shared" si="127"/>
        <v>0</v>
      </c>
      <c r="D1286" s="11" t="b">
        <f t="shared" si="124"/>
        <v>1</v>
      </c>
      <c r="E1286" s="321">
        <f t="shared" si="126"/>
        <v>0</v>
      </c>
      <c r="H1286" s="11" t="b">
        <f t="shared" si="128"/>
        <v>0</v>
      </c>
      <c r="I1286" s="11" t="s">
        <v>2157</v>
      </c>
      <c r="K1286" s="11" t="b">
        <v>1</v>
      </c>
    </row>
    <row r="1287" spans="1:11">
      <c r="A1287" s="11" t="s">
        <v>2150</v>
      </c>
      <c r="B1287" s="310" t="str">
        <f>报表附注!E1603</f>
        <v>1、资产减值准备：</v>
      </c>
      <c r="C1287" s="321">
        <f t="shared" si="127"/>
        <v>0</v>
      </c>
      <c r="D1287" s="11" t="b">
        <f t="shared" si="124"/>
        <v>0</v>
      </c>
      <c r="E1287" s="321">
        <f t="shared" si="126"/>
        <v>0</v>
      </c>
      <c r="H1287" s="11" t="b">
        <f t="shared" si="128"/>
        <v>0</v>
      </c>
      <c r="I1287" s="11" t="s">
        <v>5711</v>
      </c>
      <c r="K1287" s="11" t="b">
        <v>0</v>
      </c>
    </row>
    <row r="1288" spans="1:11">
      <c r="A1288" s="11" t="s">
        <v>2151</v>
      </c>
      <c r="B1288" s="334" t="str">
        <f>报表附注!E1604</f>
        <v>      其中：坏账准备</v>
      </c>
      <c r="C1288" s="321">
        <f t="shared" si="127"/>
        <v>0</v>
      </c>
      <c r="D1288" s="11" t="b">
        <f t="shared" si="124"/>
        <v>1</v>
      </c>
      <c r="E1288" s="321">
        <f t="shared" si="126"/>
        <v>3615833.59</v>
      </c>
      <c r="H1288" s="11" t="b">
        <f t="shared" si="128"/>
        <v>0</v>
      </c>
      <c r="I1288" s="11" t="s">
        <v>5712</v>
      </c>
      <c r="K1288" s="11" t="b">
        <v>0</v>
      </c>
    </row>
    <row r="1289" spans="1:11">
      <c r="A1289" s="11" t="s">
        <v>2152</v>
      </c>
      <c r="B1289" s="334" t="str">
        <f>报表附注!E1605</f>
        <v>           存货减值</v>
      </c>
      <c r="C1289" s="321">
        <f t="shared" si="127"/>
        <v>0</v>
      </c>
      <c r="D1289" s="11" t="b">
        <f t="shared" si="124"/>
        <v>1</v>
      </c>
      <c r="E1289" s="321">
        <f t="shared" si="126"/>
        <v>1788781.28</v>
      </c>
      <c r="H1289" s="11" t="b">
        <f t="shared" si="128"/>
        <v>0</v>
      </c>
      <c r="I1289" s="11" t="s">
        <v>3489</v>
      </c>
      <c r="K1289" s="11" t="b">
        <v>0</v>
      </c>
    </row>
    <row r="1290" spans="1:11">
      <c r="A1290" s="11" t="s">
        <v>2153</v>
      </c>
      <c r="B1290" s="334" t="str">
        <f>报表附注!E1606</f>
        <v>           在建工程减值</v>
      </c>
      <c r="C1290" s="321">
        <f t="shared" si="127"/>
        <v>0</v>
      </c>
      <c r="D1290" s="11" t="b">
        <f t="shared" si="124"/>
        <v>1</v>
      </c>
      <c r="E1290" s="321">
        <f t="shared" si="126"/>
        <v>0</v>
      </c>
      <c r="H1290" s="11" t="b">
        <f t="shared" si="128"/>
        <v>0</v>
      </c>
      <c r="I1290" s="11" t="s">
        <v>3490</v>
      </c>
      <c r="K1290" s="11" t="b">
        <v>0</v>
      </c>
    </row>
    <row r="1291" spans="1:11">
      <c r="A1291" s="11" t="s">
        <v>2154</v>
      </c>
      <c r="B1291" s="334" t="str">
        <f>报表附注!E1607</f>
        <v>           长期股权投资减值</v>
      </c>
      <c r="C1291" s="321">
        <f t="shared" si="127"/>
        <v>0</v>
      </c>
      <c r="D1291" s="11" t="b">
        <f t="shared" si="124"/>
        <v>1</v>
      </c>
      <c r="E1291" s="321">
        <f t="shared" si="126"/>
        <v>0</v>
      </c>
      <c r="H1291" s="11" t="b">
        <f t="shared" si="128"/>
        <v>0</v>
      </c>
      <c r="I1291" s="11" t="s">
        <v>5713</v>
      </c>
      <c r="K1291" s="11" t="b">
        <v>0</v>
      </c>
    </row>
    <row r="1292" spans="1:11">
      <c r="A1292" s="11" t="s">
        <v>2155</v>
      </c>
      <c r="B1292" s="334" t="str">
        <f>报表附注!E1608</f>
        <v>           固定资产减值</v>
      </c>
      <c r="C1292" s="321">
        <f t="shared" si="127"/>
        <v>0</v>
      </c>
      <c r="D1292" s="11" t="b">
        <f t="shared" ref="D1292:D1355" si="129">EXACT(A1292,B1292)</f>
        <v>1</v>
      </c>
      <c r="E1292" s="321">
        <f t="shared" si="126"/>
        <v>0</v>
      </c>
      <c r="H1292" s="11" t="b">
        <f t="shared" si="128"/>
        <v>0</v>
      </c>
      <c r="I1292" s="11" t="s">
        <v>5714</v>
      </c>
      <c r="K1292" s="11" t="b">
        <v>0</v>
      </c>
    </row>
    <row r="1293" spans="1:11">
      <c r="A1293" s="11" t="s">
        <v>2156</v>
      </c>
      <c r="B1293" s="310" t="str">
        <f>报表附注!E1609</f>
        <v>            无形资产减值</v>
      </c>
      <c r="C1293" s="321">
        <f t="shared" si="127"/>
        <v>0</v>
      </c>
      <c r="D1293" s="11" t="b">
        <f t="shared" si="129"/>
        <v>1</v>
      </c>
      <c r="E1293" s="321">
        <f t="shared" si="126"/>
        <v>0</v>
      </c>
      <c r="H1293" s="11" t="b">
        <f t="shared" si="128"/>
        <v>0</v>
      </c>
      <c r="I1293" s="11" t="s">
        <v>937</v>
      </c>
      <c r="K1293" s="11" t="b">
        <v>1</v>
      </c>
    </row>
    <row r="1294" spans="1:11">
      <c r="A1294" s="11" t="s">
        <v>2157</v>
      </c>
      <c r="B1294" s="310" t="str">
        <f>报表附注!E1610</f>
        <v>            商誉减值</v>
      </c>
      <c r="C1294" s="321">
        <f t="shared" si="127"/>
        <v>0</v>
      </c>
      <c r="D1294" s="11" t="b">
        <f t="shared" si="129"/>
        <v>1</v>
      </c>
      <c r="E1294" s="321">
        <f t="shared" si="126"/>
        <v>0</v>
      </c>
      <c r="H1294" s="11" t="b">
        <f t="shared" si="128"/>
        <v>0</v>
      </c>
      <c r="I1294" s="11" t="s">
        <v>2164</v>
      </c>
      <c r="K1294" s="11" t="b">
        <v>1</v>
      </c>
    </row>
    <row r="1295" spans="1:11">
      <c r="A1295" s="11" t="s">
        <v>2158</v>
      </c>
      <c r="B1295" s="310" t="str">
        <f>报表附注!E1611</f>
        <v>2、预计后期到票的无票支出</v>
      </c>
      <c r="C1295" s="321">
        <f t="shared" ref="C1295:C1326" si="130">J1287</f>
        <v>0</v>
      </c>
      <c r="D1295" s="11" t="b">
        <f t="shared" si="129"/>
        <v>0</v>
      </c>
      <c r="E1295" s="321">
        <f t="shared" si="126"/>
        <v>0</v>
      </c>
      <c r="H1295" s="11" t="b">
        <f t="shared" si="128"/>
        <v>0</v>
      </c>
      <c r="I1295" s="11" t="s">
        <v>2165</v>
      </c>
      <c r="K1295" s="11" t="b">
        <v>1</v>
      </c>
    </row>
    <row r="1296" spans="1:11">
      <c r="A1296" s="11" t="s">
        <v>2159</v>
      </c>
      <c r="B1296" s="310" t="str">
        <f>报表附注!E1612</f>
        <v>3、分期付款购入存货融资费用</v>
      </c>
      <c r="C1296" s="321">
        <f t="shared" si="130"/>
        <v>0</v>
      </c>
      <c r="D1296" s="11" t="b">
        <f t="shared" si="129"/>
        <v>0</v>
      </c>
      <c r="E1296" s="321">
        <f t="shared" si="126"/>
        <v>0</v>
      </c>
      <c r="H1296" s="11" t="b">
        <f t="shared" si="128"/>
        <v>0</v>
      </c>
      <c r="I1296" s="11" t="s">
        <v>3495</v>
      </c>
      <c r="K1296" s="11" t="b">
        <v>0</v>
      </c>
    </row>
    <row r="1297" ht="22.5" spans="1:11">
      <c r="A1297" s="11" t="s">
        <v>2160</v>
      </c>
      <c r="B1297" s="310" t="str">
        <f>报表附注!E1613</f>
        <v>4、非同一控制下企业合并产生递延所得税资产</v>
      </c>
      <c r="C1297" s="321">
        <f t="shared" si="130"/>
        <v>0</v>
      </c>
      <c r="D1297" s="11" t="b">
        <f t="shared" si="129"/>
        <v>0</v>
      </c>
      <c r="E1297" s="321">
        <f t="shared" si="126"/>
        <v>0</v>
      </c>
      <c r="H1297" s="11" t="b">
        <f t="shared" si="128"/>
        <v>0</v>
      </c>
      <c r="I1297" s="11" t="s">
        <v>3496</v>
      </c>
      <c r="K1297" s="11" t="b">
        <v>0</v>
      </c>
    </row>
    <row r="1298" spans="1:11">
      <c r="A1298" s="11" t="s">
        <v>2161</v>
      </c>
      <c r="B1298" s="310" t="str">
        <f>报表附注!E1614</f>
        <v>5、计提未付的工资</v>
      </c>
      <c r="C1298" s="321">
        <f t="shared" si="130"/>
        <v>0</v>
      </c>
      <c r="D1298" s="11" t="b">
        <f t="shared" si="129"/>
        <v>0</v>
      </c>
      <c r="E1298" s="321">
        <f t="shared" si="126"/>
        <v>0</v>
      </c>
      <c r="H1298" s="11" t="b">
        <f t="shared" si="128"/>
        <v>0</v>
      </c>
      <c r="I1298" s="11" t="s">
        <v>2166</v>
      </c>
      <c r="K1298" s="11" t="b">
        <v>1</v>
      </c>
    </row>
    <row r="1299" spans="1:11">
      <c r="A1299" s="11" t="s">
        <v>2162</v>
      </c>
      <c r="B1299" s="310" t="str">
        <f>报表附注!E1615</f>
        <v>6、递延收益</v>
      </c>
      <c r="C1299" s="321">
        <f t="shared" si="130"/>
        <v>0</v>
      </c>
      <c r="D1299" s="11" t="b">
        <f t="shared" si="129"/>
        <v>0</v>
      </c>
      <c r="E1299" s="321">
        <f t="shared" si="126"/>
        <v>0</v>
      </c>
      <c r="H1299" s="11" t="b">
        <f t="shared" si="128"/>
        <v>0</v>
      </c>
      <c r="I1299" s="11" t="s">
        <v>2167</v>
      </c>
      <c r="K1299" s="11" t="b">
        <v>1</v>
      </c>
    </row>
    <row r="1300" spans="1:11">
      <c r="A1300" s="11" t="s">
        <v>2163</v>
      </c>
      <c r="B1300" s="310" t="str">
        <f>报表附注!E1616</f>
        <v>7、内部交易未实现损益</v>
      </c>
      <c r="C1300" s="321">
        <f t="shared" si="130"/>
        <v>0</v>
      </c>
      <c r="D1300" s="11" t="b">
        <f t="shared" si="129"/>
        <v>0</v>
      </c>
      <c r="E1300" s="321">
        <f t="shared" si="126"/>
        <v>0</v>
      </c>
      <c r="H1300" s="11" t="b">
        <f t="shared" si="128"/>
        <v>0</v>
      </c>
      <c r="I1300" s="11" t="s">
        <v>2168</v>
      </c>
      <c r="K1300" s="11" t="b">
        <v>1</v>
      </c>
    </row>
    <row r="1301" spans="1:11">
      <c r="A1301" s="11" t="s">
        <v>937</v>
      </c>
      <c r="B1301" s="310" t="str">
        <f>报表附注!E1617</f>
        <v>二、递延所得税负债</v>
      </c>
      <c r="C1301" s="321">
        <f t="shared" si="130"/>
        <v>0</v>
      </c>
      <c r="D1301" s="11" t="b">
        <f t="shared" si="129"/>
        <v>1</v>
      </c>
      <c r="E1301" s="321">
        <f t="shared" si="126"/>
        <v>0</v>
      </c>
      <c r="H1301" s="11" t="b">
        <f t="shared" si="128"/>
        <v>0</v>
      </c>
      <c r="I1301" s="11" t="s">
        <v>2169</v>
      </c>
      <c r="K1301" s="11" t="b">
        <v>1</v>
      </c>
    </row>
    <row r="1302" spans="1:11">
      <c r="A1302" s="11" t="s">
        <v>2164</v>
      </c>
      <c r="B1302" s="310" t="str">
        <f>报表附注!E1618</f>
        <v>1、交易性金融工具、衍生金融工具的估值</v>
      </c>
      <c r="C1302" s="321">
        <f t="shared" si="130"/>
        <v>0</v>
      </c>
      <c r="D1302" s="11" t="b">
        <f t="shared" si="129"/>
        <v>0</v>
      </c>
      <c r="E1302" s="321">
        <f t="shared" si="126"/>
        <v>0</v>
      </c>
      <c r="H1302" s="11" t="b">
        <f t="shared" si="128"/>
        <v>0</v>
      </c>
      <c r="I1302" s="11" t="s">
        <v>2170</v>
      </c>
      <c r="K1302" s="11" t="b">
        <v>1</v>
      </c>
    </row>
    <row r="1303" ht="22.5" spans="1:11">
      <c r="A1303" s="11" t="s">
        <v>2165</v>
      </c>
      <c r="B1303" s="310" t="str">
        <f>报表附注!E1619</f>
        <v>2、计入资本公积的可供出售金融资产公允价值变动</v>
      </c>
      <c r="C1303" s="321">
        <f t="shared" si="130"/>
        <v>0</v>
      </c>
      <c r="D1303" s="11" t="b">
        <f t="shared" si="129"/>
        <v>0</v>
      </c>
      <c r="E1303" s="321">
        <f t="shared" si="126"/>
        <v>0</v>
      </c>
      <c r="H1303" s="11" t="b">
        <f t="shared" si="128"/>
        <v>0</v>
      </c>
      <c r="I1303" s="11" t="s">
        <v>2171</v>
      </c>
      <c r="K1303" s="11" t="b">
        <v>1</v>
      </c>
    </row>
    <row r="1304" ht="22.5" spans="1:11">
      <c r="A1304" s="11" t="s">
        <v>2162</v>
      </c>
      <c r="B1304" s="310" t="str">
        <f>报表附注!E1620</f>
        <v>3、非同一控制下企业合并产生递延所得税负债</v>
      </c>
      <c r="C1304" s="321">
        <f t="shared" si="130"/>
        <v>0</v>
      </c>
      <c r="D1304" s="11" t="b">
        <f t="shared" si="129"/>
        <v>0</v>
      </c>
      <c r="E1304" s="321">
        <f t="shared" si="126"/>
        <v>0</v>
      </c>
      <c r="H1304" s="11" t="b">
        <f t="shared" si="128"/>
        <v>0</v>
      </c>
      <c r="I1304" s="11" t="s">
        <v>2172</v>
      </c>
      <c r="K1304" s="11" t="b">
        <v>1</v>
      </c>
    </row>
    <row r="1305" spans="1:11">
      <c r="A1305" s="11" t="s">
        <v>2163</v>
      </c>
      <c r="B1305" s="310" t="str">
        <f>报表附注!E1621</f>
        <v>4、内部交易未实现损益</v>
      </c>
      <c r="C1305" s="321">
        <f t="shared" si="130"/>
        <v>0</v>
      </c>
      <c r="D1305" s="11" t="b">
        <f t="shared" si="129"/>
        <v>0</v>
      </c>
      <c r="E1305" s="321">
        <f t="shared" si="126"/>
        <v>0</v>
      </c>
      <c r="H1305" s="11" t="b">
        <f t="shared" si="128"/>
        <v>0</v>
      </c>
      <c r="I1305" s="11" t="s">
        <v>2173</v>
      </c>
      <c r="K1305" s="11" t="b">
        <v>1</v>
      </c>
    </row>
    <row r="1306" spans="1:11">
      <c r="A1306" s="11" t="s">
        <v>2166</v>
      </c>
      <c r="B1306" s="310" t="str">
        <f>报表附注!E1622</f>
        <v>5、固定资产评估增值</v>
      </c>
      <c r="C1306" s="321">
        <f t="shared" si="130"/>
        <v>0</v>
      </c>
      <c r="D1306" s="11" t="b">
        <f t="shared" si="129"/>
        <v>0</v>
      </c>
      <c r="E1306" s="321">
        <f t="shared" si="126"/>
        <v>0</v>
      </c>
      <c r="H1306" s="11" t="b">
        <f t="shared" si="128"/>
        <v>0</v>
      </c>
      <c r="K1306" s="11" t="b">
        <v>1</v>
      </c>
    </row>
    <row r="1307" spans="1:11">
      <c r="A1307" s="11" t="s">
        <v>2167</v>
      </c>
      <c r="B1307" s="310" t="str">
        <f>报表附注!E1623</f>
        <v>新增项目4……</v>
      </c>
      <c r="C1307" s="321">
        <f t="shared" si="130"/>
        <v>0</v>
      </c>
      <c r="D1307" s="11" t="b">
        <f t="shared" si="129"/>
        <v>1</v>
      </c>
      <c r="E1307" s="321">
        <f t="shared" si="126"/>
        <v>0</v>
      </c>
      <c r="H1307" s="11" t="b">
        <f t="shared" si="128"/>
        <v>0</v>
      </c>
      <c r="I1307" s="11" t="s">
        <v>2176</v>
      </c>
      <c r="K1307" s="11" t="b">
        <v>1</v>
      </c>
    </row>
    <row r="1308" spans="1:11">
      <c r="A1308" s="11" t="s">
        <v>2168</v>
      </c>
      <c r="B1308" s="310" t="str">
        <f>报表附注!E1624</f>
        <v>新增项目5……</v>
      </c>
      <c r="C1308" s="321">
        <f t="shared" si="130"/>
        <v>0</v>
      </c>
      <c r="D1308" s="11" t="b">
        <f t="shared" si="129"/>
        <v>1</v>
      </c>
      <c r="E1308" s="321">
        <f t="shared" si="126"/>
        <v>0</v>
      </c>
      <c r="H1308" s="11" t="b">
        <f t="shared" si="128"/>
        <v>0</v>
      </c>
      <c r="I1308" s="11" t="s">
        <v>516</v>
      </c>
      <c r="K1308" s="11" t="b">
        <v>1</v>
      </c>
    </row>
    <row r="1309" spans="1:11">
      <c r="A1309" s="11" t="s">
        <v>2169</v>
      </c>
      <c r="B1309" s="310" t="str">
        <f>报表附注!E1625</f>
        <v>新增项目6……</v>
      </c>
      <c r="C1309" s="321">
        <f t="shared" si="130"/>
        <v>0</v>
      </c>
      <c r="D1309" s="11" t="b">
        <f t="shared" si="129"/>
        <v>1</v>
      </c>
      <c r="E1309" s="321">
        <f t="shared" si="126"/>
        <v>0</v>
      </c>
      <c r="H1309" s="11" t="b">
        <f t="shared" si="128"/>
        <v>0</v>
      </c>
      <c r="I1309" s="11" t="s">
        <v>2177</v>
      </c>
      <c r="K1309" s="11" t="b">
        <v>1</v>
      </c>
    </row>
    <row r="1310" spans="1:11">
      <c r="A1310" s="11" t="s">
        <v>2170</v>
      </c>
      <c r="B1310" s="310" t="str">
        <f>报表附注!E1626</f>
        <v>新增项目7……</v>
      </c>
      <c r="C1310" s="321">
        <f t="shared" si="130"/>
        <v>0</v>
      </c>
      <c r="D1310" s="11" t="b">
        <f t="shared" si="129"/>
        <v>1</v>
      </c>
      <c r="E1310" s="321">
        <f t="shared" si="126"/>
        <v>0</v>
      </c>
      <c r="H1310" s="11" t="b">
        <f t="shared" si="128"/>
        <v>0</v>
      </c>
      <c r="I1310" s="11" t="s">
        <v>2161</v>
      </c>
      <c r="K1310" s="11" t="b">
        <v>1</v>
      </c>
    </row>
    <row r="1311" spans="1:11">
      <c r="A1311" s="11" t="s">
        <v>2171</v>
      </c>
      <c r="B1311" s="310" t="str">
        <f>报表附注!E1627</f>
        <v>新增项目8……</v>
      </c>
      <c r="C1311" s="321">
        <f t="shared" si="130"/>
        <v>0</v>
      </c>
      <c r="D1311" s="11" t="b">
        <f t="shared" si="129"/>
        <v>1</v>
      </c>
      <c r="E1311" s="321">
        <f t="shared" si="126"/>
        <v>0</v>
      </c>
      <c r="H1311" s="11" t="b">
        <f t="shared" si="128"/>
        <v>0</v>
      </c>
      <c r="I1311" s="11" t="s">
        <v>471</v>
      </c>
      <c r="K1311" s="11" t="b">
        <v>1</v>
      </c>
    </row>
    <row r="1312" spans="1:11">
      <c r="A1312" s="11" t="s">
        <v>2172</v>
      </c>
      <c r="B1312" s="310" t="str">
        <f>报表附注!E1628</f>
        <v>新增项目9……</v>
      </c>
      <c r="C1312" s="321">
        <f t="shared" si="130"/>
        <v>0</v>
      </c>
      <c r="D1312" s="11" t="b">
        <f t="shared" si="129"/>
        <v>1</v>
      </c>
      <c r="E1312" s="321">
        <f t="shared" si="126"/>
        <v>0</v>
      </c>
      <c r="H1312" s="11" t="b">
        <f t="shared" si="128"/>
        <v>0</v>
      </c>
      <c r="I1312" s="11" t="s">
        <v>2186</v>
      </c>
      <c r="K1312" s="11" t="b">
        <v>1</v>
      </c>
    </row>
    <row r="1313" spans="1:11">
      <c r="A1313" s="11" t="s">
        <v>2173</v>
      </c>
      <c r="B1313" s="310" t="str">
        <f>报表附注!E1629</f>
        <v>新增项目10……</v>
      </c>
      <c r="C1313" s="321">
        <f t="shared" si="130"/>
        <v>0</v>
      </c>
      <c r="D1313" s="11" t="b">
        <f t="shared" si="129"/>
        <v>1</v>
      </c>
      <c r="E1313" s="321">
        <f t="shared" si="126"/>
        <v>0</v>
      </c>
      <c r="H1313" s="11" t="b">
        <f t="shared" si="128"/>
        <v>0</v>
      </c>
      <c r="I1313" s="11" t="s">
        <v>2166</v>
      </c>
      <c r="K1313" s="11" t="b">
        <v>1</v>
      </c>
    </row>
    <row r="1314" spans="3:11">
      <c r="C1314" s="328">
        <f t="shared" si="130"/>
        <v>0</v>
      </c>
      <c r="D1314" s="11" t="b">
        <f t="shared" si="129"/>
        <v>1</v>
      </c>
      <c r="H1314" s="11" t="b">
        <f t="shared" si="128"/>
        <v>0</v>
      </c>
      <c r="I1314" s="11" t="s">
        <v>2167</v>
      </c>
      <c r="K1314" s="11" t="b">
        <v>1</v>
      </c>
    </row>
    <row r="1315" spans="1:11">
      <c r="A1315" s="11" t="s">
        <v>2176</v>
      </c>
      <c r="B1315" s="315" t="s">
        <v>2176</v>
      </c>
      <c r="C1315" s="328">
        <f t="shared" si="130"/>
        <v>0</v>
      </c>
      <c r="D1315" s="11" t="b">
        <f t="shared" si="129"/>
        <v>1</v>
      </c>
      <c r="H1315" s="11" t="b">
        <f t="shared" si="128"/>
        <v>0</v>
      </c>
      <c r="I1315" s="11" t="s">
        <v>2168</v>
      </c>
      <c r="K1315" s="11" t="b">
        <v>1</v>
      </c>
    </row>
    <row r="1316" spans="1:11">
      <c r="A1316" s="11" t="s">
        <v>516</v>
      </c>
      <c r="B1316" s="333" t="s">
        <v>516</v>
      </c>
      <c r="C1316" s="328">
        <f t="shared" si="130"/>
        <v>0</v>
      </c>
      <c r="D1316" s="11" t="b">
        <f t="shared" si="129"/>
        <v>1</v>
      </c>
      <c r="H1316" s="11" t="b">
        <f t="shared" si="128"/>
        <v>0</v>
      </c>
      <c r="I1316" s="11" t="s">
        <v>2021</v>
      </c>
      <c r="K1316" s="11" t="b">
        <v>1</v>
      </c>
    </row>
    <row r="1317" spans="1:11">
      <c r="A1317" s="11" t="s">
        <v>2177</v>
      </c>
      <c r="B1317" s="310" t="str">
        <f>报表附注!E1637</f>
        <v>可抵扣暂时性差异</v>
      </c>
      <c r="C1317" s="321">
        <f t="shared" si="130"/>
        <v>0</v>
      </c>
      <c r="D1317" s="11" t="b">
        <f t="shared" si="129"/>
        <v>1</v>
      </c>
      <c r="E1317" s="311"/>
      <c r="H1317" s="11" t="b">
        <f t="shared" si="128"/>
        <v>0</v>
      </c>
      <c r="I1317" s="11" t="s">
        <v>671</v>
      </c>
      <c r="K1317" s="11" t="b">
        <v>1</v>
      </c>
    </row>
    <row r="1318" spans="1:11">
      <c r="A1318" s="11" t="s">
        <v>2161</v>
      </c>
      <c r="B1318" s="310" t="str">
        <f>报表附注!E1638</f>
        <v>可抵扣亏损</v>
      </c>
      <c r="C1318" s="321">
        <f t="shared" si="130"/>
        <v>0</v>
      </c>
      <c r="D1318" s="11" t="b">
        <f t="shared" si="129"/>
        <v>1</v>
      </c>
      <c r="E1318" s="311"/>
      <c r="H1318" s="11" t="b">
        <f t="shared" si="128"/>
        <v>0</v>
      </c>
      <c r="I1318" s="11" t="s">
        <v>2177</v>
      </c>
      <c r="K1318" s="11" t="b">
        <v>1</v>
      </c>
    </row>
    <row r="1319" spans="1:11">
      <c r="A1319" s="11" t="s">
        <v>2162</v>
      </c>
      <c r="B1319" s="310" t="str">
        <f>报表附注!E1639</f>
        <v>新增项目1……</v>
      </c>
      <c r="C1319" s="321">
        <f t="shared" si="130"/>
        <v>0</v>
      </c>
      <c r="D1319" s="11" t="b">
        <f t="shared" si="129"/>
        <v>1</v>
      </c>
      <c r="E1319" s="311"/>
      <c r="H1319" s="11" t="b">
        <f t="shared" si="128"/>
        <v>0</v>
      </c>
      <c r="I1319" s="11" t="s">
        <v>2161</v>
      </c>
      <c r="K1319" s="11" t="b">
        <v>1</v>
      </c>
    </row>
    <row r="1320" spans="1:11">
      <c r="A1320" s="11" t="s">
        <v>2163</v>
      </c>
      <c r="B1320" s="310" t="str">
        <f>报表附注!E1640</f>
        <v>新增项目2……</v>
      </c>
      <c r="C1320" s="321">
        <f t="shared" si="130"/>
        <v>0</v>
      </c>
      <c r="D1320" s="11" t="b">
        <f t="shared" si="129"/>
        <v>1</v>
      </c>
      <c r="E1320" s="311"/>
      <c r="H1320" s="11" t="b">
        <f t="shared" si="128"/>
        <v>0</v>
      </c>
      <c r="I1320" s="11" t="s">
        <v>471</v>
      </c>
      <c r="K1320" s="11" t="b">
        <v>1</v>
      </c>
    </row>
    <row r="1321" spans="1:11">
      <c r="A1321" s="11" t="s">
        <v>2166</v>
      </c>
      <c r="B1321" s="310" t="str">
        <f>报表附注!E1641</f>
        <v>新增项目3……</v>
      </c>
      <c r="C1321" s="321">
        <f t="shared" si="130"/>
        <v>0</v>
      </c>
      <c r="D1321" s="11" t="b">
        <f t="shared" si="129"/>
        <v>1</v>
      </c>
      <c r="E1321" s="311"/>
      <c r="H1321" s="11" t="b">
        <f t="shared" si="128"/>
        <v>0</v>
      </c>
      <c r="I1321" s="11" t="s">
        <v>2186</v>
      </c>
      <c r="K1321" s="11" t="b">
        <v>1</v>
      </c>
    </row>
    <row r="1322" spans="1:11">
      <c r="A1322" s="11" t="s">
        <v>2167</v>
      </c>
      <c r="B1322" s="310" t="str">
        <f>报表附注!E1642</f>
        <v>新增项目4……</v>
      </c>
      <c r="C1322" s="321">
        <f t="shared" si="130"/>
        <v>0</v>
      </c>
      <c r="D1322" s="11" t="b">
        <f t="shared" si="129"/>
        <v>1</v>
      </c>
      <c r="E1322" s="311"/>
      <c r="H1322" s="11" t="b">
        <f t="shared" si="128"/>
        <v>0</v>
      </c>
      <c r="I1322" s="11" t="s">
        <v>2166</v>
      </c>
      <c r="K1322" s="11" t="b">
        <v>1</v>
      </c>
    </row>
    <row r="1323" spans="1:11">
      <c r="A1323" s="11" t="s">
        <v>2168</v>
      </c>
      <c r="B1323" s="310" t="str">
        <f>报表附注!E1643</f>
        <v>新增项目5……</v>
      </c>
      <c r="C1323" s="321">
        <f t="shared" si="130"/>
        <v>0</v>
      </c>
      <c r="D1323" s="11" t="b">
        <f t="shared" si="129"/>
        <v>1</v>
      </c>
      <c r="E1323" s="311"/>
      <c r="H1323" s="11" t="b">
        <f t="shared" si="128"/>
        <v>0</v>
      </c>
      <c r="I1323" s="11" t="s">
        <v>2167</v>
      </c>
      <c r="K1323" s="11" t="b">
        <v>1</v>
      </c>
    </row>
    <row r="1324" spans="1:11">
      <c r="A1324" s="11" t="s">
        <v>2021</v>
      </c>
      <c r="B1324" s="320" t="str">
        <f>报表附注!E1644</f>
        <v>合计</v>
      </c>
      <c r="C1324" s="321">
        <f t="shared" si="130"/>
        <v>0</v>
      </c>
      <c r="D1324" s="11" t="b">
        <f t="shared" si="129"/>
        <v>1</v>
      </c>
      <c r="E1324" s="311"/>
      <c r="H1324" s="11" t="b">
        <f t="shared" si="128"/>
        <v>0</v>
      </c>
      <c r="I1324" s="11" t="s">
        <v>2168</v>
      </c>
      <c r="K1324" s="11" t="b">
        <v>1</v>
      </c>
    </row>
    <row r="1325" spans="1:11">
      <c r="A1325" s="11" t="s">
        <v>671</v>
      </c>
      <c r="B1325" s="333" t="s">
        <v>671</v>
      </c>
      <c r="C1325" s="328">
        <f t="shared" si="130"/>
        <v>0</v>
      </c>
      <c r="D1325" s="11" t="b">
        <f t="shared" si="129"/>
        <v>1</v>
      </c>
      <c r="H1325" s="11" t="b">
        <f t="shared" si="128"/>
        <v>0</v>
      </c>
      <c r="I1325" s="11" t="s">
        <v>2021</v>
      </c>
      <c r="K1325" s="11" t="b">
        <v>1</v>
      </c>
    </row>
    <row r="1326" spans="1:11">
      <c r="A1326" s="11" t="s">
        <v>2177</v>
      </c>
      <c r="B1326" s="310" t="str">
        <f>报表附注!E1637</f>
        <v>可抵扣暂时性差异</v>
      </c>
      <c r="C1326" s="321">
        <f t="shared" si="130"/>
        <v>0</v>
      </c>
      <c r="D1326" s="11" t="b">
        <f t="shared" si="129"/>
        <v>1</v>
      </c>
      <c r="E1326" s="321">
        <f>C1317</f>
        <v>0</v>
      </c>
      <c r="H1326" s="11" t="b">
        <f t="shared" si="128"/>
        <v>0</v>
      </c>
      <c r="K1326" s="11" t="b">
        <v>1</v>
      </c>
    </row>
    <row r="1327" spans="1:11">
      <c r="A1327" s="11" t="s">
        <v>2161</v>
      </c>
      <c r="B1327" s="310" t="str">
        <f>报表附注!E1638</f>
        <v>可抵扣亏损</v>
      </c>
      <c r="C1327" s="321">
        <f t="shared" ref="C1327:C1343" si="131">J1319</f>
        <v>0</v>
      </c>
      <c r="D1327" s="11" t="b">
        <f t="shared" si="129"/>
        <v>1</v>
      </c>
      <c r="E1327" s="321">
        <f t="shared" ref="E1327:E1333" si="132">C1318</f>
        <v>0</v>
      </c>
      <c r="H1327" s="11" t="b">
        <f t="shared" si="128"/>
        <v>0</v>
      </c>
      <c r="I1327" s="11" t="s">
        <v>2178</v>
      </c>
      <c r="K1327" s="11" t="b">
        <v>1</v>
      </c>
    </row>
    <row r="1328" spans="1:11">
      <c r="A1328" s="11" t="s">
        <v>2162</v>
      </c>
      <c r="B1328" s="310" t="str">
        <f>报表附注!E1639</f>
        <v>新增项目1……</v>
      </c>
      <c r="C1328" s="321">
        <f t="shared" si="131"/>
        <v>0</v>
      </c>
      <c r="D1328" s="11" t="b">
        <f t="shared" si="129"/>
        <v>1</v>
      </c>
      <c r="E1328" s="321">
        <f t="shared" si="132"/>
        <v>0</v>
      </c>
      <c r="H1328" s="11" t="b">
        <f t="shared" si="128"/>
        <v>0</v>
      </c>
      <c r="I1328" s="11" t="s">
        <v>516</v>
      </c>
      <c r="K1328" s="11" t="b">
        <v>1</v>
      </c>
    </row>
    <row r="1329" spans="1:11">
      <c r="A1329" s="11" t="s">
        <v>2163</v>
      </c>
      <c r="B1329" s="310" t="str">
        <f>报表附注!E1640</f>
        <v>新增项目2……</v>
      </c>
      <c r="C1329" s="321">
        <f t="shared" si="131"/>
        <v>0</v>
      </c>
      <c r="D1329" s="11" t="b">
        <f t="shared" si="129"/>
        <v>1</v>
      </c>
      <c r="E1329" s="321">
        <f t="shared" si="132"/>
        <v>0</v>
      </c>
      <c r="H1329" s="11" t="b">
        <f t="shared" si="128"/>
        <v>0</v>
      </c>
      <c r="I1329" s="11">
        <v>2015</v>
      </c>
      <c r="K1329" s="11" t="b">
        <v>0</v>
      </c>
    </row>
    <row r="1330" spans="1:11">
      <c r="A1330" s="11" t="s">
        <v>2166</v>
      </c>
      <c r="B1330" s="310" t="str">
        <f>报表附注!E1641</f>
        <v>新增项目3……</v>
      </c>
      <c r="C1330" s="321">
        <f t="shared" si="131"/>
        <v>0</v>
      </c>
      <c r="D1330" s="11" t="b">
        <f t="shared" si="129"/>
        <v>1</v>
      </c>
      <c r="E1330" s="321">
        <f t="shared" si="132"/>
        <v>0</v>
      </c>
      <c r="H1330" s="11" t="b">
        <f t="shared" si="128"/>
        <v>0</v>
      </c>
      <c r="I1330" s="11">
        <v>2016</v>
      </c>
      <c r="K1330" s="11" t="b">
        <v>0</v>
      </c>
    </row>
    <row r="1331" spans="1:11">
      <c r="A1331" s="11" t="s">
        <v>2167</v>
      </c>
      <c r="B1331" s="310" t="str">
        <f>报表附注!E1642</f>
        <v>新增项目4……</v>
      </c>
      <c r="C1331" s="321">
        <f t="shared" si="131"/>
        <v>0</v>
      </c>
      <c r="D1331" s="11" t="b">
        <f t="shared" si="129"/>
        <v>1</v>
      </c>
      <c r="E1331" s="321">
        <f t="shared" si="132"/>
        <v>0</v>
      </c>
      <c r="H1331" s="11" t="b">
        <f t="shared" si="128"/>
        <v>0</v>
      </c>
      <c r="I1331" s="11">
        <v>2017</v>
      </c>
      <c r="K1331" s="11" t="b">
        <v>0</v>
      </c>
    </row>
    <row r="1332" spans="1:11">
      <c r="A1332" s="11" t="s">
        <v>2168</v>
      </c>
      <c r="B1332" s="310" t="str">
        <f>报表附注!E1643</f>
        <v>新增项目5……</v>
      </c>
      <c r="C1332" s="321">
        <f t="shared" si="131"/>
        <v>0</v>
      </c>
      <c r="D1332" s="11" t="b">
        <f t="shared" si="129"/>
        <v>1</v>
      </c>
      <c r="E1332" s="321">
        <f t="shared" si="132"/>
        <v>0</v>
      </c>
      <c r="H1332" s="11" t="b">
        <f t="shared" si="128"/>
        <v>0</v>
      </c>
      <c r="I1332" s="11">
        <v>2018</v>
      </c>
      <c r="K1332" s="11" t="b">
        <v>0</v>
      </c>
    </row>
    <row r="1333" spans="1:11">
      <c r="A1333" s="11" t="s">
        <v>2021</v>
      </c>
      <c r="B1333" s="320" t="str">
        <f>报表附注!E1644</f>
        <v>合计</v>
      </c>
      <c r="C1333" s="321">
        <f t="shared" si="131"/>
        <v>0</v>
      </c>
      <c r="D1333" s="11" t="b">
        <f t="shared" si="129"/>
        <v>1</v>
      </c>
      <c r="E1333" s="321">
        <f t="shared" si="132"/>
        <v>0</v>
      </c>
      <c r="H1333" s="11" t="b">
        <f t="shared" si="128"/>
        <v>0</v>
      </c>
      <c r="I1333" s="11">
        <v>2019</v>
      </c>
      <c r="K1333" s="11" t="b">
        <v>0</v>
      </c>
    </row>
    <row r="1334" spans="3:11">
      <c r="C1334" s="328">
        <f t="shared" si="131"/>
        <v>0</v>
      </c>
      <c r="D1334" s="11" t="b">
        <f t="shared" si="129"/>
        <v>1</v>
      </c>
      <c r="H1334" s="11" t="b">
        <f t="shared" si="128"/>
        <v>0</v>
      </c>
      <c r="I1334" s="11" t="s">
        <v>2021</v>
      </c>
      <c r="K1334" s="11" t="b">
        <v>1</v>
      </c>
    </row>
    <row r="1335" spans="1:11">
      <c r="A1335" s="11" t="s">
        <v>2178</v>
      </c>
      <c r="B1335" s="359" t="s">
        <v>2178</v>
      </c>
      <c r="C1335" s="328">
        <f t="shared" si="131"/>
        <v>0</v>
      </c>
      <c r="D1335" s="11" t="b">
        <f t="shared" si="129"/>
        <v>1</v>
      </c>
      <c r="H1335" s="11" t="b">
        <f t="shared" si="128"/>
        <v>0</v>
      </c>
      <c r="I1335" s="11" t="s">
        <v>671</v>
      </c>
      <c r="K1335" s="11" t="b">
        <v>1</v>
      </c>
    </row>
    <row r="1336" spans="1:11">
      <c r="A1336" s="11" t="s">
        <v>516</v>
      </c>
      <c r="B1336" s="333" t="s">
        <v>516</v>
      </c>
      <c r="C1336" s="328">
        <f t="shared" si="131"/>
        <v>0</v>
      </c>
      <c r="D1336" s="11" t="b">
        <f t="shared" si="129"/>
        <v>1</v>
      </c>
      <c r="H1336" s="11" t="b">
        <f t="shared" si="128"/>
        <v>0</v>
      </c>
      <c r="I1336" s="11">
        <v>2015</v>
      </c>
      <c r="K1336" s="11" t="b">
        <v>0</v>
      </c>
    </row>
    <row r="1337" spans="1:11">
      <c r="A1337" s="11">
        <v>2011</v>
      </c>
      <c r="B1337" s="360">
        <f>报表附注!E1648</f>
        <v>2016</v>
      </c>
      <c r="C1337" s="357">
        <f t="shared" ref="C1337:C1340" si="133">J1330</f>
        <v>0</v>
      </c>
      <c r="D1337" s="11" t="b">
        <f t="shared" si="129"/>
        <v>0</v>
      </c>
      <c r="E1337" s="332"/>
      <c r="H1337" s="11" t="b">
        <f t="shared" si="128"/>
        <v>1</v>
      </c>
      <c r="I1337" s="11">
        <v>2016</v>
      </c>
      <c r="K1337" s="11" t="b">
        <v>0</v>
      </c>
    </row>
    <row r="1338" spans="1:11">
      <c r="A1338" s="11">
        <v>2012</v>
      </c>
      <c r="B1338" s="360">
        <f>报表附注!E1649</f>
        <v>2017</v>
      </c>
      <c r="C1338" s="357">
        <f t="shared" si="133"/>
        <v>0</v>
      </c>
      <c r="D1338" s="11" t="b">
        <f t="shared" si="129"/>
        <v>0</v>
      </c>
      <c r="E1338" s="332"/>
      <c r="H1338" s="11" t="b">
        <f t="shared" si="128"/>
        <v>1</v>
      </c>
      <c r="I1338" s="11">
        <v>2017</v>
      </c>
      <c r="K1338" s="11" t="b">
        <v>0</v>
      </c>
    </row>
    <row r="1339" spans="1:11">
      <c r="A1339" s="11">
        <v>2013</v>
      </c>
      <c r="B1339" s="360">
        <f>报表附注!E1650</f>
        <v>2018</v>
      </c>
      <c r="C1339" s="357">
        <f t="shared" si="133"/>
        <v>0</v>
      </c>
      <c r="D1339" s="11" t="b">
        <f t="shared" si="129"/>
        <v>0</v>
      </c>
      <c r="E1339" s="332"/>
      <c r="H1339" s="11" t="b">
        <f t="shared" si="128"/>
        <v>1</v>
      </c>
      <c r="I1339" s="11">
        <v>2018</v>
      </c>
      <c r="K1339" s="11" t="b">
        <v>0</v>
      </c>
    </row>
    <row r="1340" spans="1:11">
      <c r="A1340" s="11">
        <v>2014</v>
      </c>
      <c r="B1340" s="360">
        <f>报表附注!E1651</f>
        <v>2019</v>
      </c>
      <c r="C1340" s="357">
        <f t="shared" si="133"/>
        <v>0</v>
      </c>
      <c r="D1340" s="11" t="b">
        <f t="shared" si="129"/>
        <v>0</v>
      </c>
      <c r="E1340" s="332"/>
      <c r="H1340" s="11" t="b">
        <f t="shared" si="128"/>
        <v>1</v>
      </c>
      <c r="I1340" s="11">
        <v>2019</v>
      </c>
      <c r="K1340" s="11" t="b">
        <v>0</v>
      </c>
    </row>
    <row r="1341" spans="1:11">
      <c r="A1341" s="11">
        <v>2015</v>
      </c>
      <c r="B1341" s="360">
        <f>报表附注!E1652</f>
        <v>2020</v>
      </c>
      <c r="C1341" s="357"/>
      <c r="D1341" s="11" t="b">
        <f t="shared" si="129"/>
        <v>0</v>
      </c>
      <c r="E1341" s="332"/>
      <c r="H1341" s="11" t="b">
        <f t="shared" si="128"/>
        <v>0</v>
      </c>
      <c r="I1341" s="11" t="s">
        <v>2021</v>
      </c>
      <c r="K1341" s="11" t="b">
        <v>1</v>
      </c>
    </row>
    <row r="1342" spans="1:11">
      <c r="A1342" s="11" t="s">
        <v>2021</v>
      </c>
      <c r="B1342" s="361" t="str">
        <f>报表附注!E1653</f>
        <v>合计</v>
      </c>
      <c r="C1342" s="357">
        <f>J1334</f>
        <v>0</v>
      </c>
      <c r="D1342" s="11" t="b">
        <f t="shared" si="129"/>
        <v>1</v>
      </c>
      <c r="E1342" s="332"/>
      <c r="H1342" s="11" t="b">
        <f t="shared" si="128"/>
        <v>0</v>
      </c>
      <c r="K1342" s="11" t="b">
        <v>1</v>
      </c>
    </row>
    <row r="1343" spans="1:11">
      <c r="A1343" s="11" t="s">
        <v>671</v>
      </c>
      <c r="B1343" s="333" t="s">
        <v>671</v>
      </c>
      <c r="C1343" s="328">
        <f t="shared" si="131"/>
        <v>0</v>
      </c>
      <c r="D1343" s="11" t="b">
        <f t="shared" si="129"/>
        <v>1</v>
      </c>
      <c r="H1343" s="11" t="b">
        <f t="shared" si="128"/>
        <v>0</v>
      </c>
      <c r="I1343" s="362" t="s">
        <v>2179</v>
      </c>
      <c r="J1343" s="338"/>
      <c r="K1343" s="362" t="b">
        <v>1</v>
      </c>
    </row>
    <row r="1344" spans="1:11">
      <c r="A1344" s="11">
        <v>2011</v>
      </c>
      <c r="B1344" s="360">
        <f>报表附注!E1648</f>
        <v>2016</v>
      </c>
      <c r="C1344" s="321">
        <f t="shared" ref="C1344:C1347" si="134">J1337</f>
        <v>0</v>
      </c>
      <c r="D1344" s="11" t="b">
        <f t="shared" si="129"/>
        <v>0</v>
      </c>
      <c r="E1344" s="321">
        <f>C1337</f>
        <v>0</v>
      </c>
      <c r="H1344" s="11" t="b">
        <f t="shared" si="128"/>
        <v>0</v>
      </c>
      <c r="I1344" s="362" t="s">
        <v>2180</v>
      </c>
      <c r="J1344" s="338"/>
      <c r="K1344" s="362" t="b">
        <v>1</v>
      </c>
    </row>
    <row r="1345" spans="1:12">
      <c r="A1345" s="11">
        <v>2012</v>
      </c>
      <c r="B1345" s="360">
        <f>报表附注!E1649</f>
        <v>2017</v>
      </c>
      <c r="C1345" s="321">
        <f t="shared" si="134"/>
        <v>0</v>
      </c>
      <c r="D1345" s="11" t="b">
        <f t="shared" si="129"/>
        <v>0</v>
      </c>
      <c r="E1345" s="321">
        <f t="shared" ref="E1345:E1349" si="135">C1338</f>
        <v>0</v>
      </c>
      <c r="H1345" s="11" t="b">
        <f t="shared" si="128"/>
        <v>0</v>
      </c>
      <c r="I1345" s="362" t="s">
        <v>2181</v>
      </c>
      <c r="J1345" s="338"/>
      <c r="K1345" s="362" t="b">
        <v>1</v>
      </c>
      <c r="L1345" s="362"/>
    </row>
    <row r="1346" spans="1:12">
      <c r="A1346" s="11">
        <v>2013</v>
      </c>
      <c r="B1346" s="360">
        <f>报表附注!E1650</f>
        <v>2018</v>
      </c>
      <c r="C1346" s="321">
        <f t="shared" si="134"/>
        <v>0</v>
      </c>
      <c r="D1346" s="11" t="b">
        <f t="shared" si="129"/>
        <v>0</v>
      </c>
      <c r="E1346" s="321">
        <f t="shared" si="135"/>
        <v>0</v>
      </c>
      <c r="H1346" s="11" t="b">
        <f t="shared" si="128"/>
        <v>0</v>
      </c>
      <c r="I1346" s="11" t="s">
        <v>935</v>
      </c>
      <c r="K1346" s="11" t="b">
        <v>1</v>
      </c>
      <c r="L1346" s="362"/>
    </row>
    <row r="1347" spans="1:12">
      <c r="A1347" s="11">
        <v>2014</v>
      </c>
      <c r="B1347" s="360">
        <f>报表附注!E1651</f>
        <v>2019</v>
      </c>
      <c r="C1347" s="321">
        <f t="shared" si="134"/>
        <v>0</v>
      </c>
      <c r="D1347" s="11" t="b">
        <f t="shared" si="129"/>
        <v>0</v>
      </c>
      <c r="E1347" s="321">
        <f t="shared" si="135"/>
        <v>0</v>
      </c>
      <c r="H1347" s="11" t="b">
        <f t="shared" si="128"/>
        <v>0</v>
      </c>
      <c r="I1347" s="11" t="s">
        <v>2150</v>
      </c>
      <c r="K1347" s="11" t="b">
        <v>1</v>
      </c>
      <c r="L1347" s="362"/>
    </row>
    <row r="1348" spans="1:11">
      <c r="A1348" s="11">
        <v>2015</v>
      </c>
      <c r="B1348" s="360">
        <f>报表附注!E1652</f>
        <v>2020</v>
      </c>
      <c r="C1348" s="321"/>
      <c r="D1348" s="11" t="b">
        <f t="shared" si="129"/>
        <v>0</v>
      </c>
      <c r="E1348" s="321">
        <f t="shared" si="135"/>
        <v>0</v>
      </c>
      <c r="H1348" s="11" t="b">
        <f t="shared" ref="H1348:H1411" si="136">I1348=B1348</f>
        <v>0</v>
      </c>
      <c r="I1348" s="11" t="s">
        <v>2151</v>
      </c>
      <c r="K1348" s="11" t="b">
        <v>1</v>
      </c>
    </row>
    <row r="1349" spans="1:11">
      <c r="A1349" s="11" t="s">
        <v>2021</v>
      </c>
      <c r="B1349" s="361" t="str">
        <f>报表附注!E1653</f>
        <v>合计</v>
      </c>
      <c r="C1349" s="321">
        <f>J1341</f>
        <v>0</v>
      </c>
      <c r="D1349" s="11" t="b">
        <f t="shared" si="129"/>
        <v>1</v>
      </c>
      <c r="E1349" s="321">
        <f t="shared" si="135"/>
        <v>0</v>
      </c>
      <c r="H1349" s="11" t="b">
        <f t="shared" si="136"/>
        <v>0</v>
      </c>
      <c r="I1349" s="11" t="s">
        <v>2152</v>
      </c>
      <c r="K1349" s="11" t="b">
        <v>1</v>
      </c>
    </row>
    <row r="1350" spans="4:11">
      <c r="D1350" s="11" t="b">
        <f t="shared" si="129"/>
        <v>1</v>
      </c>
      <c r="H1350" s="11" t="b">
        <f t="shared" si="136"/>
        <v>0</v>
      </c>
      <c r="I1350" s="11" t="s">
        <v>2153</v>
      </c>
      <c r="K1350" s="11" t="b">
        <v>1</v>
      </c>
    </row>
    <row r="1351" spans="1:12">
      <c r="A1351" s="362" t="s">
        <v>2179</v>
      </c>
      <c r="B1351" s="353" t="s">
        <v>2179</v>
      </c>
      <c r="D1351" s="11" t="b">
        <f t="shared" si="129"/>
        <v>1</v>
      </c>
      <c r="F1351" s="11"/>
      <c r="H1351" s="11" t="b">
        <f t="shared" si="136"/>
        <v>0</v>
      </c>
      <c r="I1351" s="11" t="s">
        <v>2154</v>
      </c>
      <c r="J1351" s="323"/>
      <c r="K1351" s="11" t="b">
        <v>1</v>
      </c>
      <c r="L1351" s="11"/>
    </row>
    <row r="1352" spans="1:12">
      <c r="A1352" s="362" t="s">
        <v>2180</v>
      </c>
      <c r="B1352" s="353" t="s">
        <v>2180</v>
      </c>
      <c r="D1352" s="11" t="b">
        <f t="shared" si="129"/>
        <v>1</v>
      </c>
      <c r="F1352" s="11"/>
      <c r="H1352" s="11" t="b">
        <f t="shared" si="136"/>
        <v>0</v>
      </c>
      <c r="I1352" s="11" t="s">
        <v>2155</v>
      </c>
      <c r="J1352" s="323"/>
      <c r="K1352" s="11" t="b">
        <v>1</v>
      </c>
      <c r="L1352" s="11"/>
    </row>
    <row r="1353" ht="24" spans="1:12">
      <c r="A1353" s="362" t="s">
        <v>2181</v>
      </c>
      <c r="B1353" s="363" t="s">
        <v>2181</v>
      </c>
      <c r="D1353" s="11" t="b">
        <f t="shared" si="129"/>
        <v>1</v>
      </c>
      <c r="F1353" s="11"/>
      <c r="H1353" s="11" t="b">
        <f t="shared" si="136"/>
        <v>0</v>
      </c>
      <c r="I1353" s="11" t="s">
        <v>2156</v>
      </c>
      <c r="J1353" s="323"/>
      <c r="K1353" s="11" t="b">
        <v>1</v>
      </c>
      <c r="L1353" s="11"/>
    </row>
    <row r="1354" spans="1:11">
      <c r="A1354" s="11" t="s">
        <v>935</v>
      </c>
      <c r="B1354" s="310" t="str">
        <f>报表附注!E1683</f>
        <v>一、递延所得税资产</v>
      </c>
      <c r="C1354" s="321">
        <f t="shared" ref="C1354:C1385" si="137">J1346</f>
        <v>0</v>
      </c>
      <c r="D1354" s="11" t="b">
        <f t="shared" si="129"/>
        <v>1</v>
      </c>
      <c r="E1354" s="311"/>
      <c r="H1354" s="11" t="b">
        <f t="shared" si="136"/>
        <v>0</v>
      </c>
      <c r="I1354" s="11" t="s">
        <v>2157</v>
      </c>
      <c r="K1354" s="11" t="b">
        <v>1</v>
      </c>
    </row>
    <row r="1355" spans="1:11">
      <c r="A1355" s="11" t="s">
        <v>2150</v>
      </c>
      <c r="B1355" s="310" t="str">
        <f>报表附注!E1684</f>
        <v>1、资产减值准备：</v>
      </c>
      <c r="C1355" s="321">
        <f t="shared" si="137"/>
        <v>0</v>
      </c>
      <c r="D1355" s="11" t="b">
        <f t="shared" si="129"/>
        <v>0</v>
      </c>
      <c r="E1355" s="311"/>
      <c r="H1355" s="11" t="b">
        <f t="shared" si="136"/>
        <v>0</v>
      </c>
      <c r="I1355" s="11" t="s">
        <v>5711</v>
      </c>
      <c r="K1355" s="11" t="b">
        <v>0</v>
      </c>
    </row>
    <row r="1356" spans="1:11">
      <c r="A1356" s="11" t="s">
        <v>2151</v>
      </c>
      <c r="B1356" s="310" t="str">
        <f>报表附注!E1685</f>
        <v>      其中：坏账准备</v>
      </c>
      <c r="C1356" s="321">
        <f t="shared" si="137"/>
        <v>0</v>
      </c>
      <c r="D1356" s="11" t="b">
        <f t="shared" ref="D1356:D1419" si="138">EXACT(A1356,B1356)</f>
        <v>1</v>
      </c>
      <c r="E1356" s="311"/>
      <c r="H1356" s="11" t="b">
        <f t="shared" si="136"/>
        <v>0</v>
      </c>
      <c r="I1356" s="11" t="s">
        <v>5712</v>
      </c>
      <c r="K1356" s="11" t="b">
        <v>0</v>
      </c>
    </row>
    <row r="1357" spans="1:11">
      <c r="A1357" s="11" t="s">
        <v>2152</v>
      </c>
      <c r="B1357" s="310" t="str">
        <f>报表附注!E1686</f>
        <v>           存货减值</v>
      </c>
      <c r="C1357" s="321">
        <f t="shared" si="137"/>
        <v>0</v>
      </c>
      <c r="D1357" s="11" t="b">
        <f t="shared" si="138"/>
        <v>1</v>
      </c>
      <c r="E1357" s="311"/>
      <c r="H1357" s="11" t="b">
        <f t="shared" si="136"/>
        <v>0</v>
      </c>
      <c r="I1357" s="11" t="s">
        <v>3489</v>
      </c>
      <c r="K1357" s="11" t="b">
        <v>0</v>
      </c>
    </row>
    <row r="1358" spans="1:11">
      <c r="A1358" s="11" t="s">
        <v>2153</v>
      </c>
      <c r="B1358" s="310" t="str">
        <f>报表附注!E1687</f>
        <v>           在建工程减值</v>
      </c>
      <c r="C1358" s="321">
        <f t="shared" si="137"/>
        <v>0</v>
      </c>
      <c r="D1358" s="11" t="b">
        <f t="shared" si="138"/>
        <v>1</v>
      </c>
      <c r="E1358" s="311"/>
      <c r="H1358" s="11" t="b">
        <f t="shared" si="136"/>
        <v>0</v>
      </c>
      <c r="I1358" s="11" t="s">
        <v>3490</v>
      </c>
      <c r="K1358" s="11" t="b">
        <v>0</v>
      </c>
    </row>
    <row r="1359" spans="1:11">
      <c r="A1359" s="11" t="s">
        <v>2154</v>
      </c>
      <c r="B1359" s="310" t="str">
        <f>报表附注!E1688</f>
        <v>           长期股权投资减值</v>
      </c>
      <c r="C1359" s="321">
        <f t="shared" si="137"/>
        <v>0</v>
      </c>
      <c r="D1359" s="11" t="b">
        <f t="shared" si="138"/>
        <v>1</v>
      </c>
      <c r="E1359" s="311"/>
      <c r="H1359" s="11" t="b">
        <f t="shared" si="136"/>
        <v>0</v>
      </c>
      <c r="I1359" s="11" t="s">
        <v>5713</v>
      </c>
      <c r="K1359" s="11" t="b">
        <v>0</v>
      </c>
    </row>
    <row r="1360" spans="1:11">
      <c r="A1360" s="11" t="s">
        <v>2155</v>
      </c>
      <c r="B1360" s="310" t="str">
        <f>报表附注!E1689</f>
        <v>           固定资产减值</v>
      </c>
      <c r="C1360" s="321">
        <f t="shared" si="137"/>
        <v>0</v>
      </c>
      <c r="D1360" s="11" t="b">
        <f t="shared" si="138"/>
        <v>1</v>
      </c>
      <c r="E1360" s="311"/>
      <c r="H1360" s="11" t="b">
        <f t="shared" si="136"/>
        <v>0</v>
      </c>
      <c r="I1360" s="11" t="s">
        <v>5714</v>
      </c>
      <c r="K1360" s="11" t="b">
        <v>0</v>
      </c>
    </row>
    <row r="1361" spans="1:11">
      <c r="A1361" s="11" t="s">
        <v>2156</v>
      </c>
      <c r="B1361" s="310" t="str">
        <f>报表附注!E1690</f>
        <v>            无形资产减值</v>
      </c>
      <c r="C1361" s="321">
        <f t="shared" si="137"/>
        <v>0</v>
      </c>
      <c r="D1361" s="11" t="b">
        <f t="shared" si="138"/>
        <v>1</v>
      </c>
      <c r="E1361" s="311"/>
      <c r="H1361" s="11" t="b">
        <f t="shared" si="136"/>
        <v>0</v>
      </c>
      <c r="I1361" s="11" t="s">
        <v>937</v>
      </c>
      <c r="K1361" s="11" t="b">
        <v>1</v>
      </c>
    </row>
    <row r="1362" spans="1:11">
      <c r="A1362" s="11" t="s">
        <v>2157</v>
      </c>
      <c r="B1362" s="310" t="str">
        <f>报表附注!E1691</f>
        <v>            商誉减值</v>
      </c>
      <c r="C1362" s="321">
        <f t="shared" si="137"/>
        <v>0</v>
      </c>
      <c r="D1362" s="11" t="b">
        <f t="shared" si="138"/>
        <v>1</v>
      </c>
      <c r="E1362" s="311"/>
      <c r="H1362" s="11" t="b">
        <f t="shared" si="136"/>
        <v>0</v>
      </c>
      <c r="I1362" s="11" t="s">
        <v>2164</v>
      </c>
      <c r="K1362" s="11" t="b">
        <v>1</v>
      </c>
    </row>
    <row r="1363" spans="1:11">
      <c r="A1363" s="11" t="s">
        <v>2158</v>
      </c>
      <c r="B1363" s="310" t="str">
        <f>报表附注!E1692</f>
        <v>2、预计后期到票的无票支出</v>
      </c>
      <c r="C1363" s="321">
        <f t="shared" si="137"/>
        <v>0</v>
      </c>
      <c r="D1363" s="11" t="b">
        <f t="shared" si="138"/>
        <v>0</v>
      </c>
      <c r="E1363" s="311"/>
      <c r="H1363" s="11" t="b">
        <f t="shared" si="136"/>
        <v>0</v>
      </c>
      <c r="I1363" s="11" t="s">
        <v>2165</v>
      </c>
      <c r="K1363" s="11" t="b">
        <v>1</v>
      </c>
    </row>
    <row r="1364" spans="1:11">
      <c r="A1364" s="11" t="s">
        <v>2159</v>
      </c>
      <c r="B1364" s="310" t="str">
        <f>报表附注!E1693</f>
        <v>3、分期付款购入存货融资费用</v>
      </c>
      <c r="C1364" s="321">
        <f t="shared" si="137"/>
        <v>0</v>
      </c>
      <c r="D1364" s="11" t="b">
        <f t="shared" si="138"/>
        <v>0</v>
      </c>
      <c r="E1364" s="311"/>
      <c r="H1364" s="11" t="b">
        <f t="shared" si="136"/>
        <v>0</v>
      </c>
      <c r="I1364" s="11" t="s">
        <v>3495</v>
      </c>
      <c r="K1364" s="11" t="b">
        <v>0</v>
      </c>
    </row>
    <row r="1365" ht="22.5" spans="1:11">
      <c r="A1365" s="11" t="s">
        <v>2160</v>
      </c>
      <c r="B1365" s="310" t="str">
        <f>报表附注!E1694</f>
        <v>4、非同一控制下企业合并产生递延所得税资产</v>
      </c>
      <c r="C1365" s="321">
        <f t="shared" si="137"/>
        <v>0</v>
      </c>
      <c r="D1365" s="11" t="b">
        <f t="shared" si="138"/>
        <v>0</v>
      </c>
      <c r="E1365" s="311"/>
      <c r="H1365" s="11" t="b">
        <f t="shared" si="136"/>
        <v>0</v>
      </c>
      <c r="I1365" s="11" t="s">
        <v>3496</v>
      </c>
      <c r="K1365" s="11" t="b">
        <v>0</v>
      </c>
    </row>
    <row r="1366" spans="1:11">
      <c r="A1366" s="11" t="s">
        <v>2161</v>
      </c>
      <c r="B1366" s="310" t="str">
        <f>报表附注!E1695</f>
        <v>5、计提未付的工资</v>
      </c>
      <c r="C1366" s="321">
        <f t="shared" si="137"/>
        <v>0</v>
      </c>
      <c r="D1366" s="11" t="b">
        <f t="shared" si="138"/>
        <v>0</v>
      </c>
      <c r="E1366" s="311"/>
      <c r="H1366" s="11" t="b">
        <f t="shared" si="136"/>
        <v>0</v>
      </c>
      <c r="I1366" s="11" t="s">
        <v>2166</v>
      </c>
      <c r="K1366" s="11" t="b">
        <v>1</v>
      </c>
    </row>
    <row r="1367" spans="1:11">
      <c r="A1367" s="11" t="s">
        <v>2162</v>
      </c>
      <c r="B1367" s="310" t="str">
        <f>报表附注!E1696</f>
        <v>6、递延收益</v>
      </c>
      <c r="C1367" s="321">
        <f t="shared" si="137"/>
        <v>0</v>
      </c>
      <c r="D1367" s="11" t="b">
        <f t="shared" si="138"/>
        <v>0</v>
      </c>
      <c r="E1367" s="311"/>
      <c r="H1367" s="11" t="b">
        <f t="shared" si="136"/>
        <v>0</v>
      </c>
      <c r="I1367" s="11" t="s">
        <v>2167</v>
      </c>
      <c r="K1367" s="11" t="b">
        <v>1</v>
      </c>
    </row>
    <row r="1368" spans="1:11">
      <c r="A1368" s="11" t="s">
        <v>2163</v>
      </c>
      <c r="B1368" s="310" t="str">
        <f>报表附注!E1697</f>
        <v>7、内部交易未实现损益</v>
      </c>
      <c r="C1368" s="321">
        <f t="shared" si="137"/>
        <v>0</v>
      </c>
      <c r="D1368" s="11" t="b">
        <f t="shared" si="138"/>
        <v>0</v>
      </c>
      <c r="E1368" s="311"/>
      <c r="H1368" s="11" t="b">
        <f t="shared" si="136"/>
        <v>0</v>
      </c>
      <c r="I1368" s="11" t="s">
        <v>2168</v>
      </c>
      <c r="K1368" s="11" t="b">
        <v>1</v>
      </c>
    </row>
    <row r="1369" spans="1:11">
      <c r="A1369" s="11" t="s">
        <v>937</v>
      </c>
      <c r="B1369" s="310" t="str">
        <f>报表附注!E1698</f>
        <v>二、递延所得税负债</v>
      </c>
      <c r="C1369" s="321">
        <f t="shared" si="137"/>
        <v>0</v>
      </c>
      <c r="D1369" s="11" t="b">
        <f t="shared" si="138"/>
        <v>1</v>
      </c>
      <c r="E1369" s="311"/>
      <c r="H1369" s="11" t="b">
        <f t="shared" si="136"/>
        <v>0</v>
      </c>
      <c r="I1369" s="11" t="s">
        <v>2169</v>
      </c>
      <c r="K1369" s="11" t="b">
        <v>1</v>
      </c>
    </row>
    <row r="1370" spans="1:11">
      <c r="A1370" s="11" t="s">
        <v>2164</v>
      </c>
      <c r="B1370" s="310" t="str">
        <f>报表附注!E1699</f>
        <v>1、交易性金融工具、衍生金融工具的估值</v>
      </c>
      <c r="C1370" s="321">
        <f t="shared" si="137"/>
        <v>0</v>
      </c>
      <c r="D1370" s="11" t="b">
        <f t="shared" si="138"/>
        <v>0</v>
      </c>
      <c r="E1370" s="311"/>
      <c r="H1370" s="11" t="b">
        <f t="shared" si="136"/>
        <v>0</v>
      </c>
      <c r="I1370" s="11" t="s">
        <v>2170</v>
      </c>
      <c r="K1370" s="11" t="b">
        <v>1</v>
      </c>
    </row>
    <row r="1371" ht="22.5" spans="1:11">
      <c r="A1371" s="11" t="s">
        <v>2165</v>
      </c>
      <c r="B1371" s="310" t="str">
        <f>报表附注!E1700</f>
        <v>2、计入资本公积的可供出售金融资产公允价值变动</v>
      </c>
      <c r="C1371" s="321">
        <f t="shared" si="137"/>
        <v>0</v>
      </c>
      <c r="D1371" s="11" t="b">
        <f t="shared" si="138"/>
        <v>0</v>
      </c>
      <c r="E1371" s="311"/>
      <c r="H1371" s="11" t="b">
        <f t="shared" si="136"/>
        <v>0</v>
      </c>
      <c r="I1371" s="11" t="s">
        <v>2171</v>
      </c>
      <c r="K1371" s="11" t="b">
        <v>1</v>
      </c>
    </row>
    <row r="1372" ht="22.5" spans="1:11">
      <c r="A1372" s="11" t="s">
        <v>2162</v>
      </c>
      <c r="B1372" s="310" t="str">
        <f>报表附注!E1701</f>
        <v>3、非同一控制下企业合并产生递延所得税负债</v>
      </c>
      <c r="C1372" s="321">
        <f t="shared" si="137"/>
        <v>0</v>
      </c>
      <c r="D1372" s="11" t="b">
        <f t="shared" si="138"/>
        <v>0</v>
      </c>
      <c r="E1372" s="311"/>
      <c r="H1372" s="11" t="b">
        <f t="shared" si="136"/>
        <v>0</v>
      </c>
      <c r="I1372" s="11" t="s">
        <v>2172</v>
      </c>
      <c r="K1372" s="11" t="b">
        <v>1</v>
      </c>
    </row>
    <row r="1373" spans="1:11">
      <c r="A1373" s="11" t="s">
        <v>2163</v>
      </c>
      <c r="B1373" s="310" t="str">
        <f>报表附注!E1702</f>
        <v>4、内部交易未实现损益</v>
      </c>
      <c r="C1373" s="321">
        <f t="shared" si="137"/>
        <v>0</v>
      </c>
      <c r="D1373" s="11" t="b">
        <f t="shared" si="138"/>
        <v>0</v>
      </c>
      <c r="E1373" s="311"/>
      <c r="H1373" s="11" t="b">
        <f t="shared" si="136"/>
        <v>0</v>
      </c>
      <c r="I1373" s="11" t="s">
        <v>2173</v>
      </c>
      <c r="K1373" s="11" t="b">
        <v>1</v>
      </c>
    </row>
    <row r="1374" spans="1:11">
      <c r="A1374" s="11" t="s">
        <v>2166</v>
      </c>
      <c r="B1374" s="310" t="str">
        <f>报表附注!E1703</f>
        <v>5、固定资产评估增值</v>
      </c>
      <c r="C1374" s="321">
        <f t="shared" si="137"/>
        <v>0</v>
      </c>
      <c r="D1374" s="11" t="b">
        <f t="shared" si="138"/>
        <v>0</v>
      </c>
      <c r="E1374" s="311"/>
      <c r="H1374" s="11" t="b">
        <f t="shared" si="136"/>
        <v>0</v>
      </c>
      <c r="I1374" s="11" t="s">
        <v>2182</v>
      </c>
      <c r="K1374" s="11" t="b">
        <v>1</v>
      </c>
    </row>
    <row r="1375" spans="1:11">
      <c r="A1375" s="11" t="s">
        <v>2167</v>
      </c>
      <c r="B1375" s="310" t="str">
        <f>报表附注!E1704</f>
        <v>新增项目4……</v>
      </c>
      <c r="C1375" s="321">
        <f t="shared" si="137"/>
        <v>0</v>
      </c>
      <c r="D1375" s="11" t="b">
        <f t="shared" si="138"/>
        <v>1</v>
      </c>
      <c r="E1375" s="311"/>
      <c r="H1375" s="11" t="b">
        <f t="shared" si="136"/>
        <v>0</v>
      </c>
      <c r="I1375" s="11" t="s">
        <v>935</v>
      </c>
      <c r="K1375" s="11" t="b">
        <v>1</v>
      </c>
    </row>
    <row r="1376" spans="1:11">
      <c r="A1376" s="11" t="s">
        <v>2168</v>
      </c>
      <c r="B1376" s="310" t="str">
        <f>报表附注!E1705</f>
        <v>新增项目5……</v>
      </c>
      <c r="C1376" s="321">
        <f t="shared" si="137"/>
        <v>0</v>
      </c>
      <c r="D1376" s="11" t="b">
        <f t="shared" si="138"/>
        <v>1</v>
      </c>
      <c r="E1376" s="311"/>
      <c r="H1376" s="11" t="b">
        <f t="shared" si="136"/>
        <v>0</v>
      </c>
      <c r="I1376" s="11" t="s">
        <v>2150</v>
      </c>
      <c r="K1376" s="11" t="b">
        <v>1</v>
      </c>
    </row>
    <row r="1377" spans="1:11">
      <c r="A1377" s="11" t="s">
        <v>2169</v>
      </c>
      <c r="B1377" s="310" t="str">
        <f>报表附注!E1706</f>
        <v>新增项目6……</v>
      </c>
      <c r="C1377" s="321">
        <f t="shared" si="137"/>
        <v>0</v>
      </c>
      <c r="D1377" s="11" t="b">
        <f t="shared" si="138"/>
        <v>1</v>
      </c>
      <c r="E1377" s="311"/>
      <c r="H1377" s="11" t="b">
        <f t="shared" si="136"/>
        <v>0</v>
      </c>
      <c r="I1377" s="11" t="s">
        <v>2151</v>
      </c>
      <c r="K1377" s="11" t="b">
        <v>1</v>
      </c>
    </row>
    <row r="1378" spans="1:11">
      <c r="A1378" s="11" t="s">
        <v>2170</v>
      </c>
      <c r="B1378" s="310" t="str">
        <f>报表附注!E1707</f>
        <v>新增项目7……</v>
      </c>
      <c r="C1378" s="321">
        <f t="shared" si="137"/>
        <v>0</v>
      </c>
      <c r="D1378" s="11" t="b">
        <f t="shared" si="138"/>
        <v>1</v>
      </c>
      <c r="E1378" s="311"/>
      <c r="H1378" s="11" t="b">
        <f t="shared" si="136"/>
        <v>0</v>
      </c>
      <c r="I1378" s="11" t="s">
        <v>2152</v>
      </c>
      <c r="K1378" s="11" t="b">
        <v>1</v>
      </c>
    </row>
    <row r="1379" spans="1:11">
      <c r="A1379" s="11" t="s">
        <v>2171</v>
      </c>
      <c r="B1379" s="310" t="str">
        <f>报表附注!E1708</f>
        <v>新增项目8……</v>
      </c>
      <c r="C1379" s="321">
        <f t="shared" si="137"/>
        <v>0</v>
      </c>
      <c r="D1379" s="11" t="b">
        <f t="shared" si="138"/>
        <v>1</v>
      </c>
      <c r="E1379" s="311"/>
      <c r="H1379" s="11" t="b">
        <f t="shared" si="136"/>
        <v>0</v>
      </c>
      <c r="I1379" s="11" t="s">
        <v>2153</v>
      </c>
      <c r="K1379" s="11" t="b">
        <v>1</v>
      </c>
    </row>
    <row r="1380" spans="1:11">
      <c r="A1380" s="11" t="s">
        <v>2172</v>
      </c>
      <c r="B1380" s="310" t="str">
        <f>报表附注!E1709</f>
        <v>新增项目9……</v>
      </c>
      <c r="C1380" s="321">
        <f t="shared" si="137"/>
        <v>0</v>
      </c>
      <c r="D1380" s="11" t="b">
        <f t="shared" si="138"/>
        <v>1</v>
      </c>
      <c r="E1380" s="311"/>
      <c r="H1380" s="11" t="b">
        <f t="shared" si="136"/>
        <v>0</v>
      </c>
      <c r="I1380" s="11" t="s">
        <v>2154</v>
      </c>
      <c r="K1380" s="11" t="b">
        <v>1</v>
      </c>
    </row>
    <row r="1381" spans="1:11">
      <c r="A1381" s="11" t="s">
        <v>2173</v>
      </c>
      <c r="B1381" s="310" t="str">
        <f>报表附注!E1710</f>
        <v>新增项目10……</v>
      </c>
      <c r="C1381" s="321">
        <f t="shared" si="137"/>
        <v>0</v>
      </c>
      <c r="D1381" s="11" t="b">
        <f t="shared" si="138"/>
        <v>1</v>
      </c>
      <c r="E1381" s="311"/>
      <c r="H1381" s="11" t="b">
        <f t="shared" si="136"/>
        <v>0</v>
      </c>
      <c r="I1381" s="11" t="s">
        <v>2155</v>
      </c>
      <c r="K1381" s="11" t="b">
        <v>1</v>
      </c>
    </row>
    <row r="1382" ht="22.5" spans="1:11">
      <c r="A1382" s="11" t="s">
        <v>2182</v>
      </c>
      <c r="B1382" s="340" t="s">
        <v>2182</v>
      </c>
      <c r="C1382" s="328">
        <f t="shared" si="137"/>
        <v>0</v>
      </c>
      <c r="D1382" s="11" t="b">
        <f t="shared" si="138"/>
        <v>1</v>
      </c>
      <c r="E1382" s="326"/>
      <c r="H1382" s="11" t="b">
        <f t="shared" si="136"/>
        <v>0</v>
      </c>
      <c r="I1382" s="11" t="s">
        <v>2156</v>
      </c>
      <c r="K1382" s="11" t="b">
        <v>1</v>
      </c>
    </row>
    <row r="1383" spans="1:11">
      <c r="A1383" s="11" t="s">
        <v>935</v>
      </c>
      <c r="B1383" s="310" t="str">
        <f>报表附注!E1683</f>
        <v>一、递延所得税资产</v>
      </c>
      <c r="C1383" s="321">
        <f t="shared" si="137"/>
        <v>0</v>
      </c>
      <c r="D1383" s="11" t="b">
        <f t="shared" si="138"/>
        <v>1</v>
      </c>
      <c r="E1383" s="311"/>
      <c r="H1383" s="11" t="b">
        <f t="shared" si="136"/>
        <v>0</v>
      </c>
      <c r="I1383" s="11" t="s">
        <v>2157</v>
      </c>
      <c r="K1383" s="11" t="b">
        <v>1</v>
      </c>
    </row>
    <row r="1384" spans="1:11">
      <c r="A1384" s="11" t="s">
        <v>2150</v>
      </c>
      <c r="B1384" s="310" t="str">
        <f>报表附注!E1684</f>
        <v>1、资产减值准备：</v>
      </c>
      <c r="C1384" s="321">
        <f t="shared" si="137"/>
        <v>0</v>
      </c>
      <c r="D1384" s="11" t="b">
        <f t="shared" si="138"/>
        <v>0</v>
      </c>
      <c r="E1384" s="311"/>
      <c r="H1384" s="11" t="b">
        <f t="shared" si="136"/>
        <v>0</v>
      </c>
      <c r="I1384" s="11" t="s">
        <v>5711</v>
      </c>
      <c r="K1384" s="11" t="b">
        <v>0</v>
      </c>
    </row>
    <row r="1385" spans="1:11">
      <c r="A1385" s="11" t="s">
        <v>2151</v>
      </c>
      <c r="B1385" s="310" t="str">
        <f>报表附注!E1685</f>
        <v>      其中：坏账准备</v>
      </c>
      <c r="C1385" s="321">
        <f t="shared" si="137"/>
        <v>0</v>
      </c>
      <c r="D1385" s="11" t="b">
        <f t="shared" si="138"/>
        <v>1</v>
      </c>
      <c r="E1385" s="311"/>
      <c r="H1385" s="11" t="b">
        <f t="shared" si="136"/>
        <v>0</v>
      </c>
      <c r="I1385" s="11" t="s">
        <v>5712</v>
      </c>
      <c r="K1385" s="11" t="b">
        <v>0</v>
      </c>
    </row>
    <row r="1386" spans="1:11">
      <c r="A1386" s="11" t="s">
        <v>2152</v>
      </c>
      <c r="B1386" s="310" t="str">
        <f>报表附注!E1686</f>
        <v>           存货减值</v>
      </c>
      <c r="C1386" s="321">
        <f t="shared" ref="C1386:C1417" si="139">J1378</f>
        <v>0</v>
      </c>
      <c r="D1386" s="11" t="b">
        <f t="shared" si="138"/>
        <v>1</v>
      </c>
      <c r="E1386" s="311"/>
      <c r="H1386" s="11" t="b">
        <f t="shared" si="136"/>
        <v>0</v>
      </c>
      <c r="I1386" s="11" t="s">
        <v>3489</v>
      </c>
      <c r="K1386" s="11" t="b">
        <v>0</v>
      </c>
    </row>
    <row r="1387" spans="1:11">
      <c r="A1387" s="11" t="s">
        <v>2153</v>
      </c>
      <c r="B1387" s="310" t="str">
        <f>报表附注!E1687</f>
        <v>           在建工程减值</v>
      </c>
      <c r="C1387" s="321">
        <f t="shared" si="139"/>
        <v>0</v>
      </c>
      <c r="D1387" s="11" t="b">
        <f t="shared" si="138"/>
        <v>1</v>
      </c>
      <c r="E1387" s="311"/>
      <c r="H1387" s="11" t="b">
        <f t="shared" si="136"/>
        <v>0</v>
      </c>
      <c r="I1387" s="11" t="s">
        <v>3490</v>
      </c>
      <c r="K1387" s="11" t="b">
        <v>0</v>
      </c>
    </row>
    <row r="1388" spans="1:11">
      <c r="A1388" s="11" t="s">
        <v>2154</v>
      </c>
      <c r="B1388" s="310" t="str">
        <f>报表附注!E1688</f>
        <v>           长期股权投资减值</v>
      </c>
      <c r="C1388" s="321">
        <f t="shared" si="139"/>
        <v>0</v>
      </c>
      <c r="D1388" s="11" t="b">
        <f t="shared" si="138"/>
        <v>1</v>
      </c>
      <c r="E1388" s="311"/>
      <c r="H1388" s="11" t="b">
        <f t="shared" si="136"/>
        <v>0</v>
      </c>
      <c r="I1388" s="11" t="s">
        <v>5713</v>
      </c>
      <c r="K1388" s="11" t="b">
        <v>0</v>
      </c>
    </row>
    <row r="1389" spans="1:11">
      <c r="A1389" s="11" t="s">
        <v>2155</v>
      </c>
      <c r="B1389" s="310" t="str">
        <f>报表附注!E1689</f>
        <v>           固定资产减值</v>
      </c>
      <c r="C1389" s="321">
        <f t="shared" si="139"/>
        <v>0</v>
      </c>
      <c r="D1389" s="11" t="b">
        <f t="shared" si="138"/>
        <v>1</v>
      </c>
      <c r="E1389" s="311"/>
      <c r="H1389" s="11" t="b">
        <f t="shared" si="136"/>
        <v>0</v>
      </c>
      <c r="I1389" s="11" t="s">
        <v>5714</v>
      </c>
      <c r="K1389" s="11" t="b">
        <v>0</v>
      </c>
    </row>
    <row r="1390" spans="1:11">
      <c r="A1390" s="11" t="s">
        <v>2156</v>
      </c>
      <c r="B1390" s="310" t="str">
        <f>报表附注!E1690</f>
        <v>            无形资产减值</v>
      </c>
      <c r="C1390" s="321">
        <f t="shared" si="139"/>
        <v>0</v>
      </c>
      <c r="D1390" s="11" t="b">
        <f t="shared" si="138"/>
        <v>1</v>
      </c>
      <c r="E1390" s="311"/>
      <c r="H1390" s="11" t="b">
        <f t="shared" si="136"/>
        <v>0</v>
      </c>
      <c r="I1390" s="11" t="s">
        <v>937</v>
      </c>
      <c r="K1390" s="11" t="b">
        <v>1</v>
      </c>
    </row>
    <row r="1391" spans="1:11">
      <c r="A1391" s="11" t="s">
        <v>2157</v>
      </c>
      <c r="B1391" s="310" t="str">
        <f>报表附注!E1691</f>
        <v>            商誉减值</v>
      </c>
      <c r="C1391" s="321">
        <f t="shared" si="139"/>
        <v>0</v>
      </c>
      <c r="D1391" s="11" t="b">
        <f t="shared" si="138"/>
        <v>1</v>
      </c>
      <c r="E1391" s="311"/>
      <c r="H1391" s="11" t="b">
        <f t="shared" si="136"/>
        <v>0</v>
      </c>
      <c r="I1391" s="11" t="s">
        <v>2164</v>
      </c>
      <c r="K1391" s="11" t="b">
        <v>1</v>
      </c>
    </row>
    <row r="1392" spans="1:11">
      <c r="A1392" s="11" t="s">
        <v>2158</v>
      </c>
      <c r="B1392" s="310" t="str">
        <f>报表附注!E1692</f>
        <v>2、预计后期到票的无票支出</v>
      </c>
      <c r="C1392" s="321">
        <f t="shared" si="139"/>
        <v>0</v>
      </c>
      <c r="D1392" s="11" t="b">
        <f t="shared" si="138"/>
        <v>0</v>
      </c>
      <c r="E1392" s="311"/>
      <c r="H1392" s="11" t="b">
        <f t="shared" si="136"/>
        <v>0</v>
      </c>
      <c r="I1392" s="11" t="s">
        <v>2165</v>
      </c>
      <c r="K1392" s="11" t="b">
        <v>1</v>
      </c>
    </row>
    <row r="1393" spans="1:11">
      <c r="A1393" s="11" t="s">
        <v>2159</v>
      </c>
      <c r="B1393" s="310" t="str">
        <f>报表附注!E1693</f>
        <v>3、分期付款购入存货融资费用</v>
      </c>
      <c r="C1393" s="321">
        <f t="shared" si="139"/>
        <v>0</v>
      </c>
      <c r="D1393" s="11" t="b">
        <f t="shared" si="138"/>
        <v>0</v>
      </c>
      <c r="E1393" s="311"/>
      <c r="H1393" s="11" t="b">
        <f t="shared" si="136"/>
        <v>0</v>
      </c>
      <c r="I1393" s="11" t="s">
        <v>3495</v>
      </c>
      <c r="K1393" s="11" t="b">
        <v>0</v>
      </c>
    </row>
    <row r="1394" ht="22.5" spans="1:11">
      <c r="A1394" s="11" t="s">
        <v>2160</v>
      </c>
      <c r="B1394" s="310" t="str">
        <f>报表附注!E1694</f>
        <v>4、非同一控制下企业合并产生递延所得税资产</v>
      </c>
      <c r="C1394" s="321">
        <f t="shared" si="139"/>
        <v>0</v>
      </c>
      <c r="D1394" s="11" t="b">
        <f t="shared" si="138"/>
        <v>0</v>
      </c>
      <c r="E1394" s="311"/>
      <c r="H1394" s="11" t="b">
        <f t="shared" si="136"/>
        <v>0</v>
      </c>
      <c r="I1394" s="11" t="s">
        <v>3496</v>
      </c>
      <c r="K1394" s="11" t="b">
        <v>0</v>
      </c>
    </row>
    <row r="1395" spans="1:11">
      <c r="A1395" s="11" t="s">
        <v>2161</v>
      </c>
      <c r="B1395" s="310" t="str">
        <f>报表附注!E1695</f>
        <v>5、计提未付的工资</v>
      </c>
      <c r="C1395" s="321">
        <f t="shared" si="139"/>
        <v>0</v>
      </c>
      <c r="D1395" s="11" t="b">
        <f t="shared" si="138"/>
        <v>0</v>
      </c>
      <c r="E1395" s="311"/>
      <c r="H1395" s="11" t="b">
        <f t="shared" si="136"/>
        <v>0</v>
      </c>
      <c r="I1395" s="11" t="s">
        <v>2166</v>
      </c>
      <c r="K1395" s="11" t="b">
        <v>1</v>
      </c>
    </row>
    <row r="1396" spans="1:11">
      <c r="A1396" s="11" t="s">
        <v>2162</v>
      </c>
      <c r="B1396" s="310" t="str">
        <f>报表附注!E1696</f>
        <v>6、递延收益</v>
      </c>
      <c r="C1396" s="321">
        <f t="shared" si="139"/>
        <v>0</v>
      </c>
      <c r="D1396" s="11" t="b">
        <f t="shared" si="138"/>
        <v>0</v>
      </c>
      <c r="E1396" s="311"/>
      <c r="H1396" s="11" t="b">
        <f t="shared" si="136"/>
        <v>0</v>
      </c>
      <c r="I1396" s="11" t="s">
        <v>2167</v>
      </c>
      <c r="K1396" s="11" t="b">
        <v>1</v>
      </c>
    </row>
    <row r="1397" spans="1:11">
      <c r="A1397" s="11" t="s">
        <v>2163</v>
      </c>
      <c r="B1397" s="310" t="str">
        <f>报表附注!E1697</f>
        <v>7、内部交易未实现损益</v>
      </c>
      <c r="C1397" s="321">
        <f t="shared" si="139"/>
        <v>0</v>
      </c>
      <c r="D1397" s="11" t="b">
        <f t="shared" si="138"/>
        <v>0</v>
      </c>
      <c r="E1397" s="311"/>
      <c r="H1397" s="11" t="b">
        <f t="shared" si="136"/>
        <v>0</v>
      </c>
      <c r="I1397" s="11" t="s">
        <v>2168</v>
      </c>
      <c r="K1397" s="11" t="b">
        <v>1</v>
      </c>
    </row>
    <row r="1398" spans="1:11">
      <c r="A1398" s="11" t="s">
        <v>937</v>
      </c>
      <c r="B1398" s="310" t="str">
        <f>报表附注!E1698</f>
        <v>二、递延所得税负债</v>
      </c>
      <c r="C1398" s="321">
        <f t="shared" si="139"/>
        <v>0</v>
      </c>
      <c r="D1398" s="11" t="b">
        <f t="shared" si="138"/>
        <v>1</v>
      </c>
      <c r="E1398" s="311"/>
      <c r="H1398" s="11" t="b">
        <f t="shared" si="136"/>
        <v>0</v>
      </c>
      <c r="I1398" s="11" t="s">
        <v>2169</v>
      </c>
      <c r="K1398" s="11" t="b">
        <v>1</v>
      </c>
    </row>
    <row r="1399" spans="1:11">
      <c r="A1399" s="11" t="s">
        <v>2164</v>
      </c>
      <c r="B1399" s="310" t="str">
        <f>报表附注!E1699</f>
        <v>1、交易性金融工具、衍生金融工具的估值</v>
      </c>
      <c r="C1399" s="321">
        <f t="shared" si="139"/>
        <v>0</v>
      </c>
      <c r="D1399" s="11" t="b">
        <f t="shared" si="138"/>
        <v>0</v>
      </c>
      <c r="E1399" s="311"/>
      <c r="H1399" s="11" t="b">
        <f t="shared" si="136"/>
        <v>0</v>
      </c>
      <c r="I1399" s="11" t="s">
        <v>2170</v>
      </c>
      <c r="K1399" s="11" t="b">
        <v>1</v>
      </c>
    </row>
    <row r="1400" ht="22.5" spans="1:11">
      <c r="A1400" s="11" t="s">
        <v>2165</v>
      </c>
      <c r="B1400" s="310" t="str">
        <f>报表附注!E1700</f>
        <v>2、计入资本公积的可供出售金融资产公允价值变动</v>
      </c>
      <c r="C1400" s="321">
        <f t="shared" si="139"/>
        <v>0</v>
      </c>
      <c r="D1400" s="11" t="b">
        <f t="shared" si="138"/>
        <v>0</v>
      </c>
      <c r="E1400" s="311"/>
      <c r="H1400" s="11" t="b">
        <f t="shared" si="136"/>
        <v>0</v>
      </c>
      <c r="I1400" s="11" t="s">
        <v>2171</v>
      </c>
      <c r="K1400" s="11" t="b">
        <v>1</v>
      </c>
    </row>
    <row r="1401" ht="22.5" spans="1:11">
      <c r="A1401" s="11" t="s">
        <v>2162</v>
      </c>
      <c r="B1401" s="310" t="str">
        <f>报表附注!E1701</f>
        <v>3、非同一控制下企业合并产生递延所得税负债</v>
      </c>
      <c r="C1401" s="321">
        <f t="shared" si="139"/>
        <v>0</v>
      </c>
      <c r="D1401" s="11" t="b">
        <f t="shared" si="138"/>
        <v>0</v>
      </c>
      <c r="E1401" s="311"/>
      <c r="H1401" s="11" t="b">
        <f t="shared" si="136"/>
        <v>0</v>
      </c>
      <c r="I1401" s="11" t="s">
        <v>2172</v>
      </c>
      <c r="K1401" s="11" t="b">
        <v>1</v>
      </c>
    </row>
    <row r="1402" spans="1:11">
      <c r="A1402" s="11" t="s">
        <v>2163</v>
      </c>
      <c r="B1402" s="310" t="str">
        <f>报表附注!E1702</f>
        <v>4、内部交易未实现损益</v>
      </c>
      <c r="C1402" s="321">
        <f t="shared" si="139"/>
        <v>0</v>
      </c>
      <c r="D1402" s="11" t="b">
        <f t="shared" si="138"/>
        <v>0</v>
      </c>
      <c r="E1402" s="311"/>
      <c r="H1402" s="11" t="b">
        <f t="shared" si="136"/>
        <v>0</v>
      </c>
      <c r="I1402" s="11" t="s">
        <v>2173</v>
      </c>
      <c r="K1402" s="11" t="b">
        <v>1</v>
      </c>
    </row>
    <row r="1403" spans="1:11">
      <c r="A1403" s="11" t="s">
        <v>2166</v>
      </c>
      <c r="B1403" s="310" t="str">
        <f>报表附注!E1703</f>
        <v>5、固定资产评估增值</v>
      </c>
      <c r="C1403" s="321">
        <f t="shared" si="139"/>
        <v>0</v>
      </c>
      <c r="D1403" s="11" t="b">
        <f t="shared" si="138"/>
        <v>0</v>
      </c>
      <c r="E1403" s="311"/>
      <c r="H1403" s="11" t="b">
        <f t="shared" si="136"/>
        <v>0</v>
      </c>
      <c r="I1403" s="11" t="s">
        <v>2183</v>
      </c>
      <c r="K1403" s="11" t="b">
        <v>1</v>
      </c>
    </row>
    <row r="1404" spans="1:11">
      <c r="A1404" s="11" t="s">
        <v>2167</v>
      </c>
      <c r="B1404" s="310" t="str">
        <f>报表附注!E1704</f>
        <v>新增项目4……</v>
      </c>
      <c r="C1404" s="321">
        <f t="shared" si="139"/>
        <v>0</v>
      </c>
      <c r="D1404" s="11" t="b">
        <f t="shared" si="138"/>
        <v>1</v>
      </c>
      <c r="E1404" s="311"/>
      <c r="H1404" s="11" t="b">
        <f t="shared" si="136"/>
        <v>0</v>
      </c>
      <c r="I1404" s="11" t="s">
        <v>935</v>
      </c>
      <c r="K1404" s="11" t="b">
        <v>1</v>
      </c>
    </row>
    <row r="1405" spans="1:11">
      <c r="A1405" s="11" t="s">
        <v>2168</v>
      </c>
      <c r="B1405" s="310" t="str">
        <f>报表附注!E1705</f>
        <v>新增项目5……</v>
      </c>
      <c r="C1405" s="321">
        <f t="shared" si="139"/>
        <v>0</v>
      </c>
      <c r="D1405" s="11" t="b">
        <f t="shared" si="138"/>
        <v>1</v>
      </c>
      <c r="E1405" s="311"/>
      <c r="H1405" s="11" t="b">
        <f t="shared" si="136"/>
        <v>0</v>
      </c>
      <c r="I1405" s="11" t="s">
        <v>2150</v>
      </c>
      <c r="K1405" s="11" t="b">
        <v>1</v>
      </c>
    </row>
    <row r="1406" spans="1:11">
      <c r="A1406" s="11" t="s">
        <v>2169</v>
      </c>
      <c r="B1406" s="310" t="str">
        <f>报表附注!E1706</f>
        <v>新增项目6……</v>
      </c>
      <c r="C1406" s="321">
        <f t="shared" si="139"/>
        <v>0</v>
      </c>
      <c r="D1406" s="11" t="b">
        <f t="shared" si="138"/>
        <v>1</v>
      </c>
      <c r="E1406" s="311"/>
      <c r="H1406" s="11" t="b">
        <f t="shared" si="136"/>
        <v>0</v>
      </c>
      <c r="I1406" s="11" t="s">
        <v>2151</v>
      </c>
      <c r="K1406" s="11" t="b">
        <v>1</v>
      </c>
    </row>
    <row r="1407" spans="1:11">
      <c r="A1407" s="11" t="s">
        <v>2170</v>
      </c>
      <c r="B1407" s="310" t="str">
        <f>报表附注!E1707</f>
        <v>新增项目7……</v>
      </c>
      <c r="C1407" s="321">
        <f t="shared" si="139"/>
        <v>0</v>
      </c>
      <c r="D1407" s="11" t="b">
        <f t="shared" si="138"/>
        <v>1</v>
      </c>
      <c r="E1407" s="311"/>
      <c r="H1407" s="11" t="b">
        <f t="shared" si="136"/>
        <v>0</v>
      </c>
      <c r="I1407" s="11" t="s">
        <v>2152</v>
      </c>
      <c r="K1407" s="11" t="b">
        <v>1</v>
      </c>
    </row>
    <row r="1408" spans="1:11">
      <c r="A1408" s="11" t="s">
        <v>2171</v>
      </c>
      <c r="B1408" s="310" t="str">
        <f>报表附注!E1708</f>
        <v>新增项目8……</v>
      </c>
      <c r="C1408" s="321">
        <f t="shared" si="139"/>
        <v>0</v>
      </c>
      <c r="D1408" s="11" t="b">
        <f t="shared" si="138"/>
        <v>1</v>
      </c>
      <c r="E1408" s="311"/>
      <c r="H1408" s="11" t="b">
        <f t="shared" si="136"/>
        <v>0</v>
      </c>
      <c r="I1408" s="11" t="s">
        <v>2153</v>
      </c>
      <c r="K1408" s="11" t="b">
        <v>1</v>
      </c>
    </row>
    <row r="1409" spans="1:11">
      <c r="A1409" s="11" t="s">
        <v>2172</v>
      </c>
      <c r="B1409" s="310" t="str">
        <f>报表附注!E1709</f>
        <v>新增项目9……</v>
      </c>
      <c r="C1409" s="321">
        <f t="shared" si="139"/>
        <v>0</v>
      </c>
      <c r="D1409" s="11" t="b">
        <f t="shared" si="138"/>
        <v>1</v>
      </c>
      <c r="E1409" s="311"/>
      <c r="H1409" s="11" t="b">
        <f t="shared" si="136"/>
        <v>0</v>
      </c>
      <c r="I1409" s="11" t="s">
        <v>2154</v>
      </c>
      <c r="K1409" s="11" t="b">
        <v>1</v>
      </c>
    </row>
    <row r="1410" spans="1:11">
      <c r="A1410" s="11" t="s">
        <v>2173</v>
      </c>
      <c r="B1410" s="310" t="str">
        <f>报表附注!E1710</f>
        <v>新增项目10……</v>
      </c>
      <c r="C1410" s="321">
        <f t="shared" si="139"/>
        <v>0</v>
      </c>
      <c r="D1410" s="11" t="b">
        <f t="shared" si="138"/>
        <v>1</v>
      </c>
      <c r="E1410" s="311"/>
      <c r="H1410" s="11" t="b">
        <f t="shared" si="136"/>
        <v>0</v>
      </c>
      <c r="I1410" s="11" t="s">
        <v>2155</v>
      </c>
      <c r="K1410" s="11" t="b">
        <v>1</v>
      </c>
    </row>
    <row r="1411" spans="1:11">
      <c r="A1411" s="11" t="s">
        <v>2183</v>
      </c>
      <c r="B1411" s="340" t="s">
        <v>2183</v>
      </c>
      <c r="C1411" s="328">
        <f t="shared" si="139"/>
        <v>0</v>
      </c>
      <c r="D1411" s="11" t="b">
        <f t="shared" si="138"/>
        <v>1</v>
      </c>
      <c r="H1411" s="11" t="b">
        <f t="shared" si="136"/>
        <v>0</v>
      </c>
      <c r="I1411" s="11" t="s">
        <v>2156</v>
      </c>
      <c r="K1411" s="11" t="b">
        <v>1</v>
      </c>
    </row>
    <row r="1412" spans="1:11">
      <c r="A1412" s="11" t="s">
        <v>935</v>
      </c>
      <c r="B1412" s="310" t="str">
        <f>报表附注!E1683</f>
        <v>一、递延所得税资产</v>
      </c>
      <c r="C1412" s="321">
        <f t="shared" si="139"/>
        <v>0</v>
      </c>
      <c r="D1412" s="11" t="b">
        <f t="shared" si="138"/>
        <v>1</v>
      </c>
      <c r="E1412" s="321">
        <f>C1354</f>
        <v>0</v>
      </c>
      <c r="H1412" s="11" t="b">
        <f t="shared" ref="H1412:H1475" si="140">I1412=B1412</f>
        <v>0</v>
      </c>
      <c r="I1412" s="11" t="s">
        <v>2157</v>
      </c>
      <c r="K1412" s="11" t="b">
        <v>1</v>
      </c>
    </row>
    <row r="1413" spans="1:11">
      <c r="A1413" s="11" t="s">
        <v>2150</v>
      </c>
      <c r="B1413" s="310" t="str">
        <f>报表附注!E1684</f>
        <v>1、资产减值准备：</v>
      </c>
      <c r="C1413" s="321">
        <f t="shared" si="139"/>
        <v>0</v>
      </c>
      <c r="D1413" s="11" t="b">
        <f t="shared" si="138"/>
        <v>0</v>
      </c>
      <c r="E1413" s="321">
        <f t="shared" ref="E1413:E1468" si="141">C1355</f>
        <v>0</v>
      </c>
      <c r="H1413" s="11" t="b">
        <f t="shared" si="140"/>
        <v>0</v>
      </c>
      <c r="I1413" s="11" t="s">
        <v>5711</v>
      </c>
      <c r="K1413" s="11" t="b">
        <v>0</v>
      </c>
    </row>
    <row r="1414" spans="1:11">
      <c r="A1414" s="11" t="s">
        <v>2151</v>
      </c>
      <c r="B1414" s="310" t="str">
        <f>报表附注!E1685</f>
        <v>      其中：坏账准备</v>
      </c>
      <c r="C1414" s="321">
        <f t="shared" si="139"/>
        <v>0</v>
      </c>
      <c r="D1414" s="11" t="b">
        <f t="shared" si="138"/>
        <v>1</v>
      </c>
      <c r="E1414" s="321">
        <f t="shared" si="141"/>
        <v>0</v>
      </c>
      <c r="H1414" s="11" t="b">
        <f t="shared" si="140"/>
        <v>0</v>
      </c>
      <c r="I1414" s="11" t="s">
        <v>5712</v>
      </c>
      <c r="K1414" s="11" t="b">
        <v>0</v>
      </c>
    </row>
    <row r="1415" spans="1:11">
      <c r="A1415" s="11" t="s">
        <v>2152</v>
      </c>
      <c r="B1415" s="310" t="str">
        <f>报表附注!E1686</f>
        <v>           存货减值</v>
      </c>
      <c r="C1415" s="321">
        <f t="shared" si="139"/>
        <v>0</v>
      </c>
      <c r="D1415" s="11" t="b">
        <f t="shared" si="138"/>
        <v>1</v>
      </c>
      <c r="E1415" s="321">
        <f t="shared" si="141"/>
        <v>0</v>
      </c>
      <c r="H1415" s="11" t="b">
        <f t="shared" si="140"/>
        <v>0</v>
      </c>
      <c r="I1415" s="11" t="s">
        <v>3489</v>
      </c>
      <c r="K1415" s="11" t="b">
        <v>0</v>
      </c>
    </row>
    <row r="1416" spans="1:11">
      <c r="A1416" s="11" t="s">
        <v>2153</v>
      </c>
      <c r="B1416" s="310" t="str">
        <f>报表附注!E1687</f>
        <v>           在建工程减值</v>
      </c>
      <c r="C1416" s="321">
        <f t="shared" si="139"/>
        <v>0</v>
      </c>
      <c r="D1416" s="11" t="b">
        <f t="shared" si="138"/>
        <v>1</v>
      </c>
      <c r="E1416" s="321">
        <f t="shared" si="141"/>
        <v>0</v>
      </c>
      <c r="H1416" s="11" t="b">
        <f t="shared" si="140"/>
        <v>0</v>
      </c>
      <c r="I1416" s="11" t="s">
        <v>3490</v>
      </c>
      <c r="K1416" s="11" t="b">
        <v>0</v>
      </c>
    </row>
    <row r="1417" spans="1:11">
      <c r="A1417" s="11" t="s">
        <v>2154</v>
      </c>
      <c r="B1417" s="310" t="str">
        <f>报表附注!E1688</f>
        <v>           长期股权投资减值</v>
      </c>
      <c r="C1417" s="321">
        <f t="shared" si="139"/>
        <v>0</v>
      </c>
      <c r="D1417" s="11" t="b">
        <f t="shared" si="138"/>
        <v>1</v>
      </c>
      <c r="E1417" s="321">
        <f t="shared" si="141"/>
        <v>0</v>
      </c>
      <c r="H1417" s="11" t="b">
        <f t="shared" si="140"/>
        <v>0</v>
      </c>
      <c r="I1417" s="11" t="s">
        <v>5713</v>
      </c>
      <c r="K1417" s="11" t="b">
        <v>0</v>
      </c>
    </row>
    <row r="1418" spans="1:11">
      <c r="A1418" s="11" t="s">
        <v>2155</v>
      </c>
      <c r="B1418" s="310" t="str">
        <f>报表附注!E1689</f>
        <v>           固定资产减值</v>
      </c>
      <c r="C1418" s="321">
        <f t="shared" ref="C1418:C1449" si="142">J1410</f>
        <v>0</v>
      </c>
      <c r="D1418" s="11" t="b">
        <f t="shared" si="138"/>
        <v>1</v>
      </c>
      <c r="E1418" s="321">
        <f t="shared" si="141"/>
        <v>0</v>
      </c>
      <c r="H1418" s="11" t="b">
        <f t="shared" si="140"/>
        <v>0</v>
      </c>
      <c r="I1418" s="11" t="s">
        <v>5714</v>
      </c>
      <c r="K1418" s="11" t="b">
        <v>0</v>
      </c>
    </row>
    <row r="1419" spans="1:11">
      <c r="A1419" s="11" t="s">
        <v>2156</v>
      </c>
      <c r="B1419" s="310" t="str">
        <f>报表附注!E1690</f>
        <v>            无形资产减值</v>
      </c>
      <c r="C1419" s="321">
        <f t="shared" si="142"/>
        <v>0</v>
      </c>
      <c r="D1419" s="11" t="b">
        <f t="shared" si="138"/>
        <v>1</v>
      </c>
      <c r="E1419" s="321">
        <f t="shared" si="141"/>
        <v>0</v>
      </c>
      <c r="H1419" s="11" t="b">
        <f t="shared" si="140"/>
        <v>0</v>
      </c>
      <c r="I1419" s="11" t="s">
        <v>937</v>
      </c>
      <c r="K1419" s="11" t="b">
        <v>1</v>
      </c>
    </row>
    <row r="1420" spans="1:11">
      <c r="A1420" s="11" t="s">
        <v>2157</v>
      </c>
      <c r="B1420" s="310" t="str">
        <f>报表附注!E1691</f>
        <v>            商誉减值</v>
      </c>
      <c r="C1420" s="321">
        <f t="shared" si="142"/>
        <v>0</v>
      </c>
      <c r="D1420" s="11" t="b">
        <f t="shared" ref="D1420:D1483" si="143">EXACT(A1420,B1420)</f>
        <v>1</v>
      </c>
      <c r="E1420" s="321">
        <f t="shared" si="141"/>
        <v>0</v>
      </c>
      <c r="H1420" s="11" t="b">
        <f t="shared" si="140"/>
        <v>0</v>
      </c>
      <c r="I1420" s="11" t="s">
        <v>2164</v>
      </c>
      <c r="K1420" s="11" t="b">
        <v>1</v>
      </c>
    </row>
    <row r="1421" spans="1:11">
      <c r="A1421" s="11" t="s">
        <v>2158</v>
      </c>
      <c r="B1421" s="310" t="str">
        <f>报表附注!E1692</f>
        <v>2、预计后期到票的无票支出</v>
      </c>
      <c r="C1421" s="321">
        <f t="shared" si="142"/>
        <v>0</v>
      </c>
      <c r="D1421" s="11" t="b">
        <f t="shared" si="143"/>
        <v>0</v>
      </c>
      <c r="E1421" s="321">
        <f t="shared" si="141"/>
        <v>0</v>
      </c>
      <c r="H1421" s="11" t="b">
        <f t="shared" si="140"/>
        <v>0</v>
      </c>
      <c r="I1421" s="11" t="s">
        <v>2165</v>
      </c>
      <c r="K1421" s="11" t="b">
        <v>1</v>
      </c>
    </row>
    <row r="1422" spans="1:11">
      <c r="A1422" s="11" t="s">
        <v>2159</v>
      </c>
      <c r="B1422" s="310" t="str">
        <f>报表附注!E1693</f>
        <v>3、分期付款购入存货融资费用</v>
      </c>
      <c r="C1422" s="321">
        <f t="shared" si="142"/>
        <v>0</v>
      </c>
      <c r="D1422" s="11" t="b">
        <f t="shared" si="143"/>
        <v>0</v>
      </c>
      <c r="E1422" s="321">
        <f t="shared" si="141"/>
        <v>0</v>
      </c>
      <c r="H1422" s="11" t="b">
        <f t="shared" si="140"/>
        <v>0</v>
      </c>
      <c r="I1422" s="11" t="s">
        <v>3495</v>
      </c>
      <c r="K1422" s="11" t="b">
        <v>0</v>
      </c>
    </row>
    <row r="1423" ht="22.5" spans="1:11">
      <c r="A1423" s="11" t="s">
        <v>2160</v>
      </c>
      <c r="B1423" s="310" t="str">
        <f>报表附注!E1694</f>
        <v>4、非同一控制下企业合并产生递延所得税资产</v>
      </c>
      <c r="C1423" s="321">
        <f t="shared" si="142"/>
        <v>0</v>
      </c>
      <c r="D1423" s="11" t="b">
        <f t="shared" si="143"/>
        <v>0</v>
      </c>
      <c r="E1423" s="321">
        <f t="shared" si="141"/>
        <v>0</v>
      </c>
      <c r="H1423" s="11" t="b">
        <f t="shared" si="140"/>
        <v>0</v>
      </c>
      <c r="I1423" s="11" t="s">
        <v>3496</v>
      </c>
      <c r="K1423" s="11" t="b">
        <v>0</v>
      </c>
    </row>
    <row r="1424" spans="1:11">
      <c r="A1424" s="11" t="s">
        <v>2161</v>
      </c>
      <c r="B1424" s="310" t="str">
        <f>报表附注!E1695</f>
        <v>5、计提未付的工资</v>
      </c>
      <c r="C1424" s="321">
        <f t="shared" si="142"/>
        <v>0</v>
      </c>
      <c r="D1424" s="11" t="b">
        <f t="shared" si="143"/>
        <v>0</v>
      </c>
      <c r="E1424" s="321">
        <f t="shared" si="141"/>
        <v>0</v>
      </c>
      <c r="H1424" s="11" t="b">
        <f t="shared" si="140"/>
        <v>0</v>
      </c>
      <c r="I1424" s="11" t="s">
        <v>2166</v>
      </c>
      <c r="K1424" s="11" t="b">
        <v>1</v>
      </c>
    </row>
    <row r="1425" spans="1:11">
      <c r="A1425" s="11" t="s">
        <v>2162</v>
      </c>
      <c r="B1425" s="310" t="str">
        <f>报表附注!E1696</f>
        <v>6、递延收益</v>
      </c>
      <c r="C1425" s="321">
        <f t="shared" si="142"/>
        <v>0</v>
      </c>
      <c r="D1425" s="11" t="b">
        <f t="shared" si="143"/>
        <v>0</v>
      </c>
      <c r="E1425" s="321">
        <f t="shared" si="141"/>
        <v>0</v>
      </c>
      <c r="H1425" s="11" t="b">
        <f t="shared" si="140"/>
        <v>0</v>
      </c>
      <c r="I1425" s="11" t="s">
        <v>2167</v>
      </c>
      <c r="K1425" s="11" t="b">
        <v>1</v>
      </c>
    </row>
    <row r="1426" spans="1:11">
      <c r="A1426" s="11" t="s">
        <v>2163</v>
      </c>
      <c r="B1426" s="310" t="str">
        <f>报表附注!E1697</f>
        <v>7、内部交易未实现损益</v>
      </c>
      <c r="C1426" s="321">
        <f t="shared" si="142"/>
        <v>0</v>
      </c>
      <c r="D1426" s="11" t="b">
        <f t="shared" si="143"/>
        <v>0</v>
      </c>
      <c r="E1426" s="321">
        <f t="shared" si="141"/>
        <v>0</v>
      </c>
      <c r="H1426" s="11" t="b">
        <f t="shared" si="140"/>
        <v>0</v>
      </c>
      <c r="I1426" s="11" t="s">
        <v>2168</v>
      </c>
      <c r="K1426" s="11" t="b">
        <v>1</v>
      </c>
    </row>
    <row r="1427" spans="1:11">
      <c r="A1427" s="11" t="s">
        <v>937</v>
      </c>
      <c r="B1427" s="310" t="str">
        <f>报表附注!E1698</f>
        <v>二、递延所得税负债</v>
      </c>
      <c r="C1427" s="321">
        <f t="shared" si="142"/>
        <v>0</v>
      </c>
      <c r="D1427" s="11" t="b">
        <f t="shared" si="143"/>
        <v>1</v>
      </c>
      <c r="E1427" s="321">
        <f t="shared" si="141"/>
        <v>0</v>
      </c>
      <c r="H1427" s="11" t="b">
        <f t="shared" si="140"/>
        <v>0</v>
      </c>
      <c r="I1427" s="11" t="s">
        <v>2169</v>
      </c>
      <c r="K1427" s="11" t="b">
        <v>1</v>
      </c>
    </row>
    <row r="1428" spans="1:11">
      <c r="A1428" s="11" t="s">
        <v>2164</v>
      </c>
      <c r="B1428" s="310" t="str">
        <f>报表附注!E1699</f>
        <v>1、交易性金融工具、衍生金融工具的估值</v>
      </c>
      <c r="C1428" s="321">
        <f t="shared" si="142"/>
        <v>0</v>
      </c>
      <c r="D1428" s="11" t="b">
        <f t="shared" si="143"/>
        <v>0</v>
      </c>
      <c r="E1428" s="321">
        <f t="shared" si="141"/>
        <v>0</v>
      </c>
      <c r="H1428" s="11" t="b">
        <f t="shared" si="140"/>
        <v>0</v>
      </c>
      <c r="I1428" s="11" t="s">
        <v>2170</v>
      </c>
      <c r="K1428" s="11" t="b">
        <v>1</v>
      </c>
    </row>
    <row r="1429" ht="22.5" spans="1:11">
      <c r="A1429" s="11" t="s">
        <v>2165</v>
      </c>
      <c r="B1429" s="310" t="str">
        <f>报表附注!E1700</f>
        <v>2、计入资本公积的可供出售金融资产公允价值变动</v>
      </c>
      <c r="C1429" s="321">
        <f t="shared" si="142"/>
        <v>0</v>
      </c>
      <c r="D1429" s="11" t="b">
        <f t="shared" si="143"/>
        <v>0</v>
      </c>
      <c r="E1429" s="321">
        <f t="shared" si="141"/>
        <v>0</v>
      </c>
      <c r="H1429" s="11" t="b">
        <f t="shared" si="140"/>
        <v>0</v>
      </c>
      <c r="I1429" s="11" t="s">
        <v>2171</v>
      </c>
      <c r="K1429" s="11" t="b">
        <v>1</v>
      </c>
    </row>
    <row r="1430" ht="22.5" spans="1:11">
      <c r="A1430" s="11" t="s">
        <v>2162</v>
      </c>
      <c r="B1430" s="310" t="str">
        <f>报表附注!E1701</f>
        <v>3、非同一控制下企业合并产生递延所得税负债</v>
      </c>
      <c r="C1430" s="321">
        <f t="shared" si="142"/>
        <v>0</v>
      </c>
      <c r="D1430" s="11" t="b">
        <f t="shared" si="143"/>
        <v>0</v>
      </c>
      <c r="E1430" s="321">
        <f t="shared" si="141"/>
        <v>0</v>
      </c>
      <c r="H1430" s="11" t="b">
        <f t="shared" si="140"/>
        <v>0</v>
      </c>
      <c r="I1430" s="11" t="s">
        <v>2172</v>
      </c>
      <c r="K1430" s="11" t="b">
        <v>1</v>
      </c>
    </row>
    <row r="1431" spans="1:11">
      <c r="A1431" s="11" t="s">
        <v>2163</v>
      </c>
      <c r="B1431" s="310" t="str">
        <f>报表附注!E1702</f>
        <v>4、内部交易未实现损益</v>
      </c>
      <c r="C1431" s="321">
        <f t="shared" si="142"/>
        <v>0</v>
      </c>
      <c r="D1431" s="11" t="b">
        <f t="shared" si="143"/>
        <v>0</v>
      </c>
      <c r="E1431" s="321">
        <f t="shared" si="141"/>
        <v>0</v>
      </c>
      <c r="H1431" s="11" t="b">
        <f t="shared" si="140"/>
        <v>0</v>
      </c>
      <c r="I1431" s="11" t="s">
        <v>2173</v>
      </c>
      <c r="K1431" s="11" t="b">
        <v>1</v>
      </c>
    </row>
    <row r="1432" spans="1:11">
      <c r="A1432" s="11" t="s">
        <v>2166</v>
      </c>
      <c r="B1432" s="310" t="str">
        <f>报表附注!E1703</f>
        <v>5、固定资产评估增值</v>
      </c>
      <c r="C1432" s="321">
        <f t="shared" si="142"/>
        <v>0</v>
      </c>
      <c r="D1432" s="11" t="b">
        <f t="shared" si="143"/>
        <v>0</v>
      </c>
      <c r="E1432" s="321">
        <f t="shared" si="141"/>
        <v>0</v>
      </c>
      <c r="H1432" s="11" t="b">
        <f t="shared" si="140"/>
        <v>0</v>
      </c>
      <c r="I1432" s="11" t="s">
        <v>2184</v>
      </c>
      <c r="K1432" s="11" t="b">
        <v>1</v>
      </c>
    </row>
    <row r="1433" spans="1:11">
      <c r="A1433" s="11" t="s">
        <v>2167</v>
      </c>
      <c r="B1433" s="310" t="str">
        <f>报表附注!E1704</f>
        <v>新增项目4……</v>
      </c>
      <c r="C1433" s="321">
        <f t="shared" si="142"/>
        <v>0</v>
      </c>
      <c r="D1433" s="11" t="b">
        <f t="shared" si="143"/>
        <v>1</v>
      </c>
      <c r="E1433" s="321">
        <f t="shared" si="141"/>
        <v>0</v>
      </c>
      <c r="H1433" s="11" t="b">
        <f t="shared" si="140"/>
        <v>0</v>
      </c>
      <c r="I1433" s="11" t="s">
        <v>935</v>
      </c>
      <c r="K1433" s="11" t="b">
        <v>1</v>
      </c>
    </row>
    <row r="1434" spans="1:11">
      <c r="A1434" s="11" t="s">
        <v>2168</v>
      </c>
      <c r="B1434" s="310" t="str">
        <f>报表附注!E1705</f>
        <v>新增项目5……</v>
      </c>
      <c r="C1434" s="321">
        <f t="shared" si="142"/>
        <v>0</v>
      </c>
      <c r="D1434" s="11" t="b">
        <f t="shared" si="143"/>
        <v>1</v>
      </c>
      <c r="E1434" s="321">
        <f t="shared" si="141"/>
        <v>0</v>
      </c>
      <c r="H1434" s="11" t="b">
        <f t="shared" si="140"/>
        <v>0</v>
      </c>
      <c r="I1434" s="11" t="s">
        <v>2150</v>
      </c>
      <c r="K1434" s="11" t="b">
        <v>1</v>
      </c>
    </row>
    <row r="1435" spans="1:11">
      <c r="A1435" s="11" t="s">
        <v>2169</v>
      </c>
      <c r="B1435" s="310" t="str">
        <f>报表附注!E1706</f>
        <v>新增项目6……</v>
      </c>
      <c r="C1435" s="321">
        <f t="shared" si="142"/>
        <v>0</v>
      </c>
      <c r="D1435" s="11" t="b">
        <f t="shared" si="143"/>
        <v>1</v>
      </c>
      <c r="E1435" s="321">
        <f t="shared" si="141"/>
        <v>0</v>
      </c>
      <c r="H1435" s="11" t="b">
        <f t="shared" si="140"/>
        <v>0</v>
      </c>
      <c r="I1435" s="11" t="s">
        <v>2151</v>
      </c>
      <c r="K1435" s="11" t="b">
        <v>1</v>
      </c>
    </row>
    <row r="1436" spans="1:11">
      <c r="A1436" s="11" t="s">
        <v>2170</v>
      </c>
      <c r="B1436" s="310" t="str">
        <f>报表附注!E1707</f>
        <v>新增项目7……</v>
      </c>
      <c r="C1436" s="321">
        <f t="shared" si="142"/>
        <v>0</v>
      </c>
      <c r="D1436" s="11" t="b">
        <f t="shared" si="143"/>
        <v>1</v>
      </c>
      <c r="E1436" s="321">
        <f t="shared" si="141"/>
        <v>0</v>
      </c>
      <c r="H1436" s="11" t="b">
        <f t="shared" si="140"/>
        <v>0</v>
      </c>
      <c r="I1436" s="11" t="s">
        <v>2152</v>
      </c>
      <c r="K1436" s="11" t="b">
        <v>1</v>
      </c>
    </row>
    <row r="1437" spans="1:11">
      <c r="A1437" s="11" t="s">
        <v>2171</v>
      </c>
      <c r="B1437" s="310" t="str">
        <f>报表附注!E1708</f>
        <v>新增项目8……</v>
      </c>
      <c r="C1437" s="321">
        <f t="shared" si="142"/>
        <v>0</v>
      </c>
      <c r="D1437" s="11" t="b">
        <f t="shared" si="143"/>
        <v>1</v>
      </c>
      <c r="E1437" s="321">
        <f t="shared" si="141"/>
        <v>0</v>
      </c>
      <c r="H1437" s="11" t="b">
        <f t="shared" si="140"/>
        <v>0</v>
      </c>
      <c r="I1437" s="11" t="s">
        <v>2153</v>
      </c>
      <c r="K1437" s="11" t="b">
        <v>1</v>
      </c>
    </row>
    <row r="1438" spans="1:11">
      <c r="A1438" s="11" t="s">
        <v>2172</v>
      </c>
      <c r="B1438" s="310" t="str">
        <f>报表附注!E1709</f>
        <v>新增项目9……</v>
      </c>
      <c r="C1438" s="321">
        <f t="shared" si="142"/>
        <v>0</v>
      </c>
      <c r="D1438" s="11" t="b">
        <f t="shared" si="143"/>
        <v>1</v>
      </c>
      <c r="E1438" s="321">
        <f t="shared" si="141"/>
        <v>0</v>
      </c>
      <c r="H1438" s="11" t="b">
        <f t="shared" si="140"/>
        <v>0</v>
      </c>
      <c r="I1438" s="11" t="s">
        <v>2154</v>
      </c>
      <c r="K1438" s="11" t="b">
        <v>1</v>
      </c>
    </row>
    <row r="1439" spans="1:11">
      <c r="A1439" s="11" t="s">
        <v>2173</v>
      </c>
      <c r="B1439" s="310" t="str">
        <f>报表附注!E1710</f>
        <v>新增项目10……</v>
      </c>
      <c r="C1439" s="321">
        <f t="shared" si="142"/>
        <v>0</v>
      </c>
      <c r="D1439" s="11" t="b">
        <f t="shared" si="143"/>
        <v>1</v>
      </c>
      <c r="E1439" s="321">
        <f t="shared" si="141"/>
        <v>0</v>
      </c>
      <c r="H1439" s="11" t="b">
        <f t="shared" si="140"/>
        <v>0</v>
      </c>
      <c r="I1439" s="11" t="s">
        <v>2155</v>
      </c>
      <c r="K1439" s="11" t="b">
        <v>1</v>
      </c>
    </row>
    <row r="1440" ht="22.5" spans="1:11">
      <c r="A1440" s="11" t="s">
        <v>2184</v>
      </c>
      <c r="B1440" s="340" t="s">
        <v>2184</v>
      </c>
      <c r="C1440" s="328">
        <f t="shared" si="142"/>
        <v>0</v>
      </c>
      <c r="D1440" s="11" t="b">
        <f t="shared" si="143"/>
        <v>1</v>
      </c>
      <c r="E1440" s="321">
        <f t="shared" si="141"/>
        <v>0</v>
      </c>
      <c r="H1440" s="11" t="b">
        <f t="shared" si="140"/>
        <v>0</v>
      </c>
      <c r="I1440" s="11" t="s">
        <v>2156</v>
      </c>
      <c r="K1440" s="11" t="b">
        <v>1</v>
      </c>
    </row>
    <row r="1441" spans="1:11">
      <c r="A1441" s="11" t="s">
        <v>935</v>
      </c>
      <c r="B1441" s="310" t="str">
        <f>报表附注!E1683</f>
        <v>一、递延所得税资产</v>
      </c>
      <c r="C1441" s="321">
        <f t="shared" si="142"/>
        <v>0</v>
      </c>
      <c r="D1441" s="11" t="b">
        <f t="shared" si="143"/>
        <v>1</v>
      </c>
      <c r="E1441" s="321">
        <f t="shared" si="141"/>
        <v>0</v>
      </c>
      <c r="H1441" s="11" t="b">
        <f t="shared" si="140"/>
        <v>0</v>
      </c>
      <c r="I1441" s="11" t="s">
        <v>2157</v>
      </c>
      <c r="K1441" s="11" t="b">
        <v>1</v>
      </c>
    </row>
    <row r="1442" spans="1:11">
      <c r="A1442" s="11" t="s">
        <v>2150</v>
      </c>
      <c r="B1442" s="310" t="str">
        <f>报表附注!E1684</f>
        <v>1、资产减值准备：</v>
      </c>
      <c r="C1442" s="321">
        <f t="shared" si="142"/>
        <v>0</v>
      </c>
      <c r="D1442" s="11" t="b">
        <f t="shared" si="143"/>
        <v>0</v>
      </c>
      <c r="E1442" s="321">
        <f t="shared" si="141"/>
        <v>0</v>
      </c>
      <c r="H1442" s="11" t="b">
        <f t="shared" si="140"/>
        <v>0</v>
      </c>
      <c r="I1442" s="11" t="s">
        <v>5711</v>
      </c>
      <c r="K1442" s="11" t="b">
        <v>0</v>
      </c>
    </row>
    <row r="1443" spans="1:11">
      <c r="A1443" s="11" t="s">
        <v>2151</v>
      </c>
      <c r="B1443" s="310" t="str">
        <f>报表附注!E1685</f>
        <v>      其中：坏账准备</v>
      </c>
      <c r="C1443" s="321">
        <f t="shared" si="142"/>
        <v>0</v>
      </c>
      <c r="D1443" s="11" t="b">
        <f t="shared" si="143"/>
        <v>1</v>
      </c>
      <c r="E1443" s="321">
        <f t="shared" si="141"/>
        <v>0</v>
      </c>
      <c r="H1443" s="11" t="b">
        <f t="shared" si="140"/>
        <v>0</v>
      </c>
      <c r="I1443" s="11" t="s">
        <v>5712</v>
      </c>
      <c r="K1443" s="11" t="b">
        <v>0</v>
      </c>
    </row>
    <row r="1444" spans="1:11">
      <c r="A1444" s="11" t="s">
        <v>2152</v>
      </c>
      <c r="B1444" s="310" t="str">
        <f>报表附注!E1686</f>
        <v>           存货减值</v>
      </c>
      <c r="C1444" s="321">
        <f t="shared" si="142"/>
        <v>0</v>
      </c>
      <c r="D1444" s="11" t="b">
        <f t="shared" si="143"/>
        <v>1</v>
      </c>
      <c r="E1444" s="321">
        <f t="shared" si="141"/>
        <v>0</v>
      </c>
      <c r="H1444" s="11" t="b">
        <f t="shared" si="140"/>
        <v>0</v>
      </c>
      <c r="I1444" s="11" t="s">
        <v>3489</v>
      </c>
      <c r="K1444" s="11" t="b">
        <v>0</v>
      </c>
    </row>
    <row r="1445" spans="1:11">
      <c r="A1445" s="11" t="s">
        <v>2153</v>
      </c>
      <c r="B1445" s="310" t="str">
        <f>报表附注!E1687</f>
        <v>           在建工程减值</v>
      </c>
      <c r="C1445" s="321">
        <f t="shared" si="142"/>
        <v>0</v>
      </c>
      <c r="D1445" s="11" t="b">
        <f t="shared" si="143"/>
        <v>1</v>
      </c>
      <c r="E1445" s="321">
        <f t="shared" si="141"/>
        <v>0</v>
      </c>
      <c r="H1445" s="11" t="b">
        <f t="shared" si="140"/>
        <v>0</v>
      </c>
      <c r="I1445" s="11" t="s">
        <v>3490</v>
      </c>
      <c r="K1445" s="11" t="b">
        <v>0</v>
      </c>
    </row>
    <row r="1446" spans="1:11">
      <c r="A1446" s="11" t="s">
        <v>2154</v>
      </c>
      <c r="B1446" s="310" t="str">
        <f>报表附注!E1688</f>
        <v>           长期股权投资减值</v>
      </c>
      <c r="C1446" s="321">
        <f t="shared" si="142"/>
        <v>0</v>
      </c>
      <c r="D1446" s="11" t="b">
        <f t="shared" si="143"/>
        <v>1</v>
      </c>
      <c r="E1446" s="321">
        <f t="shared" si="141"/>
        <v>0</v>
      </c>
      <c r="H1446" s="11" t="b">
        <f t="shared" si="140"/>
        <v>0</v>
      </c>
      <c r="I1446" s="11" t="s">
        <v>5713</v>
      </c>
      <c r="K1446" s="11" t="b">
        <v>0</v>
      </c>
    </row>
    <row r="1447" spans="1:11">
      <c r="A1447" s="11" t="s">
        <v>2155</v>
      </c>
      <c r="B1447" s="310" t="str">
        <f>报表附注!E1689</f>
        <v>           固定资产减值</v>
      </c>
      <c r="C1447" s="321">
        <f t="shared" si="142"/>
        <v>0</v>
      </c>
      <c r="D1447" s="11" t="b">
        <f t="shared" si="143"/>
        <v>1</v>
      </c>
      <c r="E1447" s="321">
        <f t="shared" si="141"/>
        <v>0</v>
      </c>
      <c r="H1447" s="11" t="b">
        <f t="shared" si="140"/>
        <v>0</v>
      </c>
      <c r="I1447" s="11" t="s">
        <v>5714</v>
      </c>
      <c r="K1447" s="11" t="b">
        <v>0</v>
      </c>
    </row>
    <row r="1448" spans="1:11">
      <c r="A1448" s="11" t="s">
        <v>2156</v>
      </c>
      <c r="B1448" s="310" t="str">
        <f>报表附注!E1690</f>
        <v>            无形资产减值</v>
      </c>
      <c r="C1448" s="321">
        <f t="shared" si="142"/>
        <v>0</v>
      </c>
      <c r="D1448" s="11" t="b">
        <f t="shared" si="143"/>
        <v>1</v>
      </c>
      <c r="E1448" s="321">
        <f t="shared" si="141"/>
        <v>0</v>
      </c>
      <c r="H1448" s="11" t="b">
        <f t="shared" si="140"/>
        <v>0</v>
      </c>
      <c r="I1448" s="11" t="s">
        <v>937</v>
      </c>
      <c r="K1448" s="11" t="b">
        <v>1</v>
      </c>
    </row>
    <row r="1449" spans="1:11">
      <c r="A1449" s="11" t="s">
        <v>2157</v>
      </c>
      <c r="B1449" s="310" t="str">
        <f>报表附注!E1691</f>
        <v>            商誉减值</v>
      </c>
      <c r="C1449" s="321">
        <f t="shared" si="142"/>
        <v>0</v>
      </c>
      <c r="D1449" s="11" t="b">
        <f t="shared" si="143"/>
        <v>1</v>
      </c>
      <c r="E1449" s="321">
        <f t="shared" si="141"/>
        <v>0</v>
      </c>
      <c r="H1449" s="11" t="b">
        <f t="shared" si="140"/>
        <v>0</v>
      </c>
      <c r="I1449" s="11" t="s">
        <v>2164</v>
      </c>
      <c r="K1449" s="11" t="b">
        <v>1</v>
      </c>
    </row>
    <row r="1450" spans="1:11">
      <c r="A1450" s="11" t="s">
        <v>2158</v>
      </c>
      <c r="B1450" s="310" t="str">
        <f>报表附注!E1692</f>
        <v>2、预计后期到票的无票支出</v>
      </c>
      <c r="C1450" s="321">
        <f t="shared" ref="C1450:C1468" si="144">J1442</f>
        <v>0</v>
      </c>
      <c r="D1450" s="11" t="b">
        <f t="shared" si="143"/>
        <v>0</v>
      </c>
      <c r="E1450" s="321">
        <f t="shared" si="141"/>
        <v>0</v>
      </c>
      <c r="H1450" s="11" t="b">
        <f t="shared" si="140"/>
        <v>0</v>
      </c>
      <c r="I1450" s="11" t="s">
        <v>2165</v>
      </c>
      <c r="K1450" s="11" t="b">
        <v>1</v>
      </c>
    </row>
    <row r="1451" spans="1:11">
      <c r="A1451" s="11" t="s">
        <v>2159</v>
      </c>
      <c r="B1451" s="310" t="str">
        <f>报表附注!E1693</f>
        <v>3、分期付款购入存货融资费用</v>
      </c>
      <c r="C1451" s="321">
        <f t="shared" si="144"/>
        <v>0</v>
      </c>
      <c r="D1451" s="11" t="b">
        <f t="shared" si="143"/>
        <v>0</v>
      </c>
      <c r="E1451" s="321">
        <f t="shared" si="141"/>
        <v>0</v>
      </c>
      <c r="H1451" s="11" t="b">
        <f t="shared" si="140"/>
        <v>0</v>
      </c>
      <c r="I1451" s="11" t="s">
        <v>3495</v>
      </c>
      <c r="K1451" s="11" t="b">
        <v>0</v>
      </c>
    </row>
    <row r="1452" ht="22.5" spans="1:11">
      <c r="A1452" s="11" t="s">
        <v>2160</v>
      </c>
      <c r="B1452" s="310" t="str">
        <f>报表附注!E1694</f>
        <v>4、非同一控制下企业合并产生递延所得税资产</v>
      </c>
      <c r="C1452" s="321">
        <f t="shared" si="144"/>
        <v>0</v>
      </c>
      <c r="D1452" s="11" t="b">
        <f t="shared" si="143"/>
        <v>0</v>
      </c>
      <c r="E1452" s="321">
        <f t="shared" si="141"/>
        <v>0</v>
      </c>
      <c r="H1452" s="11" t="b">
        <f t="shared" si="140"/>
        <v>0</v>
      </c>
      <c r="I1452" s="11" t="s">
        <v>3496</v>
      </c>
      <c r="K1452" s="11" t="b">
        <v>0</v>
      </c>
    </row>
    <row r="1453" spans="1:11">
      <c r="A1453" s="11" t="s">
        <v>2161</v>
      </c>
      <c r="B1453" s="310" t="str">
        <f>报表附注!E1695</f>
        <v>5、计提未付的工资</v>
      </c>
      <c r="C1453" s="321">
        <f t="shared" si="144"/>
        <v>0</v>
      </c>
      <c r="D1453" s="11" t="b">
        <f t="shared" si="143"/>
        <v>0</v>
      </c>
      <c r="E1453" s="321">
        <f t="shared" si="141"/>
        <v>0</v>
      </c>
      <c r="H1453" s="11" t="b">
        <f t="shared" si="140"/>
        <v>0</v>
      </c>
      <c r="I1453" s="11" t="s">
        <v>2166</v>
      </c>
      <c r="K1453" s="11" t="b">
        <v>1</v>
      </c>
    </row>
    <row r="1454" spans="1:11">
      <c r="A1454" s="11" t="s">
        <v>2162</v>
      </c>
      <c r="B1454" s="310" t="str">
        <f>报表附注!E1696</f>
        <v>6、递延收益</v>
      </c>
      <c r="C1454" s="321">
        <f t="shared" si="144"/>
        <v>0</v>
      </c>
      <c r="D1454" s="11" t="b">
        <f t="shared" si="143"/>
        <v>0</v>
      </c>
      <c r="E1454" s="321">
        <f t="shared" si="141"/>
        <v>0</v>
      </c>
      <c r="H1454" s="11" t="b">
        <f t="shared" si="140"/>
        <v>0</v>
      </c>
      <c r="I1454" s="11" t="s">
        <v>2167</v>
      </c>
      <c r="K1454" s="11" t="b">
        <v>1</v>
      </c>
    </row>
    <row r="1455" spans="1:11">
      <c r="A1455" s="11" t="s">
        <v>2163</v>
      </c>
      <c r="B1455" s="310" t="str">
        <f>报表附注!E1697</f>
        <v>7、内部交易未实现损益</v>
      </c>
      <c r="C1455" s="321">
        <f t="shared" si="144"/>
        <v>0</v>
      </c>
      <c r="D1455" s="11" t="b">
        <f t="shared" si="143"/>
        <v>0</v>
      </c>
      <c r="E1455" s="321">
        <f t="shared" si="141"/>
        <v>0</v>
      </c>
      <c r="H1455" s="11" t="b">
        <f t="shared" si="140"/>
        <v>0</v>
      </c>
      <c r="I1455" s="11" t="s">
        <v>2168</v>
      </c>
      <c r="K1455" s="11" t="b">
        <v>1</v>
      </c>
    </row>
    <row r="1456" spans="1:11">
      <c r="A1456" s="11" t="s">
        <v>937</v>
      </c>
      <c r="B1456" s="310" t="str">
        <f>报表附注!E1698</f>
        <v>二、递延所得税负债</v>
      </c>
      <c r="C1456" s="321">
        <f t="shared" si="144"/>
        <v>0</v>
      </c>
      <c r="D1456" s="11" t="b">
        <f t="shared" si="143"/>
        <v>1</v>
      </c>
      <c r="E1456" s="321">
        <f t="shared" si="141"/>
        <v>0</v>
      </c>
      <c r="H1456" s="11" t="b">
        <f t="shared" si="140"/>
        <v>0</v>
      </c>
      <c r="I1456" s="11" t="s">
        <v>2169</v>
      </c>
      <c r="K1456" s="11" t="b">
        <v>1</v>
      </c>
    </row>
    <row r="1457" spans="1:11">
      <c r="A1457" s="11" t="s">
        <v>2164</v>
      </c>
      <c r="B1457" s="310" t="str">
        <f>报表附注!E1699</f>
        <v>1、交易性金融工具、衍生金融工具的估值</v>
      </c>
      <c r="C1457" s="321">
        <f t="shared" si="144"/>
        <v>0</v>
      </c>
      <c r="D1457" s="11" t="b">
        <f t="shared" si="143"/>
        <v>0</v>
      </c>
      <c r="E1457" s="321">
        <f t="shared" si="141"/>
        <v>0</v>
      </c>
      <c r="H1457" s="11" t="b">
        <f t="shared" si="140"/>
        <v>0</v>
      </c>
      <c r="I1457" s="11" t="s">
        <v>2170</v>
      </c>
      <c r="K1457" s="11" t="b">
        <v>1</v>
      </c>
    </row>
    <row r="1458" ht="22.5" spans="1:11">
      <c r="A1458" s="11" t="s">
        <v>2165</v>
      </c>
      <c r="B1458" s="310" t="str">
        <f>报表附注!E1700</f>
        <v>2、计入资本公积的可供出售金融资产公允价值变动</v>
      </c>
      <c r="C1458" s="321">
        <f t="shared" si="144"/>
        <v>0</v>
      </c>
      <c r="D1458" s="11" t="b">
        <f t="shared" si="143"/>
        <v>0</v>
      </c>
      <c r="E1458" s="321">
        <f t="shared" si="141"/>
        <v>0</v>
      </c>
      <c r="H1458" s="11" t="b">
        <f t="shared" si="140"/>
        <v>0</v>
      </c>
      <c r="I1458" s="11" t="s">
        <v>2171</v>
      </c>
      <c r="K1458" s="11" t="b">
        <v>1</v>
      </c>
    </row>
    <row r="1459" ht="22.5" spans="1:11">
      <c r="A1459" s="11" t="s">
        <v>2162</v>
      </c>
      <c r="B1459" s="310" t="str">
        <f>报表附注!E1701</f>
        <v>3、非同一控制下企业合并产生递延所得税负债</v>
      </c>
      <c r="C1459" s="321">
        <f t="shared" si="144"/>
        <v>0</v>
      </c>
      <c r="D1459" s="11" t="b">
        <f t="shared" si="143"/>
        <v>0</v>
      </c>
      <c r="E1459" s="321">
        <f t="shared" si="141"/>
        <v>0</v>
      </c>
      <c r="H1459" s="11" t="b">
        <f t="shared" si="140"/>
        <v>0</v>
      </c>
      <c r="I1459" s="11" t="s">
        <v>2172</v>
      </c>
      <c r="K1459" s="11" t="b">
        <v>1</v>
      </c>
    </row>
    <row r="1460" spans="1:11">
      <c r="A1460" s="11" t="s">
        <v>2163</v>
      </c>
      <c r="B1460" s="310" t="str">
        <f>报表附注!E1702</f>
        <v>4、内部交易未实现损益</v>
      </c>
      <c r="C1460" s="321">
        <f t="shared" si="144"/>
        <v>0</v>
      </c>
      <c r="D1460" s="11" t="b">
        <f t="shared" si="143"/>
        <v>0</v>
      </c>
      <c r="E1460" s="321">
        <f t="shared" si="141"/>
        <v>0</v>
      </c>
      <c r="H1460" s="11" t="b">
        <f t="shared" si="140"/>
        <v>0</v>
      </c>
      <c r="I1460" s="11" t="s">
        <v>2173</v>
      </c>
      <c r="K1460" s="11" t="b">
        <v>1</v>
      </c>
    </row>
    <row r="1461" spans="1:11">
      <c r="A1461" s="11" t="s">
        <v>2166</v>
      </c>
      <c r="B1461" s="310" t="str">
        <f>报表附注!E1703</f>
        <v>5、固定资产评估增值</v>
      </c>
      <c r="C1461" s="321">
        <f t="shared" si="144"/>
        <v>0</v>
      </c>
      <c r="D1461" s="11" t="b">
        <f t="shared" si="143"/>
        <v>0</v>
      </c>
      <c r="E1461" s="321">
        <f t="shared" si="141"/>
        <v>0</v>
      </c>
      <c r="H1461" s="11" t="b">
        <f t="shared" si="140"/>
        <v>0</v>
      </c>
      <c r="K1461" s="11" t="b">
        <v>1</v>
      </c>
    </row>
    <row r="1462" spans="1:11">
      <c r="A1462" s="11" t="s">
        <v>2167</v>
      </c>
      <c r="B1462" s="310" t="str">
        <f>报表附注!E1704</f>
        <v>新增项目4……</v>
      </c>
      <c r="C1462" s="321">
        <f t="shared" si="144"/>
        <v>0</v>
      </c>
      <c r="D1462" s="11" t="b">
        <f t="shared" si="143"/>
        <v>1</v>
      </c>
      <c r="E1462" s="321">
        <f t="shared" si="141"/>
        <v>0</v>
      </c>
      <c r="H1462" s="11" t="b">
        <f t="shared" si="140"/>
        <v>0</v>
      </c>
      <c r="K1462" s="11" t="b">
        <v>1</v>
      </c>
    </row>
    <row r="1463" spans="1:11">
      <c r="A1463" s="11" t="s">
        <v>2168</v>
      </c>
      <c r="B1463" s="310" t="str">
        <f>报表附注!E1705</f>
        <v>新增项目5……</v>
      </c>
      <c r="C1463" s="321">
        <f t="shared" si="144"/>
        <v>0</v>
      </c>
      <c r="D1463" s="11" t="b">
        <f t="shared" si="143"/>
        <v>1</v>
      </c>
      <c r="E1463" s="321">
        <f t="shared" si="141"/>
        <v>0</v>
      </c>
      <c r="H1463" s="11" t="b">
        <f t="shared" si="140"/>
        <v>0</v>
      </c>
      <c r="I1463" s="11" t="s">
        <v>2185</v>
      </c>
      <c r="K1463" s="11" t="b">
        <v>1</v>
      </c>
    </row>
    <row r="1464" spans="1:11">
      <c r="A1464" s="11" t="s">
        <v>2169</v>
      </c>
      <c r="B1464" s="310" t="str">
        <f>报表附注!E1706</f>
        <v>新增项目6……</v>
      </c>
      <c r="C1464" s="321">
        <f t="shared" si="144"/>
        <v>0</v>
      </c>
      <c r="D1464" s="11" t="b">
        <f t="shared" si="143"/>
        <v>1</v>
      </c>
      <c r="E1464" s="321">
        <f t="shared" si="141"/>
        <v>0</v>
      </c>
      <c r="H1464" s="11" t="b">
        <f t="shared" si="140"/>
        <v>0</v>
      </c>
      <c r="I1464" s="11" t="s">
        <v>671</v>
      </c>
      <c r="K1464" s="11" t="b">
        <v>1</v>
      </c>
    </row>
    <row r="1465" spans="1:11">
      <c r="A1465" s="11" t="s">
        <v>2170</v>
      </c>
      <c r="B1465" s="310" t="str">
        <f>报表附注!E1707</f>
        <v>新增项目7……</v>
      </c>
      <c r="C1465" s="321">
        <f t="shared" si="144"/>
        <v>0</v>
      </c>
      <c r="D1465" s="11" t="b">
        <f t="shared" si="143"/>
        <v>1</v>
      </c>
      <c r="E1465" s="321">
        <f t="shared" si="141"/>
        <v>0</v>
      </c>
      <c r="H1465" s="11" t="b">
        <f t="shared" si="140"/>
        <v>0</v>
      </c>
      <c r="I1465" s="11" t="s">
        <v>471</v>
      </c>
      <c r="K1465" s="11" t="b">
        <v>1</v>
      </c>
    </row>
    <row r="1466" spans="1:11">
      <c r="A1466" s="11" t="s">
        <v>2171</v>
      </c>
      <c r="B1466" s="310" t="str">
        <f>报表附注!E1708</f>
        <v>新增项目8……</v>
      </c>
      <c r="C1466" s="321">
        <f t="shared" si="144"/>
        <v>0</v>
      </c>
      <c r="D1466" s="11" t="b">
        <f t="shared" si="143"/>
        <v>1</v>
      </c>
      <c r="E1466" s="321">
        <f t="shared" si="141"/>
        <v>0</v>
      </c>
      <c r="H1466" s="11" t="b">
        <f t="shared" si="140"/>
        <v>0</v>
      </c>
      <c r="I1466" s="11" t="s">
        <v>2186</v>
      </c>
      <c r="K1466" s="11" t="b">
        <v>1</v>
      </c>
    </row>
    <row r="1467" spans="1:11">
      <c r="A1467" s="11" t="s">
        <v>2172</v>
      </c>
      <c r="B1467" s="310" t="str">
        <f>报表附注!E1709</f>
        <v>新增项目9……</v>
      </c>
      <c r="C1467" s="321">
        <f t="shared" si="144"/>
        <v>0</v>
      </c>
      <c r="D1467" s="11" t="b">
        <f t="shared" si="143"/>
        <v>1</v>
      </c>
      <c r="E1467" s="321">
        <f t="shared" si="141"/>
        <v>0</v>
      </c>
      <c r="H1467" s="11" t="b">
        <f t="shared" si="140"/>
        <v>0</v>
      </c>
      <c r="I1467" s="11" t="s">
        <v>2187</v>
      </c>
      <c r="K1467" s="11" t="b">
        <v>1</v>
      </c>
    </row>
    <row r="1468" spans="1:11">
      <c r="A1468" s="11" t="s">
        <v>2173</v>
      </c>
      <c r="B1468" s="310" t="str">
        <f>报表附注!E1710</f>
        <v>新增项目10……</v>
      </c>
      <c r="C1468" s="321">
        <f t="shared" si="144"/>
        <v>0</v>
      </c>
      <c r="D1468" s="11" t="b">
        <f t="shared" si="143"/>
        <v>1</v>
      </c>
      <c r="E1468" s="321">
        <f t="shared" si="141"/>
        <v>0</v>
      </c>
      <c r="H1468" s="11" t="b">
        <f t="shared" si="140"/>
        <v>0</v>
      </c>
      <c r="I1468" s="11" t="s">
        <v>2188</v>
      </c>
      <c r="K1468" s="11" t="b">
        <v>1</v>
      </c>
    </row>
    <row r="1469" spans="4:11">
      <c r="D1469" s="11" t="b">
        <f t="shared" si="143"/>
        <v>1</v>
      </c>
      <c r="H1469" s="11" t="b">
        <f t="shared" si="140"/>
        <v>0</v>
      </c>
      <c r="I1469" s="11" t="s">
        <v>2189</v>
      </c>
      <c r="K1469" s="11" t="b">
        <v>1</v>
      </c>
    </row>
    <row r="1470" spans="4:11">
      <c r="D1470" s="11" t="b">
        <f t="shared" si="143"/>
        <v>1</v>
      </c>
      <c r="H1470" s="11" t="b">
        <f t="shared" si="140"/>
        <v>0</v>
      </c>
      <c r="I1470" s="11" t="s">
        <v>2190</v>
      </c>
      <c r="K1470" s="11" t="b">
        <v>1</v>
      </c>
    </row>
    <row r="1471" spans="1:11">
      <c r="A1471" s="11" t="s">
        <v>2185</v>
      </c>
      <c r="B1471" s="364" t="s">
        <v>2185</v>
      </c>
      <c r="D1471" s="11" t="b">
        <f t="shared" si="143"/>
        <v>1</v>
      </c>
      <c r="H1471" s="11" t="b">
        <f t="shared" si="140"/>
        <v>0</v>
      </c>
      <c r="I1471" s="11" t="s">
        <v>2191</v>
      </c>
      <c r="K1471" s="11" t="b">
        <v>1</v>
      </c>
    </row>
    <row r="1472" spans="1:11">
      <c r="A1472" s="11" t="s">
        <v>671</v>
      </c>
      <c r="B1472" s="333" t="s">
        <v>671</v>
      </c>
      <c r="D1472" s="11" t="b">
        <f t="shared" si="143"/>
        <v>1</v>
      </c>
      <c r="H1472" s="11" t="b">
        <f t="shared" si="140"/>
        <v>0</v>
      </c>
      <c r="I1472" s="11" t="s">
        <v>2192</v>
      </c>
      <c r="K1472" s="11" t="b">
        <v>1</v>
      </c>
    </row>
    <row r="1473" spans="1:11">
      <c r="A1473" s="11" t="s">
        <v>471</v>
      </c>
      <c r="B1473" s="334" t="str">
        <f>报表附注!E1730</f>
        <v>坏账准备</v>
      </c>
      <c r="C1473" s="321">
        <f t="shared" ref="C1473:C1488" si="145">J1465</f>
        <v>0</v>
      </c>
      <c r="D1473" s="11" t="b">
        <f t="shared" si="143"/>
        <v>1</v>
      </c>
      <c r="E1473" s="321">
        <f>C1541</f>
        <v>3621406.98</v>
      </c>
      <c r="H1473" s="11" t="b">
        <f t="shared" si="140"/>
        <v>0</v>
      </c>
      <c r="I1473" s="11" t="s">
        <v>2193</v>
      </c>
      <c r="K1473" s="11" t="b">
        <v>1</v>
      </c>
    </row>
    <row r="1474" spans="1:11">
      <c r="A1474" s="11" t="s">
        <v>2186</v>
      </c>
      <c r="B1474" s="334" t="str">
        <f>报表附注!E1731</f>
        <v>存货跌价准备</v>
      </c>
      <c r="C1474" s="321">
        <f t="shared" si="145"/>
        <v>0</v>
      </c>
      <c r="D1474" s="11" t="b">
        <f t="shared" si="143"/>
        <v>1</v>
      </c>
      <c r="E1474" s="321">
        <f t="shared" ref="E1474:E1488" si="146">C1542</f>
        <v>1788781.28</v>
      </c>
      <c r="H1474" s="11" t="b">
        <f t="shared" si="140"/>
        <v>0</v>
      </c>
      <c r="I1474" s="11" t="s">
        <v>2194</v>
      </c>
      <c r="K1474" s="11" t="b">
        <v>1</v>
      </c>
    </row>
    <row r="1475" spans="1:11">
      <c r="A1475" s="11" t="s">
        <v>2187</v>
      </c>
      <c r="B1475" s="334" t="str">
        <f>报表附注!E1732</f>
        <v>可供出售金融资产减值准备</v>
      </c>
      <c r="C1475" s="321">
        <f t="shared" si="145"/>
        <v>0</v>
      </c>
      <c r="D1475" s="11" t="b">
        <f t="shared" si="143"/>
        <v>1</v>
      </c>
      <c r="E1475" s="321">
        <f t="shared" si="146"/>
        <v>0</v>
      </c>
      <c r="H1475" s="11" t="b">
        <f t="shared" si="140"/>
        <v>0</v>
      </c>
      <c r="I1475" s="11" t="s">
        <v>960</v>
      </c>
      <c r="K1475" s="11" t="b">
        <v>1</v>
      </c>
    </row>
    <row r="1476" spans="1:11">
      <c r="A1476" s="11" t="s">
        <v>2188</v>
      </c>
      <c r="B1476" s="334" t="str">
        <f>报表附注!E1733</f>
        <v>持有至到期投资减值准备</v>
      </c>
      <c r="C1476" s="321">
        <f t="shared" si="145"/>
        <v>0</v>
      </c>
      <c r="D1476" s="11" t="b">
        <f t="shared" si="143"/>
        <v>1</v>
      </c>
      <c r="E1476" s="321">
        <f t="shared" si="146"/>
        <v>0</v>
      </c>
      <c r="H1476" s="11" t="b">
        <f t="shared" ref="H1476:H1539" si="147">I1476=B1476</f>
        <v>0</v>
      </c>
      <c r="I1476" s="11" t="s">
        <v>2195</v>
      </c>
      <c r="K1476" s="11" t="b">
        <v>1</v>
      </c>
    </row>
    <row r="1477" spans="1:11">
      <c r="A1477" s="11" t="s">
        <v>2189</v>
      </c>
      <c r="B1477" s="334" t="str">
        <f>报表附注!E1734</f>
        <v>长期股权投资减值准备</v>
      </c>
      <c r="C1477" s="321">
        <f t="shared" si="145"/>
        <v>0</v>
      </c>
      <c r="D1477" s="11" t="b">
        <f t="shared" si="143"/>
        <v>1</v>
      </c>
      <c r="E1477" s="321">
        <f t="shared" si="146"/>
        <v>0</v>
      </c>
      <c r="H1477" s="11" t="b">
        <f t="shared" si="147"/>
        <v>0</v>
      </c>
      <c r="I1477" s="11" t="s">
        <v>2196</v>
      </c>
      <c r="K1477" s="11" t="b">
        <v>1</v>
      </c>
    </row>
    <row r="1478" spans="1:11">
      <c r="A1478" s="11" t="s">
        <v>2190</v>
      </c>
      <c r="B1478" s="334" t="str">
        <f>报表附注!E1735</f>
        <v>投资性房地产减值准备</v>
      </c>
      <c r="C1478" s="321">
        <f t="shared" si="145"/>
        <v>0</v>
      </c>
      <c r="D1478" s="11" t="b">
        <f t="shared" si="143"/>
        <v>1</v>
      </c>
      <c r="E1478" s="321">
        <f t="shared" si="146"/>
        <v>0</v>
      </c>
      <c r="H1478" s="11" t="b">
        <f t="shared" si="147"/>
        <v>0</v>
      </c>
      <c r="I1478" s="11" t="s">
        <v>2197</v>
      </c>
      <c r="K1478" s="11" t="b">
        <v>1</v>
      </c>
    </row>
    <row r="1479" spans="1:11">
      <c r="A1479" s="11" t="s">
        <v>2191</v>
      </c>
      <c r="B1479" s="334" t="str">
        <f>报表附注!E1736</f>
        <v>固定资产减值准备</v>
      </c>
      <c r="C1479" s="321">
        <f t="shared" si="145"/>
        <v>0</v>
      </c>
      <c r="D1479" s="11" t="b">
        <f t="shared" si="143"/>
        <v>1</v>
      </c>
      <c r="E1479" s="321">
        <f t="shared" si="146"/>
        <v>0</v>
      </c>
      <c r="H1479" s="11" t="b">
        <f t="shared" si="147"/>
        <v>0</v>
      </c>
      <c r="I1479" s="11" t="s">
        <v>280</v>
      </c>
      <c r="K1479" s="11" t="b">
        <v>1</v>
      </c>
    </row>
    <row r="1480" spans="1:11">
      <c r="A1480" s="11" t="s">
        <v>2192</v>
      </c>
      <c r="B1480" s="334" t="str">
        <f>报表附注!E1737</f>
        <v>工程物资减值准备</v>
      </c>
      <c r="C1480" s="321">
        <f t="shared" si="145"/>
        <v>0</v>
      </c>
      <c r="D1480" s="11" t="b">
        <f t="shared" si="143"/>
        <v>1</v>
      </c>
      <c r="E1480" s="321">
        <f t="shared" si="146"/>
        <v>0</v>
      </c>
      <c r="H1480" s="11" t="b">
        <f t="shared" si="147"/>
        <v>0</v>
      </c>
      <c r="I1480" s="11" t="s">
        <v>347</v>
      </c>
      <c r="K1480" s="11" t="b">
        <v>1</v>
      </c>
    </row>
    <row r="1481" spans="1:11">
      <c r="A1481" s="11" t="s">
        <v>2193</v>
      </c>
      <c r="B1481" s="334" t="str">
        <f>报表附注!E1738</f>
        <v>在建工程减值准备</v>
      </c>
      <c r="C1481" s="321">
        <f t="shared" si="145"/>
        <v>0</v>
      </c>
      <c r="D1481" s="11" t="b">
        <f t="shared" si="143"/>
        <v>1</v>
      </c>
      <c r="E1481" s="321">
        <f t="shared" si="146"/>
        <v>0</v>
      </c>
      <c r="H1481" s="11" t="b">
        <f t="shared" si="147"/>
        <v>0</v>
      </c>
      <c r="I1481" s="11" t="s">
        <v>2198</v>
      </c>
      <c r="K1481" s="11" t="b">
        <v>1</v>
      </c>
    </row>
    <row r="1482" spans="1:11">
      <c r="A1482" s="11" t="s">
        <v>2194</v>
      </c>
      <c r="B1482" s="334" t="str">
        <f>报表附注!E1739</f>
        <v>生产性生物资产减值准备</v>
      </c>
      <c r="C1482" s="321">
        <f t="shared" si="145"/>
        <v>0</v>
      </c>
      <c r="D1482" s="11" t="b">
        <f t="shared" si="143"/>
        <v>1</v>
      </c>
      <c r="E1482" s="321">
        <f t="shared" si="146"/>
        <v>0</v>
      </c>
      <c r="H1482" s="11" t="b">
        <f t="shared" si="147"/>
        <v>0</v>
      </c>
      <c r="I1482" s="11" t="s">
        <v>471</v>
      </c>
      <c r="K1482" s="11" t="b">
        <v>1</v>
      </c>
    </row>
    <row r="1483" spans="1:11">
      <c r="A1483" s="11" t="s">
        <v>960</v>
      </c>
      <c r="B1483" s="334" t="str">
        <f>报表附注!E1740</f>
        <v>其中：成熟生产性生物资产减值准备</v>
      </c>
      <c r="C1483" s="321">
        <f t="shared" si="145"/>
        <v>0</v>
      </c>
      <c r="D1483" s="11" t="b">
        <f t="shared" si="143"/>
        <v>1</v>
      </c>
      <c r="E1483" s="321">
        <f t="shared" si="146"/>
        <v>0</v>
      </c>
      <c r="H1483" s="11" t="b">
        <f t="shared" si="147"/>
        <v>0</v>
      </c>
      <c r="I1483" s="11" t="s">
        <v>2186</v>
      </c>
      <c r="K1483" s="11" t="b">
        <v>1</v>
      </c>
    </row>
    <row r="1484" spans="1:11">
      <c r="A1484" s="11" t="s">
        <v>2195</v>
      </c>
      <c r="B1484" s="334" t="str">
        <f>报表附注!E1741</f>
        <v>油气资产减值准备</v>
      </c>
      <c r="C1484" s="321">
        <f t="shared" si="145"/>
        <v>0</v>
      </c>
      <c r="D1484" s="11" t="b">
        <f t="shared" ref="D1484:D1547" si="148">EXACT(A1484,B1484)</f>
        <v>1</v>
      </c>
      <c r="E1484" s="321">
        <f t="shared" si="146"/>
        <v>0</v>
      </c>
      <c r="H1484" s="11" t="b">
        <f t="shared" si="147"/>
        <v>0</v>
      </c>
      <c r="I1484" s="11" t="s">
        <v>2187</v>
      </c>
      <c r="K1484" s="11" t="b">
        <v>1</v>
      </c>
    </row>
    <row r="1485" spans="1:11">
      <c r="A1485" s="11" t="s">
        <v>2196</v>
      </c>
      <c r="B1485" s="334" t="str">
        <f>报表附注!E1742</f>
        <v>无形资产减值准备</v>
      </c>
      <c r="C1485" s="321">
        <f t="shared" si="145"/>
        <v>0</v>
      </c>
      <c r="D1485" s="11" t="b">
        <f t="shared" si="148"/>
        <v>1</v>
      </c>
      <c r="E1485" s="321">
        <f t="shared" si="146"/>
        <v>0</v>
      </c>
      <c r="H1485" s="11" t="b">
        <f t="shared" si="147"/>
        <v>0</v>
      </c>
      <c r="I1485" s="11" t="s">
        <v>2188</v>
      </c>
      <c r="K1485" s="11" t="b">
        <v>1</v>
      </c>
    </row>
    <row r="1486" spans="1:11">
      <c r="A1486" s="11" t="s">
        <v>2197</v>
      </c>
      <c r="B1486" s="334" t="str">
        <f>报表附注!E1743</f>
        <v>商誉减值准备</v>
      </c>
      <c r="C1486" s="321">
        <f t="shared" si="145"/>
        <v>0</v>
      </c>
      <c r="D1486" s="11" t="b">
        <f t="shared" si="148"/>
        <v>1</v>
      </c>
      <c r="E1486" s="321">
        <f t="shared" si="146"/>
        <v>0</v>
      </c>
      <c r="H1486" s="11" t="b">
        <f t="shared" si="147"/>
        <v>0</v>
      </c>
      <c r="I1486" s="11" t="s">
        <v>2189</v>
      </c>
      <c r="K1486" s="11" t="b">
        <v>1</v>
      </c>
    </row>
    <row r="1487" spans="1:11">
      <c r="A1487" s="11" t="s">
        <v>280</v>
      </c>
      <c r="B1487" s="334" t="str">
        <f>报表附注!E1744</f>
        <v>其他</v>
      </c>
      <c r="C1487" s="321">
        <f t="shared" si="145"/>
        <v>0</v>
      </c>
      <c r="D1487" s="11" t="b">
        <f t="shared" si="148"/>
        <v>1</v>
      </c>
      <c r="E1487" s="321">
        <f t="shared" si="146"/>
        <v>0</v>
      </c>
      <c r="H1487" s="11" t="b">
        <f t="shared" si="147"/>
        <v>0</v>
      </c>
      <c r="I1487" s="11" t="s">
        <v>2190</v>
      </c>
      <c r="K1487" s="11" t="b">
        <v>1</v>
      </c>
    </row>
    <row r="1488" spans="1:11">
      <c r="A1488" s="11" t="s">
        <v>347</v>
      </c>
      <c r="B1488" s="339" t="str">
        <f>报表附注!E1745</f>
        <v>合 计</v>
      </c>
      <c r="C1488" s="321">
        <f t="shared" si="145"/>
        <v>0</v>
      </c>
      <c r="D1488" s="11" t="b">
        <f t="shared" si="148"/>
        <v>1</v>
      </c>
      <c r="E1488" s="321">
        <f t="shared" si="146"/>
        <v>0</v>
      </c>
      <c r="H1488" s="11" t="b">
        <f t="shared" si="147"/>
        <v>0</v>
      </c>
      <c r="I1488" s="11" t="s">
        <v>2191</v>
      </c>
      <c r="K1488" s="11" t="b">
        <v>1</v>
      </c>
    </row>
    <row r="1489" spans="1:11">
      <c r="A1489" s="11" t="s">
        <v>2198</v>
      </c>
      <c r="B1489" s="333" t="s">
        <v>2198</v>
      </c>
      <c r="D1489" s="11" t="b">
        <f t="shared" si="148"/>
        <v>1</v>
      </c>
      <c r="H1489" s="11" t="b">
        <f t="shared" si="147"/>
        <v>0</v>
      </c>
      <c r="I1489" s="11" t="s">
        <v>2192</v>
      </c>
      <c r="K1489" s="11" t="b">
        <v>1</v>
      </c>
    </row>
    <row r="1490" spans="1:11">
      <c r="A1490" s="11" t="s">
        <v>471</v>
      </c>
      <c r="B1490" s="334" t="str">
        <f>报表附注!E1730</f>
        <v>坏账准备</v>
      </c>
      <c r="C1490" s="321">
        <f t="shared" ref="C1490:C1505" si="149">J1482</f>
        <v>0</v>
      </c>
      <c r="D1490" s="11" t="b">
        <f t="shared" si="148"/>
        <v>1</v>
      </c>
      <c r="E1490" s="311"/>
      <c r="H1490" s="11" t="b">
        <f t="shared" si="147"/>
        <v>0</v>
      </c>
      <c r="I1490" s="11" t="s">
        <v>2193</v>
      </c>
      <c r="K1490" s="11" t="b">
        <v>1</v>
      </c>
    </row>
    <row r="1491" spans="1:11">
      <c r="A1491" s="11" t="s">
        <v>2186</v>
      </c>
      <c r="B1491" s="334" t="str">
        <f>报表附注!E1731</f>
        <v>存货跌价准备</v>
      </c>
      <c r="C1491" s="321">
        <f t="shared" si="149"/>
        <v>0</v>
      </c>
      <c r="D1491" s="11" t="b">
        <f t="shared" si="148"/>
        <v>1</v>
      </c>
      <c r="E1491" s="311"/>
      <c r="H1491" s="11" t="b">
        <f t="shared" si="147"/>
        <v>0</v>
      </c>
      <c r="I1491" s="11" t="s">
        <v>2194</v>
      </c>
      <c r="K1491" s="11" t="b">
        <v>1</v>
      </c>
    </row>
    <row r="1492" spans="1:11">
      <c r="A1492" s="11" t="s">
        <v>2187</v>
      </c>
      <c r="B1492" s="334" t="str">
        <f>报表附注!E1732</f>
        <v>可供出售金融资产减值准备</v>
      </c>
      <c r="C1492" s="321">
        <f t="shared" si="149"/>
        <v>0</v>
      </c>
      <c r="D1492" s="11" t="b">
        <f t="shared" si="148"/>
        <v>1</v>
      </c>
      <c r="E1492" s="311"/>
      <c r="H1492" s="11" t="b">
        <f t="shared" si="147"/>
        <v>0</v>
      </c>
      <c r="I1492" s="11" t="s">
        <v>960</v>
      </c>
      <c r="K1492" s="11" t="b">
        <v>1</v>
      </c>
    </row>
    <row r="1493" spans="1:11">
      <c r="A1493" s="11" t="s">
        <v>2188</v>
      </c>
      <c r="B1493" s="334" t="str">
        <f>报表附注!E1733</f>
        <v>持有至到期投资减值准备</v>
      </c>
      <c r="C1493" s="321">
        <f t="shared" si="149"/>
        <v>0</v>
      </c>
      <c r="D1493" s="11" t="b">
        <f t="shared" si="148"/>
        <v>1</v>
      </c>
      <c r="E1493" s="311"/>
      <c r="H1493" s="11" t="b">
        <f t="shared" si="147"/>
        <v>0</v>
      </c>
      <c r="I1493" s="11" t="s">
        <v>2195</v>
      </c>
      <c r="K1493" s="11" t="b">
        <v>1</v>
      </c>
    </row>
    <row r="1494" spans="1:11">
      <c r="A1494" s="11" t="s">
        <v>2189</v>
      </c>
      <c r="B1494" s="334" t="str">
        <f>报表附注!E1734</f>
        <v>长期股权投资减值准备</v>
      </c>
      <c r="C1494" s="321">
        <f t="shared" si="149"/>
        <v>0</v>
      </c>
      <c r="D1494" s="11" t="b">
        <f t="shared" si="148"/>
        <v>1</v>
      </c>
      <c r="E1494" s="311"/>
      <c r="H1494" s="11" t="b">
        <f t="shared" si="147"/>
        <v>0</v>
      </c>
      <c r="I1494" s="11" t="s">
        <v>2196</v>
      </c>
      <c r="K1494" s="11" t="b">
        <v>1</v>
      </c>
    </row>
    <row r="1495" spans="1:11">
      <c r="A1495" s="11" t="s">
        <v>2190</v>
      </c>
      <c r="B1495" s="334" t="str">
        <f>报表附注!E1735</f>
        <v>投资性房地产减值准备</v>
      </c>
      <c r="C1495" s="321">
        <f t="shared" si="149"/>
        <v>0</v>
      </c>
      <c r="D1495" s="11" t="b">
        <f t="shared" si="148"/>
        <v>1</v>
      </c>
      <c r="E1495" s="311"/>
      <c r="H1495" s="11" t="b">
        <f t="shared" si="147"/>
        <v>0</v>
      </c>
      <c r="I1495" s="11" t="s">
        <v>2197</v>
      </c>
      <c r="K1495" s="11" t="b">
        <v>1</v>
      </c>
    </row>
    <row r="1496" spans="1:11">
      <c r="A1496" s="11" t="s">
        <v>2191</v>
      </c>
      <c r="B1496" s="334" t="str">
        <f>报表附注!E1736</f>
        <v>固定资产减值准备</v>
      </c>
      <c r="C1496" s="321">
        <f t="shared" si="149"/>
        <v>0</v>
      </c>
      <c r="D1496" s="11" t="b">
        <f t="shared" si="148"/>
        <v>1</v>
      </c>
      <c r="E1496" s="311"/>
      <c r="H1496" s="11" t="b">
        <f t="shared" si="147"/>
        <v>0</v>
      </c>
      <c r="I1496" s="11" t="s">
        <v>280</v>
      </c>
      <c r="K1496" s="11" t="b">
        <v>1</v>
      </c>
    </row>
    <row r="1497" spans="1:11">
      <c r="A1497" s="11" t="s">
        <v>2192</v>
      </c>
      <c r="B1497" s="334" t="str">
        <f>报表附注!E1737</f>
        <v>工程物资减值准备</v>
      </c>
      <c r="C1497" s="321">
        <f t="shared" si="149"/>
        <v>0</v>
      </c>
      <c r="D1497" s="11" t="b">
        <f t="shared" si="148"/>
        <v>1</v>
      </c>
      <c r="E1497" s="311"/>
      <c r="H1497" s="11" t="b">
        <f t="shared" si="147"/>
        <v>0</v>
      </c>
      <c r="I1497" s="11" t="s">
        <v>347</v>
      </c>
      <c r="K1497" s="11" t="b">
        <v>1</v>
      </c>
    </row>
    <row r="1498" spans="1:11">
      <c r="A1498" s="11" t="s">
        <v>2193</v>
      </c>
      <c r="B1498" s="334" t="str">
        <f>报表附注!E1738</f>
        <v>在建工程减值准备</v>
      </c>
      <c r="C1498" s="321">
        <f t="shared" si="149"/>
        <v>0</v>
      </c>
      <c r="D1498" s="11" t="b">
        <f t="shared" si="148"/>
        <v>1</v>
      </c>
      <c r="E1498" s="311"/>
      <c r="H1498" s="11" t="b">
        <f t="shared" si="147"/>
        <v>0</v>
      </c>
      <c r="I1498" s="11" t="s">
        <v>2199</v>
      </c>
      <c r="K1498" s="11" t="b">
        <v>1</v>
      </c>
    </row>
    <row r="1499" spans="1:11">
      <c r="A1499" s="11" t="s">
        <v>2194</v>
      </c>
      <c r="B1499" s="334" t="str">
        <f>报表附注!E1739</f>
        <v>生产性生物资产减值准备</v>
      </c>
      <c r="C1499" s="321">
        <f t="shared" si="149"/>
        <v>0</v>
      </c>
      <c r="D1499" s="11" t="b">
        <f t="shared" si="148"/>
        <v>1</v>
      </c>
      <c r="E1499" s="311"/>
      <c r="H1499" s="11" t="b">
        <f t="shared" si="147"/>
        <v>0</v>
      </c>
      <c r="I1499" s="11" t="s">
        <v>471</v>
      </c>
      <c r="K1499" s="11" t="b">
        <v>1</v>
      </c>
    </row>
    <row r="1500" spans="1:11">
      <c r="A1500" s="11" t="s">
        <v>960</v>
      </c>
      <c r="B1500" s="334" t="str">
        <f>报表附注!E1740</f>
        <v>其中：成熟生产性生物资产减值准备</v>
      </c>
      <c r="C1500" s="321">
        <f t="shared" si="149"/>
        <v>0</v>
      </c>
      <c r="D1500" s="11" t="b">
        <f t="shared" si="148"/>
        <v>1</v>
      </c>
      <c r="E1500" s="311"/>
      <c r="H1500" s="11" t="b">
        <f t="shared" si="147"/>
        <v>0</v>
      </c>
      <c r="I1500" s="11" t="s">
        <v>2186</v>
      </c>
      <c r="K1500" s="11" t="b">
        <v>1</v>
      </c>
    </row>
    <row r="1501" spans="1:11">
      <c r="A1501" s="11" t="s">
        <v>2195</v>
      </c>
      <c r="B1501" s="334" t="str">
        <f>报表附注!E1741</f>
        <v>油气资产减值准备</v>
      </c>
      <c r="C1501" s="321">
        <f t="shared" si="149"/>
        <v>0</v>
      </c>
      <c r="D1501" s="11" t="b">
        <f t="shared" si="148"/>
        <v>1</v>
      </c>
      <c r="E1501" s="311"/>
      <c r="H1501" s="11" t="b">
        <f t="shared" si="147"/>
        <v>0</v>
      </c>
      <c r="I1501" s="11" t="s">
        <v>2187</v>
      </c>
      <c r="K1501" s="11" t="b">
        <v>1</v>
      </c>
    </row>
    <row r="1502" spans="1:11">
      <c r="A1502" s="11" t="s">
        <v>2196</v>
      </c>
      <c r="B1502" s="334" t="str">
        <f>报表附注!E1742</f>
        <v>无形资产减值准备</v>
      </c>
      <c r="C1502" s="321">
        <f t="shared" si="149"/>
        <v>0</v>
      </c>
      <c r="D1502" s="11" t="b">
        <f t="shared" si="148"/>
        <v>1</v>
      </c>
      <c r="E1502" s="311"/>
      <c r="H1502" s="11" t="b">
        <f t="shared" si="147"/>
        <v>0</v>
      </c>
      <c r="I1502" s="11" t="s">
        <v>2188</v>
      </c>
      <c r="K1502" s="11" t="b">
        <v>1</v>
      </c>
    </row>
    <row r="1503" spans="1:11">
      <c r="A1503" s="11" t="s">
        <v>2197</v>
      </c>
      <c r="B1503" s="334" t="str">
        <f>报表附注!E1743</f>
        <v>商誉减值准备</v>
      </c>
      <c r="C1503" s="321">
        <f t="shared" si="149"/>
        <v>0</v>
      </c>
      <c r="D1503" s="11" t="b">
        <f t="shared" si="148"/>
        <v>1</v>
      </c>
      <c r="E1503" s="311"/>
      <c r="H1503" s="11" t="b">
        <f t="shared" si="147"/>
        <v>0</v>
      </c>
      <c r="I1503" s="11" t="s">
        <v>2189</v>
      </c>
      <c r="K1503" s="11" t="b">
        <v>1</v>
      </c>
    </row>
    <row r="1504" spans="1:11">
      <c r="A1504" s="11" t="s">
        <v>280</v>
      </c>
      <c r="B1504" s="334" t="str">
        <f>报表附注!E1744</f>
        <v>其他</v>
      </c>
      <c r="C1504" s="321">
        <f t="shared" si="149"/>
        <v>0</v>
      </c>
      <c r="D1504" s="11" t="b">
        <f t="shared" si="148"/>
        <v>1</v>
      </c>
      <c r="E1504" s="311"/>
      <c r="H1504" s="11" t="b">
        <f t="shared" si="147"/>
        <v>0</v>
      </c>
      <c r="I1504" s="11" t="s">
        <v>2190</v>
      </c>
      <c r="K1504" s="11" t="b">
        <v>1</v>
      </c>
    </row>
    <row r="1505" spans="1:11">
      <c r="A1505" s="11" t="s">
        <v>347</v>
      </c>
      <c r="B1505" s="339" t="str">
        <f>报表附注!E1745</f>
        <v>合 计</v>
      </c>
      <c r="C1505" s="321">
        <f t="shared" si="149"/>
        <v>0</v>
      </c>
      <c r="D1505" s="11" t="b">
        <f t="shared" si="148"/>
        <v>1</v>
      </c>
      <c r="E1505" s="311"/>
      <c r="H1505" s="11" t="b">
        <f t="shared" si="147"/>
        <v>0</v>
      </c>
      <c r="I1505" s="11" t="s">
        <v>2191</v>
      </c>
      <c r="K1505" s="11" t="b">
        <v>1</v>
      </c>
    </row>
    <row r="1506" spans="1:11">
      <c r="A1506" s="11" t="s">
        <v>2199</v>
      </c>
      <c r="B1506" s="333" t="s">
        <v>2199</v>
      </c>
      <c r="D1506" s="11" t="b">
        <f t="shared" si="148"/>
        <v>1</v>
      </c>
      <c r="E1506" s="326"/>
      <c r="H1506" s="11" t="b">
        <f t="shared" si="147"/>
        <v>0</v>
      </c>
      <c r="I1506" s="11" t="s">
        <v>2192</v>
      </c>
      <c r="K1506" s="11" t="b">
        <v>1</v>
      </c>
    </row>
    <row r="1507" spans="1:11">
      <c r="A1507" s="11" t="s">
        <v>471</v>
      </c>
      <c r="B1507" s="334" t="str">
        <f>报表附注!E1730</f>
        <v>坏账准备</v>
      </c>
      <c r="C1507" s="321">
        <f t="shared" ref="C1507:C1522" si="150">J1499</f>
        <v>0</v>
      </c>
      <c r="D1507" s="11" t="b">
        <f t="shared" si="148"/>
        <v>1</v>
      </c>
      <c r="E1507" s="311"/>
      <c r="H1507" s="11" t="b">
        <f t="shared" si="147"/>
        <v>0</v>
      </c>
      <c r="I1507" s="11" t="s">
        <v>2193</v>
      </c>
      <c r="K1507" s="11" t="b">
        <v>1</v>
      </c>
    </row>
    <row r="1508" spans="1:11">
      <c r="A1508" s="11" t="s">
        <v>2186</v>
      </c>
      <c r="B1508" s="334" t="str">
        <f>报表附注!E1731</f>
        <v>存货跌价准备</v>
      </c>
      <c r="C1508" s="321">
        <f t="shared" si="150"/>
        <v>0</v>
      </c>
      <c r="D1508" s="11" t="b">
        <f t="shared" si="148"/>
        <v>1</v>
      </c>
      <c r="E1508" s="311"/>
      <c r="H1508" s="11" t="b">
        <f t="shared" si="147"/>
        <v>0</v>
      </c>
      <c r="I1508" s="11" t="s">
        <v>2194</v>
      </c>
      <c r="K1508" s="11" t="b">
        <v>1</v>
      </c>
    </row>
    <row r="1509" spans="1:11">
      <c r="A1509" s="11" t="s">
        <v>2187</v>
      </c>
      <c r="B1509" s="334" t="str">
        <f>报表附注!E1732</f>
        <v>可供出售金融资产减值准备</v>
      </c>
      <c r="C1509" s="321">
        <f t="shared" si="150"/>
        <v>0</v>
      </c>
      <c r="D1509" s="11" t="b">
        <f t="shared" si="148"/>
        <v>1</v>
      </c>
      <c r="E1509" s="311"/>
      <c r="H1509" s="11" t="b">
        <f t="shared" si="147"/>
        <v>0</v>
      </c>
      <c r="I1509" s="11" t="s">
        <v>960</v>
      </c>
      <c r="K1509" s="11" t="b">
        <v>1</v>
      </c>
    </row>
    <row r="1510" spans="1:11">
      <c r="A1510" s="11" t="s">
        <v>2188</v>
      </c>
      <c r="B1510" s="334" t="str">
        <f>报表附注!E1733</f>
        <v>持有至到期投资减值准备</v>
      </c>
      <c r="C1510" s="321">
        <f t="shared" si="150"/>
        <v>0</v>
      </c>
      <c r="D1510" s="11" t="b">
        <f t="shared" si="148"/>
        <v>1</v>
      </c>
      <c r="E1510" s="311"/>
      <c r="H1510" s="11" t="b">
        <f t="shared" si="147"/>
        <v>0</v>
      </c>
      <c r="I1510" s="11" t="s">
        <v>2195</v>
      </c>
      <c r="K1510" s="11" t="b">
        <v>1</v>
      </c>
    </row>
    <row r="1511" spans="1:11">
      <c r="A1511" s="11" t="s">
        <v>2189</v>
      </c>
      <c r="B1511" s="334" t="str">
        <f>报表附注!E1734</f>
        <v>长期股权投资减值准备</v>
      </c>
      <c r="C1511" s="321">
        <f t="shared" si="150"/>
        <v>0</v>
      </c>
      <c r="D1511" s="11" t="b">
        <f t="shared" si="148"/>
        <v>1</v>
      </c>
      <c r="E1511" s="311"/>
      <c r="H1511" s="11" t="b">
        <f t="shared" si="147"/>
        <v>0</v>
      </c>
      <c r="I1511" s="11" t="s">
        <v>2196</v>
      </c>
      <c r="K1511" s="11" t="b">
        <v>1</v>
      </c>
    </row>
    <row r="1512" spans="1:11">
      <c r="A1512" s="11" t="s">
        <v>2190</v>
      </c>
      <c r="B1512" s="334" t="str">
        <f>报表附注!E1735</f>
        <v>投资性房地产减值准备</v>
      </c>
      <c r="C1512" s="321">
        <f t="shared" si="150"/>
        <v>0</v>
      </c>
      <c r="D1512" s="11" t="b">
        <f t="shared" si="148"/>
        <v>1</v>
      </c>
      <c r="E1512" s="311"/>
      <c r="H1512" s="11" t="b">
        <f t="shared" si="147"/>
        <v>0</v>
      </c>
      <c r="I1512" s="11" t="s">
        <v>2197</v>
      </c>
      <c r="K1512" s="11" t="b">
        <v>1</v>
      </c>
    </row>
    <row r="1513" spans="1:11">
      <c r="A1513" s="11" t="s">
        <v>2191</v>
      </c>
      <c r="B1513" s="334" t="str">
        <f>报表附注!E1736</f>
        <v>固定资产减值准备</v>
      </c>
      <c r="C1513" s="321">
        <f t="shared" si="150"/>
        <v>0</v>
      </c>
      <c r="D1513" s="11" t="b">
        <f t="shared" si="148"/>
        <v>1</v>
      </c>
      <c r="E1513" s="311"/>
      <c r="H1513" s="11" t="b">
        <f t="shared" si="147"/>
        <v>0</v>
      </c>
      <c r="I1513" s="11" t="s">
        <v>280</v>
      </c>
      <c r="K1513" s="11" t="b">
        <v>1</v>
      </c>
    </row>
    <row r="1514" spans="1:11">
      <c r="A1514" s="11" t="s">
        <v>2192</v>
      </c>
      <c r="B1514" s="334" t="str">
        <f>报表附注!E1737</f>
        <v>工程物资减值准备</v>
      </c>
      <c r="C1514" s="321">
        <f t="shared" si="150"/>
        <v>0</v>
      </c>
      <c r="D1514" s="11" t="b">
        <f t="shared" si="148"/>
        <v>1</v>
      </c>
      <c r="E1514" s="311"/>
      <c r="H1514" s="11" t="b">
        <f t="shared" si="147"/>
        <v>0</v>
      </c>
      <c r="I1514" s="11" t="s">
        <v>347</v>
      </c>
      <c r="K1514" s="11" t="b">
        <v>1</v>
      </c>
    </row>
    <row r="1515" spans="1:11">
      <c r="A1515" s="11" t="s">
        <v>2193</v>
      </c>
      <c r="B1515" s="334" t="str">
        <f>报表附注!E1738</f>
        <v>在建工程减值准备</v>
      </c>
      <c r="C1515" s="321">
        <f t="shared" si="150"/>
        <v>0</v>
      </c>
      <c r="D1515" s="11" t="b">
        <f t="shared" si="148"/>
        <v>1</v>
      </c>
      <c r="E1515" s="311"/>
      <c r="H1515" s="11" t="b">
        <f t="shared" si="147"/>
        <v>0</v>
      </c>
      <c r="I1515" s="11" t="s">
        <v>2200</v>
      </c>
      <c r="K1515" s="11" t="b">
        <v>1</v>
      </c>
    </row>
    <row r="1516" spans="1:11">
      <c r="A1516" s="11" t="s">
        <v>2194</v>
      </c>
      <c r="B1516" s="334" t="str">
        <f>报表附注!E1739</f>
        <v>生产性生物资产减值准备</v>
      </c>
      <c r="C1516" s="321">
        <f t="shared" si="150"/>
        <v>0</v>
      </c>
      <c r="D1516" s="11" t="b">
        <f t="shared" si="148"/>
        <v>1</v>
      </c>
      <c r="E1516" s="311"/>
      <c r="H1516" s="11" t="b">
        <f t="shared" si="147"/>
        <v>0</v>
      </c>
      <c r="I1516" s="11" t="s">
        <v>471</v>
      </c>
      <c r="K1516" s="11" t="b">
        <v>1</v>
      </c>
    </row>
    <row r="1517" spans="1:11">
      <c r="A1517" s="11" t="s">
        <v>960</v>
      </c>
      <c r="B1517" s="334" t="str">
        <f>报表附注!E1740</f>
        <v>其中：成熟生产性生物资产减值准备</v>
      </c>
      <c r="C1517" s="321">
        <f t="shared" si="150"/>
        <v>0</v>
      </c>
      <c r="D1517" s="11" t="b">
        <f t="shared" si="148"/>
        <v>1</v>
      </c>
      <c r="E1517" s="311"/>
      <c r="H1517" s="11" t="b">
        <f t="shared" si="147"/>
        <v>0</v>
      </c>
      <c r="I1517" s="11" t="s">
        <v>2186</v>
      </c>
      <c r="K1517" s="11" t="b">
        <v>1</v>
      </c>
    </row>
    <row r="1518" spans="1:11">
      <c r="A1518" s="11" t="s">
        <v>2195</v>
      </c>
      <c r="B1518" s="334" t="str">
        <f>报表附注!E1741</f>
        <v>油气资产减值准备</v>
      </c>
      <c r="C1518" s="321">
        <f t="shared" si="150"/>
        <v>0</v>
      </c>
      <c r="D1518" s="11" t="b">
        <f t="shared" si="148"/>
        <v>1</v>
      </c>
      <c r="E1518" s="311"/>
      <c r="H1518" s="11" t="b">
        <f t="shared" si="147"/>
        <v>0</v>
      </c>
      <c r="I1518" s="11" t="s">
        <v>2187</v>
      </c>
      <c r="K1518" s="11" t="b">
        <v>1</v>
      </c>
    </row>
    <row r="1519" spans="1:11">
      <c r="A1519" s="11" t="s">
        <v>2196</v>
      </c>
      <c r="B1519" s="334" t="str">
        <f>报表附注!E1742</f>
        <v>无形资产减值准备</v>
      </c>
      <c r="C1519" s="321">
        <f t="shared" si="150"/>
        <v>0</v>
      </c>
      <c r="D1519" s="11" t="b">
        <f t="shared" si="148"/>
        <v>1</v>
      </c>
      <c r="E1519" s="311"/>
      <c r="H1519" s="11" t="b">
        <f t="shared" si="147"/>
        <v>0</v>
      </c>
      <c r="I1519" s="11" t="s">
        <v>2188</v>
      </c>
      <c r="K1519" s="11" t="b">
        <v>1</v>
      </c>
    </row>
    <row r="1520" spans="1:11">
      <c r="A1520" s="11" t="s">
        <v>2197</v>
      </c>
      <c r="B1520" s="334" t="str">
        <f>报表附注!E1743</f>
        <v>商誉减值准备</v>
      </c>
      <c r="C1520" s="321">
        <f t="shared" si="150"/>
        <v>0</v>
      </c>
      <c r="D1520" s="11" t="b">
        <f t="shared" si="148"/>
        <v>1</v>
      </c>
      <c r="E1520" s="311"/>
      <c r="H1520" s="11" t="b">
        <f t="shared" si="147"/>
        <v>0</v>
      </c>
      <c r="I1520" s="11" t="s">
        <v>2189</v>
      </c>
      <c r="K1520" s="11" t="b">
        <v>1</v>
      </c>
    </row>
    <row r="1521" spans="1:11">
      <c r="A1521" s="11" t="s">
        <v>280</v>
      </c>
      <c r="B1521" s="334" t="str">
        <f>报表附注!E1744</f>
        <v>其他</v>
      </c>
      <c r="C1521" s="321">
        <f t="shared" si="150"/>
        <v>0</v>
      </c>
      <c r="D1521" s="11" t="b">
        <f t="shared" si="148"/>
        <v>1</v>
      </c>
      <c r="E1521" s="311"/>
      <c r="H1521" s="11" t="b">
        <f t="shared" si="147"/>
        <v>0</v>
      </c>
      <c r="I1521" s="11" t="s">
        <v>2190</v>
      </c>
      <c r="K1521" s="11" t="b">
        <v>1</v>
      </c>
    </row>
    <row r="1522" spans="1:11">
      <c r="A1522" s="11" t="s">
        <v>347</v>
      </c>
      <c r="B1522" s="339" t="str">
        <f>报表附注!E1745</f>
        <v>合 计</v>
      </c>
      <c r="C1522" s="321">
        <f t="shared" si="150"/>
        <v>0</v>
      </c>
      <c r="D1522" s="11" t="b">
        <f t="shared" si="148"/>
        <v>1</v>
      </c>
      <c r="E1522" s="311"/>
      <c r="H1522" s="11" t="b">
        <f t="shared" si="147"/>
        <v>0</v>
      </c>
      <c r="I1522" s="11" t="s">
        <v>2191</v>
      </c>
      <c r="K1522" s="11" t="b">
        <v>1</v>
      </c>
    </row>
    <row r="1523" spans="1:11">
      <c r="A1523" s="11" t="s">
        <v>2200</v>
      </c>
      <c r="B1523" s="333" t="s">
        <v>2200</v>
      </c>
      <c r="D1523" s="11" t="b">
        <f t="shared" si="148"/>
        <v>1</v>
      </c>
      <c r="E1523" s="326"/>
      <c r="H1523" s="11" t="b">
        <f t="shared" si="147"/>
        <v>0</v>
      </c>
      <c r="I1523" s="11" t="s">
        <v>2192</v>
      </c>
      <c r="K1523" s="11" t="b">
        <v>1</v>
      </c>
    </row>
    <row r="1524" spans="1:11">
      <c r="A1524" s="11" t="s">
        <v>471</v>
      </c>
      <c r="B1524" s="334" t="str">
        <f>报表附注!E1730</f>
        <v>坏账准备</v>
      </c>
      <c r="C1524" s="321">
        <f t="shared" ref="C1524:C1539" si="151">J1516</f>
        <v>0</v>
      </c>
      <c r="D1524" s="11" t="b">
        <f t="shared" si="148"/>
        <v>1</v>
      </c>
      <c r="E1524" s="311"/>
      <c r="H1524" s="11" t="b">
        <f t="shared" si="147"/>
        <v>0</v>
      </c>
      <c r="I1524" s="11" t="s">
        <v>2193</v>
      </c>
      <c r="K1524" s="11" t="b">
        <v>1</v>
      </c>
    </row>
    <row r="1525" spans="1:11">
      <c r="A1525" s="11" t="s">
        <v>2186</v>
      </c>
      <c r="B1525" s="334" t="str">
        <f>报表附注!E1731</f>
        <v>存货跌价准备</v>
      </c>
      <c r="C1525" s="321">
        <f t="shared" si="151"/>
        <v>0</v>
      </c>
      <c r="D1525" s="11" t="b">
        <f t="shared" si="148"/>
        <v>1</v>
      </c>
      <c r="E1525" s="311"/>
      <c r="H1525" s="11" t="b">
        <f t="shared" si="147"/>
        <v>0</v>
      </c>
      <c r="I1525" s="11" t="s">
        <v>2194</v>
      </c>
      <c r="K1525" s="11" t="b">
        <v>1</v>
      </c>
    </row>
    <row r="1526" spans="1:11">
      <c r="A1526" s="11" t="s">
        <v>2187</v>
      </c>
      <c r="B1526" s="334" t="str">
        <f>报表附注!E1732</f>
        <v>可供出售金融资产减值准备</v>
      </c>
      <c r="C1526" s="321">
        <f t="shared" si="151"/>
        <v>0</v>
      </c>
      <c r="D1526" s="11" t="b">
        <f t="shared" si="148"/>
        <v>1</v>
      </c>
      <c r="E1526" s="311"/>
      <c r="H1526" s="11" t="b">
        <f t="shared" si="147"/>
        <v>0</v>
      </c>
      <c r="I1526" s="11" t="s">
        <v>960</v>
      </c>
      <c r="K1526" s="11" t="b">
        <v>1</v>
      </c>
    </row>
    <row r="1527" spans="1:11">
      <c r="A1527" s="11" t="s">
        <v>2188</v>
      </c>
      <c r="B1527" s="334" t="str">
        <f>报表附注!E1733</f>
        <v>持有至到期投资减值准备</v>
      </c>
      <c r="C1527" s="321">
        <f t="shared" si="151"/>
        <v>0</v>
      </c>
      <c r="D1527" s="11" t="b">
        <f t="shared" si="148"/>
        <v>1</v>
      </c>
      <c r="E1527" s="311"/>
      <c r="H1527" s="11" t="b">
        <f t="shared" si="147"/>
        <v>0</v>
      </c>
      <c r="I1527" s="11" t="s">
        <v>2195</v>
      </c>
      <c r="K1527" s="11" t="b">
        <v>1</v>
      </c>
    </row>
    <row r="1528" spans="1:11">
      <c r="A1528" s="11" t="s">
        <v>2189</v>
      </c>
      <c r="B1528" s="334" t="str">
        <f>报表附注!E1734</f>
        <v>长期股权投资减值准备</v>
      </c>
      <c r="C1528" s="321">
        <f t="shared" si="151"/>
        <v>0</v>
      </c>
      <c r="D1528" s="11" t="b">
        <f t="shared" si="148"/>
        <v>1</v>
      </c>
      <c r="E1528" s="311"/>
      <c r="H1528" s="11" t="b">
        <f t="shared" si="147"/>
        <v>0</v>
      </c>
      <c r="I1528" s="11" t="s">
        <v>2196</v>
      </c>
      <c r="K1528" s="11" t="b">
        <v>1</v>
      </c>
    </row>
    <row r="1529" spans="1:11">
      <c r="A1529" s="11" t="s">
        <v>2190</v>
      </c>
      <c r="B1529" s="334" t="str">
        <f>报表附注!E1735</f>
        <v>投资性房地产减值准备</v>
      </c>
      <c r="C1529" s="321">
        <f t="shared" si="151"/>
        <v>0</v>
      </c>
      <c r="D1529" s="11" t="b">
        <f t="shared" si="148"/>
        <v>1</v>
      </c>
      <c r="E1529" s="311"/>
      <c r="H1529" s="11" t="b">
        <f t="shared" si="147"/>
        <v>0</v>
      </c>
      <c r="I1529" s="11" t="s">
        <v>2197</v>
      </c>
      <c r="K1529" s="11" t="b">
        <v>1</v>
      </c>
    </row>
    <row r="1530" spans="1:11">
      <c r="A1530" s="11" t="s">
        <v>2191</v>
      </c>
      <c r="B1530" s="334" t="str">
        <f>报表附注!E1736</f>
        <v>固定资产减值准备</v>
      </c>
      <c r="C1530" s="321">
        <f t="shared" si="151"/>
        <v>0</v>
      </c>
      <c r="D1530" s="11" t="b">
        <f t="shared" si="148"/>
        <v>1</v>
      </c>
      <c r="E1530" s="311"/>
      <c r="H1530" s="11" t="b">
        <f t="shared" si="147"/>
        <v>0</v>
      </c>
      <c r="I1530" s="11" t="s">
        <v>280</v>
      </c>
      <c r="K1530" s="11" t="b">
        <v>1</v>
      </c>
    </row>
    <row r="1531" spans="1:11">
      <c r="A1531" s="11" t="s">
        <v>2192</v>
      </c>
      <c r="B1531" s="334" t="str">
        <f>报表附注!E1737</f>
        <v>工程物资减值准备</v>
      </c>
      <c r="C1531" s="321">
        <f t="shared" si="151"/>
        <v>0</v>
      </c>
      <c r="D1531" s="11" t="b">
        <f t="shared" si="148"/>
        <v>1</v>
      </c>
      <c r="E1531" s="311"/>
      <c r="H1531" s="11" t="b">
        <f t="shared" si="147"/>
        <v>0</v>
      </c>
      <c r="I1531" s="11" t="s">
        <v>347</v>
      </c>
      <c r="K1531" s="11" t="b">
        <v>1</v>
      </c>
    </row>
    <row r="1532" spans="1:11">
      <c r="A1532" s="11" t="s">
        <v>2193</v>
      </c>
      <c r="B1532" s="334" t="str">
        <f>报表附注!E1738</f>
        <v>在建工程减值准备</v>
      </c>
      <c r="C1532" s="321">
        <f t="shared" si="151"/>
        <v>0</v>
      </c>
      <c r="D1532" s="11" t="b">
        <f t="shared" si="148"/>
        <v>1</v>
      </c>
      <c r="E1532" s="311"/>
      <c r="H1532" s="11" t="b">
        <f t="shared" si="147"/>
        <v>0</v>
      </c>
      <c r="I1532" s="11" t="s">
        <v>516</v>
      </c>
      <c r="K1532" s="11" t="b">
        <v>1</v>
      </c>
    </row>
    <row r="1533" spans="1:11">
      <c r="A1533" s="11" t="s">
        <v>2194</v>
      </c>
      <c r="B1533" s="334" t="str">
        <f>报表附注!E1739</f>
        <v>生产性生物资产减值准备</v>
      </c>
      <c r="C1533" s="321">
        <f t="shared" si="151"/>
        <v>0</v>
      </c>
      <c r="D1533" s="11" t="b">
        <f t="shared" si="148"/>
        <v>1</v>
      </c>
      <c r="E1533" s="311"/>
      <c r="H1533" s="11" t="b">
        <f t="shared" si="147"/>
        <v>0</v>
      </c>
      <c r="I1533" s="11" t="s">
        <v>471</v>
      </c>
      <c r="J1533" s="323">
        <f>SUM(J152:J156)+SUM(J256:J259)</f>
        <v>3621406.98</v>
      </c>
      <c r="K1533" s="11" t="b">
        <v>1</v>
      </c>
    </row>
    <row r="1534" spans="1:11">
      <c r="A1534" s="11" t="s">
        <v>960</v>
      </c>
      <c r="B1534" s="334" t="str">
        <f>报表附注!E1740</f>
        <v>其中：成熟生产性生物资产减值准备</v>
      </c>
      <c r="C1534" s="321">
        <f t="shared" si="151"/>
        <v>0</v>
      </c>
      <c r="D1534" s="11" t="b">
        <f t="shared" si="148"/>
        <v>1</v>
      </c>
      <c r="E1534" s="311"/>
      <c r="H1534" s="11" t="b">
        <f t="shared" si="147"/>
        <v>0</v>
      </c>
      <c r="I1534" s="11" t="s">
        <v>2186</v>
      </c>
      <c r="J1534" s="323">
        <v>1788781.28</v>
      </c>
      <c r="K1534" s="11" t="b">
        <v>1</v>
      </c>
    </row>
    <row r="1535" spans="1:11">
      <c r="A1535" s="11" t="s">
        <v>2195</v>
      </c>
      <c r="B1535" s="334" t="str">
        <f>报表附注!E1741</f>
        <v>油气资产减值准备</v>
      </c>
      <c r="C1535" s="321">
        <f t="shared" si="151"/>
        <v>0</v>
      </c>
      <c r="D1535" s="11" t="b">
        <f t="shared" si="148"/>
        <v>1</v>
      </c>
      <c r="E1535" s="311"/>
      <c r="H1535" s="11" t="b">
        <f t="shared" si="147"/>
        <v>0</v>
      </c>
      <c r="I1535" s="11" t="s">
        <v>2187</v>
      </c>
      <c r="K1535" s="11" t="b">
        <v>1</v>
      </c>
    </row>
    <row r="1536" spans="1:11">
      <c r="A1536" s="11" t="s">
        <v>2196</v>
      </c>
      <c r="B1536" s="334" t="str">
        <f>报表附注!E1742</f>
        <v>无形资产减值准备</v>
      </c>
      <c r="C1536" s="321">
        <f t="shared" si="151"/>
        <v>0</v>
      </c>
      <c r="D1536" s="11" t="b">
        <f t="shared" si="148"/>
        <v>1</v>
      </c>
      <c r="E1536" s="311"/>
      <c r="H1536" s="11" t="b">
        <f t="shared" si="147"/>
        <v>0</v>
      </c>
      <c r="I1536" s="11" t="s">
        <v>2188</v>
      </c>
      <c r="K1536" s="11" t="b">
        <v>1</v>
      </c>
    </row>
    <row r="1537" spans="1:11">
      <c r="A1537" s="11" t="s">
        <v>2197</v>
      </c>
      <c r="B1537" s="334" t="str">
        <f>报表附注!E1743</f>
        <v>商誉减值准备</v>
      </c>
      <c r="C1537" s="321">
        <f t="shared" si="151"/>
        <v>0</v>
      </c>
      <c r="D1537" s="11" t="b">
        <f t="shared" si="148"/>
        <v>1</v>
      </c>
      <c r="E1537" s="311"/>
      <c r="H1537" s="11" t="b">
        <f t="shared" si="147"/>
        <v>0</v>
      </c>
      <c r="I1537" s="11" t="s">
        <v>2189</v>
      </c>
      <c r="K1537" s="11" t="b">
        <v>1</v>
      </c>
    </row>
    <row r="1538" spans="1:11">
      <c r="A1538" s="11" t="s">
        <v>280</v>
      </c>
      <c r="B1538" s="334" t="str">
        <f>报表附注!E1744</f>
        <v>其他</v>
      </c>
      <c r="C1538" s="321">
        <f t="shared" si="151"/>
        <v>0</v>
      </c>
      <c r="D1538" s="11" t="b">
        <f t="shared" si="148"/>
        <v>1</v>
      </c>
      <c r="E1538" s="311"/>
      <c r="H1538" s="11" t="b">
        <f t="shared" si="147"/>
        <v>0</v>
      </c>
      <c r="I1538" s="11" t="s">
        <v>2190</v>
      </c>
      <c r="K1538" s="11" t="b">
        <v>1</v>
      </c>
    </row>
    <row r="1539" spans="1:11">
      <c r="A1539" s="11" t="s">
        <v>347</v>
      </c>
      <c r="B1539" s="339" t="str">
        <f>报表附注!E1745</f>
        <v>合 计</v>
      </c>
      <c r="C1539" s="321">
        <f t="shared" si="151"/>
        <v>0</v>
      </c>
      <c r="D1539" s="11" t="b">
        <f t="shared" si="148"/>
        <v>1</v>
      </c>
      <c r="E1539" s="311"/>
      <c r="H1539" s="11" t="b">
        <f t="shared" si="147"/>
        <v>0</v>
      </c>
      <c r="I1539" s="11" t="s">
        <v>2191</v>
      </c>
      <c r="K1539" s="11" t="b">
        <v>1</v>
      </c>
    </row>
    <row r="1540" spans="1:11">
      <c r="A1540" s="11" t="s">
        <v>516</v>
      </c>
      <c r="B1540" s="333" t="s">
        <v>516</v>
      </c>
      <c r="C1540" s="321"/>
      <c r="D1540" s="11" t="b">
        <f t="shared" si="148"/>
        <v>1</v>
      </c>
      <c r="E1540" s="311"/>
      <c r="H1540" s="11" t="b">
        <f t="shared" ref="H1540:H1603" si="152">I1540=B1540</f>
        <v>0</v>
      </c>
      <c r="I1540" s="11" t="s">
        <v>2192</v>
      </c>
      <c r="K1540" s="11" t="b">
        <v>1</v>
      </c>
    </row>
    <row r="1541" spans="1:11">
      <c r="A1541" s="11" t="s">
        <v>471</v>
      </c>
      <c r="B1541" s="337" t="str">
        <f>报表附注!E1730</f>
        <v>坏账准备</v>
      </c>
      <c r="C1541" s="318">
        <f t="shared" ref="C1541:C1556" si="153">J1533</f>
        <v>3621406.98</v>
      </c>
      <c r="D1541" s="11" t="b">
        <f t="shared" si="148"/>
        <v>1</v>
      </c>
      <c r="E1541" s="311"/>
      <c r="H1541" s="11" t="b">
        <f t="shared" si="152"/>
        <v>0</v>
      </c>
      <c r="I1541" s="11" t="s">
        <v>2193</v>
      </c>
      <c r="K1541" s="11" t="b">
        <v>1</v>
      </c>
    </row>
    <row r="1542" spans="1:11">
      <c r="A1542" s="11" t="s">
        <v>2186</v>
      </c>
      <c r="B1542" s="337" t="str">
        <f>报表附注!E1731</f>
        <v>存货跌价准备</v>
      </c>
      <c r="C1542" s="318">
        <f t="shared" si="153"/>
        <v>1788781.28</v>
      </c>
      <c r="D1542" s="11" t="b">
        <f t="shared" si="148"/>
        <v>1</v>
      </c>
      <c r="E1542" s="311"/>
      <c r="H1542" s="11" t="b">
        <f t="shared" si="152"/>
        <v>0</v>
      </c>
      <c r="I1542" s="11" t="s">
        <v>2194</v>
      </c>
      <c r="K1542" s="11" t="b">
        <v>1</v>
      </c>
    </row>
    <row r="1543" spans="1:11">
      <c r="A1543" s="11" t="s">
        <v>2187</v>
      </c>
      <c r="B1543" s="337" t="str">
        <f>报表附注!E1732</f>
        <v>可供出售金融资产减值准备</v>
      </c>
      <c r="C1543" s="318">
        <f t="shared" si="153"/>
        <v>0</v>
      </c>
      <c r="D1543" s="11" t="b">
        <f t="shared" si="148"/>
        <v>1</v>
      </c>
      <c r="E1543" s="311"/>
      <c r="H1543" s="11" t="b">
        <f t="shared" si="152"/>
        <v>0</v>
      </c>
      <c r="I1543" s="11" t="s">
        <v>960</v>
      </c>
      <c r="K1543" s="11" t="b">
        <v>1</v>
      </c>
    </row>
    <row r="1544" spans="1:11">
      <c r="A1544" s="11" t="s">
        <v>2188</v>
      </c>
      <c r="B1544" s="337" t="str">
        <f>报表附注!E1733</f>
        <v>持有至到期投资减值准备</v>
      </c>
      <c r="C1544" s="318">
        <f t="shared" si="153"/>
        <v>0</v>
      </c>
      <c r="D1544" s="11" t="b">
        <f t="shared" si="148"/>
        <v>1</v>
      </c>
      <c r="E1544" s="311"/>
      <c r="H1544" s="11" t="b">
        <f t="shared" si="152"/>
        <v>0</v>
      </c>
      <c r="I1544" s="11" t="s">
        <v>2195</v>
      </c>
      <c r="K1544" s="11" t="b">
        <v>1</v>
      </c>
    </row>
    <row r="1545" spans="1:11">
      <c r="A1545" s="11" t="s">
        <v>2189</v>
      </c>
      <c r="B1545" s="337" t="str">
        <f>报表附注!E1734</f>
        <v>长期股权投资减值准备</v>
      </c>
      <c r="C1545" s="318">
        <f t="shared" si="153"/>
        <v>0</v>
      </c>
      <c r="D1545" s="11" t="b">
        <f t="shared" si="148"/>
        <v>1</v>
      </c>
      <c r="E1545" s="311"/>
      <c r="H1545" s="11" t="b">
        <f t="shared" si="152"/>
        <v>0</v>
      </c>
      <c r="I1545" s="11" t="s">
        <v>2196</v>
      </c>
      <c r="K1545" s="11" t="b">
        <v>1</v>
      </c>
    </row>
    <row r="1546" spans="1:11">
      <c r="A1546" s="11" t="s">
        <v>2190</v>
      </c>
      <c r="B1546" s="337" t="str">
        <f>报表附注!E1735</f>
        <v>投资性房地产减值准备</v>
      </c>
      <c r="C1546" s="318">
        <f t="shared" si="153"/>
        <v>0</v>
      </c>
      <c r="D1546" s="11" t="b">
        <f t="shared" si="148"/>
        <v>1</v>
      </c>
      <c r="E1546" s="311"/>
      <c r="H1546" s="11" t="b">
        <f t="shared" si="152"/>
        <v>0</v>
      </c>
      <c r="I1546" s="11" t="s">
        <v>2197</v>
      </c>
      <c r="K1546" s="11" t="b">
        <v>1</v>
      </c>
    </row>
    <row r="1547" spans="1:11">
      <c r="A1547" s="11" t="s">
        <v>2191</v>
      </c>
      <c r="B1547" s="337" t="str">
        <f>报表附注!E1736</f>
        <v>固定资产减值准备</v>
      </c>
      <c r="C1547" s="318">
        <f t="shared" si="153"/>
        <v>0</v>
      </c>
      <c r="D1547" s="11" t="b">
        <f t="shared" si="148"/>
        <v>1</v>
      </c>
      <c r="E1547" s="311"/>
      <c r="H1547" s="11" t="b">
        <f t="shared" si="152"/>
        <v>0</v>
      </c>
      <c r="I1547" s="11" t="s">
        <v>280</v>
      </c>
      <c r="K1547" s="11" t="b">
        <v>1</v>
      </c>
    </row>
    <row r="1548" spans="1:11">
      <c r="A1548" s="11" t="s">
        <v>2192</v>
      </c>
      <c r="B1548" s="337" t="str">
        <f>报表附注!E1737</f>
        <v>工程物资减值准备</v>
      </c>
      <c r="C1548" s="318">
        <f t="shared" si="153"/>
        <v>0</v>
      </c>
      <c r="D1548" s="11" t="b">
        <f t="shared" ref="D1548:D1621" si="154">EXACT(A1548,B1548)</f>
        <v>1</v>
      </c>
      <c r="E1548" s="311"/>
      <c r="H1548" s="11" t="b">
        <f t="shared" si="152"/>
        <v>0</v>
      </c>
      <c r="I1548" s="11" t="s">
        <v>347</v>
      </c>
      <c r="K1548" s="11" t="b">
        <v>1</v>
      </c>
    </row>
    <row r="1549" spans="1:11">
      <c r="A1549" s="11" t="s">
        <v>2193</v>
      </c>
      <c r="B1549" s="337" t="str">
        <f>报表附注!E1738</f>
        <v>在建工程减值准备</v>
      </c>
      <c r="C1549" s="318">
        <f t="shared" si="153"/>
        <v>0</v>
      </c>
      <c r="D1549" s="11" t="b">
        <f t="shared" si="154"/>
        <v>1</v>
      </c>
      <c r="E1549" s="311"/>
      <c r="H1549" s="11" t="b">
        <f t="shared" si="152"/>
        <v>0</v>
      </c>
      <c r="K1549" s="11" t="b">
        <v>1</v>
      </c>
    </row>
    <row r="1550" spans="1:11">
      <c r="A1550" s="11" t="s">
        <v>2194</v>
      </c>
      <c r="B1550" s="337" t="str">
        <f>报表附注!E1739</f>
        <v>生产性生物资产减值准备</v>
      </c>
      <c r="C1550" s="318">
        <f t="shared" si="153"/>
        <v>0</v>
      </c>
      <c r="D1550" s="11" t="b">
        <f t="shared" si="154"/>
        <v>1</v>
      </c>
      <c r="E1550" s="311"/>
      <c r="H1550" s="11" t="b">
        <f t="shared" si="152"/>
        <v>0</v>
      </c>
      <c r="I1550" s="11" t="s">
        <v>2201</v>
      </c>
      <c r="K1550" s="11" t="b">
        <v>1</v>
      </c>
    </row>
    <row r="1551" spans="1:11">
      <c r="A1551" s="11" t="s">
        <v>960</v>
      </c>
      <c r="B1551" s="337" t="str">
        <f>报表附注!E1740</f>
        <v>其中：成熟生产性生物资产减值准备</v>
      </c>
      <c r="C1551" s="318">
        <f t="shared" si="153"/>
        <v>0</v>
      </c>
      <c r="D1551" s="11" t="b">
        <f t="shared" si="154"/>
        <v>1</v>
      </c>
      <c r="E1551" s="311"/>
      <c r="H1551" s="11" t="b">
        <f t="shared" si="152"/>
        <v>0</v>
      </c>
      <c r="K1551" s="11" t="b">
        <v>1</v>
      </c>
    </row>
    <row r="1552" spans="1:11">
      <c r="A1552" s="11" t="s">
        <v>2195</v>
      </c>
      <c r="B1552" s="337" t="str">
        <f>报表附注!E1741</f>
        <v>油气资产减值准备</v>
      </c>
      <c r="C1552" s="318">
        <f t="shared" si="153"/>
        <v>0</v>
      </c>
      <c r="D1552" s="11" t="b">
        <f t="shared" si="154"/>
        <v>1</v>
      </c>
      <c r="E1552" s="311"/>
      <c r="H1552" s="11" t="b">
        <f t="shared" si="152"/>
        <v>0</v>
      </c>
      <c r="I1552" s="11" t="s">
        <v>2202</v>
      </c>
      <c r="K1552" s="11" t="b">
        <v>1</v>
      </c>
    </row>
    <row r="1553" spans="1:11">
      <c r="A1553" s="11" t="s">
        <v>2196</v>
      </c>
      <c r="B1553" s="337" t="str">
        <f>报表附注!E1742</f>
        <v>无形资产减值准备</v>
      </c>
      <c r="C1553" s="318">
        <f t="shared" si="153"/>
        <v>0</v>
      </c>
      <c r="D1553" s="11" t="b">
        <f t="shared" si="154"/>
        <v>1</v>
      </c>
      <c r="E1553" s="311"/>
      <c r="H1553" s="11" t="b">
        <f t="shared" si="152"/>
        <v>0</v>
      </c>
      <c r="I1553" s="11" t="s">
        <v>316</v>
      </c>
      <c r="K1553" s="11" t="b">
        <v>1</v>
      </c>
    </row>
    <row r="1554" spans="1:11">
      <c r="A1554" s="11" t="s">
        <v>2197</v>
      </c>
      <c r="B1554" s="337" t="str">
        <f>报表附注!E1743</f>
        <v>商誉减值准备</v>
      </c>
      <c r="C1554" s="318">
        <f t="shared" si="153"/>
        <v>0</v>
      </c>
      <c r="D1554" s="11" t="b">
        <f t="shared" si="154"/>
        <v>1</v>
      </c>
      <c r="E1554" s="311"/>
      <c r="H1554" s="11" t="b">
        <f t="shared" si="152"/>
        <v>0</v>
      </c>
      <c r="I1554" s="11" t="s">
        <v>983</v>
      </c>
      <c r="K1554" s="11" t="b">
        <v>1</v>
      </c>
    </row>
    <row r="1555" spans="1:11">
      <c r="A1555" s="11" t="s">
        <v>280</v>
      </c>
      <c r="B1555" s="337" t="str">
        <f>报表附注!E1744</f>
        <v>其他</v>
      </c>
      <c r="C1555" s="318">
        <f t="shared" si="153"/>
        <v>0</v>
      </c>
      <c r="D1555" s="11" t="b">
        <f t="shared" si="154"/>
        <v>1</v>
      </c>
      <c r="E1555" s="311"/>
      <c r="H1555" s="11" t="b">
        <f t="shared" si="152"/>
        <v>0</v>
      </c>
      <c r="I1555" s="11" t="s">
        <v>985</v>
      </c>
      <c r="K1555" s="11" t="b">
        <v>1</v>
      </c>
    </row>
    <row r="1556" spans="1:11">
      <c r="A1556" s="11" t="s">
        <v>347</v>
      </c>
      <c r="B1556" s="339" t="str">
        <f>报表附注!E1745</f>
        <v>合 计</v>
      </c>
      <c r="C1556" s="321">
        <f t="shared" si="153"/>
        <v>0</v>
      </c>
      <c r="D1556" s="11" t="b">
        <f t="shared" si="154"/>
        <v>1</v>
      </c>
      <c r="E1556" s="311"/>
      <c r="H1556" s="11" t="b">
        <f t="shared" si="152"/>
        <v>0</v>
      </c>
      <c r="I1556" s="11" t="s">
        <v>987</v>
      </c>
      <c r="K1556" s="11" t="b">
        <v>1</v>
      </c>
    </row>
    <row r="1557" spans="4:11">
      <c r="D1557" s="11" t="b">
        <f t="shared" si="154"/>
        <v>1</v>
      </c>
      <c r="H1557" s="11" t="b">
        <f t="shared" si="152"/>
        <v>0</v>
      </c>
      <c r="I1557" s="11" t="s">
        <v>989</v>
      </c>
      <c r="K1557" s="11" t="b">
        <v>1</v>
      </c>
    </row>
    <row r="1558" ht="22.5" spans="1:11">
      <c r="A1558" s="11" t="s">
        <v>2201</v>
      </c>
      <c r="B1558" s="365" t="s">
        <v>2201</v>
      </c>
      <c r="D1558" s="11" t="b">
        <f t="shared" si="154"/>
        <v>1</v>
      </c>
      <c r="H1558" s="11" t="b">
        <f t="shared" si="152"/>
        <v>0</v>
      </c>
      <c r="I1558" s="11" t="s">
        <v>2203</v>
      </c>
      <c r="K1558" s="11" t="b">
        <v>1</v>
      </c>
    </row>
    <row r="1559" spans="4:11">
      <c r="D1559" s="11" t="b">
        <f t="shared" si="154"/>
        <v>1</v>
      </c>
      <c r="H1559" s="11" t="b">
        <f t="shared" si="152"/>
        <v>0</v>
      </c>
      <c r="I1559" s="11" t="s">
        <v>2020</v>
      </c>
      <c r="K1559" s="11" t="b">
        <v>1</v>
      </c>
    </row>
    <row r="1560" spans="1:11">
      <c r="A1560" s="11" t="s">
        <v>2202</v>
      </c>
      <c r="B1560" s="329" t="s">
        <v>2202</v>
      </c>
      <c r="D1560" s="11" t="b">
        <f t="shared" si="154"/>
        <v>1</v>
      </c>
      <c r="H1560" s="11" t="b">
        <f t="shared" si="152"/>
        <v>0</v>
      </c>
      <c r="I1560" s="11" t="s">
        <v>983</v>
      </c>
      <c r="K1560" s="11" t="b">
        <v>1</v>
      </c>
    </row>
    <row r="1561" spans="1:11">
      <c r="A1561" s="11" t="s">
        <v>316</v>
      </c>
      <c r="B1561" s="333" t="s">
        <v>316</v>
      </c>
      <c r="D1561" s="11" t="b">
        <f t="shared" si="154"/>
        <v>1</v>
      </c>
      <c r="E1561" s="326"/>
      <c r="H1561" s="11" t="b">
        <f t="shared" si="152"/>
        <v>0</v>
      </c>
      <c r="I1561" s="11" t="s">
        <v>985</v>
      </c>
      <c r="K1561" s="11" t="b">
        <v>1</v>
      </c>
    </row>
    <row r="1562" spans="1:11">
      <c r="A1562" s="366" t="s">
        <v>983</v>
      </c>
      <c r="B1562" s="310" t="str">
        <f>报表附注!E1772</f>
        <v>质押借款</v>
      </c>
      <c r="C1562" s="318">
        <f>J1557</f>
        <v>0</v>
      </c>
      <c r="D1562" s="11" t="b">
        <f t="shared" si="154"/>
        <v>0</v>
      </c>
      <c r="E1562" s="311"/>
      <c r="H1562" s="11" t="b">
        <f t="shared" si="152"/>
        <v>0</v>
      </c>
      <c r="I1562" s="11" t="s">
        <v>987</v>
      </c>
      <c r="K1562" s="11" t="b">
        <v>1</v>
      </c>
    </row>
    <row r="1563" spans="1:11">
      <c r="A1563" s="11" t="s">
        <v>985</v>
      </c>
      <c r="B1563" s="310" t="str">
        <f>报表附注!E1773</f>
        <v>抵押借款</v>
      </c>
      <c r="C1563" s="318">
        <f>J1555</f>
        <v>0</v>
      </c>
      <c r="D1563" s="11" t="b">
        <f t="shared" si="154"/>
        <v>1</v>
      </c>
      <c r="E1563" s="311"/>
      <c r="H1563" s="11" t="b">
        <f t="shared" si="152"/>
        <v>0</v>
      </c>
      <c r="I1563" s="11" t="s">
        <v>989</v>
      </c>
      <c r="K1563" s="11" t="b">
        <v>1</v>
      </c>
    </row>
    <row r="1564" spans="1:11">
      <c r="A1564" s="11" t="s">
        <v>987</v>
      </c>
      <c r="B1564" s="310" t="str">
        <f>报表附注!E1774</f>
        <v>保证借款</v>
      </c>
      <c r="C1564" s="318">
        <f>J1556</f>
        <v>0</v>
      </c>
      <c r="D1564" s="11" t="b">
        <f t="shared" si="154"/>
        <v>1</v>
      </c>
      <c r="E1564" s="311"/>
      <c r="H1564" s="11" t="b">
        <f t="shared" si="152"/>
        <v>0</v>
      </c>
      <c r="I1564" s="11" t="s">
        <v>2203</v>
      </c>
      <c r="K1564" s="11" t="b">
        <v>1</v>
      </c>
    </row>
    <row r="1565" spans="1:11">
      <c r="A1565" s="366" t="s">
        <v>989</v>
      </c>
      <c r="B1565" s="310" t="str">
        <f>报表附注!E1775</f>
        <v>信用借款</v>
      </c>
      <c r="C1565" s="318">
        <f>J1554</f>
        <v>0</v>
      </c>
      <c r="D1565" s="11" t="b">
        <f t="shared" si="154"/>
        <v>0</v>
      </c>
      <c r="E1565" s="311"/>
      <c r="H1565" s="11" t="b">
        <f t="shared" si="152"/>
        <v>0</v>
      </c>
      <c r="K1565" s="11" t="b">
        <v>1</v>
      </c>
    </row>
    <row r="1566" spans="1:11">
      <c r="A1566" s="366" t="s">
        <v>5715</v>
      </c>
      <c r="B1566" s="310" t="str">
        <f>报表附注!E1776</f>
        <v>抵押加保证借款</v>
      </c>
      <c r="C1566" s="318"/>
      <c r="D1566" s="11" t="b">
        <f t="shared" si="154"/>
        <v>0</v>
      </c>
      <c r="E1566" s="311"/>
      <c r="H1566" s="11" t="b">
        <f t="shared" si="152"/>
        <v>0</v>
      </c>
      <c r="I1566" s="11" t="s">
        <v>2204</v>
      </c>
      <c r="K1566" s="11" t="b">
        <v>1</v>
      </c>
    </row>
    <row r="1567" spans="1:11">
      <c r="A1567" s="366" t="s">
        <v>5716</v>
      </c>
      <c r="B1567" s="310" t="str">
        <f>报表附注!E1777</f>
        <v>抵押加质押借款</v>
      </c>
      <c r="C1567" s="318"/>
      <c r="D1567" s="11" t="b">
        <f t="shared" si="154"/>
        <v>0</v>
      </c>
      <c r="E1567" s="311"/>
      <c r="H1567" s="11" t="b">
        <f t="shared" si="152"/>
        <v>0</v>
      </c>
      <c r="I1567" s="11" t="s">
        <v>374</v>
      </c>
      <c r="K1567" s="11" t="b">
        <v>1</v>
      </c>
    </row>
    <row r="1568" spans="1:11">
      <c r="A1568" s="11" t="s">
        <v>2203</v>
      </c>
      <c r="B1568" s="320" t="str">
        <f>报表附注!E1778</f>
        <v>合   计</v>
      </c>
      <c r="C1568" s="318">
        <f>J1558</f>
        <v>0</v>
      </c>
      <c r="D1568" s="11" t="b">
        <f t="shared" si="154"/>
        <v>1</v>
      </c>
      <c r="E1568" s="311"/>
      <c r="H1568" s="11" t="b">
        <f t="shared" si="152"/>
        <v>0</v>
      </c>
      <c r="I1568" s="11" t="s">
        <v>1007</v>
      </c>
      <c r="K1568" s="11" t="b">
        <v>1</v>
      </c>
    </row>
    <row r="1569" spans="1:11">
      <c r="A1569" s="11" t="s">
        <v>2020</v>
      </c>
      <c r="B1569" s="333" t="s">
        <v>2020</v>
      </c>
      <c r="D1569" s="11" t="b">
        <f t="shared" si="154"/>
        <v>1</v>
      </c>
      <c r="E1569" s="326"/>
      <c r="H1569" s="11" t="b">
        <f t="shared" si="152"/>
        <v>0</v>
      </c>
      <c r="I1569" s="11" t="s">
        <v>1009</v>
      </c>
      <c r="K1569" s="11" t="b">
        <v>1</v>
      </c>
    </row>
    <row r="1570" spans="1:11">
      <c r="A1570" s="11" t="s">
        <v>983</v>
      </c>
      <c r="B1570" s="310" t="str">
        <f>报表附注!E1772</f>
        <v>质押借款</v>
      </c>
      <c r="C1570" s="321">
        <f>J1563</f>
        <v>0</v>
      </c>
      <c r="D1570" s="11" t="b">
        <f t="shared" si="154"/>
        <v>0</v>
      </c>
      <c r="E1570" s="321">
        <f>C1562</f>
        <v>0</v>
      </c>
      <c r="H1570" s="11" t="b">
        <f t="shared" si="152"/>
        <v>0</v>
      </c>
      <c r="I1570" s="11" t="s">
        <v>1011</v>
      </c>
      <c r="K1570" s="11" t="b">
        <v>1</v>
      </c>
    </row>
    <row r="1571" spans="1:11">
      <c r="A1571" s="11" t="s">
        <v>985</v>
      </c>
      <c r="B1571" s="310" t="str">
        <f>报表附注!E1773</f>
        <v>抵押借款</v>
      </c>
      <c r="C1571" s="321">
        <f>J1561</f>
        <v>0</v>
      </c>
      <c r="D1571" s="11" t="b">
        <f t="shared" si="154"/>
        <v>1</v>
      </c>
      <c r="E1571" s="321">
        <f>C1563</f>
        <v>0</v>
      </c>
      <c r="H1571" s="11" t="b">
        <f t="shared" si="152"/>
        <v>0</v>
      </c>
      <c r="I1571" s="11" t="s">
        <v>280</v>
      </c>
      <c r="K1571" s="11" t="b">
        <v>1</v>
      </c>
    </row>
    <row r="1572" spans="1:11">
      <c r="A1572" s="11" t="s">
        <v>987</v>
      </c>
      <c r="B1572" s="310" t="str">
        <f>报表附注!E1774</f>
        <v>保证借款</v>
      </c>
      <c r="C1572" s="321">
        <f>J1562</f>
        <v>0</v>
      </c>
      <c r="D1572" s="11" t="b">
        <f t="shared" si="154"/>
        <v>1</v>
      </c>
      <c r="E1572" s="321">
        <f>C1564</f>
        <v>0</v>
      </c>
      <c r="H1572" s="11" t="b">
        <f t="shared" si="152"/>
        <v>0</v>
      </c>
      <c r="I1572" s="11" t="s">
        <v>347</v>
      </c>
      <c r="K1572" s="11" t="b">
        <v>1</v>
      </c>
    </row>
    <row r="1573" spans="1:11">
      <c r="A1573" s="11" t="s">
        <v>989</v>
      </c>
      <c r="B1573" s="310" t="str">
        <f>报表附注!E1775</f>
        <v>信用借款</v>
      </c>
      <c r="C1573" s="321">
        <f>J1560</f>
        <v>0</v>
      </c>
      <c r="D1573" s="11" t="b">
        <f t="shared" si="154"/>
        <v>0</v>
      </c>
      <c r="E1573" s="321">
        <f>C1565</f>
        <v>0</v>
      </c>
      <c r="H1573" s="11" t="b">
        <f t="shared" si="152"/>
        <v>0</v>
      </c>
      <c r="I1573" s="11" t="s">
        <v>2011</v>
      </c>
      <c r="K1573" s="11" t="b">
        <v>1</v>
      </c>
    </row>
    <row r="1574" spans="1:11">
      <c r="A1574" s="366" t="s">
        <v>5715</v>
      </c>
      <c r="B1574" s="310" t="str">
        <f>报表附注!E1776</f>
        <v>抵押加保证借款</v>
      </c>
      <c r="C1574" s="321"/>
      <c r="D1574" s="11" t="b">
        <f t="shared" si="154"/>
        <v>0</v>
      </c>
      <c r="E1574" s="321">
        <f t="shared" ref="E1574:E1575" si="155">C1566</f>
        <v>0</v>
      </c>
      <c r="H1574" s="11" t="b">
        <f t="shared" si="152"/>
        <v>0</v>
      </c>
      <c r="I1574" s="11" t="s">
        <v>1007</v>
      </c>
      <c r="K1574" s="11" t="b">
        <v>1</v>
      </c>
    </row>
    <row r="1575" spans="1:11">
      <c r="A1575" s="366" t="s">
        <v>5716</v>
      </c>
      <c r="B1575" s="310" t="str">
        <f>报表附注!E1777</f>
        <v>抵押加质押借款</v>
      </c>
      <c r="C1575" s="321"/>
      <c r="D1575" s="11" t="b">
        <f t="shared" si="154"/>
        <v>0</v>
      </c>
      <c r="E1575" s="321">
        <f t="shared" si="155"/>
        <v>0</v>
      </c>
      <c r="H1575" s="11" t="b">
        <f t="shared" si="152"/>
        <v>0</v>
      </c>
      <c r="I1575" s="11" t="s">
        <v>1009</v>
      </c>
      <c r="K1575" s="11" t="b">
        <v>1</v>
      </c>
    </row>
    <row r="1576" spans="1:11">
      <c r="A1576" s="11" t="s">
        <v>2203</v>
      </c>
      <c r="B1576" s="320" t="str">
        <f>报表附注!E1778</f>
        <v>合   计</v>
      </c>
      <c r="C1576" s="321">
        <f>J1564</f>
        <v>0</v>
      </c>
      <c r="D1576" s="11" t="b">
        <f t="shared" si="154"/>
        <v>1</v>
      </c>
      <c r="E1576" s="321">
        <f t="shared" ref="E1576" si="156">C1568</f>
        <v>0</v>
      </c>
      <c r="H1576" s="11" t="b">
        <f t="shared" si="152"/>
        <v>0</v>
      </c>
      <c r="I1576" s="11" t="s">
        <v>1011</v>
      </c>
      <c r="K1576" s="11" t="b">
        <v>1</v>
      </c>
    </row>
    <row r="1577" spans="4:11">
      <c r="D1577" s="11" t="b">
        <f t="shared" si="154"/>
        <v>1</v>
      </c>
      <c r="H1577" s="11" t="b">
        <f t="shared" si="152"/>
        <v>0</v>
      </c>
      <c r="I1577" s="11" t="s">
        <v>280</v>
      </c>
      <c r="K1577" s="11" t="b">
        <v>1</v>
      </c>
    </row>
    <row r="1578" spans="1:11">
      <c r="A1578" s="11" t="s">
        <v>2204</v>
      </c>
      <c r="B1578" s="329" t="s">
        <v>2204</v>
      </c>
      <c r="D1578" s="11" t="b">
        <f t="shared" si="154"/>
        <v>1</v>
      </c>
      <c r="H1578" s="11" t="b">
        <f t="shared" si="152"/>
        <v>0</v>
      </c>
      <c r="I1578" s="11" t="s">
        <v>347</v>
      </c>
      <c r="K1578" s="11" t="b">
        <v>1</v>
      </c>
    </row>
    <row r="1579" spans="1:11">
      <c r="A1579" s="11" t="s">
        <v>374</v>
      </c>
      <c r="B1579" s="333" t="s">
        <v>374</v>
      </c>
      <c r="D1579" s="11" t="b">
        <f t="shared" si="154"/>
        <v>1</v>
      </c>
      <c r="H1579" s="11" t="b">
        <f t="shared" si="152"/>
        <v>0</v>
      </c>
      <c r="K1579" s="11" t="b">
        <v>1</v>
      </c>
    </row>
    <row r="1580" spans="1:11">
      <c r="A1580" s="11" t="s">
        <v>1007</v>
      </c>
      <c r="B1580" s="310" t="str">
        <f>报表附注!E1798</f>
        <v>发行的交易性债券</v>
      </c>
      <c r="C1580" s="321">
        <f t="shared" ref="C1580:C1590" si="157">J1568</f>
        <v>0</v>
      </c>
      <c r="D1580" s="11" t="b">
        <f t="shared" si="154"/>
        <v>1</v>
      </c>
      <c r="E1580" s="311"/>
      <c r="H1580" s="11" t="b">
        <f t="shared" si="152"/>
        <v>0</v>
      </c>
      <c r="I1580" s="11" t="s">
        <v>2205</v>
      </c>
      <c r="K1580" s="11" t="b">
        <v>1</v>
      </c>
    </row>
    <row r="1581" ht="22.5" spans="1:11">
      <c r="A1581" s="11" t="s">
        <v>1009</v>
      </c>
      <c r="B1581" s="310" t="str">
        <f>报表附注!E1799</f>
        <v>指定为以公允价值计量且其变动计入当期损益的金融负债</v>
      </c>
      <c r="C1581" s="321">
        <f t="shared" si="157"/>
        <v>0</v>
      </c>
      <c r="D1581" s="11" t="b">
        <f t="shared" si="154"/>
        <v>1</v>
      </c>
      <c r="E1581" s="311"/>
      <c r="H1581" s="11" t="b">
        <f t="shared" si="152"/>
        <v>0</v>
      </c>
      <c r="I1581" s="11" t="s">
        <v>316</v>
      </c>
      <c r="K1581" s="11" t="b">
        <v>1</v>
      </c>
    </row>
    <row r="1582" spans="1:11">
      <c r="A1582" s="11" t="s">
        <v>1011</v>
      </c>
      <c r="B1582" s="310" t="str">
        <f>报表附注!E1800</f>
        <v>衍生金融负债</v>
      </c>
      <c r="C1582" s="321">
        <f t="shared" si="157"/>
        <v>0</v>
      </c>
      <c r="D1582" s="11" t="b">
        <f t="shared" si="154"/>
        <v>1</v>
      </c>
      <c r="E1582" s="311"/>
      <c r="H1582" s="11" t="b">
        <f t="shared" si="152"/>
        <v>0</v>
      </c>
      <c r="I1582" s="11" t="s">
        <v>392</v>
      </c>
      <c r="J1582" s="323">
        <v>7000000</v>
      </c>
      <c r="K1582" s="11" t="b">
        <v>1</v>
      </c>
    </row>
    <row r="1583" spans="1:11">
      <c r="A1583" s="11" t="s">
        <v>280</v>
      </c>
      <c r="B1583" s="310" t="str">
        <f>报表附注!E1801</f>
        <v>其他</v>
      </c>
      <c r="C1583" s="321">
        <f t="shared" si="157"/>
        <v>0</v>
      </c>
      <c r="D1583" s="11" t="b">
        <f t="shared" si="154"/>
        <v>1</v>
      </c>
      <c r="E1583" s="311"/>
      <c r="H1583" s="11" t="b">
        <f t="shared" si="152"/>
        <v>0</v>
      </c>
      <c r="I1583" s="11" t="s">
        <v>394</v>
      </c>
      <c r="K1583" s="11" t="b">
        <v>1</v>
      </c>
    </row>
    <row r="1584" spans="1:11">
      <c r="A1584" s="11" t="s">
        <v>347</v>
      </c>
      <c r="B1584" s="320" t="str">
        <f>报表附注!E1802</f>
        <v>合 计</v>
      </c>
      <c r="C1584" s="321">
        <f t="shared" si="157"/>
        <v>0</v>
      </c>
      <c r="D1584" s="11" t="b">
        <f t="shared" si="154"/>
        <v>1</v>
      </c>
      <c r="E1584" s="311"/>
      <c r="H1584" s="11" t="b">
        <f t="shared" si="152"/>
        <v>0</v>
      </c>
      <c r="I1584" s="11" t="s">
        <v>2206</v>
      </c>
      <c r="K1584" s="11" t="b">
        <v>1</v>
      </c>
    </row>
    <row r="1585" spans="1:11">
      <c r="A1585" s="11" t="s">
        <v>2011</v>
      </c>
      <c r="B1585" s="333" t="s">
        <v>2011</v>
      </c>
      <c r="C1585" s="328">
        <f t="shared" si="157"/>
        <v>0</v>
      </c>
      <c r="D1585" s="11" t="b">
        <f t="shared" si="154"/>
        <v>1</v>
      </c>
      <c r="H1585" s="11" t="b">
        <f t="shared" si="152"/>
        <v>0</v>
      </c>
      <c r="I1585" s="11" t="s">
        <v>2207</v>
      </c>
      <c r="K1585" s="11" t="b">
        <v>1</v>
      </c>
    </row>
    <row r="1586" spans="1:11">
      <c r="A1586" s="11" t="s">
        <v>1007</v>
      </c>
      <c r="B1586" s="310" t="str">
        <f>报表附注!E1798</f>
        <v>发行的交易性债券</v>
      </c>
      <c r="C1586" s="321">
        <f t="shared" si="157"/>
        <v>0</v>
      </c>
      <c r="D1586" s="11" t="b">
        <f t="shared" si="154"/>
        <v>1</v>
      </c>
      <c r="E1586" s="321">
        <f>C1580</f>
        <v>0</v>
      </c>
      <c r="H1586" s="11" t="b">
        <f t="shared" si="152"/>
        <v>0</v>
      </c>
      <c r="I1586" s="11" t="s">
        <v>280</v>
      </c>
      <c r="K1586" s="11" t="b">
        <v>1</v>
      </c>
    </row>
    <row r="1587" ht="22.5" spans="1:11">
      <c r="A1587" s="11" t="s">
        <v>1009</v>
      </c>
      <c r="B1587" s="310" t="str">
        <f>报表附注!E1799</f>
        <v>指定为以公允价值计量且其变动计入当期损益的金融负债</v>
      </c>
      <c r="C1587" s="321">
        <f t="shared" si="157"/>
        <v>0</v>
      </c>
      <c r="D1587" s="11" t="b">
        <f t="shared" si="154"/>
        <v>1</v>
      </c>
      <c r="E1587" s="321">
        <f>C1581</f>
        <v>0</v>
      </c>
      <c r="H1587" s="11" t="b">
        <f t="shared" si="152"/>
        <v>0</v>
      </c>
      <c r="I1587" s="11" t="s">
        <v>2021</v>
      </c>
      <c r="J1587" s="323">
        <f>J1582</f>
        <v>7000000</v>
      </c>
      <c r="K1587" s="11" t="b">
        <v>1</v>
      </c>
    </row>
    <row r="1588" spans="1:11">
      <c r="A1588" s="11" t="s">
        <v>1011</v>
      </c>
      <c r="B1588" s="310" t="str">
        <f>报表附注!E1800</f>
        <v>衍生金融负债</v>
      </c>
      <c r="C1588" s="321">
        <f t="shared" si="157"/>
        <v>0</v>
      </c>
      <c r="D1588" s="11" t="b">
        <f t="shared" si="154"/>
        <v>1</v>
      </c>
      <c r="E1588" s="321">
        <f t="shared" ref="E1588:E1590" si="158">C1582</f>
        <v>0</v>
      </c>
      <c r="H1588" s="11" t="b">
        <f t="shared" si="152"/>
        <v>0</v>
      </c>
      <c r="I1588" s="11" t="s">
        <v>2020</v>
      </c>
      <c r="K1588" s="11" t="b">
        <v>1</v>
      </c>
    </row>
    <row r="1589" spans="1:11">
      <c r="A1589" s="11" t="s">
        <v>280</v>
      </c>
      <c r="B1589" s="310" t="str">
        <f>报表附注!E1801</f>
        <v>其他</v>
      </c>
      <c r="C1589" s="321">
        <f t="shared" si="157"/>
        <v>0</v>
      </c>
      <c r="D1589" s="11" t="b">
        <f t="shared" si="154"/>
        <v>1</v>
      </c>
      <c r="E1589" s="321">
        <f t="shared" si="158"/>
        <v>0</v>
      </c>
      <c r="H1589" s="11" t="b">
        <f t="shared" si="152"/>
        <v>0</v>
      </c>
      <c r="I1589" s="11" t="s">
        <v>392</v>
      </c>
      <c r="K1589" s="11" t="b">
        <v>1</v>
      </c>
    </row>
    <row r="1590" spans="1:11">
      <c r="A1590" s="11" t="s">
        <v>347</v>
      </c>
      <c r="B1590" s="320" t="str">
        <f>报表附注!E1802</f>
        <v>合 计</v>
      </c>
      <c r="C1590" s="321">
        <f t="shared" si="157"/>
        <v>0</v>
      </c>
      <c r="D1590" s="11" t="b">
        <f t="shared" si="154"/>
        <v>1</v>
      </c>
      <c r="E1590" s="321">
        <f t="shared" si="158"/>
        <v>0</v>
      </c>
      <c r="H1590" s="11" t="b">
        <f t="shared" si="152"/>
        <v>0</v>
      </c>
      <c r="I1590" s="11" t="s">
        <v>394</v>
      </c>
      <c r="K1590" s="11" t="b">
        <v>1</v>
      </c>
    </row>
    <row r="1591" spans="4:11">
      <c r="D1591" s="11" t="b">
        <f t="shared" si="154"/>
        <v>1</v>
      </c>
      <c r="H1591" s="11" t="b">
        <f t="shared" si="152"/>
        <v>0</v>
      </c>
      <c r="I1591" s="11" t="s">
        <v>2206</v>
      </c>
      <c r="K1591" s="11" t="b">
        <v>1</v>
      </c>
    </row>
    <row r="1592" spans="1:11">
      <c r="A1592" s="11" t="s">
        <v>2205</v>
      </c>
      <c r="B1592" s="329" t="s">
        <v>2205</v>
      </c>
      <c r="D1592" s="11" t="b">
        <f t="shared" si="154"/>
        <v>1</v>
      </c>
      <c r="H1592" s="11" t="b">
        <f t="shared" si="152"/>
        <v>0</v>
      </c>
      <c r="I1592" s="11" t="s">
        <v>2207</v>
      </c>
      <c r="K1592" s="11" t="b">
        <v>1</v>
      </c>
    </row>
    <row r="1593" spans="1:11">
      <c r="A1593" s="11" t="s">
        <v>316</v>
      </c>
      <c r="B1593" s="333" t="s">
        <v>316</v>
      </c>
      <c r="D1593" s="11" t="b">
        <f t="shared" si="154"/>
        <v>1</v>
      </c>
      <c r="E1593" s="326"/>
      <c r="H1593" s="11" t="b">
        <f t="shared" si="152"/>
        <v>0</v>
      </c>
      <c r="I1593" s="11" t="s">
        <v>280</v>
      </c>
      <c r="K1593" s="11" t="b">
        <v>1</v>
      </c>
    </row>
    <row r="1594" spans="1:11">
      <c r="A1594" s="11" t="s">
        <v>392</v>
      </c>
      <c r="B1594" s="310" t="str">
        <f>报表附注!E1811</f>
        <v>银行承兑汇票</v>
      </c>
      <c r="C1594" s="318">
        <f t="shared" ref="C1594:C1606" si="159">J1582</f>
        <v>7000000</v>
      </c>
      <c r="D1594" s="11" t="b">
        <f t="shared" si="154"/>
        <v>1</v>
      </c>
      <c r="E1594" s="311"/>
      <c r="H1594" s="11" t="b">
        <f t="shared" si="152"/>
        <v>0</v>
      </c>
      <c r="I1594" s="11" t="s">
        <v>2021</v>
      </c>
      <c r="K1594" s="11" t="b">
        <v>1</v>
      </c>
    </row>
    <row r="1595" spans="1:11">
      <c r="A1595" s="11" t="s">
        <v>394</v>
      </c>
      <c r="B1595" s="310" t="str">
        <f>报表附注!E1812</f>
        <v>商业承兑汇票</v>
      </c>
      <c r="C1595" s="318">
        <f t="shared" si="159"/>
        <v>0</v>
      </c>
      <c r="D1595" s="11" t="b">
        <f t="shared" si="154"/>
        <v>1</v>
      </c>
      <c r="E1595" s="311"/>
      <c r="H1595" s="11" t="b">
        <f t="shared" si="152"/>
        <v>0</v>
      </c>
      <c r="K1595" s="11" t="b">
        <v>1</v>
      </c>
    </row>
    <row r="1596" spans="1:11">
      <c r="A1596" s="11" t="s">
        <v>2206</v>
      </c>
      <c r="B1596" s="310" t="str">
        <f>报表附注!E1813</f>
        <v>信用证</v>
      </c>
      <c r="C1596" s="318">
        <f t="shared" si="159"/>
        <v>0</v>
      </c>
      <c r="D1596" s="11" t="b">
        <f t="shared" si="154"/>
        <v>1</v>
      </c>
      <c r="E1596" s="311"/>
      <c r="H1596" s="11" t="b">
        <f t="shared" si="152"/>
        <v>0</v>
      </c>
      <c r="I1596" s="11" t="s">
        <v>2208</v>
      </c>
      <c r="K1596" s="11" t="b">
        <v>1</v>
      </c>
    </row>
    <row r="1597" spans="1:11">
      <c r="A1597" s="11" t="s">
        <v>2207</v>
      </c>
      <c r="B1597" s="310" t="str">
        <f>报表附注!E1814</f>
        <v>远期支票</v>
      </c>
      <c r="C1597" s="318">
        <f t="shared" si="159"/>
        <v>0</v>
      </c>
      <c r="D1597" s="11" t="b">
        <f t="shared" si="154"/>
        <v>1</v>
      </c>
      <c r="E1597" s="311"/>
      <c r="H1597" s="11" t="b">
        <f t="shared" si="152"/>
        <v>0</v>
      </c>
      <c r="I1597" s="11" t="s">
        <v>316</v>
      </c>
      <c r="K1597" s="11" t="b">
        <v>1</v>
      </c>
    </row>
    <row r="1598" spans="1:11">
      <c r="A1598" s="11" t="s">
        <v>280</v>
      </c>
      <c r="B1598" s="310" t="str">
        <f>报表附注!E1815</f>
        <v>其他</v>
      </c>
      <c r="C1598" s="318">
        <f t="shared" si="159"/>
        <v>0</v>
      </c>
      <c r="D1598" s="11" t="b">
        <f t="shared" si="154"/>
        <v>1</v>
      </c>
      <c r="E1598" s="311"/>
      <c r="H1598" s="11" t="b">
        <f t="shared" si="152"/>
        <v>0</v>
      </c>
      <c r="I1598" s="11" t="s">
        <v>2026</v>
      </c>
      <c r="J1598" s="323">
        <v>11757403.15</v>
      </c>
      <c r="K1598" s="11" t="b">
        <v>1</v>
      </c>
    </row>
    <row r="1599" spans="1:11">
      <c r="A1599" s="11" t="s">
        <v>2021</v>
      </c>
      <c r="B1599" s="320" t="str">
        <f>报表附注!E1816</f>
        <v>合计</v>
      </c>
      <c r="C1599" s="318">
        <f t="shared" si="159"/>
        <v>7000000</v>
      </c>
      <c r="D1599" s="11" t="b">
        <f t="shared" si="154"/>
        <v>1</v>
      </c>
      <c r="E1599" s="311"/>
      <c r="H1599" s="11" t="b">
        <f t="shared" si="152"/>
        <v>0</v>
      </c>
      <c r="I1599" s="11" t="s">
        <v>2027</v>
      </c>
      <c r="J1599" s="323">
        <v>4531807.69</v>
      </c>
      <c r="K1599" s="11" t="b">
        <v>1</v>
      </c>
    </row>
    <row r="1600" spans="1:11">
      <c r="A1600" s="11" t="s">
        <v>2020</v>
      </c>
      <c r="B1600" s="333" t="s">
        <v>2020</v>
      </c>
      <c r="C1600" s="328">
        <f t="shared" si="159"/>
        <v>0</v>
      </c>
      <c r="D1600" s="11" t="b">
        <f t="shared" si="154"/>
        <v>1</v>
      </c>
      <c r="H1600" s="11" t="b">
        <f t="shared" si="152"/>
        <v>0</v>
      </c>
      <c r="I1600" s="11" t="s">
        <v>2028</v>
      </c>
      <c r="J1600" s="323">
        <v>79260.14</v>
      </c>
      <c r="K1600" s="11" t="b">
        <v>1</v>
      </c>
    </row>
    <row r="1601" spans="1:11">
      <c r="A1601" s="11" t="s">
        <v>392</v>
      </c>
      <c r="B1601" s="310" t="str">
        <f>报表附注!E1811</f>
        <v>银行承兑汇票</v>
      </c>
      <c r="C1601" s="321">
        <f t="shared" si="159"/>
        <v>0</v>
      </c>
      <c r="D1601" s="11" t="b">
        <f t="shared" si="154"/>
        <v>1</v>
      </c>
      <c r="E1601" s="321">
        <f>C1594</f>
        <v>7000000</v>
      </c>
      <c r="H1601" s="11" t="b">
        <f t="shared" si="152"/>
        <v>0</v>
      </c>
      <c r="I1601" s="11" t="s">
        <v>2029</v>
      </c>
      <c r="K1601" s="11" t="b">
        <v>1</v>
      </c>
    </row>
    <row r="1602" spans="1:11">
      <c r="A1602" s="11" t="s">
        <v>394</v>
      </c>
      <c r="B1602" s="310" t="str">
        <f>报表附注!E1812</f>
        <v>商业承兑汇票</v>
      </c>
      <c r="C1602" s="321">
        <f t="shared" si="159"/>
        <v>0</v>
      </c>
      <c r="D1602" s="11" t="b">
        <f t="shared" si="154"/>
        <v>1</v>
      </c>
      <c r="E1602" s="321">
        <f t="shared" ref="E1602:E1606" si="160">C1595</f>
        <v>0</v>
      </c>
      <c r="H1602" s="11" t="b">
        <f t="shared" si="152"/>
        <v>0</v>
      </c>
      <c r="I1602" s="11" t="s">
        <v>2030</v>
      </c>
      <c r="K1602" s="11" t="b">
        <v>1</v>
      </c>
    </row>
    <row r="1603" spans="1:11">
      <c r="A1603" s="11" t="s">
        <v>2206</v>
      </c>
      <c r="B1603" s="310" t="str">
        <f>报表附注!E1813</f>
        <v>信用证</v>
      </c>
      <c r="C1603" s="321">
        <f t="shared" si="159"/>
        <v>0</v>
      </c>
      <c r="D1603" s="11" t="b">
        <f t="shared" si="154"/>
        <v>1</v>
      </c>
      <c r="E1603" s="321">
        <f t="shared" si="160"/>
        <v>0</v>
      </c>
      <c r="H1603" s="11" t="b">
        <f t="shared" si="152"/>
        <v>0</v>
      </c>
      <c r="I1603" s="11" t="s">
        <v>2031</v>
      </c>
      <c r="K1603" s="11" t="b">
        <v>1</v>
      </c>
    </row>
    <row r="1604" spans="1:11">
      <c r="A1604" s="11" t="s">
        <v>2207</v>
      </c>
      <c r="B1604" s="310" t="str">
        <f>报表附注!E1814</f>
        <v>远期支票</v>
      </c>
      <c r="C1604" s="321">
        <f t="shared" si="159"/>
        <v>0</v>
      </c>
      <c r="D1604" s="11" t="b">
        <f t="shared" si="154"/>
        <v>1</v>
      </c>
      <c r="E1604" s="321">
        <f t="shared" si="160"/>
        <v>0</v>
      </c>
      <c r="H1604" s="11" t="b">
        <f t="shared" ref="H1604:H1667" si="161">I1604=B1604</f>
        <v>0</v>
      </c>
      <c r="I1604" s="11" t="s">
        <v>2021</v>
      </c>
      <c r="K1604" s="11" t="b">
        <v>1</v>
      </c>
    </row>
    <row r="1605" spans="1:11">
      <c r="A1605" s="11" t="s">
        <v>280</v>
      </c>
      <c r="B1605" s="310" t="str">
        <f>报表附注!E1815</f>
        <v>其他</v>
      </c>
      <c r="C1605" s="321">
        <f t="shared" si="159"/>
        <v>0</v>
      </c>
      <c r="D1605" s="11" t="b">
        <f t="shared" si="154"/>
        <v>1</v>
      </c>
      <c r="E1605" s="321">
        <f t="shared" si="160"/>
        <v>0</v>
      </c>
      <c r="H1605" s="11" t="b">
        <f t="shared" si="161"/>
        <v>0</v>
      </c>
      <c r="I1605" s="11" t="s">
        <v>2020</v>
      </c>
      <c r="K1605" s="11" t="b">
        <v>1</v>
      </c>
    </row>
    <row r="1606" spans="1:11">
      <c r="A1606" s="11" t="s">
        <v>2021</v>
      </c>
      <c r="B1606" s="320" t="str">
        <f>报表附注!E1816</f>
        <v>合计</v>
      </c>
      <c r="C1606" s="321">
        <f t="shared" si="159"/>
        <v>0</v>
      </c>
      <c r="D1606" s="11" t="b">
        <f t="shared" si="154"/>
        <v>1</v>
      </c>
      <c r="E1606" s="321">
        <f t="shared" si="160"/>
        <v>7000000</v>
      </c>
      <c r="H1606" s="11" t="b">
        <f t="shared" si="161"/>
        <v>0</v>
      </c>
      <c r="I1606" s="11" t="s">
        <v>2026</v>
      </c>
      <c r="K1606" s="11" t="b">
        <v>1</v>
      </c>
    </row>
    <row r="1607" spans="4:11">
      <c r="D1607" s="11" t="b">
        <f t="shared" si="154"/>
        <v>1</v>
      </c>
      <c r="H1607" s="11" t="b">
        <f t="shared" si="161"/>
        <v>0</v>
      </c>
      <c r="I1607" s="11" t="s">
        <v>2027</v>
      </c>
      <c r="K1607" s="11" t="b">
        <v>1</v>
      </c>
    </row>
    <row r="1608" spans="1:11">
      <c r="A1608" s="11" t="s">
        <v>2208</v>
      </c>
      <c r="B1608" s="329" t="s">
        <v>2208</v>
      </c>
      <c r="D1608" s="11" t="b">
        <f t="shared" si="154"/>
        <v>1</v>
      </c>
      <c r="H1608" s="11" t="b">
        <f t="shared" si="161"/>
        <v>0</v>
      </c>
      <c r="I1608" s="11" t="s">
        <v>2028</v>
      </c>
      <c r="K1608" s="11" t="b">
        <v>1</v>
      </c>
    </row>
    <row r="1609" spans="1:11">
      <c r="A1609" s="11" t="s">
        <v>316</v>
      </c>
      <c r="B1609" s="333" t="s">
        <v>316</v>
      </c>
      <c r="D1609" s="11" t="b">
        <f t="shared" si="154"/>
        <v>1</v>
      </c>
      <c r="H1609" s="11" t="b">
        <f t="shared" si="161"/>
        <v>0</v>
      </c>
      <c r="I1609" s="11" t="s">
        <v>2029</v>
      </c>
      <c r="K1609" s="11" t="b">
        <v>1</v>
      </c>
    </row>
    <row r="1610" spans="1:11">
      <c r="A1610" s="11" t="s">
        <v>2026</v>
      </c>
      <c r="B1610" s="310" t="str">
        <f>报表附注!E1827</f>
        <v>1年以内（含1年）</v>
      </c>
      <c r="C1610" s="318">
        <f t="shared" ref="C1610:C1624" si="162">J1598</f>
        <v>11757403.15</v>
      </c>
      <c r="D1610" s="11" t="b">
        <f t="shared" si="154"/>
        <v>1</v>
      </c>
      <c r="E1610" s="311"/>
      <c r="H1610" s="11" t="b">
        <f t="shared" si="161"/>
        <v>0</v>
      </c>
      <c r="I1610" s="11" t="s">
        <v>2030</v>
      </c>
      <c r="K1610" s="11" t="b">
        <v>1</v>
      </c>
    </row>
    <row r="1611" spans="1:11">
      <c r="A1611" s="11" t="s">
        <v>2027</v>
      </c>
      <c r="B1611" s="310" t="str">
        <f>报表附注!E1828</f>
        <v>1-2年（含2年）</v>
      </c>
      <c r="C1611" s="318">
        <f t="shared" si="162"/>
        <v>4531807.69</v>
      </c>
      <c r="D1611" s="11" t="b">
        <f t="shared" si="154"/>
        <v>1</v>
      </c>
      <c r="E1611" s="311"/>
      <c r="H1611" s="11" t="b">
        <f t="shared" si="161"/>
        <v>0</v>
      </c>
      <c r="I1611" s="11" t="s">
        <v>2031</v>
      </c>
      <c r="K1611" s="11" t="b">
        <v>1</v>
      </c>
    </row>
    <row r="1612" spans="1:11">
      <c r="A1612" s="11" t="s">
        <v>2028</v>
      </c>
      <c r="B1612" s="310" t="str">
        <f>报表附注!E1829</f>
        <v>2-3年（含3年）</v>
      </c>
      <c r="C1612" s="318">
        <f t="shared" si="162"/>
        <v>79260.14</v>
      </c>
      <c r="D1612" s="11" t="b">
        <f t="shared" si="154"/>
        <v>1</v>
      </c>
      <c r="E1612" s="311"/>
      <c r="H1612" s="11" t="b">
        <f t="shared" si="161"/>
        <v>0</v>
      </c>
      <c r="I1612" s="11" t="s">
        <v>2021</v>
      </c>
      <c r="K1612" s="11" t="b">
        <v>1</v>
      </c>
    </row>
    <row r="1613" spans="1:11">
      <c r="A1613" s="11" t="s">
        <v>2029</v>
      </c>
      <c r="B1613" s="310" t="str">
        <f>报表附注!E1830</f>
        <v>3-4年（含4年）</v>
      </c>
      <c r="C1613" s="318">
        <f t="shared" si="162"/>
        <v>0</v>
      </c>
      <c r="D1613" s="11" t="b">
        <f t="shared" si="154"/>
        <v>1</v>
      </c>
      <c r="E1613" s="311"/>
      <c r="H1613" s="11" t="b">
        <f t="shared" si="161"/>
        <v>0</v>
      </c>
      <c r="K1613" s="11" t="b">
        <v>1</v>
      </c>
    </row>
    <row r="1614" spans="1:11">
      <c r="A1614" s="11" t="s">
        <v>2030</v>
      </c>
      <c r="B1614" s="310" t="str">
        <f>报表附注!E1831</f>
        <v>4-5年（含5年）</v>
      </c>
      <c r="C1614" s="318">
        <f t="shared" si="162"/>
        <v>0</v>
      </c>
      <c r="D1614" s="11" t="b">
        <f t="shared" si="154"/>
        <v>1</v>
      </c>
      <c r="E1614" s="311"/>
      <c r="H1614" s="11" t="b">
        <f t="shared" si="161"/>
        <v>0</v>
      </c>
      <c r="I1614" s="11" t="s">
        <v>2209</v>
      </c>
      <c r="K1614" s="11" t="b">
        <v>1</v>
      </c>
    </row>
    <row r="1615" spans="1:11">
      <c r="A1615" s="11" t="s">
        <v>2031</v>
      </c>
      <c r="B1615" s="310" t="str">
        <f>报表附注!E1832</f>
        <v>5年以上</v>
      </c>
      <c r="C1615" s="318">
        <f t="shared" si="162"/>
        <v>0</v>
      </c>
      <c r="D1615" s="11" t="b">
        <f t="shared" si="154"/>
        <v>1</v>
      </c>
      <c r="E1615" s="311"/>
      <c r="H1615" s="11" t="b">
        <f t="shared" si="161"/>
        <v>0</v>
      </c>
      <c r="I1615" s="11" t="s">
        <v>316</v>
      </c>
      <c r="K1615" s="11" t="b">
        <v>1</v>
      </c>
    </row>
    <row r="1616" spans="1:11">
      <c r="A1616" s="11" t="s">
        <v>2021</v>
      </c>
      <c r="B1616" s="320" t="str">
        <f>报表附注!E1833</f>
        <v>合计</v>
      </c>
      <c r="C1616" s="318">
        <f t="shared" si="162"/>
        <v>0</v>
      </c>
      <c r="D1616" s="11" t="b">
        <f t="shared" si="154"/>
        <v>1</v>
      </c>
      <c r="E1616" s="311"/>
      <c r="H1616" s="11" t="b">
        <f t="shared" si="161"/>
        <v>0</v>
      </c>
      <c r="I1616" s="11" t="s">
        <v>2041</v>
      </c>
      <c r="J1616" s="323">
        <v>4711102.57</v>
      </c>
      <c r="K1616" s="11" t="b">
        <v>1</v>
      </c>
    </row>
    <row r="1617" spans="1:11">
      <c r="A1617" s="11" t="s">
        <v>2020</v>
      </c>
      <c r="B1617" s="333" t="s">
        <v>2020</v>
      </c>
      <c r="C1617" s="328">
        <f t="shared" si="162"/>
        <v>0</v>
      </c>
      <c r="D1617" s="11" t="b">
        <f t="shared" si="154"/>
        <v>1</v>
      </c>
      <c r="H1617" s="11" t="b">
        <f t="shared" si="161"/>
        <v>0</v>
      </c>
      <c r="I1617" s="11" t="s">
        <v>2042</v>
      </c>
      <c r="K1617" s="11" t="b">
        <v>1</v>
      </c>
    </row>
    <row r="1618" spans="1:11">
      <c r="A1618" s="11" t="s">
        <v>2026</v>
      </c>
      <c r="B1618" s="310" t="str">
        <f>报表附注!E1827</f>
        <v>1年以内（含1年）</v>
      </c>
      <c r="C1618" s="321">
        <f t="shared" si="162"/>
        <v>0</v>
      </c>
      <c r="D1618" s="11" t="b">
        <f t="shared" si="154"/>
        <v>1</v>
      </c>
      <c r="E1618" s="321">
        <f>C1610</f>
        <v>11757403.15</v>
      </c>
      <c r="H1618" s="11" t="b">
        <f t="shared" si="161"/>
        <v>0</v>
      </c>
      <c r="I1618" s="11" t="s">
        <v>2043</v>
      </c>
      <c r="K1618" s="11" t="b">
        <v>1</v>
      </c>
    </row>
    <row r="1619" spans="1:11">
      <c r="A1619" s="11" t="s">
        <v>2027</v>
      </c>
      <c r="B1619" s="310" t="str">
        <f>报表附注!E1828</f>
        <v>1-2年（含2年）</v>
      </c>
      <c r="C1619" s="321">
        <f t="shared" si="162"/>
        <v>0</v>
      </c>
      <c r="D1619" s="11" t="b">
        <f t="shared" si="154"/>
        <v>1</v>
      </c>
      <c r="E1619" s="321">
        <f t="shared" ref="E1619:E1624" si="163">C1611</f>
        <v>4531807.69</v>
      </c>
      <c r="H1619" s="11" t="b">
        <f t="shared" si="161"/>
        <v>0</v>
      </c>
      <c r="I1619" s="11" t="s">
        <v>2044</v>
      </c>
      <c r="K1619" s="11" t="b">
        <v>1</v>
      </c>
    </row>
    <row r="1620" spans="1:11">
      <c r="A1620" s="11" t="s">
        <v>2028</v>
      </c>
      <c r="B1620" s="310" t="str">
        <f>报表附注!E1829</f>
        <v>2-3年（含3年）</v>
      </c>
      <c r="C1620" s="321">
        <f t="shared" si="162"/>
        <v>0</v>
      </c>
      <c r="D1620" s="11" t="b">
        <f t="shared" si="154"/>
        <v>1</v>
      </c>
      <c r="E1620" s="321">
        <f t="shared" si="163"/>
        <v>79260.14</v>
      </c>
      <c r="H1620" s="11" t="b">
        <f t="shared" si="161"/>
        <v>0</v>
      </c>
      <c r="I1620" s="11" t="s">
        <v>2021</v>
      </c>
      <c r="K1620" s="11" t="b">
        <v>1</v>
      </c>
    </row>
    <row r="1621" spans="1:11">
      <c r="A1621" s="11" t="s">
        <v>2029</v>
      </c>
      <c r="B1621" s="310" t="str">
        <f>报表附注!E1830</f>
        <v>3-4年（含4年）</v>
      </c>
      <c r="C1621" s="321">
        <f t="shared" si="162"/>
        <v>0</v>
      </c>
      <c r="D1621" s="11" t="b">
        <f t="shared" si="154"/>
        <v>1</v>
      </c>
      <c r="E1621" s="321">
        <f t="shared" si="163"/>
        <v>0</v>
      </c>
      <c r="H1621" s="11" t="b">
        <f t="shared" si="161"/>
        <v>0</v>
      </c>
      <c r="I1621" s="11" t="s">
        <v>2020</v>
      </c>
      <c r="K1621" s="11" t="b">
        <v>1</v>
      </c>
    </row>
    <row r="1622" spans="1:11">
      <c r="A1622" s="11" t="s">
        <v>2030</v>
      </c>
      <c r="B1622" s="310" t="str">
        <f>报表附注!E1831</f>
        <v>4-5年（含5年）</v>
      </c>
      <c r="C1622" s="321">
        <f t="shared" si="162"/>
        <v>0</v>
      </c>
      <c r="D1622" s="11" t="b">
        <f t="shared" ref="D1622:D1705" si="164">EXACT(A1622,B1622)</f>
        <v>1</v>
      </c>
      <c r="E1622" s="321">
        <f t="shared" si="163"/>
        <v>0</v>
      </c>
      <c r="H1622" s="11" t="b">
        <f t="shared" si="161"/>
        <v>0</v>
      </c>
      <c r="I1622" s="11" t="s">
        <v>2041</v>
      </c>
      <c r="K1622" s="11" t="b">
        <v>1</v>
      </c>
    </row>
    <row r="1623" spans="1:11">
      <c r="A1623" s="11" t="s">
        <v>2031</v>
      </c>
      <c r="B1623" s="310" t="str">
        <f>报表附注!E1832</f>
        <v>5年以上</v>
      </c>
      <c r="C1623" s="321">
        <f t="shared" si="162"/>
        <v>0</v>
      </c>
      <c r="D1623" s="11" t="b">
        <f t="shared" si="164"/>
        <v>1</v>
      </c>
      <c r="E1623" s="321">
        <f t="shared" si="163"/>
        <v>0</v>
      </c>
      <c r="H1623" s="11" t="b">
        <f t="shared" si="161"/>
        <v>0</v>
      </c>
      <c r="I1623" s="11" t="s">
        <v>2042</v>
      </c>
      <c r="K1623" s="11" t="b">
        <v>1</v>
      </c>
    </row>
    <row r="1624" spans="1:11">
      <c r="A1624" s="11" t="s">
        <v>2021</v>
      </c>
      <c r="B1624" s="320" t="str">
        <f>报表附注!E1833</f>
        <v>合计</v>
      </c>
      <c r="C1624" s="321">
        <f t="shared" si="162"/>
        <v>0</v>
      </c>
      <c r="D1624" s="11" t="b">
        <f t="shared" si="164"/>
        <v>1</v>
      </c>
      <c r="E1624" s="321">
        <f t="shared" si="163"/>
        <v>0</v>
      </c>
      <c r="H1624" s="11" t="b">
        <f t="shared" si="161"/>
        <v>0</v>
      </c>
      <c r="I1624" s="11" t="s">
        <v>2043</v>
      </c>
      <c r="K1624" s="11" t="b">
        <v>1</v>
      </c>
    </row>
    <row r="1625" spans="4:11">
      <c r="D1625" s="11" t="b">
        <f t="shared" si="164"/>
        <v>1</v>
      </c>
      <c r="H1625" s="11" t="b">
        <f t="shared" si="161"/>
        <v>0</v>
      </c>
      <c r="I1625" s="11" t="s">
        <v>2044</v>
      </c>
      <c r="K1625" s="11" t="b">
        <v>1</v>
      </c>
    </row>
    <row r="1626" spans="1:11">
      <c r="A1626" s="11" t="s">
        <v>2209</v>
      </c>
      <c r="B1626" s="329" t="s">
        <v>2209</v>
      </c>
      <c r="D1626" s="11" t="b">
        <f t="shared" si="164"/>
        <v>1</v>
      </c>
      <c r="H1626" s="11" t="b">
        <f t="shared" si="161"/>
        <v>0</v>
      </c>
      <c r="I1626" s="11" t="s">
        <v>2021</v>
      </c>
      <c r="K1626" s="11" t="b">
        <v>1</v>
      </c>
    </row>
    <row r="1627" spans="1:11">
      <c r="A1627" s="11" t="s">
        <v>316</v>
      </c>
      <c r="B1627" s="333" t="s">
        <v>316</v>
      </c>
      <c r="D1627" s="11" t="b">
        <f t="shared" si="164"/>
        <v>1</v>
      </c>
      <c r="H1627" s="11" t="b">
        <f t="shared" si="161"/>
        <v>0</v>
      </c>
      <c r="K1627" s="11" t="b">
        <v>1</v>
      </c>
    </row>
    <row r="1628" spans="1:11">
      <c r="A1628" s="11" t="s">
        <v>2041</v>
      </c>
      <c r="B1628" s="310" t="str">
        <f>报表附注!E1893</f>
        <v>1年以内(含1年)</v>
      </c>
      <c r="C1628" s="318">
        <f t="shared" ref="C1628:C1638" si="165">J1616</f>
        <v>4711102.57</v>
      </c>
      <c r="D1628" s="11" t="b">
        <f t="shared" si="164"/>
        <v>1</v>
      </c>
      <c r="E1628" s="311"/>
      <c r="H1628" s="11" t="b">
        <f t="shared" si="161"/>
        <v>0</v>
      </c>
      <c r="I1628" s="11" t="s">
        <v>2210</v>
      </c>
      <c r="K1628" s="11" t="b">
        <v>1</v>
      </c>
    </row>
    <row r="1629" spans="1:11">
      <c r="A1629" s="11" t="s">
        <v>2042</v>
      </c>
      <c r="B1629" s="310" t="str">
        <f>报表附注!E1894</f>
        <v>1-2年(含2年)</v>
      </c>
      <c r="C1629" s="318">
        <f t="shared" si="165"/>
        <v>0</v>
      </c>
      <c r="D1629" s="11" t="b">
        <f t="shared" si="164"/>
        <v>1</v>
      </c>
      <c r="E1629" s="311"/>
      <c r="H1629" s="11" t="b">
        <f t="shared" si="161"/>
        <v>0</v>
      </c>
      <c r="I1629" s="11" t="s">
        <v>2020</v>
      </c>
      <c r="J1629" s="323">
        <v>579557.2</v>
      </c>
      <c r="K1629" s="11" t="b">
        <v>1</v>
      </c>
    </row>
    <row r="1630" spans="1:11">
      <c r="A1630" s="11" t="s">
        <v>2043</v>
      </c>
      <c r="B1630" s="310" t="str">
        <f>报表附注!E1895</f>
        <v>2-3年(含3年)</v>
      </c>
      <c r="C1630" s="318">
        <f t="shared" si="165"/>
        <v>0</v>
      </c>
      <c r="D1630" s="11" t="b">
        <f t="shared" si="164"/>
        <v>1</v>
      </c>
      <c r="E1630" s="311"/>
      <c r="H1630" s="11" t="b">
        <f t="shared" si="161"/>
        <v>0</v>
      </c>
      <c r="I1630" s="11" t="s">
        <v>1053</v>
      </c>
      <c r="J1630" s="323">
        <v>579557.2</v>
      </c>
      <c r="K1630" s="11" t="b">
        <v>1</v>
      </c>
    </row>
    <row r="1631" spans="1:11">
      <c r="A1631" s="11" t="s">
        <v>2044</v>
      </c>
      <c r="B1631" s="310" t="str">
        <f>报表附注!E1896</f>
        <v>3年以上 </v>
      </c>
      <c r="C1631" s="318">
        <f t="shared" si="165"/>
        <v>0</v>
      </c>
      <c r="D1631" s="11" t="b">
        <f t="shared" si="164"/>
        <v>1</v>
      </c>
      <c r="E1631" s="311"/>
      <c r="H1631" s="11" t="b">
        <f t="shared" si="161"/>
        <v>0</v>
      </c>
      <c r="I1631" s="11" t="s">
        <v>1055</v>
      </c>
      <c r="K1631" s="11" t="b">
        <v>1</v>
      </c>
    </row>
    <row r="1632" spans="1:11">
      <c r="A1632" s="11" t="s">
        <v>2021</v>
      </c>
      <c r="B1632" s="320" t="str">
        <f>报表附注!E1897</f>
        <v>合计</v>
      </c>
      <c r="C1632" s="318">
        <f t="shared" si="165"/>
        <v>0</v>
      </c>
      <c r="D1632" s="11" t="b">
        <f t="shared" si="164"/>
        <v>1</v>
      </c>
      <c r="E1632" s="311"/>
      <c r="H1632" s="11" t="b">
        <f t="shared" si="161"/>
        <v>0</v>
      </c>
      <c r="I1632" s="11" t="s">
        <v>1057</v>
      </c>
      <c r="K1632" s="11" t="b">
        <v>1</v>
      </c>
    </row>
    <row r="1633" spans="1:11">
      <c r="A1633" s="11" t="s">
        <v>2020</v>
      </c>
      <c r="B1633" s="333" t="s">
        <v>2020</v>
      </c>
      <c r="C1633" s="328">
        <f t="shared" si="165"/>
        <v>0</v>
      </c>
      <c r="D1633" s="11" t="b">
        <f t="shared" si="164"/>
        <v>1</v>
      </c>
      <c r="H1633" s="11" t="b">
        <f t="shared" si="161"/>
        <v>0</v>
      </c>
      <c r="I1633" s="11" t="s">
        <v>2211</v>
      </c>
      <c r="J1633" s="368"/>
      <c r="K1633" s="11" t="b">
        <v>1</v>
      </c>
    </row>
    <row r="1634" spans="1:11">
      <c r="A1634" s="11" t="s">
        <v>2041</v>
      </c>
      <c r="B1634" s="310" t="str">
        <f>报表附注!E1893</f>
        <v>1年以内(含1年)</v>
      </c>
      <c r="C1634" s="321">
        <f t="shared" si="165"/>
        <v>0</v>
      </c>
      <c r="D1634" s="11" t="b">
        <f t="shared" si="164"/>
        <v>1</v>
      </c>
      <c r="E1634" s="321">
        <f>C1628</f>
        <v>4711102.57</v>
      </c>
      <c r="H1634" s="11" t="b">
        <f t="shared" si="161"/>
        <v>0</v>
      </c>
      <c r="I1634" s="11" t="s">
        <v>2212</v>
      </c>
      <c r="J1634" s="369"/>
      <c r="K1634" s="11" t="b">
        <v>1</v>
      </c>
    </row>
    <row r="1635" spans="1:11">
      <c r="A1635" s="11" t="s">
        <v>2042</v>
      </c>
      <c r="B1635" s="310" t="str">
        <f>报表附注!E1894</f>
        <v>1-2年(含2年)</v>
      </c>
      <c r="C1635" s="321">
        <f t="shared" si="165"/>
        <v>0</v>
      </c>
      <c r="D1635" s="11" t="b">
        <f t="shared" si="164"/>
        <v>1</v>
      </c>
      <c r="E1635" s="321">
        <f t="shared" ref="E1635:E1638" si="166">C1629</f>
        <v>0</v>
      </c>
      <c r="H1635" s="11" t="b">
        <f t="shared" si="161"/>
        <v>0</v>
      </c>
      <c r="I1635" s="11" t="s">
        <v>2213</v>
      </c>
      <c r="J1635" s="369"/>
      <c r="K1635" s="11" t="b">
        <v>1</v>
      </c>
    </row>
    <row r="1636" spans="1:11">
      <c r="A1636" s="11" t="s">
        <v>2043</v>
      </c>
      <c r="B1636" s="310" t="str">
        <f>报表附注!E1895</f>
        <v>2-3年(含3年)</v>
      </c>
      <c r="C1636" s="321">
        <f t="shared" si="165"/>
        <v>0</v>
      </c>
      <c r="D1636" s="11" t="b">
        <f t="shared" si="164"/>
        <v>1</v>
      </c>
      <c r="E1636" s="321">
        <f t="shared" si="166"/>
        <v>0</v>
      </c>
      <c r="H1636" s="11" t="b">
        <f t="shared" si="161"/>
        <v>0</v>
      </c>
      <c r="I1636" s="11" t="s">
        <v>2214</v>
      </c>
      <c r="J1636" s="369"/>
      <c r="K1636" s="11" t="b">
        <v>1</v>
      </c>
    </row>
    <row r="1637" spans="1:11">
      <c r="A1637" s="11" t="s">
        <v>2044</v>
      </c>
      <c r="B1637" s="310" t="str">
        <f>报表附注!E1896</f>
        <v>3年以上 </v>
      </c>
      <c r="C1637" s="321">
        <f t="shared" si="165"/>
        <v>0</v>
      </c>
      <c r="D1637" s="11" t="b">
        <f t="shared" si="164"/>
        <v>1</v>
      </c>
      <c r="E1637" s="321">
        <f t="shared" si="166"/>
        <v>0</v>
      </c>
      <c r="H1637" s="11" t="b">
        <f t="shared" si="161"/>
        <v>0</v>
      </c>
      <c r="I1637" s="11" t="s">
        <v>2215</v>
      </c>
      <c r="J1637" s="368"/>
      <c r="K1637" s="11" t="b">
        <v>1</v>
      </c>
    </row>
    <row r="1638" spans="1:11">
      <c r="A1638" s="11" t="s">
        <v>2021</v>
      </c>
      <c r="B1638" s="320" t="str">
        <f>报表附注!E1897</f>
        <v>合计</v>
      </c>
      <c r="C1638" s="321">
        <f t="shared" si="165"/>
        <v>0</v>
      </c>
      <c r="D1638" s="11" t="b">
        <f t="shared" si="164"/>
        <v>1</v>
      </c>
      <c r="E1638" s="321">
        <f t="shared" si="166"/>
        <v>0</v>
      </c>
      <c r="H1638" s="11" t="b">
        <f t="shared" si="161"/>
        <v>0</v>
      </c>
      <c r="I1638" s="11" t="s">
        <v>2216</v>
      </c>
      <c r="J1638" s="368"/>
      <c r="K1638" s="11" t="b">
        <v>1</v>
      </c>
    </row>
    <row r="1639" spans="4:11">
      <c r="D1639" s="11" t="b">
        <f t="shared" si="164"/>
        <v>1</v>
      </c>
      <c r="H1639" s="11" t="b">
        <f t="shared" si="161"/>
        <v>0</v>
      </c>
      <c r="I1639" s="11" t="s">
        <v>1071</v>
      </c>
      <c r="K1639" s="11" t="b">
        <v>1</v>
      </c>
    </row>
    <row r="1640" spans="1:11">
      <c r="A1640" s="11" t="s">
        <v>2210</v>
      </c>
      <c r="B1640" s="329" t="s">
        <v>2210</v>
      </c>
      <c r="D1640" s="11" t="b">
        <f t="shared" si="164"/>
        <v>1</v>
      </c>
      <c r="H1640" s="11" t="b">
        <f t="shared" si="161"/>
        <v>0</v>
      </c>
      <c r="I1640" s="11" t="s">
        <v>2217</v>
      </c>
      <c r="J1640" s="370"/>
      <c r="K1640" s="11" t="b">
        <v>1</v>
      </c>
    </row>
    <row r="1641" spans="1:11">
      <c r="A1641" s="11" t="s">
        <v>2020</v>
      </c>
      <c r="B1641" s="333" t="s">
        <v>2020</v>
      </c>
      <c r="D1641" s="11" t="b">
        <f t="shared" si="164"/>
        <v>1</v>
      </c>
      <c r="H1641" s="11" t="b">
        <f t="shared" si="161"/>
        <v>0</v>
      </c>
      <c r="I1641" s="11" t="s">
        <v>2218</v>
      </c>
      <c r="J1641" s="370"/>
      <c r="K1641" s="11" t="b">
        <v>1</v>
      </c>
    </row>
    <row r="1642" spans="1:11">
      <c r="A1642" s="11" t="s">
        <v>1053</v>
      </c>
      <c r="B1642" s="310" t="str">
        <f>报表附注!E1954</f>
        <v>一、短期薪酬</v>
      </c>
      <c r="C1642" s="367">
        <f>C1643+C1644+C1645+C1649+C1650+C1651+C1652+C1653</f>
        <v>579557.2</v>
      </c>
      <c r="D1642" s="11" t="b">
        <f t="shared" si="164"/>
        <v>0</v>
      </c>
      <c r="E1642" s="321">
        <f>C1726</f>
        <v>1116508.51</v>
      </c>
      <c r="H1642" s="11" t="b">
        <f t="shared" si="161"/>
        <v>0</v>
      </c>
      <c r="I1642" s="11" t="s">
        <v>2219</v>
      </c>
      <c r="K1642" s="11" t="b">
        <v>1</v>
      </c>
    </row>
    <row r="1643" spans="1:11">
      <c r="A1643" s="11" t="s">
        <v>1055</v>
      </c>
      <c r="B1643" s="310" t="str">
        <f>报表附注!E1955</f>
        <v>    1、工资、奖金、津贴和补贴</v>
      </c>
      <c r="C1643" s="321">
        <f>J1630</f>
        <v>579557.2</v>
      </c>
      <c r="D1643" s="11" t="b">
        <f t="shared" si="164"/>
        <v>0</v>
      </c>
      <c r="E1643" s="321">
        <f>C1727</f>
        <v>1116508.51</v>
      </c>
      <c r="H1643" s="11" t="b">
        <f t="shared" si="161"/>
        <v>0</v>
      </c>
      <c r="I1643" s="11" t="s">
        <v>2220</v>
      </c>
      <c r="K1643" s="11" t="b">
        <v>1</v>
      </c>
    </row>
    <row r="1644" spans="1:11">
      <c r="A1644" s="11" t="s">
        <v>1057</v>
      </c>
      <c r="B1644" s="310" t="str">
        <f>报表附注!E1956</f>
        <v>    2、职工福利费</v>
      </c>
      <c r="C1644" s="321">
        <f>J1631</f>
        <v>0</v>
      </c>
      <c r="D1644" s="11" t="b">
        <f t="shared" si="164"/>
        <v>0</v>
      </c>
      <c r="E1644" s="321">
        <f t="shared" ref="E1644:E1668" si="167">C1728</f>
        <v>0</v>
      </c>
      <c r="H1644" s="11" t="b">
        <f t="shared" si="161"/>
        <v>0</v>
      </c>
      <c r="I1644" s="11" t="s">
        <v>2221</v>
      </c>
      <c r="K1644" s="11" t="b">
        <v>1</v>
      </c>
    </row>
    <row r="1645" spans="1:11">
      <c r="A1645" s="11" t="s">
        <v>2211</v>
      </c>
      <c r="B1645" s="310" t="str">
        <f>报表附注!E1957</f>
        <v>    3、社会保险费</v>
      </c>
      <c r="C1645" s="321">
        <f>J1632</f>
        <v>0</v>
      </c>
      <c r="D1645" s="11" t="b">
        <f t="shared" si="164"/>
        <v>0</v>
      </c>
      <c r="E1645" s="321">
        <f t="shared" si="167"/>
        <v>0</v>
      </c>
      <c r="H1645" s="11" t="b">
        <f t="shared" si="161"/>
        <v>0</v>
      </c>
      <c r="I1645" s="11" t="s">
        <v>2222</v>
      </c>
      <c r="K1645" s="11" t="b">
        <v>1</v>
      </c>
    </row>
    <row r="1646" spans="1:11">
      <c r="A1646" s="11" t="s">
        <v>2212</v>
      </c>
      <c r="B1646" s="310" t="str">
        <f>报表附注!E1958</f>
        <v>     （1）医疗保险费</v>
      </c>
      <c r="C1646" s="321">
        <f>J1633</f>
        <v>0</v>
      </c>
      <c r="D1646" s="11" t="b">
        <f t="shared" si="164"/>
        <v>0</v>
      </c>
      <c r="E1646" s="321">
        <f t="shared" si="167"/>
        <v>0</v>
      </c>
      <c r="H1646" s="11" t="b">
        <f t="shared" si="161"/>
        <v>0</v>
      </c>
      <c r="I1646" s="11" t="s">
        <v>1207</v>
      </c>
      <c r="J1646" s="323">
        <f>J1630</f>
        <v>579557.2</v>
      </c>
      <c r="K1646" s="11" t="b">
        <v>1</v>
      </c>
    </row>
    <row r="1647" spans="1:11">
      <c r="A1647" s="11" t="s">
        <v>2213</v>
      </c>
      <c r="B1647" s="310" t="str">
        <f>报表附注!E1959</f>
        <v>     （2）工伤保险费</v>
      </c>
      <c r="C1647" s="321">
        <f>J1637</f>
        <v>0</v>
      </c>
      <c r="D1647" s="11" t="b">
        <f t="shared" si="164"/>
        <v>0</v>
      </c>
      <c r="E1647" s="321">
        <f t="shared" si="167"/>
        <v>0</v>
      </c>
      <c r="H1647" s="11" t="b">
        <f t="shared" si="161"/>
        <v>0</v>
      </c>
      <c r="I1647" s="11" t="s">
        <v>672</v>
      </c>
      <c r="J1647" s="323">
        <f>SUM(J1648:J1650,J1657:J1662)</f>
        <v>6731725.71</v>
      </c>
      <c r="K1647" s="11" t="b">
        <v>1</v>
      </c>
    </row>
    <row r="1648" spans="1:11">
      <c r="A1648" s="11" t="s">
        <v>2214</v>
      </c>
      <c r="B1648" s="310" t="str">
        <f>报表附注!E1960</f>
        <v>     （3）生育保险费</v>
      </c>
      <c r="C1648" s="321">
        <f>J1638</f>
        <v>0</v>
      </c>
      <c r="D1648" s="11" t="b">
        <f t="shared" si="164"/>
        <v>0</v>
      </c>
      <c r="E1648" s="321">
        <f t="shared" si="167"/>
        <v>0</v>
      </c>
      <c r="H1648" s="11" t="b">
        <f t="shared" si="161"/>
        <v>0</v>
      </c>
      <c r="I1648" s="11" t="s">
        <v>1053</v>
      </c>
      <c r="J1648" s="323">
        <f>5808460.6+500000</f>
        <v>6308460.6</v>
      </c>
      <c r="K1648" s="11" t="b">
        <v>1</v>
      </c>
    </row>
    <row r="1649" spans="1:11">
      <c r="A1649" s="11" t="s">
        <v>2215</v>
      </c>
      <c r="B1649" s="310" t="str">
        <f>报表附注!E1961</f>
        <v>    4、住房公积金</v>
      </c>
      <c r="C1649" s="321">
        <f>J1639</f>
        <v>0</v>
      </c>
      <c r="D1649" s="11" t="b">
        <f t="shared" si="164"/>
        <v>0</v>
      </c>
      <c r="E1649" s="321">
        <f t="shared" si="167"/>
        <v>0</v>
      </c>
      <c r="H1649" s="11" t="b">
        <f t="shared" si="161"/>
        <v>0</v>
      </c>
      <c r="I1649" s="11" t="s">
        <v>1055</v>
      </c>
      <c r="J1649" s="323">
        <v>23000</v>
      </c>
      <c r="K1649" s="11" t="b">
        <v>1</v>
      </c>
    </row>
    <row r="1650" spans="1:11">
      <c r="A1650" s="11" t="s">
        <v>2216</v>
      </c>
      <c r="B1650" s="310" t="str">
        <f>报表附注!E1962</f>
        <v>    5、工会经费和职工教育经费</v>
      </c>
      <c r="C1650" s="321">
        <f>J1640+J1641</f>
        <v>0</v>
      </c>
      <c r="D1650" s="11" t="b">
        <f t="shared" si="164"/>
        <v>0</v>
      </c>
      <c r="E1650" s="321">
        <f t="shared" si="167"/>
        <v>0</v>
      </c>
      <c r="H1650" s="11" t="b">
        <f t="shared" si="161"/>
        <v>0</v>
      </c>
      <c r="I1650" s="11" t="s">
        <v>1057</v>
      </c>
      <c r="J1650" s="323">
        <f>SUM(J1651:J1656)</f>
        <v>336258.11</v>
      </c>
      <c r="K1650" s="11" t="b">
        <v>1</v>
      </c>
    </row>
    <row r="1651" spans="1:11">
      <c r="A1651" s="11" t="s">
        <v>1071</v>
      </c>
      <c r="B1651" s="310" t="str">
        <f>报表附注!E1963</f>
        <v>    6、短期带薪缺勤</v>
      </c>
      <c r="C1651" s="321"/>
      <c r="D1651" s="11" t="b">
        <f t="shared" si="164"/>
        <v>0</v>
      </c>
      <c r="E1651" s="321">
        <f t="shared" si="167"/>
        <v>0</v>
      </c>
      <c r="H1651" s="11" t="b">
        <f t="shared" si="161"/>
        <v>0</v>
      </c>
      <c r="I1651" s="11" t="s">
        <v>2211</v>
      </c>
      <c r="J1651" s="323">
        <v>57106.72</v>
      </c>
      <c r="K1651" s="11" t="b">
        <v>1</v>
      </c>
    </row>
    <row r="1652" spans="1:11">
      <c r="A1652" s="11" t="s">
        <v>2217</v>
      </c>
      <c r="B1652" s="310" t="str">
        <f>报表附注!E1964</f>
        <v>    7、短期利润分享计划</v>
      </c>
      <c r="C1652" s="321"/>
      <c r="D1652" s="11" t="b">
        <f t="shared" si="164"/>
        <v>0</v>
      </c>
      <c r="E1652" s="321">
        <f t="shared" si="167"/>
        <v>0</v>
      </c>
      <c r="H1652" s="11" t="b">
        <f t="shared" si="161"/>
        <v>0</v>
      </c>
      <c r="I1652" s="11" t="s">
        <v>2212</v>
      </c>
      <c r="J1652" s="323">
        <v>243766.89</v>
      </c>
      <c r="K1652" s="11" t="b">
        <v>1</v>
      </c>
    </row>
    <row r="1653" spans="1:11">
      <c r="A1653" s="11" t="s">
        <v>2218</v>
      </c>
      <c r="B1653" s="310" t="str">
        <f>报表附注!E1965</f>
        <v>    8、其他短期薪酬</v>
      </c>
      <c r="C1653" s="321"/>
      <c r="D1653" s="11" t="b">
        <f t="shared" si="164"/>
        <v>0</v>
      </c>
      <c r="E1653" s="321">
        <f t="shared" si="167"/>
        <v>0</v>
      </c>
      <c r="H1653" s="11" t="b">
        <f t="shared" si="161"/>
        <v>0</v>
      </c>
      <c r="I1653" s="11" t="s">
        <v>2213</v>
      </c>
      <c r="K1653" s="11" t="b">
        <v>1</v>
      </c>
    </row>
    <row r="1654" spans="1:11">
      <c r="A1654" s="11" t="s">
        <v>2219</v>
      </c>
      <c r="B1654" s="310">
        <f>报表附注!E1966</f>
        <v>0</v>
      </c>
      <c r="C1654" s="321"/>
      <c r="D1654" s="11" t="b">
        <f t="shared" si="164"/>
        <v>0</v>
      </c>
      <c r="E1654" s="321">
        <f t="shared" si="167"/>
        <v>0</v>
      </c>
      <c r="H1654" s="11" t="b">
        <f t="shared" si="161"/>
        <v>0</v>
      </c>
      <c r="I1654" s="11" t="s">
        <v>2214</v>
      </c>
      <c r="J1654" s="323">
        <v>17899.42</v>
      </c>
      <c r="K1654" s="11" t="b">
        <v>1</v>
      </c>
    </row>
    <row r="1655" spans="1:11">
      <c r="A1655" s="11" t="s">
        <v>2220</v>
      </c>
      <c r="B1655" s="310" t="str">
        <f>报表附注!E1967</f>
        <v>二、离职后福利-设定提存计划</v>
      </c>
      <c r="C1655" s="321"/>
      <c r="D1655" s="11" t="b">
        <f t="shared" si="164"/>
        <v>0</v>
      </c>
      <c r="E1655" s="321">
        <f t="shared" si="167"/>
        <v>0</v>
      </c>
      <c r="H1655" s="11" t="b">
        <f t="shared" si="161"/>
        <v>0</v>
      </c>
      <c r="I1655" s="11" t="s">
        <v>2215</v>
      </c>
      <c r="J1655" s="323">
        <v>3429.77</v>
      </c>
      <c r="K1655" s="11" t="b">
        <v>1</v>
      </c>
    </row>
    <row r="1656" spans="1:11">
      <c r="A1656" s="11" t="s">
        <v>2221</v>
      </c>
      <c r="B1656" s="310" t="str">
        <f>报表附注!E1968</f>
        <v>  1、基本养老保险</v>
      </c>
      <c r="C1656" s="321">
        <f>J1634</f>
        <v>0</v>
      </c>
      <c r="D1656" s="11" t="b">
        <f t="shared" si="164"/>
        <v>0</v>
      </c>
      <c r="E1656" s="321">
        <f t="shared" si="167"/>
        <v>0</v>
      </c>
      <c r="H1656" s="11" t="b">
        <f t="shared" si="161"/>
        <v>0</v>
      </c>
      <c r="I1656" s="11" t="s">
        <v>2216</v>
      </c>
      <c r="J1656" s="323">
        <v>14055.31</v>
      </c>
      <c r="K1656" s="11" t="b">
        <v>1</v>
      </c>
    </row>
    <row r="1657" spans="1:11">
      <c r="A1657" s="11" t="s">
        <v>2222</v>
      </c>
      <c r="B1657" s="310" t="str">
        <f>报表附注!E1969</f>
        <v>    2、失业保险费</v>
      </c>
      <c r="C1657" s="321">
        <f>J1636</f>
        <v>0</v>
      </c>
      <c r="D1657" s="11" t="b">
        <f t="shared" si="164"/>
        <v>0</v>
      </c>
      <c r="E1657" s="321">
        <f t="shared" si="167"/>
        <v>0</v>
      </c>
      <c r="H1657" s="11" t="b">
        <f t="shared" si="161"/>
        <v>0</v>
      </c>
      <c r="I1657" s="11" t="s">
        <v>1071</v>
      </c>
      <c r="J1657" s="323">
        <v>63815</v>
      </c>
      <c r="K1657" s="11" t="b">
        <v>1</v>
      </c>
    </row>
    <row r="1658" spans="2:11">
      <c r="B1658" s="310" t="str">
        <f>报表附注!E1970</f>
        <v>    3、企业年金缴费</v>
      </c>
      <c r="C1658" s="321">
        <f>J1635</f>
        <v>0</v>
      </c>
      <c r="D1658" s="11" t="b">
        <f t="shared" ref="D1658:D1667" si="168">EXACT(A1658,B1658)</f>
        <v>0</v>
      </c>
      <c r="E1658" s="321">
        <f t="shared" si="167"/>
        <v>0</v>
      </c>
      <c r="H1658" s="11" t="b">
        <f t="shared" si="161"/>
        <v>0</v>
      </c>
      <c r="I1658" s="11" t="s">
        <v>2217</v>
      </c>
      <c r="J1658" s="323">
        <v>192</v>
      </c>
      <c r="K1658" s="11" t="b">
        <v>1</v>
      </c>
    </row>
    <row r="1659" spans="2:11">
      <c r="B1659" s="310" t="str">
        <f>报表附注!E1971</f>
        <v>    4、其他</v>
      </c>
      <c r="C1659" s="321"/>
      <c r="D1659" s="11" t="b">
        <f t="shared" si="168"/>
        <v>0</v>
      </c>
      <c r="E1659" s="321">
        <f t="shared" si="167"/>
        <v>0</v>
      </c>
      <c r="H1659" s="11" t="b">
        <f t="shared" si="161"/>
        <v>0</v>
      </c>
      <c r="I1659" s="11" t="s">
        <v>2218</v>
      </c>
      <c r="K1659" s="11" t="b">
        <v>1</v>
      </c>
    </row>
    <row r="1660" spans="2:11">
      <c r="B1660" s="310">
        <f>报表附注!E1972</f>
        <v>0</v>
      </c>
      <c r="C1660" s="321"/>
      <c r="D1660" s="11" t="b">
        <f t="shared" si="168"/>
        <v>0</v>
      </c>
      <c r="E1660" s="321">
        <f t="shared" si="167"/>
        <v>0</v>
      </c>
      <c r="H1660" s="11" t="b">
        <f t="shared" si="161"/>
        <v>0</v>
      </c>
      <c r="I1660" s="11" t="s">
        <v>2219</v>
      </c>
      <c r="K1660" s="11" t="b">
        <v>1</v>
      </c>
    </row>
    <row r="1661" spans="2:11">
      <c r="B1661" s="310" t="str">
        <f>报表附注!E1973</f>
        <v>三、辞退福利</v>
      </c>
      <c r="C1661" s="321"/>
      <c r="D1661" s="11" t="b">
        <f t="shared" si="168"/>
        <v>0</v>
      </c>
      <c r="E1661" s="321">
        <f t="shared" si="167"/>
        <v>0</v>
      </c>
      <c r="H1661" s="11" t="b">
        <f t="shared" si="161"/>
        <v>0</v>
      </c>
      <c r="I1661" s="11" t="s">
        <v>2220</v>
      </c>
      <c r="K1661" s="11" t="b">
        <v>1</v>
      </c>
    </row>
    <row r="1662" spans="2:11">
      <c r="B1662" s="310" t="str">
        <f>报表附注!E1974</f>
        <v>    1、因解除劳动关系给予的补偿</v>
      </c>
      <c r="C1662" s="321">
        <f>J1643</f>
        <v>0</v>
      </c>
      <c r="D1662" s="11" t="b">
        <f t="shared" si="168"/>
        <v>0</v>
      </c>
      <c r="E1662" s="321">
        <f t="shared" si="167"/>
        <v>0</v>
      </c>
      <c r="H1662" s="11" t="b">
        <f t="shared" si="161"/>
        <v>0</v>
      </c>
      <c r="I1662" s="11" t="s">
        <v>2221</v>
      </c>
      <c r="K1662" s="11" t="b">
        <v>1</v>
      </c>
    </row>
    <row r="1663" spans="2:11">
      <c r="B1663" s="310" t="str">
        <f>报表附注!E1975</f>
        <v>    2、其他</v>
      </c>
      <c r="C1663" s="321">
        <f>J1644</f>
        <v>0</v>
      </c>
      <c r="D1663" s="11" t="b">
        <f t="shared" si="168"/>
        <v>0</v>
      </c>
      <c r="E1663" s="321">
        <f t="shared" si="167"/>
        <v>0</v>
      </c>
      <c r="H1663" s="11" t="b">
        <f t="shared" si="161"/>
        <v>0</v>
      </c>
      <c r="I1663" s="11" t="s">
        <v>2222</v>
      </c>
      <c r="K1663" s="11" t="b">
        <v>1</v>
      </c>
    </row>
    <row r="1664" spans="2:11">
      <c r="B1664" s="310">
        <f>报表附注!E1976</f>
        <v>0</v>
      </c>
      <c r="C1664" s="321"/>
      <c r="D1664" s="11" t="b">
        <f t="shared" si="168"/>
        <v>0</v>
      </c>
      <c r="E1664" s="321">
        <f t="shared" si="167"/>
        <v>0</v>
      </c>
      <c r="H1664" s="11" t="b">
        <f t="shared" si="161"/>
        <v>0</v>
      </c>
      <c r="I1664" s="11" t="s">
        <v>1207</v>
      </c>
      <c r="J1664" s="323">
        <f>J1647</f>
        <v>6731725.71</v>
      </c>
      <c r="K1664" s="11" t="b">
        <v>1</v>
      </c>
    </row>
    <row r="1665" spans="2:11">
      <c r="B1665" s="310" t="str">
        <f>报表附注!E1977</f>
        <v>四、一年内到期的其他福利</v>
      </c>
      <c r="C1665" s="321"/>
      <c r="D1665" s="11" t="b">
        <f t="shared" si="168"/>
        <v>0</v>
      </c>
      <c r="E1665" s="321">
        <f t="shared" si="167"/>
        <v>0</v>
      </c>
      <c r="H1665" s="11" t="b">
        <f t="shared" si="161"/>
        <v>0</v>
      </c>
      <c r="I1665" s="11" t="s">
        <v>2223</v>
      </c>
      <c r="J1665" s="323">
        <f>SUM(J1666:J1668,J1675:J1680)</f>
        <v>6197774.4</v>
      </c>
      <c r="K1665" s="11" t="b">
        <v>1</v>
      </c>
    </row>
    <row r="1666" spans="2:11">
      <c r="B1666" s="310" t="str">
        <f>报表附注!E1978</f>
        <v>    1、项目1</v>
      </c>
      <c r="C1666" s="321"/>
      <c r="D1666" s="11" t="b">
        <f t="shared" si="168"/>
        <v>0</v>
      </c>
      <c r="E1666" s="321">
        <f t="shared" si="167"/>
        <v>0</v>
      </c>
      <c r="H1666" s="11" t="b">
        <f t="shared" si="161"/>
        <v>0</v>
      </c>
      <c r="I1666" s="11" t="s">
        <v>1053</v>
      </c>
      <c r="J1666" s="323">
        <f>5785669.29-11160</f>
        <v>5774509.29</v>
      </c>
      <c r="K1666" s="11" t="b">
        <v>1</v>
      </c>
    </row>
    <row r="1667" spans="2:11">
      <c r="B1667" s="310" t="str">
        <f>报表附注!E1979</f>
        <v>    2、项目2</v>
      </c>
      <c r="C1667" s="321"/>
      <c r="D1667" s="11" t="b">
        <f t="shared" si="168"/>
        <v>0</v>
      </c>
      <c r="E1667" s="321">
        <f t="shared" si="167"/>
        <v>0</v>
      </c>
      <c r="H1667" s="11" t="b">
        <f t="shared" si="161"/>
        <v>0</v>
      </c>
      <c r="I1667" s="11" t="s">
        <v>1055</v>
      </c>
      <c r="J1667" s="323">
        <v>23000</v>
      </c>
      <c r="K1667" s="11" t="b">
        <v>1</v>
      </c>
    </row>
    <row r="1668" spans="1:11">
      <c r="A1668" s="11" t="s">
        <v>1207</v>
      </c>
      <c r="B1668" s="320" t="str">
        <f>报表附注!E1980</f>
        <v>合  计</v>
      </c>
      <c r="C1668" s="321">
        <f>J1646</f>
        <v>579557.2</v>
      </c>
      <c r="D1668" s="11" t="b">
        <f t="shared" si="164"/>
        <v>1</v>
      </c>
      <c r="E1668" s="321">
        <f t="shared" si="167"/>
        <v>1116508.51</v>
      </c>
      <c r="H1668" s="11" t="b">
        <f t="shared" ref="H1668:H1731" si="169">I1668=B1668</f>
        <v>0</v>
      </c>
      <c r="I1668" s="11" t="s">
        <v>1057</v>
      </c>
      <c r="J1668" s="323">
        <v>336258.11</v>
      </c>
      <c r="K1668" s="11" t="b">
        <v>1</v>
      </c>
    </row>
    <row r="1669" spans="1:11">
      <c r="A1669" s="11" t="s">
        <v>672</v>
      </c>
      <c r="B1669" s="333" t="s">
        <v>672</v>
      </c>
      <c r="D1669" s="11" t="b">
        <f t="shared" si="164"/>
        <v>1</v>
      </c>
      <c r="H1669" s="11" t="b">
        <f t="shared" si="169"/>
        <v>0</v>
      </c>
      <c r="I1669" s="326" t="s">
        <v>2211</v>
      </c>
      <c r="J1669" s="332">
        <v>57106.72</v>
      </c>
      <c r="K1669" s="11" t="b">
        <v>1</v>
      </c>
    </row>
    <row r="1670" spans="1:11">
      <c r="A1670" s="11" t="s">
        <v>1053</v>
      </c>
      <c r="B1670" s="310" t="str">
        <f>报表附注!E1954</f>
        <v>一、短期薪酬</v>
      </c>
      <c r="C1670" s="321">
        <f>C1671+C1672+C1673+C1677+C1678+C1679+C1680+C1681</f>
        <v>6470059.4</v>
      </c>
      <c r="D1670" s="11" t="b">
        <f t="shared" si="164"/>
        <v>0</v>
      </c>
      <c r="E1670" s="311"/>
      <c r="H1670" s="11" t="b">
        <f t="shared" si="169"/>
        <v>0</v>
      </c>
      <c r="I1670" s="366" t="s">
        <v>2212</v>
      </c>
      <c r="J1670" s="375">
        <v>243766.89</v>
      </c>
      <c r="K1670" s="11" t="b">
        <v>1</v>
      </c>
    </row>
    <row r="1671" spans="1:11">
      <c r="A1671" s="11" t="s">
        <v>1055</v>
      </c>
      <c r="B1671" s="310" t="str">
        <f>报表附注!E1955</f>
        <v>    1、工资、奖金、津贴和补贴</v>
      </c>
      <c r="C1671" s="321">
        <f>J1648</f>
        <v>6308460.6</v>
      </c>
      <c r="D1671" s="11" t="b">
        <f t="shared" si="164"/>
        <v>0</v>
      </c>
      <c r="E1671" s="311"/>
      <c r="H1671" s="11" t="b">
        <f t="shared" si="169"/>
        <v>0</v>
      </c>
      <c r="I1671" s="366" t="s">
        <v>2213</v>
      </c>
      <c r="J1671" s="375"/>
      <c r="K1671" s="11" t="b">
        <v>1</v>
      </c>
    </row>
    <row r="1672" spans="1:11">
      <c r="A1672" s="11" t="s">
        <v>1057</v>
      </c>
      <c r="B1672" s="310" t="str">
        <f>报表附注!E1956</f>
        <v>    2、职工福利费</v>
      </c>
      <c r="C1672" s="321">
        <f>J1649</f>
        <v>23000</v>
      </c>
      <c r="D1672" s="11" t="b">
        <f t="shared" si="164"/>
        <v>0</v>
      </c>
      <c r="E1672" s="311"/>
      <c r="H1672" s="11" t="b">
        <f t="shared" si="169"/>
        <v>0</v>
      </c>
      <c r="I1672" s="366" t="s">
        <v>2214</v>
      </c>
      <c r="J1672" s="375">
        <v>17899.42</v>
      </c>
      <c r="K1672" s="11" t="b">
        <v>1</v>
      </c>
    </row>
    <row r="1673" spans="1:11">
      <c r="A1673" s="11" t="s">
        <v>2211</v>
      </c>
      <c r="B1673" s="310" t="str">
        <f>报表附注!E1957</f>
        <v>    3、社会保险费</v>
      </c>
      <c r="C1673" s="321">
        <f>SUM(C1674:C1676)</f>
        <v>74591.8</v>
      </c>
      <c r="D1673" s="11" t="b">
        <f t="shared" si="164"/>
        <v>0</v>
      </c>
      <c r="E1673" s="311"/>
      <c r="H1673" s="11" t="b">
        <f t="shared" si="169"/>
        <v>0</v>
      </c>
      <c r="I1673" s="11" t="s">
        <v>2215</v>
      </c>
      <c r="J1673" s="323">
        <v>3429.77</v>
      </c>
      <c r="K1673" s="11" t="b">
        <v>1</v>
      </c>
    </row>
    <row r="1674" spans="1:11">
      <c r="A1674" s="11" t="s">
        <v>2212</v>
      </c>
      <c r="B1674" s="310" t="str">
        <f>报表附注!E1958</f>
        <v>     （1）医疗保险费</v>
      </c>
      <c r="C1674" s="371">
        <f>J1651</f>
        <v>57106.72</v>
      </c>
      <c r="D1674" s="11" t="b">
        <f t="shared" si="164"/>
        <v>0</v>
      </c>
      <c r="E1674" s="311"/>
      <c r="H1674" s="11" t="b">
        <f t="shared" si="169"/>
        <v>0</v>
      </c>
      <c r="I1674" s="11" t="s">
        <v>2216</v>
      </c>
      <c r="J1674" s="323">
        <v>14055.31</v>
      </c>
      <c r="K1674" s="11" t="b">
        <v>1</v>
      </c>
    </row>
    <row r="1675" spans="1:11">
      <c r="A1675" s="11" t="s">
        <v>2213</v>
      </c>
      <c r="B1675" s="310" t="str">
        <f>报表附注!E1959</f>
        <v>     （2）工伤保险费</v>
      </c>
      <c r="C1675" s="371">
        <f>J1655</f>
        <v>3429.77</v>
      </c>
      <c r="D1675" s="11" t="b">
        <f t="shared" si="164"/>
        <v>0</v>
      </c>
      <c r="E1675" s="311"/>
      <c r="H1675" s="11" t="b">
        <f t="shared" si="169"/>
        <v>0</v>
      </c>
      <c r="I1675" s="11" t="s">
        <v>1071</v>
      </c>
      <c r="J1675" s="323">
        <v>63815</v>
      </c>
      <c r="K1675" s="11" t="b">
        <v>1</v>
      </c>
    </row>
    <row r="1676" spans="1:11">
      <c r="A1676" s="11" t="s">
        <v>2214</v>
      </c>
      <c r="B1676" s="310" t="str">
        <f>报表附注!E1960</f>
        <v>     （3）生育保险费</v>
      </c>
      <c r="C1676" s="371">
        <f>J1656</f>
        <v>14055.31</v>
      </c>
      <c r="D1676" s="11" t="b">
        <f t="shared" si="164"/>
        <v>0</v>
      </c>
      <c r="E1676" s="311"/>
      <c r="H1676" s="11" t="b">
        <f t="shared" si="169"/>
        <v>0</v>
      </c>
      <c r="I1676" s="11" t="s">
        <v>2217</v>
      </c>
      <c r="J1676" s="323">
        <v>192</v>
      </c>
      <c r="K1676" s="11" t="b">
        <v>1</v>
      </c>
    </row>
    <row r="1677" spans="1:11">
      <c r="A1677" s="11" t="s">
        <v>2215</v>
      </c>
      <c r="B1677" s="310" t="str">
        <f>报表附注!E1961</f>
        <v>    4、住房公积金</v>
      </c>
      <c r="C1677" s="321">
        <f>J1657</f>
        <v>63815</v>
      </c>
      <c r="D1677" s="11" t="b">
        <f t="shared" si="164"/>
        <v>0</v>
      </c>
      <c r="E1677" s="311"/>
      <c r="H1677" s="11" t="b">
        <f t="shared" si="169"/>
        <v>0</v>
      </c>
      <c r="I1677" s="11" t="s">
        <v>2218</v>
      </c>
      <c r="K1677" s="11" t="b">
        <v>1</v>
      </c>
    </row>
    <row r="1678" spans="1:11">
      <c r="A1678" s="11" t="s">
        <v>2216</v>
      </c>
      <c r="B1678" s="310" t="str">
        <f>报表附注!E1962</f>
        <v>    5、工会经费和职工教育经费</v>
      </c>
      <c r="C1678" s="321">
        <f>J1658+J1659</f>
        <v>192</v>
      </c>
      <c r="D1678" s="11" t="b">
        <f t="shared" si="164"/>
        <v>0</v>
      </c>
      <c r="E1678" s="311"/>
      <c r="H1678" s="11" t="b">
        <f t="shared" si="169"/>
        <v>0</v>
      </c>
      <c r="I1678" s="11" t="s">
        <v>2219</v>
      </c>
      <c r="K1678" s="11" t="b">
        <v>1</v>
      </c>
    </row>
    <row r="1679" spans="1:11">
      <c r="A1679" s="11" t="s">
        <v>1071</v>
      </c>
      <c r="B1679" s="310" t="str">
        <f>报表附注!E1963</f>
        <v>    6、短期带薪缺勤</v>
      </c>
      <c r="C1679" s="321"/>
      <c r="D1679" s="11" t="b">
        <f t="shared" si="164"/>
        <v>0</v>
      </c>
      <c r="E1679" s="311"/>
      <c r="H1679" s="11" t="b">
        <f t="shared" si="169"/>
        <v>0</v>
      </c>
      <c r="I1679" s="11" t="s">
        <v>2220</v>
      </c>
      <c r="K1679" s="11" t="b">
        <v>1</v>
      </c>
    </row>
    <row r="1680" spans="1:11">
      <c r="A1680" s="11" t="s">
        <v>2217</v>
      </c>
      <c r="B1680" s="310" t="str">
        <f>报表附注!E1964</f>
        <v>    7、短期利润分享计划</v>
      </c>
      <c r="C1680" s="321"/>
      <c r="D1680" s="11" t="b">
        <f t="shared" si="164"/>
        <v>0</v>
      </c>
      <c r="E1680" s="311"/>
      <c r="H1680" s="11" t="b">
        <f t="shared" si="169"/>
        <v>0</v>
      </c>
      <c r="I1680" s="11" t="s">
        <v>2221</v>
      </c>
      <c r="K1680" s="11" t="b">
        <v>1</v>
      </c>
    </row>
    <row r="1681" spans="1:11">
      <c r="A1681" s="11" t="s">
        <v>2218</v>
      </c>
      <c r="B1681" s="310" t="str">
        <f>报表附注!E1965</f>
        <v>    8、其他短期薪酬</v>
      </c>
      <c r="C1681" s="321"/>
      <c r="D1681" s="11" t="b">
        <f t="shared" si="164"/>
        <v>0</v>
      </c>
      <c r="E1681" s="311"/>
      <c r="H1681" s="11" t="b">
        <f t="shared" si="169"/>
        <v>0</v>
      </c>
      <c r="I1681" s="11" t="s">
        <v>2222</v>
      </c>
      <c r="K1681" s="11" t="b">
        <v>1</v>
      </c>
    </row>
    <row r="1682" spans="1:11">
      <c r="A1682" s="11" t="s">
        <v>2219</v>
      </c>
      <c r="B1682" s="310">
        <f>报表附注!E1966</f>
        <v>0</v>
      </c>
      <c r="C1682" s="321"/>
      <c r="D1682" s="11" t="b">
        <f t="shared" si="164"/>
        <v>0</v>
      </c>
      <c r="E1682" s="311"/>
      <c r="H1682" s="11" t="b">
        <f t="shared" si="169"/>
        <v>0</v>
      </c>
      <c r="I1682" s="11" t="s">
        <v>1207</v>
      </c>
      <c r="J1682" s="323">
        <f>J1665</f>
        <v>6197774.4</v>
      </c>
      <c r="K1682" s="11" t="b">
        <v>1</v>
      </c>
    </row>
    <row r="1683" spans="1:11">
      <c r="A1683" s="11" t="s">
        <v>2220</v>
      </c>
      <c r="B1683" s="310" t="str">
        <f>报表附注!E1967</f>
        <v>二、离职后福利-设定提存计划</v>
      </c>
      <c r="C1683" s="321">
        <f>SUM(C1684:C1687)</f>
        <v>261666.31</v>
      </c>
      <c r="D1683" s="11" t="b">
        <f t="shared" si="164"/>
        <v>0</v>
      </c>
      <c r="E1683" s="311"/>
      <c r="H1683" s="11" t="b">
        <f t="shared" si="169"/>
        <v>0</v>
      </c>
      <c r="I1683" s="11" t="s">
        <v>316</v>
      </c>
      <c r="J1683" s="323">
        <f>SUM(J1684:J1686,J1693:J1698)</f>
        <v>1116508.51</v>
      </c>
      <c r="K1683" s="11" t="b">
        <v>1</v>
      </c>
    </row>
    <row r="1684" spans="1:11">
      <c r="A1684" s="11" t="s">
        <v>2221</v>
      </c>
      <c r="B1684" s="310" t="str">
        <f>报表附注!E1968</f>
        <v>  1、基本养老保险</v>
      </c>
      <c r="C1684" s="321">
        <f>J1652</f>
        <v>243766.89</v>
      </c>
      <c r="D1684" s="11" t="b">
        <f t="shared" si="164"/>
        <v>0</v>
      </c>
      <c r="E1684" s="311"/>
      <c r="H1684" s="11" t="b">
        <f t="shared" si="169"/>
        <v>0</v>
      </c>
      <c r="I1684" s="11" t="s">
        <v>1053</v>
      </c>
      <c r="J1684" s="323">
        <f>J1630+J1648-J1666+3000</f>
        <v>1116508.51</v>
      </c>
      <c r="K1684" s="11" t="b">
        <v>1</v>
      </c>
    </row>
    <row r="1685" spans="1:11">
      <c r="A1685" s="11" t="s">
        <v>2222</v>
      </c>
      <c r="B1685" s="310" t="str">
        <f>报表附注!E1969</f>
        <v>    2、失业保险费</v>
      </c>
      <c r="C1685" s="321">
        <f>J1654</f>
        <v>17899.42</v>
      </c>
      <c r="D1685" s="11" t="b">
        <f t="shared" si="164"/>
        <v>0</v>
      </c>
      <c r="E1685" s="311"/>
      <c r="H1685" s="11" t="b">
        <f t="shared" si="169"/>
        <v>0</v>
      </c>
      <c r="I1685" s="11" t="s">
        <v>1055</v>
      </c>
      <c r="K1685" s="11" t="b">
        <v>1</v>
      </c>
    </row>
    <row r="1686" spans="1:11">
      <c r="A1686" s="366"/>
      <c r="B1686" s="310" t="str">
        <f>报表附注!E1970</f>
        <v>    3、企业年金缴费</v>
      </c>
      <c r="C1686" s="321">
        <f>J1653</f>
        <v>0</v>
      </c>
      <c r="D1686" s="11" t="b">
        <f t="shared" ref="D1686:D1695" si="170">EXACT(A1686,B1686)</f>
        <v>0</v>
      </c>
      <c r="E1686" s="311"/>
      <c r="H1686" s="11" t="b">
        <f t="shared" si="169"/>
        <v>0</v>
      </c>
      <c r="I1686" s="11" t="s">
        <v>1057</v>
      </c>
      <c r="K1686" s="11" t="b">
        <v>1</v>
      </c>
    </row>
    <row r="1687" spans="1:11">
      <c r="A1687" s="366"/>
      <c r="B1687" s="310" t="str">
        <f>报表附注!E1971</f>
        <v>    4、其他</v>
      </c>
      <c r="C1687" s="321"/>
      <c r="D1687" s="11" t="b">
        <f t="shared" si="170"/>
        <v>0</v>
      </c>
      <c r="E1687" s="311"/>
      <c r="H1687" s="11" t="b">
        <f t="shared" si="169"/>
        <v>0</v>
      </c>
      <c r="I1687" s="11" t="s">
        <v>2211</v>
      </c>
      <c r="K1687" s="11" t="b">
        <v>1</v>
      </c>
    </row>
    <row r="1688" spans="1:11">
      <c r="A1688" s="366"/>
      <c r="B1688" s="310">
        <f>报表附注!E1972</f>
        <v>0</v>
      </c>
      <c r="C1688" s="321"/>
      <c r="D1688" s="11" t="b">
        <f t="shared" si="170"/>
        <v>0</v>
      </c>
      <c r="E1688" s="311"/>
      <c r="H1688" s="11" t="b">
        <f t="shared" si="169"/>
        <v>0</v>
      </c>
      <c r="I1688" s="11" t="s">
        <v>2212</v>
      </c>
      <c r="K1688" s="11" t="b">
        <v>1</v>
      </c>
    </row>
    <row r="1689" spans="1:11">
      <c r="A1689" s="366"/>
      <c r="B1689" s="310" t="str">
        <f>报表附注!E1973</f>
        <v>三、辞退福利</v>
      </c>
      <c r="C1689" s="321">
        <f>SUM(C1690:C1691)</f>
        <v>0</v>
      </c>
      <c r="D1689" s="11" t="b">
        <f t="shared" si="170"/>
        <v>0</v>
      </c>
      <c r="E1689" s="311"/>
      <c r="H1689" s="11" t="b">
        <f t="shared" si="169"/>
        <v>0</v>
      </c>
      <c r="I1689" s="11" t="s">
        <v>2213</v>
      </c>
      <c r="K1689" s="11" t="b">
        <v>1</v>
      </c>
    </row>
    <row r="1690" spans="1:11">
      <c r="A1690" s="366"/>
      <c r="B1690" s="310" t="str">
        <f>报表附注!E1974</f>
        <v>    1、因解除劳动关系给予的补偿</v>
      </c>
      <c r="C1690" s="321">
        <f>J1661</f>
        <v>0</v>
      </c>
      <c r="D1690" s="11" t="b">
        <f t="shared" si="170"/>
        <v>0</v>
      </c>
      <c r="E1690" s="311"/>
      <c r="H1690" s="11" t="b">
        <f t="shared" si="169"/>
        <v>0</v>
      </c>
      <c r="I1690" s="11" t="s">
        <v>2214</v>
      </c>
      <c r="K1690" s="11" t="b">
        <v>1</v>
      </c>
    </row>
    <row r="1691" spans="1:11">
      <c r="A1691" s="366"/>
      <c r="B1691" s="310" t="str">
        <f>报表附注!E1975</f>
        <v>    2、其他</v>
      </c>
      <c r="C1691" s="321">
        <f>J1662</f>
        <v>0</v>
      </c>
      <c r="D1691" s="11" t="b">
        <f t="shared" si="170"/>
        <v>0</v>
      </c>
      <c r="E1691" s="311"/>
      <c r="H1691" s="11" t="b">
        <f t="shared" si="169"/>
        <v>0</v>
      </c>
      <c r="I1691" s="11" t="s">
        <v>2215</v>
      </c>
      <c r="K1691" s="11" t="b">
        <v>1</v>
      </c>
    </row>
    <row r="1692" spans="1:11">
      <c r="A1692" s="366"/>
      <c r="B1692" s="310">
        <f>报表附注!E1976</f>
        <v>0</v>
      </c>
      <c r="C1692" s="321"/>
      <c r="D1692" s="11" t="b">
        <f t="shared" si="170"/>
        <v>0</v>
      </c>
      <c r="E1692" s="311"/>
      <c r="H1692" s="11" t="b">
        <f t="shared" si="169"/>
        <v>0</v>
      </c>
      <c r="I1692" s="11" t="s">
        <v>2216</v>
      </c>
      <c r="K1692" s="11" t="b">
        <v>1</v>
      </c>
    </row>
    <row r="1693" spans="1:11">
      <c r="A1693" s="366"/>
      <c r="B1693" s="310" t="str">
        <f>报表附注!E1977</f>
        <v>四、一年内到期的其他福利</v>
      </c>
      <c r="C1693" s="321">
        <f>SUM(C1694:C1695)</f>
        <v>0</v>
      </c>
      <c r="D1693" s="11" t="b">
        <f t="shared" si="170"/>
        <v>0</v>
      </c>
      <c r="E1693" s="311"/>
      <c r="H1693" s="11" t="b">
        <f t="shared" si="169"/>
        <v>0</v>
      </c>
      <c r="I1693" s="11" t="s">
        <v>1071</v>
      </c>
      <c r="K1693" s="11" t="b">
        <v>1</v>
      </c>
    </row>
    <row r="1694" spans="1:11">
      <c r="A1694" s="366"/>
      <c r="B1694" s="310" t="str">
        <f>报表附注!E1978</f>
        <v>    1、项目1</v>
      </c>
      <c r="C1694" s="321"/>
      <c r="D1694" s="11" t="b">
        <f t="shared" si="170"/>
        <v>0</v>
      </c>
      <c r="E1694" s="311"/>
      <c r="H1694" s="11" t="b">
        <f t="shared" si="169"/>
        <v>0</v>
      </c>
      <c r="I1694" s="11" t="s">
        <v>2217</v>
      </c>
      <c r="K1694" s="11" t="b">
        <v>1</v>
      </c>
    </row>
    <row r="1695" spans="1:11">
      <c r="A1695" s="366"/>
      <c r="B1695" s="310" t="str">
        <f>报表附注!E1979</f>
        <v>    2、项目2</v>
      </c>
      <c r="C1695" s="321"/>
      <c r="D1695" s="11" t="b">
        <f t="shared" si="170"/>
        <v>0</v>
      </c>
      <c r="E1695" s="311"/>
      <c r="H1695" s="11" t="b">
        <f t="shared" si="169"/>
        <v>0</v>
      </c>
      <c r="I1695" s="11" t="s">
        <v>2218</v>
      </c>
      <c r="K1695" s="11" t="b">
        <v>1</v>
      </c>
    </row>
    <row r="1696" spans="1:11">
      <c r="A1696" s="11" t="s">
        <v>1207</v>
      </c>
      <c r="B1696" s="320" t="str">
        <f>报表附注!E1980</f>
        <v>合  计</v>
      </c>
      <c r="C1696" s="321">
        <f>C1670+C1683+C1689+C1693</f>
        <v>6731725.71</v>
      </c>
      <c r="D1696" s="11" t="b">
        <f t="shared" si="164"/>
        <v>1</v>
      </c>
      <c r="E1696" s="372">
        <f>C1696-J1664</f>
        <v>0</v>
      </c>
      <c r="H1696" s="11" t="b">
        <f t="shared" si="169"/>
        <v>0</v>
      </c>
      <c r="I1696" s="11" t="s">
        <v>2219</v>
      </c>
      <c r="K1696" s="11" t="b">
        <v>1</v>
      </c>
    </row>
    <row r="1697" spans="1:11">
      <c r="A1697" s="11" t="s">
        <v>2223</v>
      </c>
      <c r="B1697" s="333" t="s">
        <v>2223</v>
      </c>
      <c r="D1697" s="11" t="b">
        <f t="shared" si="164"/>
        <v>1</v>
      </c>
      <c r="E1697" s="326"/>
      <c r="H1697" s="11" t="b">
        <f t="shared" si="169"/>
        <v>0</v>
      </c>
      <c r="I1697" s="11" t="s">
        <v>2220</v>
      </c>
      <c r="K1697" s="11" t="b">
        <v>1</v>
      </c>
    </row>
    <row r="1698" spans="1:11">
      <c r="A1698" s="11" t="s">
        <v>1053</v>
      </c>
      <c r="B1698" s="310" t="str">
        <f>报表附注!E1954</f>
        <v>一、短期薪酬</v>
      </c>
      <c r="C1698" s="321">
        <f>C1699+C1700+C1701+C1705+C1706+C1707+C1708+C1709</f>
        <v>5936108.09</v>
      </c>
      <c r="D1698" s="11" t="b">
        <f t="shared" si="164"/>
        <v>0</v>
      </c>
      <c r="E1698" s="311"/>
      <c r="H1698" s="11" t="b">
        <f t="shared" si="169"/>
        <v>0</v>
      </c>
      <c r="I1698" s="11" t="s">
        <v>2221</v>
      </c>
      <c r="K1698" s="11" t="b">
        <v>1</v>
      </c>
    </row>
    <row r="1699" spans="1:11">
      <c r="A1699" s="11" t="s">
        <v>1055</v>
      </c>
      <c r="B1699" s="310" t="str">
        <f>报表附注!E1955</f>
        <v>    1、工资、奖金、津贴和补贴</v>
      </c>
      <c r="C1699" s="321">
        <f>J1666</f>
        <v>5774509.29</v>
      </c>
      <c r="D1699" s="11" t="b">
        <f t="shared" si="164"/>
        <v>0</v>
      </c>
      <c r="E1699" s="311"/>
      <c r="H1699" s="11" t="b">
        <f t="shared" si="169"/>
        <v>0</v>
      </c>
      <c r="I1699" s="11" t="s">
        <v>2222</v>
      </c>
      <c r="K1699" s="11" t="b">
        <v>1</v>
      </c>
    </row>
    <row r="1700" spans="1:11">
      <c r="A1700" s="11" t="s">
        <v>1057</v>
      </c>
      <c r="B1700" s="310" t="str">
        <f>报表附注!E1956</f>
        <v>    2、职工福利费</v>
      </c>
      <c r="C1700" s="321">
        <f>J1667</f>
        <v>23000</v>
      </c>
      <c r="D1700" s="11" t="b">
        <f t="shared" si="164"/>
        <v>0</v>
      </c>
      <c r="E1700" s="311"/>
      <c r="H1700" s="11" t="b">
        <f t="shared" si="169"/>
        <v>0</v>
      </c>
      <c r="I1700" s="11" t="s">
        <v>1207</v>
      </c>
      <c r="J1700" s="323">
        <f>J1683</f>
        <v>1116508.51</v>
      </c>
      <c r="K1700" s="11" t="b">
        <v>1</v>
      </c>
    </row>
    <row r="1701" spans="1:11">
      <c r="A1701" s="11" t="s">
        <v>2211</v>
      </c>
      <c r="B1701" s="310" t="str">
        <f>报表附注!E1957</f>
        <v>    3、社会保险费</v>
      </c>
      <c r="C1701" s="321">
        <f>SUM(C1702:C1704)</f>
        <v>74591.8</v>
      </c>
      <c r="D1701" s="11" t="b">
        <f t="shared" si="164"/>
        <v>0</v>
      </c>
      <c r="E1701" s="311"/>
      <c r="H1701" s="11" t="b">
        <f t="shared" si="169"/>
        <v>0</v>
      </c>
      <c r="K1701" s="11" t="b">
        <v>1</v>
      </c>
    </row>
    <row r="1702" spans="1:11">
      <c r="A1702" s="11" t="s">
        <v>2212</v>
      </c>
      <c r="B1702" s="310" t="str">
        <f>报表附注!E1958</f>
        <v>     （1）医疗保险费</v>
      </c>
      <c r="C1702" s="371">
        <f>J1669</f>
        <v>57106.72</v>
      </c>
      <c r="D1702" s="11" t="b">
        <f t="shared" si="164"/>
        <v>0</v>
      </c>
      <c r="E1702" s="311"/>
      <c r="H1702" s="11" t="b">
        <f t="shared" si="169"/>
        <v>0</v>
      </c>
      <c r="I1702" s="11" t="s">
        <v>2224</v>
      </c>
      <c r="K1702" s="11" t="b">
        <v>1</v>
      </c>
    </row>
    <row r="1703" spans="1:11">
      <c r="A1703" s="11" t="s">
        <v>2213</v>
      </c>
      <c r="B1703" s="310" t="str">
        <f>报表附注!E1959</f>
        <v>     （2）工伤保险费</v>
      </c>
      <c r="C1703" s="371">
        <f>J1673</f>
        <v>3429.77</v>
      </c>
      <c r="D1703" s="11" t="b">
        <f t="shared" si="164"/>
        <v>0</v>
      </c>
      <c r="E1703" s="311"/>
      <c r="H1703" s="11" t="b">
        <f t="shared" si="169"/>
        <v>0</v>
      </c>
      <c r="I1703" s="11" t="s">
        <v>2020</v>
      </c>
      <c r="K1703" s="11" t="b">
        <v>1</v>
      </c>
    </row>
    <row r="1704" spans="1:11">
      <c r="A1704" s="11" t="s">
        <v>2214</v>
      </c>
      <c r="B1704" s="310" t="str">
        <f>报表附注!E1960</f>
        <v>     （3）生育保险费</v>
      </c>
      <c r="C1704" s="371">
        <f>J1674</f>
        <v>14055.31</v>
      </c>
      <c r="D1704" s="11" t="b">
        <f t="shared" si="164"/>
        <v>0</v>
      </c>
      <c r="E1704" s="311"/>
      <c r="H1704" s="11" t="b">
        <f t="shared" si="169"/>
        <v>0</v>
      </c>
      <c r="I1704" s="11" t="s">
        <v>3637</v>
      </c>
      <c r="K1704" s="11" t="b">
        <v>0</v>
      </c>
    </row>
    <row r="1705" spans="1:11">
      <c r="A1705" s="11" t="s">
        <v>2215</v>
      </c>
      <c r="B1705" s="310" t="str">
        <f>报表附注!E1961</f>
        <v>    4、住房公积金</v>
      </c>
      <c r="C1705" s="321">
        <f>J1675</f>
        <v>63815</v>
      </c>
      <c r="D1705" s="11" t="b">
        <f t="shared" si="164"/>
        <v>0</v>
      </c>
      <c r="E1705" s="311"/>
      <c r="H1705" s="11" t="b">
        <f t="shared" si="169"/>
        <v>0</v>
      </c>
      <c r="I1705" s="11" t="s">
        <v>3638</v>
      </c>
      <c r="K1705" s="11" t="b">
        <v>0</v>
      </c>
    </row>
    <row r="1706" spans="1:11">
      <c r="A1706" s="11" t="s">
        <v>2216</v>
      </c>
      <c r="B1706" s="310" t="str">
        <f>报表附注!E1962</f>
        <v>    5、工会经费和职工教育经费</v>
      </c>
      <c r="C1706" s="321">
        <f>J1676+J1677</f>
        <v>192</v>
      </c>
      <c r="D1706" s="11" t="b">
        <f t="shared" ref="D1706:D1789" si="171">EXACT(A1706,B1706)</f>
        <v>0</v>
      </c>
      <c r="E1706" s="311"/>
      <c r="H1706" s="11" t="b">
        <f t="shared" si="169"/>
        <v>0</v>
      </c>
      <c r="I1706" s="11" t="s">
        <v>3639</v>
      </c>
      <c r="K1706" s="11" t="b">
        <v>0</v>
      </c>
    </row>
    <row r="1707" spans="1:11">
      <c r="A1707" s="11" t="s">
        <v>1071</v>
      </c>
      <c r="B1707" s="310" t="str">
        <f>报表附注!E1963</f>
        <v>    6、短期带薪缺勤</v>
      </c>
      <c r="C1707" s="321"/>
      <c r="D1707" s="11" t="b">
        <f t="shared" si="171"/>
        <v>0</v>
      </c>
      <c r="E1707" s="311"/>
      <c r="H1707" s="11" t="b">
        <f t="shared" si="169"/>
        <v>0</v>
      </c>
      <c r="I1707" s="11" t="s">
        <v>3640</v>
      </c>
      <c r="K1707" s="11" t="b">
        <v>0</v>
      </c>
    </row>
    <row r="1708" spans="1:11">
      <c r="A1708" s="11" t="s">
        <v>2217</v>
      </c>
      <c r="B1708" s="310" t="str">
        <f>报表附注!E1964</f>
        <v>    7、短期利润分享计划</v>
      </c>
      <c r="C1708" s="321"/>
      <c r="D1708" s="11" t="b">
        <f t="shared" si="171"/>
        <v>0</v>
      </c>
      <c r="E1708" s="311"/>
      <c r="H1708" s="11" t="b">
        <f t="shared" si="169"/>
        <v>0</v>
      </c>
      <c r="I1708" s="11" t="s">
        <v>3641</v>
      </c>
      <c r="K1708" s="11" t="b">
        <v>0</v>
      </c>
    </row>
    <row r="1709" spans="1:11">
      <c r="A1709" s="11" t="s">
        <v>2218</v>
      </c>
      <c r="B1709" s="310" t="str">
        <f>报表附注!E1965</f>
        <v>    8、其他短期薪酬</v>
      </c>
      <c r="C1709" s="321"/>
      <c r="D1709" s="11" t="b">
        <f t="shared" si="171"/>
        <v>0</v>
      </c>
      <c r="E1709" s="311"/>
      <c r="H1709" s="11" t="b">
        <f t="shared" si="169"/>
        <v>0</v>
      </c>
      <c r="I1709" s="11" t="s">
        <v>3642</v>
      </c>
      <c r="K1709" s="11" t="b">
        <v>0</v>
      </c>
    </row>
    <row r="1710" spans="1:11">
      <c r="A1710" s="11" t="s">
        <v>2219</v>
      </c>
      <c r="B1710" s="310">
        <f>报表附注!E1966</f>
        <v>0</v>
      </c>
      <c r="C1710" s="321"/>
      <c r="D1710" s="11" t="b">
        <f t="shared" si="171"/>
        <v>0</v>
      </c>
      <c r="E1710" s="311"/>
      <c r="H1710" s="11" t="b">
        <f t="shared" si="169"/>
        <v>0</v>
      </c>
      <c r="I1710" s="11" t="s">
        <v>3643</v>
      </c>
      <c r="K1710" s="11" t="b">
        <v>0</v>
      </c>
    </row>
    <row r="1711" spans="1:11">
      <c r="A1711" s="11" t="s">
        <v>2220</v>
      </c>
      <c r="B1711" s="310" t="str">
        <f>报表附注!E1967</f>
        <v>二、离职后福利-设定提存计划</v>
      </c>
      <c r="C1711" s="321">
        <f>SUM(C1712:C1715)</f>
        <v>261666.31</v>
      </c>
      <c r="D1711" s="11" t="b">
        <f t="shared" si="171"/>
        <v>0</v>
      </c>
      <c r="E1711" s="311"/>
      <c r="H1711" s="11" t="b">
        <f t="shared" si="169"/>
        <v>0</v>
      </c>
      <c r="I1711" s="11" t="s">
        <v>3644</v>
      </c>
      <c r="K1711" s="11" t="b">
        <v>0</v>
      </c>
    </row>
    <row r="1712" spans="1:11">
      <c r="A1712" s="11" t="s">
        <v>2221</v>
      </c>
      <c r="B1712" s="310" t="str">
        <f>报表附注!E1968</f>
        <v>  1、基本养老保险</v>
      </c>
      <c r="C1712" s="321">
        <f>J1670</f>
        <v>243766.89</v>
      </c>
      <c r="D1712" s="11" t="b">
        <f t="shared" si="171"/>
        <v>0</v>
      </c>
      <c r="E1712" s="311"/>
      <c r="H1712" s="11" t="b">
        <f t="shared" si="169"/>
        <v>0</v>
      </c>
      <c r="I1712" s="11" t="s">
        <v>3645</v>
      </c>
      <c r="K1712" s="11" t="b">
        <v>0</v>
      </c>
    </row>
    <row r="1713" spans="1:11">
      <c r="A1713" s="11" t="s">
        <v>2222</v>
      </c>
      <c r="B1713" s="310" t="str">
        <f>报表附注!E1969</f>
        <v>    2、失业保险费</v>
      </c>
      <c r="C1713" s="321">
        <f>J1672</f>
        <v>17899.42</v>
      </c>
      <c r="D1713" s="11" t="b">
        <f t="shared" si="171"/>
        <v>0</v>
      </c>
      <c r="E1713" s="311"/>
      <c r="H1713" s="11" t="b">
        <f t="shared" si="169"/>
        <v>0</v>
      </c>
      <c r="I1713" s="11" t="s">
        <v>3646</v>
      </c>
      <c r="K1713" s="11" t="b">
        <v>0</v>
      </c>
    </row>
    <row r="1714" spans="2:11">
      <c r="B1714" s="310" t="str">
        <f>报表附注!E1970</f>
        <v>    3、企业年金缴费</v>
      </c>
      <c r="C1714" s="321">
        <f>J1671</f>
        <v>0</v>
      </c>
      <c r="D1714" s="11" t="b">
        <f t="shared" ref="D1714:D1723" si="172">EXACT(A1714,B1714)</f>
        <v>0</v>
      </c>
      <c r="E1714" s="311"/>
      <c r="H1714" s="11" t="b">
        <f t="shared" si="169"/>
        <v>0</v>
      </c>
      <c r="I1714" s="11" t="s">
        <v>3647</v>
      </c>
      <c r="K1714" s="11" t="b">
        <v>0</v>
      </c>
    </row>
    <row r="1715" spans="2:11">
      <c r="B1715" s="310" t="str">
        <f>报表附注!E1971</f>
        <v>    4、其他</v>
      </c>
      <c r="C1715" s="321"/>
      <c r="D1715" s="11" t="b">
        <f t="shared" si="172"/>
        <v>0</v>
      </c>
      <c r="E1715" s="311"/>
      <c r="H1715" s="11" t="b">
        <f t="shared" si="169"/>
        <v>0</v>
      </c>
      <c r="I1715" s="11" t="s">
        <v>3648</v>
      </c>
      <c r="K1715" s="11" t="b">
        <v>0</v>
      </c>
    </row>
    <row r="1716" spans="2:11">
      <c r="B1716" s="310">
        <f>报表附注!E1972</f>
        <v>0</v>
      </c>
      <c r="C1716" s="321"/>
      <c r="D1716" s="11" t="b">
        <f t="shared" si="172"/>
        <v>0</v>
      </c>
      <c r="E1716" s="311"/>
      <c r="H1716" s="11" t="b">
        <f t="shared" si="169"/>
        <v>0</v>
      </c>
      <c r="I1716" s="11" t="s">
        <v>3649</v>
      </c>
      <c r="K1716" s="11" t="b">
        <v>0</v>
      </c>
    </row>
    <row r="1717" spans="2:11">
      <c r="B1717" s="310" t="str">
        <f>报表附注!E1973</f>
        <v>三、辞退福利</v>
      </c>
      <c r="C1717" s="321">
        <f>SUM(C1718:C1719)</f>
        <v>0</v>
      </c>
      <c r="D1717" s="11" t="b">
        <f t="shared" si="172"/>
        <v>0</v>
      </c>
      <c r="E1717" s="311"/>
      <c r="H1717" s="11" t="b">
        <f t="shared" si="169"/>
        <v>0</v>
      </c>
      <c r="I1717" s="11" t="s">
        <v>3650</v>
      </c>
      <c r="K1717" s="11" t="b">
        <v>0</v>
      </c>
    </row>
    <row r="1718" spans="2:11">
      <c r="B1718" s="310" t="str">
        <f>报表附注!E1974</f>
        <v>    1、因解除劳动关系给予的补偿</v>
      </c>
      <c r="C1718" s="321">
        <f>J1679</f>
        <v>0</v>
      </c>
      <c r="D1718" s="11" t="b">
        <f t="shared" si="172"/>
        <v>0</v>
      </c>
      <c r="E1718" s="311"/>
      <c r="H1718" s="11" t="b">
        <f t="shared" si="169"/>
        <v>0</v>
      </c>
      <c r="I1718" s="11" t="s">
        <v>3651</v>
      </c>
      <c r="K1718" s="11" t="b">
        <v>0</v>
      </c>
    </row>
    <row r="1719" spans="2:11">
      <c r="B1719" s="310" t="str">
        <f>报表附注!E1975</f>
        <v>    2、其他</v>
      </c>
      <c r="C1719" s="321">
        <f>J1680</f>
        <v>0</v>
      </c>
      <c r="D1719" s="11" t="b">
        <f t="shared" si="172"/>
        <v>0</v>
      </c>
      <c r="E1719" s="311"/>
      <c r="H1719" s="11" t="b">
        <f t="shared" si="169"/>
        <v>0</v>
      </c>
      <c r="I1719" s="11" t="s">
        <v>3652</v>
      </c>
      <c r="K1719" s="11" t="b">
        <v>0</v>
      </c>
    </row>
    <row r="1720" spans="2:11">
      <c r="B1720" s="310">
        <f>报表附注!E1976</f>
        <v>0</v>
      </c>
      <c r="C1720" s="321"/>
      <c r="D1720" s="11" t="b">
        <f t="shared" si="172"/>
        <v>0</v>
      </c>
      <c r="E1720" s="311"/>
      <c r="H1720" s="11" t="b">
        <f t="shared" si="169"/>
        <v>0</v>
      </c>
      <c r="I1720" s="11" t="s">
        <v>3653</v>
      </c>
      <c r="K1720" s="11" t="b">
        <v>0</v>
      </c>
    </row>
    <row r="1721" spans="2:11">
      <c r="B1721" s="310" t="str">
        <f>报表附注!E1977</f>
        <v>四、一年内到期的其他福利</v>
      </c>
      <c r="C1721" s="321">
        <f>SUM(C1722:C1723)</f>
        <v>0</v>
      </c>
      <c r="D1721" s="11" t="b">
        <f t="shared" si="172"/>
        <v>0</v>
      </c>
      <c r="E1721" s="311"/>
      <c r="H1721" s="11" t="b">
        <f t="shared" si="169"/>
        <v>0</v>
      </c>
      <c r="I1721" s="11" t="s">
        <v>3654</v>
      </c>
      <c r="K1721" s="11" t="b">
        <v>0</v>
      </c>
    </row>
    <row r="1722" spans="2:11">
      <c r="B1722" s="310" t="str">
        <f>报表附注!E1978</f>
        <v>    1、项目1</v>
      </c>
      <c r="C1722" s="321"/>
      <c r="D1722" s="11" t="b">
        <f t="shared" si="172"/>
        <v>0</v>
      </c>
      <c r="E1722" s="311"/>
      <c r="H1722" s="11" t="b">
        <f t="shared" si="169"/>
        <v>0</v>
      </c>
      <c r="I1722" s="11" t="s">
        <v>3655</v>
      </c>
      <c r="K1722" s="11" t="b">
        <v>0</v>
      </c>
    </row>
    <row r="1723" spans="2:11">
      <c r="B1723" s="310" t="str">
        <f>报表附注!E1979</f>
        <v>    2、项目2</v>
      </c>
      <c r="C1723" s="321"/>
      <c r="D1723" s="11" t="b">
        <f t="shared" si="172"/>
        <v>0</v>
      </c>
      <c r="E1723" s="311"/>
      <c r="H1723" s="11" t="b">
        <f t="shared" si="169"/>
        <v>0</v>
      </c>
      <c r="I1723" s="11" t="s">
        <v>3656</v>
      </c>
      <c r="K1723" s="11" t="b">
        <v>0</v>
      </c>
    </row>
    <row r="1724" spans="1:11">
      <c r="A1724" s="11" t="s">
        <v>1207</v>
      </c>
      <c r="B1724" s="320" t="str">
        <f>报表附注!E1980</f>
        <v>合  计</v>
      </c>
      <c r="C1724" s="321">
        <f>C1698+C1711+C1717+C1721</f>
        <v>6197774.4</v>
      </c>
      <c r="D1724" s="11" t="b">
        <f t="shared" si="171"/>
        <v>1</v>
      </c>
      <c r="E1724" s="372">
        <f>C1724-J1682</f>
        <v>0</v>
      </c>
      <c r="H1724" s="11" t="b">
        <f t="shared" si="169"/>
        <v>0</v>
      </c>
      <c r="I1724" s="11" t="s">
        <v>3657</v>
      </c>
      <c r="K1724" s="11" t="b">
        <v>0</v>
      </c>
    </row>
    <row r="1725" spans="1:11">
      <c r="A1725" s="11" t="s">
        <v>316</v>
      </c>
      <c r="B1725" s="333" t="s">
        <v>316</v>
      </c>
      <c r="D1725" s="11" t="b">
        <f t="shared" si="171"/>
        <v>1</v>
      </c>
      <c r="E1725" s="326"/>
      <c r="H1725" s="11" t="b">
        <f t="shared" si="169"/>
        <v>0</v>
      </c>
      <c r="I1725" s="11" t="s">
        <v>3658</v>
      </c>
      <c r="K1725" s="11" t="b">
        <v>0</v>
      </c>
    </row>
    <row r="1726" spans="1:11">
      <c r="A1726" s="11" t="s">
        <v>1053</v>
      </c>
      <c r="B1726" s="373" t="str">
        <f>报表附注!E1954</f>
        <v>一、短期薪酬</v>
      </c>
      <c r="C1726" s="318">
        <f>C1727+C1728+C1729+C1733+C1734+C1735+C1736+C1737</f>
        <v>1116508.51</v>
      </c>
      <c r="D1726" s="11" t="b">
        <f t="shared" si="171"/>
        <v>0</v>
      </c>
      <c r="E1726" s="374">
        <f>C1642+C1670-C1698-C1726</f>
        <v>-3000</v>
      </c>
      <c r="H1726" s="11" t="b">
        <f t="shared" si="169"/>
        <v>0</v>
      </c>
      <c r="I1726" s="11" t="s">
        <v>3659</v>
      </c>
      <c r="K1726" s="11" t="b">
        <v>0</v>
      </c>
    </row>
    <row r="1727" spans="1:11">
      <c r="A1727" s="11" t="s">
        <v>1055</v>
      </c>
      <c r="B1727" s="373" t="str">
        <f>报表附注!E1955</f>
        <v>    1、工资、奖金、津贴和补贴</v>
      </c>
      <c r="C1727" s="318">
        <f>J1684</f>
        <v>1116508.51</v>
      </c>
      <c r="D1727" s="11" t="b">
        <f t="shared" si="171"/>
        <v>0</v>
      </c>
      <c r="E1727" s="374">
        <f t="shared" ref="E1727:E1752" si="173">C1643+C1671-C1699-C1727</f>
        <v>-3000</v>
      </c>
      <c r="H1727" s="11" t="b">
        <f t="shared" si="169"/>
        <v>0</v>
      </c>
      <c r="I1727" s="11" t="s">
        <v>3660</v>
      </c>
      <c r="K1727" s="11" t="b">
        <v>0</v>
      </c>
    </row>
    <row r="1728" spans="1:11">
      <c r="A1728" s="11" t="s">
        <v>1057</v>
      </c>
      <c r="B1728" s="373" t="str">
        <f>报表附注!E1956</f>
        <v>    2、职工福利费</v>
      </c>
      <c r="C1728" s="318">
        <f>J1685</f>
        <v>0</v>
      </c>
      <c r="D1728" s="11" t="b">
        <f t="shared" si="171"/>
        <v>0</v>
      </c>
      <c r="E1728" s="374">
        <f t="shared" si="173"/>
        <v>0</v>
      </c>
      <c r="H1728" s="11" t="b">
        <f t="shared" si="169"/>
        <v>0</v>
      </c>
      <c r="I1728" s="11" t="s">
        <v>2021</v>
      </c>
      <c r="K1728" s="11" t="b">
        <v>1</v>
      </c>
    </row>
    <row r="1729" spans="1:11">
      <c r="A1729" s="11" t="s">
        <v>2211</v>
      </c>
      <c r="B1729" s="373" t="str">
        <f>报表附注!E1957</f>
        <v>    3、社会保险费</v>
      </c>
      <c r="C1729" s="318">
        <f>SUM(C1730:C1732)</f>
        <v>0</v>
      </c>
      <c r="D1729" s="11" t="b">
        <f t="shared" si="171"/>
        <v>0</v>
      </c>
      <c r="E1729" s="374">
        <f t="shared" si="173"/>
        <v>0</v>
      </c>
      <c r="H1729" s="11" t="b">
        <f t="shared" si="169"/>
        <v>0</v>
      </c>
      <c r="I1729" s="11" t="s">
        <v>2249</v>
      </c>
      <c r="K1729" s="11" t="b">
        <v>1</v>
      </c>
    </row>
    <row r="1730" spans="1:11">
      <c r="A1730" s="11" t="s">
        <v>2212</v>
      </c>
      <c r="B1730" s="373" t="str">
        <f>报表附注!E1958</f>
        <v>     （1）医疗保险费</v>
      </c>
      <c r="C1730" s="318">
        <f>J1687</f>
        <v>0</v>
      </c>
      <c r="D1730" s="11" t="b">
        <f t="shared" si="171"/>
        <v>0</v>
      </c>
      <c r="E1730" s="374">
        <f t="shared" si="173"/>
        <v>0</v>
      </c>
      <c r="H1730" s="11" t="b">
        <f t="shared" si="169"/>
        <v>0</v>
      </c>
      <c r="I1730" s="11" t="s">
        <v>3637</v>
      </c>
      <c r="K1730" s="11" t="b">
        <v>0</v>
      </c>
    </row>
    <row r="1731" spans="1:11">
      <c r="A1731" s="11" t="s">
        <v>2213</v>
      </c>
      <c r="B1731" s="373" t="str">
        <f>报表附注!E1959</f>
        <v>     （2）工伤保险费</v>
      </c>
      <c r="C1731" s="318">
        <f>J1691</f>
        <v>0</v>
      </c>
      <c r="D1731" s="11" t="b">
        <f t="shared" si="171"/>
        <v>0</v>
      </c>
      <c r="E1731" s="374">
        <f t="shared" si="173"/>
        <v>0</v>
      </c>
      <c r="H1731" s="11" t="b">
        <f t="shared" si="169"/>
        <v>0</v>
      </c>
      <c r="I1731" s="11" t="s">
        <v>3638</v>
      </c>
      <c r="K1731" s="11" t="b">
        <v>0</v>
      </c>
    </row>
    <row r="1732" spans="1:11">
      <c r="A1732" s="11" t="s">
        <v>2214</v>
      </c>
      <c r="B1732" s="373" t="str">
        <f>报表附注!E1960</f>
        <v>     （3）生育保险费</v>
      </c>
      <c r="C1732" s="318">
        <f>J1692</f>
        <v>0</v>
      </c>
      <c r="D1732" s="11" t="b">
        <f t="shared" si="171"/>
        <v>0</v>
      </c>
      <c r="E1732" s="374">
        <f t="shared" si="173"/>
        <v>0</v>
      </c>
      <c r="H1732" s="11" t="b">
        <f t="shared" ref="H1732:H1795" si="174">I1732=B1732</f>
        <v>0</v>
      </c>
      <c r="I1732" s="11" t="s">
        <v>3639</v>
      </c>
      <c r="K1732" s="11" t="b">
        <v>0</v>
      </c>
    </row>
    <row r="1733" spans="1:11">
      <c r="A1733" s="11" t="s">
        <v>2215</v>
      </c>
      <c r="B1733" s="373" t="str">
        <f>报表附注!E1961</f>
        <v>    4、住房公积金</v>
      </c>
      <c r="C1733" s="318">
        <f>J1693</f>
        <v>0</v>
      </c>
      <c r="D1733" s="11" t="b">
        <f t="shared" si="171"/>
        <v>0</v>
      </c>
      <c r="E1733" s="374">
        <f t="shared" si="173"/>
        <v>0</v>
      </c>
      <c r="H1733" s="11" t="b">
        <f t="shared" si="174"/>
        <v>0</v>
      </c>
      <c r="I1733" s="11" t="s">
        <v>3640</v>
      </c>
      <c r="K1733" s="11" t="b">
        <v>0</v>
      </c>
    </row>
    <row r="1734" spans="1:11">
      <c r="A1734" s="11" t="s">
        <v>2216</v>
      </c>
      <c r="B1734" s="373" t="str">
        <f>报表附注!E1962</f>
        <v>    5、工会经费和职工教育经费</v>
      </c>
      <c r="C1734" s="318">
        <f>J1694+J1695</f>
        <v>0</v>
      </c>
      <c r="D1734" s="11" t="b">
        <f t="shared" si="171"/>
        <v>0</v>
      </c>
      <c r="E1734" s="374">
        <f t="shared" si="173"/>
        <v>0</v>
      </c>
      <c r="H1734" s="11" t="b">
        <f t="shared" si="174"/>
        <v>0</v>
      </c>
      <c r="I1734" s="11" t="s">
        <v>3641</v>
      </c>
      <c r="K1734" s="11" t="b">
        <v>0</v>
      </c>
    </row>
    <row r="1735" spans="1:11">
      <c r="A1735" s="11" t="s">
        <v>1071</v>
      </c>
      <c r="B1735" s="373" t="str">
        <f>报表附注!E1963</f>
        <v>    6、短期带薪缺勤</v>
      </c>
      <c r="C1735" s="318"/>
      <c r="D1735" s="11" t="b">
        <f t="shared" si="171"/>
        <v>0</v>
      </c>
      <c r="E1735" s="374">
        <f t="shared" si="173"/>
        <v>0</v>
      </c>
      <c r="H1735" s="11" t="b">
        <f t="shared" si="174"/>
        <v>0</v>
      </c>
      <c r="I1735" s="11" t="s">
        <v>3642</v>
      </c>
      <c r="K1735" s="11" t="b">
        <v>0</v>
      </c>
    </row>
    <row r="1736" spans="1:11">
      <c r="A1736" s="11" t="s">
        <v>2217</v>
      </c>
      <c r="B1736" s="373" t="str">
        <f>报表附注!E1964</f>
        <v>    7、短期利润分享计划</v>
      </c>
      <c r="C1736" s="318"/>
      <c r="D1736" s="11" t="b">
        <f t="shared" si="171"/>
        <v>0</v>
      </c>
      <c r="E1736" s="374">
        <f t="shared" si="173"/>
        <v>0</v>
      </c>
      <c r="H1736" s="11" t="b">
        <f t="shared" si="174"/>
        <v>0</v>
      </c>
      <c r="I1736" s="11" t="s">
        <v>3643</v>
      </c>
      <c r="K1736" s="11" t="b">
        <v>0</v>
      </c>
    </row>
    <row r="1737" spans="1:11">
      <c r="A1737" s="11" t="s">
        <v>2218</v>
      </c>
      <c r="B1737" s="373" t="str">
        <f>报表附注!E1965</f>
        <v>    8、其他短期薪酬</v>
      </c>
      <c r="C1737" s="318"/>
      <c r="D1737" s="11" t="b">
        <f t="shared" si="171"/>
        <v>0</v>
      </c>
      <c r="E1737" s="374">
        <f t="shared" si="173"/>
        <v>0</v>
      </c>
      <c r="H1737" s="11" t="b">
        <f t="shared" si="174"/>
        <v>0</v>
      </c>
      <c r="I1737" s="11" t="s">
        <v>3644</v>
      </c>
      <c r="K1737" s="11" t="b">
        <v>0</v>
      </c>
    </row>
    <row r="1738" spans="1:11">
      <c r="A1738" s="11" t="s">
        <v>2219</v>
      </c>
      <c r="B1738" s="373">
        <f>报表附注!E1966</f>
        <v>0</v>
      </c>
      <c r="C1738" s="318"/>
      <c r="D1738" s="11" t="b">
        <f t="shared" si="171"/>
        <v>0</v>
      </c>
      <c r="E1738" s="374">
        <f t="shared" si="173"/>
        <v>0</v>
      </c>
      <c r="H1738" s="11" t="b">
        <f t="shared" si="174"/>
        <v>0</v>
      </c>
      <c r="I1738" s="11" t="s">
        <v>3645</v>
      </c>
      <c r="K1738" s="11" t="b">
        <v>0</v>
      </c>
    </row>
    <row r="1739" spans="1:11">
      <c r="A1739" s="11" t="s">
        <v>2220</v>
      </c>
      <c r="B1739" s="373" t="str">
        <f>报表附注!E1967</f>
        <v>二、离职后福利-设定提存计划</v>
      </c>
      <c r="C1739" s="318">
        <f>SUM(C1740:C1743)</f>
        <v>0</v>
      </c>
      <c r="D1739" s="11" t="b">
        <f t="shared" si="171"/>
        <v>0</v>
      </c>
      <c r="E1739" s="374">
        <f t="shared" si="173"/>
        <v>0</v>
      </c>
      <c r="H1739" s="11" t="b">
        <f t="shared" si="174"/>
        <v>0</v>
      </c>
      <c r="I1739" s="11" t="s">
        <v>3646</v>
      </c>
      <c r="K1739" s="11" t="b">
        <v>0</v>
      </c>
    </row>
    <row r="1740" spans="1:11">
      <c r="A1740" s="11" t="s">
        <v>2221</v>
      </c>
      <c r="B1740" s="373" t="str">
        <f>报表附注!E1968</f>
        <v>  1、基本养老保险</v>
      </c>
      <c r="C1740" s="318">
        <f>J1688</f>
        <v>0</v>
      </c>
      <c r="D1740" s="11" t="b">
        <f t="shared" si="171"/>
        <v>0</v>
      </c>
      <c r="E1740" s="374">
        <f t="shared" si="173"/>
        <v>0</v>
      </c>
      <c r="H1740" s="11" t="b">
        <f t="shared" si="174"/>
        <v>0</v>
      </c>
      <c r="I1740" s="11" t="s">
        <v>3647</v>
      </c>
      <c r="K1740" s="11" t="b">
        <v>0</v>
      </c>
    </row>
    <row r="1741" spans="1:11">
      <c r="A1741" s="11" t="s">
        <v>2222</v>
      </c>
      <c r="B1741" s="373" t="str">
        <f>报表附注!E1969</f>
        <v>    2、失业保险费</v>
      </c>
      <c r="C1741" s="318">
        <f>J1690</f>
        <v>0</v>
      </c>
      <c r="D1741" s="11" t="b">
        <f t="shared" si="171"/>
        <v>0</v>
      </c>
      <c r="E1741" s="374">
        <f t="shared" si="173"/>
        <v>0</v>
      </c>
      <c r="H1741" s="11" t="b">
        <f t="shared" si="174"/>
        <v>0</v>
      </c>
      <c r="I1741" s="11" t="s">
        <v>3648</v>
      </c>
      <c r="K1741" s="11" t="b">
        <v>0</v>
      </c>
    </row>
    <row r="1742" spans="2:11">
      <c r="B1742" s="373" t="str">
        <f>报表附注!E1970</f>
        <v>    3、企业年金缴费</v>
      </c>
      <c r="C1742" s="318">
        <f>J1689</f>
        <v>0</v>
      </c>
      <c r="D1742" s="11" t="b">
        <f t="shared" ref="D1742:D1751" si="175">EXACT(A1742,B1742)</f>
        <v>0</v>
      </c>
      <c r="E1742" s="374">
        <f t="shared" si="173"/>
        <v>0</v>
      </c>
      <c r="H1742" s="11" t="b">
        <f t="shared" si="174"/>
        <v>0</v>
      </c>
      <c r="I1742" s="11" t="s">
        <v>3649</v>
      </c>
      <c r="K1742" s="11" t="b">
        <v>0</v>
      </c>
    </row>
    <row r="1743" spans="2:11">
      <c r="B1743" s="373" t="str">
        <f>报表附注!E1971</f>
        <v>    4、其他</v>
      </c>
      <c r="C1743" s="318"/>
      <c r="D1743" s="11" t="b">
        <f t="shared" si="175"/>
        <v>0</v>
      </c>
      <c r="E1743" s="374">
        <f t="shared" si="173"/>
        <v>0</v>
      </c>
      <c r="H1743" s="11" t="b">
        <f t="shared" si="174"/>
        <v>0</v>
      </c>
      <c r="I1743" s="11" t="s">
        <v>3650</v>
      </c>
      <c r="K1743" s="11" t="b">
        <v>0</v>
      </c>
    </row>
    <row r="1744" spans="2:11">
      <c r="B1744" s="373">
        <f>报表附注!E1972</f>
        <v>0</v>
      </c>
      <c r="C1744" s="318"/>
      <c r="D1744" s="11" t="b">
        <f t="shared" si="175"/>
        <v>0</v>
      </c>
      <c r="E1744" s="374">
        <f t="shared" si="173"/>
        <v>0</v>
      </c>
      <c r="H1744" s="11" t="b">
        <f t="shared" si="174"/>
        <v>0</v>
      </c>
      <c r="I1744" s="11" t="s">
        <v>3651</v>
      </c>
      <c r="K1744" s="11" t="b">
        <v>0</v>
      </c>
    </row>
    <row r="1745" spans="2:11">
      <c r="B1745" s="373" t="str">
        <f>报表附注!E1973</f>
        <v>三、辞退福利</v>
      </c>
      <c r="C1745" s="318">
        <f>SUM(C1746:C1747)</f>
        <v>0</v>
      </c>
      <c r="D1745" s="11" t="b">
        <f t="shared" si="175"/>
        <v>0</v>
      </c>
      <c r="E1745" s="374">
        <f t="shared" si="173"/>
        <v>0</v>
      </c>
      <c r="H1745" s="11" t="b">
        <f t="shared" si="174"/>
        <v>0</v>
      </c>
      <c r="I1745" s="11" t="s">
        <v>3652</v>
      </c>
      <c r="K1745" s="11" t="b">
        <v>0</v>
      </c>
    </row>
    <row r="1746" spans="2:11">
      <c r="B1746" s="373" t="str">
        <f>报表附注!E1974</f>
        <v>    1、因解除劳动关系给予的补偿</v>
      </c>
      <c r="C1746" s="318">
        <f>J1697</f>
        <v>0</v>
      </c>
      <c r="D1746" s="11" t="b">
        <f t="shared" si="175"/>
        <v>0</v>
      </c>
      <c r="E1746" s="374">
        <f t="shared" si="173"/>
        <v>0</v>
      </c>
      <c r="H1746" s="11" t="b">
        <f t="shared" si="174"/>
        <v>0</v>
      </c>
      <c r="I1746" s="11" t="s">
        <v>3653</v>
      </c>
      <c r="K1746" s="11" t="b">
        <v>0</v>
      </c>
    </row>
    <row r="1747" spans="2:11">
      <c r="B1747" s="373" t="str">
        <f>报表附注!E1975</f>
        <v>    2、其他</v>
      </c>
      <c r="C1747" s="318">
        <f>J1698</f>
        <v>0</v>
      </c>
      <c r="D1747" s="11" t="b">
        <f t="shared" si="175"/>
        <v>0</v>
      </c>
      <c r="E1747" s="374">
        <f t="shared" si="173"/>
        <v>0</v>
      </c>
      <c r="H1747" s="11" t="b">
        <f t="shared" si="174"/>
        <v>0</v>
      </c>
      <c r="I1747" s="11" t="s">
        <v>3654</v>
      </c>
      <c r="K1747" s="11" t="b">
        <v>0</v>
      </c>
    </row>
    <row r="1748" spans="2:11">
      <c r="B1748" s="373">
        <f>报表附注!E1976</f>
        <v>0</v>
      </c>
      <c r="C1748" s="318"/>
      <c r="D1748" s="11" t="b">
        <f t="shared" si="175"/>
        <v>0</v>
      </c>
      <c r="E1748" s="374">
        <f t="shared" si="173"/>
        <v>0</v>
      </c>
      <c r="H1748" s="11" t="b">
        <f t="shared" si="174"/>
        <v>0</v>
      </c>
      <c r="I1748" s="11" t="s">
        <v>3655</v>
      </c>
      <c r="K1748" s="11" t="b">
        <v>0</v>
      </c>
    </row>
    <row r="1749" spans="2:11">
      <c r="B1749" s="373" t="str">
        <f>报表附注!E1977</f>
        <v>四、一年内到期的其他福利</v>
      </c>
      <c r="C1749" s="318">
        <f>SUM(C1750:C1751)</f>
        <v>0</v>
      </c>
      <c r="D1749" s="11" t="b">
        <f t="shared" si="175"/>
        <v>0</v>
      </c>
      <c r="E1749" s="374">
        <f t="shared" si="173"/>
        <v>0</v>
      </c>
      <c r="H1749" s="11" t="b">
        <f t="shared" si="174"/>
        <v>0</v>
      </c>
      <c r="I1749" s="11" t="s">
        <v>3656</v>
      </c>
      <c r="K1749" s="11" t="b">
        <v>0</v>
      </c>
    </row>
    <row r="1750" spans="2:11">
      <c r="B1750" s="373" t="str">
        <f>报表附注!E1978</f>
        <v>    1、项目1</v>
      </c>
      <c r="C1750" s="318"/>
      <c r="D1750" s="11" t="b">
        <f t="shared" si="175"/>
        <v>0</v>
      </c>
      <c r="E1750" s="374">
        <f t="shared" si="173"/>
        <v>0</v>
      </c>
      <c r="H1750" s="11" t="b">
        <f t="shared" si="174"/>
        <v>0</v>
      </c>
      <c r="I1750" s="11" t="s">
        <v>3657</v>
      </c>
      <c r="K1750" s="11" t="b">
        <v>0</v>
      </c>
    </row>
    <row r="1751" spans="2:11">
      <c r="B1751" s="373" t="str">
        <f>报表附注!E1979</f>
        <v>    2、项目2</v>
      </c>
      <c r="C1751" s="318"/>
      <c r="D1751" s="11" t="b">
        <f t="shared" si="175"/>
        <v>0</v>
      </c>
      <c r="E1751" s="374">
        <f t="shared" si="173"/>
        <v>0</v>
      </c>
      <c r="H1751" s="11" t="b">
        <f t="shared" si="174"/>
        <v>0</v>
      </c>
      <c r="I1751" s="11" t="s">
        <v>3658</v>
      </c>
      <c r="K1751" s="11" t="b">
        <v>0</v>
      </c>
    </row>
    <row r="1752" spans="1:11">
      <c r="A1752" s="11" t="s">
        <v>1207</v>
      </c>
      <c r="B1752" s="320" t="str">
        <f>报表附注!E1980</f>
        <v>合  计</v>
      </c>
      <c r="C1752" s="318">
        <f>C1726+C1739+C1745+C1749</f>
        <v>1116508.51</v>
      </c>
      <c r="D1752" s="11" t="b">
        <f t="shared" si="171"/>
        <v>1</v>
      </c>
      <c r="E1752" s="374">
        <f t="shared" si="173"/>
        <v>-3000</v>
      </c>
      <c r="H1752" s="11" t="b">
        <f t="shared" si="174"/>
        <v>0</v>
      </c>
      <c r="I1752" s="11" t="s">
        <v>3659</v>
      </c>
      <c r="K1752" s="11" t="b">
        <v>0</v>
      </c>
    </row>
    <row r="1753" spans="4:11">
      <c r="D1753" s="11" t="b">
        <f t="shared" si="171"/>
        <v>1</v>
      </c>
      <c r="H1753" s="11" t="b">
        <f t="shared" si="174"/>
        <v>0</v>
      </c>
      <c r="I1753" s="11" t="s">
        <v>3660</v>
      </c>
      <c r="K1753" s="11" t="b">
        <v>0</v>
      </c>
    </row>
    <row r="1754" spans="1:11">
      <c r="A1754" s="11" t="s">
        <v>2224</v>
      </c>
      <c r="B1754" s="329" t="s">
        <v>2224</v>
      </c>
      <c r="D1754" s="11" t="b">
        <f t="shared" si="171"/>
        <v>1</v>
      </c>
      <c r="H1754" s="11" t="b">
        <f t="shared" si="174"/>
        <v>0</v>
      </c>
      <c r="I1754" s="11" t="s">
        <v>2021</v>
      </c>
      <c r="K1754" s="11" t="b">
        <v>1</v>
      </c>
    </row>
    <row r="1755" spans="1:11">
      <c r="A1755" s="11" t="s">
        <v>2020</v>
      </c>
      <c r="B1755" s="333" t="s">
        <v>2020</v>
      </c>
      <c r="D1755" s="11" t="b">
        <f t="shared" si="171"/>
        <v>1</v>
      </c>
      <c r="H1755" s="11" t="b">
        <f t="shared" si="174"/>
        <v>0</v>
      </c>
      <c r="I1755" s="11" t="s">
        <v>2250</v>
      </c>
      <c r="K1755" s="11" t="b">
        <v>1</v>
      </c>
    </row>
    <row r="1756" spans="1:11">
      <c r="A1756" s="11" t="s">
        <v>2225</v>
      </c>
      <c r="B1756" s="310" t="str">
        <f>报表附注!E1993</f>
        <v>1、企业所得税</v>
      </c>
      <c r="C1756" s="321">
        <f t="shared" ref="C1756:C1819" si="176">J1704</f>
        <v>0</v>
      </c>
      <c r="D1756" s="11" t="b">
        <f t="shared" si="171"/>
        <v>0</v>
      </c>
      <c r="E1756" s="321">
        <f>C1834</f>
        <v>3027757.18</v>
      </c>
      <c r="H1756" s="11" t="b">
        <f t="shared" si="174"/>
        <v>1</v>
      </c>
      <c r="I1756" s="11" t="s">
        <v>3637</v>
      </c>
      <c r="K1756" s="11" t="b">
        <v>0</v>
      </c>
    </row>
    <row r="1757" spans="1:11">
      <c r="A1757" s="11" t="s">
        <v>2226</v>
      </c>
      <c r="B1757" s="310" t="str">
        <f>报表附注!E1994</f>
        <v>2、增值税</v>
      </c>
      <c r="C1757" s="321">
        <f t="shared" si="176"/>
        <v>0</v>
      </c>
      <c r="D1757" s="11" t="b">
        <f t="shared" si="171"/>
        <v>0</v>
      </c>
      <c r="E1757" s="321">
        <f t="shared" ref="E1757:E1780" si="177">C1835</f>
        <v>2437394.53</v>
      </c>
      <c r="H1757" s="11" t="b">
        <f t="shared" si="174"/>
        <v>1</v>
      </c>
      <c r="I1757" s="11" t="s">
        <v>3638</v>
      </c>
      <c r="K1757" s="11" t="b">
        <v>0</v>
      </c>
    </row>
    <row r="1758" spans="1:11">
      <c r="A1758" s="11" t="s">
        <v>2227</v>
      </c>
      <c r="B1758" s="310" t="str">
        <f>报表附注!E1995</f>
        <v>3、营业税</v>
      </c>
      <c r="C1758" s="321">
        <f t="shared" si="176"/>
        <v>0</v>
      </c>
      <c r="D1758" s="11" t="b">
        <f t="shared" si="171"/>
        <v>0</v>
      </c>
      <c r="E1758" s="321">
        <f t="shared" si="177"/>
        <v>0</v>
      </c>
      <c r="H1758" s="11" t="b">
        <f t="shared" si="174"/>
        <v>1</v>
      </c>
      <c r="I1758" s="11" t="s">
        <v>3639</v>
      </c>
      <c r="K1758" s="11" t="b">
        <v>0</v>
      </c>
    </row>
    <row r="1759" spans="1:11">
      <c r="A1759" s="11" t="s">
        <v>2228</v>
      </c>
      <c r="B1759" s="310" t="str">
        <f>报表附注!E1996</f>
        <v>4、消费税</v>
      </c>
      <c r="C1759" s="321">
        <f t="shared" si="176"/>
        <v>0</v>
      </c>
      <c r="D1759" s="11" t="b">
        <f t="shared" si="171"/>
        <v>0</v>
      </c>
      <c r="E1759" s="321">
        <f t="shared" si="177"/>
        <v>0</v>
      </c>
      <c r="H1759" s="11" t="b">
        <f t="shared" si="174"/>
        <v>1</v>
      </c>
      <c r="I1759" s="11" t="s">
        <v>3640</v>
      </c>
      <c r="K1759" s="11" t="b">
        <v>0</v>
      </c>
    </row>
    <row r="1760" spans="1:11">
      <c r="A1760" s="11" t="s">
        <v>2229</v>
      </c>
      <c r="B1760" s="310" t="str">
        <f>报表附注!E1997</f>
        <v>5、资源税</v>
      </c>
      <c r="C1760" s="321">
        <f t="shared" si="176"/>
        <v>0</v>
      </c>
      <c r="D1760" s="11" t="b">
        <f t="shared" si="171"/>
        <v>0</v>
      </c>
      <c r="E1760" s="321">
        <f t="shared" si="177"/>
        <v>0</v>
      </c>
      <c r="H1760" s="11" t="b">
        <f t="shared" si="174"/>
        <v>1</v>
      </c>
      <c r="I1760" s="11" t="s">
        <v>3641</v>
      </c>
      <c r="K1760" s="11" t="b">
        <v>0</v>
      </c>
    </row>
    <row r="1761" spans="1:11">
      <c r="A1761" s="11" t="s">
        <v>2230</v>
      </c>
      <c r="B1761" s="310" t="str">
        <f>报表附注!E1998</f>
        <v>6、土地增值税</v>
      </c>
      <c r="C1761" s="321">
        <f t="shared" si="176"/>
        <v>0</v>
      </c>
      <c r="D1761" s="11" t="b">
        <f t="shared" si="171"/>
        <v>0</v>
      </c>
      <c r="E1761" s="321">
        <f t="shared" si="177"/>
        <v>0</v>
      </c>
      <c r="H1761" s="11" t="b">
        <f t="shared" si="174"/>
        <v>1</v>
      </c>
      <c r="I1761" s="11" t="s">
        <v>3642</v>
      </c>
      <c r="K1761" s="11" t="b">
        <v>0</v>
      </c>
    </row>
    <row r="1762" spans="1:11">
      <c r="A1762" s="11" t="s">
        <v>2231</v>
      </c>
      <c r="B1762" s="310" t="str">
        <f>报表附注!E1999</f>
        <v>7、土地使用税</v>
      </c>
      <c r="C1762" s="321">
        <f t="shared" si="176"/>
        <v>0</v>
      </c>
      <c r="D1762" s="11" t="b">
        <f t="shared" si="171"/>
        <v>0</v>
      </c>
      <c r="E1762" s="321">
        <f t="shared" si="177"/>
        <v>0</v>
      </c>
      <c r="H1762" s="11" t="b">
        <f t="shared" si="174"/>
        <v>1</v>
      </c>
      <c r="I1762" s="11" t="s">
        <v>3643</v>
      </c>
      <c r="K1762" s="11" t="b">
        <v>0</v>
      </c>
    </row>
    <row r="1763" spans="1:11">
      <c r="A1763" s="11" t="s">
        <v>2232</v>
      </c>
      <c r="B1763" s="310" t="str">
        <f>报表附注!E2000</f>
        <v>8、房产税</v>
      </c>
      <c r="C1763" s="321">
        <f t="shared" si="176"/>
        <v>0</v>
      </c>
      <c r="D1763" s="11" t="b">
        <f t="shared" si="171"/>
        <v>0</v>
      </c>
      <c r="E1763" s="321">
        <f t="shared" si="177"/>
        <v>0</v>
      </c>
      <c r="H1763" s="11" t="b">
        <f t="shared" si="174"/>
        <v>1</v>
      </c>
      <c r="I1763" s="11" t="s">
        <v>3644</v>
      </c>
      <c r="K1763" s="11" t="b">
        <v>0</v>
      </c>
    </row>
    <row r="1764" spans="1:11">
      <c r="A1764" s="11" t="s">
        <v>2233</v>
      </c>
      <c r="B1764" s="310" t="str">
        <f>报表附注!E2001</f>
        <v>9、车船使用税</v>
      </c>
      <c r="C1764" s="321">
        <f t="shared" si="176"/>
        <v>0</v>
      </c>
      <c r="D1764" s="11" t="b">
        <f t="shared" si="171"/>
        <v>0</v>
      </c>
      <c r="E1764" s="321">
        <f t="shared" si="177"/>
        <v>0</v>
      </c>
      <c r="H1764" s="11" t="b">
        <f t="shared" si="174"/>
        <v>1</v>
      </c>
      <c r="I1764" s="11" t="s">
        <v>3645</v>
      </c>
      <c r="K1764" s="11" t="b">
        <v>0</v>
      </c>
    </row>
    <row r="1765" spans="1:11">
      <c r="A1765" s="11" t="s">
        <v>2234</v>
      </c>
      <c r="B1765" s="310" t="str">
        <f>报表附注!E2002</f>
        <v>10、城市维护建设税</v>
      </c>
      <c r="C1765" s="321">
        <f t="shared" si="176"/>
        <v>0</v>
      </c>
      <c r="D1765" s="11" t="b">
        <f t="shared" si="171"/>
        <v>0</v>
      </c>
      <c r="E1765" s="321">
        <f t="shared" si="177"/>
        <v>89833.04</v>
      </c>
      <c r="H1765" s="11" t="b">
        <f t="shared" si="174"/>
        <v>1</v>
      </c>
      <c r="I1765" s="11" t="s">
        <v>3646</v>
      </c>
      <c r="K1765" s="11" t="b">
        <v>0</v>
      </c>
    </row>
    <row r="1766" spans="1:11">
      <c r="A1766" s="11" t="s">
        <v>2235</v>
      </c>
      <c r="B1766" s="310" t="str">
        <f>报表附注!E2003</f>
        <v>11、教育附加（含地方）</v>
      </c>
      <c r="C1766" s="321">
        <f t="shared" si="176"/>
        <v>0</v>
      </c>
      <c r="D1766" s="11" t="b">
        <f t="shared" si="171"/>
        <v>0</v>
      </c>
      <c r="E1766" s="321">
        <f t="shared" si="177"/>
        <v>63812.82</v>
      </c>
      <c r="H1766" s="11" t="b">
        <f t="shared" si="174"/>
        <v>1</v>
      </c>
      <c r="I1766" s="11" t="s">
        <v>3647</v>
      </c>
      <c r="K1766" s="11" t="b">
        <v>0</v>
      </c>
    </row>
    <row r="1767" spans="1:11">
      <c r="A1767" s="11" t="s">
        <v>2236</v>
      </c>
      <c r="B1767" s="310" t="str">
        <f>报表附注!E2004</f>
        <v>12、矿产资源补偿费</v>
      </c>
      <c r="C1767" s="321">
        <f t="shared" si="176"/>
        <v>0</v>
      </c>
      <c r="D1767" s="11" t="b">
        <f t="shared" si="171"/>
        <v>0</v>
      </c>
      <c r="E1767" s="321">
        <f t="shared" si="177"/>
        <v>0</v>
      </c>
      <c r="H1767" s="11" t="b">
        <f t="shared" si="174"/>
        <v>1</v>
      </c>
      <c r="I1767" s="11" t="s">
        <v>3648</v>
      </c>
      <c r="K1767" s="11" t="b">
        <v>0</v>
      </c>
    </row>
    <row r="1768" spans="1:11">
      <c r="A1768" s="11" t="s">
        <v>2237</v>
      </c>
      <c r="B1768" s="310" t="str">
        <f>报表附注!E2005</f>
        <v>13、代扣代缴个人所得税</v>
      </c>
      <c r="C1768" s="321">
        <f t="shared" si="176"/>
        <v>0</v>
      </c>
      <c r="D1768" s="11" t="b">
        <f t="shared" si="171"/>
        <v>0</v>
      </c>
      <c r="E1768" s="321">
        <f t="shared" si="177"/>
        <v>20706.5</v>
      </c>
      <c r="H1768" s="11" t="b">
        <f t="shared" si="174"/>
        <v>1</v>
      </c>
      <c r="I1768" s="11" t="s">
        <v>3649</v>
      </c>
      <c r="K1768" s="11" t="b">
        <v>0</v>
      </c>
    </row>
    <row r="1769" spans="1:11">
      <c r="A1769" s="11" t="s">
        <v>2238</v>
      </c>
      <c r="B1769" s="310" t="str">
        <f>报表附注!E2006</f>
        <v>14、印花税</v>
      </c>
      <c r="C1769" s="321">
        <f t="shared" si="176"/>
        <v>0</v>
      </c>
      <c r="D1769" s="11" t="b">
        <f t="shared" si="171"/>
        <v>0</v>
      </c>
      <c r="E1769" s="321">
        <f t="shared" si="177"/>
        <v>0</v>
      </c>
      <c r="H1769" s="11" t="b">
        <f t="shared" si="174"/>
        <v>1</v>
      </c>
      <c r="I1769" s="11" t="s">
        <v>3650</v>
      </c>
      <c r="K1769" s="11" t="b">
        <v>0</v>
      </c>
    </row>
    <row r="1770" spans="1:11">
      <c r="A1770" s="11" t="s">
        <v>2239</v>
      </c>
      <c r="B1770" s="310" t="str">
        <f>报表附注!E2007</f>
        <v>15、防洪保安费（堤围费）</v>
      </c>
      <c r="C1770" s="321">
        <f t="shared" si="176"/>
        <v>0</v>
      </c>
      <c r="D1770" s="11" t="b">
        <f t="shared" si="171"/>
        <v>0</v>
      </c>
      <c r="E1770" s="321">
        <f t="shared" si="177"/>
        <v>0</v>
      </c>
      <c r="H1770" s="11" t="b">
        <f t="shared" si="174"/>
        <v>1</v>
      </c>
      <c r="I1770" s="11" t="s">
        <v>3651</v>
      </c>
      <c r="K1770" s="11" t="b">
        <v>0</v>
      </c>
    </row>
    <row r="1771" spans="1:11">
      <c r="A1771" s="11" t="s">
        <v>2240</v>
      </c>
      <c r="B1771" s="310" t="str">
        <f>报表附注!E2008</f>
        <v>16、电力监管费</v>
      </c>
      <c r="C1771" s="321">
        <f t="shared" si="176"/>
        <v>0</v>
      </c>
      <c r="D1771" s="11" t="b">
        <f t="shared" si="171"/>
        <v>0</v>
      </c>
      <c r="E1771" s="321">
        <f t="shared" si="177"/>
        <v>0</v>
      </c>
      <c r="H1771" s="11" t="b">
        <f t="shared" si="174"/>
        <v>1</v>
      </c>
      <c r="I1771" s="11" t="s">
        <v>3652</v>
      </c>
      <c r="K1771" s="11" t="b">
        <v>0</v>
      </c>
    </row>
    <row r="1772" spans="1:11">
      <c r="A1772" s="11" t="s">
        <v>2241</v>
      </c>
      <c r="B1772" s="310" t="str">
        <f>报表附注!E2009</f>
        <v>17、水资源费</v>
      </c>
      <c r="C1772" s="321">
        <f t="shared" si="176"/>
        <v>0</v>
      </c>
      <c r="D1772" s="11" t="b">
        <f t="shared" si="171"/>
        <v>0</v>
      </c>
      <c r="E1772" s="321">
        <f t="shared" si="177"/>
        <v>0</v>
      </c>
      <c r="H1772" s="11" t="b">
        <f t="shared" si="174"/>
        <v>1</v>
      </c>
      <c r="I1772" s="11" t="s">
        <v>3653</v>
      </c>
      <c r="K1772" s="11" t="b">
        <v>0</v>
      </c>
    </row>
    <row r="1773" spans="1:11">
      <c r="A1773" s="11" t="s">
        <v>2242</v>
      </c>
      <c r="B1773" s="310" t="str">
        <f>报表附注!E2010</f>
        <v>18、库区维护费</v>
      </c>
      <c r="C1773" s="321">
        <f t="shared" si="176"/>
        <v>0</v>
      </c>
      <c r="D1773" s="11" t="b">
        <f t="shared" si="171"/>
        <v>0</v>
      </c>
      <c r="E1773" s="321">
        <f t="shared" si="177"/>
        <v>0</v>
      </c>
      <c r="H1773" s="11" t="b">
        <f t="shared" si="174"/>
        <v>1</v>
      </c>
      <c r="I1773" s="11" t="s">
        <v>3654</v>
      </c>
      <c r="K1773" s="11" t="b">
        <v>0</v>
      </c>
    </row>
    <row r="1774" spans="1:11">
      <c r="A1774" s="11" t="s">
        <v>2243</v>
      </c>
      <c r="B1774" s="310" t="str">
        <f>报表附注!E2011</f>
        <v>19、代扣代缴企业所得税</v>
      </c>
      <c r="C1774" s="321">
        <f t="shared" si="176"/>
        <v>0</v>
      </c>
      <c r="D1774" s="11" t="b">
        <f t="shared" si="171"/>
        <v>0</v>
      </c>
      <c r="E1774" s="321">
        <f t="shared" si="177"/>
        <v>0</v>
      </c>
      <c r="H1774" s="11" t="b">
        <f t="shared" si="174"/>
        <v>1</v>
      </c>
      <c r="I1774" s="11" t="s">
        <v>3655</v>
      </c>
      <c r="K1774" s="11" t="b">
        <v>0</v>
      </c>
    </row>
    <row r="1775" spans="1:11">
      <c r="A1775" s="11" t="s">
        <v>2244</v>
      </c>
      <c r="B1775" s="310" t="str">
        <f>报表附注!E2012</f>
        <v>20、其他1-地方水利建设基金</v>
      </c>
      <c r="C1775" s="321">
        <f t="shared" si="176"/>
        <v>0</v>
      </c>
      <c r="D1775" s="11" t="b">
        <f t="shared" si="171"/>
        <v>0</v>
      </c>
      <c r="E1775" s="321">
        <f t="shared" si="177"/>
        <v>0</v>
      </c>
      <c r="H1775" s="11" t="b">
        <f t="shared" si="174"/>
        <v>1</v>
      </c>
      <c r="I1775" s="11" t="s">
        <v>3656</v>
      </c>
      <c r="K1775" s="11" t="b">
        <v>0</v>
      </c>
    </row>
    <row r="1776" spans="1:11">
      <c r="A1776" s="11" t="s">
        <v>2245</v>
      </c>
      <c r="B1776" s="310" t="str">
        <f>报表附注!E2013</f>
        <v>21、其他2-价格调节基金</v>
      </c>
      <c r="C1776" s="321">
        <f t="shared" si="176"/>
        <v>0</v>
      </c>
      <c r="D1776" s="11" t="b">
        <f t="shared" si="171"/>
        <v>0</v>
      </c>
      <c r="E1776" s="321">
        <f t="shared" si="177"/>
        <v>0</v>
      </c>
      <c r="H1776" s="11" t="b">
        <f t="shared" si="174"/>
        <v>1</v>
      </c>
      <c r="I1776" s="11" t="s">
        <v>3657</v>
      </c>
      <c r="K1776" s="11" t="b">
        <v>0</v>
      </c>
    </row>
    <row r="1777" spans="1:11">
      <c r="A1777" s="11" t="s">
        <v>2246</v>
      </c>
      <c r="B1777" s="310" t="str">
        <f>报表附注!E2014</f>
        <v>22、其他3-排污费</v>
      </c>
      <c r="C1777" s="321">
        <f t="shared" si="176"/>
        <v>0</v>
      </c>
      <c r="D1777" s="11" t="b">
        <f t="shared" si="171"/>
        <v>0</v>
      </c>
      <c r="E1777" s="321">
        <f t="shared" si="177"/>
        <v>0</v>
      </c>
      <c r="H1777" s="11" t="b">
        <f t="shared" si="174"/>
        <v>1</v>
      </c>
      <c r="I1777" s="11" t="s">
        <v>3658</v>
      </c>
      <c r="K1777" s="11" t="b">
        <v>0</v>
      </c>
    </row>
    <row r="1778" spans="1:11">
      <c r="A1778" s="11" t="s">
        <v>2247</v>
      </c>
      <c r="B1778" s="310" t="str">
        <f>报表附注!E2015</f>
        <v>23、其他4-</v>
      </c>
      <c r="C1778" s="321">
        <f t="shared" si="176"/>
        <v>0</v>
      </c>
      <c r="D1778" s="11" t="b">
        <f t="shared" si="171"/>
        <v>0</v>
      </c>
      <c r="E1778" s="321">
        <f t="shared" si="177"/>
        <v>0</v>
      </c>
      <c r="H1778" s="11" t="b">
        <f t="shared" si="174"/>
        <v>1</v>
      </c>
      <c r="I1778" s="11" t="s">
        <v>3659</v>
      </c>
      <c r="K1778" s="11" t="b">
        <v>0</v>
      </c>
    </row>
    <row r="1779" spans="1:11">
      <c r="A1779" s="11" t="s">
        <v>2248</v>
      </c>
      <c r="B1779" s="310" t="str">
        <f>报表附注!E2016</f>
        <v>24、其他5-</v>
      </c>
      <c r="C1779" s="321">
        <f t="shared" si="176"/>
        <v>0</v>
      </c>
      <c r="D1779" s="11" t="b">
        <f t="shared" si="171"/>
        <v>0</v>
      </c>
      <c r="E1779" s="321">
        <f t="shared" si="177"/>
        <v>0</v>
      </c>
      <c r="H1779" s="11" t="b">
        <f t="shared" si="174"/>
        <v>1</v>
      </c>
      <c r="I1779" s="11" t="s">
        <v>3660</v>
      </c>
      <c r="K1779" s="11" t="b">
        <v>0</v>
      </c>
    </row>
    <row r="1780" spans="1:11">
      <c r="A1780" s="11" t="s">
        <v>2021</v>
      </c>
      <c r="B1780" s="320" t="str">
        <f>报表附注!E2017</f>
        <v>合计</v>
      </c>
      <c r="C1780" s="321">
        <f t="shared" si="176"/>
        <v>0</v>
      </c>
      <c r="D1780" s="11" t="b">
        <f t="shared" si="171"/>
        <v>1</v>
      </c>
      <c r="E1780" s="321">
        <f t="shared" si="177"/>
        <v>0</v>
      </c>
      <c r="H1780" s="11" t="b">
        <f t="shared" si="174"/>
        <v>1</v>
      </c>
      <c r="I1780" s="11" t="s">
        <v>2021</v>
      </c>
      <c r="K1780" s="11" t="b">
        <v>1</v>
      </c>
    </row>
    <row r="1781" spans="1:11">
      <c r="A1781" s="11" t="s">
        <v>2249</v>
      </c>
      <c r="B1781" s="333" t="s">
        <v>2249</v>
      </c>
      <c r="D1781" s="11" t="b">
        <f t="shared" si="171"/>
        <v>1</v>
      </c>
      <c r="H1781" s="11" t="b">
        <f t="shared" si="174"/>
        <v>0</v>
      </c>
      <c r="I1781" s="11" t="s">
        <v>316</v>
      </c>
      <c r="K1781" s="11" t="b">
        <v>1</v>
      </c>
    </row>
    <row r="1782" spans="1:11">
      <c r="A1782" s="11" t="s">
        <v>2225</v>
      </c>
      <c r="B1782" s="310" t="str">
        <f>报表附注!E1993</f>
        <v>1、企业所得税</v>
      </c>
      <c r="C1782" s="321">
        <f t="shared" si="176"/>
        <v>0</v>
      </c>
      <c r="D1782" s="11" t="b">
        <f t="shared" si="171"/>
        <v>0</v>
      </c>
      <c r="E1782" s="311"/>
      <c r="H1782" s="11" t="b">
        <f t="shared" si="174"/>
        <v>1</v>
      </c>
      <c r="I1782" s="11" t="s">
        <v>3637</v>
      </c>
      <c r="J1782" s="323">
        <v>3027757.18</v>
      </c>
      <c r="K1782" s="11" t="b">
        <v>0</v>
      </c>
    </row>
    <row r="1783" spans="1:11">
      <c r="A1783" s="11" t="s">
        <v>2226</v>
      </c>
      <c r="B1783" s="310" t="str">
        <f>报表附注!E1994</f>
        <v>2、增值税</v>
      </c>
      <c r="C1783" s="321">
        <f t="shared" si="176"/>
        <v>0</v>
      </c>
      <c r="D1783" s="11" t="b">
        <f t="shared" si="171"/>
        <v>0</v>
      </c>
      <c r="E1783" s="311"/>
      <c r="H1783" s="11" t="b">
        <f t="shared" si="174"/>
        <v>1</v>
      </c>
      <c r="I1783" s="11" t="s">
        <v>3638</v>
      </c>
      <c r="J1783" s="323">
        <v>2437394.53</v>
      </c>
      <c r="K1783" s="11" t="b">
        <v>0</v>
      </c>
    </row>
    <row r="1784" spans="1:11">
      <c r="A1784" s="11" t="s">
        <v>2227</v>
      </c>
      <c r="B1784" s="310" t="str">
        <f>报表附注!E1995</f>
        <v>3、营业税</v>
      </c>
      <c r="C1784" s="321">
        <f t="shared" si="176"/>
        <v>0</v>
      </c>
      <c r="D1784" s="11" t="b">
        <f t="shared" si="171"/>
        <v>0</v>
      </c>
      <c r="E1784" s="311"/>
      <c r="H1784" s="11" t="b">
        <f t="shared" si="174"/>
        <v>1</v>
      </c>
      <c r="I1784" s="11" t="s">
        <v>3639</v>
      </c>
      <c r="K1784" s="11" t="b">
        <v>0</v>
      </c>
    </row>
    <row r="1785" spans="1:11">
      <c r="A1785" s="11" t="s">
        <v>2228</v>
      </c>
      <c r="B1785" s="310" t="str">
        <f>报表附注!E1996</f>
        <v>4、消费税</v>
      </c>
      <c r="C1785" s="321">
        <f t="shared" si="176"/>
        <v>0</v>
      </c>
      <c r="D1785" s="11" t="b">
        <f t="shared" si="171"/>
        <v>0</v>
      </c>
      <c r="E1785" s="311"/>
      <c r="H1785" s="11" t="b">
        <f t="shared" si="174"/>
        <v>1</v>
      </c>
      <c r="I1785" s="11" t="s">
        <v>3640</v>
      </c>
      <c r="J1785" s="323">
        <v>0</v>
      </c>
      <c r="K1785" s="11" t="b">
        <v>0</v>
      </c>
    </row>
    <row r="1786" spans="1:11">
      <c r="A1786" s="11" t="s">
        <v>2229</v>
      </c>
      <c r="B1786" s="310" t="str">
        <f>报表附注!E1997</f>
        <v>5、资源税</v>
      </c>
      <c r="C1786" s="321">
        <f t="shared" si="176"/>
        <v>0</v>
      </c>
      <c r="D1786" s="11" t="b">
        <f t="shared" si="171"/>
        <v>0</v>
      </c>
      <c r="E1786" s="311"/>
      <c r="H1786" s="11" t="b">
        <f t="shared" si="174"/>
        <v>1</v>
      </c>
      <c r="I1786" s="11" t="s">
        <v>3641</v>
      </c>
      <c r="J1786" s="323">
        <v>0</v>
      </c>
      <c r="K1786" s="11" t="b">
        <v>0</v>
      </c>
    </row>
    <row r="1787" spans="1:11">
      <c r="A1787" s="11" t="s">
        <v>2230</v>
      </c>
      <c r="B1787" s="310" t="str">
        <f>报表附注!E1998</f>
        <v>6、土地增值税</v>
      </c>
      <c r="C1787" s="321">
        <f t="shared" si="176"/>
        <v>0</v>
      </c>
      <c r="D1787" s="11" t="b">
        <f t="shared" si="171"/>
        <v>0</v>
      </c>
      <c r="E1787" s="311"/>
      <c r="H1787" s="11" t="b">
        <f t="shared" si="174"/>
        <v>1</v>
      </c>
      <c r="I1787" s="11" t="s">
        <v>3642</v>
      </c>
      <c r="J1787" s="323">
        <v>0</v>
      </c>
      <c r="K1787" s="11" t="b">
        <v>0</v>
      </c>
    </row>
    <row r="1788" spans="1:11">
      <c r="A1788" s="11" t="s">
        <v>2231</v>
      </c>
      <c r="B1788" s="310" t="str">
        <f>报表附注!E1999</f>
        <v>7、土地使用税</v>
      </c>
      <c r="C1788" s="321">
        <f t="shared" si="176"/>
        <v>0</v>
      </c>
      <c r="D1788" s="11" t="b">
        <f t="shared" si="171"/>
        <v>0</v>
      </c>
      <c r="E1788" s="311"/>
      <c r="H1788" s="11" t="b">
        <f t="shared" si="174"/>
        <v>1</v>
      </c>
      <c r="I1788" s="11" t="s">
        <v>3643</v>
      </c>
      <c r="J1788" s="323">
        <v>0</v>
      </c>
      <c r="K1788" s="11" t="b">
        <v>0</v>
      </c>
    </row>
    <row r="1789" spans="1:11">
      <c r="A1789" s="11" t="s">
        <v>2232</v>
      </c>
      <c r="B1789" s="310" t="str">
        <f>报表附注!E2000</f>
        <v>8、房产税</v>
      </c>
      <c r="C1789" s="321">
        <f t="shared" si="176"/>
        <v>0</v>
      </c>
      <c r="D1789" s="11" t="b">
        <f t="shared" si="171"/>
        <v>0</v>
      </c>
      <c r="E1789" s="311"/>
      <c r="H1789" s="11" t="b">
        <f t="shared" si="174"/>
        <v>1</v>
      </c>
      <c r="I1789" s="11" t="s">
        <v>3644</v>
      </c>
      <c r="J1789" s="323">
        <v>0</v>
      </c>
      <c r="K1789" s="11" t="b">
        <v>0</v>
      </c>
    </row>
    <row r="1790" spans="1:11">
      <c r="A1790" s="11" t="s">
        <v>2233</v>
      </c>
      <c r="B1790" s="310" t="str">
        <f>报表附注!E2001</f>
        <v>9、车船使用税</v>
      </c>
      <c r="C1790" s="321">
        <f t="shared" si="176"/>
        <v>0</v>
      </c>
      <c r="D1790" s="11" t="b">
        <f t="shared" ref="D1790:D1853" si="178">EXACT(A1790,B1790)</f>
        <v>0</v>
      </c>
      <c r="E1790" s="311"/>
      <c r="H1790" s="11" t="b">
        <f t="shared" si="174"/>
        <v>1</v>
      </c>
      <c r="I1790" s="11" t="s">
        <v>3645</v>
      </c>
      <c r="J1790" s="323">
        <v>0</v>
      </c>
      <c r="K1790" s="11" t="b">
        <v>0</v>
      </c>
    </row>
    <row r="1791" spans="1:11">
      <c r="A1791" s="11" t="s">
        <v>2234</v>
      </c>
      <c r="B1791" s="310" t="str">
        <f>报表附注!E2002</f>
        <v>10、城市维护建设税</v>
      </c>
      <c r="C1791" s="321">
        <f t="shared" si="176"/>
        <v>0</v>
      </c>
      <c r="D1791" s="11" t="b">
        <f t="shared" si="178"/>
        <v>0</v>
      </c>
      <c r="E1791" s="311"/>
      <c r="H1791" s="11" t="b">
        <f t="shared" si="174"/>
        <v>1</v>
      </c>
      <c r="I1791" s="11" t="s">
        <v>3646</v>
      </c>
      <c r="J1791" s="323">
        <v>89833.04</v>
      </c>
      <c r="K1791" s="11" t="b">
        <v>0</v>
      </c>
    </row>
    <row r="1792" spans="1:11">
      <c r="A1792" s="11" t="s">
        <v>2235</v>
      </c>
      <c r="B1792" s="310" t="str">
        <f>报表附注!E2003</f>
        <v>11、教育附加（含地方）</v>
      </c>
      <c r="C1792" s="321">
        <f t="shared" si="176"/>
        <v>0</v>
      </c>
      <c r="D1792" s="11" t="b">
        <f t="shared" si="178"/>
        <v>0</v>
      </c>
      <c r="E1792" s="311"/>
      <c r="H1792" s="11" t="b">
        <f t="shared" si="174"/>
        <v>1</v>
      </c>
      <c r="I1792" s="11" t="s">
        <v>3647</v>
      </c>
      <c r="J1792" s="323">
        <f>38287.68+25525.14</f>
        <v>63812.82</v>
      </c>
      <c r="K1792" s="11" t="b">
        <v>0</v>
      </c>
    </row>
    <row r="1793" spans="1:11">
      <c r="A1793" s="11" t="s">
        <v>2236</v>
      </c>
      <c r="B1793" s="310" t="str">
        <f>报表附注!E2004</f>
        <v>12、矿产资源补偿费</v>
      </c>
      <c r="C1793" s="321">
        <f t="shared" si="176"/>
        <v>0</v>
      </c>
      <c r="D1793" s="11" t="b">
        <f t="shared" si="178"/>
        <v>0</v>
      </c>
      <c r="E1793" s="311"/>
      <c r="H1793" s="11" t="b">
        <f t="shared" si="174"/>
        <v>1</v>
      </c>
      <c r="I1793" s="11" t="s">
        <v>3648</v>
      </c>
      <c r="J1793" s="323">
        <v>0</v>
      </c>
      <c r="K1793" s="11" t="b">
        <v>0</v>
      </c>
    </row>
    <row r="1794" spans="1:11">
      <c r="A1794" s="11" t="s">
        <v>2237</v>
      </c>
      <c r="B1794" s="310" t="str">
        <f>报表附注!E2005</f>
        <v>13、代扣代缴个人所得税</v>
      </c>
      <c r="C1794" s="321">
        <f t="shared" si="176"/>
        <v>0</v>
      </c>
      <c r="D1794" s="11" t="b">
        <f t="shared" si="178"/>
        <v>0</v>
      </c>
      <c r="E1794" s="311"/>
      <c r="H1794" s="11" t="b">
        <f t="shared" si="174"/>
        <v>1</v>
      </c>
      <c r="I1794" s="11" t="s">
        <v>3649</v>
      </c>
      <c r="J1794" s="323">
        <v>20706.5</v>
      </c>
      <c r="K1794" s="11" t="b">
        <v>0</v>
      </c>
    </row>
    <row r="1795" spans="1:11">
      <c r="A1795" s="11" t="s">
        <v>2238</v>
      </c>
      <c r="B1795" s="310" t="str">
        <f>报表附注!E2006</f>
        <v>14、印花税</v>
      </c>
      <c r="C1795" s="321">
        <f t="shared" si="176"/>
        <v>0</v>
      </c>
      <c r="D1795" s="11" t="b">
        <f t="shared" si="178"/>
        <v>0</v>
      </c>
      <c r="E1795" s="311"/>
      <c r="H1795" s="11" t="b">
        <f t="shared" si="174"/>
        <v>1</v>
      </c>
      <c r="I1795" s="11" t="s">
        <v>3650</v>
      </c>
      <c r="K1795" s="11" t="b">
        <v>0</v>
      </c>
    </row>
    <row r="1796" spans="1:11">
      <c r="A1796" s="11" t="s">
        <v>2239</v>
      </c>
      <c r="B1796" s="310" t="str">
        <f>报表附注!E2007</f>
        <v>15、防洪保安费（堤围费）</v>
      </c>
      <c r="C1796" s="321">
        <f t="shared" si="176"/>
        <v>0</v>
      </c>
      <c r="D1796" s="11" t="b">
        <f t="shared" si="178"/>
        <v>0</v>
      </c>
      <c r="E1796" s="311"/>
      <c r="H1796" s="11" t="b">
        <f t="shared" ref="H1796:H1859" si="179">I1796=B1796</f>
        <v>1</v>
      </c>
      <c r="I1796" s="11" t="s">
        <v>3651</v>
      </c>
      <c r="K1796" s="11" t="b">
        <v>0</v>
      </c>
    </row>
    <row r="1797" spans="1:11">
      <c r="A1797" s="11" t="s">
        <v>2240</v>
      </c>
      <c r="B1797" s="310" t="str">
        <f>报表附注!E2008</f>
        <v>16、电力监管费</v>
      </c>
      <c r="C1797" s="321">
        <f t="shared" si="176"/>
        <v>0</v>
      </c>
      <c r="D1797" s="11" t="b">
        <f t="shared" si="178"/>
        <v>0</v>
      </c>
      <c r="E1797" s="311"/>
      <c r="H1797" s="11" t="b">
        <f t="shared" si="179"/>
        <v>1</v>
      </c>
      <c r="I1797" s="11" t="s">
        <v>3652</v>
      </c>
      <c r="K1797" s="11" t="b">
        <v>0</v>
      </c>
    </row>
    <row r="1798" spans="1:11">
      <c r="A1798" s="11" t="s">
        <v>2241</v>
      </c>
      <c r="B1798" s="310" t="str">
        <f>报表附注!E2009</f>
        <v>17、水资源费</v>
      </c>
      <c r="C1798" s="321">
        <f t="shared" si="176"/>
        <v>0</v>
      </c>
      <c r="D1798" s="11" t="b">
        <f t="shared" si="178"/>
        <v>0</v>
      </c>
      <c r="E1798" s="311"/>
      <c r="H1798" s="11" t="b">
        <f t="shared" si="179"/>
        <v>1</v>
      </c>
      <c r="I1798" s="11" t="s">
        <v>3653</v>
      </c>
      <c r="K1798" s="11" t="b">
        <v>0</v>
      </c>
    </row>
    <row r="1799" spans="1:11">
      <c r="A1799" s="11" t="s">
        <v>2242</v>
      </c>
      <c r="B1799" s="310" t="str">
        <f>报表附注!E2010</f>
        <v>18、库区维护费</v>
      </c>
      <c r="C1799" s="321">
        <f t="shared" si="176"/>
        <v>0</v>
      </c>
      <c r="D1799" s="11" t="b">
        <f t="shared" si="178"/>
        <v>0</v>
      </c>
      <c r="E1799" s="311"/>
      <c r="H1799" s="11" t="b">
        <f t="shared" si="179"/>
        <v>1</v>
      </c>
      <c r="I1799" s="11" t="s">
        <v>3654</v>
      </c>
      <c r="K1799" s="11" t="b">
        <v>0</v>
      </c>
    </row>
    <row r="1800" spans="1:11">
      <c r="A1800" s="11" t="s">
        <v>2243</v>
      </c>
      <c r="B1800" s="310" t="str">
        <f>报表附注!E2011</f>
        <v>19、代扣代缴企业所得税</v>
      </c>
      <c r="C1800" s="321">
        <f t="shared" si="176"/>
        <v>0</v>
      </c>
      <c r="D1800" s="11" t="b">
        <f t="shared" si="178"/>
        <v>0</v>
      </c>
      <c r="E1800" s="311"/>
      <c r="H1800" s="11" t="b">
        <f t="shared" si="179"/>
        <v>1</v>
      </c>
      <c r="I1800" s="11" t="s">
        <v>3655</v>
      </c>
      <c r="K1800" s="11" t="b">
        <v>0</v>
      </c>
    </row>
    <row r="1801" spans="1:11">
      <c r="A1801" s="11" t="s">
        <v>2244</v>
      </c>
      <c r="B1801" s="310" t="str">
        <f>报表附注!E2012</f>
        <v>20、其他1-地方水利建设基金</v>
      </c>
      <c r="C1801" s="321">
        <f t="shared" si="176"/>
        <v>0</v>
      </c>
      <c r="D1801" s="11" t="b">
        <f t="shared" si="178"/>
        <v>0</v>
      </c>
      <c r="E1801" s="311"/>
      <c r="H1801" s="11" t="b">
        <f t="shared" si="179"/>
        <v>1</v>
      </c>
      <c r="I1801" s="11" t="s">
        <v>3656</v>
      </c>
      <c r="K1801" s="11" t="b">
        <v>0</v>
      </c>
    </row>
    <row r="1802" spans="1:11">
      <c r="A1802" s="11" t="s">
        <v>2245</v>
      </c>
      <c r="B1802" s="310" t="str">
        <f>报表附注!E2013</f>
        <v>21、其他2-价格调节基金</v>
      </c>
      <c r="C1802" s="321">
        <f t="shared" si="176"/>
        <v>0</v>
      </c>
      <c r="D1802" s="11" t="b">
        <f t="shared" si="178"/>
        <v>0</v>
      </c>
      <c r="E1802" s="311"/>
      <c r="H1802" s="11" t="b">
        <f t="shared" si="179"/>
        <v>1</v>
      </c>
      <c r="I1802" s="11" t="s">
        <v>3657</v>
      </c>
      <c r="K1802" s="11" t="b">
        <v>0</v>
      </c>
    </row>
    <row r="1803" spans="1:11">
      <c r="A1803" s="11" t="s">
        <v>2246</v>
      </c>
      <c r="B1803" s="310" t="str">
        <f>报表附注!E2014</f>
        <v>22、其他3-排污费</v>
      </c>
      <c r="C1803" s="321">
        <f t="shared" si="176"/>
        <v>0</v>
      </c>
      <c r="D1803" s="11" t="b">
        <f t="shared" si="178"/>
        <v>0</v>
      </c>
      <c r="E1803" s="311"/>
      <c r="H1803" s="11" t="b">
        <f t="shared" si="179"/>
        <v>1</v>
      </c>
      <c r="I1803" s="11" t="s">
        <v>3658</v>
      </c>
      <c r="K1803" s="11" t="b">
        <v>0</v>
      </c>
    </row>
    <row r="1804" spans="1:11">
      <c r="A1804" s="11" t="s">
        <v>2247</v>
      </c>
      <c r="B1804" s="310" t="str">
        <f>报表附注!E2015</f>
        <v>23、其他4-</v>
      </c>
      <c r="C1804" s="321">
        <f t="shared" si="176"/>
        <v>0</v>
      </c>
      <c r="D1804" s="11" t="b">
        <f t="shared" si="178"/>
        <v>0</v>
      </c>
      <c r="E1804" s="311"/>
      <c r="H1804" s="11" t="b">
        <f t="shared" si="179"/>
        <v>1</v>
      </c>
      <c r="I1804" s="11" t="s">
        <v>3659</v>
      </c>
      <c r="K1804" s="11" t="b">
        <v>0</v>
      </c>
    </row>
    <row r="1805" spans="1:11">
      <c r="A1805" s="11" t="s">
        <v>2248</v>
      </c>
      <c r="B1805" s="310" t="str">
        <f>报表附注!E2016</f>
        <v>24、其他5-</v>
      </c>
      <c r="C1805" s="321">
        <f t="shared" si="176"/>
        <v>0</v>
      </c>
      <c r="D1805" s="11" t="b">
        <f t="shared" si="178"/>
        <v>0</v>
      </c>
      <c r="E1805" s="311"/>
      <c r="H1805" s="11" t="b">
        <f t="shared" si="179"/>
        <v>1</v>
      </c>
      <c r="I1805" s="11" t="s">
        <v>3660</v>
      </c>
      <c r="K1805" s="11" t="b">
        <v>0</v>
      </c>
    </row>
    <row r="1806" spans="1:11">
      <c r="A1806" s="11" t="s">
        <v>2021</v>
      </c>
      <c r="B1806" s="320" t="str">
        <f>报表附注!E2017</f>
        <v>合计</v>
      </c>
      <c r="C1806" s="321">
        <f t="shared" si="176"/>
        <v>0</v>
      </c>
      <c r="D1806" s="11" t="b">
        <f t="shared" si="178"/>
        <v>1</v>
      </c>
      <c r="E1806" s="311"/>
      <c r="H1806" s="11" t="b">
        <f t="shared" si="179"/>
        <v>1</v>
      </c>
      <c r="I1806" s="11" t="s">
        <v>2021</v>
      </c>
      <c r="K1806" s="11" t="b">
        <v>1</v>
      </c>
    </row>
    <row r="1807" spans="1:11">
      <c r="A1807" s="11" t="s">
        <v>2250</v>
      </c>
      <c r="B1807" s="333" t="s">
        <v>2250</v>
      </c>
      <c r="D1807" s="11" t="b">
        <f t="shared" si="178"/>
        <v>1</v>
      </c>
      <c r="E1807" s="326"/>
      <c r="H1807" s="11" t="b">
        <f t="shared" si="179"/>
        <v>0</v>
      </c>
      <c r="K1807" s="11" t="b">
        <v>1</v>
      </c>
    </row>
    <row r="1808" spans="1:11">
      <c r="A1808" s="11" t="s">
        <v>2225</v>
      </c>
      <c r="B1808" s="310" t="str">
        <f>报表附注!E1993</f>
        <v>1、企业所得税</v>
      </c>
      <c r="C1808" s="321">
        <f t="shared" si="176"/>
        <v>0</v>
      </c>
      <c r="D1808" s="11" t="b">
        <f t="shared" si="178"/>
        <v>0</v>
      </c>
      <c r="E1808" s="311"/>
      <c r="H1808" s="11" t="b">
        <f t="shared" si="179"/>
        <v>0</v>
      </c>
      <c r="I1808" s="11" t="s">
        <v>2251</v>
      </c>
      <c r="K1808" s="11" t="b">
        <v>1</v>
      </c>
    </row>
    <row r="1809" spans="1:11">
      <c r="A1809" s="11" t="s">
        <v>2226</v>
      </c>
      <c r="B1809" s="310" t="str">
        <f>报表附注!E1994</f>
        <v>2、增值税</v>
      </c>
      <c r="C1809" s="321">
        <f t="shared" si="176"/>
        <v>0</v>
      </c>
      <c r="D1809" s="11" t="b">
        <f t="shared" si="178"/>
        <v>0</v>
      </c>
      <c r="E1809" s="311"/>
      <c r="H1809" s="11" t="b">
        <f t="shared" si="179"/>
        <v>0</v>
      </c>
      <c r="I1809" s="11" t="s">
        <v>516</v>
      </c>
      <c r="K1809" s="11" t="b">
        <v>1</v>
      </c>
    </row>
    <row r="1810" spans="1:11">
      <c r="A1810" s="11" t="s">
        <v>2227</v>
      </c>
      <c r="B1810" s="310" t="str">
        <f>报表附注!E1995</f>
        <v>3、营业税</v>
      </c>
      <c r="C1810" s="321">
        <f t="shared" si="176"/>
        <v>0</v>
      </c>
      <c r="D1810" s="11" t="b">
        <f t="shared" si="178"/>
        <v>0</v>
      </c>
      <c r="E1810" s="311"/>
      <c r="H1810" s="11" t="b">
        <f t="shared" si="179"/>
        <v>0</v>
      </c>
      <c r="I1810" s="11" t="s">
        <v>2252</v>
      </c>
      <c r="K1810" s="11" t="b">
        <v>1</v>
      </c>
    </row>
    <row r="1811" spans="1:11">
      <c r="A1811" s="11" t="s">
        <v>2228</v>
      </c>
      <c r="B1811" s="310" t="str">
        <f>报表附注!E1996</f>
        <v>4、消费税</v>
      </c>
      <c r="C1811" s="321">
        <f t="shared" si="176"/>
        <v>0</v>
      </c>
      <c r="D1811" s="11" t="b">
        <f t="shared" si="178"/>
        <v>0</v>
      </c>
      <c r="E1811" s="311"/>
      <c r="H1811" s="11" t="b">
        <f t="shared" si="179"/>
        <v>0</v>
      </c>
      <c r="I1811" s="11" t="s">
        <v>2253</v>
      </c>
      <c r="K1811" s="11" t="b">
        <v>1</v>
      </c>
    </row>
    <row r="1812" spans="1:11">
      <c r="A1812" s="11" t="s">
        <v>2229</v>
      </c>
      <c r="B1812" s="310" t="str">
        <f>报表附注!E1997</f>
        <v>5、资源税</v>
      </c>
      <c r="C1812" s="321">
        <f t="shared" si="176"/>
        <v>0</v>
      </c>
      <c r="D1812" s="11" t="b">
        <f t="shared" si="178"/>
        <v>0</v>
      </c>
      <c r="E1812" s="311"/>
      <c r="H1812" s="11" t="b">
        <f t="shared" si="179"/>
        <v>0</v>
      </c>
      <c r="I1812" s="11" t="s">
        <v>2254</v>
      </c>
      <c r="K1812" s="11" t="b">
        <v>1</v>
      </c>
    </row>
    <row r="1813" spans="1:11">
      <c r="A1813" s="11" t="s">
        <v>2230</v>
      </c>
      <c r="B1813" s="310" t="str">
        <f>报表附注!E1998</f>
        <v>6、土地增值税</v>
      </c>
      <c r="C1813" s="321">
        <f t="shared" si="176"/>
        <v>0</v>
      </c>
      <c r="D1813" s="11" t="b">
        <f t="shared" si="178"/>
        <v>0</v>
      </c>
      <c r="E1813" s="311"/>
      <c r="H1813" s="11" t="b">
        <f t="shared" si="179"/>
        <v>0</v>
      </c>
      <c r="I1813" s="11" t="s">
        <v>2021</v>
      </c>
      <c r="K1813" s="11" t="b">
        <v>1</v>
      </c>
    </row>
    <row r="1814" spans="1:11">
      <c r="A1814" s="11" t="s">
        <v>2231</v>
      </c>
      <c r="B1814" s="310" t="str">
        <f>报表附注!E1999</f>
        <v>7、土地使用税</v>
      </c>
      <c r="C1814" s="321">
        <f t="shared" si="176"/>
        <v>0</v>
      </c>
      <c r="D1814" s="11" t="b">
        <f t="shared" si="178"/>
        <v>0</v>
      </c>
      <c r="E1814" s="311"/>
      <c r="H1814" s="11" t="b">
        <f t="shared" si="179"/>
        <v>0</v>
      </c>
      <c r="K1814" s="11" t="b">
        <v>1</v>
      </c>
    </row>
    <row r="1815" spans="1:11">
      <c r="A1815" s="11" t="s">
        <v>2232</v>
      </c>
      <c r="B1815" s="310" t="str">
        <f>报表附注!E2000</f>
        <v>8、房产税</v>
      </c>
      <c r="C1815" s="321">
        <f t="shared" si="176"/>
        <v>0</v>
      </c>
      <c r="D1815" s="11" t="b">
        <f t="shared" si="178"/>
        <v>0</v>
      </c>
      <c r="E1815" s="311"/>
      <c r="H1815" s="11" t="b">
        <f t="shared" si="179"/>
        <v>0</v>
      </c>
      <c r="K1815" s="11" t="b">
        <v>1</v>
      </c>
    </row>
    <row r="1816" spans="1:11">
      <c r="A1816" s="11" t="s">
        <v>2233</v>
      </c>
      <c r="B1816" s="310" t="str">
        <f>报表附注!E2001</f>
        <v>9、车船使用税</v>
      </c>
      <c r="C1816" s="321">
        <f t="shared" si="176"/>
        <v>0</v>
      </c>
      <c r="D1816" s="11" t="b">
        <f t="shared" si="178"/>
        <v>0</v>
      </c>
      <c r="E1816" s="311"/>
      <c r="H1816" s="11" t="b">
        <f t="shared" si="179"/>
        <v>0</v>
      </c>
      <c r="I1816" s="11" t="s">
        <v>2255</v>
      </c>
      <c r="K1816" s="11" t="b">
        <v>1</v>
      </c>
    </row>
    <row r="1817" spans="1:11">
      <c r="A1817" s="11" t="s">
        <v>2234</v>
      </c>
      <c r="B1817" s="310" t="str">
        <f>报表附注!E2002</f>
        <v>10、城市维护建设税</v>
      </c>
      <c r="C1817" s="321">
        <f t="shared" si="176"/>
        <v>0</v>
      </c>
      <c r="D1817" s="11" t="b">
        <f t="shared" si="178"/>
        <v>0</v>
      </c>
      <c r="E1817" s="311"/>
      <c r="H1817" s="11" t="b">
        <f t="shared" si="179"/>
        <v>0</v>
      </c>
      <c r="K1817" s="11" t="b">
        <v>1</v>
      </c>
    </row>
    <row r="1818" spans="1:11">
      <c r="A1818" s="11" t="s">
        <v>2235</v>
      </c>
      <c r="B1818" s="310" t="str">
        <f>报表附注!E2003</f>
        <v>11、教育附加（含地方）</v>
      </c>
      <c r="C1818" s="321">
        <f t="shared" si="176"/>
        <v>0</v>
      </c>
      <c r="D1818" s="11" t="b">
        <f t="shared" si="178"/>
        <v>0</v>
      </c>
      <c r="E1818" s="311"/>
      <c r="H1818" s="11" t="b">
        <f t="shared" si="179"/>
        <v>0</v>
      </c>
      <c r="I1818" s="11" t="s">
        <v>2256</v>
      </c>
      <c r="K1818" s="11" t="b">
        <v>1</v>
      </c>
    </row>
    <row r="1819" spans="1:11">
      <c r="A1819" s="11" t="s">
        <v>2236</v>
      </c>
      <c r="B1819" s="310" t="str">
        <f>报表附注!E2004</f>
        <v>12、矿产资源补偿费</v>
      </c>
      <c r="C1819" s="321">
        <f t="shared" si="176"/>
        <v>0</v>
      </c>
      <c r="D1819" s="11" t="b">
        <f t="shared" si="178"/>
        <v>0</v>
      </c>
      <c r="E1819" s="311"/>
      <c r="H1819" s="11" t="b">
        <f t="shared" si="179"/>
        <v>0</v>
      </c>
      <c r="I1819" s="11" t="s">
        <v>316</v>
      </c>
      <c r="K1819" s="11" t="b">
        <v>1</v>
      </c>
    </row>
    <row r="1820" spans="1:11">
      <c r="A1820" s="11" t="s">
        <v>2237</v>
      </c>
      <c r="B1820" s="310" t="str">
        <f>报表附注!E2005</f>
        <v>13、代扣代缴个人所得税</v>
      </c>
      <c r="C1820" s="321">
        <f t="shared" ref="C1820:C1832" si="180">J1768</f>
        <v>0</v>
      </c>
      <c r="D1820" s="11" t="b">
        <f t="shared" si="178"/>
        <v>0</v>
      </c>
      <c r="E1820" s="311"/>
      <c r="H1820" s="11" t="b">
        <f t="shared" si="179"/>
        <v>0</v>
      </c>
      <c r="I1820" s="11" t="s">
        <v>2026</v>
      </c>
      <c r="J1820" s="323">
        <v>6973460.48</v>
      </c>
      <c r="K1820" s="11" t="b">
        <v>1</v>
      </c>
    </row>
    <row r="1821" spans="1:11">
      <c r="A1821" s="11" t="s">
        <v>2238</v>
      </c>
      <c r="B1821" s="310" t="str">
        <f>报表附注!E2006</f>
        <v>14、印花税</v>
      </c>
      <c r="C1821" s="321">
        <f t="shared" si="180"/>
        <v>0</v>
      </c>
      <c r="D1821" s="11" t="b">
        <f t="shared" si="178"/>
        <v>0</v>
      </c>
      <c r="E1821" s="311"/>
      <c r="H1821" s="11" t="b">
        <f t="shared" si="179"/>
        <v>0</v>
      </c>
      <c r="I1821" s="11" t="s">
        <v>2027</v>
      </c>
      <c r="K1821" s="11" t="b">
        <v>1</v>
      </c>
    </row>
    <row r="1822" spans="1:11">
      <c r="A1822" s="11" t="s">
        <v>2239</v>
      </c>
      <c r="B1822" s="310" t="str">
        <f>报表附注!E2007</f>
        <v>15、防洪保安费（堤围费）</v>
      </c>
      <c r="C1822" s="321">
        <f t="shared" si="180"/>
        <v>0</v>
      </c>
      <c r="D1822" s="11" t="b">
        <f t="shared" si="178"/>
        <v>0</v>
      </c>
      <c r="E1822" s="311"/>
      <c r="H1822" s="11" t="b">
        <f t="shared" si="179"/>
        <v>0</v>
      </c>
      <c r="I1822" s="11" t="s">
        <v>2028</v>
      </c>
      <c r="J1822" s="323">
        <v>150000</v>
      </c>
      <c r="K1822" s="11" t="b">
        <v>1</v>
      </c>
    </row>
    <row r="1823" spans="1:11">
      <c r="A1823" s="11" t="s">
        <v>2240</v>
      </c>
      <c r="B1823" s="310" t="str">
        <f>报表附注!E2008</f>
        <v>16、电力监管费</v>
      </c>
      <c r="C1823" s="321">
        <f t="shared" si="180"/>
        <v>0</v>
      </c>
      <c r="D1823" s="11" t="b">
        <f t="shared" si="178"/>
        <v>0</v>
      </c>
      <c r="E1823" s="311"/>
      <c r="H1823" s="11" t="b">
        <f t="shared" si="179"/>
        <v>0</v>
      </c>
      <c r="I1823" s="11" t="s">
        <v>2029</v>
      </c>
      <c r="K1823" s="11" t="b">
        <v>1</v>
      </c>
    </row>
    <row r="1824" spans="1:11">
      <c r="A1824" s="11" t="s">
        <v>2241</v>
      </c>
      <c r="B1824" s="310" t="str">
        <f>报表附注!E2009</f>
        <v>17、水资源费</v>
      </c>
      <c r="C1824" s="321">
        <f t="shared" si="180"/>
        <v>0</v>
      </c>
      <c r="D1824" s="11" t="b">
        <f t="shared" si="178"/>
        <v>0</v>
      </c>
      <c r="E1824" s="311"/>
      <c r="H1824" s="11" t="b">
        <f t="shared" si="179"/>
        <v>0</v>
      </c>
      <c r="I1824" s="11" t="s">
        <v>2030</v>
      </c>
      <c r="K1824" s="11" t="b">
        <v>1</v>
      </c>
    </row>
    <row r="1825" spans="1:11">
      <c r="A1825" s="11" t="s">
        <v>2242</v>
      </c>
      <c r="B1825" s="310" t="str">
        <f>报表附注!E2010</f>
        <v>18、库区维护费</v>
      </c>
      <c r="C1825" s="321">
        <f t="shared" si="180"/>
        <v>0</v>
      </c>
      <c r="D1825" s="11" t="b">
        <f t="shared" si="178"/>
        <v>0</v>
      </c>
      <c r="E1825" s="311"/>
      <c r="H1825" s="11" t="b">
        <f t="shared" si="179"/>
        <v>0</v>
      </c>
      <c r="I1825" s="11" t="s">
        <v>2031</v>
      </c>
      <c r="K1825" s="11" t="b">
        <v>1</v>
      </c>
    </row>
    <row r="1826" spans="1:11">
      <c r="A1826" s="11" t="s">
        <v>2243</v>
      </c>
      <c r="B1826" s="310" t="str">
        <f>报表附注!E2011</f>
        <v>19、代扣代缴企业所得税</v>
      </c>
      <c r="C1826" s="321">
        <f t="shared" si="180"/>
        <v>0</v>
      </c>
      <c r="D1826" s="11" t="b">
        <f t="shared" si="178"/>
        <v>0</v>
      </c>
      <c r="E1826" s="311"/>
      <c r="H1826" s="11" t="b">
        <f t="shared" si="179"/>
        <v>0</v>
      </c>
      <c r="I1826" s="11" t="s">
        <v>2021</v>
      </c>
      <c r="K1826" s="11" t="b">
        <v>1</v>
      </c>
    </row>
    <row r="1827" spans="1:11">
      <c r="A1827" s="11" t="s">
        <v>2244</v>
      </c>
      <c r="B1827" s="310" t="str">
        <f>报表附注!E2012</f>
        <v>20、其他1-地方水利建设基金</v>
      </c>
      <c r="C1827" s="321">
        <f t="shared" si="180"/>
        <v>0</v>
      </c>
      <c r="D1827" s="11" t="b">
        <f t="shared" si="178"/>
        <v>0</v>
      </c>
      <c r="E1827" s="311"/>
      <c r="H1827" s="11" t="b">
        <f t="shared" si="179"/>
        <v>0</v>
      </c>
      <c r="I1827" s="11" t="s">
        <v>2020</v>
      </c>
      <c r="K1827" s="11" t="b">
        <v>1</v>
      </c>
    </row>
    <row r="1828" spans="1:11">
      <c r="A1828" s="11" t="s">
        <v>2245</v>
      </c>
      <c r="B1828" s="310" t="str">
        <f>报表附注!E2013</f>
        <v>21、其他2-价格调节基金</v>
      </c>
      <c r="C1828" s="321">
        <f t="shared" si="180"/>
        <v>0</v>
      </c>
      <c r="D1828" s="11" t="b">
        <f t="shared" si="178"/>
        <v>0</v>
      </c>
      <c r="E1828" s="311"/>
      <c r="H1828" s="11" t="b">
        <f t="shared" si="179"/>
        <v>0</v>
      </c>
      <c r="I1828" s="11" t="s">
        <v>2026</v>
      </c>
      <c r="K1828" s="11" t="b">
        <v>1</v>
      </c>
    </row>
    <row r="1829" spans="1:11">
      <c r="A1829" s="11" t="s">
        <v>2246</v>
      </c>
      <c r="B1829" s="310" t="str">
        <f>报表附注!E2014</f>
        <v>22、其他3-排污费</v>
      </c>
      <c r="C1829" s="321">
        <f t="shared" si="180"/>
        <v>0</v>
      </c>
      <c r="D1829" s="11" t="b">
        <f t="shared" si="178"/>
        <v>0</v>
      </c>
      <c r="E1829" s="311"/>
      <c r="H1829" s="11" t="b">
        <f t="shared" si="179"/>
        <v>0</v>
      </c>
      <c r="I1829" s="11" t="s">
        <v>2027</v>
      </c>
      <c r="K1829" s="11" t="b">
        <v>1</v>
      </c>
    </row>
    <row r="1830" spans="1:11">
      <c r="A1830" s="11" t="s">
        <v>2247</v>
      </c>
      <c r="B1830" s="310" t="str">
        <f>报表附注!E2015</f>
        <v>23、其他4-</v>
      </c>
      <c r="C1830" s="321">
        <f t="shared" si="180"/>
        <v>0</v>
      </c>
      <c r="D1830" s="11" t="b">
        <f t="shared" si="178"/>
        <v>0</v>
      </c>
      <c r="E1830" s="311"/>
      <c r="H1830" s="11" t="b">
        <f t="shared" si="179"/>
        <v>0</v>
      </c>
      <c r="I1830" s="11" t="s">
        <v>2028</v>
      </c>
      <c r="K1830" s="11" t="b">
        <v>1</v>
      </c>
    </row>
    <row r="1831" spans="1:11">
      <c r="A1831" s="11" t="s">
        <v>2248</v>
      </c>
      <c r="B1831" s="310" t="str">
        <f>报表附注!E2016</f>
        <v>24、其他5-</v>
      </c>
      <c r="C1831" s="321">
        <f t="shared" si="180"/>
        <v>0</v>
      </c>
      <c r="D1831" s="11" t="b">
        <f t="shared" si="178"/>
        <v>0</v>
      </c>
      <c r="E1831" s="311"/>
      <c r="H1831" s="11" t="b">
        <f t="shared" si="179"/>
        <v>0</v>
      </c>
      <c r="I1831" s="11" t="s">
        <v>2029</v>
      </c>
      <c r="K1831" s="11" t="b">
        <v>1</v>
      </c>
    </row>
    <row r="1832" spans="1:11">
      <c r="A1832" s="11" t="s">
        <v>2021</v>
      </c>
      <c r="B1832" s="320" t="str">
        <f>报表附注!E2017</f>
        <v>合计</v>
      </c>
      <c r="C1832" s="321">
        <f t="shared" si="180"/>
        <v>0</v>
      </c>
      <c r="D1832" s="11" t="b">
        <f t="shared" si="178"/>
        <v>1</v>
      </c>
      <c r="E1832" s="311"/>
      <c r="H1832" s="11" t="b">
        <f t="shared" si="179"/>
        <v>0</v>
      </c>
      <c r="I1832" s="11" t="s">
        <v>2030</v>
      </c>
      <c r="K1832" s="11" t="b">
        <v>1</v>
      </c>
    </row>
    <row r="1833" spans="1:11">
      <c r="A1833" s="11" t="s">
        <v>316</v>
      </c>
      <c r="B1833" s="333" t="s">
        <v>316</v>
      </c>
      <c r="D1833" s="11" t="b">
        <f t="shared" si="178"/>
        <v>1</v>
      </c>
      <c r="E1833" s="326"/>
      <c r="H1833" s="11" t="b">
        <f t="shared" si="179"/>
        <v>0</v>
      </c>
      <c r="I1833" s="11" t="s">
        <v>2031</v>
      </c>
      <c r="K1833" s="11" t="b">
        <v>1</v>
      </c>
    </row>
    <row r="1834" spans="1:11">
      <c r="A1834" s="11" t="s">
        <v>2225</v>
      </c>
      <c r="B1834" s="373" t="str">
        <f>报表附注!E1993</f>
        <v>1、企业所得税</v>
      </c>
      <c r="C1834" s="318">
        <f t="shared" ref="C1834:C1858" si="181">J1782</f>
        <v>3027757.18</v>
      </c>
      <c r="D1834" s="11" t="b">
        <f t="shared" si="178"/>
        <v>0</v>
      </c>
      <c r="E1834" s="311"/>
      <c r="H1834" s="11" t="b">
        <f t="shared" si="179"/>
        <v>0</v>
      </c>
      <c r="I1834" s="11" t="s">
        <v>2021</v>
      </c>
      <c r="K1834" s="11" t="b">
        <v>1</v>
      </c>
    </row>
    <row r="1835" spans="1:11">
      <c r="A1835" s="11" t="s">
        <v>2226</v>
      </c>
      <c r="B1835" s="373" t="str">
        <f>报表附注!E1994</f>
        <v>2、增值税</v>
      </c>
      <c r="C1835" s="318">
        <f t="shared" si="181"/>
        <v>2437394.53</v>
      </c>
      <c r="D1835" s="11" t="b">
        <f t="shared" si="178"/>
        <v>0</v>
      </c>
      <c r="E1835" s="311"/>
      <c r="H1835" s="11" t="b">
        <f t="shared" si="179"/>
        <v>0</v>
      </c>
      <c r="K1835" s="11" t="b">
        <v>1</v>
      </c>
    </row>
    <row r="1836" spans="1:11">
      <c r="A1836" s="11" t="s">
        <v>2227</v>
      </c>
      <c r="B1836" s="373" t="str">
        <f>报表附注!E1995</f>
        <v>3、营业税</v>
      </c>
      <c r="C1836" s="318">
        <f t="shared" si="181"/>
        <v>0</v>
      </c>
      <c r="D1836" s="11" t="b">
        <f t="shared" si="178"/>
        <v>0</v>
      </c>
      <c r="E1836" s="311"/>
      <c r="H1836" s="11" t="b">
        <f t="shared" si="179"/>
        <v>0</v>
      </c>
      <c r="I1836" s="11" t="s">
        <v>2257</v>
      </c>
      <c r="K1836" s="11" t="b">
        <v>1</v>
      </c>
    </row>
    <row r="1837" spans="1:11">
      <c r="A1837" s="11" t="s">
        <v>2228</v>
      </c>
      <c r="B1837" s="373" t="str">
        <f>报表附注!E1996</f>
        <v>4、消费税</v>
      </c>
      <c r="C1837" s="318">
        <f t="shared" si="181"/>
        <v>0</v>
      </c>
      <c r="D1837" s="11" t="b">
        <f t="shared" si="178"/>
        <v>0</v>
      </c>
      <c r="E1837" s="311"/>
      <c r="H1837" s="11" t="b">
        <f t="shared" si="179"/>
        <v>0</v>
      </c>
      <c r="I1837" s="11" t="s">
        <v>671</v>
      </c>
      <c r="K1837" s="11" t="b">
        <v>1</v>
      </c>
    </row>
    <row r="1838" spans="1:11">
      <c r="A1838" s="11" t="s">
        <v>2229</v>
      </c>
      <c r="B1838" s="373" t="str">
        <f>报表附注!E1997</f>
        <v>5、资源税</v>
      </c>
      <c r="C1838" s="318">
        <f t="shared" si="181"/>
        <v>0</v>
      </c>
      <c r="D1838" s="11" t="b">
        <f t="shared" si="178"/>
        <v>0</v>
      </c>
      <c r="E1838" s="311"/>
      <c r="H1838" s="11" t="b">
        <f t="shared" si="179"/>
        <v>0</v>
      </c>
      <c r="I1838" s="11" t="s">
        <v>2258</v>
      </c>
      <c r="K1838" s="11" t="b">
        <v>1</v>
      </c>
    </row>
    <row r="1839" spans="1:11">
      <c r="A1839" s="11" t="s">
        <v>2230</v>
      </c>
      <c r="B1839" s="373" t="str">
        <f>报表附注!E1998</f>
        <v>6、土地增值税</v>
      </c>
      <c r="C1839" s="318">
        <f t="shared" si="181"/>
        <v>0</v>
      </c>
      <c r="D1839" s="11" t="b">
        <f t="shared" si="178"/>
        <v>0</v>
      </c>
      <c r="E1839" s="311"/>
      <c r="H1839" s="11" t="b">
        <f t="shared" si="179"/>
        <v>0</v>
      </c>
      <c r="I1839" s="11" t="s">
        <v>2259</v>
      </c>
      <c r="K1839" s="11" t="b">
        <v>1</v>
      </c>
    </row>
    <row r="1840" spans="1:11">
      <c r="A1840" s="11" t="s">
        <v>2231</v>
      </c>
      <c r="B1840" s="373" t="str">
        <f>报表附注!E1999</f>
        <v>7、土地使用税</v>
      </c>
      <c r="C1840" s="318">
        <f t="shared" si="181"/>
        <v>0</v>
      </c>
      <c r="D1840" s="11" t="b">
        <f t="shared" si="178"/>
        <v>0</v>
      </c>
      <c r="E1840" s="311"/>
      <c r="H1840" s="11" t="b">
        <f t="shared" si="179"/>
        <v>0</v>
      </c>
      <c r="I1840" s="11" t="s">
        <v>2260</v>
      </c>
      <c r="J1840" s="323">
        <v>450190.65</v>
      </c>
      <c r="K1840" s="11" t="b">
        <v>1</v>
      </c>
    </row>
    <row r="1841" spans="1:11">
      <c r="A1841" s="11" t="s">
        <v>2232</v>
      </c>
      <c r="B1841" s="373" t="str">
        <f>报表附注!E2000</f>
        <v>8、房产税</v>
      </c>
      <c r="C1841" s="318">
        <f t="shared" si="181"/>
        <v>0</v>
      </c>
      <c r="D1841" s="11" t="b">
        <f t="shared" si="178"/>
        <v>0</v>
      </c>
      <c r="E1841" s="311"/>
      <c r="H1841" s="11" t="b">
        <f t="shared" si="179"/>
        <v>0</v>
      </c>
      <c r="I1841" s="11" t="s">
        <v>2261</v>
      </c>
      <c r="K1841" s="11" t="b">
        <v>1</v>
      </c>
    </row>
    <row r="1842" spans="1:11">
      <c r="A1842" s="11" t="s">
        <v>2233</v>
      </c>
      <c r="B1842" s="373" t="str">
        <f>报表附注!E2001</f>
        <v>9、车船使用税</v>
      </c>
      <c r="C1842" s="318">
        <f t="shared" si="181"/>
        <v>0</v>
      </c>
      <c r="D1842" s="11" t="b">
        <f t="shared" si="178"/>
        <v>0</v>
      </c>
      <c r="E1842" s="311"/>
      <c r="H1842" s="11" t="b">
        <f t="shared" si="179"/>
        <v>0</v>
      </c>
      <c r="I1842" s="11" t="s">
        <v>2262</v>
      </c>
      <c r="K1842" s="11" t="b">
        <v>1</v>
      </c>
    </row>
    <row r="1843" spans="1:11">
      <c r="A1843" s="11" t="s">
        <v>2234</v>
      </c>
      <c r="B1843" s="373" t="str">
        <f>报表附注!E2002</f>
        <v>10、城市维护建设税</v>
      </c>
      <c r="C1843" s="318">
        <f t="shared" si="181"/>
        <v>89833.04</v>
      </c>
      <c r="D1843" s="11" t="b">
        <f t="shared" si="178"/>
        <v>0</v>
      </c>
      <c r="E1843" s="311"/>
      <c r="H1843" s="11" t="b">
        <f t="shared" si="179"/>
        <v>0</v>
      </c>
      <c r="I1843" s="11" t="s">
        <v>2263</v>
      </c>
      <c r="K1843" s="11" t="b">
        <v>1</v>
      </c>
    </row>
    <row r="1844" spans="1:11">
      <c r="A1844" s="11" t="s">
        <v>2235</v>
      </c>
      <c r="B1844" s="373" t="str">
        <f>报表附注!E2003</f>
        <v>11、教育附加（含地方）</v>
      </c>
      <c r="C1844" s="318">
        <f t="shared" si="181"/>
        <v>63812.82</v>
      </c>
      <c r="D1844" s="11" t="b">
        <f t="shared" si="178"/>
        <v>0</v>
      </c>
      <c r="E1844" s="311"/>
      <c r="H1844" s="11" t="b">
        <f t="shared" si="179"/>
        <v>0</v>
      </c>
      <c r="I1844" s="11" t="s">
        <v>280</v>
      </c>
      <c r="K1844" s="11" t="b">
        <v>1</v>
      </c>
    </row>
    <row r="1845" spans="1:11">
      <c r="A1845" s="11" t="s">
        <v>2236</v>
      </c>
      <c r="B1845" s="373" t="str">
        <f>报表附注!E2004</f>
        <v>12、矿产资源补偿费</v>
      </c>
      <c r="C1845" s="318">
        <f t="shared" si="181"/>
        <v>0</v>
      </c>
      <c r="D1845" s="11" t="b">
        <f t="shared" si="178"/>
        <v>0</v>
      </c>
      <c r="E1845" s="311"/>
      <c r="H1845" s="11" t="b">
        <f t="shared" si="179"/>
        <v>0</v>
      </c>
      <c r="I1845" s="11" t="s">
        <v>347</v>
      </c>
      <c r="J1845" s="323">
        <f>J1840</f>
        <v>450190.65</v>
      </c>
      <c r="K1845" s="11" t="b">
        <v>1</v>
      </c>
    </row>
    <row r="1846" spans="1:11">
      <c r="A1846" s="11" t="s">
        <v>2237</v>
      </c>
      <c r="B1846" s="373" t="str">
        <f>报表附注!E2005</f>
        <v>13、代扣代缴个人所得税</v>
      </c>
      <c r="C1846" s="318">
        <f t="shared" si="181"/>
        <v>20706.5</v>
      </c>
      <c r="D1846" s="11" t="b">
        <f t="shared" si="178"/>
        <v>0</v>
      </c>
      <c r="E1846" s="311"/>
      <c r="H1846" s="11" t="b">
        <f t="shared" si="179"/>
        <v>0</v>
      </c>
      <c r="I1846" s="11" t="s">
        <v>672</v>
      </c>
      <c r="K1846" s="11" t="b">
        <v>1</v>
      </c>
    </row>
    <row r="1847" spans="1:11">
      <c r="A1847" s="11" t="s">
        <v>2238</v>
      </c>
      <c r="B1847" s="373" t="str">
        <f>报表附注!E2006</f>
        <v>14、印花税</v>
      </c>
      <c r="C1847" s="318">
        <f t="shared" si="181"/>
        <v>0</v>
      </c>
      <c r="D1847" s="11" t="b">
        <f t="shared" si="178"/>
        <v>0</v>
      </c>
      <c r="E1847" s="311"/>
      <c r="H1847" s="11" t="b">
        <f t="shared" si="179"/>
        <v>0</v>
      </c>
      <c r="I1847" s="11" t="s">
        <v>2258</v>
      </c>
      <c r="K1847" s="11" t="b">
        <v>1</v>
      </c>
    </row>
    <row r="1848" spans="1:11">
      <c r="A1848" s="11" t="s">
        <v>2239</v>
      </c>
      <c r="B1848" s="373" t="str">
        <f>报表附注!E2007</f>
        <v>15、防洪保安费（堤围费）</v>
      </c>
      <c r="C1848" s="318">
        <f t="shared" si="181"/>
        <v>0</v>
      </c>
      <c r="D1848" s="11" t="b">
        <f t="shared" si="178"/>
        <v>0</v>
      </c>
      <c r="E1848" s="311"/>
      <c r="H1848" s="11" t="b">
        <f t="shared" si="179"/>
        <v>0</v>
      </c>
      <c r="I1848" s="11" t="s">
        <v>2259</v>
      </c>
      <c r="K1848" s="11" t="b">
        <v>1</v>
      </c>
    </row>
    <row r="1849" spans="1:11">
      <c r="A1849" s="11" t="s">
        <v>2240</v>
      </c>
      <c r="B1849" s="373" t="str">
        <f>报表附注!E2008</f>
        <v>16、电力监管费</v>
      </c>
      <c r="C1849" s="318">
        <f t="shared" si="181"/>
        <v>0</v>
      </c>
      <c r="D1849" s="11" t="b">
        <f t="shared" si="178"/>
        <v>0</v>
      </c>
      <c r="E1849" s="311"/>
      <c r="H1849" s="11" t="b">
        <f t="shared" si="179"/>
        <v>0</v>
      </c>
      <c r="I1849" s="11" t="s">
        <v>2260</v>
      </c>
      <c r="K1849" s="11" t="b">
        <v>1</v>
      </c>
    </row>
    <row r="1850" spans="1:11">
      <c r="A1850" s="11" t="s">
        <v>2241</v>
      </c>
      <c r="B1850" s="373" t="str">
        <f>报表附注!E2009</f>
        <v>17、水资源费</v>
      </c>
      <c r="C1850" s="318">
        <f t="shared" si="181"/>
        <v>0</v>
      </c>
      <c r="D1850" s="11" t="b">
        <f t="shared" si="178"/>
        <v>0</v>
      </c>
      <c r="E1850" s="311"/>
      <c r="H1850" s="11" t="b">
        <f t="shared" si="179"/>
        <v>0</v>
      </c>
      <c r="I1850" s="11" t="s">
        <v>2261</v>
      </c>
      <c r="K1850" s="11" t="b">
        <v>1</v>
      </c>
    </row>
    <row r="1851" spans="1:11">
      <c r="A1851" s="11" t="s">
        <v>2242</v>
      </c>
      <c r="B1851" s="373" t="str">
        <f>报表附注!E2010</f>
        <v>18、库区维护费</v>
      </c>
      <c r="C1851" s="318">
        <f t="shared" si="181"/>
        <v>0</v>
      </c>
      <c r="D1851" s="11" t="b">
        <f t="shared" si="178"/>
        <v>0</v>
      </c>
      <c r="E1851" s="311"/>
      <c r="H1851" s="11" t="b">
        <f t="shared" si="179"/>
        <v>0</v>
      </c>
      <c r="I1851" s="11" t="s">
        <v>2262</v>
      </c>
      <c r="K1851" s="11" t="b">
        <v>1</v>
      </c>
    </row>
    <row r="1852" spans="1:11">
      <c r="A1852" s="11" t="s">
        <v>2243</v>
      </c>
      <c r="B1852" s="373" t="str">
        <f>报表附注!E2011</f>
        <v>19、代扣代缴企业所得税</v>
      </c>
      <c r="C1852" s="318">
        <f t="shared" si="181"/>
        <v>0</v>
      </c>
      <c r="D1852" s="11" t="b">
        <f t="shared" si="178"/>
        <v>0</v>
      </c>
      <c r="E1852" s="311"/>
      <c r="H1852" s="11" t="b">
        <f t="shared" si="179"/>
        <v>0</v>
      </c>
      <c r="I1852" s="11" t="s">
        <v>2263</v>
      </c>
      <c r="K1852" s="11" t="b">
        <v>1</v>
      </c>
    </row>
    <row r="1853" spans="1:11">
      <c r="A1853" s="11" t="s">
        <v>2244</v>
      </c>
      <c r="B1853" s="373" t="str">
        <f>报表附注!E2012</f>
        <v>20、其他1-地方水利建设基金</v>
      </c>
      <c r="C1853" s="318">
        <f t="shared" si="181"/>
        <v>0</v>
      </c>
      <c r="D1853" s="11" t="b">
        <f t="shared" si="178"/>
        <v>0</v>
      </c>
      <c r="E1853" s="311"/>
      <c r="H1853" s="11" t="b">
        <f t="shared" si="179"/>
        <v>0</v>
      </c>
      <c r="I1853" s="11" t="s">
        <v>280</v>
      </c>
      <c r="K1853" s="11" t="b">
        <v>1</v>
      </c>
    </row>
    <row r="1854" spans="1:11">
      <c r="A1854" s="11" t="s">
        <v>2245</v>
      </c>
      <c r="B1854" s="373" t="str">
        <f>报表附注!E2013</f>
        <v>21、其他2-价格调节基金</v>
      </c>
      <c r="C1854" s="318">
        <f t="shared" si="181"/>
        <v>0</v>
      </c>
      <c r="D1854" s="11" t="b">
        <f t="shared" ref="D1854:D1917" si="182">EXACT(A1854,B1854)</f>
        <v>0</v>
      </c>
      <c r="E1854" s="311"/>
      <c r="H1854" s="11" t="b">
        <f t="shared" si="179"/>
        <v>0</v>
      </c>
      <c r="I1854" s="11" t="s">
        <v>347</v>
      </c>
      <c r="K1854" s="11" t="b">
        <v>1</v>
      </c>
    </row>
    <row r="1855" spans="1:11">
      <c r="A1855" s="11" t="s">
        <v>2246</v>
      </c>
      <c r="B1855" s="373" t="str">
        <f>报表附注!E2014</f>
        <v>22、其他3-排污费</v>
      </c>
      <c r="C1855" s="318">
        <f t="shared" si="181"/>
        <v>0</v>
      </c>
      <c r="D1855" s="11" t="b">
        <f t="shared" si="182"/>
        <v>0</v>
      </c>
      <c r="E1855" s="311"/>
      <c r="H1855" s="11" t="b">
        <f t="shared" si="179"/>
        <v>0</v>
      </c>
      <c r="I1855" s="11" t="s">
        <v>673</v>
      </c>
      <c r="K1855" s="11" t="b">
        <v>1</v>
      </c>
    </row>
    <row r="1856" spans="1:11">
      <c r="A1856" s="11" t="s">
        <v>2247</v>
      </c>
      <c r="B1856" s="373" t="str">
        <f>报表附注!E2015</f>
        <v>23、其他4-</v>
      </c>
      <c r="C1856" s="318">
        <f t="shared" si="181"/>
        <v>0</v>
      </c>
      <c r="D1856" s="11" t="b">
        <f t="shared" si="182"/>
        <v>0</v>
      </c>
      <c r="E1856" s="311"/>
      <c r="H1856" s="11" t="b">
        <f t="shared" si="179"/>
        <v>0</v>
      </c>
      <c r="I1856" s="11" t="s">
        <v>2258</v>
      </c>
      <c r="K1856" s="11" t="b">
        <v>1</v>
      </c>
    </row>
    <row r="1857" spans="1:11">
      <c r="A1857" s="11" t="s">
        <v>2248</v>
      </c>
      <c r="B1857" s="373" t="str">
        <f>报表附注!E2016</f>
        <v>24、其他5-</v>
      </c>
      <c r="C1857" s="318">
        <f t="shared" si="181"/>
        <v>0</v>
      </c>
      <c r="D1857" s="11" t="b">
        <f t="shared" si="182"/>
        <v>0</v>
      </c>
      <c r="E1857" s="311"/>
      <c r="H1857" s="11" t="b">
        <f t="shared" si="179"/>
        <v>0</v>
      </c>
      <c r="I1857" s="11" t="s">
        <v>2259</v>
      </c>
      <c r="K1857" s="11" t="b">
        <v>1</v>
      </c>
    </row>
    <row r="1858" spans="1:11">
      <c r="A1858" s="11" t="s">
        <v>2021</v>
      </c>
      <c r="B1858" s="320" t="str">
        <f>报表附注!E2017</f>
        <v>合计</v>
      </c>
      <c r="C1858" s="318">
        <f t="shared" si="181"/>
        <v>0</v>
      </c>
      <c r="D1858" s="11" t="b">
        <f t="shared" si="182"/>
        <v>1</v>
      </c>
      <c r="E1858" s="311"/>
      <c r="H1858" s="11" t="b">
        <f t="shared" si="179"/>
        <v>0</v>
      </c>
      <c r="I1858" s="11" t="s">
        <v>2260</v>
      </c>
      <c r="K1858" s="11" t="b">
        <v>1</v>
      </c>
    </row>
    <row r="1859" spans="4:11">
      <c r="D1859" s="11" t="b">
        <f t="shared" si="182"/>
        <v>1</v>
      </c>
      <c r="H1859" s="11" t="b">
        <f t="shared" si="179"/>
        <v>0</v>
      </c>
      <c r="I1859" s="11" t="s">
        <v>2261</v>
      </c>
      <c r="K1859" s="11" t="b">
        <v>1</v>
      </c>
    </row>
    <row r="1860" spans="1:11">
      <c r="A1860" s="11" t="s">
        <v>2251</v>
      </c>
      <c r="B1860" s="376" t="s">
        <v>2251</v>
      </c>
      <c r="D1860" s="11" t="b">
        <f t="shared" si="182"/>
        <v>1</v>
      </c>
      <c r="H1860" s="11" t="b">
        <f t="shared" ref="H1860:H1923" si="183">I1860=B1860</f>
        <v>0</v>
      </c>
      <c r="I1860" s="11" t="s">
        <v>2262</v>
      </c>
      <c r="K1860" s="11" t="b">
        <v>1</v>
      </c>
    </row>
    <row r="1861" spans="1:11">
      <c r="A1861" s="11" t="s">
        <v>516</v>
      </c>
      <c r="B1861" s="333" t="s">
        <v>516</v>
      </c>
      <c r="D1861" s="11" t="b">
        <f t="shared" si="182"/>
        <v>1</v>
      </c>
      <c r="H1861" s="11" t="b">
        <f t="shared" si="183"/>
        <v>0</v>
      </c>
      <c r="I1861" s="11" t="s">
        <v>2263</v>
      </c>
      <c r="K1861" s="11" t="b">
        <v>1</v>
      </c>
    </row>
    <row r="1862" spans="1:11">
      <c r="A1862" s="11" t="s">
        <v>2252</v>
      </c>
      <c r="B1862" s="310" t="str">
        <f>报表附注!E2028</f>
        <v>分期付息到期还本的长期借款利息</v>
      </c>
      <c r="C1862" s="357">
        <f t="shared" ref="C1862:C1865" si="184">J1810</f>
        <v>0</v>
      </c>
      <c r="D1862" s="11" t="b">
        <f t="shared" si="182"/>
        <v>1</v>
      </c>
      <c r="E1862" s="332"/>
      <c r="H1862" s="11" t="b">
        <f t="shared" si="183"/>
        <v>0</v>
      </c>
      <c r="I1862" s="11" t="s">
        <v>280</v>
      </c>
      <c r="K1862" s="11" t="b">
        <v>1</v>
      </c>
    </row>
    <row r="1863" spans="1:11">
      <c r="A1863" s="11" t="s">
        <v>2253</v>
      </c>
      <c r="B1863" s="310" t="str">
        <f>报表附注!E2029</f>
        <v>企业债券利息</v>
      </c>
      <c r="C1863" s="357">
        <f t="shared" si="184"/>
        <v>0</v>
      </c>
      <c r="D1863" s="11" t="b">
        <f t="shared" si="182"/>
        <v>1</v>
      </c>
      <c r="E1863" s="332"/>
      <c r="H1863" s="11" t="b">
        <f t="shared" si="183"/>
        <v>0</v>
      </c>
      <c r="I1863" s="11" t="s">
        <v>347</v>
      </c>
      <c r="K1863" s="11" t="b">
        <v>1</v>
      </c>
    </row>
    <row r="1864" spans="1:11">
      <c r="A1864" s="11" t="s">
        <v>2254</v>
      </c>
      <c r="B1864" s="310" t="str">
        <f>报表附注!E2030</f>
        <v>短期借款应付利息</v>
      </c>
      <c r="C1864" s="357">
        <f t="shared" si="184"/>
        <v>0</v>
      </c>
      <c r="D1864" s="11" t="b">
        <f t="shared" si="182"/>
        <v>1</v>
      </c>
      <c r="E1864" s="332"/>
      <c r="H1864" s="11" t="b">
        <f t="shared" si="183"/>
        <v>0</v>
      </c>
      <c r="K1864" s="11" t="b">
        <v>1</v>
      </c>
    </row>
    <row r="1865" spans="1:11">
      <c r="A1865" s="11" t="s">
        <v>2021</v>
      </c>
      <c r="B1865" s="320" t="str">
        <f>报表附注!E2031</f>
        <v>合计</v>
      </c>
      <c r="C1865" s="357">
        <f t="shared" si="184"/>
        <v>0</v>
      </c>
      <c r="D1865" s="11" t="b">
        <f t="shared" si="182"/>
        <v>1</v>
      </c>
      <c r="E1865" s="332"/>
      <c r="H1865" s="11" t="b">
        <f t="shared" si="183"/>
        <v>0</v>
      </c>
      <c r="K1865" s="11" t="b">
        <v>1</v>
      </c>
    </row>
    <row r="1866" spans="4:11">
      <c r="D1866" s="11" t="b">
        <f t="shared" si="182"/>
        <v>1</v>
      </c>
      <c r="H1866" s="11" t="b">
        <f t="shared" si="183"/>
        <v>0</v>
      </c>
      <c r="I1866" s="11" t="s">
        <v>2264</v>
      </c>
      <c r="K1866" s="11" t="b">
        <v>1</v>
      </c>
    </row>
    <row r="1867" spans="4:11">
      <c r="D1867" s="11" t="b">
        <f t="shared" si="182"/>
        <v>1</v>
      </c>
      <c r="H1867" s="11" t="b">
        <f t="shared" si="183"/>
        <v>0</v>
      </c>
      <c r="I1867" s="11" t="s">
        <v>2265</v>
      </c>
      <c r="K1867" s="11" t="b">
        <v>1</v>
      </c>
    </row>
    <row r="1868" spans="1:11">
      <c r="A1868" s="11" t="s">
        <v>2255</v>
      </c>
      <c r="B1868" s="331" t="s">
        <v>2255</v>
      </c>
      <c r="D1868" s="11" t="b">
        <f t="shared" si="182"/>
        <v>1</v>
      </c>
      <c r="H1868" s="11" t="b">
        <f t="shared" si="183"/>
        <v>0</v>
      </c>
      <c r="I1868" s="11" t="s">
        <v>516</v>
      </c>
      <c r="K1868" s="11" t="b">
        <v>1</v>
      </c>
    </row>
    <row r="1869" spans="4:11">
      <c r="D1869" s="11" t="b">
        <f t="shared" si="182"/>
        <v>1</v>
      </c>
      <c r="H1869" s="11" t="b">
        <f t="shared" si="183"/>
        <v>0</v>
      </c>
      <c r="I1869" s="11" t="s">
        <v>2266</v>
      </c>
      <c r="J1869" s="323">
        <f>资负表及利润表调整分录!H219</f>
        <v>17624444.44</v>
      </c>
      <c r="K1869" s="11" t="b">
        <v>1</v>
      </c>
    </row>
    <row r="1870" spans="1:11">
      <c r="A1870" s="11" t="s">
        <v>2256</v>
      </c>
      <c r="B1870" s="329" t="s">
        <v>2256</v>
      </c>
      <c r="D1870" s="11" t="b">
        <f t="shared" si="182"/>
        <v>1</v>
      </c>
      <c r="H1870" s="11" t="b">
        <f t="shared" si="183"/>
        <v>0</v>
      </c>
      <c r="I1870" s="11" t="s">
        <v>2267</v>
      </c>
      <c r="K1870" s="11" t="b">
        <v>1</v>
      </c>
    </row>
    <row r="1871" spans="1:11">
      <c r="A1871" s="11" t="s">
        <v>316</v>
      </c>
      <c r="B1871" s="333" t="s">
        <v>316</v>
      </c>
      <c r="D1871" s="11" t="b">
        <f t="shared" si="182"/>
        <v>1</v>
      </c>
      <c r="E1871" s="326"/>
      <c r="H1871" s="11" t="b">
        <f t="shared" si="183"/>
        <v>0</v>
      </c>
      <c r="I1871" s="11" t="s">
        <v>2268</v>
      </c>
      <c r="J1871" s="323">
        <v>6606039.24</v>
      </c>
      <c r="K1871" s="11" t="b">
        <v>1</v>
      </c>
    </row>
    <row r="1872" spans="1:11">
      <c r="A1872" s="11" t="s">
        <v>2026</v>
      </c>
      <c r="B1872" s="310" t="str">
        <f>报表附注!E2065</f>
        <v>1年以内（含1年）</v>
      </c>
      <c r="C1872" s="318">
        <f t="shared" ref="C1872:C1886" si="185">J1820</f>
        <v>6973460.48</v>
      </c>
      <c r="D1872" s="11" t="b">
        <f t="shared" si="182"/>
        <v>1</v>
      </c>
      <c r="E1872" s="311"/>
      <c r="H1872" s="11" t="b">
        <f t="shared" si="183"/>
        <v>0</v>
      </c>
      <c r="I1872" s="11" t="s">
        <v>2269</v>
      </c>
      <c r="K1872" s="11" t="b">
        <v>1</v>
      </c>
    </row>
    <row r="1873" spans="1:11">
      <c r="A1873" s="11" t="s">
        <v>2027</v>
      </c>
      <c r="B1873" s="310" t="str">
        <f>报表附注!E2066</f>
        <v>1-2年（含2年）</v>
      </c>
      <c r="C1873" s="318">
        <f t="shared" si="185"/>
        <v>0</v>
      </c>
      <c r="D1873" s="11" t="b">
        <f t="shared" si="182"/>
        <v>1</v>
      </c>
      <c r="E1873" s="311"/>
      <c r="H1873" s="11" t="b">
        <f t="shared" si="183"/>
        <v>0</v>
      </c>
      <c r="I1873" s="11" t="s">
        <v>2203</v>
      </c>
      <c r="K1873" s="11" t="b">
        <v>1</v>
      </c>
    </row>
    <row r="1874" spans="1:11">
      <c r="A1874" s="11" t="s">
        <v>2028</v>
      </c>
      <c r="B1874" s="310" t="str">
        <f>报表附注!E2067</f>
        <v>2-3年（含3年）</v>
      </c>
      <c r="C1874" s="318">
        <f t="shared" si="185"/>
        <v>150000</v>
      </c>
      <c r="D1874" s="11" t="b">
        <f t="shared" si="182"/>
        <v>1</v>
      </c>
      <c r="E1874" s="311"/>
      <c r="H1874" s="11" t="b">
        <f t="shared" si="183"/>
        <v>0</v>
      </c>
      <c r="I1874" s="11" t="s">
        <v>671</v>
      </c>
      <c r="K1874" s="11" t="b">
        <v>1</v>
      </c>
    </row>
    <row r="1875" spans="1:11">
      <c r="A1875" s="11" t="s">
        <v>2029</v>
      </c>
      <c r="B1875" s="310" t="str">
        <f>报表附注!E2068</f>
        <v>3-4年（含4年）</v>
      </c>
      <c r="C1875" s="318">
        <f t="shared" si="185"/>
        <v>0</v>
      </c>
      <c r="D1875" s="11" t="b">
        <f t="shared" si="182"/>
        <v>1</v>
      </c>
      <c r="E1875" s="311"/>
      <c r="H1875" s="11" t="b">
        <f t="shared" si="183"/>
        <v>0</v>
      </c>
      <c r="I1875" s="11" t="s">
        <v>2266</v>
      </c>
      <c r="K1875" s="11" t="b">
        <v>1</v>
      </c>
    </row>
    <row r="1876" spans="1:11">
      <c r="A1876" s="11" t="s">
        <v>2030</v>
      </c>
      <c r="B1876" s="310" t="str">
        <f>报表附注!E2069</f>
        <v>4-5年（含5年）</v>
      </c>
      <c r="C1876" s="318">
        <f t="shared" si="185"/>
        <v>0</v>
      </c>
      <c r="D1876" s="11" t="b">
        <f t="shared" si="182"/>
        <v>1</v>
      </c>
      <c r="E1876" s="311"/>
      <c r="H1876" s="11" t="b">
        <f t="shared" si="183"/>
        <v>0</v>
      </c>
      <c r="I1876" s="11" t="s">
        <v>2267</v>
      </c>
      <c r="K1876" s="11" t="b">
        <v>1</v>
      </c>
    </row>
    <row r="1877" spans="1:11">
      <c r="A1877" s="11" t="s">
        <v>2031</v>
      </c>
      <c r="B1877" s="310" t="str">
        <f>报表附注!E2070</f>
        <v>5年以上</v>
      </c>
      <c r="C1877" s="318">
        <f t="shared" si="185"/>
        <v>0</v>
      </c>
      <c r="D1877" s="11" t="b">
        <f t="shared" si="182"/>
        <v>1</v>
      </c>
      <c r="E1877" s="311"/>
      <c r="H1877" s="11" t="b">
        <f t="shared" si="183"/>
        <v>0</v>
      </c>
      <c r="I1877" s="11" t="s">
        <v>2268</v>
      </c>
      <c r="K1877" s="11" t="b">
        <v>1</v>
      </c>
    </row>
    <row r="1878" spans="1:11">
      <c r="A1878" s="11" t="s">
        <v>2021</v>
      </c>
      <c r="B1878" s="320" t="str">
        <f>报表附注!E2071</f>
        <v>合计</v>
      </c>
      <c r="C1878" s="318">
        <f t="shared" si="185"/>
        <v>0</v>
      </c>
      <c r="D1878" s="11" t="b">
        <f t="shared" si="182"/>
        <v>1</v>
      </c>
      <c r="E1878" s="311"/>
      <c r="H1878" s="11" t="b">
        <f t="shared" si="183"/>
        <v>0</v>
      </c>
      <c r="I1878" s="11" t="s">
        <v>2269</v>
      </c>
      <c r="K1878" s="11" t="b">
        <v>1</v>
      </c>
    </row>
    <row r="1879" spans="1:11">
      <c r="A1879" s="11" t="s">
        <v>2020</v>
      </c>
      <c r="B1879" s="333" t="s">
        <v>2020</v>
      </c>
      <c r="C1879" s="328">
        <f t="shared" si="185"/>
        <v>0</v>
      </c>
      <c r="D1879" s="11" t="b">
        <f t="shared" si="182"/>
        <v>1</v>
      </c>
      <c r="H1879" s="11" t="b">
        <f t="shared" si="183"/>
        <v>0</v>
      </c>
      <c r="I1879" s="11" t="s">
        <v>2203</v>
      </c>
      <c r="K1879" s="11" t="b">
        <v>1</v>
      </c>
    </row>
    <row r="1880" spans="1:11">
      <c r="A1880" s="11" t="s">
        <v>2026</v>
      </c>
      <c r="B1880" s="310" t="str">
        <f>报表附注!E2065</f>
        <v>1年以内（含1年）</v>
      </c>
      <c r="C1880" s="321">
        <f t="shared" si="185"/>
        <v>0</v>
      </c>
      <c r="D1880" s="11" t="b">
        <f t="shared" si="182"/>
        <v>1</v>
      </c>
      <c r="E1880" s="321">
        <f>C1872</f>
        <v>6973460.48</v>
      </c>
      <c r="H1880" s="11" t="b">
        <f t="shared" si="183"/>
        <v>0</v>
      </c>
      <c r="K1880" s="11" t="b">
        <v>1</v>
      </c>
    </row>
    <row r="1881" spans="1:11">
      <c r="A1881" s="11" t="s">
        <v>2027</v>
      </c>
      <c r="B1881" s="310" t="str">
        <f>报表附注!E2066</f>
        <v>1-2年（含2年）</v>
      </c>
      <c r="C1881" s="321">
        <f t="shared" si="185"/>
        <v>0</v>
      </c>
      <c r="D1881" s="11" t="b">
        <f t="shared" si="182"/>
        <v>1</v>
      </c>
      <c r="E1881" s="321">
        <f t="shared" ref="E1881:E1886" si="186">C1873</f>
        <v>0</v>
      </c>
      <c r="H1881" s="11" t="b">
        <f t="shared" si="183"/>
        <v>0</v>
      </c>
      <c r="I1881" s="11" t="s">
        <v>2270</v>
      </c>
      <c r="K1881" s="11" t="b">
        <v>1</v>
      </c>
    </row>
    <row r="1882" spans="1:11">
      <c r="A1882" s="11" t="s">
        <v>2028</v>
      </c>
      <c r="B1882" s="310" t="str">
        <f>报表附注!E2067</f>
        <v>2-3年（含3年）</v>
      </c>
      <c r="C1882" s="321">
        <f t="shared" si="185"/>
        <v>0</v>
      </c>
      <c r="D1882" s="11" t="b">
        <f t="shared" si="182"/>
        <v>1</v>
      </c>
      <c r="E1882" s="321">
        <f t="shared" si="186"/>
        <v>150000</v>
      </c>
      <c r="H1882" s="11" t="b">
        <f t="shared" si="183"/>
        <v>0</v>
      </c>
      <c r="I1882" s="11" t="s">
        <v>316</v>
      </c>
      <c r="K1882" s="11" t="b">
        <v>1</v>
      </c>
    </row>
    <row r="1883" spans="1:11">
      <c r="A1883" s="11" t="s">
        <v>2029</v>
      </c>
      <c r="B1883" s="310" t="str">
        <f>报表附注!E2068</f>
        <v>3-4年（含4年）</v>
      </c>
      <c r="C1883" s="321">
        <f t="shared" si="185"/>
        <v>0</v>
      </c>
      <c r="D1883" s="11" t="b">
        <f t="shared" si="182"/>
        <v>1</v>
      </c>
      <c r="E1883" s="321">
        <f t="shared" si="186"/>
        <v>0</v>
      </c>
      <c r="H1883" s="11" t="b">
        <f t="shared" si="183"/>
        <v>0</v>
      </c>
      <c r="I1883" s="11" t="s">
        <v>983</v>
      </c>
      <c r="K1883" s="11" t="b">
        <v>1</v>
      </c>
    </row>
    <row r="1884" spans="1:11">
      <c r="A1884" s="11" t="s">
        <v>2030</v>
      </c>
      <c r="B1884" s="310" t="str">
        <f>报表附注!E2069</f>
        <v>4-5年（含5年）</v>
      </c>
      <c r="C1884" s="321">
        <f t="shared" si="185"/>
        <v>0</v>
      </c>
      <c r="D1884" s="11" t="b">
        <f t="shared" si="182"/>
        <v>1</v>
      </c>
      <c r="E1884" s="321">
        <f t="shared" si="186"/>
        <v>0</v>
      </c>
      <c r="H1884" s="11" t="b">
        <f t="shared" si="183"/>
        <v>0</v>
      </c>
      <c r="I1884" s="11" t="s">
        <v>985</v>
      </c>
      <c r="K1884" s="11" t="b">
        <v>1</v>
      </c>
    </row>
    <row r="1885" spans="1:11">
      <c r="A1885" s="11" t="s">
        <v>2031</v>
      </c>
      <c r="B1885" s="310" t="str">
        <f>报表附注!E2070</f>
        <v>5年以上</v>
      </c>
      <c r="C1885" s="321">
        <f t="shared" si="185"/>
        <v>0</v>
      </c>
      <c r="D1885" s="11" t="b">
        <f t="shared" si="182"/>
        <v>1</v>
      </c>
      <c r="E1885" s="321">
        <f t="shared" si="186"/>
        <v>0</v>
      </c>
      <c r="H1885" s="11" t="b">
        <f t="shared" si="183"/>
        <v>0</v>
      </c>
      <c r="I1885" s="11" t="s">
        <v>987</v>
      </c>
      <c r="K1885" s="11" t="b">
        <v>1</v>
      </c>
    </row>
    <row r="1886" spans="1:11">
      <c r="A1886" s="11" t="s">
        <v>2021</v>
      </c>
      <c r="B1886" s="320" t="str">
        <f>报表附注!E2071</f>
        <v>合计</v>
      </c>
      <c r="C1886" s="321">
        <f t="shared" si="185"/>
        <v>0</v>
      </c>
      <c r="D1886" s="11" t="b">
        <f t="shared" si="182"/>
        <v>1</v>
      </c>
      <c r="E1886" s="321">
        <f t="shared" si="186"/>
        <v>0</v>
      </c>
      <c r="H1886" s="11" t="b">
        <f t="shared" si="183"/>
        <v>0</v>
      </c>
      <c r="I1886" s="11" t="s">
        <v>989</v>
      </c>
      <c r="J1886" s="381">
        <v>17624444.44</v>
      </c>
      <c r="K1886" s="11" t="b">
        <v>1</v>
      </c>
    </row>
    <row r="1887" spans="4:11">
      <c r="D1887" s="11" t="b">
        <f t="shared" si="182"/>
        <v>1</v>
      </c>
      <c r="H1887" s="11" t="b">
        <f t="shared" si="183"/>
        <v>0</v>
      </c>
      <c r="I1887" s="11" t="s">
        <v>2203</v>
      </c>
      <c r="K1887" s="11" t="b">
        <v>1</v>
      </c>
    </row>
    <row r="1888" spans="1:11">
      <c r="A1888" s="11" t="s">
        <v>2257</v>
      </c>
      <c r="B1888" s="353" t="s">
        <v>2257</v>
      </c>
      <c r="D1888" s="11" t="b">
        <f t="shared" si="182"/>
        <v>1</v>
      </c>
      <c r="H1888" s="11" t="b">
        <f t="shared" si="183"/>
        <v>0</v>
      </c>
      <c r="I1888" s="11" t="s">
        <v>2020</v>
      </c>
      <c r="K1888" s="11" t="b">
        <v>1</v>
      </c>
    </row>
    <row r="1889" spans="1:11">
      <c r="A1889" s="11" t="s">
        <v>671</v>
      </c>
      <c r="B1889" s="377" t="s">
        <v>671</v>
      </c>
      <c r="D1889" s="11" t="b">
        <f t="shared" si="182"/>
        <v>1</v>
      </c>
      <c r="H1889" s="11" t="b">
        <f t="shared" si="183"/>
        <v>0</v>
      </c>
      <c r="I1889" s="11" t="s">
        <v>983</v>
      </c>
      <c r="K1889" s="11" t="b">
        <v>1</v>
      </c>
    </row>
    <row r="1890" spans="1:11">
      <c r="A1890" s="11" t="s">
        <v>2258</v>
      </c>
      <c r="B1890" s="378" t="str">
        <f>报表附注!E2160</f>
        <v>对外提供担保</v>
      </c>
      <c r="C1890" s="318">
        <f t="shared" ref="C1890:C1915" si="187">J1838</f>
        <v>0</v>
      </c>
      <c r="D1890" s="11" t="b">
        <f t="shared" si="182"/>
        <v>1</v>
      </c>
      <c r="E1890" s="321">
        <f>C1890+C1899-C1908</f>
        <v>0</v>
      </c>
      <c r="H1890" s="11" t="b">
        <f t="shared" si="183"/>
        <v>0</v>
      </c>
      <c r="I1890" s="11" t="s">
        <v>985</v>
      </c>
      <c r="K1890" s="11" t="b">
        <v>1</v>
      </c>
    </row>
    <row r="1891" spans="1:11">
      <c r="A1891" s="11" t="s">
        <v>2259</v>
      </c>
      <c r="B1891" s="378" t="str">
        <f>报表附注!E2161</f>
        <v>未决诉讼</v>
      </c>
      <c r="C1891" s="318">
        <f t="shared" si="187"/>
        <v>0</v>
      </c>
      <c r="D1891" s="11" t="b">
        <f t="shared" si="182"/>
        <v>1</v>
      </c>
      <c r="E1891" s="321">
        <f t="shared" ref="E1891:E1897" si="188">C1891+C1900-C1909</f>
        <v>0</v>
      </c>
      <c r="H1891" s="11" t="b">
        <f t="shared" si="183"/>
        <v>0</v>
      </c>
      <c r="I1891" s="11" t="s">
        <v>987</v>
      </c>
      <c r="K1891" s="11" t="b">
        <v>1</v>
      </c>
    </row>
    <row r="1892" spans="1:11">
      <c r="A1892" s="11" t="s">
        <v>2260</v>
      </c>
      <c r="B1892" s="378" t="str">
        <f>报表附注!E2162</f>
        <v>产品质量保证</v>
      </c>
      <c r="C1892" s="318">
        <f t="shared" si="187"/>
        <v>450190.65</v>
      </c>
      <c r="D1892" s="11" t="b">
        <f t="shared" si="182"/>
        <v>1</v>
      </c>
      <c r="E1892" s="321">
        <f t="shared" si="188"/>
        <v>450190.65</v>
      </c>
      <c r="H1892" s="11" t="b">
        <f t="shared" si="183"/>
        <v>0</v>
      </c>
      <c r="I1892" s="11" t="s">
        <v>989</v>
      </c>
      <c r="K1892" s="11" t="b">
        <v>1</v>
      </c>
    </row>
    <row r="1893" spans="1:11">
      <c r="A1893" s="11" t="s">
        <v>2261</v>
      </c>
      <c r="B1893" s="378" t="str">
        <f>报表附注!E2163</f>
        <v>重组义务</v>
      </c>
      <c r="C1893" s="318">
        <f t="shared" si="187"/>
        <v>0</v>
      </c>
      <c r="D1893" s="11" t="b">
        <f t="shared" si="182"/>
        <v>1</v>
      </c>
      <c r="E1893" s="321">
        <f t="shared" si="188"/>
        <v>0</v>
      </c>
      <c r="H1893" s="11" t="b">
        <f t="shared" si="183"/>
        <v>0</v>
      </c>
      <c r="I1893" s="11" t="s">
        <v>2203</v>
      </c>
      <c r="K1893" s="11" t="b">
        <v>1</v>
      </c>
    </row>
    <row r="1894" spans="1:11">
      <c r="A1894" s="11" t="s">
        <v>2262</v>
      </c>
      <c r="B1894" s="378" t="str">
        <f>报表附注!E2164</f>
        <v>辞退福利</v>
      </c>
      <c r="C1894" s="318">
        <f t="shared" si="187"/>
        <v>0</v>
      </c>
      <c r="D1894" s="11" t="b">
        <f t="shared" si="182"/>
        <v>1</v>
      </c>
      <c r="E1894" s="321">
        <f t="shared" si="188"/>
        <v>0</v>
      </c>
      <c r="H1894" s="11" t="b">
        <f t="shared" si="183"/>
        <v>0</v>
      </c>
      <c r="K1894" s="11" t="b">
        <v>1</v>
      </c>
    </row>
    <row r="1895" spans="1:11">
      <c r="A1895" s="11" t="s">
        <v>2263</v>
      </c>
      <c r="B1895" s="378" t="str">
        <f>报表附注!E2165</f>
        <v>待执行的亏损合同</v>
      </c>
      <c r="C1895" s="318">
        <f t="shared" si="187"/>
        <v>0</v>
      </c>
      <c r="D1895" s="11" t="b">
        <f t="shared" si="182"/>
        <v>1</v>
      </c>
      <c r="E1895" s="321">
        <f t="shared" si="188"/>
        <v>0</v>
      </c>
      <c r="H1895" s="11" t="b">
        <f t="shared" si="183"/>
        <v>0</v>
      </c>
      <c r="I1895" s="11" t="s">
        <v>2271</v>
      </c>
      <c r="K1895" s="11" t="b">
        <v>1</v>
      </c>
    </row>
    <row r="1896" spans="1:11">
      <c r="A1896" s="11" t="s">
        <v>280</v>
      </c>
      <c r="B1896" s="378" t="str">
        <f>报表附注!E2166</f>
        <v>其他</v>
      </c>
      <c r="C1896" s="318">
        <f t="shared" si="187"/>
        <v>0</v>
      </c>
      <c r="D1896" s="11" t="b">
        <f t="shared" si="182"/>
        <v>1</v>
      </c>
      <c r="E1896" s="321">
        <f t="shared" si="188"/>
        <v>0</v>
      </c>
      <c r="H1896" s="11" t="b">
        <f t="shared" si="183"/>
        <v>0</v>
      </c>
      <c r="K1896" s="11" t="b">
        <v>1</v>
      </c>
    </row>
    <row r="1897" spans="1:11">
      <c r="A1897" s="11" t="s">
        <v>347</v>
      </c>
      <c r="B1897" s="379" t="str">
        <f>报表附注!E2167</f>
        <v>合 计</v>
      </c>
      <c r="C1897" s="318">
        <f t="shared" si="187"/>
        <v>450190.65</v>
      </c>
      <c r="D1897" s="11" t="b">
        <f t="shared" si="182"/>
        <v>1</v>
      </c>
      <c r="E1897" s="321">
        <f t="shared" si="188"/>
        <v>450190.65</v>
      </c>
      <c r="H1897" s="11" t="b">
        <f t="shared" si="183"/>
        <v>0</v>
      </c>
      <c r="I1897" s="11" t="s">
        <v>2272</v>
      </c>
      <c r="K1897" s="11" t="b">
        <v>1</v>
      </c>
    </row>
    <row r="1898" spans="1:11">
      <c r="A1898" s="11" t="s">
        <v>672</v>
      </c>
      <c r="B1898" s="377" t="s">
        <v>672</v>
      </c>
      <c r="C1898" s="328">
        <f t="shared" si="187"/>
        <v>0</v>
      </c>
      <c r="D1898" s="11" t="b">
        <f t="shared" si="182"/>
        <v>1</v>
      </c>
      <c r="H1898" s="11" t="b">
        <f t="shared" si="183"/>
        <v>0</v>
      </c>
      <c r="I1898" s="11" t="s">
        <v>316</v>
      </c>
      <c r="K1898" s="11" t="b">
        <v>1</v>
      </c>
    </row>
    <row r="1899" spans="1:11">
      <c r="A1899" s="11" t="s">
        <v>2258</v>
      </c>
      <c r="B1899" s="378" t="str">
        <f>报表附注!E2160</f>
        <v>对外提供担保</v>
      </c>
      <c r="C1899" s="318">
        <f t="shared" si="187"/>
        <v>0</v>
      </c>
      <c r="D1899" s="11" t="b">
        <f t="shared" si="182"/>
        <v>1</v>
      </c>
      <c r="E1899" s="311"/>
      <c r="H1899" s="11" t="b">
        <f t="shared" si="183"/>
        <v>0</v>
      </c>
      <c r="I1899" s="11" t="s">
        <v>983</v>
      </c>
      <c r="K1899" s="11" t="b">
        <v>1</v>
      </c>
    </row>
    <row r="1900" spans="1:11">
      <c r="A1900" s="11" t="s">
        <v>2259</v>
      </c>
      <c r="B1900" s="378" t="str">
        <f>报表附注!E2161</f>
        <v>未决诉讼</v>
      </c>
      <c r="C1900" s="318">
        <f t="shared" si="187"/>
        <v>0</v>
      </c>
      <c r="D1900" s="11" t="b">
        <f t="shared" si="182"/>
        <v>1</v>
      </c>
      <c r="E1900" s="311"/>
      <c r="H1900" s="11" t="b">
        <f t="shared" si="183"/>
        <v>0</v>
      </c>
      <c r="I1900" s="11" t="s">
        <v>985</v>
      </c>
      <c r="K1900" s="11" t="b">
        <v>1</v>
      </c>
    </row>
    <row r="1901" spans="1:11">
      <c r="A1901" s="11" t="s">
        <v>2260</v>
      </c>
      <c r="B1901" s="378" t="str">
        <f>报表附注!E2162</f>
        <v>产品质量保证</v>
      </c>
      <c r="C1901" s="318">
        <f t="shared" si="187"/>
        <v>0</v>
      </c>
      <c r="D1901" s="11" t="b">
        <f t="shared" si="182"/>
        <v>1</v>
      </c>
      <c r="E1901" s="311"/>
      <c r="H1901" s="11" t="b">
        <f t="shared" si="183"/>
        <v>0</v>
      </c>
      <c r="I1901" s="11" t="s">
        <v>987</v>
      </c>
      <c r="K1901" s="11" t="b">
        <v>1</v>
      </c>
    </row>
    <row r="1902" spans="1:11">
      <c r="A1902" s="11" t="s">
        <v>2261</v>
      </c>
      <c r="B1902" s="378" t="str">
        <f>报表附注!E2163</f>
        <v>重组义务</v>
      </c>
      <c r="C1902" s="318">
        <f t="shared" si="187"/>
        <v>0</v>
      </c>
      <c r="D1902" s="11" t="b">
        <f t="shared" si="182"/>
        <v>1</v>
      </c>
      <c r="E1902" s="311"/>
      <c r="H1902" s="11" t="b">
        <f t="shared" si="183"/>
        <v>0</v>
      </c>
      <c r="I1902" s="11" t="s">
        <v>989</v>
      </c>
      <c r="J1902" s="323">
        <f>65827407.41-资负表及利润表调整分录!G218</f>
        <v>48202962.97</v>
      </c>
      <c r="K1902" s="11" t="b">
        <v>1</v>
      </c>
    </row>
    <row r="1903" spans="1:11">
      <c r="A1903" s="11" t="s">
        <v>2262</v>
      </c>
      <c r="B1903" s="378" t="str">
        <f>报表附注!E2164</f>
        <v>辞退福利</v>
      </c>
      <c r="C1903" s="318">
        <f t="shared" si="187"/>
        <v>0</v>
      </c>
      <c r="D1903" s="11" t="b">
        <f t="shared" si="182"/>
        <v>1</v>
      </c>
      <c r="E1903" s="311"/>
      <c r="H1903" s="11" t="b">
        <f t="shared" si="183"/>
        <v>0</v>
      </c>
      <c r="I1903" s="11" t="s">
        <v>2203</v>
      </c>
      <c r="J1903" s="323">
        <f>J1902</f>
        <v>48202962.97</v>
      </c>
      <c r="K1903" s="11" t="b">
        <v>1</v>
      </c>
    </row>
    <row r="1904" spans="1:11">
      <c r="A1904" s="11" t="s">
        <v>2263</v>
      </c>
      <c r="B1904" s="378" t="str">
        <f>报表附注!E2165</f>
        <v>待执行的亏损合同</v>
      </c>
      <c r="C1904" s="318">
        <f t="shared" si="187"/>
        <v>0</v>
      </c>
      <c r="D1904" s="11" t="b">
        <f t="shared" si="182"/>
        <v>1</v>
      </c>
      <c r="E1904" s="311"/>
      <c r="H1904" s="11" t="b">
        <f t="shared" si="183"/>
        <v>0</v>
      </c>
      <c r="I1904" s="11" t="s">
        <v>2020</v>
      </c>
      <c r="K1904" s="11" t="b">
        <v>1</v>
      </c>
    </row>
    <row r="1905" spans="1:11">
      <c r="A1905" s="11" t="s">
        <v>280</v>
      </c>
      <c r="B1905" s="378" t="str">
        <f>报表附注!E2166</f>
        <v>其他</v>
      </c>
      <c r="C1905" s="318">
        <f t="shared" si="187"/>
        <v>0</v>
      </c>
      <c r="D1905" s="11" t="b">
        <f t="shared" si="182"/>
        <v>1</v>
      </c>
      <c r="E1905" s="311"/>
      <c r="H1905" s="11" t="b">
        <f t="shared" si="183"/>
        <v>0</v>
      </c>
      <c r="I1905" s="11" t="s">
        <v>983</v>
      </c>
      <c r="K1905" s="11" t="b">
        <v>1</v>
      </c>
    </row>
    <row r="1906" spans="1:11">
      <c r="A1906" s="11" t="s">
        <v>347</v>
      </c>
      <c r="B1906" s="379" t="str">
        <f>报表附注!E2167</f>
        <v>合 计</v>
      </c>
      <c r="C1906" s="318">
        <f t="shared" si="187"/>
        <v>0</v>
      </c>
      <c r="D1906" s="11" t="b">
        <f t="shared" si="182"/>
        <v>1</v>
      </c>
      <c r="E1906" s="311"/>
      <c r="H1906" s="11" t="b">
        <f t="shared" si="183"/>
        <v>0</v>
      </c>
      <c r="I1906" s="11" t="s">
        <v>985</v>
      </c>
      <c r="K1906" s="11" t="b">
        <v>1</v>
      </c>
    </row>
    <row r="1907" spans="1:11">
      <c r="A1907" s="11" t="s">
        <v>673</v>
      </c>
      <c r="B1907" s="377" t="s">
        <v>673</v>
      </c>
      <c r="C1907" s="328">
        <f t="shared" si="187"/>
        <v>0</v>
      </c>
      <c r="D1907" s="11" t="b">
        <f t="shared" si="182"/>
        <v>1</v>
      </c>
      <c r="E1907" s="326"/>
      <c r="H1907" s="11" t="b">
        <f t="shared" si="183"/>
        <v>0</v>
      </c>
      <c r="I1907" s="11" t="s">
        <v>987</v>
      </c>
      <c r="K1907" s="11" t="b">
        <v>1</v>
      </c>
    </row>
    <row r="1908" spans="1:11">
      <c r="A1908" s="11" t="s">
        <v>2258</v>
      </c>
      <c r="B1908" s="378" t="str">
        <f>报表附注!E2160</f>
        <v>对外提供担保</v>
      </c>
      <c r="C1908" s="318">
        <f t="shared" si="187"/>
        <v>0</v>
      </c>
      <c r="D1908" s="11" t="b">
        <f t="shared" si="182"/>
        <v>1</v>
      </c>
      <c r="E1908" s="311"/>
      <c r="H1908" s="11" t="b">
        <f t="shared" si="183"/>
        <v>0</v>
      </c>
      <c r="I1908" s="11" t="s">
        <v>989</v>
      </c>
      <c r="K1908" s="11" t="b">
        <v>1</v>
      </c>
    </row>
    <row r="1909" spans="1:11">
      <c r="A1909" s="11" t="s">
        <v>2259</v>
      </c>
      <c r="B1909" s="378" t="str">
        <f>报表附注!E2161</f>
        <v>未决诉讼</v>
      </c>
      <c r="C1909" s="318">
        <f t="shared" si="187"/>
        <v>0</v>
      </c>
      <c r="D1909" s="11" t="b">
        <f t="shared" si="182"/>
        <v>1</v>
      </c>
      <c r="E1909" s="311"/>
      <c r="H1909" s="11" t="b">
        <f t="shared" si="183"/>
        <v>0</v>
      </c>
      <c r="I1909" s="11" t="s">
        <v>2203</v>
      </c>
      <c r="K1909" s="11" t="b">
        <v>1</v>
      </c>
    </row>
    <row r="1910" spans="1:11">
      <c r="A1910" s="11" t="s">
        <v>2260</v>
      </c>
      <c r="B1910" s="378" t="str">
        <f>报表附注!E2162</f>
        <v>产品质量保证</v>
      </c>
      <c r="C1910" s="318">
        <f t="shared" si="187"/>
        <v>0</v>
      </c>
      <c r="D1910" s="11" t="b">
        <f t="shared" si="182"/>
        <v>1</v>
      </c>
      <c r="E1910" s="311"/>
      <c r="H1910" s="11" t="b">
        <f t="shared" si="183"/>
        <v>0</v>
      </c>
      <c r="K1910" s="11" t="b">
        <v>1</v>
      </c>
    </row>
    <row r="1911" spans="1:11">
      <c r="A1911" s="11" t="s">
        <v>2261</v>
      </c>
      <c r="B1911" s="378" t="str">
        <f>报表附注!E2163</f>
        <v>重组义务</v>
      </c>
      <c r="C1911" s="318">
        <f t="shared" si="187"/>
        <v>0</v>
      </c>
      <c r="D1911" s="11" t="b">
        <f t="shared" si="182"/>
        <v>1</v>
      </c>
      <c r="E1911" s="311"/>
      <c r="H1911" s="11" t="b">
        <f t="shared" si="183"/>
        <v>0</v>
      </c>
      <c r="I1911" s="11" t="s">
        <v>2273</v>
      </c>
      <c r="K1911" s="11" t="b">
        <v>1</v>
      </c>
    </row>
    <row r="1912" spans="1:11">
      <c r="A1912" s="11" t="s">
        <v>2262</v>
      </c>
      <c r="B1912" s="378" t="str">
        <f>报表附注!E2164</f>
        <v>辞退福利</v>
      </c>
      <c r="C1912" s="318">
        <f t="shared" si="187"/>
        <v>0</v>
      </c>
      <c r="D1912" s="11" t="b">
        <f t="shared" si="182"/>
        <v>1</v>
      </c>
      <c r="E1912" s="311"/>
      <c r="H1912" s="11" t="b">
        <f t="shared" si="183"/>
        <v>0</v>
      </c>
      <c r="K1912" s="11" t="b">
        <v>1</v>
      </c>
    </row>
    <row r="1913" spans="1:11">
      <c r="A1913" s="11" t="s">
        <v>2263</v>
      </c>
      <c r="B1913" s="378" t="str">
        <f>报表附注!E2165</f>
        <v>待执行的亏损合同</v>
      </c>
      <c r="C1913" s="318">
        <f t="shared" si="187"/>
        <v>0</v>
      </c>
      <c r="D1913" s="11" t="b">
        <f t="shared" si="182"/>
        <v>1</v>
      </c>
      <c r="E1913" s="311"/>
      <c r="H1913" s="11" t="b">
        <f t="shared" si="183"/>
        <v>0</v>
      </c>
      <c r="I1913" s="11" t="s">
        <v>2275</v>
      </c>
      <c r="K1913" s="11" t="b">
        <v>1</v>
      </c>
    </row>
    <row r="1914" spans="1:11">
      <c r="A1914" s="11" t="s">
        <v>280</v>
      </c>
      <c r="B1914" s="378" t="str">
        <f>报表附注!E2166</f>
        <v>其他</v>
      </c>
      <c r="C1914" s="318">
        <f t="shared" si="187"/>
        <v>0</v>
      </c>
      <c r="D1914" s="11" t="b">
        <f t="shared" si="182"/>
        <v>1</v>
      </c>
      <c r="E1914" s="311"/>
      <c r="H1914" s="11" t="b">
        <f t="shared" si="183"/>
        <v>0</v>
      </c>
      <c r="K1914" s="11" t="b">
        <v>1</v>
      </c>
    </row>
    <row r="1915" spans="1:11">
      <c r="A1915" s="11" t="s">
        <v>347</v>
      </c>
      <c r="B1915" s="379" t="str">
        <f>报表附注!E2167</f>
        <v>合 计</v>
      </c>
      <c r="C1915" s="318">
        <f t="shared" si="187"/>
        <v>0</v>
      </c>
      <c r="D1915" s="11" t="b">
        <f t="shared" si="182"/>
        <v>1</v>
      </c>
      <c r="E1915" s="311"/>
      <c r="H1915" s="11" t="b">
        <f t="shared" si="183"/>
        <v>0</v>
      </c>
      <c r="I1915" s="11" t="s">
        <v>2277</v>
      </c>
      <c r="K1915" s="11" t="b">
        <v>1</v>
      </c>
    </row>
    <row r="1916" spans="2:11">
      <c r="B1916" s="378"/>
      <c r="D1916" s="11" t="b">
        <f t="shared" si="182"/>
        <v>1</v>
      </c>
      <c r="H1916" s="11" t="b">
        <f t="shared" si="183"/>
        <v>1</v>
      </c>
      <c r="K1916" s="11" t="b">
        <v>1</v>
      </c>
    </row>
    <row r="1917" spans="4:11">
      <c r="D1917" s="11" t="b">
        <f t="shared" si="182"/>
        <v>1</v>
      </c>
      <c r="H1917" s="11" t="b">
        <f t="shared" si="183"/>
        <v>0</v>
      </c>
      <c r="I1917" s="11" t="s">
        <v>2279</v>
      </c>
      <c r="K1917" s="11" t="b">
        <v>1</v>
      </c>
    </row>
    <row r="1918" ht="10.5" customHeight="1" spans="1:11">
      <c r="A1918" s="11" t="s">
        <v>2264</v>
      </c>
      <c r="B1918" s="329" t="s">
        <v>2264</v>
      </c>
      <c r="D1918" s="11" t="b">
        <f t="shared" ref="D1918:D1981" si="189">EXACT(A1918,B1918)</f>
        <v>1</v>
      </c>
      <c r="H1918" s="11" t="b">
        <f t="shared" si="183"/>
        <v>0</v>
      </c>
      <c r="K1918" s="11" t="b">
        <v>1</v>
      </c>
    </row>
    <row r="1919" spans="1:11">
      <c r="A1919" s="11" t="s">
        <v>2265</v>
      </c>
      <c r="B1919" s="380" t="s">
        <v>2265</v>
      </c>
      <c r="D1919" s="11" t="b">
        <f t="shared" si="189"/>
        <v>1</v>
      </c>
      <c r="H1919" s="11" t="b">
        <f t="shared" si="183"/>
        <v>0</v>
      </c>
      <c r="I1919" s="11" t="s">
        <v>2280</v>
      </c>
      <c r="K1919" s="11" t="b">
        <v>1</v>
      </c>
    </row>
    <row r="1920" spans="1:11">
      <c r="A1920" s="11" t="s">
        <v>516</v>
      </c>
      <c r="B1920" s="333" t="s">
        <v>516</v>
      </c>
      <c r="D1920" s="11" t="b">
        <f t="shared" si="189"/>
        <v>1</v>
      </c>
      <c r="H1920" s="11" t="b">
        <f t="shared" si="183"/>
        <v>0</v>
      </c>
      <c r="K1920" s="11" t="b">
        <v>1</v>
      </c>
    </row>
    <row r="1921" spans="1:11">
      <c r="A1921" s="11" t="s">
        <v>2266</v>
      </c>
      <c r="B1921" s="310" t="str">
        <f>报表附注!E2176</f>
        <v>一年内到期的长期借款</v>
      </c>
      <c r="C1921" s="382">
        <f t="shared" ref="C1921:C1945" si="190">J1869</f>
        <v>17624444.44</v>
      </c>
      <c r="D1921" s="11" t="b">
        <f t="shared" si="189"/>
        <v>1</v>
      </c>
      <c r="E1921" s="332"/>
      <c r="H1921" s="11" t="b">
        <f t="shared" si="183"/>
        <v>0</v>
      </c>
      <c r="I1921" s="11" t="s">
        <v>2282</v>
      </c>
      <c r="K1921" s="11" t="b">
        <v>1</v>
      </c>
    </row>
    <row r="1922" spans="1:11">
      <c r="A1922" s="11" t="s">
        <v>2267</v>
      </c>
      <c r="B1922" s="310" t="str">
        <f>报表附注!E2177</f>
        <v>一年内到期的应付债券</v>
      </c>
      <c r="C1922" s="382">
        <f t="shared" si="190"/>
        <v>0</v>
      </c>
      <c r="D1922" s="11" t="b">
        <f t="shared" si="189"/>
        <v>1</v>
      </c>
      <c r="E1922" s="332"/>
      <c r="H1922" s="11" t="b">
        <f t="shared" si="183"/>
        <v>0</v>
      </c>
      <c r="K1922" s="11" t="b">
        <v>1</v>
      </c>
    </row>
    <row r="1923" spans="1:11">
      <c r="A1923" s="11" t="s">
        <v>2268</v>
      </c>
      <c r="B1923" s="310" t="str">
        <f>报表附注!E2178</f>
        <v>一年内到期的长期应付款</v>
      </c>
      <c r="C1923" s="382">
        <f t="shared" si="190"/>
        <v>6606039.24</v>
      </c>
      <c r="D1923" s="11" t="b">
        <f t="shared" si="189"/>
        <v>1</v>
      </c>
      <c r="E1923" s="332"/>
      <c r="H1923" s="11" t="b">
        <f t="shared" si="183"/>
        <v>0</v>
      </c>
      <c r="I1923" s="11" t="s">
        <v>2283</v>
      </c>
      <c r="K1923" s="11" t="b">
        <v>1</v>
      </c>
    </row>
    <row r="1924" spans="1:11">
      <c r="A1924" s="11" t="s">
        <v>2269</v>
      </c>
      <c r="B1924" s="310" t="str">
        <f>报表附注!E2179</f>
        <v>一年内到期内的预计负债</v>
      </c>
      <c r="C1924" s="382">
        <f t="shared" si="190"/>
        <v>0</v>
      </c>
      <c r="D1924" s="11" t="b">
        <f t="shared" si="189"/>
        <v>1</v>
      </c>
      <c r="E1924" s="332"/>
      <c r="H1924" s="11" t="b">
        <f t="shared" ref="H1924:H1987" si="191">I1924=B1924</f>
        <v>0</v>
      </c>
      <c r="K1924" s="11" t="b">
        <v>1</v>
      </c>
    </row>
    <row r="1925" spans="1:11">
      <c r="A1925" s="11" t="s">
        <v>2203</v>
      </c>
      <c r="B1925" s="320" t="str">
        <f>报表附注!E2180</f>
        <v>合   计</v>
      </c>
      <c r="C1925" s="382">
        <f t="shared" si="190"/>
        <v>0</v>
      </c>
      <c r="D1925" s="11" t="b">
        <f t="shared" si="189"/>
        <v>1</v>
      </c>
      <c r="E1925" s="332"/>
      <c r="H1925" s="11" t="b">
        <f t="shared" si="191"/>
        <v>0</v>
      </c>
      <c r="I1925" s="11" t="s">
        <v>2284</v>
      </c>
      <c r="K1925" s="11" t="b">
        <v>1</v>
      </c>
    </row>
    <row r="1926" spans="1:11">
      <c r="A1926" s="11" t="s">
        <v>671</v>
      </c>
      <c r="B1926" s="333" t="s">
        <v>671</v>
      </c>
      <c r="C1926" s="328">
        <f t="shared" si="190"/>
        <v>0</v>
      </c>
      <c r="D1926" s="11" t="b">
        <f t="shared" si="189"/>
        <v>1</v>
      </c>
      <c r="H1926" s="11" t="b">
        <f t="shared" si="191"/>
        <v>0</v>
      </c>
      <c r="I1926" s="11" t="s">
        <v>2020</v>
      </c>
      <c r="K1926" s="11" t="b">
        <v>1</v>
      </c>
    </row>
    <row r="1927" spans="1:11">
      <c r="A1927" s="11" t="s">
        <v>2266</v>
      </c>
      <c r="B1927" s="310" t="str">
        <f>报表附注!E2176</f>
        <v>一年内到期的长期借款</v>
      </c>
      <c r="C1927" s="321">
        <f t="shared" si="190"/>
        <v>0</v>
      </c>
      <c r="D1927" s="11" t="b">
        <f t="shared" si="189"/>
        <v>1</v>
      </c>
      <c r="E1927" s="321">
        <f>C1921</f>
        <v>17624444.44</v>
      </c>
      <c r="H1927" s="11" t="b">
        <f t="shared" si="191"/>
        <v>0</v>
      </c>
      <c r="I1927" s="11" t="s">
        <v>2285</v>
      </c>
      <c r="J1927" s="323">
        <v>5756259.26</v>
      </c>
      <c r="K1927" s="11" t="b">
        <v>1</v>
      </c>
    </row>
    <row r="1928" spans="1:11">
      <c r="A1928" s="11" t="s">
        <v>2267</v>
      </c>
      <c r="B1928" s="310" t="str">
        <f>报表附注!E2177</f>
        <v>一年内到期的应付债券</v>
      </c>
      <c r="C1928" s="321">
        <f t="shared" si="190"/>
        <v>0</v>
      </c>
      <c r="D1928" s="11" t="b">
        <f t="shared" si="189"/>
        <v>1</v>
      </c>
      <c r="E1928" s="321">
        <f t="shared" ref="E1928:E1931" si="192">C1922</f>
        <v>0</v>
      </c>
      <c r="H1928" s="11" t="b">
        <f t="shared" si="191"/>
        <v>0</v>
      </c>
      <c r="I1928" s="11" t="s">
        <v>2286</v>
      </c>
      <c r="K1928" s="11" t="b">
        <v>1</v>
      </c>
    </row>
    <row r="1929" spans="1:11">
      <c r="A1929" s="11" t="s">
        <v>2268</v>
      </c>
      <c r="B1929" s="310" t="str">
        <f>报表附注!E2178</f>
        <v>一年内到期的长期应付款</v>
      </c>
      <c r="C1929" s="321">
        <f t="shared" si="190"/>
        <v>0</v>
      </c>
      <c r="D1929" s="11" t="b">
        <f t="shared" si="189"/>
        <v>1</v>
      </c>
      <c r="E1929" s="321">
        <f t="shared" si="192"/>
        <v>6606039.24</v>
      </c>
      <c r="H1929" s="11" t="b">
        <f t="shared" si="191"/>
        <v>0</v>
      </c>
      <c r="I1929" s="11" t="s">
        <v>2021</v>
      </c>
      <c r="J1929" s="323">
        <f>J1927</f>
        <v>5756259.26</v>
      </c>
      <c r="K1929" s="11" t="b">
        <v>1</v>
      </c>
    </row>
    <row r="1930" spans="1:11">
      <c r="A1930" s="11" t="s">
        <v>2269</v>
      </c>
      <c r="B1930" s="310" t="str">
        <f>报表附注!E2179</f>
        <v>一年内到期内的预计负债</v>
      </c>
      <c r="C1930" s="321">
        <f t="shared" si="190"/>
        <v>0</v>
      </c>
      <c r="D1930" s="11" t="b">
        <f t="shared" si="189"/>
        <v>1</v>
      </c>
      <c r="E1930" s="321">
        <f t="shared" si="192"/>
        <v>0</v>
      </c>
      <c r="H1930" s="11" t="b">
        <f t="shared" si="191"/>
        <v>0</v>
      </c>
      <c r="I1930" s="11" t="s">
        <v>672</v>
      </c>
      <c r="K1930" s="11" t="b">
        <v>1</v>
      </c>
    </row>
    <row r="1931" spans="1:11">
      <c r="A1931" s="11" t="s">
        <v>2203</v>
      </c>
      <c r="B1931" s="320" t="str">
        <f>报表附注!E2180</f>
        <v>合   计</v>
      </c>
      <c r="C1931" s="321">
        <f t="shared" si="190"/>
        <v>0</v>
      </c>
      <c r="D1931" s="11" t="b">
        <f t="shared" si="189"/>
        <v>1</v>
      </c>
      <c r="E1931" s="321">
        <f t="shared" si="192"/>
        <v>0</v>
      </c>
      <c r="H1931" s="11" t="b">
        <f t="shared" si="191"/>
        <v>0</v>
      </c>
      <c r="I1931" s="11" t="s">
        <v>2285</v>
      </c>
      <c r="K1931" s="11" t="b">
        <v>1</v>
      </c>
    </row>
    <row r="1932" spans="3:11">
      <c r="C1932" s="328">
        <f t="shared" si="190"/>
        <v>0</v>
      </c>
      <c r="D1932" s="11" t="b">
        <f t="shared" si="189"/>
        <v>1</v>
      </c>
      <c r="H1932" s="11" t="b">
        <f t="shared" si="191"/>
        <v>0</v>
      </c>
      <c r="I1932" s="11" t="s">
        <v>2286</v>
      </c>
      <c r="K1932" s="11" t="b">
        <v>1</v>
      </c>
    </row>
    <row r="1933" spans="1:11">
      <c r="A1933" s="11" t="s">
        <v>2270</v>
      </c>
      <c r="B1933" s="315" t="s">
        <v>2270</v>
      </c>
      <c r="C1933" s="328">
        <f t="shared" si="190"/>
        <v>0</v>
      </c>
      <c r="D1933" s="11" t="b">
        <f t="shared" si="189"/>
        <v>1</v>
      </c>
      <c r="H1933" s="11" t="b">
        <f t="shared" si="191"/>
        <v>0</v>
      </c>
      <c r="I1933" s="11" t="s">
        <v>2021</v>
      </c>
      <c r="K1933" s="11" t="b">
        <v>1</v>
      </c>
    </row>
    <row r="1934" spans="1:11">
      <c r="A1934" s="11" t="s">
        <v>316</v>
      </c>
      <c r="B1934" s="333" t="s">
        <v>316</v>
      </c>
      <c r="C1934" s="328">
        <f t="shared" si="190"/>
        <v>0</v>
      </c>
      <c r="D1934" s="11" t="b">
        <f t="shared" si="189"/>
        <v>1</v>
      </c>
      <c r="E1934" s="326"/>
      <c r="H1934" s="11" t="b">
        <f t="shared" si="191"/>
        <v>0</v>
      </c>
      <c r="I1934" s="11" t="s">
        <v>673</v>
      </c>
      <c r="K1934" s="11" t="b">
        <v>1</v>
      </c>
    </row>
    <row r="1935" spans="1:11">
      <c r="A1935" s="11" t="s">
        <v>983</v>
      </c>
      <c r="B1935" s="334" t="str">
        <f>报表附注!E2186</f>
        <v>信用借款</v>
      </c>
      <c r="C1935" s="318">
        <f t="shared" si="190"/>
        <v>0</v>
      </c>
      <c r="D1935" s="11" t="b">
        <f t="shared" si="189"/>
        <v>1</v>
      </c>
      <c r="E1935" s="311"/>
      <c r="H1935" s="11" t="b">
        <f t="shared" si="191"/>
        <v>0</v>
      </c>
      <c r="I1935" s="11" t="s">
        <v>2285</v>
      </c>
      <c r="K1935" s="11" t="b">
        <v>1</v>
      </c>
    </row>
    <row r="1936" spans="1:11">
      <c r="A1936" s="11" t="s">
        <v>985</v>
      </c>
      <c r="B1936" s="334" t="str">
        <f>报表附注!E2187</f>
        <v>抵押借款</v>
      </c>
      <c r="C1936" s="318">
        <f t="shared" si="190"/>
        <v>0</v>
      </c>
      <c r="D1936" s="11" t="b">
        <f t="shared" si="189"/>
        <v>1</v>
      </c>
      <c r="E1936" s="311"/>
      <c r="H1936" s="11" t="b">
        <f t="shared" si="191"/>
        <v>0</v>
      </c>
      <c r="I1936" s="11" t="s">
        <v>2286</v>
      </c>
      <c r="K1936" s="11" t="b">
        <v>1</v>
      </c>
    </row>
    <row r="1937" spans="1:11">
      <c r="A1937" s="11" t="s">
        <v>987</v>
      </c>
      <c r="B1937" s="334" t="str">
        <f>报表附注!E2188</f>
        <v>保证借款</v>
      </c>
      <c r="C1937" s="318">
        <f t="shared" si="190"/>
        <v>0</v>
      </c>
      <c r="D1937" s="11" t="b">
        <f t="shared" si="189"/>
        <v>1</v>
      </c>
      <c r="E1937" s="311"/>
      <c r="H1937" s="11" t="b">
        <f t="shared" si="191"/>
        <v>0</v>
      </c>
      <c r="I1937" s="11" t="s">
        <v>2021</v>
      </c>
      <c r="K1937" s="11" t="b">
        <v>1</v>
      </c>
    </row>
    <row r="1938" spans="1:11">
      <c r="A1938" s="11" t="s">
        <v>989</v>
      </c>
      <c r="B1938" s="334" t="str">
        <f>报表附注!E2189</f>
        <v>质押借款</v>
      </c>
      <c r="C1938" s="318">
        <f t="shared" si="190"/>
        <v>17624444.44</v>
      </c>
      <c r="D1938" s="11" t="b">
        <f t="shared" si="189"/>
        <v>1</v>
      </c>
      <c r="E1938" s="311"/>
      <c r="H1938" s="11" t="b">
        <f t="shared" si="191"/>
        <v>0</v>
      </c>
      <c r="K1938" s="11" t="b">
        <v>1</v>
      </c>
    </row>
    <row r="1939" spans="1:11">
      <c r="A1939" s="11" t="s">
        <v>2203</v>
      </c>
      <c r="B1939" s="339" t="str">
        <f>报表附注!E2190</f>
        <v>合   计</v>
      </c>
      <c r="C1939" s="318">
        <f t="shared" si="190"/>
        <v>0</v>
      </c>
      <c r="D1939" s="11" t="b">
        <f t="shared" si="189"/>
        <v>1</v>
      </c>
      <c r="E1939" s="311"/>
      <c r="H1939" s="11" t="b">
        <f t="shared" si="191"/>
        <v>0</v>
      </c>
      <c r="I1939" s="11" t="s">
        <v>2287</v>
      </c>
      <c r="K1939" s="11" t="b">
        <v>1</v>
      </c>
    </row>
    <row r="1940" spans="1:11">
      <c r="A1940" s="11" t="s">
        <v>2020</v>
      </c>
      <c r="B1940" s="333" t="s">
        <v>2020</v>
      </c>
      <c r="C1940" s="328">
        <f t="shared" si="190"/>
        <v>0</v>
      </c>
      <c r="D1940" s="11" t="b">
        <f t="shared" si="189"/>
        <v>1</v>
      </c>
      <c r="H1940" s="11" t="b">
        <f t="shared" si="191"/>
        <v>1</v>
      </c>
      <c r="I1940" s="11" t="s">
        <v>2020</v>
      </c>
      <c r="K1940" s="11" t="b">
        <v>1</v>
      </c>
    </row>
    <row r="1941" spans="1:11">
      <c r="A1941" s="11" t="s">
        <v>983</v>
      </c>
      <c r="B1941" s="334" t="str">
        <f>报表附注!E2186</f>
        <v>信用借款</v>
      </c>
      <c r="C1941" s="321">
        <f t="shared" si="190"/>
        <v>0</v>
      </c>
      <c r="D1941" s="11" t="b">
        <f t="shared" si="189"/>
        <v>1</v>
      </c>
      <c r="E1941" s="321">
        <f>C1935</f>
        <v>0</v>
      </c>
      <c r="H1941" s="11" t="b">
        <f t="shared" si="191"/>
        <v>0</v>
      </c>
      <c r="I1941" s="11" t="s">
        <v>2288</v>
      </c>
      <c r="K1941" s="11" t="b">
        <v>1</v>
      </c>
    </row>
    <row r="1942" spans="1:11">
      <c r="A1942" s="11" t="s">
        <v>985</v>
      </c>
      <c r="B1942" s="334" t="str">
        <f>报表附注!E2187</f>
        <v>抵押借款</v>
      </c>
      <c r="C1942" s="321">
        <f t="shared" si="190"/>
        <v>0</v>
      </c>
      <c r="D1942" s="11" t="b">
        <f t="shared" si="189"/>
        <v>1</v>
      </c>
      <c r="E1942" s="321">
        <f t="shared" ref="E1942:E1945" si="193">C1936</f>
        <v>0</v>
      </c>
      <c r="H1942" s="11" t="b">
        <f t="shared" si="191"/>
        <v>0</v>
      </c>
      <c r="I1942" s="11" t="s">
        <v>2289</v>
      </c>
      <c r="K1942" s="11" t="b">
        <v>1</v>
      </c>
    </row>
    <row r="1943" spans="1:11">
      <c r="A1943" s="11" t="s">
        <v>987</v>
      </c>
      <c r="B1943" s="334" t="str">
        <f>报表附注!E2188</f>
        <v>保证借款</v>
      </c>
      <c r="C1943" s="321">
        <f t="shared" si="190"/>
        <v>0</v>
      </c>
      <c r="D1943" s="11" t="b">
        <f t="shared" si="189"/>
        <v>1</v>
      </c>
      <c r="E1943" s="321">
        <f t="shared" si="193"/>
        <v>0</v>
      </c>
      <c r="H1943" s="11" t="b">
        <f t="shared" si="191"/>
        <v>0</v>
      </c>
      <c r="I1943" s="11" t="s">
        <v>1202</v>
      </c>
      <c r="K1943" s="11" t="b">
        <v>1</v>
      </c>
    </row>
    <row r="1944" spans="1:11">
      <c r="A1944" s="11" t="s">
        <v>989</v>
      </c>
      <c r="B1944" s="334" t="str">
        <f>报表附注!E2189</f>
        <v>质押借款</v>
      </c>
      <c r="C1944" s="321">
        <f t="shared" si="190"/>
        <v>0</v>
      </c>
      <c r="D1944" s="11" t="b">
        <f t="shared" si="189"/>
        <v>1</v>
      </c>
      <c r="E1944" s="321">
        <f t="shared" si="193"/>
        <v>17624444.44</v>
      </c>
      <c r="H1944" s="11" t="b">
        <f t="shared" si="191"/>
        <v>0</v>
      </c>
      <c r="I1944" s="11" t="s">
        <v>1204</v>
      </c>
      <c r="K1944" s="11" t="b">
        <v>1</v>
      </c>
    </row>
    <row r="1945" spans="1:11">
      <c r="A1945" s="11" t="s">
        <v>2203</v>
      </c>
      <c r="B1945" s="339" t="str">
        <f>报表附注!E2190</f>
        <v>合   计</v>
      </c>
      <c r="C1945" s="321">
        <f t="shared" si="190"/>
        <v>0</v>
      </c>
      <c r="D1945" s="11" t="b">
        <f t="shared" si="189"/>
        <v>1</v>
      </c>
      <c r="E1945" s="321">
        <f t="shared" si="193"/>
        <v>0</v>
      </c>
      <c r="H1945" s="11" t="b">
        <f t="shared" si="191"/>
        <v>0</v>
      </c>
      <c r="I1945" s="11" t="s">
        <v>2021</v>
      </c>
      <c r="K1945" s="11" t="b">
        <v>1</v>
      </c>
    </row>
    <row r="1946" spans="4:11">
      <c r="D1946" s="11" t="b">
        <f t="shared" si="189"/>
        <v>1</v>
      </c>
      <c r="H1946" s="11" t="b">
        <f t="shared" si="191"/>
        <v>0</v>
      </c>
      <c r="I1946" s="11" t="s">
        <v>672</v>
      </c>
      <c r="K1946" s="11" t="b">
        <v>1</v>
      </c>
    </row>
    <row r="1947" spans="1:11">
      <c r="A1947" s="11" t="s">
        <v>2271</v>
      </c>
      <c r="B1947" s="331" t="s">
        <v>2271</v>
      </c>
      <c r="D1947" s="11" t="b">
        <f t="shared" si="189"/>
        <v>1</v>
      </c>
      <c r="H1947" s="11" t="b">
        <f t="shared" si="191"/>
        <v>0</v>
      </c>
      <c r="I1947" s="11" t="s">
        <v>2288</v>
      </c>
      <c r="K1947" s="11" t="b">
        <v>1</v>
      </c>
    </row>
    <row r="1948" spans="4:11">
      <c r="D1948" s="11" t="b">
        <f t="shared" si="189"/>
        <v>1</v>
      </c>
      <c r="H1948" s="11" t="b">
        <f t="shared" si="191"/>
        <v>0</v>
      </c>
      <c r="I1948" s="11" t="s">
        <v>2289</v>
      </c>
      <c r="K1948" s="11" t="b">
        <v>1</v>
      </c>
    </row>
    <row r="1949" spans="1:11">
      <c r="A1949" s="11" t="s">
        <v>2272</v>
      </c>
      <c r="B1949" s="329" t="s">
        <v>2272</v>
      </c>
      <c r="D1949" s="11" t="b">
        <f t="shared" si="189"/>
        <v>1</v>
      </c>
      <c r="H1949" s="11" t="b">
        <f t="shared" si="191"/>
        <v>0</v>
      </c>
      <c r="I1949" s="11" t="s">
        <v>1202</v>
      </c>
      <c r="K1949" s="11" t="b">
        <v>1</v>
      </c>
    </row>
    <row r="1950" spans="1:11">
      <c r="A1950" s="11" t="s">
        <v>316</v>
      </c>
      <c r="B1950" s="333" t="s">
        <v>316</v>
      </c>
      <c r="D1950" s="11" t="b">
        <f t="shared" si="189"/>
        <v>1</v>
      </c>
      <c r="H1950" s="11" t="b">
        <f t="shared" si="191"/>
        <v>0</v>
      </c>
      <c r="I1950" s="11" t="s">
        <v>1204</v>
      </c>
      <c r="K1950" s="11" t="b">
        <v>1</v>
      </c>
    </row>
    <row r="1951" spans="1:11">
      <c r="A1951" s="11" t="s">
        <v>983</v>
      </c>
      <c r="B1951" s="310" t="str">
        <f>报表附注!E2274</f>
        <v>信用借款</v>
      </c>
      <c r="C1951" s="318">
        <f t="shared" ref="C1951:C1961" si="194">J1899</f>
        <v>0</v>
      </c>
      <c r="D1951" s="11" t="b">
        <f t="shared" si="189"/>
        <v>1</v>
      </c>
      <c r="E1951" s="311"/>
      <c r="H1951" s="11" t="b">
        <f t="shared" si="191"/>
        <v>0</v>
      </c>
      <c r="I1951" s="11" t="s">
        <v>2021</v>
      </c>
      <c r="K1951" s="11" t="b">
        <v>1</v>
      </c>
    </row>
    <row r="1952" spans="1:11">
      <c r="A1952" s="11" t="s">
        <v>985</v>
      </c>
      <c r="B1952" s="310" t="str">
        <f>报表附注!E2275</f>
        <v>抵押借款</v>
      </c>
      <c r="C1952" s="318">
        <f t="shared" si="194"/>
        <v>0</v>
      </c>
      <c r="D1952" s="11" t="b">
        <f t="shared" si="189"/>
        <v>1</v>
      </c>
      <c r="E1952" s="311"/>
      <c r="H1952" s="11" t="b">
        <f t="shared" si="191"/>
        <v>0</v>
      </c>
      <c r="I1952" s="11" t="s">
        <v>673</v>
      </c>
      <c r="K1952" s="11" t="b">
        <v>1</v>
      </c>
    </row>
    <row r="1953" spans="1:11">
      <c r="A1953" s="11" t="s">
        <v>987</v>
      </c>
      <c r="B1953" s="310" t="str">
        <f>报表附注!E2276</f>
        <v>保证借款</v>
      </c>
      <c r="C1953" s="318">
        <f t="shared" si="194"/>
        <v>0</v>
      </c>
      <c r="D1953" s="11" t="b">
        <f t="shared" si="189"/>
        <v>1</v>
      </c>
      <c r="E1953" s="311"/>
      <c r="H1953" s="11" t="b">
        <f t="shared" si="191"/>
        <v>0</v>
      </c>
      <c r="I1953" s="11" t="s">
        <v>2288</v>
      </c>
      <c r="K1953" s="11" t="b">
        <v>1</v>
      </c>
    </row>
    <row r="1954" spans="1:11">
      <c r="A1954" s="11" t="s">
        <v>989</v>
      </c>
      <c r="B1954" s="310" t="str">
        <f>报表附注!E2277</f>
        <v>质押借款</v>
      </c>
      <c r="C1954" s="318">
        <f t="shared" si="194"/>
        <v>48202962.97</v>
      </c>
      <c r="D1954" s="11" t="b">
        <f t="shared" si="189"/>
        <v>1</v>
      </c>
      <c r="E1954" s="311"/>
      <c r="H1954" s="11" t="b">
        <f t="shared" si="191"/>
        <v>0</v>
      </c>
      <c r="I1954" s="11" t="s">
        <v>2289</v>
      </c>
      <c r="K1954" s="11" t="b">
        <v>1</v>
      </c>
    </row>
    <row r="1955" spans="1:11">
      <c r="A1955" s="11" t="s">
        <v>2203</v>
      </c>
      <c r="B1955" s="320" t="str">
        <f>报表附注!E2278</f>
        <v>合   计</v>
      </c>
      <c r="C1955" s="318">
        <f t="shared" si="194"/>
        <v>48202962.97</v>
      </c>
      <c r="D1955" s="11" t="b">
        <f t="shared" si="189"/>
        <v>1</v>
      </c>
      <c r="E1955" s="311"/>
      <c r="H1955" s="11" t="b">
        <f t="shared" si="191"/>
        <v>0</v>
      </c>
      <c r="I1955" s="11" t="s">
        <v>1202</v>
      </c>
      <c r="K1955" s="11" t="b">
        <v>1</v>
      </c>
    </row>
    <row r="1956" spans="1:11">
      <c r="A1956" s="11" t="s">
        <v>2020</v>
      </c>
      <c r="B1956" s="333" t="s">
        <v>2020</v>
      </c>
      <c r="C1956" s="328">
        <f t="shared" si="194"/>
        <v>0</v>
      </c>
      <c r="D1956" s="11" t="b">
        <f t="shared" si="189"/>
        <v>1</v>
      </c>
      <c r="H1956" s="11" t="b">
        <f t="shared" si="191"/>
        <v>0</v>
      </c>
      <c r="I1956" s="11" t="s">
        <v>1204</v>
      </c>
      <c r="K1956" s="11" t="b">
        <v>1</v>
      </c>
    </row>
    <row r="1957" spans="1:11">
      <c r="A1957" s="11" t="s">
        <v>983</v>
      </c>
      <c r="B1957" s="310" t="str">
        <f>报表附注!E2274</f>
        <v>信用借款</v>
      </c>
      <c r="C1957" s="321">
        <f t="shared" si="194"/>
        <v>0</v>
      </c>
      <c r="D1957" s="11" t="b">
        <f t="shared" si="189"/>
        <v>1</v>
      </c>
      <c r="E1957" s="321">
        <f>C1951</f>
        <v>0</v>
      </c>
      <c r="H1957" s="11" t="b">
        <f t="shared" si="191"/>
        <v>0</v>
      </c>
      <c r="I1957" s="11" t="s">
        <v>2021</v>
      </c>
      <c r="K1957" s="11" t="b">
        <v>1</v>
      </c>
    </row>
    <row r="1958" spans="1:11">
      <c r="A1958" s="11" t="s">
        <v>985</v>
      </c>
      <c r="B1958" s="310" t="str">
        <f>报表附注!E2275</f>
        <v>抵押借款</v>
      </c>
      <c r="C1958" s="321">
        <f t="shared" si="194"/>
        <v>0</v>
      </c>
      <c r="D1958" s="11" t="b">
        <f t="shared" si="189"/>
        <v>1</v>
      </c>
      <c r="E1958" s="321">
        <f t="shared" ref="E1958:E1961" si="195">C1952</f>
        <v>0</v>
      </c>
      <c r="H1958" s="11" t="b">
        <f t="shared" si="191"/>
        <v>0</v>
      </c>
      <c r="K1958" s="11" t="b">
        <v>1</v>
      </c>
    </row>
    <row r="1959" spans="1:11">
      <c r="A1959" s="11" t="s">
        <v>987</v>
      </c>
      <c r="B1959" s="310" t="str">
        <f>报表附注!E2276</f>
        <v>保证借款</v>
      </c>
      <c r="C1959" s="321">
        <f t="shared" si="194"/>
        <v>0</v>
      </c>
      <c r="D1959" s="11" t="b">
        <f t="shared" si="189"/>
        <v>1</v>
      </c>
      <c r="E1959" s="321">
        <f t="shared" si="195"/>
        <v>0</v>
      </c>
      <c r="H1959" s="11" t="b">
        <f t="shared" si="191"/>
        <v>0</v>
      </c>
      <c r="I1959" s="11" t="s">
        <v>2290</v>
      </c>
      <c r="K1959" s="11" t="b">
        <v>1</v>
      </c>
    </row>
    <row r="1960" spans="1:11">
      <c r="A1960" s="11" t="s">
        <v>989</v>
      </c>
      <c r="B1960" s="310" t="str">
        <f>报表附注!E2277</f>
        <v>质押借款</v>
      </c>
      <c r="C1960" s="321">
        <f t="shared" si="194"/>
        <v>0</v>
      </c>
      <c r="D1960" s="11" t="b">
        <f t="shared" si="189"/>
        <v>1</v>
      </c>
      <c r="E1960" s="321">
        <f t="shared" si="195"/>
        <v>48202962.97</v>
      </c>
      <c r="H1960" s="11" t="b">
        <f t="shared" si="191"/>
        <v>0</v>
      </c>
      <c r="K1960" s="11" t="b">
        <v>1</v>
      </c>
    </row>
    <row r="1961" spans="1:11">
      <c r="A1961" s="11" t="s">
        <v>2203</v>
      </c>
      <c r="B1961" s="320" t="str">
        <f>报表附注!E2278</f>
        <v>合   计</v>
      </c>
      <c r="C1961" s="321">
        <f t="shared" si="194"/>
        <v>0</v>
      </c>
      <c r="D1961" s="11" t="b">
        <f t="shared" si="189"/>
        <v>1</v>
      </c>
      <c r="E1961" s="321">
        <f t="shared" si="195"/>
        <v>48202962.97</v>
      </c>
      <c r="H1961" s="11" t="b">
        <f t="shared" si="191"/>
        <v>0</v>
      </c>
      <c r="I1961" s="11" t="s">
        <v>2291</v>
      </c>
      <c r="K1961" s="11" t="b">
        <v>1</v>
      </c>
    </row>
    <row r="1962" spans="4:11">
      <c r="D1962" s="11" t="b">
        <f t="shared" si="189"/>
        <v>1</v>
      </c>
      <c r="H1962" s="11" t="b">
        <f t="shared" si="191"/>
        <v>1</v>
      </c>
      <c r="K1962" s="11" t="b">
        <v>1</v>
      </c>
    </row>
    <row r="1963" spans="1:11">
      <c r="A1963" s="11" t="s">
        <v>2273</v>
      </c>
      <c r="B1963" s="331" t="s">
        <v>2274</v>
      </c>
      <c r="D1963" s="11" t="b">
        <f t="shared" si="189"/>
        <v>1</v>
      </c>
      <c r="H1963" s="11" t="b">
        <f t="shared" si="191"/>
        <v>0</v>
      </c>
      <c r="I1963" s="11" t="s">
        <v>2292</v>
      </c>
      <c r="K1963" s="11" t="b">
        <v>1</v>
      </c>
    </row>
    <row r="1964" spans="4:11">
      <c r="D1964" s="11" t="b">
        <f t="shared" si="189"/>
        <v>1</v>
      </c>
      <c r="H1964" s="11" t="b">
        <f t="shared" si="191"/>
        <v>0</v>
      </c>
      <c r="I1964" s="11" t="s">
        <v>2293</v>
      </c>
      <c r="K1964" s="11" t="b">
        <v>1</v>
      </c>
    </row>
    <row r="1965" spans="1:11">
      <c r="A1965" s="11" t="s">
        <v>2275</v>
      </c>
      <c r="B1965" s="331" t="s">
        <v>2276</v>
      </c>
      <c r="D1965" s="11" t="b">
        <f t="shared" si="189"/>
        <v>1</v>
      </c>
      <c r="H1965" s="11" t="b">
        <f t="shared" si="191"/>
        <v>0</v>
      </c>
      <c r="I1965" s="11" t="s">
        <v>2294</v>
      </c>
      <c r="K1965" s="11" t="b">
        <v>1</v>
      </c>
    </row>
    <row r="1966" spans="4:11">
      <c r="D1966" s="11" t="b">
        <f t="shared" si="189"/>
        <v>1</v>
      </c>
      <c r="H1966" s="11" t="b">
        <f t="shared" si="191"/>
        <v>0</v>
      </c>
      <c r="I1966" s="11" t="s">
        <v>347</v>
      </c>
      <c r="K1966" s="11" t="b">
        <v>1</v>
      </c>
    </row>
    <row r="1967" spans="1:11">
      <c r="A1967" s="11" t="s">
        <v>2277</v>
      </c>
      <c r="B1967" s="331" t="s">
        <v>2278</v>
      </c>
      <c r="D1967" s="11" t="b">
        <f t="shared" si="189"/>
        <v>1</v>
      </c>
      <c r="H1967" s="11" t="b">
        <f t="shared" si="191"/>
        <v>0</v>
      </c>
      <c r="I1967" s="11" t="s">
        <v>2295</v>
      </c>
      <c r="K1967" s="11" t="b">
        <v>1</v>
      </c>
    </row>
    <row r="1968" spans="4:11">
      <c r="D1968" s="11" t="b">
        <f t="shared" si="189"/>
        <v>1</v>
      </c>
      <c r="H1968" s="11" t="b">
        <f t="shared" si="191"/>
        <v>0</v>
      </c>
      <c r="I1968" s="11" t="s">
        <v>2293</v>
      </c>
      <c r="K1968" s="11" t="b">
        <v>1</v>
      </c>
    </row>
    <row r="1969" ht="18" customHeight="1" spans="1:11">
      <c r="A1969" s="11" t="s">
        <v>2279</v>
      </c>
      <c r="B1969" s="383" t="s">
        <v>2279</v>
      </c>
      <c r="D1969" s="11" t="b">
        <f t="shared" si="189"/>
        <v>1</v>
      </c>
      <c r="H1969" s="11" t="b">
        <f t="shared" si="191"/>
        <v>0</v>
      </c>
      <c r="I1969" s="11" t="s">
        <v>2294</v>
      </c>
      <c r="K1969" s="11" t="b">
        <v>1</v>
      </c>
    </row>
    <row r="1970" spans="4:11">
      <c r="D1970" s="11" t="b">
        <f t="shared" si="189"/>
        <v>1</v>
      </c>
      <c r="H1970" s="11" t="b">
        <f t="shared" si="191"/>
        <v>0</v>
      </c>
      <c r="I1970" s="11" t="s">
        <v>347</v>
      </c>
      <c r="K1970" s="11" t="b">
        <v>1</v>
      </c>
    </row>
    <row r="1971" customHeight="1" spans="1:11">
      <c r="A1971" s="11" t="s">
        <v>2280</v>
      </c>
      <c r="B1971" s="383" t="s">
        <v>2281</v>
      </c>
      <c r="D1971" s="11" t="b">
        <f t="shared" si="189"/>
        <v>1</v>
      </c>
      <c r="H1971" s="11" t="b">
        <f t="shared" si="191"/>
        <v>0</v>
      </c>
      <c r="I1971" s="11" t="s">
        <v>2296</v>
      </c>
      <c r="K1971" s="11" t="b">
        <v>1</v>
      </c>
    </row>
    <row r="1972" spans="4:11">
      <c r="D1972" s="11" t="b">
        <f t="shared" si="189"/>
        <v>1</v>
      </c>
      <c r="H1972" s="11" t="b">
        <f t="shared" si="191"/>
        <v>0</v>
      </c>
      <c r="I1972" s="11" t="s">
        <v>2293</v>
      </c>
      <c r="K1972" s="11" t="b">
        <v>1</v>
      </c>
    </row>
    <row r="1973" spans="1:11">
      <c r="A1973" s="11" t="s">
        <v>2282</v>
      </c>
      <c r="B1973" s="358" t="s">
        <v>2282</v>
      </c>
      <c r="D1973" s="11" t="b">
        <f t="shared" si="189"/>
        <v>1</v>
      </c>
      <c r="H1973" s="11" t="b">
        <f t="shared" si="191"/>
        <v>0</v>
      </c>
      <c r="I1973" s="11" t="s">
        <v>2294</v>
      </c>
      <c r="K1973" s="11" t="b">
        <v>1</v>
      </c>
    </row>
    <row r="1974" spans="4:11">
      <c r="D1974" s="11" t="b">
        <f t="shared" si="189"/>
        <v>1</v>
      </c>
      <c r="H1974" s="11" t="b">
        <f t="shared" si="191"/>
        <v>0</v>
      </c>
      <c r="I1974" s="11" t="s">
        <v>347</v>
      </c>
      <c r="K1974" s="11" t="b">
        <v>1</v>
      </c>
    </row>
    <row r="1975" spans="1:11">
      <c r="A1975" s="11" t="s">
        <v>2283</v>
      </c>
      <c r="B1975" s="384" t="s">
        <v>2283</v>
      </c>
      <c r="D1975" s="11" t="b">
        <f t="shared" si="189"/>
        <v>1</v>
      </c>
      <c r="H1975" s="11" t="b">
        <f t="shared" si="191"/>
        <v>0</v>
      </c>
      <c r="I1975" s="11" t="s">
        <v>2297</v>
      </c>
      <c r="K1975" s="11" t="b">
        <v>1</v>
      </c>
    </row>
    <row r="1976" spans="4:11">
      <c r="D1976" s="11" t="b">
        <f t="shared" si="189"/>
        <v>1</v>
      </c>
      <c r="H1976" s="11" t="b">
        <f t="shared" si="191"/>
        <v>0</v>
      </c>
      <c r="I1976" s="11" t="s">
        <v>2293</v>
      </c>
      <c r="K1976" s="11" t="b">
        <v>1</v>
      </c>
    </row>
    <row r="1977" spans="1:11">
      <c r="A1977" s="11" t="s">
        <v>2284</v>
      </c>
      <c r="B1977" s="329" t="s">
        <v>2284</v>
      </c>
      <c r="D1977" s="11" t="b">
        <f t="shared" si="189"/>
        <v>1</v>
      </c>
      <c r="H1977" s="11" t="b">
        <f t="shared" si="191"/>
        <v>0</v>
      </c>
      <c r="I1977" s="11" t="s">
        <v>2294</v>
      </c>
      <c r="K1977" s="11" t="b">
        <v>1</v>
      </c>
    </row>
    <row r="1978" spans="1:11">
      <c r="A1978" s="11" t="s">
        <v>2020</v>
      </c>
      <c r="B1978" s="333" t="s">
        <v>2020</v>
      </c>
      <c r="D1978" s="11" t="b">
        <f t="shared" si="189"/>
        <v>1</v>
      </c>
      <c r="H1978" s="11" t="b">
        <f t="shared" si="191"/>
        <v>0</v>
      </c>
      <c r="I1978" s="11" t="s">
        <v>347</v>
      </c>
      <c r="K1978" s="11" t="b">
        <v>1</v>
      </c>
    </row>
    <row r="1979" spans="1:11">
      <c r="A1979" s="11" t="s">
        <v>2285</v>
      </c>
      <c r="B1979" s="310" t="str">
        <f>报表附注!E2472</f>
        <v>1、股本溢价</v>
      </c>
      <c r="C1979" s="318">
        <f>J1927</f>
        <v>5756259.26</v>
      </c>
      <c r="D1979" s="11" t="b">
        <f t="shared" si="189"/>
        <v>1</v>
      </c>
      <c r="E1979" s="321">
        <f>C1979+C1983-C1987</f>
        <v>5756259.26</v>
      </c>
      <c r="H1979" s="11" t="b">
        <f t="shared" si="191"/>
        <v>0</v>
      </c>
      <c r="K1979" s="11" t="b">
        <v>1</v>
      </c>
    </row>
    <row r="1980" spans="1:11">
      <c r="A1980" s="11" t="s">
        <v>2286</v>
      </c>
      <c r="B1980" s="310" t="str">
        <f>报表附注!E2473</f>
        <v>2、其他资本公积</v>
      </c>
      <c r="C1980" s="318">
        <f t="shared" ref="C1980:C1989" si="196">J1928</f>
        <v>0</v>
      </c>
      <c r="D1980" s="11" t="b">
        <f t="shared" si="189"/>
        <v>1</v>
      </c>
      <c r="E1980" s="321">
        <f t="shared" ref="E1980:E1981" si="197">C1980+C1984-C1988</f>
        <v>0</v>
      </c>
      <c r="H1980" s="11" t="b">
        <f t="shared" si="191"/>
        <v>0</v>
      </c>
      <c r="I1980" s="11" t="s">
        <v>2298</v>
      </c>
      <c r="K1980" s="11" t="b">
        <v>1</v>
      </c>
    </row>
    <row r="1981" spans="1:11">
      <c r="A1981" s="11" t="s">
        <v>2021</v>
      </c>
      <c r="B1981" s="320" t="str">
        <f>报表附注!E2474</f>
        <v>合计</v>
      </c>
      <c r="C1981" s="318">
        <f t="shared" si="196"/>
        <v>5756259.26</v>
      </c>
      <c r="D1981" s="11" t="b">
        <f t="shared" si="189"/>
        <v>1</v>
      </c>
      <c r="E1981" s="321">
        <f t="shared" si="197"/>
        <v>5756259.26</v>
      </c>
      <c r="H1981" s="11" t="b">
        <f t="shared" si="191"/>
        <v>0</v>
      </c>
      <c r="I1981" s="11" t="s">
        <v>2299</v>
      </c>
      <c r="K1981" s="11" t="b">
        <v>1</v>
      </c>
    </row>
    <row r="1982" spans="1:11">
      <c r="A1982" s="11" t="s">
        <v>672</v>
      </c>
      <c r="B1982" s="333" t="s">
        <v>672</v>
      </c>
      <c r="C1982" s="328">
        <f t="shared" si="196"/>
        <v>0</v>
      </c>
      <c r="D1982" s="11" t="b">
        <f t="shared" ref="D1982:D2045" si="198">EXACT(A1982,B1982)</f>
        <v>1</v>
      </c>
      <c r="H1982" s="11" t="b">
        <f t="shared" si="191"/>
        <v>0</v>
      </c>
      <c r="I1982" s="11" t="s">
        <v>5717</v>
      </c>
      <c r="K1982" s="11" t="b">
        <v>0</v>
      </c>
    </row>
    <row r="1983" spans="1:11">
      <c r="A1983" s="11" t="s">
        <v>2285</v>
      </c>
      <c r="B1983" s="310" t="str">
        <f>报表附注!E2472</f>
        <v>1、股本溢价</v>
      </c>
      <c r="C1983" s="318">
        <f t="shared" si="196"/>
        <v>0</v>
      </c>
      <c r="D1983" s="11" t="b">
        <f t="shared" si="198"/>
        <v>1</v>
      </c>
      <c r="E1983" s="311"/>
      <c r="H1983" s="11" t="b">
        <f t="shared" si="191"/>
        <v>0</v>
      </c>
      <c r="I1983" s="11" t="s">
        <v>5718</v>
      </c>
      <c r="K1983" s="11" t="b">
        <v>0</v>
      </c>
    </row>
    <row r="1984" spans="1:11">
      <c r="A1984" s="11" t="s">
        <v>2286</v>
      </c>
      <c r="B1984" s="310" t="str">
        <f>报表附注!E2473</f>
        <v>2、其他资本公积</v>
      </c>
      <c r="C1984" s="318">
        <f t="shared" si="196"/>
        <v>0</v>
      </c>
      <c r="D1984" s="11" t="b">
        <f t="shared" si="198"/>
        <v>1</v>
      </c>
      <c r="E1984" s="311"/>
      <c r="H1984" s="11" t="b">
        <f t="shared" si="191"/>
        <v>0</v>
      </c>
      <c r="I1984" s="11" t="s">
        <v>5719</v>
      </c>
      <c r="K1984" s="11" t="b">
        <v>0</v>
      </c>
    </row>
    <row r="1985" spans="1:11">
      <c r="A1985" s="11" t="s">
        <v>2021</v>
      </c>
      <c r="B1985" s="320" t="str">
        <f>报表附注!E2474</f>
        <v>合计</v>
      </c>
      <c r="C1985" s="318">
        <f t="shared" si="196"/>
        <v>0</v>
      </c>
      <c r="D1985" s="11" t="b">
        <f t="shared" si="198"/>
        <v>1</v>
      </c>
      <c r="E1985" s="311"/>
      <c r="H1985" s="11" t="b">
        <f t="shared" si="191"/>
        <v>0</v>
      </c>
      <c r="I1985" s="11" t="s">
        <v>5720</v>
      </c>
      <c r="K1985" s="11" t="b">
        <v>0</v>
      </c>
    </row>
    <row r="1986" spans="1:11">
      <c r="A1986" s="11" t="s">
        <v>673</v>
      </c>
      <c r="B1986" s="333" t="s">
        <v>673</v>
      </c>
      <c r="C1986" s="328">
        <f t="shared" si="196"/>
        <v>0</v>
      </c>
      <c r="D1986" s="11" t="b">
        <f t="shared" si="198"/>
        <v>1</v>
      </c>
      <c r="E1986" s="326"/>
      <c r="H1986" s="11" t="b">
        <f t="shared" si="191"/>
        <v>0</v>
      </c>
      <c r="I1986" s="11" t="s">
        <v>5721</v>
      </c>
      <c r="K1986" s="11" t="b">
        <v>0</v>
      </c>
    </row>
    <row r="1987" spans="1:11">
      <c r="A1987" s="11" t="s">
        <v>2285</v>
      </c>
      <c r="B1987" s="310" t="str">
        <f>报表附注!E2472</f>
        <v>1、股本溢价</v>
      </c>
      <c r="C1987" s="318">
        <f t="shared" si="196"/>
        <v>0</v>
      </c>
      <c r="D1987" s="11" t="b">
        <f t="shared" si="198"/>
        <v>1</v>
      </c>
      <c r="E1987" s="311"/>
      <c r="H1987" s="11" t="b">
        <f t="shared" si="191"/>
        <v>0</v>
      </c>
      <c r="I1987" s="11" t="s">
        <v>5722</v>
      </c>
      <c r="K1987" s="11" t="b">
        <v>0</v>
      </c>
    </row>
    <row r="1988" spans="1:11">
      <c r="A1988" s="11" t="s">
        <v>2286</v>
      </c>
      <c r="B1988" s="310" t="str">
        <f>报表附注!E2473</f>
        <v>2、其他资本公积</v>
      </c>
      <c r="C1988" s="318">
        <f t="shared" si="196"/>
        <v>0</v>
      </c>
      <c r="D1988" s="11" t="b">
        <f t="shared" si="198"/>
        <v>1</v>
      </c>
      <c r="E1988" s="311"/>
      <c r="H1988" s="11" t="b">
        <f t="shared" ref="H1988:H2051" si="199">I1988=B1988</f>
        <v>0</v>
      </c>
      <c r="I1988" s="11" t="s">
        <v>5723</v>
      </c>
      <c r="K1988" s="11" t="b">
        <v>0</v>
      </c>
    </row>
    <row r="1989" spans="1:11">
      <c r="A1989" s="11" t="s">
        <v>2021</v>
      </c>
      <c r="B1989" s="320" t="str">
        <f>报表附注!E2474</f>
        <v>合计</v>
      </c>
      <c r="C1989" s="318">
        <f t="shared" si="196"/>
        <v>0</v>
      </c>
      <c r="D1989" s="11" t="b">
        <f t="shared" si="198"/>
        <v>1</v>
      </c>
      <c r="E1989" s="311"/>
      <c r="H1989" s="11" t="b">
        <f t="shared" si="199"/>
        <v>0</v>
      </c>
      <c r="I1989" s="11" t="s">
        <v>5724</v>
      </c>
      <c r="K1989" s="11" t="b">
        <v>0</v>
      </c>
    </row>
    <row r="1990" spans="4:11">
      <c r="D1990" s="11" t="b">
        <f t="shared" si="198"/>
        <v>1</v>
      </c>
      <c r="H1990" s="11" t="b">
        <f t="shared" si="199"/>
        <v>0</v>
      </c>
      <c r="I1990" s="11" t="s">
        <v>5725</v>
      </c>
      <c r="K1990" s="11" t="b">
        <v>0</v>
      </c>
    </row>
    <row r="1991" spans="1:11">
      <c r="A1991" s="11" t="s">
        <v>2287</v>
      </c>
      <c r="B1991" s="329" t="s">
        <v>2287</v>
      </c>
      <c r="D1991" s="11" t="b">
        <f t="shared" si="198"/>
        <v>1</v>
      </c>
      <c r="H1991" s="11" t="b">
        <f t="shared" si="199"/>
        <v>0</v>
      </c>
      <c r="I1991" s="11" t="s">
        <v>2309</v>
      </c>
      <c r="K1991" s="11" t="b">
        <v>1</v>
      </c>
    </row>
    <row r="1992" spans="1:11">
      <c r="A1992" s="11" t="s">
        <v>2020</v>
      </c>
      <c r="B1992" s="333" t="s">
        <v>2020</v>
      </c>
      <c r="D1992" s="11" t="b">
        <f t="shared" si="198"/>
        <v>1</v>
      </c>
      <c r="H1992" s="11" t="b">
        <f t="shared" si="199"/>
        <v>0</v>
      </c>
      <c r="I1992" s="11" t="s">
        <v>2310</v>
      </c>
      <c r="K1992" s="11" t="b">
        <v>1</v>
      </c>
    </row>
    <row r="1993" spans="1:11">
      <c r="A1993" s="11" t="s">
        <v>2288</v>
      </c>
      <c r="B1993" s="310" t="str">
        <f>报表附注!E2483</f>
        <v>法定盈余公积</v>
      </c>
      <c r="C1993" s="318">
        <f t="shared" ref="C1993:C2009" si="200">J1941</f>
        <v>0</v>
      </c>
      <c r="D1993" s="11" t="b">
        <f t="shared" si="198"/>
        <v>1</v>
      </c>
      <c r="E1993" s="321">
        <f>C1993+C1999-C2005</f>
        <v>0</v>
      </c>
      <c r="H1993" s="11" t="b">
        <f t="shared" si="199"/>
        <v>0</v>
      </c>
      <c r="I1993" s="11" t="s">
        <v>2311</v>
      </c>
      <c r="K1993" s="11" t="b">
        <v>1</v>
      </c>
    </row>
    <row r="1994" spans="1:11">
      <c r="A1994" s="11" t="s">
        <v>2289</v>
      </c>
      <c r="B1994" s="310" t="str">
        <f>报表附注!E2484</f>
        <v>任意盈余公积</v>
      </c>
      <c r="C1994" s="318">
        <f t="shared" si="200"/>
        <v>0</v>
      </c>
      <c r="D1994" s="11" t="b">
        <f t="shared" si="198"/>
        <v>1</v>
      </c>
      <c r="E1994" s="321">
        <f t="shared" ref="E1994:E1997" si="201">C1994+C2000-C2006</f>
        <v>0</v>
      </c>
      <c r="H1994" s="11" t="b">
        <f t="shared" si="199"/>
        <v>0</v>
      </c>
      <c r="I1994" s="11" t="s">
        <v>2312</v>
      </c>
      <c r="K1994" s="11" t="b">
        <v>1</v>
      </c>
    </row>
    <row r="1995" spans="1:11">
      <c r="A1995" s="11" t="s">
        <v>1202</v>
      </c>
      <c r="B1995" s="310" t="str">
        <f>报表附注!E2485</f>
        <v>储备基金</v>
      </c>
      <c r="C1995" s="318">
        <f t="shared" si="200"/>
        <v>0</v>
      </c>
      <c r="D1995" s="11" t="b">
        <f t="shared" si="198"/>
        <v>1</v>
      </c>
      <c r="E1995" s="321">
        <f t="shared" si="201"/>
        <v>0</v>
      </c>
      <c r="H1995" s="11" t="b">
        <f t="shared" si="199"/>
        <v>0</v>
      </c>
      <c r="I1995" s="11" t="s">
        <v>2313</v>
      </c>
      <c r="K1995" s="11" t="b">
        <v>1</v>
      </c>
    </row>
    <row r="1996" spans="1:11">
      <c r="A1996" s="11" t="s">
        <v>1204</v>
      </c>
      <c r="B1996" s="310" t="str">
        <f>报表附注!E2486</f>
        <v>企业发展基金</v>
      </c>
      <c r="C1996" s="318">
        <f t="shared" si="200"/>
        <v>0</v>
      </c>
      <c r="D1996" s="11" t="b">
        <f t="shared" si="198"/>
        <v>1</v>
      </c>
      <c r="E1996" s="321">
        <f t="shared" si="201"/>
        <v>0</v>
      </c>
      <c r="H1996" s="11" t="b">
        <f t="shared" si="199"/>
        <v>0</v>
      </c>
      <c r="I1996" s="11" t="s">
        <v>2021</v>
      </c>
      <c r="K1996" s="11" t="b">
        <v>1</v>
      </c>
    </row>
    <row r="1997" spans="1:11">
      <c r="A1997" s="11" t="s">
        <v>2021</v>
      </c>
      <c r="B1997" s="320" t="str">
        <f>报表附注!E2487</f>
        <v>合计</v>
      </c>
      <c r="C1997" s="318">
        <f t="shared" si="200"/>
        <v>0</v>
      </c>
      <c r="D1997" s="11" t="b">
        <f t="shared" si="198"/>
        <v>1</v>
      </c>
      <c r="E1997" s="321">
        <f t="shared" si="201"/>
        <v>0</v>
      </c>
      <c r="H1997" s="11" t="b">
        <f t="shared" si="199"/>
        <v>0</v>
      </c>
      <c r="I1997" s="11" t="s">
        <v>2314</v>
      </c>
      <c r="K1997" s="11" t="b">
        <v>1</v>
      </c>
    </row>
    <row r="1998" spans="1:11">
      <c r="A1998" s="11" t="s">
        <v>672</v>
      </c>
      <c r="B1998" s="333" t="s">
        <v>672</v>
      </c>
      <c r="C1998" s="328">
        <f t="shared" si="200"/>
        <v>0</v>
      </c>
      <c r="D1998" s="11" t="b">
        <f t="shared" si="198"/>
        <v>1</v>
      </c>
      <c r="H1998" s="11" t="b">
        <f t="shared" si="199"/>
        <v>0</v>
      </c>
      <c r="I1998" s="11" t="s">
        <v>5717</v>
      </c>
      <c r="K1998" s="11" t="b">
        <v>0</v>
      </c>
    </row>
    <row r="1999" spans="1:11">
      <c r="A1999" s="11" t="s">
        <v>2288</v>
      </c>
      <c r="B1999" s="310" t="str">
        <f>报表附注!E2483</f>
        <v>法定盈余公积</v>
      </c>
      <c r="C1999" s="318">
        <f t="shared" si="200"/>
        <v>0</v>
      </c>
      <c r="D1999" s="11" t="b">
        <f t="shared" si="198"/>
        <v>1</v>
      </c>
      <c r="E1999" s="311"/>
      <c r="H1999" s="11" t="b">
        <f t="shared" si="199"/>
        <v>0</v>
      </c>
      <c r="I1999" s="11" t="s">
        <v>5718</v>
      </c>
      <c r="K1999" s="11" t="b">
        <v>0</v>
      </c>
    </row>
    <row r="2000" spans="1:11">
      <c r="A2000" s="11" t="s">
        <v>2289</v>
      </c>
      <c r="B2000" s="310" t="str">
        <f>报表附注!E2484</f>
        <v>任意盈余公积</v>
      </c>
      <c r="C2000" s="318">
        <f t="shared" si="200"/>
        <v>0</v>
      </c>
      <c r="D2000" s="11" t="b">
        <f t="shared" si="198"/>
        <v>1</v>
      </c>
      <c r="E2000" s="311"/>
      <c r="H2000" s="11" t="b">
        <f t="shared" si="199"/>
        <v>0</v>
      </c>
      <c r="I2000" s="11" t="s">
        <v>5719</v>
      </c>
      <c r="K2000" s="11" t="b">
        <v>0</v>
      </c>
    </row>
    <row r="2001" spans="1:11">
      <c r="A2001" s="11" t="s">
        <v>1202</v>
      </c>
      <c r="B2001" s="310" t="str">
        <f>报表附注!E2485</f>
        <v>储备基金</v>
      </c>
      <c r="C2001" s="318">
        <f t="shared" si="200"/>
        <v>0</v>
      </c>
      <c r="D2001" s="11" t="b">
        <f t="shared" si="198"/>
        <v>1</v>
      </c>
      <c r="E2001" s="311"/>
      <c r="H2001" s="11" t="b">
        <f t="shared" si="199"/>
        <v>0</v>
      </c>
      <c r="I2001" s="11" t="s">
        <v>5720</v>
      </c>
      <c r="K2001" s="11" t="b">
        <v>0</v>
      </c>
    </row>
    <row r="2002" spans="1:11">
      <c r="A2002" s="11" t="s">
        <v>1204</v>
      </c>
      <c r="B2002" s="310" t="str">
        <f>报表附注!E2486</f>
        <v>企业发展基金</v>
      </c>
      <c r="C2002" s="318">
        <f t="shared" si="200"/>
        <v>0</v>
      </c>
      <c r="D2002" s="11" t="b">
        <f t="shared" si="198"/>
        <v>1</v>
      </c>
      <c r="E2002" s="311"/>
      <c r="H2002" s="11" t="b">
        <f t="shared" si="199"/>
        <v>0</v>
      </c>
      <c r="I2002" s="11" t="s">
        <v>5721</v>
      </c>
      <c r="K2002" s="11" t="b">
        <v>0</v>
      </c>
    </row>
    <row r="2003" spans="1:11">
      <c r="A2003" s="11" t="s">
        <v>2021</v>
      </c>
      <c r="B2003" s="320" t="str">
        <f>报表附注!E2487</f>
        <v>合计</v>
      </c>
      <c r="C2003" s="318">
        <f t="shared" si="200"/>
        <v>0</v>
      </c>
      <c r="D2003" s="11" t="b">
        <f t="shared" si="198"/>
        <v>1</v>
      </c>
      <c r="E2003" s="311"/>
      <c r="H2003" s="11" t="b">
        <f t="shared" si="199"/>
        <v>0</v>
      </c>
      <c r="I2003" s="11" t="s">
        <v>5722</v>
      </c>
      <c r="K2003" s="11" t="b">
        <v>0</v>
      </c>
    </row>
    <row r="2004" spans="1:11">
      <c r="A2004" s="11" t="s">
        <v>673</v>
      </c>
      <c r="B2004" s="333" t="s">
        <v>673</v>
      </c>
      <c r="C2004" s="328">
        <f t="shared" si="200"/>
        <v>0</v>
      </c>
      <c r="D2004" s="11" t="b">
        <f t="shared" si="198"/>
        <v>1</v>
      </c>
      <c r="E2004" s="326"/>
      <c r="H2004" s="11" t="b">
        <f t="shared" si="199"/>
        <v>0</v>
      </c>
      <c r="I2004" s="11" t="s">
        <v>5723</v>
      </c>
      <c r="K2004" s="11" t="b">
        <v>0</v>
      </c>
    </row>
    <row r="2005" spans="1:11">
      <c r="A2005" s="11" t="s">
        <v>2288</v>
      </c>
      <c r="B2005" s="310" t="str">
        <f>报表附注!E2483</f>
        <v>法定盈余公积</v>
      </c>
      <c r="C2005" s="318">
        <f t="shared" si="200"/>
        <v>0</v>
      </c>
      <c r="D2005" s="11" t="b">
        <f t="shared" si="198"/>
        <v>1</v>
      </c>
      <c r="E2005" s="311"/>
      <c r="H2005" s="11" t="b">
        <f t="shared" si="199"/>
        <v>0</v>
      </c>
      <c r="I2005" s="11" t="s">
        <v>5724</v>
      </c>
      <c r="K2005" s="11" t="b">
        <v>0</v>
      </c>
    </row>
    <row r="2006" spans="1:11">
      <c r="A2006" s="11" t="s">
        <v>2289</v>
      </c>
      <c r="B2006" s="310" t="str">
        <f>报表附注!E2484</f>
        <v>任意盈余公积</v>
      </c>
      <c r="C2006" s="318">
        <f t="shared" si="200"/>
        <v>0</v>
      </c>
      <c r="D2006" s="11" t="b">
        <f t="shared" si="198"/>
        <v>1</v>
      </c>
      <c r="E2006" s="311"/>
      <c r="H2006" s="11" t="b">
        <f t="shared" si="199"/>
        <v>0</v>
      </c>
      <c r="I2006" s="11" t="s">
        <v>5725</v>
      </c>
      <c r="K2006" s="11" t="b">
        <v>0</v>
      </c>
    </row>
    <row r="2007" spans="1:11">
      <c r="A2007" s="11" t="s">
        <v>1202</v>
      </c>
      <c r="B2007" s="310" t="str">
        <f>报表附注!E2485</f>
        <v>储备基金</v>
      </c>
      <c r="C2007" s="318">
        <f t="shared" si="200"/>
        <v>0</v>
      </c>
      <c r="D2007" s="11" t="b">
        <f t="shared" si="198"/>
        <v>1</v>
      </c>
      <c r="E2007" s="311"/>
      <c r="H2007" s="11" t="b">
        <f t="shared" si="199"/>
        <v>0</v>
      </c>
      <c r="I2007" s="11" t="s">
        <v>2309</v>
      </c>
      <c r="K2007" s="11" t="b">
        <v>1</v>
      </c>
    </row>
    <row r="2008" spans="1:11">
      <c r="A2008" s="11" t="s">
        <v>1204</v>
      </c>
      <c r="B2008" s="310" t="str">
        <f>报表附注!E2486</f>
        <v>企业发展基金</v>
      </c>
      <c r="C2008" s="318">
        <f t="shared" si="200"/>
        <v>0</v>
      </c>
      <c r="D2008" s="11" t="b">
        <f t="shared" si="198"/>
        <v>1</v>
      </c>
      <c r="E2008" s="311"/>
      <c r="H2008" s="11" t="b">
        <f t="shared" si="199"/>
        <v>0</v>
      </c>
      <c r="I2008" s="11" t="s">
        <v>2310</v>
      </c>
      <c r="K2008" s="11" t="b">
        <v>1</v>
      </c>
    </row>
    <row r="2009" spans="1:11">
      <c r="A2009" s="11" t="s">
        <v>2021</v>
      </c>
      <c r="B2009" s="320" t="str">
        <f>报表附注!E2487</f>
        <v>合计</v>
      </c>
      <c r="C2009" s="318">
        <f t="shared" si="200"/>
        <v>0</v>
      </c>
      <c r="D2009" s="11" t="b">
        <f t="shared" si="198"/>
        <v>1</v>
      </c>
      <c r="E2009" s="311"/>
      <c r="H2009" s="11" t="b">
        <f t="shared" si="199"/>
        <v>0</v>
      </c>
      <c r="I2009" s="11" t="s">
        <v>2311</v>
      </c>
      <c r="K2009" s="11" t="b">
        <v>1</v>
      </c>
    </row>
    <row r="2010" spans="4:11">
      <c r="D2010" s="11" t="b">
        <f t="shared" si="198"/>
        <v>1</v>
      </c>
      <c r="H2010" s="11" t="b">
        <f t="shared" si="199"/>
        <v>0</v>
      </c>
      <c r="I2010" s="11" t="s">
        <v>2312</v>
      </c>
      <c r="K2010" s="11" t="b">
        <v>1</v>
      </c>
    </row>
    <row r="2011" spans="1:11">
      <c r="A2011" s="11" t="s">
        <v>2290</v>
      </c>
      <c r="B2011" s="331" t="s">
        <v>2290</v>
      </c>
      <c r="D2011" s="11" t="b">
        <f t="shared" si="198"/>
        <v>1</v>
      </c>
      <c r="H2011" s="11" t="b">
        <f t="shared" si="199"/>
        <v>0</v>
      </c>
      <c r="I2011" s="11" t="s">
        <v>2313</v>
      </c>
      <c r="K2011" s="11" t="b">
        <v>1</v>
      </c>
    </row>
    <row r="2012" spans="4:11">
      <c r="D2012" s="11" t="b">
        <f t="shared" si="198"/>
        <v>1</v>
      </c>
      <c r="H2012" s="11" t="b">
        <f t="shared" si="199"/>
        <v>0</v>
      </c>
      <c r="I2012" s="11" t="s">
        <v>2021</v>
      </c>
      <c r="K2012" s="11" t="b">
        <v>1</v>
      </c>
    </row>
    <row r="2013" spans="1:11">
      <c r="A2013" s="11" t="s">
        <v>2291</v>
      </c>
      <c r="B2013" s="329" t="s">
        <v>2291</v>
      </c>
      <c r="D2013" s="11" t="b">
        <f t="shared" si="198"/>
        <v>1</v>
      </c>
      <c r="H2013" s="11" t="b">
        <f t="shared" si="199"/>
        <v>0</v>
      </c>
      <c r="I2013" s="11" t="s">
        <v>2315</v>
      </c>
      <c r="K2013" s="11" t="b">
        <v>1</v>
      </c>
    </row>
    <row r="2014" spans="2:11">
      <c r="B2014" s="329"/>
      <c r="D2014" s="11" t="b">
        <f t="shared" si="198"/>
        <v>1</v>
      </c>
      <c r="H2014" s="11" t="b">
        <f t="shared" si="199"/>
        <v>0</v>
      </c>
      <c r="I2014" s="11" t="s">
        <v>5717</v>
      </c>
      <c r="J2014" s="323">
        <v>3798915.28</v>
      </c>
      <c r="K2014" s="11" t="b">
        <v>0</v>
      </c>
    </row>
    <row r="2015" spans="1:11">
      <c r="A2015" s="11" t="s">
        <v>2292</v>
      </c>
      <c r="B2015" s="333" t="s">
        <v>2292</v>
      </c>
      <c r="D2015" s="11" t="b">
        <f t="shared" si="198"/>
        <v>1</v>
      </c>
      <c r="E2015" s="326"/>
      <c r="H2015" s="11" t="b">
        <f t="shared" si="199"/>
        <v>0</v>
      </c>
      <c r="I2015" s="326" t="s">
        <v>5718</v>
      </c>
      <c r="J2015" s="332">
        <v>10282687.96</v>
      </c>
      <c r="K2015" s="326" t="b">
        <v>0</v>
      </c>
    </row>
    <row r="2016" spans="1:11">
      <c r="A2016" s="11" t="s">
        <v>2293</v>
      </c>
      <c r="B2016" s="310" t="str">
        <f>报表附注!E2529</f>
        <v>主营业务收入</v>
      </c>
      <c r="C2016" s="318">
        <v>54865717.44</v>
      </c>
      <c r="D2016" s="11" t="b">
        <f t="shared" si="198"/>
        <v>1</v>
      </c>
      <c r="E2016" s="311"/>
      <c r="H2016" s="11" t="b">
        <f t="shared" si="199"/>
        <v>0</v>
      </c>
      <c r="I2016" s="326" t="s">
        <v>5719</v>
      </c>
      <c r="J2016" s="332">
        <v>11493829.21</v>
      </c>
      <c r="K2016" s="326" t="b">
        <v>0</v>
      </c>
    </row>
    <row r="2017" spans="1:12">
      <c r="A2017" s="11" t="s">
        <v>2294</v>
      </c>
      <c r="B2017" s="310" t="str">
        <f>报表附注!E2530</f>
        <v>其他业务收入</v>
      </c>
      <c r="C2017" s="318"/>
      <c r="D2017" s="11" t="b">
        <f t="shared" si="198"/>
        <v>1</v>
      </c>
      <c r="E2017" s="311"/>
      <c r="H2017" s="11" t="b">
        <f t="shared" si="199"/>
        <v>0</v>
      </c>
      <c r="I2017" s="326" t="s">
        <v>5720</v>
      </c>
      <c r="J2017" s="332">
        <v>1012016.13</v>
      </c>
      <c r="K2017" s="326" t="b">
        <v>0</v>
      </c>
      <c r="L2017" s="326"/>
    </row>
    <row r="2018" spans="1:12">
      <c r="A2018" s="11" t="s">
        <v>347</v>
      </c>
      <c r="B2018" s="320" t="str">
        <f>报表附注!E2531</f>
        <v>合 计</v>
      </c>
      <c r="C2018" s="318"/>
      <c r="D2018" s="11" t="b">
        <f t="shared" si="198"/>
        <v>1</v>
      </c>
      <c r="E2018" s="311"/>
      <c r="H2018" s="11" t="b">
        <f t="shared" si="199"/>
        <v>0</v>
      </c>
      <c r="I2018" s="326" t="s">
        <v>5721</v>
      </c>
      <c r="J2018" s="332"/>
      <c r="K2018" s="326" t="b">
        <v>0</v>
      </c>
      <c r="L2018" s="326"/>
    </row>
    <row r="2019" spans="1:12">
      <c r="A2019" s="11" t="s">
        <v>2295</v>
      </c>
      <c r="B2019" s="333" t="s">
        <v>2295</v>
      </c>
      <c r="C2019" s="328"/>
      <c r="D2019" s="11" t="b">
        <f t="shared" si="198"/>
        <v>1</v>
      </c>
      <c r="H2019" s="11" t="b">
        <f t="shared" si="199"/>
        <v>0</v>
      </c>
      <c r="I2019" s="326" t="s">
        <v>5722</v>
      </c>
      <c r="J2019" s="332"/>
      <c r="K2019" s="326" t="b">
        <v>0</v>
      </c>
      <c r="L2019" s="326"/>
    </row>
    <row r="2020" spans="1:12">
      <c r="A2020" s="11" t="s">
        <v>2293</v>
      </c>
      <c r="B2020" s="310" t="str">
        <f>报表附注!E2529</f>
        <v>主营业务收入</v>
      </c>
      <c r="C2020" s="321"/>
      <c r="D2020" s="11" t="b">
        <f t="shared" si="198"/>
        <v>1</v>
      </c>
      <c r="E2020" s="321">
        <f>C2016</f>
        <v>54865717.44</v>
      </c>
      <c r="H2020" s="11" t="b">
        <f t="shared" si="199"/>
        <v>0</v>
      </c>
      <c r="I2020" s="326" t="s">
        <v>5723</v>
      </c>
      <c r="J2020" s="332"/>
      <c r="K2020" s="326" t="b">
        <v>0</v>
      </c>
      <c r="L2020" s="326"/>
    </row>
    <row r="2021" spans="1:12">
      <c r="A2021" s="11" t="s">
        <v>2294</v>
      </c>
      <c r="B2021" s="310" t="str">
        <f>报表附注!E2530</f>
        <v>其他业务收入</v>
      </c>
      <c r="C2021" s="321"/>
      <c r="D2021" s="11" t="b">
        <f t="shared" si="198"/>
        <v>1</v>
      </c>
      <c r="E2021" s="321">
        <f t="shared" ref="E2021:E2022" si="202">C2017</f>
        <v>0</v>
      </c>
      <c r="H2021" s="11" t="b">
        <f t="shared" si="199"/>
        <v>0</v>
      </c>
      <c r="I2021" s="326" t="s">
        <v>5724</v>
      </c>
      <c r="J2021" s="332"/>
      <c r="K2021" s="326" t="b">
        <v>0</v>
      </c>
      <c r="L2021" s="326"/>
    </row>
    <row r="2022" spans="1:12">
      <c r="A2022" s="11" t="s">
        <v>347</v>
      </c>
      <c r="B2022" s="320" t="str">
        <f>报表附注!E2531</f>
        <v>合 计</v>
      </c>
      <c r="C2022" s="321"/>
      <c r="D2022" s="11" t="b">
        <f t="shared" si="198"/>
        <v>1</v>
      </c>
      <c r="E2022" s="321">
        <f t="shared" si="202"/>
        <v>0</v>
      </c>
      <c r="H2022" s="11" t="b">
        <f t="shared" si="199"/>
        <v>0</v>
      </c>
      <c r="I2022" s="326" t="s">
        <v>5725</v>
      </c>
      <c r="J2022" s="332"/>
      <c r="K2022" s="326" t="b">
        <v>0</v>
      </c>
      <c r="L2022" s="326"/>
    </row>
    <row r="2023" spans="1:11">
      <c r="A2023" s="326" t="s">
        <v>2296</v>
      </c>
      <c r="B2023" s="333" t="s">
        <v>2296</v>
      </c>
      <c r="C2023" s="311"/>
      <c r="D2023" s="11" t="b">
        <f t="shared" si="198"/>
        <v>1</v>
      </c>
      <c r="E2023" s="311"/>
      <c r="F2023" s="11"/>
      <c r="H2023" s="11" t="b">
        <f t="shared" si="199"/>
        <v>0</v>
      </c>
      <c r="I2023" s="11" t="s">
        <v>2309</v>
      </c>
      <c r="J2023" s="323"/>
      <c r="K2023" s="11" t="b">
        <v>1</v>
      </c>
    </row>
    <row r="2024" spans="1:11">
      <c r="A2024" s="326" t="s">
        <v>2293</v>
      </c>
      <c r="B2024" s="327" t="str">
        <f t="shared" ref="B2024:B2026" si="203">B2016</f>
        <v>主营业务收入</v>
      </c>
      <c r="C2024" s="318">
        <v>29364509.85</v>
      </c>
      <c r="D2024" s="11" t="b">
        <f t="shared" si="198"/>
        <v>1</v>
      </c>
      <c r="E2024" s="311"/>
      <c r="F2024" s="11"/>
      <c r="H2024" s="11" t="b">
        <f t="shared" si="199"/>
        <v>0</v>
      </c>
      <c r="I2024" s="11" t="s">
        <v>2310</v>
      </c>
      <c r="J2024" s="323"/>
      <c r="K2024" s="11" t="b">
        <v>1</v>
      </c>
    </row>
    <row r="2025" spans="1:12">
      <c r="A2025" s="326" t="s">
        <v>2294</v>
      </c>
      <c r="B2025" s="327" t="str">
        <f t="shared" si="203"/>
        <v>其他业务收入</v>
      </c>
      <c r="C2025" s="318"/>
      <c r="D2025" s="11" t="b">
        <f t="shared" si="198"/>
        <v>1</v>
      </c>
      <c r="E2025" s="311"/>
      <c r="F2025" s="11"/>
      <c r="H2025" s="11" t="b">
        <f t="shared" si="199"/>
        <v>0</v>
      </c>
      <c r="I2025" s="11" t="s">
        <v>2311</v>
      </c>
      <c r="J2025" s="323"/>
      <c r="K2025" s="11" t="b">
        <v>1</v>
      </c>
      <c r="L2025" s="11"/>
    </row>
    <row r="2026" spans="1:12">
      <c r="A2026" s="326" t="s">
        <v>347</v>
      </c>
      <c r="B2026" s="320" t="str">
        <f t="shared" si="203"/>
        <v>合 计</v>
      </c>
      <c r="C2026" s="318"/>
      <c r="D2026" s="11" t="b">
        <f t="shared" si="198"/>
        <v>1</v>
      </c>
      <c r="E2026" s="311"/>
      <c r="F2026" s="11"/>
      <c r="H2026" s="11" t="b">
        <f t="shared" si="199"/>
        <v>0</v>
      </c>
      <c r="I2026" s="11" t="s">
        <v>2312</v>
      </c>
      <c r="J2026" s="323"/>
      <c r="K2026" s="11" t="b">
        <v>1</v>
      </c>
      <c r="L2026" s="11"/>
    </row>
    <row r="2027" spans="1:12">
      <c r="A2027" s="326" t="s">
        <v>2297</v>
      </c>
      <c r="B2027" s="333" t="s">
        <v>2297</v>
      </c>
      <c r="C2027" s="311"/>
      <c r="D2027" s="11" t="b">
        <f t="shared" si="198"/>
        <v>1</v>
      </c>
      <c r="E2027" s="311"/>
      <c r="F2027" s="11"/>
      <c r="H2027" s="11" t="b">
        <f t="shared" si="199"/>
        <v>0</v>
      </c>
      <c r="I2027" s="11" t="s">
        <v>2313</v>
      </c>
      <c r="J2027" s="323"/>
      <c r="K2027" s="11" t="b">
        <v>1</v>
      </c>
      <c r="L2027" s="11"/>
    </row>
    <row r="2028" spans="1:12">
      <c r="A2028" s="326" t="s">
        <v>2293</v>
      </c>
      <c r="B2028" s="327" t="str">
        <f t="shared" ref="B2028:B2030" si="204">B2016</f>
        <v>主营业务收入</v>
      </c>
      <c r="C2028" s="321"/>
      <c r="D2028" s="11" t="b">
        <f t="shared" si="198"/>
        <v>1</v>
      </c>
      <c r="E2028" s="321">
        <f>C2024</f>
        <v>29364509.85</v>
      </c>
      <c r="F2028" s="11"/>
      <c r="H2028" s="11" t="b">
        <f t="shared" si="199"/>
        <v>0</v>
      </c>
      <c r="I2028" s="11" t="s">
        <v>2021</v>
      </c>
      <c r="J2028" s="323"/>
      <c r="K2028" s="11" t="b">
        <v>1</v>
      </c>
      <c r="L2028" s="11"/>
    </row>
    <row r="2029" spans="1:12">
      <c r="A2029" s="326" t="s">
        <v>2294</v>
      </c>
      <c r="B2029" s="327" t="str">
        <f t="shared" si="204"/>
        <v>其他业务收入</v>
      </c>
      <c r="C2029" s="321"/>
      <c r="D2029" s="11" t="b">
        <f t="shared" si="198"/>
        <v>1</v>
      </c>
      <c r="E2029" s="321">
        <f t="shared" ref="E2029:E2030" si="205">C2025</f>
        <v>0</v>
      </c>
      <c r="F2029" s="11"/>
      <c r="H2029" s="11" t="b">
        <f t="shared" si="199"/>
        <v>0</v>
      </c>
      <c r="I2029" s="11" t="s">
        <v>2316</v>
      </c>
      <c r="J2029" s="323"/>
      <c r="K2029" s="11" t="b">
        <v>1</v>
      </c>
      <c r="L2029" s="11"/>
    </row>
    <row r="2030" spans="1:12">
      <c r="A2030" s="326" t="s">
        <v>347</v>
      </c>
      <c r="B2030" s="320" t="str">
        <f t="shared" si="204"/>
        <v>合 计</v>
      </c>
      <c r="C2030" s="321"/>
      <c r="D2030" s="11" t="b">
        <f t="shared" si="198"/>
        <v>1</v>
      </c>
      <c r="E2030" s="321">
        <f t="shared" si="205"/>
        <v>0</v>
      </c>
      <c r="F2030" s="11"/>
      <c r="H2030" s="11" t="b">
        <f t="shared" si="199"/>
        <v>0</v>
      </c>
      <c r="I2030" s="11" t="s">
        <v>5717</v>
      </c>
      <c r="J2030" s="323"/>
      <c r="K2030" s="11" t="b">
        <v>0</v>
      </c>
      <c r="L2030" s="11"/>
    </row>
    <row r="2031" spans="3:11">
      <c r="C2031" s="328"/>
      <c r="D2031" s="11" t="b">
        <f t="shared" si="198"/>
        <v>1</v>
      </c>
      <c r="H2031" s="11" t="b">
        <f t="shared" si="199"/>
        <v>0</v>
      </c>
      <c r="I2031" s="11" t="s">
        <v>5718</v>
      </c>
      <c r="K2031" s="11" t="b">
        <v>0</v>
      </c>
    </row>
    <row r="2032" spans="1:11">
      <c r="A2032" s="11" t="s">
        <v>2298</v>
      </c>
      <c r="B2032" s="315" t="s">
        <v>2298</v>
      </c>
      <c r="C2032" s="328"/>
      <c r="D2032" s="11" t="b">
        <f t="shared" si="198"/>
        <v>1</v>
      </c>
      <c r="H2032" s="11" t="b">
        <f t="shared" si="199"/>
        <v>0</v>
      </c>
      <c r="I2032" s="11" t="s">
        <v>5719</v>
      </c>
      <c r="K2032" s="11" t="b">
        <v>0</v>
      </c>
    </row>
    <row r="2033" spans="1:11">
      <c r="A2033" s="11" t="s">
        <v>2299</v>
      </c>
      <c r="B2033" s="333" t="s">
        <v>2299</v>
      </c>
      <c r="C2033" s="328"/>
      <c r="D2033" s="11" t="b">
        <f t="shared" si="198"/>
        <v>1</v>
      </c>
      <c r="E2033" s="326"/>
      <c r="H2033" s="11" t="b">
        <f t="shared" si="199"/>
        <v>0</v>
      </c>
      <c r="I2033" s="11" t="s">
        <v>5720</v>
      </c>
      <c r="K2033" s="11" t="b">
        <v>0</v>
      </c>
    </row>
    <row r="2034" spans="1:11">
      <c r="A2034" s="11" t="s">
        <v>2300</v>
      </c>
      <c r="B2034" s="310" t="str">
        <f>报表附注!E2538</f>
        <v>产品销售</v>
      </c>
      <c r="C2034" s="321">
        <v>1843124.49</v>
      </c>
      <c r="D2034" s="11" t="b">
        <f t="shared" si="198"/>
        <v>0</v>
      </c>
      <c r="E2034" s="311"/>
      <c r="H2034" s="11" t="b">
        <f t="shared" si="199"/>
        <v>0</v>
      </c>
      <c r="I2034" s="11" t="s">
        <v>5721</v>
      </c>
      <c r="K2034" s="11" t="b">
        <v>0</v>
      </c>
    </row>
    <row r="2035" spans="1:11">
      <c r="A2035" s="11" t="s">
        <v>2301</v>
      </c>
      <c r="B2035" s="310" t="str">
        <f>报表附注!E2539</f>
        <v>EMC项目</v>
      </c>
      <c r="C2035" s="321">
        <v>29916803.07</v>
      </c>
      <c r="D2035" s="11" t="b">
        <f t="shared" si="198"/>
        <v>0</v>
      </c>
      <c r="E2035" s="311"/>
      <c r="H2035" s="11" t="b">
        <f t="shared" si="199"/>
        <v>0</v>
      </c>
      <c r="I2035" s="11" t="s">
        <v>5722</v>
      </c>
      <c r="K2035" s="11" t="b">
        <v>0</v>
      </c>
    </row>
    <row r="2036" spans="1:11">
      <c r="A2036" s="11" t="s">
        <v>2302</v>
      </c>
      <c r="B2036" s="310" t="str">
        <f>报表附注!E2540</f>
        <v>照明工程</v>
      </c>
      <c r="C2036" s="321">
        <v>18149154.14</v>
      </c>
      <c r="D2036" s="11" t="b">
        <f t="shared" si="198"/>
        <v>0</v>
      </c>
      <c r="E2036" s="311"/>
      <c r="H2036" s="11" t="b">
        <f t="shared" si="199"/>
        <v>0</v>
      </c>
      <c r="I2036" s="11" t="s">
        <v>5723</v>
      </c>
      <c r="K2036" s="11" t="b">
        <v>0</v>
      </c>
    </row>
    <row r="2037" spans="1:11">
      <c r="A2037" s="11" t="s">
        <v>2303</v>
      </c>
      <c r="B2037" s="310" t="str">
        <f>报表附注!E2541</f>
        <v>维护服务</v>
      </c>
      <c r="C2037" s="321">
        <v>1139624</v>
      </c>
      <c r="D2037" s="11" t="b">
        <f t="shared" si="198"/>
        <v>0</v>
      </c>
      <c r="E2037" s="311"/>
      <c r="H2037" s="11" t="b">
        <f t="shared" si="199"/>
        <v>0</v>
      </c>
      <c r="I2037" s="11" t="s">
        <v>5724</v>
      </c>
      <c r="K2037" s="11" t="b">
        <v>0</v>
      </c>
    </row>
    <row r="2038" spans="1:11">
      <c r="A2038" s="11" t="s">
        <v>2304</v>
      </c>
      <c r="B2038" s="310" t="str">
        <f>报表附注!E2542</f>
        <v>类别5-</v>
      </c>
      <c r="C2038" s="321"/>
      <c r="D2038" s="11" t="b">
        <f t="shared" si="198"/>
        <v>0</v>
      </c>
      <c r="E2038" s="311"/>
      <c r="H2038" s="11" t="b">
        <f t="shared" si="199"/>
        <v>0</v>
      </c>
      <c r="I2038" s="11" t="s">
        <v>5725</v>
      </c>
      <c r="K2038" s="11" t="b">
        <v>0</v>
      </c>
    </row>
    <row r="2039" spans="1:11">
      <c r="A2039" s="11" t="s">
        <v>2305</v>
      </c>
      <c r="B2039" s="310" t="str">
        <f>报表附注!E2543</f>
        <v>类别6--</v>
      </c>
      <c r="C2039" s="321"/>
      <c r="D2039" s="11" t="b">
        <f t="shared" si="198"/>
        <v>1</v>
      </c>
      <c r="E2039" s="311"/>
      <c r="H2039" s="11" t="b">
        <f t="shared" si="199"/>
        <v>0</v>
      </c>
      <c r="I2039" s="11" t="s">
        <v>2309</v>
      </c>
      <c r="K2039" s="11" t="b">
        <v>1</v>
      </c>
    </row>
    <row r="2040" spans="1:11">
      <c r="A2040" s="11" t="s">
        <v>2306</v>
      </c>
      <c r="B2040" s="310" t="str">
        <f>报表附注!E2544</f>
        <v>类别7-</v>
      </c>
      <c r="C2040" s="321"/>
      <c r="D2040" s="11" t="b">
        <f t="shared" si="198"/>
        <v>0</v>
      </c>
      <c r="E2040" s="311"/>
      <c r="H2040" s="11" t="b">
        <f t="shared" si="199"/>
        <v>0</v>
      </c>
      <c r="I2040" s="11" t="s">
        <v>2310</v>
      </c>
      <c r="K2040" s="11" t="b">
        <v>1</v>
      </c>
    </row>
    <row r="2041" spans="1:11">
      <c r="A2041" s="11" t="s">
        <v>2307</v>
      </c>
      <c r="B2041" s="310" t="str">
        <f>报表附注!E2545</f>
        <v>类别8--</v>
      </c>
      <c r="C2041" s="321"/>
      <c r="D2041" s="11" t="b">
        <f t="shared" si="198"/>
        <v>1</v>
      </c>
      <c r="E2041" s="311"/>
      <c r="H2041" s="11" t="b">
        <f t="shared" si="199"/>
        <v>0</v>
      </c>
      <c r="I2041" s="11" t="s">
        <v>2311</v>
      </c>
      <c r="K2041" s="11" t="b">
        <v>1</v>
      </c>
    </row>
    <row r="2042" spans="1:11">
      <c r="A2042" s="11" t="s">
        <v>2308</v>
      </c>
      <c r="B2042" s="310" t="str">
        <f>报表附注!E2546</f>
        <v>类别9--</v>
      </c>
      <c r="C2042" s="321"/>
      <c r="D2042" s="11" t="b">
        <f t="shared" si="198"/>
        <v>1</v>
      </c>
      <c r="E2042" s="311"/>
      <c r="H2042" s="11" t="b">
        <f t="shared" si="199"/>
        <v>0</v>
      </c>
      <c r="I2042" s="11" t="s">
        <v>2312</v>
      </c>
      <c r="K2042" s="11" t="b">
        <v>1</v>
      </c>
    </row>
    <row r="2043" spans="1:11">
      <c r="A2043" s="11" t="s">
        <v>2309</v>
      </c>
      <c r="B2043" s="310" t="str">
        <f>报表附注!E2547</f>
        <v>类别10--</v>
      </c>
      <c r="C2043" s="321"/>
      <c r="D2043" s="11" t="b">
        <f t="shared" si="198"/>
        <v>1</v>
      </c>
      <c r="E2043" s="311"/>
      <c r="H2043" s="11" t="b">
        <f t="shared" si="199"/>
        <v>0</v>
      </c>
      <c r="I2043" s="11" t="s">
        <v>2313</v>
      </c>
      <c r="K2043" s="11" t="b">
        <v>1</v>
      </c>
    </row>
    <row r="2044" spans="1:11">
      <c r="A2044" s="11" t="s">
        <v>2310</v>
      </c>
      <c r="B2044" s="310" t="str">
        <f>报表附注!E2548</f>
        <v>类别11--</v>
      </c>
      <c r="C2044" s="321"/>
      <c r="D2044" s="11" t="b">
        <f t="shared" si="198"/>
        <v>1</v>
      </c>
      <c r="E2044" s="311"/>
      <c r="H2044" s="11" t="b">
        <f t="shared" si="199"/>
        <v>0</v>
      </c>
      <c r="I2044" s="11" t="s">
        <v>2021</v>
      </c>
      <c r="K2044" s="11" t="b">
        <v>1</v>
      </c>
    </row>
    <row r="2045" spans="1:11">
      <c r="A2045" s="11" t="s">
        <v>2311</v>
      </c>
      <c r="B2045" s="310" t="str">
        <f>报表附注!E2549</f>
        <v>类别12--</v>
      </c>
      <c r="C2045" s="321"/>
      <c r="D2045" s="11" t="b">
        <f t="shared" si="198"/>
        <v>1</v>
      </c>
      <c r="E2045" s="311"/>
      <c r="H2045" s="11" t="b">
        <f t="shared" si="199"/>
        <v>0</v>
      </c>
      <c r="K2045" s="11" t="b">
        <v>1</v>
      </c>
    </row>
    <row r="2046" spans="1:11">
      <c r="A2046" s="11" t="s">
        <v>2312</v>
      </c>
      <c r="B2046" s="310" t="str">
        <f>报表附注!E2550</f>
        <v>类别13--</v>
      </c>
      <c r="C2046" s="321"/>
      <c r="D2046" s="11" t="b">
        <f t="shared" ref="D2046:D2109" si="206">EXACT(A2046,B2046)</f>
        <v>1</v>
      </c>
      <c r="E2046" s="311"/>
      <c r="H2046" s="11" t="b">
        <f t="shared" si="199"/>
        <v>0</v>
      </c>
      <c r="I2046" s="11" t="s">
        <v>2317</v>
      </c>
      <c r="K2046" s="11" t="b">
        <v>1</v>
      </c>
    </row>
    <row r="2047" spans="1:11">
      <c r="A2047" s="11" t="s">
        <v>2313</v>
      </c>
      <c r="B2047" s="310" t="str">
        <f>报表附注!E2551</f>
        <v>类别14--</v>
      </c>
      <c r="C2047" s="321"/>
      <c r="D2047" s="11" t="b">
        <f t="shared" si="206"/>
        <v>1</v>
      </c>
      <c r="E2047" s="311"/>
      <c r="H2047" s="11" t="b">
        <f t="shared" si="199"/>
        <v>0</v>
      </c>
      <c r="I2047" s="11" t="s">
        <v>2299</v>
      </c>
      <c r="K2047" s="11" t="b">
        <v>1</v>
      </c>
    </row>
    <row r="2048" spans="1:11">
      <c r="A2048" s="11" t="s">
        <v>2021</v>
      </c>
      <c r="B2048" s="320" t="str">
        <f>报表附注!E2552</f>
        <v>合计</v>
      </c>
      <c r="C2048" s="321"/>
      <c r="D2048" s="11" t="b">
        <f t="shared" si="206"/>
        <v>1</v>
      </c>
      <c r="E2048" s="311"/>
      <c r="H2048" s="11" t="b">
        <f t="shared" si="199"/>
        <v>0</v>
      </c>
      <c r="I2048" s="11" t="s">
        <v>5717</v>
      </c>
      <c r="K2048" s="11" t="b">
        <v>0</v>
      </c>
    </row>
    <row r="2049" spans="1:11">
      <c r="A2049" s="11" t="s">
        <v>2314</v>
      </c>
      <c r="B2049" s="333" t="s">
        <v>2314</v>
      </c>
      <c r="C2049" s="328"/>
      <c r="D2049" s="11" t="b">
        <f t="shared" si="206"/>
        <v>1</v>
      </c>
      <c r="H2049" s="11" t="b">
        <f t="shared" si="199"/>
        <v>0</v>
      </c>
      <c r="I2049" s="11" t="s">
        <v>5718</v>
      </c>
      <c r="K2049" s="11" t="b">
        <v>0</v>
      </c>
    </row>
    <row r="2050" spans="1:11">
      <c r="A2050" s="11" t="s">
        <v>2300</v>
      </c>
      <c r="B2050" s="310" t="str">
        <f>报表附注!E2538</f>
        <v>产品销售</v>
      </c>
      <c r="C2050" s="357"/>
      <c r="D2050" s="11" t="b">
        <f t="shared" si="206"/>
        <v>0</v>
      </c>
      <c r="E2050" s="357">
        <f>C2034</f>
        <v>1843124.49</v>
      </c>
      <c r="H2050" s="11" t="b">
        <f t="shared" si="199"/>
        <v>0</v>
      </c>
      <c r="I2050" s="11" t="s">
        <v>5719</v>
      </c>
      <c r="K2050" s="11" t="b">
        <v>0</v>
      </c>
    </row>
    <row r="2051" spans="1:11">
      <c r="A2051" s="11" t="s">
        <v>2301</v>
      </c>
      <c r="B2051" s="310" t="str">
        <f>报表附注!E2539</f>
        <v>EMC项目</v>
      </c>
      <c r="C2051" s="357"/>
      <c r="D2051" s="11" t="b">
        <f t="shared" si="206"/>
        <v>0</v>
      </c>
      <c r="E2051" s="357">
        <f t="shared" ref="E2051:E2064" si="207">C2035</f>
        <v>29916803.07</v>
      </c>
      <c r="H2051" s="11" t="b">
        <f t="shared" si="199"/>
        <v>0</v>
      </c>
      <c r="I2051" s="11" t="s">
        <v>5720</v>
      </c>
      <c r="K2051" s="11" t="b">
        <v>0</v>
      </c>
    </row>
    <row r="2052" spans="1:11">
      <c r="A2052" s="11" t="s">
        <v>2302</v>
      </c>
      <c r="B2052" s="310" t="str">
        <f>报表附注!E2540</f>
        <v>照明工程</v>
      </c>
      <c r="C2052" s="357"/>
      <c r="D2052" s="11" t="b">
        <f t="shared" si="206"/>
        <v>0</v>
      </c>
      <c r="E2052" s="357">
        <f t="shared" si="207"/>
        <v>18149154.14</v>
      </c>
      <c r="H2052" s="11" t="b">
        <f t="shared" ref="H2052:H2115" si="208">I2052=B2052</f>
        <v>0</v>
      </c>
      <c r="I2052" s="11" t="s">
        <v>5721</v>
      </c>
      <c r="K2052" s="11" t="b">
        <v>0</v>
      </c>
    </row>
    <row r="2053" spans="1:11">
      <c r="A2053" s="11" t="s">
        <v>2303</v>
      </c>
      <c r="B2053" s="310" t="str">
        <f>报表附注!E2541</f>
        <v>维护服务</v>
      </c>
      <c r="C2053" s="357"/>
      <c r="D2053" s="11" t="b">
        <f t="shared" si="206"/>
        <v>0</v>
      </c>
      <c r="E2053" s="357">
        <f t="shared" si="207"/>
        <v>1139624</v>
      </c>
      <c r="H2053" s="11" t="b">
        <f t="shared" si="208"/>
        <v>0</v>
      </c>
      <c r="I2053" s="11" t="s">
        <v>5722</v>
      </c>
      <c r="K2053" s="11" t="b">
        <v>0</v>
      </c>
    </row>
    <row r="2054" spans="1:11">
      <c r="A2054" s="11" t="s">
        <v>2304</v>
      </c>
      <c r="B2054" s="310" t="str">
        <f>报表附注!E2542</f>
        <v>类别5-</v>
      </c>
      <c r="C2054" s="357"/>
      <c r="D2054" s="11" t="b">
        <f t="shared" si="206"/>
        <v>0</v>
      </c>
      <c r="E2054" s="357">
        <f t="shared" si="207"/>
        <v>0</v>
      </c>
      <c r="H2054" s="11" t="b">
        <f t="shared" si="208"/>
        <v>0</v>
      </c>
      <c r="I2054" s="11" t="s">
        <v>5723</v>
      </c>
      <c r="K2054" s="11" t="b">
        <v>0</v>
      </c>
    </row>
    <row r="2055" spans="1:11">
      <c r="A2055" s="11" t="s">
        <v>2305</v>
      </c>
      <c r="B2055" s="310" t="str">
        <f>报表附注!E2543</f>
        <v>类别6--</v>
      </c>
      <c r="C2055" s="357"/>
      <c r="D2055" s="11" t="b">
        <f t="shared" si="206"/>
        <v>1</v>
      </c>
      <c r="E2055" s="357">
        <f t="shared" si="207"/>
        <v>0</v>
      </c>
      <c r="H2055" s="11" t="b">
        <f t="shared" si="208"/>
        <v>0</v>
      </c>
      <c r="I2055" s="11" t="s">
        <v>5724</v>
      </c>
      <c r="K2055" s="11" t="b">
        <v>0</v>
      </c>
    </row>
    <row r="2056" spans="1:11">
      <c r="A2056" s="11" t="s">
        <v>2306</v>
      </c>
      <c r="B2056" s="310" t="str">
        <f>报表附注!E2544</f>
        <v>类别7-</v>
      </c>
      <c r="C2056" s="357"/>
      <c r="D2056" s="11" t="b">
        <f t="shared" si="206"/>
        <v>0</v>
      </c>
      <c r="E2056" s="357">
        <f t="shared" si="207"/>
        <v>0</v>
      </c>
      <c r="H2056" s="11" t="b">
        <f t="shared" si="208"/>
        <v>0</v>
      </c>
      <c r="I2056" s="11" t="s">
        <v>5725</v>
      </c>
      <c r="K2056" s="11" t="b">
        <v>0</v>
      </c>
    </row>
    <row r="2057" spans="1:11">
      <c r="A2057" s="11" t="s">
        <v>2307</v>
      </c>
      <c r="B2057" s="310" t="str">
        <f>报表附注!E2545</f>
        <v>类别8--</v>
      </c>
      <c r="C2057" s="357"/>
      <c r="D2057" s="11" t="b">
        <f t="shared" si="206"/>
        <v>1</v>
      </c>
      <c r="E2057" s="357">
        <f t="shared" si="207"/>
        <v>0</v>
      </c>
      <c r="H2057" s="11" t="b">
        <f t="shared" si="208"/>
        <v>0</v>
      </c>
      <c r="I2057" s="11" t="s">
        <v>2327</v>
      </c>
      <c r="K2057" s="11" t="b">
        <v>1</v>
      </c>
    </row>
    <row r="2058" spans="1:11">
      <c r="A2058" s="11" t="s">
        <v>2308</v>
      </c>
      <c r="B2058" s="310" t="str">
        <f>报表附注!E2546</f>
        <v>类别9--</v>
      </c>
      <c r="C2058" s="357"/>
      <c r="D2058" s="11" t="b">
        <f t="shared" si="206"/>
        <v>1</v>
      </c>
      <c r="E2058" s="357">
        <f t="shared" si="207"/>
        <v>0</v>
      </c>
      <c r="H2058" s="11" t="b">
        <f t="shared" si="208"/>
        <v>0</v>
      </c>
      <c r="I2058" s="11" t="s">
        <v>2328</v>
      </c>
      <c r="K2058" s="11" t="b">
        <v>1</v>
      </c>
    </row>
    <row r="2059" spans="1:11">
      <c r="A2059" s="11" t="s">
        <v>2309</v>
      </c>
      <c r="B2059" s="310" t="str">
        <f>报表附注!E2547</f>
        <v>类别10--</v>
      </c>
      <c r="C2059" s="357"/>
      <c r="D2059" s="11" t="b">
        <f t="shared" si="206"/>
        <v>1</v>
      </c>
      <c r="E2059" s="357">
        <f t="shared" si="207"/>
        <v>0</v>
      </c>
      <c r="H2059" s="11" t="b">
        <f t="shared" si="208"/>
        <v>0</v>
      </c>
      <c r="I2059" s="11" t="s">
        <v>2329</v>
      </c>
      <c r="K2059" s="11" t="b">
        <v>1</v>
      </c>
    </row>
    <row r="2060" spans="1:11">
      <c r="A2060" s="11" t="s">
        <v>2310</v>
      </c>
      <c r="B2060" s="310" t="str">
        <f>报表附注!E2548</f>
        <v>类别11--</v>
      </c>
      <c r="C2060" s="357"/>
      <c r="D2060" s="11" t="b">
        <f t="shared" si="206"/>
        <v>1</v>
      </c>
      <c r="E2060" s="357">
        <f t="shared" si="207"/>
        <v>0</v>
      </c>
      <c r="H2060" s="11" t="b">
        <f t="shared" si="208"/>
        <v>0</v>
      </c>
      <c r="I2060" s="11" t="s">
        <v>2330</v>
      </c>
      <c r="K2060" s="11" t="b">
        <v>1</v>
      </c>
    </row>
    <row r="2061" spans="1:11">
      <c r="A2061" s="11" t="s">
        <v>2311</v>
      </c>
      <c r="B2061" s="310" t="str">
        <f>报表附注!E2549</f>
        <v>类别12--</v>
      </c>
      <c r="C2061" s="357"/>
      <c r="D2061" s="11" t="b">
        <f t="shared" si="206"/>
        <v>1</v>
      </c>
      <c r="E2061" s="357">
        <f t="shared" si="207"/>
        <v>0</v>
      </c>
      <c r="H2061" s="11" t="b">
        <f t="shared" si="208"/>
        <v>0</v>
      </c>
      <c r="I2061" s="11" t="s">
        <v>2021</v>
      </c>
      <c r="K2061" s="11" t="b">
        <v>1</v>
      </c>
    </row>
    <row r="2062" spans="1:11">
      <c r="A2062" s="11" t="s">
        <v>2312</v>
      </c>
      <c r="B2062" s="310" t="str">
        <f>报表附注!E2550</f>
        <v>类别13--</v>
      </c>
      <c r="C2062" s="357"/>
      <c r="D2062" s="11" t="b">
        <f t="shared" si="206"/>
        <v>1</v>
      </c>
      <c r="E2062" s="357">
        <f t="shared" si="207"/>
        <v>0</v>
      </c>
      <c r="H2062" s="11" t="b">
        <f t="shared" si="208"/>
        <v>0</v>
      </c>
      <c r="I2062" s="11" t="s">
        <v>2314</v>
      </c>
      <c r="K2062" s="11" t="b">
        <v>1</v>
      </c>
    </row>
    <row r="2063" spans="1:11">
      <c r="A2063" s="11" t="s">
        <v>2313</v>
      </c>
      <c r="B2063" s="310" t="str">
        <f>报表附注!E2551</f>
        <v>类别14--</v>
      </c>
      <c r="C2063" s="357"/>
      <c r="D2063" s="11" t="b">
        <f t="shared" si="206"/>
        <v>1</v>
      </c>
      <c r="E2063" s="357">
        <f t="shared" si="207"/>
        <v>0</v>
      </c>
      <c r="H2063" s="11" t="b">
        <f t="shared" si="208"/>
        <v>0</v>
      </c>
      <c r="I2063" s="11" t="s">
        <v>5717</v>
      </c>
      <c r="K2063" s="11" t="b">
        <v>0</v>
      </c>
    </row>
    <row r="2064" spans="1:11">
      <c r="A2064" s="11" t="s">
        <v>2021</v>
      </c>
      <c r="B2064" s="320" t="str">
        <f>报表附注!E2552</f>
        <v>合计</v>
      </c>
      <c r="C2064" s="357"/>
      <c r="D2064" s="11" t="b">
        <f t="shared" si="206"/>
        <v>1</v>
      </c>
      <c r="E2064" s="357">
        <f t="shared" si="207"/>
        <v>0</v>
      </c>
      <c r="H2064" s="11" t="b">
        <f t="shared" si="208"/>
        <v>0</v>
      </c>
      <c r="I2064" s="11" t="s">
        <v>5718</v>
      </c>
      <c r="K2064" s="11" t="b">
        <v>0</v>
      </c>
    </row>
    <row r="2065" spans="1:11">
      <c r="A2065" s="11" t="s">
        <v>2315</v>
      </c>
      <c r="B2065" s="333" t="s">
        <v>2315</v>
      </c>
      <c r="C2065" s="328"/>
      <c r="D2065" s="11" t="b">
        <f t="shared" si="206"/>
        <v>1</v>
      </c>
      <c r="H2065" s="11" t="b">
        <f t="shared" si="208"/>
        <v>0</v>
      </c>
      <c r="I2065" s="11" t="s">
        <v>5719</v>
      </c>
      <c r="K2065" s="11" t="b">
        <v>0</v>
      </c>
    </row>
    <row r="2066" spans="1:11">
      <c r="A2066" s="11" t="s">
        <v>2300</v>
      </c>
      <c r="B2066" s="310" t="str">
        <f>报表附注!E2538</f>
        <v>产品销售</v>
      </c>
      <c r="C2066" s="357">
        <v>3761933.16</v>
      </c>
      <c r="D2066" s="11" t="b">
        <f t="shared" si="206"/>
        <v>0</v>
      </c>
      <c r="E2066" s="332"/>
      <c r="H2066" s="11" t="b">
        <f t="shared" si="208"/>
        <v>0</v>
      </c>
      <c r="I2066" s="11" t="s">
        <v>5720</v>
      </c>
      <c r="K2066" s="11" t="b">
        <v>0</v>
      </c>
    </row>
    <row r="2067" spans="1:11">
      <c r="A2067" s="11" t="s">
        <v>2301</v>
      </c>
      <c r="B2067" s="310" t="str">
        <f>报表附注!E2539</f>
        <v>EMC项目</v>
      </c>
      <c r="C2067" s="357">
        <v>10326191.08</v>
      </c>
      <c r="D2067" s="11" t="b">
        <f t="shared" si="206"/>
        <v>0</v>
      </c>
      <c r="E2067" s="332"/>
      <c r="H2067" s="11" t="b">
        <f t="shared" si="208"/>
        <v>0</v>
      </c>
      <c r="I2067" s="11" t="s">
        <v>5721</v>
      </c>
      <c r="K2067" s="11" t="b">
        <v>0</v>
      </c>
    </row>
    <row r="2068" spans="1:11">
      <c r="A2068" s="11" t="s">
        <v>2302</v>
      </c>
      <c r="B2068" s="310" t="str">
        <f>报表附注!E2540</f>
        <v>照明工程</v>
      </c>
      <c r="C2068" s="357">
        <v>11750309.19</v>
      </c>
      <c r="D2068" s="11" t="b">
        <f t="shared" si="206"/>
        <v>0</v>
      </c>
      <c r="E2068" s="332"/>
      <c r="H2068" s="11" t="b">
        <f t="shared" si="208"/>
        <v>0</v>
      </c>
      <c r="I2068" s="11" t="s">
        <v>5722</v>
      </c>
      <c r="K2068" s="11" t="b">
        <v>0</v>
      </c>
    </row>
    <row r="2069" spans="1:11">
      <c r="A2069" s="11" t="s">
        <v>2303</v>
      </c>
      <c r="B2069" s="310" t="str">
        <f>报表附注!E2541</f>
        <v>维护服务</v>
      </c>
      <c r="C2069" s="357">
        <v>1012016.13</v>
      </c>
      <c r="D2069" s="11" t="b">
        <f t="shared" si="206"/>
        <v>0</v>
      </c>
      <c r="E2069" s="332"/>
      <c r="H2069" s="11" t="b">
        <f t="shared" si="208"/>
        <v>0</v>
      </c>
      <c r="I2069" s="11" t="s">
        <v>5723</v>
      </c>
      <c r="K2069" s="11" t="b">
        <v>0</v>
      </c>
    </row>
    <row r="2070" spans="1:11">
      <c r="A2070" s="11" t="s">
        <v>2304</v>
      </c>
      <c r="B2070" s="310" t="str">
        <f>报表附注!E2542</f>
        <v>类别5-</v>
      </c>
      <c r="C2070" s="357"/>
      <c r="D2070" s="11" t="b">
        <f t="shared" si="206"/>
        <v>0</v>
      </c>
      <c r="E2070" s="332"/>
      <c r="H2070" s="11" t="b">
        <f t="shared" si="208"/>
        <v>0</v>
      </c>
      <c r="I2070" s="11" t="s">
        <v>5724</v>
      </c>
      <c r="K2070" s="11" t="b">
        <v>0</v>
      </c>
    </row>
    <row r="2071" spans="1:11">
      <c r="A2071" s="11" t="s">
        <v>2305</v>
      </c>
      <c r="B2071" s="310" t="str">
        <f>报表附注!E2543</f>
        <v>类别6--</v>
      </c>
      <c r="C2071" s="357"/>
      <c r="D2071" s="11" t="b">
        <f t="shared" si="206"/>
        <v>1</v>
      </c>
      <c r="E2071" s="332"/>
      <c r="H2071" s="11" t="b">
        <f t="shared" si="208"/>
        <v>0</v>
      </c>
      <c r="I2071" s="11" t="s">
        <v>5725</v>
      </c>
      <c r="K2071" s="11" t="b">
        <v>0</v>
      </c>
    </row>
    <row r="2072" spans="1:11">
      <c r="A2072" s="11" t="s">
        <v>2306</v>
      </c>
      <c r="B2072" s="310" t="str">
        <f>报表附注!E2544</f>
        <v>类别7-</v>
      </c>
      <c r="C2072" s="357"/>
      <c r="D2072" s="11" t="b">
        <f t="shared" si="206"/>
        <v>0</v>
      </c>
      <c r="E2072" s="332"/>
      <c r="H2072" s="11" t="b">
        <f t="shared" si="208"/>
        <v>0</v>
      </c>
      <c r="I2072" s="11" t="s">
        <v>2327</v>
      </c>
      <c r="K2072" s="11" t="b">
        <v>1</v>
      </c>
    </row>
    <row r="2073" spans="1:11">
      <c r="A2073" s="11" t="s">
        <v>2307</v>
      </c>
      <c r="B2073" s="310" t="str">
        <f>报表附注!E2545</f>
        <v>类别8--</v>
      </c>
      <c r="C2073" s="357"/>
      <c r="D2073" s="11" t="b">
        <f t="shared" si="206"/>
        <v>1</v>
      </c>
      <c r="E2073" s="332"/>
      <c r="H2073" s="11" t="b">
        <f t="shared" si="208"/>
        <v>0</v>
      </c>
      <c r="I2073" s="11" t="s">
        <v>2328</v>
      </c>
      <c r="K2073" s="11" t="b">
        <v>1</v>
      </c>
    </row>
    <row r="2074" spans="1:11">
      <c r="A2074" s="11" t="s">
        <v>2308</v>
      </c>
      <c r="B2074" s="310" t="str">
        <f>报表附注!E2546</f>
        <v>类别9--</v>
      </c>
      <c r="C2074" s="357"/>
      <c r="D2074" s="11" t="b">
        <f t="shared" si="206"/>
        <v>1</v>
      </c>
      <c r="E2074" s="332"/>
      <c r="H2074" s="11" t="b">
        <f t="shared" si="208"/>
        <v>0</v>
      </c>
      <c r="I2074" s="11" t="s">
        <v>2329</v>
      </c>
      <c r="K2074" s="11" t="b">
        <v>1</v>
      </c>
    </row>
    <row r="2075" spans="1:11">
      <c r="A2075" s="11" t="s">
        <v>2309</v>
      </c>
      <c r="B2075" s="310" t="str">
        <f>报表附注!E2547</f>
        <v>类别10--</v>
      </c>
      <c r="C2075" s="357"/>
      <c r="D2075" s="11" t="b">
        <f t="shared" si="206"/>
        <v>1</v>
      </c>
      <c r="E2075" s="332"/>
      <c r="H2075" s="11" t="b">
        <f t="shared" si="208"/>
        <v>0</v>
      </c>
      <c r="I2075" s="11" t="s">
        <v>2330</v>
      </c>
      <c r="K2075" s="11" t="b">
        <v>1</v>
      </c>
    </row>
    <row r="2076" spans="1:11">
      <c r="A2076" s="11" t="s">
        <v>2310</v>
      </c>
      <c r="B2076" s="310" t="str">
        <f>报表附注!E2548</f>
        <v>类别11--</v>
      </c>
      <c r="C2076" s="357"/>
      <c r="D2076" s="11" t="b">
        <f t="shared" si="206"/>
        <v>1</v>
      </c>
      <c r="E2076" s="332"/>
      <c r="H2076" s="11" t="b">
        <f t="shared" si="208"/>
        <v>0</v>
      </c>
      <c r="I2076" s="11" t="s">
        <v>2021</v>
      </c>
      <c r="K2076" s="11" t="b">
        <v>1</v>
      </c>
    </row>
    <row r="2077" spans="1:11">
      <c r="A2077" s="11" t="s">
        <v>2311</v>
      </c>
      <c r="B2077" s="310" t="str">
        <f>报表附注!E2549</f>
        <v>类别12--</v>
      </c>
      <c r="C2077" s="357"/>
      <c r="D2077" s="11" t="b">
        <f t="shared" si="206"/>
        <v>1</v>
      </c>
      <c r="E2077" s="332"/>
      <c r="H2077" s="11" t="b">
        <f t="shared" si="208"/>
        <v>0</v>
      </c>
      <c r="I2077" s="11" t="s">
        <v>2315</v>
      </c>
      <c r="K2077" s="11" t="b">
        <v>1</v>
      </c>
    </row>
    <row r="2078" spans="1:11">
      <c r="A2078" s="11" t="s">
        <v>2312</v>
      </c>
      <c r="B2078" s="310" t="str">
        <f>报表附注!E2550</f>
        <v>类别13--</v>
      </c>
      <c r="C2078" s="357"/>
      <c r="D2078" s="11" t="b">
        <f t="shared" si="206"/>
        <v>1</v>
      </c>
      <c r="E2078" s="332"/>
      <c r="H2078" s="11" t="b">
        <f t="shared" si="208"/>
        <v>0</v>
      </c>
      <c r="I2078" s="11" t="s">
        <v>5717</v>
      </c>
      <c r="K2078" s="11" t="b">
        <v>0</v>
      </c>
    </row>
    <row r="2079" spans="1:11">
      <c r="A2079" s="11" t="s">
        <v>2313</v>
      </c>
      <c r="B2079" s="310" t="str">
        <f>报表附注!E2551</f>
        <v>类别14--</v>
      </c>
      <c r="C2079" s="357"/>
      <c r="D2079" s="11" t="b">
        <f t="shared" si="206"/>
        <v>1</v>
      </c>
      <c r="E2079" s="332"/>
      <c r="H2079" s="11" t="b">
        <f t="shared" si="208"/>
        <v>0</v>
      </c>
      <c r="I2079" s="11" t="s">
        <v>5718</v>
      </c>
      <c r="K2079" s="11" t="b">
        <v>0</v>
      </c>
    </row>
    <row r="2080" spans="1:11">
      <c r="A2080" s="11" t="s">
        <v>2021</v>
      </c>
      <c r="B2080" s="320" t="str">
        <f>报表附注!E2552</f>
        <v>合计</v>
      </c>
      <c r="C2080" s="357"/>
      <c r="D2080" s="11" t="b">
        <f t="shared" si="206"/>
        <v>1</v>
      </c>
      <c r="E2080" s="332"/>
      <c r="H2080" s="11" t="b">
        <f t="shared" si="208"/>
        <v>0</v>
      </c>
      <c r="I2080" s="11" t="s">
        <v>5719</v>
      </c>
      <c r="K2080" s="11" t="b">
        <v>0</v>
      </c>
    </row>
    <row r="2081" spans="1:11">
      <c r="A2081" s="11" t="s">
        <v>2316</v>
      </c>
      <c r="B2081" s="333" t="s">
        <v>2316</v>
      </c>
      <c r="C2081" s="328"/>
      <c r="D2081" s="11" t="b">
        <f t="shared" si="206"/>
        <v>1</v>
      </c>
      <c r="H2081" s="11" t="b">
        <f t="shared" si="208"/>
        <v>0</v>
      </c>
      <c r="I2081" s="11" t="s">
        <v>5720</v>
      </c>
      <c r="K2081" s="11" t="b">
        <v>0</v>
      </c>
    </row>
    <row r="2082" spans="1:11">
      <c r="A2082" s="11" t="s">
        <v>2300</v>
      </c>
      <c r="B2082" s="310" t="str">
        <f>报表附注!E2538</f>
        <v>产品销售</v>
      </c>
      <c r="C2082" s="357"/>
      <c r="D2082" s="11" t="b">
        <f t="shared" si="206"/>
        <v>0</v>
      </c>
      <c r="E2082" s="357">
        <f>C2066</f>
        <v>3761933.16</v>
      </c>
      <c r="H2082" s="11" t="b">
        <f t="shared" si="208"/>
        <v>0</v>
      </c>
      <c r="I2082" s="11" t="s">
        <v>5721</v>
      </c>
      <c r="K2082" s="11" t="b">
        <v>0</v>
      </c>
    </row>
    <row r="2083" spans="1:11">
      <c r="A2083" s="11" t="s">
        <v>2301</v>
      </c>
      <c r="B2083" s="310" t="str">
        <f>报表附注!E2539</f>
        <v>EMC项目</v>
      </c>
      <c r="C2083" s="357"/>
      <c r="D2083" s="11" t="b">
        <f t="shared" si="206"/>
        <v>0</v>
      </c>
      <c r="E2083" s="357">
        <f t="shared" ref="E2083:E2096" si="209">C2067</f>
        <v>10326191.08</v>
      </c>
      <c r="H2083" s="11" t="b">
        <f t="shared" si="208"/>
        <v>0</v>
      </c>
      <c r="I2083" s="11" t="s">
        <v>5722</v>
      </c>
      <c r="K2083" s="11" t="b">
        <v>0</v>
      </c>
    </row>
    <row r="2084" spans="1:11">
      <c r="A2084" s="11" t="s">
        <v>2302</v>
      </c>
      <c r="B2084" s="310" t="str">
        <f>报表附注!E2540</f>
        <v>照明工程</v>
      </c>
      <c r="C2084" s="357"/>
      <c r="D2084" s="11" t="b">
        <f t="shared" si="206"/>
        <v>0</v>
      </c>
      <c r="E2084" s="357">
        <f t="shared" si="209"/>
        <v>11750309.19</v>
      </c>
      <c r="H2084" s="11" t="b">
        <f t="shared" si="208"/>
        <v>0</v>
      </c>
      <c r="I2084" s="11" t="s">
        <v>5723</v>
      </c>
      <c r="K2084" s="11" t="b">
        <v>0</v>
      </c>
    </row>
    <row r="2085" spans="1:11">
      <c r="A2085" s="11" t="s">
        <v>2303</v>
      </c>
      <c r="B2085" s="310" t="str">
        <f>报表附注!E2541</f>
        <v>维护服务</v>
      </c>
      <c r="C2085" s="357"/>
      <c r="D2085" s="11" t="b">
        <f t="shared" si="206"/>
        <v>0</v>
      </c>
      <c r="E2085" s="357">
        <f t="shared" si="209"/>
        <v>1012016.13</v>
      </c>
      <c r="H2085" s="11" t="b">
        <f t="shared" si="208"/>
        <v>0</v>
      </c>
      <c r="I2085" s="11" t="s">
        <v>5724</v>
      </c>
      <c r="K2085" s="11" t="b">
        <v>0</v>
      </c>
    </row>
    <row r="2086" spans="1:11">
      <c r="A2086" s="11" t="s">
        <v>2304</v>
      </c>
      <c r="B2086" s="310" t="str">
        <f>报表附注!E2542</f>
        <v>类别5-</v>
      </c>
      <c r="C2086" s="357"/>
      <c r="D2086" s="11" t="b">
        <f t="shared" si="206"/>
        <v>0</v>
      </c>
      <c r="E2086" s="357">
        <f t="shared" si="209"/>
        <v>0</v>
      </c>
      <c r="H2086" s="11" t="b">
        <f t="shared" si="208"/>
        <v>0</v>
      </c>
      <c r="I2086" s="11" t="s">
        <v>5725</v>
      </c>
      <c r="K2086" s="11" t="b">
        <v>0</v>
      </c>
    </row>
    <row r="2087" spans="1:11">
      <c r="A2087" s="11" t="s">
        <v>2305</v>
      </c>
      <c r="B2087" s="310" t="str">
        <f>报表附注!E2543</f>
        <v>类别6--</v>
      </c>
      <c r="C2087" s="357"/>
      <c r="D2087" s="11" t="b">
        <f t="shared" si="206"/>
        <v>1</v>
      </c>
      <c r="E2087" s="357">
        <f t="shared" si="209"/>
        <v>0</v>
      </c>
      <c r="H2087" s="11" t="b">
        <f t="shared" si="208"/>
        <v>0</v>
      </c>
      <c r="I2087" s="11" t="s">
        <v>2327</v>
      </c>
      <c r="K2087" s="11" t="b">
        <v>1</v>
      </c>
    </row>
    <row r="2088" spans="1:11">
      <c r="A2088" s="11" t="s">
        <v>2306</v>
      </c>
      <c r="B2088" s="310" t="str">
        <f>报表附注!E2544</f>
        <v>类别7-</v>
      </c>
      <c r="C2088" s="357"/>
      <c r="D2088" s="11" t="b">
        <f t="shared" si="206"/>
        <v>0</v>
      </c>
      <c r="E2088" s="357">
        <f t="shared" si="209"/>
        <v>0</v>
      </c>
      <c r="H2088" s="11" t="b">
        <f t="shared" si="208"/>
        <v>0</v>
      </c>
      <c r="I2088" s="11" t="s">
        <v>2328</v>
      </c>
      <c r="K2088" s="11" t="b">
        <v>1</v>
      </c>
    </row>
    <row r="2089" spans="1:11">
      <c r="A2089" s="11" t="s">
        <v>2307</v>
      </c>
      <c r="B2089" s="310" t="str">
        <f>报表附注!E2545</f>
        <v>类别8--</v>
      </c>
      <c r="C2089" s="357"/>
      <c r="D2089" s="11" t="b">
        <f t="shared" si="206"/>
        <v>1</v>
      </c>
      <c r="E2089" s="357">
        <f t="shared" si="209"/>
        <v>0</v>
      </c>
      <c r="H2089" s="11" t="b">
        <f t="shared" si="208"/>
        <v>0</v>
      </c>
      <c r="I2089" s="11" t="s">
        <v>2329</v>
      </c>
      <c r="K2089" s="11" t="b">
        <v>1</v>
      </c>
    </row>
    <row r="2090" spans="1:11">
      <c r="A2090" s="11" t="s">
        <v>2308</v>
      </c>
      <c r="B2090" s="310" t="str">
        <f>报表附注!E2546</f>
        <v>类别9--</v>
      </c>
      <c r="C2090" s="357"/>
      <c r="D2090" s="11" t="b">
        <f t="shared" si="206"/>
        <v>1</v>
      </c>
      <c r="E2090" s="357">
        <f t="shared" si="209"/>
        <v>0</v>
      </c>
      <c r="H2090" s="11" t="b">
        <f t="shared" si="208"/>
        <v>0</v>
      </c>
      <c r="I2090" s="11" t="s">
        <v>2330</v>
      </c>
      <c r="K2090" s="11" t="b">
        <v>1</v>
      </c>
    </row>
    <row r="2091" spans="1:11">
      <c r="A2091" s="11" t="s">
        <v>2309</v>
      </c>
      <c r="B2091" s="310" t="str">
        <f>报表附注!E2547</f>
        <v>类别10--</v>
      </c>
      <c r="C2091" s="357"/>
      <c r="D2091" s="11" t="b">
        <f t="shared" si="206"/>
        <v>1</v>
      </c>
      <c r="E2091" s="357">
        <f t="shared" si="209"/>
        <v>0</v>
      </c>
      <c r="H2091" s="11" t="b">
        <f t="shared" si="208"/>
        <v>0</v>
      </c>
      <c r="I2091" s="11" t="s">
        <v>2021</v>
      </c>
      <c r="K2091" s="11" t="b">
        <v>1</v>
      </c>
    </row>
    <row r="2092" spans="1:11">
      <c r="A2092" s="11" t="s">
        <v>2310</v>
      </c>
      <c r="B2092" s="310" t="str">
        <f>报表附注!E2548</f>
        <v>类别11--</v>
      </c>
      <c r="C2092" s="357"/>
      <c r="D2092" s="11" t="b">
        <f t="shared" si="206"/>
        <v>1</v>
      </c>
      <c r="E2092" s="357">
        <f t="shared" si="209"/>
        <v>0</v>
      </c>
      <c r="H2092" s="11" t="b">
        <f t="shared" si="208"/>
        <v>0</v>
      </c>
      <c r="I2092" s="11" t="s">
        <v>2316</v>
      </c>
      <c r="K2092" s="11" t="b">
        <v>1</v>
      </c>
    </row>
    <row r="2093" spans="1:11">
      <c r="A2093" s="11" t="s">
        <v>2311</v>
      </c>
      <c r="B2093" s="310" t="str">
        <f>报表附注!E2549</f>
        <v>类别12--</v>
      </c>
      <c r="C2093" s="357"/>
      <c r="D2093" s="11" t="b">
        <f t="shared" si="206"/>
        <v>1</v>
      </c>
      <c r="E2093" s="357">
        <f t="shared" si="209"/>
        <v>0</v>
      </c>
      <c r="H2093" s="11" t="b">
        <f t="shared" si="208"/>
        <v>0</v>
      </c>
      <c r="I2093" s="11" t="s">
        <v>5717</v>
      </c>
      <c r="K2093" s="11" t="b">
        <v>0</v>
      </c>
    </row>
    <row r="2094" spans="1:11">
      <c r="A2094" s="11" t="s">
        <v>2312</v>
      </c>
      <c r="B2094" s="310" t="str">
        <f>报表附注!E2550</f>
        <v>类别13--</v>
      </c>
      <c r="C2094" s="357"/>
      <c r="D2094" s="11" t="b">
        <f t="shared" si="206"/>
        <v>1</v>
      </c>
      <c r="E2094" s="357">
        <f t="shared" si="209"/>
        <v>0</v>
      </c>
      <c r="H2094" s="11" t="b">
        <f t="shared" si="208"/>
        <v>0</v>
      </c>
      <c r="I2094" s="11" t="s">
        <v>5718</v>
      </c>
      <c r="K2094" s="11" t="b">
        <v>0</v>
      </c>
    </row>
    <row r="2095" spans="1:11">
      <c r="A2095" s="11" t="s">
        <v>2313</v>
      </c>
      <c r="B2095" s="310" t="str">
        <f>报表附注!E2551</f>
        <v>类别14--</v>
      </c>
      <c r="C2095" s="357"/>
      <c r="D2095" s="11" t="b">
        <f t="shared" si="206"/>
        <v>1</v>
      </c>
      <c r="E2095" s="357">
        <f t="shared" si="209"/>
        <v>0</v>
      </c>
      <c r="H2095" s="11" t="b">
        <f t="shared" si="208"/>
        <v>0</v>
      </c>
      <c r="I2095" s="11" t="s">
        <v>5719</v>
      </c>
      <c r="K2095" s="11" t="b">
        <v>0</v>
      </c>
    </row>
    <row r="2096" spans="1:11">
      <c r="A2096" s="11" t="s">
        <v>2021</v>
      </c>
      <c r="B2096" s="320" t="str">
        <f>报表附注!E2552</f>
        <v>合计</v>
      </c>
      <c r="C2096" s="357"/>
      <c r="D2096" s="11" t="b">
        <f t="shared" si="206"/>
        <v>1</v>
      </c>
      <c r="E2096" s="357">
        <f t="shared" si="209"/>
        <v>0</v>
      </c>
      <c r="H2096" s="11" t="b">
        <f t="shared" si="208"/>
        <v>0</v>
      </c>
      <c r="I2096" s="11" t="s">
        <v>5720</v>
      </c>
      <c r="K2096" s="11" t="b">
        <v>0</v>
      </c>
    </row>
    <row r="2097" spans="3:11">
      <c r="C2097" s="328"/>
      <c r="D2097" s="11" t="b">
        <f t="shared" si="206"/>
        <v>1</v>
      </c>
      <c r="H2097" s="11" t="b">
        <f t="shared" si="208"/>
        <v>0</v>
      </c>
      <c r="I2097" s="11" t="s">
        <v>5721</v>
      </c>
      <c r="K2097" s="11" t="b">
        <v>0</v>
      </c>
    </row>
    <row r="2098" spans="1:11">
      <c r="A2098" s="11" t="s">
        <v>2317</v>
      </c>
      <c r="B2098" s="385" t="s">
        <v>2317</v>
      </c>
      <c r="C2098" s="328"/>
      <c r="D2098" s="11" t="b">
        <f t="shared" si="206"/>
        <v>1</v>
      </c>
      <c r="H2098" s="11" t="b">
        <f t="shared" si="208"/>
        <v>0</v>
      </c>
      <c r="I2098" s="11" t="s">
        <v>5722</v>
      </c>
      <c r="K2098" s="11" t="b">
        <v>0</v>
      </c>
    </row>
    <row r="2099" spans="1:11">
      <c r="A2099" s="11" t="s">
        <v>2299</v>
      </c>
      <c r="B2099" s="333" t="s">
        <v>2299</v>
      </c>
      <c r="C2099" s="328"/>
      <c r="D2099" s="11" t="b">
        <f t="shared" si="206"/>
        <v>1</v>
      </c>
      <c r="E2099" s="326"/>
      <c r="H2099" s="11" t="b">
        <f t="shared" si="208"/>
        <v>0</v>
      </c>
      <c r="I2099" s="11" t="s">
        <v>5723</v>
      </c>
      <c r="K2099" s="11" t="b">
        <v>0</v>
      </c>
    </row>
    <row r="2100" spans="1:11">
      <c r="A2100" s="11" t="s">
        <v>2318</v>
      </c>
      <c r="B2100" s="310" t="str">
        <f>报表附注!E2557</f>
        <v>类别1--</v>
      </c>
      <c r="C2100" s="357">
        <v>51048705.7</v>
      </c>
      <c r="D2100" s="11" t="b">
        <f t="shared" si="206"/>
        <v>0</v>
      </c>
      <c r="E2100" s="332"/>
      <c r="H2100" s="11" t="b">
        <f t="shared" si="208"/>
        <v>0</v>
      </c>
      <c r="I2100" s="11" t="s">
        <v>5724</v>
      </c>
      <c r="K2100" s="11" t="b">
        <v>0</v>
      </c>
    </row>
    <row r="2101" spans="1:11">
      <c r="A2101" s="11" t="s">
        <v>2319</v>
      </c>
      <c r="B2101" s="310" t="str">
        <f>报表附注!E2558</f>
        <v>类别2--</v>
      </c>
      <c r="C2101" s="357"/>
      <c r="D2101" s="11" t="b">
        <f t="shared" si="206"/>
        <v>0</v>
      </c>
      <c r="E2101" s="332"/>
      <c r="H2101" s="11" t="b">
        <f t="shared" si="208"/>
        <v>0</v>
      </c>
      <c r="I2101" s="11" t="s">
        <v>5725</v>
      </c>
      <c r="K2101" s="11" t="b">
        <v>0</v>
      </c>
    </row>
    <row r="2102" spans="1:11">
      <c r="A2102" s="11" t="s">
        <v>2320</v>
      </c>
      <c r="B2102" s="310" t="str">
        <f>报表附注!E2559</f>
        <v>类别3--</v>
      </c>
      <c r="C2102" s="357"/>
      <c r="D2102" s="11" t="b">
        <f t="shared" si="206"/>
        <v>0</v>
      </c>
      <c r="E2102" s="332"/>
      <c r="H2102" s="11" t="b">
        <f t="shared" si="208"/>
        <v>0</v>
      </c>
      <c r="I2102" s="11" t="s">
        <v>2327</v>
      </c>
      <c r="K2102" s="11" t="b">
        <v>1</v>
      </c>
    </row>
    <row r="2103" spans="1:11">
      <c r="A2103" s="11" t="s">
        <v>2321</v>
      </c>
      <c r="B2103" s="310" t="str">
        <f>报表附注!E2560</f>
        <v>类别4-</v>
      </c>
      <c r="C2103" s="357"/>
      <c r="D2103" s="11" t="b">
        <f t="shared" si="206"/>
        <v>0</v>
      </c>
      <c r="E2103" s="332"/>
      <c r="H2103" s="11" t="b">
        <f t="shared" si="208"/>
        <v>0</v>
      </c>
      <c r="I2103" s="11" t="s">
        <v>2328</v>
      </c>
      <c r="K2103" s="11" t="b">
        <v>1</v>
      </c>
    </row>
    <row r="2104" spans="1:11">
      <c r="A2104" s="11" t="s">
        <v>2322</v>
      </c>
      <c r="B2104" s="310" t="str">
        <f>报表附注!E2561</f>
        <v>类别5-</v>
      </c>
      <c r="C2104" s="357"/>
      <c r="D2104" s="11" t="b">
        <f t="shared" si="206"/>
        <v>0</v>
      </c>
      <c r="E2104" s="332"/>
      <c r="H2104" s="11" t="b">
        <f t="shared" si="208"/>
        <v>0</v>
      </c>
      <c r="I2104" s="11" t="s">
        <v>2329</v>
      </c>
      <c r="K2104" s="11" t="b">
        <v>1</v>
      </c>
    </row>
    <row r="2105" spans="1:11">
      <c r="A2105" s="11" t="s">
        <v>2323</v>
      </c>
      <c r="B2105" s="310" t="str">
        <f>报表附注!E2562</f>
        <v>类别6--</v>
      </c>
      <c r="C2105" s="357"/>
      <c r="D2105" s="11" t="b">
        <f t="shared" si="206"/>
        <v>0</v>
      </c>
      <c r="E2105" s="332"/>
      <c r="H2105" s="11" t="b">
        <f t="shared" si="208"/>
        <v>0</v>
      </c>
      <c r="I2105" s="11" t="s">
        <v>2330</v>
      </c>
      <c r="K2105" s="11" t="b">
        <v>1</v>
      </c>
    </row>
    <row r="2106" spans="1:11">
      <c r="A2106" s="11" t="s">
        <v>2324</v>
      </c>
      <c r="B2106" s="310" t="str">
        <f>报表附注!E2563</f>
        <v>类别7-</v>
      </c>
      <c r="C2106" s="357"/>
      <c r="D2106" s="11" t="b">
        <f t="shared" si="206"/>
        <v>0</v>
      </c>
      <c r="E2106" s="332"/>
      <c r="H2106" s="11" t="b">
        <f t="shared" si="208"/>
        <v>0</v>
      </c>
      <c r="I2106" s="11" t="s">
        <v>2021</v>
      </c>
      <c r="K2106" s="11" t="b">
        <v>1</v>
      </c>
    </row>
    <row r="2107" spans="1:11">
      <c r="A2107" s="11" t="s">
        <v>2325</v>
      </c>
      <c r="B2107" s="310" t="str">
        <f>报表附注!E2564</f>
        <v>类别8--</v>
      </c>
      <c r="C2107" s="357"/>
      <c r="D2107" s="11" t="b">
        <f t="shared" si="206"/>
        <v>0</v>
      </c>
      <c r="E2107" s="332"/>
      <c r="H2107" s="11" t="b">
        <f t="shared" si="208"/>
        <v>0</v>
      </c>
      <c r="K2107" s="11" t="b">
        <v>1</v>
      </c>
    </row>
    <row r="2108" spans="1:11">
      <c r="A2108" s="11" t="s">
        <v>2326</v>
      </c>
      <c r="B2108" s="310" t="str">
        <f>报表附注!E2565</f>
        <v>类别9--</v>
      </c>
      <c r="C2108" s="357"/>
      <c r="D2108" s="11" t="b">
        <f t="shared" si="206"/>
        <v>0</v>
      </c>
      <c r="E2108" s="332"/>
      <c r="H2108" s="11" t="b">
        <f t="shared" si="208"/>
        <v>0</v>
      </c>
      <c r="I2108" s="11" t="s">
        <v>2331</v>
      </c>
      <c r="K2108" s="11" t="b">
        <v>1</v>
      </c>
    </row>
    <row r="2109" spans="1:11">
      <c r="A2109" s="11" t="s">
        <v>2327</v>
      </c>
      <c r="B2109" s="310" t="str">
        <f>报表附注!E2566</f>
        <v>类别10--</v>
      </c>
      <c r="C2109" s="357"/>
      <c r="D2109" s="11" t="b">
        <f t="shared" si="206"/>
        <v>0</v>
      </c>
      <c r="E2109" s="332"/>
      <c r="H2109" s="11" t="b">
        <f t="shared" si="208"/>
        <v>0</v>
      </c>
      <c r="I2109" s="11" t="s">
        <v>2299</v>
      </c>
      <c r="K2109" s="11" t="b">
        <v>1</v>
      </c>
    </row>
    <row r="2110" spans="1:11">
      <c r="A2110" s="11" t="s">
        <v>2328</v>
      </c>
      <c r="B2110" s="310" t="str">
        <f>报表附注!E2567</f>
        <v>产品名称11--</v>
      </c>
      <c r="C2110" s="357"/>
      <c r="D2110" s="11" t="b">
        <f t="shared" ref="D2110:D2173" si="210">EXACT(A2110,B2110)</f>
        <v>1</v>
      </c>
      <c r="E2110" s="332"/>
      <c r="H2110" s="11" t="b">
        <f t="shared" si="208"/>
        <v>0</v>
      </c>
      <c r="I2110" s="11" t="s">
        <v>5726</v>
      </c>
      <c r="K2110" s="11" t="b">
        <v>0</v>
      </c>
    </row>
    <row r="2111" spans="1:11">
      <c r="A2111" s="11" t="s">
        <v>2329</v>
      </c>
      <c r="B2111" s="310" t="str">
        <f>报表附注!E2568</f>
        <v>产品名称12--</v>
      </c>
      <c r="C2111" s="357"/>
      <c r="D2111" s="11" t="b">
        <f t="shared" si="210"/>
        <v>1</v>
      </c>
      <c r="E2111" s="332"/>
      <c r="H2111" s="11" t="b">
        <f t="shared" si="208"/>
        <v>0</v>
      </c>
      <c r="I2111" s="11" t="s">
        <v>5727</v>
      </c>
      <c r="K2111" s="11" t="b">
        <v>0</v>
      </c>
    </row>
    <row r="2112" spans="1:11">
      <c r="A2112" s="11" t="s">
        <v>2330</v>
      </c>
      <c r="B2112" s="310" t="str">
        <f>报表附注!E2569</f>
        <v>产品名称13--</v>
      </c>
      <c r="C2112" s="357"/>
      <c r="D2112" s="11" t="b">
        <f t="shared" si="210"/>
        <v>1</v>
      </c>
      <c r="E2112" s="332"/>
      <c r="H2112" s="11" t="b">
        <f t="shared" si="208"/>
        <v>0</v>
      </c>
      <c r="I2112" s="11" t="s">
        <v>5728</v>
      </c>
      <c r="K2112" s="11" t="b">
        <v>0</v>
      </c>
    </row>
    <row r="2113" spans="1:11">
      <c r="A2113" s="11" t="s">
        <v>2021</v>
      </c>
      <c r="B2113" s="320" t="str">
        <f>报表附注!E2570</f>
        <v>合计</v>
      </c>
      <c r="C2113" s="357"/>
      <c r="D2113" s="11" t="b">
        <f t="shared" si="210"/>
        <v>1</v>
      </c>
      <c r="E2113" s="332"/>
      <c r="H2113" s="11" t="b">
        <f t="shared" si="208"/>
        <v>0</v>
      </c>
      <c r="I2113" s="11">
        <v>0</v>
      </c>
      <c r="K2113" s="11" t="b">
        <v>0</v>
      </c>
    </row>
    <row r="2114" spans="1:11">
      <c r="A2114" s="11" t="s">
        <v>2314</v>
      </c>
      <c r="B2114" s="333" t="s">
        <v>2314</v>
      </c>
      <c r="C2114" s="328"/>
      <c r="D2114" s="11" t="b">
        <f t="shared" si="210"/>
        <v>1</v>
      </c>
      <c r="E2114" s="326"/>
      <c r="H2114" s="11" t="b">
        <f t="shared" si="208"/>
        <v>0</v>
      </c>
      <c r="I2114" s="11">
        <v>0</v>
      </c>
      <c r="K2114" s="11" t="b">
        <v>0</v>
      </c>
    </row>
    <row r="2115" spans="1:11">
      <c r="A2115" s="11" t="s">
        <v>2318</v>
      </c>
      <c r="B2115" s="310" t="str">
        <f>报表附注!E2557</f>
        <v>类别1--</v>
      </c>
      <c r="C2115" s="357"/>
      <c r="D2115" s="11" t="b">
        <f t="shared" si="210"/>
        <v>0</v>
      </c>
      <c r="E2115" s="357">
        <f>C2100</f>
        <v>51048705.7</v>
      </c>
      <c r="H2115" s="11" t="b">
        <f t="shared" si="208"/>
        <v>0</v>
      </c>
      <c r="I2115" s="11" t="s">
        <v>2337</v>
      </c>
      <c r="K2115" s="11" t="b">
        <v>1</v>
      </c>
    </row>
    <row r="2116" spans="1:11">
      <c r="A2116" s="11" t="s">
        <v>2319</v>
      </c>
      <c r="B2116" s="310" t="str">
        <f>报表附注!E2558</f>
        <v>类别2--</v>
      </c>
      <c r="C2116" s="357"/>
      <c r="D2116" s="11" t="b">
        <f t="shared" si="210"/>
        <v>0</v>
      </c>
      <c r="E2116" s="357">
        <f t="shared" ref="E2116:E2128" si="211">C2101</f>
        <v>0</v>
      </c>
      <c r="H2116" s="11" t="b">
        <f t="shared" ref="H2116:H2179" si="212">I2116=B2116</f>
        <v>0</v>
      </c>
      <c r="I2116" s="11" t="s">
        <v>2338</v>
      </c>
      <c r="K2116" s="11" t="b">
        <v>1</v>
      </c>
    </row>
    <row r="2117" spans="1:11">
      <c r="A2117" s="11" t="s">
        <v>2320</v>
      </c>
      <c r="B2117" s="310" t="str">
        <f>报表附注!E2559</f>
        <v>类别3--</v>
      </c>
      <c r="C2117" s="357"/>
      <c r="D2117" s="11" t="b">
        <f t="shared" si="210"/>
        <v>0</v>
      </c>
      <c r="E2117" s="357">
        <f t="shared" si="211"/>
        <v>0</v>
      </c>
      <c r="H2117" s="11" t="b">
        <f t="shared" si="212"/>
        <v>0</v>
      </c>
      <c r="I2117" s="11" t="s">
        <v>2339</v>
      </c>
      <c r="K2117" s="11" t="b">
        <v>1</v>
      </c>
    </row>
    <row r="2118" spans="1:11">
      <c r="A2118" s="11" t="s">
        <v>2321</v>
      </c>
      <c r="B2118" s="310" t="str">
        <f>报表附注!E2560</f>
        <v>类别4-</v>
      </c>
      <c r="C2118" s="357"/>
      <c r="D2118" s="11" t="b">
        <f t="shared" si="210"/>
        <v>0</v>
      </c>
      <c r="E2118" s="357">
        <f t="shared" si="211"/>
        <v>0</v>
      </c>
      <c r="H2118" s="11" t="b">
        <f t="shared" si="212"/>
        <v>0</v>
      </c>
      <c r="I2118" s="11" t="s">
        <v>2340</v>
      </c>
      <c r="K2118" s="11" t="b">
        <v>1</v>
      </c>
    </row>
    <row r="2119" spans="1:11">
      <c r="A2119" s="11" t="s">
        <v>2322</v>
      </c>
      <c r="B2119" s="310" t="str">
        <f>报表附注!E2561</f>
        <v>类别5-</v>
      </c>
      <c r="C2119" s="357"/>
      <c r="D2119" s="11" t="b">
        <f t="shared" si="210"/>
        <v>0</v>
      </c>
      <c r="E2119" s="357">
        <f t="shared" si="211"/>
        <v>0</v>
      </c>
      <c r="H2119" s="11" t="b">
        <f t="shared" si="212"/>
        <v>0</v>
      </c>
      <c r="I2119" s="11" t="s">
        <v>2341</v>
      </c>
      <c r="K2119" s="11" t="b">
        <v>1</v>
      </c>
    </row>
    <row r="2120" spans="1:11">
      <c r="A2120" s="11" t="s">
        <v>2323</v>
      </c>
      <c r="B2120" s="310" t="str">
        <f>报表附注!E2562</f>
        <v>类别6--</v>
      </c>
      <c r="C2120" s="357"/>
      <c r="D2120" s="11" t="b">
        <f t="shared" si="210"/>
        <v>0</v>
      </c>
      <c r="E2120" s="357">
        <f t="shared" si="211"/>
        <v>0</v>
      </c>
      <c r="H2120" s="11" t="b">
        <f t="shared" si="212"/>
        <v>0</v>
      </c>
      <c r="I2120" s="11" t="s">
        <v>2342</v>
      </c>
      <c r="K2120" s="11" t="b">
        <v>1</v>
      </c>
    </row>
    <row r="2121" spans="1:11">
      <c r="A2121" s="11" t="s">
        <v>2324</v>
      </c>
      <c r="B2121" s="310" t="str">
        <f>报表附注!E2563</f>
        <v>类别7-</v>
      </c>
      <c r="C2121" s="357"/>
      <c r="D2121" s="11" t="b">
        <f t="shared" si="210"/>
        <v>0</v>
      </c>
      <c r="E2121" s="357">
        <f t="shared" si="211"/>
        <v>0</v>
      </c>
      <c r="H2121" s="11" t="b">
        <f t="shared" si="212"/>
        <v>0</v>
      </c>
      <c r="I2121" s="11" t="s">
        <v>2343</v>
      </c>
      <c r="K2121" s="11" t="b">
        <v>1</v>
      </c>
    </row>
    <row r="2122" spans="1:11">
      <c r="A2122" s="11" t="s">
        <v>2325</v>
      </c>
      <c r="B2122" s="310" t="str">
        <f>报表附注!E2564</f>
        <v>类别8--</v>
      </c>
      <c r="C2122" s="357"/>
      <c r="D2122" s="11" t="b">
        <f t="shared" si="210"/>
        <v>0</v>
      </c>
      <c r="E2122" s="357">
        <f t="shared" si="211"/>
        <v>0</v>
      </c>
      <c r="H2122" s="11" t="b">
        <f t="shared" si="212"/>
        <v>0</v>
      </c>
      <c r="I2122" s="11" t="s">
        <v>2344</v>
      </c>
      <c r="K2122" s="11" t="b">
        <v>1</v>
      </c>
    </row>
    <row r="2123" spans="1:11">
      <c r="A2123" s="11" t="s">
        <v>2326</v>
      </c>
      <c r="B2123" s="310" t="str">
        <f>报表附注!E2565</f>
        <v>类别9--</v>
      </c>
      <c r="C2123" s="357"/>
      <c r="D2123" s="11" t="b">
        <f t="shared" si="210"/>
        <v>0</v>
      </c>
      <c r="E2123" s="357">
        <f t="shared" si="211"/>
        <v>0</v>
      </c>
      <c r="H2123" s="11" t="b">
        <f t="shared" si="212"/>
        <v>0</v>
      </c>
      <c r="I2123" s="11" t="s">
        <v>2021</v>
      </c>
      <c r="K2123" s="11" t="b">
        <v>1</v>
      </c>
    </row>
    <row r="2124" spans="1:11">
      <c r="A2124" s="11" t="s">
        <v>2327</v>
      </c>
      <c r="B2124" s="310" t="str">
        <f>报表附注!E2566</f>
        <v>类别10--</v>
      </c>
      <c r="C2124" s="357"/>
      <c r="D2124" s="11" t="b">
        <f t="shared" si="210"/>
        <v>0</v>
      </c>
      <c r="E2124" s="357">
        <f t="shared" si="211"/>
        <v>0</v>
      </c>
      <c r="H2124" s="11" t="b">
        <f t="shared" si="212"/>
        <v>0</v>
      </c>
      <c r="I2124" s="11" t="s">
        <v>2314</v>
      </c>
      <c r="K2124" s="11" t="b">
        <v>1</v>
      </c>
    </row>
    <row r="2125" spans="1:11">
      <c r="A2125" s="11" t="s">
        <v>2328</v>
      </c>
      <c r="B2125" s="310" t="str">
        <f>报表附注!E2567</f>
        <v>产品名称11--</v>
      </c>
      <c r="C2125" s="357"/>
      <c r="D2125" s="11" t="b">
        <f t="shared" si="210"/>
        <v>1</v>
      </c>
      <c r="E2125" s="357">
        <f t="shared" si="211"/>
        <v>0</v>
      </c>
      <c r="H2125" s="11" t="b">
        <f t="shared" si="212"/>
        <v>0</v>
      </c>
      <c r="I2125" s="11" t="s">
        <v>5726</v>
      </c>
      <c r="K2125" s="11" t="b">
        <v>0</v>
      </c>
    </row>
    <row r="2126" spans="1:11">
      <c r="A2126" s="11" t="s">
        <v>2329</v>
      </c>
      <c r="B2126" s="310" t="str">
        <f>报表附注!E2568</f>
        <v>产品名称12--</v>
      </c>
      <c r="C2126" s="357"/>
      <c r="D2126" s="11" t="b">
        <f t="shared" si="210"/>
        <v>1</v>
      </c>
      <c r="E2126" s="357">
        <f t="shared" si="211"/>
        <v>0</v>
      </c>
      <c r="H2126" s="11" t="b">
        <f t="shared" si="212"/>
        <v>0</v>
      </c>
      <c r="I2126" s="11" t="s">
        <v>5727</v>
      </c>
      <c r="K2126" s="11" t="b">
        <v>0</v>
      </c>
    </row>
    <row r="2127" spans="1:11">
      <c r="A2127" s="11" t="s">
        <v>2330</v>
      </c>
      <c r="B2127" s="310" t="str">
        <f>报表附注!E2569</f>
        <v>产品名称13--</v>
      </c>
      <c r="C2127" s="357"/>
      <c r="D2127" s="11" t="b">
        <f t="shared" si="210"/>
        <v>1</v>
      </c>
      <c r="E2127" s="357">
        <f t="shared" si="211"/>
        <v>0</v>
      </c>
      <c r="H2127" s="11" t="b">
        <f t="shared" si="212"/>
        <v>0</v>
      </c>
      <c r="I2127" s="11" t="s">
        <v>5728</v>
      </c>
      <c r="K2127" s="11" t="b">
        <v>0</v>
      </c>
    </row>
    <row r="2128" spans="1:11">
      <c r="A2128" s="11" t="s">
        <v>2021</v>
      </c>
      <c r="B2128" s="320" t="str">
        <f>报表附注!E2570</f>
        <v>合计</v>
      </c>
      <c r="C2128" s="357"/>
      <c r="D2128" s="11" t="b">
        <f t="shared" si="210"/>
        <v>1</v>
      </c>
      <c r="E2128" s="357">
        <f t="shared" si="211"/>
        <v>0</v>
      </c>
      <c r="H2128" s="11" t="b">
        <f t="shared" si="212"/>
        <v>0</v>
      </c>
      <c r="I2128" s="11">
        <v>0</v>
      </c>
      <c r="K2128" s="11" t="b">
        <v>0</v>
      </c>
    </row>
    <row r="2129" spans="1:11">
      <c r="A2129" s="11" t="s">
        <v>2315</v>
      </c>
      <c r="B2129" s="333" t="s">
        <v>2315</v>
      </c>
      <c r="C2129" s="328"/>
      <c r="D2129" s="11" t="b">
        <f t="shared" si="210"/>
        <v>1</v>
      </c>
      <c r="E2129" s="326"/>
      <c r="H2129" s="11" t="b">
        <f t="shared" si="212"/>
        <v>0</v>
      </c>
      <c r="I2129" s="11">
        <v>0</v>
      </c>
      <c r="K2129" s="11" t="b">
        <v>0</v>
      </c>
    </row>
    <row r="2130" spans="1:11">
      <c r="A2130" s="11" t="s">
        <v>2318</v>
      </c>
      <c r="B2130" s="310" t="str">
        <f>报表附注!E2557</f>
        <v>类别1--</v>
      </c>
      <c r="C2130" s="357"/>
      <c r="D2130" s="11" t="b">
        <f t="shared" si="210"/>
        <v>0</v>
      </c>
      <c r="E2130" s="332"/>
      <c r="H2130" s="11" t="b">
        <f t="shared" si="212"/>
        <v>0</v>
      </c>
      <c r="I2130" s="11" t="s">
        <v>2337</v>
      </c>
      <c r="K2130" s="11" t="b">
        <v>1</v>
      </c>
    </row>
    <row r="2131" spans="1:11">
      <c r="A2131" s="11" t="s">
        <v>2319</v>
      </c>
      <c r="B2131" s="310" t="str">
        <f>报表附注!E2558</f>
        <v>类别2--</v>
      </c>
      <c r="C2131" s="357"/>
      <c r="D2131" s="11" t="b">
        <f t="shared" si="210"/>
        <v>0</v>
      </c>
      <c r="E2131" s="332"/>
      <c r="H2131" s="11" t="b">
        <f t="shared" si="212"/>
        <v>0</v>
      </c>
      <c r="I2131" s="11" t="s">
        <v>2338</v>
      </c>
      <c r="K2131" s="11" t="b">
        <v>1</v>
      </c>
    </row>
    <row r="2132" spans="1:11">
      <c r="A2132" s="11" t="s">
        <v>2320</v>
      </c>
      <c r="B2132" s="310" t="str">
        <f>报表附注!E2559</f>
        <v>类别3--</v>
      </c>
      <c r="C2132" s="357"/>
      <c r="D2132" s="11" t="b">
        <f t="shared" si="210"/>
        <v>0</v>
      </c>
      <c r="E2132" s="332"/>
      <c r="H2132" s="11" t="b">
        <f t="shared" si="212"/>
        <v>0</v>
      </c>
      <c r="I2132" s="11" t="s">
        <v>2339</v>
      </c>
      <c r="K2132" s="11" t="b">
        <v>1</v>
      </c>
    </row>
    <row r="2133" spans="1:11">
      <c r="A2133" s="11" t="s">
        <v>2321</v>
      </c>
      <c r="B2133" s="310" t="str">
        <f>报表附注!E2560</f>
        <v>类别4-</v>
      </c>
      <c r="C2133" s="357"/>
      <c r="D2133" s="11" t="b">
        <f t="shared" si="210"/>
        <v>0</v>
      </c>
      <c r="E2133" s="332"/>
      <c r="H2133" s="11" t="b">
        <f t="shared" si="212"/>
        <v>0</v>
      </c>
      <c r="I2133" s="11" t="s">
        <v>2340</v>
      </c>
      <c r="K2133" s="11" t="b">
        <v>1</v>
      </c>
    </row>
    <row r="2134" spans="1:11">
      <c r="A2134" s="11" t="s">
        <v>2322</v>
      </c>
      <c r="B2134" s="310" t="str">
        <f>报表附注!E2561</f>
        <v>类别5-</v>
      </c>
      <c r="C2134" s="357"/>
      <c r="D2134" s="11" t="b">
        <f t="shared" si="210"/>
        <v>0</v>
      </c>
      <c r="E2134" s="332"/>
      <c r="H2134" s="11" t="b">
        <f t="shared" si="212"/>
        <v>0</v>
      </c>
      <c r="I2134" s="11" t="s">
        <v>2341</v>
      </c>
      <c r="K2134" s="11" t="b">
        <v>1</v>
      </c>
    </row>
    <row r="2135" spans="1:11">
      <c r="A2135" s="11" t="s">
        <v>2323</v>
      </c>
      <c r="B2135" s="310" t="str">
        <f>报表附注!E2562</f>
        <v>类别6--</v>
      </c>
      <c r="C2135" s="357"/>
      <c r="D2135" s="11" t="b">
        <f t="shared" si="210"/>
        <v>0</v>
      </c>
      <c r="E2135" s="332"/>
      <c r="H2135" s="11" t="b">
        <f t="shared" si="212"/>
        <v>0</v>
      </c>
      <c r="I2135" s="11" t="s">
        <v>2342</v>
      </c>
      <c r="K2135" s="11" t="b">
        <v>1</v>
      </c>
    </row>
    <row r="2136" spans="1:11">
      <c r="A2136" s="11" t="s">
        <v>2324</v>
      </c>
      <c r="B2136" s="310" t="str">
        <f>报表附注!E2563</f>
        <v>类别7-</v>
      </c>
      <c r="C2136" s="357"/>
      <c r="D2136" s="11" t="b">
        <f t="shared" si="210"/>
        <v>0</v>
      </c>
      <c r="E2136" s="332"/>
      <c r="H2136" s="11" t="b">
        <f t="shared" si="212"/>
        <v>0</v>
      </c>
      <c r="I2136" s="11" t="s">
        <v>2343</v>
      </c>
      <c r="K2136" s="11" t="b">
        <v>1</v>
      </c>
    </row>
    <row r="2137" spans="1:11">
      <c r="A2137" s="11" t="s">
        <v>2325</v>
      </c>
      <c r="B2137" s="310" t="str">
        <f>报表附注!E2564</f>
        <v>类别8--</v>
      </c>
      <c r="C2137" s="357"/>
      <c r="D2137" s="11" t="b">
        <f t="shared" si="210"/>
        <v>0</v>
      </c>
      <c r="E2137" s="332"/>
      <c r="H2137" s="11" t="b">
        <f t="shared" si="212"/>
        <v>0</v>
      </c>
      <c r="I2137" s="11" t="s">
        <v>2344</v>
      </c>
      <c r="K2137" s="11" t="b">
        <v>1</v>
      </c>
    </row>
    <row r="2138" spans="1:11">
      <c r="A2138" s="11" t="s">
        <v>2326</v>
      </c>
      <c r="B2138" s="310" t="str">
        <f>报表附注!E2565</f>
        <v>类别9--</v>
      </c>
      <c r="C2138" s="357"/>
      <c r="D2138" s="11" t="b">
        <f t="shared" si="210"/>
        <v>0</v>
      </c>
      <c r="E2138" s="332"/>
      <c r="H2138" s="11" t="b">
        <f t="shared" si="212"/>
        <v>0</v>
      </c>
      <c r="I2138" s="11" t="s">
        <v>2021</v>
      </c>
      <c r="K2138" s="11" t="b">
        <v>1</v>
      </c>
    </row>
    <row r="2139" spans="1:11">
      <c r="A2139" s="11" t="s">
        <v>2327</v>
      </c>
      <c r="B2139" s="310" t="str">
        <f>报表附注!E2566</f>
        <v>类别10--</v>
      </c>
      <c r="C2139" s="357"/>
      <c r="D2139" s="11" t="b">
        <f t="shared" si="210"/>
        <v>0</v>
      </c>
      <c r="E2139" s="332"/>
      <c r="H2139" s="11" t="b">
        <f t="shared" si="212"/>
        <v>0</v>
      </c>
      <c r="I2139" s="11" t="s">
        <v>2315</v>
      </c>
      <c r="K2139" s="11" t="b">
        <v>1</v>
      </c>
    </row>
    <row r="2140" spans="1:11">
      <c r="A2140" s="11" t="s">
        <v>2328</v>
      </c>
      <c r="B2140" s="310" t="str">
        <f>报表附注!E2567</f>
        <v>产品名称11--</v>
      </c>
      <c r="C2140" s="357"/>
      <c r="D2140" s="11" t="b">
        <f t="shared" si="210"/>
        <v>1</v>
      </c>
      <c r="E2140" s="332"/>
      <c r="H2140" s="11" t="b">
        <f t="shared" si="212"/>
        <v>0</v>
      </c>
      <c r="I2140" s="11" t="s">
        <v>5726</v>
      </c>
      <c r="K2140" s="11" t="b">
        <v>0</v>
      </c>
    </row>
    <row r="2141" spans="1:11">
      <c r="A2141" s="11" t="s">
        <v>2329</v>
      </c>
      <c r="B2141" s="310" t="str">
        <f>报表附注!E2568</f>
        <v>产品名称12--</v>
      </c>
      <c r="C2141" s="357"/>
      <c r="D2141" s="11" t="b">
        <f t="shared" si="210"/>
        <v>1</v>
      </c>
      <c r="E2141" s="332"/>
      <c r="H2141" s="11" t="b">
        <f t="shared" si="212"/>
        <v>0</v>
      </c>
      <c r="I2141" s="11" t="s">
        <v>5727</v>
      </c>
      <c r="K2141" s="11" t="b">
        <v>0</v>
      </c>
    </row>
    <row r="2142" spans="1:11">
      <c r="A2142" s="11" t="s">
        <v>2330</v>
      </c>
      <c r="B2142" s="310" t="str">
        <f>报表附注!E2569</f>
        <v>产品名称13--</v>
      </c>
      <c r="C2142" s="357"/>
      <c r="D2142" s="11" t="b">
        <f t="shared" si="210"/>
        <v>1</v>
      </c>
      <c r="E2142" s="332"/>
      <c r="H2142" s="11" t="b">
        <f t="shared" si="212"/>
        <v>0</v>
      </c>
      <c r="I2142" s="11" t="s">
        <v>5728</v>
      </c>
      <c r="K2142" s="11" t="b">
        <v>0</v>
      </c>
    </row>
    <row r="2143" spans="1:11">
      <c r="A2143" s="11" t="s">
        <v>2021</v>
      </c>
      <c r="B2143" s="320" t="str">
        <f>报表附注!E2570</f>
        <v>合计</v>
      </c>
      <c r="C2143" s="357"/>
      <c r="D2143" s="11" t="b">
        <f t="shared" si="210"/>
        <v>1</v>
      </c>
      <c r="E2143" s="332"/>
      <c r="H2143" s="11" t="b">
        <f t="shared" si="212"/>
        <v>0</v>
      </c>
      <c r="I2143" s="11">
        <v>0</v>
      </c>
      <c r="K2143" s="11" t="b">
        <v>0</v>
      </c>
    </row>
    <row r="2144" spans="1:11">
      <c r="A2144" s="11" t="s">
        <v>2316</v>
      </c>
      <c r="B2144" s="333" t="s">
        <v>2316</v>
      </c>
      <c r="C2144" s="328"/>
      <c r="D2144" s="11" t="b">
        <f t="shared" si="210"/>
        <v>1</v>
      </c>
      <c r="E2144" s="326"/>
      <c r="H2144" s="11" t="b">
        <f t="shared" si="212"/>
        <v>0</v>
      </c>
      <c r="I2144" s="11">
        <v>0</v>
      </c>
      <c r="K2144" s="11" t="b">
        <v>0</v>
      </c>
    </row>
    <row r="2145" spans="1:11">
      <c r="A2145" s="11" t="s">
        <v>2318</v>
      </c>
      <c r="B2145" s="317" t="str">
        <f>报表附注!E2557</f>
        <v>类别1--</v>
      </c>
      <c r="C2145" s="357"/>
      <c r="D2145" s="11" t="b">
        <f t="shared" si="210"/>
        <v>0</v>
      </c>
      <c r="E2145" s="357">
        <f>C2130</f>
        <v>0</v>
      </c>
      <c r="H2145" s="11" t="b">
        <f t="shared" si="212"/>
        <v>0</v>
      </c>
      <c r="I2145" s="11" t="s">
        <v>2337</v>
      </c>
      <c r="K2145" s="11" t="b">
        <v>1</v>
      </c>
    </row>
    <row r="2146" spans="1:11">
      <c r="A2146" s="11" t="s">
        <v>2319</v>
      </c>
      <c r="B2146" s="317" t="str">
        <f>报表附注!E2558</f>
        <v>类别2--</v>
      </c>
      <c r="C2146" s="357"/>
      <c r="D2146" s="11" t="b">
        <f t="shared" si="210"/>
        <v>0</v>
      </c>
      <c r="E2146" s="357">
        <f t="shared" ref="E2146:E2158" si="213">C2131</f>
        <v>0</v>
      </c>
      <c r="H2146" s="11" t="b">
        <f t="shared" si="212"/>
        <v>0</v>
      </c>
      <c r="I2146" s="11" t="s">
        <v>2338</v>
      </c>
      <c r="K2146" s="11" t="b">
        <v>1</v>
      </c>
    </row>
    <row r="2147" spans="1:11">
      <c r="A2147" s="11" t="s">
        <v>2320</v>
      </c>
      <c r="B2147" s="317" t="str">
        <f>报表附注!E2559</f>
        <v>类别3--</v>
      </c>
      <c r="C2147" s="357"/>
      <c r="D2147" s="11" t="b">
        <f t="shared" si="210"/>
        <v>0</v>
      </c>
      <c r="E2147" s="357">
        <f t="shared" si="213"/>
        <v>0</v>
      </c>
      <c r="H2147" s="11" t="b">
        <f t="shared" si="212"/>
        <v>0</v>
      </c>
      <c r="I2147" s="11" t="s">
        <v>2339</v>
      </c>
      <c r="K2147" s="11" t="b">
        <v>1</v>
      </c>
    </row>
    <row r="2148" spans="1:11">
      <c r="A2148" s="11" t="s">
        <v>2321</v>
      </c>
      <c r="B2148" s="317" t="str">
        <f>报表附注!E2560</f>
        <v>类别4-</v>
      </c>
      <c r="C2148" s="357"/>
      <c r="D2148" s="11" t="b">
        <f t="shared" si="210"/>
        <v>0</v>
      </c>
      <c r="E2148" s="357">
        <f t="shared" si="213"/>
        <v>0</v>
      </c>
      <c r="H2148" s="11" t="b">
        <f t="shared" si="212"/>
        <v>0</v>
      </c>
      <c r="I2148" s="11" t="s">
        <v>2340</v>
      </c>
      <c r="K2148" s="11" t="b">
        <v>1</v>
      </c>
    </row>
    <row r="2149" spans="1:11">
      <c r="A2149" s="11" t="s">
        <v>2322</v>
      </c>
      <c r="B2149" s="317" t="str">
        <f>报表附注!E2561</f>
        <v>类别5-</v>
      </c>
      <c r="C2149" s="357"/>
      <c r="D2149" s="11" t="b">
        <f t="shared" si="210"/>
        <v>0</v>
      </c>
      <c r="E2149" s="357">
        <f t="shared" si="213"/>
        <v>0</v>
      </c>
      <c r="H2149" s="11" t="b">
        <f t="shared" si="212"/>
        <v>0</v>
      </c>
      <c r="I2149" s="11" t="s">
        <v>2341</v>
      </c>
      <c r="K2149" s="11" t="b">
        <v>1</v>
      </c>
    </row>
    <row r="2150" spans="1:11">
      <c r="A2150" s="11" t="s">
        <v>2323</v>
      </c>
      <c r="B2150" s="317" t="str">
        <f>报表附注!E2562</f>
        <v>类别6--</v>
      </c>
      <c r="C2150" s="357"/>
      <c r="D2150" s="11" t="b">
        <f t="shared" si="210"/>
        <v>0</v>
      </c>
      <c r="E2150" s="357">
        <f t="shared" si="213"/>
        <v>0</v>
      </c>
      <c r="H2150" s="11" t="b">
        <f t="shared" si="212"/>
        <v>0</v>
      </c>
      <c r="I2150" s="11" t="s">
        <v>2342</v>
      </c>
      <c r="K2150" s="11" t="b">
        <v>1</v>
      </c>
    </row>
    <row r="2151" spans="1:11">
      <c r="A2151" s="11" t="s">
        <v>2324</v>
      </c>
      <c r="B2151" s="317" t="str">
        <f>报表附注!E2563</f>
        <v>类别7-</v>
      </c>
      <c r="C2151" s="357"/>
      <c r="D2151" s="11" t="b">
        <f t="shared" si="210"/>
        <v>0</v>
      </c>
      <c r="E2151" s="357">
        <f t="shared" si="213"/>
        <v>0</v>
      </c>
      <c r="H2151" s="11" t="b">
        <f t="shared" si="212"/>
        <v>0</v>
      </c>
      <c r="I2151" s="11" t="s">
        <v>2343</v>
      </c>
      <c r="K2151" s="11" t="b">
        <v>1</v>
      </c>
    </row>
    <row r="2152" spans="1:11">
      <c r="A2152" s="11" t="s">
        <v>2325</v>
      </c>
      <c r="B2152" s="317" t="str">
        <f>报表附注!E2564</f>
        <v>类别8--</v>
      </c>
      <c r="C2152" s="357"/>
      <c r="D2152" s="11" t="b">
        <f t="shared" si="210"/>
        <v>0</v>
      </c>
      <c r="E2152" s="357">
        <f t="shared" si="213"/>
        <v>0</v>
      </c>
      <c r="H2152" s="11" t="b">
        <f t="shared" si="212"/>
        <v>0</v>
      </c>
      <c r="I2152" s="11" t="s">
        <v>2344</v>
      </c>
      <c r="K2152" s="11" t="b">
        <v>1</v>
      </c>
    </row>
    <row r="2153" spans="1:11">
      <c r="A2153" s="11" t="s">
        <v>2326</v>
      </c>
      <c r="B2153" s="317" t="str">
        <f>报表附注!E2565</f>
        <v>类别9--</v>
      </c>
      <c r="C2153" s="357"/>
      <c r="D2153" s="11" t="b">
        <f t="shared" si="210"/>
        <v>0</v>
      </c>
      <c r="E2153" s="357">
        <f t="shared" si="213"/>
        <v>0</v>
      </c>
      <c r="H2153" s="11" t="b">
        <f t="shared" si="212"/>
        <v>0</v>
      </c>
      <c r="I2153" s="11" t="s">
        <v>2021</v>
      </c>
      <c r="K2153" s="11" t="b">
        <v>1</v>
      </c>
    </row>
    <row r="2154" spans="1:11">
      <c r="A2154" s="11" t="s">
        <v>2327</v>
      </c>
      <c r="B2154" s="317" t="str">
        <f>报表附注!E2566</f>
        <v>类别10--</v>
      </c>
      <c r="C2154" s="357"/>
      <c r="D2154" s="11" t="b">
        <f t="shared" si="210"/>
        <v>0</v>
      </c>
      <c r="E2154" s="357">
        <f t="shared" si="213"/>
        <v>0</v>
      </c>
      <c r="H2154" s="11" t="b">
        <f t="shared" si="212"/>
        <v>0</v>
      </c>
      <c r="I2154" s="11" t="s">
        <v>2316</v>
      </c>
      <c r="K2154" s="11" t="b">
        <v>1</v>
      </c>
    </row>
    <row r="2155" spans="1:11">
      <c r="A2155" s="11" t="s">
        <v>2328</v>
      </c>
      <c r="B2155" s="317" t="str">
        <f>报表附注!E2567</f>
        <v>产品名称11--</v>
      </c>
      <c r="C2155" s="357"/>
      <c r="D2155" s="11" t="b">
        <f t="shared" si="210"/>
        <v>1</v>
      </c>
      <c r="E2155" s="357">
        <f t="shared" si="213"/>
        <v>0</v>
      </c>
      <c r="H2155" s="11" t="b">
        <f t="shared" si="212"/>
        <v>0</v>
      </c>
      <c r="I2155" s="11" t="s">
        <v>5726</v>
      </c>
      <c r="K2155" s="11" t="b">
        <v>0</v>
      </c>
    </row>
    <row r="2156" spans="1:11">
      <c r="A2156" s="11" t="s">
        <v>2329</v>
      </c>
      <c r="B2156" s="317" t="str">
        <f>报表附注!E2568</f>
        <v>产品名称12--</v>
      </c>
      <c r="C2156" s="357"/>
      <c r="D2156" s="11" t="b">
        <f t="shared" si="210"/>
        <v>1</v>
      </c>
      <c r="E2156" s="357">
        <f t="shared" si="213"/>
        <v>0</v>
      </c>
      <c r="H2156" s="11" t="b">
        <f t="shared" si="212"/>
        <v>0</v>
      </c>
      <c r="I2156" s="11" t="s">
        <v>5727</v>
      </c>
      <c r="K2156" s="11" t="b">
        <v>0</v>
      </c>
    </row>
    <row r="2157" spans="1:11">
      <c r="A2157" s="11" t="s">
        <v>2330</v>
      </c>
      <c r="B2157" s="317" t="str">
        <f>报表附注!E2569</f>
        <v>产品名称13--</v>
      </c>
      <c r="C2157" s="357"/>
      <c r="D2157" s="11" t="b">
        <f t="shared" si="210"/>
        <v>1</v>
      </c>
      <c r="E2157" s="357">
        <f t="shared" si="213"/>
        <v>0</v>
      </c>
      <c r="H2157" s="11" t="b">
        <f t="shared" si="212"/>
        <v>0</v>
      </c>
      <c r="I2157" s="11" t="s">
        <v>5728</v>
      </c>
      <c r="K2157" s="11" t="b">
        <v>0</v>
      </c>
    </row>
    <row r="2158" spans="1:11">
      <c r="A2158" s="11" t="s">
        <v>2021</v>
      </c>
      <c r="B2158" s="319" t="str">
        <f>报表附注!E2570</f>
        <v>合计</v>
      </c>
      <c r="C2158" s="357"/>
      <c r="D2158" s="11" t="b">
        <f t="shared" si="210"/>
        <v>1</v>
      </c>
      <c r="E2158" s="357">
        <f t="shared" si="213"/>
        <v>0</v>
      </c>
      <c r="H2158" s="11" t="b">
        <f t="shared" si="212"/>
        <v>0</v>
      </c>
      <c r="I2158" s="11">
        <v>0</v>
      </c>
      <c r="K2158" s="11" t="b">
        <v>0</v>
      </c>
    </row>
    <row r="2159" spans="2:11">
      <c r="B2159" s="333"/>
      <c r="D2159" s="11" t="b">
        <f t="shared" si="210"/>
        <v>1</v>
      </c>
      <c r="H2159" s="11" t="b">
        <f t="shared" si="212"/>
        <v>1</v>
      </c>
      <c r="I2159" s="11">
        <v>0</v>
      </c>
      <c r="K2159" s="11" t="b">
        <v>0</v>
      </c>
    </row>
    <row r="2160" spans="1:11">
      <c r="A2160" s="11" t="s">
        <v>2331</v>
      </c>
      <c r="B2160" s="385" t="s">
        <v>2331</v>
      </c>
      <c r="D2160" s="11" t="b">
        <f t="shared" si="210"/>
        <v>1</v>
      </c>
      <c r="H2160" s="11" t="b">
        <f t="shared" si="212"/>
        <v>0</v>
      </c>
      <c r="I2160" s="11" t="s">
        <v>2337</v>
      </c>
      <c r="K2160" s="11" t="b">
        <v>1</v>
      </c>
    </row>
    <row r="2161" spans="1:11">
      <c r="A2161" s="11" t="s">
        <v>2299</v>
      </c>
      <c r="B2161" s="333" t="s">
        <v>2299</v>
      </c>
      <c r="D2161" s="11" t="b">
        <f t="shared" si="210"/>
        <v>1</v>
      </c>
      <c r="H2161" s="11" t="b">
        <f t="shared" si="212"/>
        <v>0</v>
      </c>
      <c r="I2161" s="11" t="s">
        <v>2338</v>
      </c>
      <c r="K2161" s="11" t="b">
        <v>1</v>
      </c>
    </row>
    <row r="2162" spans="1:11">
      <c r="A2162" s="11" t="s">
        <v>2332</v>
      </c>
      <c r="B2162" s="386" t="str">
        <f>报表附注!E2575</f>
        <v>地区1--国内销售</v>
      </c>
      <c r="C2162" s="357">
        <v>51048705.7</v>
      </c>
      <c r="D2162" s="11" t="b">
        <f t="shared" si="210"/>
        <v>0</v>
      </c>
      <c r="E2162" s="332"/>
      <c r="H2162" s="11" t="b">
        <f t="shared" si="212"/>
        <v>0</v>
      </c>
      <c r="I2162" s="11" t="s">
        <v>2339</v>
      </c>
      <c r="K2162" s="11" t="b">
        <v>1</v>
      </c>
    </row>
    <row r="2163" spans="1:11">
      <c r="A2163" s="11" t="s">
        <v>2333</v>
      </c>
      <c r="B2163" s="386" t="str">
        <f>报表附注!E2576</f>
        <v>地区2--国外销售</v>
      </c>
      <c r="C2163" s="357"/>
      <c r="D2163" s="11" t="b">
        <f t="shared" si="210"/>
        <v>0</v>
      </c>
      <c r="E2163" s="332"/>
      <c r="H2163" s="11" t="b">
        <f t="shared" si="212"/>
        <v>0</v>
      </c>
      <c r="I2163" s="11" t="s">
        <v>2340</v>
      </c>
      <c r="K2163" s="11" t="b">
        <v>1</v>
      </c>
    </row>
    <row r="2164" spans="1:11">
      <c r="A2164" s="11" t="s">
        <v>2334</v>
      </c>
      <c r="B2164" s="386" t="str">
        <f>报表附注!E2577</f>
        <v>地区3--港澳台销售</v>
      </c>
      <c r="C2164" s="357"/>
      <c r="D2164" s="11" t="b">
        <f t="shared" si="210"/>
        <v>0</v>
      </c>
      <c r="E2164" s="332"/>
      <c r="H2164" s="11" t="b">
        <f t="shared" si="212"/>
        <v>0</v>
      </c>
      <c r="I2164" s="11" t="s">
        <v>2341</v>
      </c>
      <c r="K2164" s="11" t="b">
        <v>1</v>
      </c>
    </row>
    <row r="2165" spans="1:11">
      <c r="A2165" s="11" t="s">
        <v>2335</v>
      </c>
      <c r="B2165" s="386">
        <f>报表附注!E2578</f>
        <v>0</v>
      </c>
      <c r="C2165" s="357"/>
      <c r="D2165" s="11" t="b">
        <f t="shared" si="210"/>
        <v>0</v>
      </c>
      <c r="E2165" s="332"/>
      <c r="H2165" s="11" t="b">
        <f t="shared" si="212"/>
        <v>0</v>
      </c>
      <c r="I2165" s="11" t="s">
        <v>2342</v>
      </c>
      <c r="K2165" s="11" t="b">
        <v>1</v>
      </c>
    </row>
    <row r="2166" spans="1:11">
      <c r="A2166" s="11" t="s">
        <v>2336</v>
      </c>
      <c r="B2166" s="386">
        <f>报表附注!E2579</f>
        <v>0</v>
      </c>
      <c r="C2166" s="357"/>
      <c r="D2166" s="11" t="b">
        <f t="shared" si="210"/>
        <v>0</v>
      </c>
      <c r="E2166" s="332"/>
      <c r="H2166" s="11" t="b">
        <f t="shared" si="212"/>
        <v>0</v>
      </c>
      <c r="I2166" s="11" t="s">
        <v>2343</v>
      </c>
      <c r="K2166" s="11" t="b">
        <v>1</v>
      </c>
    </row>
    <row r="2167" spans="1:11">
      <c r="A2167" s="11" t="s">
        <v>2337</v>
      </c>
      <c r="B2167" s="386" t="str">
        <f>报表附注!E2580</f>
        <v>地区6--</v>
      </c>
      <c r="C2167" s="357"/>
      <c r="D2167" s="11" t="b">
        <f t="shared" si="210"/>
        <v>1</v>
      </c>
      <c r="E2167" s="332"/>
      <c r="H2167" s="11" t="b">
        <f t="shared" si="212"/>
        <v>0</v>
      </c>
      <c r="I2167" s="11" t="s">
        <v>2344</v>
      </c>
      <c r="K2167" s="11" t="b">
        <v>1</v>
      </c>
    </row>
    <row r="2168" spans="1:11">
      <c r="A2168" s="11" t="s">
        <v>2338</v>
      </c>
      <c r="B2168" s="386" t="str">
        <f>报表附注!E2581</f>
        <v>地区7--</v>
      </c>
      <c r="C2168" s="357"/>
      <c r="D2168" s="11" t="b">
        <f t="shared" si="210"/>
        <v>1</v>
      </c>
      <c r="E2168" s="332"/>
      <c r="H2168" s="11" t="b">
        <f t="shared" si="212"/>
        <v>0</v>
      </c>
      <c r="I2168" s="11" t="s">
        <v>2021</v>
      </c>
      <c r="K2168" s="11" t="b">
        <v>1</v>
      </c>
    </row>
    <row r="2169" spans="1:11">
      <c r="A2169" s="11" t="s">
        <v>2339</v>
      </c>
      <c r="B2169" s="386" t="str">
        <f>报表附注!E2582</f>
        <v>地区8--</v>
      </c>
      <c r="C2169" s="357"/>
      <c r="D2169" s="11" t="b">
        <f t="shared" si="210"/>
        <v>1</v>
      </c>
      <c r="E2169" s="332"/>
      <c r="H2169" s="11" t="b">
        <f t="shared" si="212"/>
        <v>0</v>
      </c>
      <c r="K2169" s="11" t="b">
        <v>1</v>
      </c>
    </row>
    <row r="2170" spans="1:11">
      <c r="A2170" s="11" t="s">
        <v>2340</v>
      </c>
      <c r="B2170" s="386" t="str">
        <f>报表附注!E2583</f>
        <v>地区9--</v>
      </c>
      <c r="C2170" s="357"/>
      <c r="D2170" s="11" t="b">
        <f t="shared" si="210"/>
        <v>1</v>
      </c>
      <c r="E2170" s="332"/>
      <c r="H2170" s="11" t="b">
        <f t="shared" si="212"/>
        <v>0</v>
      </c>
      <c r="I2170" s="11" t="s">
        <v>2345</v>
      </c>
      <c r="K2170" s="11" t="b">
        <v>1</v>
      </c>
    </row>
    <row r="2171" spans="1:11">
      <c r="A2171" s="11" t="s">
        <v>2341</v>
      </c>
      <c r="B2171" s="386" t="str">
        <f>报表附注!E2584</f>
        <v>地区10--</v>
      </c>
      <c r="C2171" s="357"/>
      <c r="D2171" s="11" t="b">
        <f t="shared" si="210"/>
        <v>1</v>
      </c>
      <c r="E2171" s="332"/>
      <c r="H2171" s="11" t="b">
        <f t="shared" si="212"/>
        <v>0</v>
      </c>
      <c r="K2171" s="11" t="b">
        <v>1</v>
      </c>
    </row>
    <row r="2172" spans="1:11">
      <c r="A2172" s="11" t="s">
        <v>2342</v>
      </c>
      <c r="B2172" s="386" t="str">
        <f>报表附注!E2585</f>
        <v>地区11--</v>
      </c>
      <c r="C2172" s="357"/>
      <c r="D2172" s="11" t="b">
        <f t="shared" si="210"/>
        <v>1</v>
      </c>
      <c r="E2172" s="332"/>
      <c r="H2172" s="11" t="b">
        <f t="shared" si="212"/>
        <v>0</v>
      </c>
      <c r="I2172" s="11" t="s">
        <v>2346</v>
      </c>
      <c r="K2172" s="11" t="b">
        <v>1</v>
      </c>
    </row>
    <row r="2173" spans="1:11">
      <c r="A2173" s="11" t="s">
        <v>2343</v>
      </c>
      <c r="B2173" s="386" t="str">
        <f>报表附注!E2586</f>
        <v>地区12--</v>
      </c>
      <c r="C2173" s="357"/>
      <c r="D2173" s="11" t="b">
        <f t="shared" si="210"/>
        <v>1</v>
      </c>
      <c r="E2173" s="332"/>
      <c r="H2173" s="11" t="b">
        <f t="shared" si="212"/>
        <v>0</v>
      </c>
      <c r="I2173" s="11" t="s">
        <v>2347</v>
      </c>
      <c r="K2173" s="11" t="b">
        <v>1</v>
      </c>
    </row>
    <row r="2174" spans="1:11">
      <c r="A2174" s="11" t="s">
        <v>2344</v>
      </c>
      <c r="B2174" s="386" t="str">
        <f>报表附注!E2587</f>
        <v>地区13--</v>
      </c>
      <c r="C2174" s="357"/>
      <c r="D2174" s="11" t="b">
        <f t="shared" ref="D2174:D2237" si="214">EXACT(A2174,B2174)</f>
        <v>1</v>
      </c>
      <c r="E2174" s="332"/>
      <c r="H2174" s="11" t="b">
        <f t="shared" si="212"/>
        <v>0</v>
      </c>
      <c r="I2174" s="11" t="s">
        <v>1088</v>
      </c>
      <c r="J2174" s="323">
        <v>348410.29</v>
      </c>
      <c r="K2174" s="11" t="b">
        <v>1</v>
      </c>
    </row>
    <row r="2175" spans="1:11">
      <c r="A2175" s="11" t="s">
        <v>2021</v>
      </c>
      <c r="B2175" s="387" t="str">
        <f>报表附注!E2588</f>
        <v>合计</v>
      </c>
      <c r="C2175" s="357"/>
      <c r="D2175" s="11" t="b">
        <f t="shared" si="214"/>
        <v>1</v>
      </c>
      <c r="E2175" s="332"/>
      <c r="H2175" s="11" t="b">
        <f t="shared" si="212"/>
        <v>0</v>
      </c>
      <c r="I2175" s="11" t="s">
        <v>1090</v>
      </c>
      <c r="K2175" s="11" t="b">
        <v>1</v>
      </c>
    </row>
    <row r="2176" spans="1:11">
      <c r="A2176" s="11" t="s">
        <v>2314</v>
      </c>
      <c r="B2176" s="333" t="s">
        <v>2314</v>
      </c>
      <c r="C2176" s="328"/>
      <c r="D2176" s="11" t="b">
        <f t="shared" si="214"/>
        <v>1</v>
      </c>
      <c r="E2176" s="326"/>
      <c r="H2176" s="11" t="b">
        <f t="shared" si="212"/>
        <v>0</v>
      </c>
      <c r="I2176" s="11" t="s">
        <v>1104</v>
      </c>
      <c r="K2176" s="11" t="b">
        <v>1</v>
      </c>
    </row>
    <row r="2177" spans="1:11">
      <c r="A2177" s="11" t="s">
        <v>2332</v>
      </c>
      <c r="B2177" s="386" t="str">
        <f>报表附注!E2575</f>
        <v>地区1--国内销售</v>
      </c>
      <c r="C2177" s="357"/>
      <c r="D2177" s="11" t="b">
        <f t="shared" si="214"/>
        <v>0</v>
      </c>
      <c r="E2177" s="357">
        <f>C2162</f>
        <v>51048705.7</v>
      </c>
      <c r="H2177" s="11" t="b">
        <f t="shared" si="212"/>
        <v>0</v>
      </c>
      <c r="I2177" s="11" t="s">
        <v>2348</v>
      </c>
      <c r="J2177" s="323">
        <v>58326.05</v>
      </c>
      <c r="K2177" s="11" t="b">
        <v>1</v>
      </c>
    </row>
    <row r="2178" spans="1:11">
      <c r="A2178" s="11" t="s">
        <v>2333</v>
      </c>
      <c r="B2178" s="386" t="str">
        <f>报表附注!E2576</f>
        <v>地区2--国外销售</v>
      </c>
      <c r="C2178" s="357"/>
      <c r="D2178" s="11" t="b">
        <f t="shared" si="214"/>
        <v>0</v>
      </c>
      <c r="E2178" s="357">
        <f t="shared" ref="E2178:E2190" si="215">C2163</f>
        <v>0</v>
      </c>
      <c r="H2178" s="11" t="b">
        <f t="shared" si="212"/>
        <v>0</v>
      </c>
      <c r="I2178" s="11" t="s">
        <v>2349</v>
      </c>
      <c r="J2178" s="323">
        <v>25209.05</v>
      </c>
      <c r="K2178" s="11" t="b">
        <v>1</v>
      </c>
    </row>
    <row r="2179" spans="1:11">
      <c r="A2179" s="11" t="s">
        <v>2334</v>
      </c>
      <c r="B2179" s="386" t="str">
        <f>报表附注!E2577</f>
        <v>地区3--港澳台销售</v>
      </c>
      <c r="C2179" s="357"/>
      <c r="D2179" s="11" t="b">
        <f t="shared" si="214"/>
        <v>0</v>
      </c>
      <c r="E2179" s="357">
        <f t="shared" si="215"/>
        <v>0</v>
      </c>
      <c r="H2179" s="11" t="b">
        <f t="shared" si="212"/>
        <v>0</v>
      </c>
      <c r="I2179" s="11" t="s">
        <v>2350</v>
      </c>
      <c r="J2179" s="323">
        <v>16806.04</v>
      </c>
      <c r="K2179" s="11" t="b">
        <v>1</v>
      </c>
    </row>
    <row r="2180" spans="1:11">
      <c r="A2180" s="11" t="s">
        <v>2335</v>
      </c>
      <c r="B2180" s="386">
        <f>报表附注!E2578</f>
        <v>0</v>
      </c>
      <c r="C2180" s="357"/>
      <c r="D2180" s="11" t="b">
        <f t="shared" si="214"/>
        <v>0</v>
      </c>
      <c r="E2180" s="357">
        <f t="shared" si="215"/>
        <v>0</v>
      </c>
      <c r="H2180" s="11" t="b">
        <f t="shared" ref="H2180:H2243" si="216">I2180=B2180</f>
        <v>0</v>
      </c>
      <c r="I2180" s="11" t="s">
        <v>280</v>
      </c>
      <c r="K2180" s="11" t="b">
        <v>1</v>
      </c>
    </row>
    <row r="2181" spans="1:11">
      <c r="A2181" s="11" t="s">
        <v>2336</v>
      </c>
      <c r="B2181" s="386">
        <f>报表附注!E2579</f>
        <v>0</v>
      </c>
      <c r="C2181" s="357"/>
      <c r="D2181" s="11" t="b">
        <f t="shared" si="214"/>
        <v>0</v>
      </c>
      <c r="E2181" s="357">
        <f t="shared" si="215"/>
        <v>0</v>
      </c>
      <c r="H2181" s="11" t="b">
        <f t="shared" si="216"/>
        <v>0</v>
      </c>
      <c r="I2181" s="11" t="s">
        <v>2021</v>
      </c>
      <c r="K2181" s="11" t="b">
        <v>1</v>
      </c>
    </row>
    <row r="2182" spans="1:11">
      <c r="A2182" s="11" t="s">
        <v>2337</v>
      </c>
      <c r="B2182" s="386" t="str">
        <f>报表附注!E2580</f>
        <v>地区6--</v>
      </c>
      <c r="C2182" s="357"/>
      <c r="D2182" s="11" t="b">
        <f t="shared" si="214"/>
        <v>1</v>
      </c>
      <c r="E2182" s="357">
        <f t="shared" si="215"/>
        <v>0</v>
      </c>
      <c r="H2182" s="11" t="b">
        <f t="shared" si="216"/>
        <v>0</v>
      </c>
      <c r="I2182" s="11" t="s">
        <v>2351</v>
      </c>
      <c r="K2182" s="11" t="b">
        <v>1</v>
      </c>
    </row>
    <row r="2183" spans="1:11">
      <c r="A2183" s="11" t="s">
        <v>2338</v>
      </c>
      <c r="B2183" s="386" t="str">
        <f>报表附注!E2581</f>
        <v>地区7--</v>
      </c>
      <c r="C2183" s="357"/>
      <c r="D2183" s="11" t="b">
        <f t="shared" si="214"/>
        <v>1</v>
      </c>
      <c r="E2183" s="357">
        <f t="shared" si="215"/>
        <v>0</v>
      </c>
      <c r="H2183" s="11" t="b">
        <f t="shared" si="216"/>
        <v>0</v>
      </c>
      <c r="I2183" s="11" t="s">
        <v>1088</v>
      </c>
      <c r="K2183" s="11" t="b">
        <v>1</v>
      </c>
    </row>
    <row r="2184" spans="1:11">
      <c r="A2184" s="11" t="s">
        <v>2339</v>
      </c>
      <c r="B2184" s="386" t="str">
        <f>报表附注!E2582</f>
        <v>地区8--</v>
      </c>
      <c r="C2184" s="357"/>
      <c r="D2184" s="11" t="b">
        <f t="shared" si="214"/>
        <v>1</v>
      </c>
      <c r="E2184" s="357">
        <f t="shared" si="215"/>
        <v>0</v>
      </c>
      <c r="H2184" s="11" t="b">
        <f t="shared" si="216"/>
        <v>0</v>
      </c>
      <c r="I2184" s="11" t="s">
        <v>1090</v>
      </c>
      <c r="K2184" s="11" t="b">
        <v>1</v>
      </c>
    </row>
    <row r="2185" spans="1:11">
      <c r="A2185" s="11" t="s">
        <v>2340</v>
      </c>
      <c r="B2185" s="386" t="str">
        <f>报表附注!E2583</f>
        <v>地区9--</v>
      </c>
      <c r="C2185" s="357"/>
      <c r="D2185" s="11" t="b">
        <f t="shared" si="214"/>
        <v>1</v>
      </c>
      <c r="E2185" s="357">
        <f t="shared" si="215"/>
        <v>0</v>
      </c>
      <c r="H2185" s="11" t="b">
        <f t="shared" si="216"/>
        <v>0</v>
      </c>
      <c r="I2185" s="11" t="s">
        <v>1104</v>
      </c>
      <c r="K2185" s="11" t="b">
        <v>1</v>
      </c>
    </row>
    <row r="2186" spans="1:11">
      <c r="A2186" s="11" t="s">
        <v>2341</v>
      </c>
      <c r="B2186" s="386" t="str">
        <f>报表附注!E2584</f>
        <v>地区10--</v>
      </c>
      <c r="C2186" s="357"/>
      <c r="D2186" s="11" t="b">
        <f t="shared" si="214"/>
        <v>1</v>
      </c>
      <c r="E2186" s="357">
        <f t="shared" si="215"/>
        <v>0</v>
      </c>
      <c r="H2186" s="11" t="b">
        <f t="shared" si="216"/>
        <v>0</v>
      </c>
      <c r="I2186" s="11" t="s">
        <v>2348</v>
      </c>
      <c r="K2186" s="11" t="b">
        <v>1</v>
      </c>
    </row>
    <row r="2187" spans="1:11">
      <c r="A2187" s="11" t="s">
        <v>2342</v>
      </c>
      <c r="B2187" s="386" t="str">
        <f>报表附注!E2585</f>
        <v>地区11--</v>
      </c>
      <c r="C2187" s="357"/>
      <c r="D2187" s="11" t="b">
        <f t="shared" si="214"/>
        <v>1</v>
      </c>
      <c r="E2187" s="357">
        <f t="shared" si="215"/>
        <v>0</v>
      </c>
      <c r="H2187" s="11" t="b">
        <f t="shared" si="216"/>
        <v>0</v>
      </c>
      <c r="I2187" s="11" t="s">
        <v>2349</v>
      </c>
      <c r="K2187" s="11" t="b">
        <v>1</v>
      </c>
    </row>
    <row r="2188" spans="1:11">
      <c r="A2188" s="11" t="s">
        <v>2343</v>
      </c>
      <c r="B2188" s="386" t="str">
        <f>报表附注!E2586</f>
        <v>地区12--</v>
      </c>
      <c r="C2188" s="357"/>
      <c r="D2188" s="11" t="b">
        <f t="shared" si="214"/>
        <v>1</v>
      </c>
      <c r="E2188" s="357">
        <f t="shared" si="215"/>
        <v>0</v>
      </c>
      <c r="H2188" s="11" t="b">
        <f t="shared" si="216"/>
        <v>0</v>
      </c>
      <c r="I2188" s="11" t="s">
        <v>2350</v>
      </c>
      <c r="K2188" s="11" t="b">
        <v>1</v>
      </c>
    </row>
    <row r="2189" spans="1:11">
      <c r="A2189" s="11" t="s">
        <v>2344</v>
      </c>
      <c r="B2189" s="386" t="str">
        <f>报表附注!E2587</f>
        <v>地区13--</v>
      </c>
      <c r="C2189" s="357"/>
      <c r="D2189" s="11" t="b">
        <f t="shared" si="214"/>
        <v>1</v>
      </c>
      <c r="E2189" s="357">
        <f t="shared" si="215"/>
        <v>0</v>
      </c>
      <c r="H2189" s="11" t="b">
        <f t="shared" si="216"/>
        <v>0</v>
      </c>
      <c r="I2189" s="11" t="s">
        <v>280</v>
      </c>
      <c r="K2189" s="11" t="b">
        <v>1</v>
      </c>
    </row>
    <row r="2190" spans="1:11">
      <c r="A2190" s="11" t="s">
        <v>2021</v>
      </c>
      <c r="B2190" s="387" t="str">
        <f>报表附注!E2588</f>
        <v>合计</v>
      </c>
      <c r="C2190" s="357"/>
      <c r="D2190" s="11" t="b">
        <f t="shared" si="214"/>
        <v>1</v>
      </c>
      <c r="E2190" s="357">
        <f t="shared" si="215"/>
        <v>0</v>
      </c>
      <c r="H2190" s="11" t="b">
        <f t="shared" si="216"/>
        <v>1</v>
      </c>
      <c r="I2190" s="11" t="s">
        <v>2021</v>
      </c>
      <c r="K2190" s="11" t="b">
        <v>1</v>
      </c>
    </row>
    <row r="2191" spans="1:11">
      <c r="A2191" s="11" t="s">
        <v>2315</v>
      </c>
      <c r="B2191" s="333" t="s">
        <v>2315</v>
      </c>
      <c r="C2191" s="328"/>
      <c r="D2191" s="11" t="b">
        <f t="shared" si="214"/>
        <v>1</v>
      </c>
      <c r="E2191" s="326"/>
      <c r="H2191" s="11" t="b">
        <f t="shared" si="216"/>
        <v>0</v>
      </c>
      <c r="K2191" s="11" t="b">
        <v>1</v>
      </c>
    </row>
    <row r="2192" spans="1:11">
      <c r="A2192" s="11" t="s">
        <v>2332</v>
      </c>
      <c r="B2192" s="317" t="str">
        <f>报表附注!E2575</f>
        <v>地区1--国内销售</v>
      </c>
      <c r="C2192" s="357"/>
      <c r="D2192" s="11" t="b">
        <f t="shared" si="214"/>
        <v>0</v>
      </c>
      <c r="E2192" s="332"/>
      <c r="H2192" s="11" t="b">
        <f t="shared" si="216"/>
        <v>0</v>
      </c>
      <c r="I2192" s="11" t="s">
        <v>2352</v>
      </c>
      <c r="K2192" s="11" t="b">
        <v>1</v>
      </c>
    </row>
    <row r="2193" spans="1:11">
      <c r="A2193" s="11" t="s">
        <v>2333</v>
      </c>
      <c r="B2193" s="317" t="str">
        <f>报表附注!E2576</f>
        <v>地区2--国外销售</v>
      </c>
      <c r="C2193" s="357"/>
      <c r="D2193" s="11" t="b">
        <f t="shared" si="214"/>
        <v>0</v>
      </c>
      <c r="E2193" s="332"/>
      <c r="H2193" s="11" t="b">
        <f t="shared" si="216"/>
        <v>0</v>
      </c>
      <c r="K2193" s="11" t="b">
        <v>1</v>
      </c>
    </row>
    <row r="2194" spans="1:11">
      <c r="A2194" s="11" t="s">
        <v>2334</v>
      </c>
      <c r="B2194" s="317" t="str">
        <f>报表附注!E2577</f>
        <v>地区3--港澳台销售</v>
      </c>
      <c r="C2194" s="357"/>
      <c r="D2194" s="11" t="b">
        <f t="shared" si="214"/>
        <v>0</v>
      </c>
      <c r="E2194" s="332"/>
      <c r="H2194" s="11" t="b">
        <f t="shared" si="216"/>
        <v>0</v>
      </c>
      <c r="I2194" s="11" t="s">
        <v>2353</v>
      </c>
      <c r="K2194" s="11" t="b">
        <v>1</v>
      </c>
    </row>
    <row r="2195" spans="1:11">
      <c r="A2195" s="11" t="s">
        <v>2335</v>
      </c>
      <c r="B2195" s="317">
        <f>报表附注!E2578</f>
        <v>0</v>
      </c>
      <c r="C2195" s="357"/>
      <c r="D2195" s="11" t="b">
        <f t="shared" si="214"/>
        <v>0</v>
      </c>
      <c r="E2195" s="332"/>
      <c r="H2195" s="11" t="b">
        <f t="shared" si="216"/>
        <v>0</v>
      </c>
      <c r="I2195" s="11" t="s">
        <v>2347</v>
      </c>
      <c r="K2195" s="11" t="b">
        <v>1</v>
      </c>
    </row>
    <row r="2196" spans="1:11">
      <c r="A2196" s="11" t="s">
        <v>2336</v>
      </c>
      <c r="B2196" s="317">
        <f>报表附注!E2579</f>
        <v>0</v>
      </c>
      <c r="C2196" s="357"/>
      <c r="D2196" s="11" t="b">
        <f t="shared" si="214"/>
        <v>0</v>
      </c>
      <c r="E2196" s="332"/>
      <c r="H2196" s="11" t="b">
        <f t="shared" si="216"/>
        <v>0</v>
      </c>
      <c r="I2196" s="11" t="s">
        <v>2354</v>
      </c>
      <c r="K2196" s="11" t="b">
        <v>1</v>
      </c>
    </row>
    <row r="2197" spans="1:11">
      <c r="A2197" s="11" t="s">
        <v>2337</v>
      </c>
      <c r="B2197" s="317" t="str">
        <f>报表附注!E2580</f>
        <v>地区6--</v>
      </c>
      <c r="C2197" s="357"/>
      <c r="D2197" s="11" t="b">
        <f t="shared" si="214"/>
        <v>1</v>
      </c>
      <c r="E2197" s="332"/>
      <c r="H2197" s="11" t="b">
        <f t="shared" si="216"/>
        <v>0</v>
      </c>
      <c r="I2197" s="11" t="s">
        <v>2355</v>
      </c>
      <c r="K2197" s="11" t="b">
        <v>1</v>
      </c>
    </row>
    <row r="2198" spans="1:11">
      <c r="A2198" s="11" t="s">
        <v>2338</v>
      </c>
      <c r="B2198" s="317" t="str">
        <f>报表附注!E2581</f>
        <v>地区7--</v>
      </c>
      <c r="C2198" s="357"/>
      <c r="D2198" s="11" t="b">
        <f t="shared" si="214"/>
        <v>1</v>
      </c>
      <c r="E2198" s="332"/>
      <c r="H2198" s="11" t="b">
        <f t="shared" si="216"/>
        <v>0</v>
      </c>
      <c r="I2198" s="11" t="s">
        <v>2356</v>
      </c>
      <c r="K2198" s="11" t="b">
        <v>1</v>
      </c>
    </row>
    <row r="2199" spans="1:11">
      <c r="A2199" s="11" t="s">
        <v>2339</v>
      </c>
      <c r="B2199" s="317" t="str">
        <f>报表附注!E2582</f>
        <v>地区8--</v>
      </c>
      <c r="C2199" s="357"/>
      <c r="D2199" s="11" t="b">
        <f t="shared" si="214"/>
        <v>1</v>
      </c>
      <c r="E2199" s="332"/>
      <c r="H2199" s="11" t="b">
        <f t="shared" si="216"/>
        <v>0</v>
      </c>
      <c r="I2199" s="11" t="s">
        <v>2357</v>
      </c>
      <c r="K2199" s="11" t="b">
        <v>1</v>
      </c>
    </row>
    <row r="2200" spans="1:11">
      <c r="A2200" s="11" t="s">
        <v>2340</v>
      </c>
      <c r="B2200" s="317" t="str">
        <f>报表附注!E2583</f>
        <v>地区9--</v>
      </c>
      <c r="C2200" s="357"/>
      <c r="D2200" s="11" t="b">
        <f t="shared" si="214"/>
        <v>1</v>
      </c>
      <c r="E2200" s="332"/>
      <c r="H2200" s="11" t="b">
        <f t="shared" si="216"/>
        <v>0</v>
      </c>
      <c r="I2200" s="11" t="s">
        <v>2358</v>
      </c>
      <c r="K2200" s="11" t="b">
        <v>1</v>
      </c>
    </row>
    <row r="2201" spans="1:11">
      <c r="A2201" s="11" t="s">
        <v>2341</v>
      </c>
      <c r="B2201" s="317" t="str">
        <f>报表附注!E2584</f>
        <v>地区10--</v>
      </c>
      <c r="C2201" s="357"/>
      <c r="D2201" s="11" t="b">
        <f t="shared" si="214"/>
        <v>1</v>
      </c>
      <c r="E2201" s="332"/>
      <c r="H2201" s="11" t="b">
        <f t="shared" si="216"/>
        <v>0</v>
      </c>
      <c r="I2201" s="11" t="s">
        <v>2359</v>
      </c>
      <c r="K2201" s="11" t="b">
        <v>1</v>
      </c>
    </row>
    <row r="2202" spans="1:11">
      <c r="A2202" s="11" t="s">
        <v>2342</v>
      </c>
      <c r="B2202" s="317" t="str">
        <f>报表附注!E2585</f>
        <v>地区11--</v>
      </c>
      <c r="C2202" s="357"/>
      <c r="D2202" s="11" t="b">
        <f t="shared" si="214"/>
        <v>1</v>
      </c>
      <c r="E2202" s="332"/>
      <c r="H2202" s="11" t="b">
        <f t="shared" si="216"/>
        <v>0</v>
      </c>
      <c r="I2202" s="11" t="s">
        <v>2360</v>
      </c>
      <c r="K2202" s="11" t="b">
        <v>1</v>
      </c>
    </row>
    <row r="2203" spans="1:11">
      <c r="A2203" s="11" t="s">
        <v>2343</v>
      </c>
      <c r="B2203" s="317" t="str">
        <f>报表附注!E2586</f>
        <v>地区12--</v>
      </c>
      <c r="C2203" s="357"/>
      <c r="D2203" s="11" t="b">
        <f t="shared" si="214"/>
        <v>1</v>
      </c>
      <c r="E2203" s="332"/>
      <c r="H2203" s="11" t="b">
        <f t="shared" si="216"/>
        <v>0</v>
      </c>
      <c r="I2203" s="11" t="s">
        <v>2361</v>
      </c>
      <c r="K2203" s="11" t="b">
        <v>1</v>
      </c>
    </row>
    <row r="2204" spans="1:11">
      <c r="A2204" s="11" t="s">
        <v>2344</v>
      </c>
      <c r="B2204" s="317" t="str">
        <f>报表附注!E2587</f>
        <v>地区13--</v>
      </c>
      <c r="C2204" s="357"/>
      <c r="D2204" s="11" t="b">
        <f t="shared" si="214"/>
        <v>1</v>
      </c>
      <c r="E2204" s="332"/>
      <c r="H2204" s="11" t="b">
        <f t="shared" si="216"/>
        <v>0</v>
      </c>
      <c r="I2204" s="11" t="s">
        <v>2362</v>
      </c>
      <c r="K2204" s="11" t="b">
        <v>1</v>
      </c>
    </row>
    <row r="2205" spans="1:11">
      <c r="A2205" s="11" t="s">
        <v>2021</v>
      </c>
      <c r="B2205" s="319" t="str">
        <f>报表附注!E2588</f>
        <v>合计</v>
      </c>
      <c r="C2205" s="357"/>
      <c r="D2205" s="11" t="b">
        <f t="shared" si="214"/>
        <v>1</v>
      </c>
      <c r="E2205" s="332"/>
      <c r="H2205" s="11" t="b">
        <f t="shared" si="216"/>
        <v>0</v>
      </c>
      <c r="I2205" s="11" t="s">
        <v>280</v>
      </c>
      <c r="K2205" s="11" t="b">
        <v>1</v>
      </c>
    </row>
    <row r="2206" spans="1:11">
      <c r="A2206" s="11" t="s">
        <v>2316</v>
      </c>
      <c r="B2206" s="333" t="s">
        <v>2316</v>
      </c>
      <c r="C2206" s="328"/>
      <c r="D2206" s="11" t="b">
        <f t="shared" si="214"/>
        <v>1</v>
      </c>
      <c r="E2206" s="326"/>
      <c r="H2206" s="11" t="b">
        <f t="shared" si="216"/>
        <v>0</v>
      </c>
      <c r="I2206" s="11" t="s">
        <v>2363</v>
      </c>
      <c r="K2206" s="11" t="b">
        <v>1</v>
      </c>
    </row>
    <row r="2207" spans="1:11">
      <c r="A2207" s="11" t="s">
        <v>2332</v>
      </c>
      <c r="B2207" s="317" t="str">
        <f>报表附注!E2575</f>
        <v>地区1--国内销售</v>
      </c>
      <c r="C2207" s="357"/>
      <c r="D2207" s="11" t="b">
        <f t="shared" si="214"/>
        <v>0</v>
      </c>
      <c r="E2207" s="357">
        <f>C2192</f>
        <v>0</v>
      </c>
      <c r="H2207" s="11" t="b">
        <f t="shared" si="216"/>
        <v>0</v>
      </c>
      <c r="I2207" s="11" t="s">
        <v>2364</v>
      </c>
      <c r="K2207" s="11" t="b">
        <v>1</v>
      </c>
    </row>
    <row r="2208" spans="1:11">
      <c r="A2208" s="11" t="s">
        <v>2333</v>
      </c>
      <c r="B2208" s="317" t="str">
        <f>报表附注!E2576</f>
        <v>地区2--国外销售</v>
      </c>
      <c r="C2208" s="357"/>
      <c r="D2208" s="11" t="b">
        <f t="shared" si="214"/>
        <v>0</v>
      </c>
      <c r="E2208" s="357">
        <f t="shared" ref="E2208:E2220" si="217">C2193</f>
        <v>0</v>
      </c>
      <c r="H2208" s="11" t="b">
        <f t="shared" si="216"/>
        <v>0</v>
      </c>
      <c r="I2208" s="11" t="s">
        <v>2365</v>
      </c>
      <c r="K2208" s="11" t="b">
        <v>1</v>
      </c>
    </row>
    <row r="2209" spans="1:11">
      <c r="A2209" s="11" t="s">
        <v>2334</v>
      </c>
      <c r="B2209" s="317" t="str">
        <f>报表附注!E2577</f>
        <v>地区3--港澳台销售</v>
      </c>
      <c r="C2209" s="357"/>
      <c r="D2209" s="11" t="b">
        <f t="shared" si="214"/>
        <v>0</v>
      </c>
      <c r="E2209" s="357">
        <f t="shared" si="217"/>
        <v>0</v>
      </c>
      <c r="H2209" s="11" t="b">
        <f t="shared" si="216"/>
        <v>0</v>
      </c>
      <c r="I2209" s="11" t="s">
        <v>2351</v>
      </c>
      <c r="K2209" s="11" t="b">
        <v>1</v>
      </c>
    </row>
    <row r="2210" spans="1:11">
      <c r="A2210" s="11" t="s">
        <v>2335</v>
      </c>
      <c r="B2210" s="317">
        <f>报表附注!E2578</f>
        <v>0</v>
      </c>
      <c r="C2210" s="357"/>
      <c r="D2210" s="11" t="b">
        <f t="shared" si="214"/>
        <v>0</v>
      </c>
      <c r="E2210" s="357">
        <f t="shared" si="217"/>
        <v>0</v>
      </c>
      <c r="H2210" s="11" t="b">
        <f t="shared" si="216"/>
        <v>0</v>
      </c>
      <c r="I2210" s="11" t="s">
        <v>2354</v>
      </c>
      <c r="K2210" s="11" t="b">
        <v>1</v>
      </c>
    </row>
    <row r="2211" spans="1:11">
      <c r="A2211" s="11" t="s">
        <v>2336</v>
      </c>
      <c r="B2211" s="317">
        <f>报表附注!E2579</f>
        <v>0</v>
      </c>
      <c r="C2211" s="357"/>
      <c r="D2211" s="11" t="b">
        <f t="shared" si="214"/>
        <v>0</v>
      </c>
      <c r="E2211" s="357">
        <f t="shared" si="217"/>
        <v>0</v>
      </c>
      <c r="H2211" s="11" t="b">
        <f t="shared" si="216"/>
        <v>0</v>
      </c>
      <c r="I2211" s="11" t="s">
        <v>2355</v>
      </c>
      <c r="K2211" s="11" t="b">
        <v>1</v>
      </c>
    </row>
    <row r="2212" spans="1:11">
      <c r="A2212" s="11" t="s">
        <v>2337</v>
      </c>
      <c r="B2212" s="317" t="str">
        <f>报表附注!E2580</f>
        <v>地区6--</v>
      </c>
      <c r="C2212" s="357"/>
      <c r="D2212" s="11" t="b">
        <f t="shared" si="214"/>
        <v>1</v>
      </c>
      <c r="E2212" s="357">
        <f t="shared" si="217"/>
        <v>0</v>
      </c>
      <c r="H2212" s="11" t="b">
        <f t="shared" si="216"/>
        <v>0</v>
      </c>
      <c r="I2212" s="11" t="s">
        <v>2356</v>
      </c>
      <c r="K2212" s="11" t="b">
        <v>1</v>
      </c>
    </row>
    <row r="2213" spans="1:11">
      <c r="A2213" s="11" t="s">
        <v>2338</v>
      </c>
      <c r="B2213" s="317" t="str">
        <f>报表附注!E2581</f>
        <v>地区7--</v>
      </c>
      <c r="C2213" s="357"/>
      <c r="D2213" s="11" t="b">
        <f t="shared" si="214"/>
        <v>1</v>
      </c>
      <c r="E2213" s="357">
        <f t="shared" si="217"/>
        <v>0</v>
      </c>
      <c r="H2213" s="11" t="b">
        <f t="shared" si="216"/>
        <v>0</v>
      </c>
      <c r="I2213" s="11" t="s">
        <v>2357</v>
      </c>
      <c r="K2213" s="11" t="b">
        <v>1</v>
      </c>
    </row>
    <row r="2214" spans="1:11">
      <c r="A2214" s="11" t="s">
        <v>2339</v>
      </c>
      <c r="B2214" s="317" t="str">
        <f>报表附注!E2582</f>
        <v>地区8--</v>
      </c>
      <c r="C2214" s="357"/>
      <c r="D2214" s="11" t="b">
        <f t="shared" si="214"/>
        <v>1</v>
      </c>
      <c r="E2214" s="357">
        <f t="shared" si="217"/>
        <v>0</v>
      </c>
      <c r="H2214" s="11" t="b">
        <f t="shared" si="216"/>
        <v>0</v>
      </c>
      <c r="I2214" s="11" t="s">
        <v>2358</v>
      </c>
      <c r="K2214" s="11" t="b">
        <v>1</v>
      </c>
    </row>
    <row r="2215" spans="1:11">
      <c r="A2215" s="11" t="s">
        <v>2340</v>
      </c>
      <c r="B2215" s="317" t="str">
        <f>报表附注!E2583</f>
        <v>地区9--</v>
      </c>
      <c r="C2215" s="357"/>
      <c r="D2215" s="11" t="b">
        <f t="shared" si="214"/>
        <v>1</v>
      </c>
      <c r="E2215" s="357">
        <f t="shared" si="217"/>
        <v>0</v>
      </c>
      <c r="H2215" s="11" t="b">
        <f t="shared" si="216"/>
        <v>0</v>
      </c>
      <c r="I2215" s="11" t="s">
        <v>2359</v>
      </c>
      <c r="K2215" s="11" t="b">
        <v>1</v>
      </c>
    </row>
    <row r="2216" spans="1:11">
      <c r="A2216" s="11" t="s">
        <v>2341</v>
      </c>
      <c r="B2216" s="317" t="str">
        <f>报表附注!E2584</f>
        <v>地区10--</v>
      </c>
      <c r="C2216" s="357"/>
      <c r="D2216" s="11" t="b">
        <f t="shared" si="214"/>
        <v>1</v>
      </c>
      <c r="E2216" s="357">
        <f t="shared" si="217"/>
        <v>0</v>
      </c>
      <c r="H2216" s="11" t="b">
        <f t="shared" si="216"/>
        <v>0</v>
      </c>
      <c r="I2216" s="11" t="s">
        <v>2360</v>
      </c>
      <c r="K2216" s="11" t="b">
        <v>1</v>
      </c>
    </row>
    <row r="2217" spans="1:11">
      <c r="A2217" s="11" t="s">
        <v>2342</v>
      </c>
      <c r="B2217" s="317" t="str">
        <f>报表附注!E2585</f>
        <v>地区11--</v>
      </c>
      <c r="C2217" s="357"/>
      <c r="D2217" s="11" t="b">
        <f t="shared" si="214"/>
        <v>1</v>
      </c>
      <c r="E2217" s="357">
        <f t="shared" si="217"/>
        <v>0</v>
      </c>
      <c r="H2217" s="11" t="b">
        <f t="shared" si="216"/>
        <v>0</v>
      </c>
      <c r="I2217" s="11" t="s">
        <v>2361</v>
      </c>
      <c r="K2217" s="11" t="b">
        <v>1</v>
      </c>
    </row>
    <row r="2218" spans="1:11">
      <c r="A2218" s="11" t="s">
        <v>2343</v>
      </c>
      <c r="B2218" s="317" t="str">
        <f>报表附注!E2586</f>
        <v>地区12--</v>
      </c>
      <c r="C2218" s="357"/>
      <c r="D2218" s="11" t="b">
        <f t="shared" si="214"/>
        <v>1</v>
      </c>
      <c r="E2218" s="357">
        <f t="shared" si="217"/>
        <v>0</v>
      </c>
      <c r="H2218" s="11" t="b">
        <f t="shared" si="216"/>
        <v>0</v>
      </c>
      <c r="I2218" s="11" t="s">
        <v>2362</v>
      </c>
      <c r="K2218" s="11" t="b">
        <v>1</v>
      </c>
    </row>
    <row r="2219" spans="1:11">
      <c r="A2219" s="11" t="s">
        <v>2344</v>
      </c>
      <c r="B2219" s="317" t="str">
        <f>报表附注!E2587</f>
        <v>地区13--</v>
      </c>
      <c r="C2219" s="357"/>
      <c r="D2219" s="11" t="b">
        <f t="shared" si="214"/>
        <v>1</v>
      </c>
      <c r="E2219" s="357">
        <f t="shared" si="217"/>
        <v>0</v>
      </c>
      <c r="H2219" s="11" t="b">
        <f t="shared" si="216"/>
        <v>0</v>
      </c>
      <c r="I2219" s="11" t="s">
        <v>280</v>
      </c>
      <c r="K2219" s="11" t="b">
        <v>1</v>
      </c>
    </row>
    <row r="2220" spans="1:11">
      <c r="A2220" s="11" t="s">
        <v>2021</v>
      </c>
      <c r="B2220" s="319" t="str">
        <f>报表附注!E2588</f>
        <v>合计</v>
      </c>
      <c r="C2220" s="357"/>
      <c r="D2220" s="11" t="b">
        <f t="shared" si="214"/>
        <v>1</v>
      </c>
      <c r="E2220" s="357">
        <f t="shared" si="217"/>
        <v>0</v>
      </c>
      <c r="H2220" s="11" t="b">
        <f t="shared" si="216"/>
        <v>0</v>
      </c>
      <c r="I2220" s="11" t="s">
        <v>2363</v>
      </c>
      <c r="K2220" s="11" t="b">
        <v>1</v>
      </c>
    </row>
    <row r="2221" spans="2:11">
      <c r="B2221" s="333"/>
      <c r="C2221" s="328"/>
      <c r="D2221" s="11" t="b">
        <f t="shared" si="214"/>
        <v>1</v>
      </c>
      <c r="H2221" s="11" t="b">
        <f t="shared" si="216"/>
        <v>0</v>
      </c>
      <c r="I2221" s="11" t="s">
        <v>2364</v>
      </c>
      <c r="K2221" s="11" t="b">
        <v>1</v>
      </c>
    </row>
    <row r="2222" spans="1:11">
      <c r="A2222" s="11" t="s">
        <v>2345</v>
      </c>
      <c r="B2222" s="384" t="s">
        <v>2345</v>
      </c>
      <c r="C2222" s="328"/>
      <c r="D2222" s="11" t="b">
        <f t="shared" si="214"/>
        <v>1</v>
      </c>
      <c r="H2222" s="11" t="b">
        <f t="shared" si="216"/>
        <v>0</v>
      </c>
      <c r="I2222" s="11" t="s">
        <v>2365</v>
      </c>
      <c r="K2222" s="11" t="b">
        <v>1</v>
      </c>
    </row>
    <row r="2223" spans="3:11">
      <c r="C2223" s="328"/>
      <c r="D2223" s="11" t="b">
        <f t="shared" si="214"/>
        <v>1</v>
      </c>
      <c r="H2223" s="11" t="b">
        <f t="shared" si="216"/>
        <v>1</v>
      </c>
      <c r="K2223" s="11" t="b">
        <v>1</v>
      </c>
    </row>
    <row r="2224" spans="1:11">
      <c r="A2224" s="11" t="s">
        <v>2346</v>
      </c>
      <c r="B2224" s="329" t="s">
        <v>2346</v>
      </c>
      <c r="C2224" s="328"/>
      <c r="D2224" s="11" t="b">
        <f t="shared" si="214"/>
        <v>1</v>
      </c>
      <c r="E2224" s="326"/>
      <c r="H2224" s="11" t="b">
        <f t="shared" si="216"/>
        <v>0</v>
      </c>
      <c r="I2224" s="11" t="s">
        <v>2366</v>
      </c>
      <c r="K2224" s="11" t="b">
        <v>1</v>
      </c>
    </row>
    <row r="2225" spans="1:11">
      <c r="A2225" s="11" t="s">
        <v>2347</v>
      </c>
      <c r="B2225" s="333" t="s">
        <v>2347</v>
      </c>
      <c r="C2225" s="328"/>
      <c r="D2225" s="11" t="b">
        <f t="shared" si="214"/>
        <v>1</v>
      </c>
      <c r="E2225" s="326"/>
      <c r="H2225" s="11" t="b">
        <f t="shared" si="216"/>
        <v>1</v>
      </c>
      <c r="I2225" s="11" t="s">
        <v>2347</v>
      </c>
      <c r="K2225" s="11" t="b">
        <v>1</v>
      </c>
    </row>
    <row r="2226" spans="1:11">
      <c r="A2226" s="11" t="s">
        <v>1088</v>
      </c>
      <c r="B2226" s="310" t="str">
        <f>报表附注!E2623</f>
        <v>营业税</v>
      </c>
      <c r="C2226" s="318">
        <f>F2227</f>
        <v>29310.81</v>
      </c>
      <c r="D2226" s="11" t="b">
        <f t="shared" si="214"/>
        <v>1</v>
      </c>
      <c r="E2226" s="388" t="s">
        <v>1090</v>
      </c>
      <c r="F2226" s="369"/>
      <c r="H2226" s="11" t="b">
        <f t="shared" si="216"/>
        <v>0</v>
      </c>
      <c r="I2226" s="11" t="s">
        <v>2367</v>
      </c>
      <c r="K2226" s="11" t="b">
        <v>1</v>
      </c>
    </row>
    <row r="2227" spans="1:11">
      <c r="A2227" s="11" t="s">
        <v>1090</v>
      </c>
      <c r="B2227" s="310" t="str">
        <f>报表附注!E2624</f>
        <v>消费税</v>
      </c>
      <c r="C2227" s="318">
        <f>F2226</f>
        <v>0</v>
      </c>
      <c r="D2227" s="11" t="b">
        <f t="shared" si="214"/>
        <v>1</v>
      </c>
      <c r="E2227" s="388" t="s">
        <v>1088</v>
      </c>
      <c r="F2227" s="369">
        <v>29310.81</v>
      </c>
      <c r="H2227" s="11" t="b">
        <f t="shared" si="216"/>
        <v>0</v>
      </c>
      <c r="I2227" s="11" t="s">
        <v>2368</v>
      </c>
      <c r="K2227" s="11" t="b">
        <v>1</v>
      </c>
    </row>
    <row r="2228" spans="1:11">
      <c r="A2228" s="11" t="s">
        <v>1104</v>
      </c>
      <c r="B2228" s="310" t="str">
        <f>报表附注!E2625</f>
        <v>资源税</v>
      </c>
      <c r="C2228" s="318">
        <f>F2230</f>
        <v>0</v>
      </c>
      <c r="D2228" s="11" t="b">
        <f t="shared" si="214"/>
        <v>1</v>
      </c>
      <c r="E2228" s="388" t="s">
        <v>2348</v>
      </c>
      <c r="F2228" s="369">
        <v>120706.21</v>
      </c>
      <c r="H2228" s="11" t="b">
        <f t="shared" si="216"/>
        <v>0</v>
      </c>
      <c r="I2228" s="11" t="s">
        <v>2369</v>
      </c>
      <c r="K2228" s="11" t="b">
        <v>1</v>
      </c>
    </row>
    <row r="2229" spans="1:11">
      <c r="A2229" s="11" t="s">
        <v>2348</v>
      </c>
      <c r="B2229" s="310" t="str">
        <f>报表附注!E2626</f>
        <v>城市维护建设税</v>
      </c>
      <c r="C2229" s="318">
        <f>F2228</f>
        <v>120706.21</v>
      </c>
      <c r="D2229" s="11" t="b">
        <f t="shared" si="214"/>
        <v>1</v>
      </c>
      <c r="E2229" s="388" t="s">
        <v>2349</v>
      </c>
      <c r="F2229" s="369">
        <v>51724.01</v>
      </c>
      <c r="H2229" s="11" t="b">
        <f t="shared" si="216"/>
        <v>0</v>
      </c>
      <c r="I2229" s="11" t="s">
        <v>2370</v>
      </c>
      <c r="K2229" s="11" t="b">
        <v>1</v>
      </c>
    </row>
    <row r="2230" spans="1:11">
      <c r="A2230" s="11" t="s">
        <v>2349</v>
      </c>
      <c r="B2230" s="310" t="str">
        <f>报表附注!E2627</f>
        <v>教育费附加</v>
      </c>
      <c r="C2230" s="318">
        <f>F2229</f>
        <v>51724.01</v>
      </c>
      <c r="D2230" s="11" t="b">
        <f t="shared" si="214"/>
        <v>1</v>
      </c>
      <c r="E2230" s="388" t="s">
        <v>1104</v>
      </c>
      <c r="F2230" s="369"/>
      <c r="H2230" s="11" t="b">
        <f t="shared" si="216"/>
        <v>0</v>
      </c>
      <c r="I2230" s="11" t="s">
        <v>2371</v>
      </c>
      <c r="K2230" s="11" t="b">
        <v>1</v>
      </c>
    </row>
    <row r="2231" spans="1:11">
      <c r="A2231" s="11" t="s">
        <v>2350</v>
      </c>
      <c r="B2231" s="310" t="str">
        <f>报表附注!E2628</f>
        <v>地方费附加</v>
      </c>
      <c r="C2231" s="318">
        <f>F2231</f>
        <v>34482.68</v>
      </c>
      <c r="D2231" s="11" t="b">
        <f t="shared" si="214"/>
        <v>1</v>
      </c>
      <c r="E2231" s="388" t="s">
        <v>5729</v>
      </c>
      <c r="F2231" s="369">
        <v>34482.68</v>
      </c>
      <c r="H2231" s="11" t="b">
        <f t="shared" si="216"/>
        <v>0</v>
      </c>
      <c r="I2231" s="11" t="s">
        <v>2372</v>
      </c>
      <c r="K2231" s="11" t="b">
        <v>1</v>
      </c>
    </row>
    <row r="2232" spans="1:11">
      <c r="A2232" s="11" t="s">
        <v>280</v>
      </c>
      <c r="B2232" s="310" t="str">
        <f>报表附注!E2629</f>
        <v>其他</v>
      </c>
      <c r="C2232" s="318">
        <f>F2232+F2233</f>
        <v>6370.03</v>
      </c>
      <c r="D2232" s="11" t="b">
        <f t="shared" si="214"/>
        <v>1</v>
      </c>
      <c r="E2232" s="388" t="s">
        <v>5730</v>
      </c>
      <c r="F2232" s="389"/>
      <c r="H2232" s="11" t="b">
        <f t="shared" si="216"/>
        <v>0</v>
      </c>
      <c r="I2232" s="11" t="s">
        <v>2373</v>
      </c>
      <c r="K2232" s="11" t="b">
        <v>1</v>
      </c>
    </row>
    <row r="2233" spans="1:11">
      <c r="A2233" s="11" t="s">
        <v>2021</v>
      </c>
      <c r="B2233" s="320" t="str">
        <f>报表附注!E2630</f>
        <v>合计</v>
      </c>
      <c r="C2233" s="318"/>
      <c r="D2233" s="11" t="b">
        <f t="shared" si="214"/>
        <v>1</v>
      </c>
      <c r="E2233" s="388" t="s">
        <v>280</v>
      </c>
      <c r="F2233" s="389">
        <v>6370.03</v>
      </c>
      <c r="H2233" s="11" t="b">
        <f t="shared" si="216"/>
        <v>0</v>
      </c>
      <c r="I2233" s="11" t="s">
        <v>2374</v>
      </c>
      <c r="K2233" s="11" t="b">
        <v>1</v>
      </c>
    </row>
    <row r="2234" spans="1:11">
      <c r="A2234" s="11" t="s">
        <v>2351</v>
      </c>
      <c r="B2234" s="333" t="s">
        <v>2351</v>
      </c>
      <c r="C2234" s="328"/>
      <c r="D2234" s="11" t="b">
        <f t="shared" si="214"/>
        <v>1</v>
      </c>
      <c r="E2234" s="326"/>
      <c r="H2234" s="11" t="b">
        <f t="shared" si="216"/>
        <v>0</v>
      </c>
      <c r="I2234" s="11" t="s">
        <v>2375</v>
      </c>
      <c r="K2234" s="11" t="b">
        <v>1</v>
      </c>
    </row>
    <row r="2235" spans="1:11">
      <c r="A2235" s="11" t="s">
        <v>1088</v>
      </c>
      <c r="B2235" s="310" t="str">
        <f>报表附注!E2623</f>
        <v>营业税</v>
      </c>
      <c r="C2235" s="321"/>
      <c r="D2235" s="11" t="b">
        <f t="shared" si="214"/>
        <v>1</v>
      </c>
      <c r="E2235" s="321">
        <f>C2226</f>
        <v>29310.81</v>
      </c>
      <c r="H2235" s="11" t="b">
        <f t="shared" si="216"/>
        <v>0</v>
      </c>
      <c r="I2235" s="11" t="s">
        <v>2376</v>
      </c>
      <c r="K2235" s="11" t="b">
        <v>1</v>
      </c>
    </row>
    <row r="2236" spans="1:11">
      <c r="A2236" s="11" t="s">
        <v>1090</v>
      </c>
      <c r="B2236" s="310" t="str">
        <f>报表附注!E2624</f>
        <v>消费税</v>
      </c>
      <c r="C2236" s="321"/>
      <c r="D2236" s="11" t="b">
        <f t="shared" si="214"/>
        <v>1</v>
      </c>
      <c r="E2236" s="321">
        <f t="shared" ref="E2236:E2242" si="218">C2227</f>
        <v>0</v>
      </c>
      <c r="H2236" s="11" t="b">
        <f t="shared" si="216"/>
        <v>0</v>
      </c>
      <c r="I2236" s="11" t="s">
        <v>2377</v>
      </c>
      <c r="K2236" s="11" t="b">
        <v>1</v>
      </c>
    </row>
    <row r="2237" spans="1:11">
      <c r="A2237" s="11" t="s">
        <v>1104</v>
      </c>
      <c r="B2237" s="310" t="str">
        <f>报表附注!E2625</f>
        <v>资源税</v>
      </c>
      <c r="C2237" s="321"/>
      <c r="D2237" s="11" t="b">
        <f t="shared" si="214"/>
        <v>1</v>
      </c>
      <c r="E2237" s="321">
        <f t="shared" si="218"/>
        <v>0</v>
      </c>
      <c r="H2237" s="11" t="b">
        <f t="shared" si="216"/>
        <v>0</v>
      </c>
      <c r="I2237" s="11" t="s">
        <v>2378</v>
      </c>
      <c r="K2237" s="11" t="b">
        <v>1</v>
      </c>
    </row>
    <row r="2238" spans="1:11">
      <c r="A2238" s="11" t="s">
        <v>2348</v>
      </c>
      <c r="B2238" s="310" t="str">
        <f>报表附注!E2626</f>
        <v>城市维护建设税</v>
      </c>
      <c r="C2238" s="321"/>
      <c r="D2238" s="11" t="b">
        <f t="shared" ref="D2238:D2301" si="219">EXACT(A2238,B2238)</f>
        <v>1</v>
      </c>
      <c r="E2238" s="321">
        <f t="shared" si="218"/>
        <v>120706.21</v>
      </c>
      <c r="H2238" s="11" t="b">
        <f t="shared" si="216"/>
        <v>0</v>
      </c>
      <c r="I2238" s="11" t="s">
        <v>2379</v>
      </c>
      <c r="K2238" s="11" t="b">
        <v>1</v>
      </c>
    </row>
    <row r="2239" spans="1:11">
      <c r="A2239" s="11" t="s">
        <v>2349</v>
      </c>
      <c r="B2239" s="310" t="str">
        <f>报表附注!E2627</f>
        <v>教育费附加</v>
      </c>
      <c r="C2239" s="321"/>
      <c r="D2239" s="11" t="b">
        <f t="shared" si="219"/>
        <v>1</v>
      </c>
      <c r="E2239" s="321">
        <f t="shared" si="218"/>
        <v>51724.01</v>
      </c>
      <c r="H2239" s="11" t="b">
        <f t="shared" si="216"/>
        <v>0</v>
      </c>
      <c r="I2239" s="11" t="s">
        <v>2380</v>
      </c>
      <c r="K2239" s="11" t="b">
        <v>1</v>
      </c>
    </row>
    <row r="2240" spans="1:11">
      <c r="A2240" s="11" t="s">
        <v>2350</v>
      </c>
      <c r="B2240" s="310" t="str">
        <f>报表附注!E2628</f>
        <v>地方费附加</v>
      </c>
      <c r="C2240" s="321"/>
      <c r="D2240" s="11" t="b">
        <f t="shared" si="219"/>
        <v>1</v>
      </c>
      <c r="E2240" s="321">
        <f t="shared" si="218"/>
        <v>34482.68</v>
      </c>
      <c r="H2240" s="11" t="b">
        <f t="shared" si="216"/>
        <v>0</v>
      </c>
      <c r="I2240" s="11" t="s">
        <v>347</v>
      </c>
      <c r="K2240" s="11" t="b">
        <v>1</v>
      </c>
    </row>
    <row r="2241" spans="1:11">
      <c r="A2241" s="11" t="s">
        <v>280</v>
      </c>
      <c r="B2241" s="310" t="str">
        <f>报表附注!E2629</f>
        <v>其他</v>
      </c>
      <c r="C2241" s="321"/>
      <c r="D2241" s="11" t="b">
        <f t="shared" si="219"/>
        <v>1</v>
      </c>
      <c r="E2241" s="321">
        <f t="shared" si="218"/>
        <v>6370.03</v>
      </c>
      <c r="H2241" s="11" t="b">
        <f t="shared" si="216"/>
        <v>0</v>
      </c>
      <c r="I2241" s="11" t="s">
        <v>2351</v>
      </c>
      <c r="K2241" s="11" t="b">
        <v>1</v>
      </c>
    </row>
    <row r="2242" spans="1:11">
      <c r="A2242" s="11" t="s">
        <v>2021</v>
      </c>
      <c r="B2242" s="320" t="str">
        <f>报表附注!E2630</f>
        <v>合计</v>
      </c>
      <c r="C2242" s="321"/>
      <c r="D2242" s="11" t="b">
        <f t="shared" si="219"/>
        <v>1</v>
      </c>
      <c r="E2242" s="321">
        <f t="shared" si="218"/>
        <v>0</v>
      </c>
      <c r="H2242" s="11" t="b">
        <f t="shared" si="216"/>
        <v>0</v>
      </c>
      <c r="I2242" s="11" t="s">
        <v>2367</v>
      </c>
      <c r="K2242" s="11" t="b">
        <v>1</v>
      </c>
    </row>
    <row r="2243" spans="3:11">
      <c r="C2243" s="328"/>
      <c r="D2243" s="11" t="b">
        <f t="shared" si="219"/>
        <v>1</v>
      </c>
      <c r="H2243" s="11" t="b">
        <f t="shared" si="216"/>
        <v>0</v>
      </c>
      <c r="I2243" s="11" t="s">
        <v>2368</v>
      </c>
      <c r="K2243" s="11" t="b">
        <v>1</v>
      </c>
    </row>
    <row r="2244" spans="1:11">
      <c r="A2244" s="11" t="s">
        <v>2352</v>
      </c>
      <c r="B2244" s="331" t="s">
        <v>2352</v>
      </c>
      <c r="C2244" s="328"/>
      <c r="D2244" s="11" t="b">
        <f t="shared" si="219"/>
        <v>1</v>
      </c>
      <c r="H2244" s="11" t="b">
        <f t="shared" ref="H2244:H2307" si="220">I2244=B2244</f>
        <v>0</v>
      </c>
      <c r="I2244" s="11" t="s">
        <v>2369</v>
      </c>
      <c r="K2244" s="11" t="b">
        <v>1</v>
      </c>
    </row>
    <row r="2245" spans="3:11">
      <c r="C2245" s="328"/>
      <c r="D2245" s="11" t="b">
        <f t="shared" si="219"/>
        <v>1</v>
      </c>
      <c r="H2245" s="11" t="b">
        <f t="shared" si="220"/>
        <v>0</v>
      </c>
      <c r="I2245" s="11" t="s">
        <v>2370</v>
      </c>
      <c r="K2245" s="11" t="b">
        <v>1</v>
      </c>
    </row>
    <row r="2246" spans="1:11">
      <c r="A2246" s="11" t="s">
        <v>2353</v>
      </c>
      <c r="B2246" s="329" t="s">
        <v>2353</v>
      </c>
      <c r="C2246" s="328"/>
      <c r="D2246" s="11" t="b">
        <f t="shared" si="219"/>
        <v>1</v>
      </c>
      <c r="H2246" s="11" t="b">
        <f t="shared" si="220"/>
        <v>0</v>
      </c>
      <c r="I2246" s="11" t="s">
        <v>2371</v>
      </c>
      <c r="K2246" s="11" t="b">
        <v>1</v>
      </c>
    </row>
    <row r="2247" spans="1:11">
      <c r="A2247" s="11" t="s">
        <v>2347</v>
      </c>
      <c r="B2247" s="333" t="s">
        <v>2347</v>
      </c>
      <c r="C2247" s="328"/>
      <c r="D2247" s="11" t="b">
        <f t="shared" si="219"/>
        <v>1</v>
      </c>
      <c r="E2247" s="326"/>
      <c r="H2247" s="11" t="b">
        <f t="shared" si="220"/>
        <v>0</v>
      </c>
      <c r="I2247" s="11" t="s">
        <v>2372</v>
      </c>
      <c r="K2247" s="11" t="b">
        <v>1</v>
      </c>
    </row>
    <row r="2248" spans="1:11">
      <c r="A2248" s="11" t="s">
        <v>2354</v>
      </c>
      <c r="B2248" s="334" t="str">
        <f>报表附注!E2661</f>
        <v>成本法核算的长期股权投资收益</v>
      </c>
      <c r="C2248" s="318"/>
      <c r="D2248" s="11" t="b">
        <f t="shared" si="219"/>
        <v>1</v>
      </c>
      <c r="E2248" s="311"/>
      <c r="H2248" s="11" t="b">
        <f t="shared" si="220"/>
        <v>0</v>
      </c>
      <c r="I2248" s="11" t="s">
        <v>2373</v>
      </c>
      <c r="K2248" s="11" t="b">
        <v>1</v>
      </c>
    </row>
    <row r="2249" spans="1:11">
      <c r="A2249" s="11" t="s">
        <v>2355</v>
      </c>
      <c r="B2249" s="334" t="str">
        <f>报表附注!E2662</f>
        <v>权益法核算的长期股权投资收益</v>
      </c>
      <c r="C2249" s="318"/>
      <c r="D2249" s="11" t="b">
        <f t="shared" si="219"/>
        <v>1</v>
      </c>
      <c r="E2249" s="311"/>
      <c r="H2249" s="11" t="b">
        <f t="shared" si="220"/>
        <v>0</v>
      </c>
      <c r="I2249" s="11" t="s">
        <v>2374</v>
      </c>
      <c r="K2249" s="11" t="b">
        <v>1</v>
      </c>
    </row>
    <row r="2250" spans="1:11">
      <c r="A2250" s="11" t="s">
        <v>2356</v>
      </c>
      <c r="B2250" s="334" t="str">
        <f>报表附注!E2663</f>
        <v>处置长期股权投资产生的投资收益</v>
      </c>
      <c r="C2250" s="318"/>
      <c r="D2250" s="11" t="b">
        <f t="shared" si="219"/>
        <v>1</v>
      </c>
      <c r="E2250" s="311"/>
      <c r="H2250" s="11" t="b">
        <f t="shared" si="220"/>
        <v>0</v>
      </c>
      <c r="I2250" s="11" t="s">
        <v>2375</v>
      </c>
      <c r="K2250" s="11" t="b">
        <v>1</v>
      </c>
    </row>
    <row r="2251" spans="1:11">
      <c r="A2251" s="11" t="s">
        <v>2357</v>
      </c>
      <c r="B2251" s="334" t="str">
        <f>报表附注!E2664</f>
        <v>持有交易性金融资产期间取得的投资收益</v>
      </c>
      <c r="C2251" s="318"/>
      <c r="D2251" s="11" t="b">
        <f t="shared" si="219"/>
        <v>1</v>
      </c>
      <c r="E2251" s="311"/>
      <c r="H2251" s="11" t="b">
        <f t="shared" si="220"/>
        <v>0</v>
      </c>
      <c r="I2251" s="11" t="s">
        <v>2376</v>
      </c>
      <c r="K2251" s="11" t="b">
        <v>1</v>
      </c>
    </row>
    <row r="2252" spans="1:11">
      <c r="A2252" s="11" t="s">
        <v>2358</v>
      </c>
      <c r="B2252" s="334" t="str">
        <f>报表附注!E2665</f>
        <v>持有至到期投资期间取得的投资收益</v>
      </c>
      <c r="C2252" s="318"/>
      <c r="D2252" s="11" t="b">
        <f t="shared" si="219"/>
        <v>1</v>
      </c>
      <c r="E2252" s="311"/>
      <c r="H2252" s="11" t="b">
        <f t="shared" si="220"/>
        <v>0</v>
      </c>
      <c r="I2252" s="11" t="s">
        <v>2377</v>
      </c>
      <c r="K2252" s="11" t="b">
        <v>1</v>
      </c>
    </row>
    <row r="2253" ht="22.5" spans="1:11">
      <c r="A2253" s="11" t="s">
        <v>2359</v>
      </c>
      <c r="B2253" s="334" t="str">
        <f>报表附注!E2666</f>
        <v>持有可供出售金融资产等期间取得的投资收益</v>
      </c>
      <c r="C2253" s="318"/>
      <c r="D2253" s="11" t="b">
        <f t="shared" si="219"/>
        <v>1</v>
      </c>
      <c r="E2253" s="311"/>
      <c r="H2253" s="11" t="b">
        <f t="shared" si="220"/>
        <v>0</v>
      </c>
      <c r="I2253" s="11" t="s">
        <v>2378</v>
      </c>
      <c r="K2253" s="11" t="b">
        <v>1</v>
      </c>
    </row>
    <row r="2254" spans="1:11">
      <c r="A2254" s="11" t="s">
        <v>2360</v>
      </c>
      <c r="B2254" s="334" t="str">
        <f>报表附注!E2667</f>
        <v>处置交易性金融资产取得的投资收益</v>
      </c>
      <c r="C2254" s="318"/>
      <c r="D2254" s="11" t="b">
        <f t="shared" si="219"/>
        <v>1</v>
      </c>
      <c r="E2254" s="311"/>
      <c r="H2254" s="11" t="b">
        <f t="shared" si="220"/>
        <v>0</v>
      </c>
      <c r="I2254" s="11" t="s">
        <v>2379</v>
      </c>
      <c r="K2254" s="11" t="b">
        <v>1</v>
      </c>
    </row>
    <row r="2255" spans="1:11">
      <c r="A2255" s="11" t="s">
        <v>2361</v>
      </c>
      <c r="B2255" s="334" t="str">
        <f>报表附注!E2668</f>
        <v>持有至到期投资取得的投资收益</v>
      </c>
      <c r="C2255" s="318"/>
      <c r="D2255" s="11" t="b">
        <f t="shared" si="219"/>
        <v>1</v>
      </c>
      <c r="E2255" s="311"/>
      <c r="H2255" s="11" t="b">
        <f t="shared" si="220"/>
        <v>0</v>
      </c>
      <c r="I2255" s="11" t="s">
        <v>2380</v>
      </c>
      <c r="K2255" s="11" t="b">
        <v>1</v>
      </c>
    </row>
    <row r="2256" spans="1:11">
      <c r="A2256" s="11" t="s">
        <v>2362</v>
      </c>
      <c r="B2256" s="334" t="str">
        <f>报表附注!E2669</f>
        <v>处置可供出售金融资产等取得的投资收益</v>
      </c>
      <c r="C2256" s="318"/>
      <c r="D2256" s="11" t="b">
        <f t="shared" si="219"/>
        <v>0</v>
      </c>
      <c r="E2256" s="311"/>
      <c r="H2256" s="11" t="b">
        <f t="shared" si="220"/>
        <v>0</v>
      </c>
      <c r="I2256" s="11" t="s">
        <v>347</v>
      </c>
      <c r="K2256" s="11" t="b">
        <v>1</v>
      </c>
    </row>
    <row r="2257" spans="1:11">
      <c r="A2257" s="11" t="s">
        <v>280</v>
      </c>
      <c r="B2257" s="334" t="str">
        <f>报表附注!E2670</f>
        <v>其他</v>
      </c>
      <c r="C2257" s="318"/>
      <c r="D2257" s="11" t="b">
        <f t="shared" si="219"/>
        <v>1</v>
      </c>
      <c r="E2257" s="311"/>
      <c r="H2257" s="11" t="b">
        <f t="shared" si="220"/>
        <v>0</v>
      </c>
      <c r="K2257" s="11" t="b">
        <v>1</v>
      </c>
    </row>
    <row r="2258" spans="1:11">
      <c r="A2258" s="11" t="s">
        <v>2363</v>
      </c>
      <c r="B2258" s="334" t="str">
        <f>报表附注!E2671</f>
        <v>增加项目1--</v>
      </c>
      <c r="C2258" s="318"/>
      <c r="D2258" s="11" t="b">
        <f t="shared" si="219"/>
        <v>1</v>
      </c>
      <c r="E2258" s="311"/>
      <c r="H2258" s="11" t="b">
        <f t="shared" si="220"/>
        <v>0</v>
      </c>
      <c r="I2258" s="11" t="s">
        <v>2381</v>
      </c>
      <c r="K2258" s="11" t="b">
        <v>1</v>
      </c>
    </row>
    <row r="2259" spans="1:11">
      <c r="A2259" s="11" t="s">
        <v>2364</v>
      </c>
      <c r="B2259" s="334" t="str">
        <f>报表附注!E2672</f>
        <v>增加项目2--</v>
      </c>
      <c r="C2259" s="318"/>
      <c r="D2259" s="11" t="b">
        <f t="shared" si="219"/>
        <v>1</v>
      </c>
      <c r="E2259" s="311"/>
      <c r="H2259" s="11" t="b">
        <f t="shared" si="220"/>
        <v>0</v>
      </c>
      <c r="I2259" s="11" t="s">
        <v>2347</v>
      </c>
      <c r="K2259" s="11" t="b">
        <v>1</v>
      </c>
    </row>
    <row r="2260" spans="1:11">
      <c r="A2260" s="11" t="s">
        <v>2365</v>
      </c>
      <c r="B2260" s="339" t="str">
        <f>报表附注!E2673</f>
        <v>合       计</v>
      </c>
      <c r="C2260" s="318"/>
      <c r="D2260" s="11" t="b">
        <f t="shared" si="219"/>
        <v>1</v>
      </c>
      <c r="E2260" s="311"/>
      <c r="H2260" s="11" t="b">
        <f t="shared" si="220"/>
        <v>0</v>
      </c>
      <c r="I2260" s="11" t="s">
        <v>1284</v>
      </c>
      <c r="K2260" s="11" t="b">
        <v>1</v>
      </c>
    </row>
    <row r="2261" spans="1:11">
      <c r="A2261" s="11" t="s">
        <v>2351</v>
      </c>
      <c r="B2261" s="333" t="s">
        <v>2351</v>
      </c>
      <c r="C2261" s="328"/>
      <c r="D2261" s="11" t="b">
        <f t="shared" si="219"/>
        <v>1</v>
      </c>
      <c r="H2261" s="11" t="b">
        <f t="shared" si="220"/>
        <v>0</v>
      </c>
      <c r="I2261" s="11" t="s">
        <v>1590</v>
      </c>
      <c r="K2261" s="11" t="b">
        <v>1</v>
      </c>
    </row>
    <row r="2262" spans="1:11">
      <c r="A2262" s="11" t="s">
        <v>2354</v>
      </c>
      <c r="B2262" s="334" t="str">
        <f>报表附注!E2661</f>
        <v>成本法核算的长期股权投资收益</v>
      </c>
      <c r="C2262" s="321"/>
      <c r="D2262" s="11" t="b">
        <f t="shared" si="219"/>
        <v>1</v>
      </c>
      <c r="E2262" s="321">
        <f>C2248</f>
        <v>0</v>
      </c>
      <c r="H2262" s="11" t="b">
        <f t="shared" si="220"/>
        <v>0</v>
      </c>
      <c r="I2262" s="11" t="s">
        <v>2382</v>
      </c>
      <c r="K2262" s="11" t="b">
        <v>1</v>
      </c>
    </row>
    <row r="2263" spans="1:11">
      <c r="A2263" s="11" t="s">
        <v>2355</v>
      </c>
      <c r="B2263" s="334" t="str">
        <f>报表附注!E2662</f>
        <v>权益法核算的长期股权投资收益</v>
      </c>
      <c r="C2263" s="321"/>
      <c r="D2263" s="11" t="b">
        <f t="shared" si="219"/>
        <v>1</v>
      </c>
      <c r="E2263" s="321">
        <f t="shared" ref="E2263:E2274" si="221">C2249</f>
        <v>0</v>
      </c>
      <c r="H2263" s="11" t="b">
        <f t="shared" si="220"/>
        <v>0</v>
      </c>
      <c r="I2263" s="11" t="s">
        <v>2383</v>
      </c>
      <c r="K2263" s="11" t="b">
        <v>1</v>
      </c>
    </row>
    <row r="2264" spans="1:11">
      <c r="A2264" s="11" t="s">
        <v>2356</v>
      </c>
      <c r="B2264" s="334" t="str">
        <f>报表附注!E2663</f>
        <v>处置长期股权投资产生的投资收益</v>
      </c>
      <c r="C2264" s="321"/>
      <c r="D2264" s="11" t="b">
        <f t="shared" si="219"/>
        <v>1</v>
      </c>
      <c r="E2264" s="321">
        <f t="shared" si="221"/>
        <v>0</v>
      </c>
      <c r="H2264" s="11" t="b">
        <f t="shared" si="220"/>
        <v>0</v>
      </c>
      <c r="I2264" s="11" t="s">
        <v>2384</v>
      </c>
      <c r="K2264" s="11" t="b">
        <v>1</v>
      </c>
    </row>
    <row r="2265" spans="1:11">
      <c r="A2265" s="11" t="s">
        <v>2357</v>
      </c>
      <c r="B2265" s="334" t="str">
        <f>报表附注!E2664</f>
        <v>持有交易性金融资产期间取得的投资收益</v>
      </c>
      <c r="C2265" s="321"/>
      <c r="D2265" s="11" t="b">
        <f t="shared" si="219"/>
        <v>1</v>
      </c>
      <c r="E2265" s="321">
        <f t="shared" si="221"/>
        <v>0</v>
      </c>
      <c r="H2265" s="11" t="b">
        <f t="shared" si="220"/>
        <v>0</v>
      </c>
      <c r="I2265" s="11" t="s">
        <v>2385</v>
      </c>
      <c r="K2265" s="11" t="b">
        <v>1</v>
      </c>
    </row>
    <row r="2266" spans="1:11">
      <c r="A2266" s="11" t="s">
        <v>2358</v>
      </c>
      <c r="B2266" s="334" t="str">
        <f>报表附注!E2665</f>
        <v>持有至到期投资期间取得的投资收益</v>
      </c>
      <c r="C2266" s="321"/>
      <c r="D2266" s="11" t="b">
        <f t="shared" si="219"/>
        <v>1</v>
      </c>
      <c r="E2266" s="321">
        <f t="shared" si="221"/>
        <v>0</v>
      </c>
      <c r="H2266" s="11" t="b">
        <f t="shared" si="220"/>
        <v>0</v>
      </c>
      <c r="I2266" s="11" t="s">
        <v>2386</v>
      </c>
      <c r="K2266" s="11" t="b">
        <v>1</v>
      </c>
    </row>
    <row r="2267" ht="22.5" spans="1:11">
      <c r="A2267" s="11" t="s">
        <v>2359</v>
      </c>
      <c r="B2267" s="334" t="str">
        <f>报表附注!E2666</f>
        <v>持有可供出售金融资产等期间取得的投资收益</v>
      </c>
      <c r="C2267" s="321"/>
      <c r="D2267" s="11" t="b">
        <f t="shared" si="219"/>
        <v>1</v>
      </c>
      <c r="E2267" s="321">
        <f t="shared" si="221"/>
        <v>0</v>
      </c>
      <c r="H2267" s="11" t="b">
        <f t="shared" si="220"/>
        <v>0</v>
      </c>
      <c r="I2267" s="11" t="s">
        <v>2387</v>
      </c>
      <c r="K2267" s="11" t="b">
        <v>1</v>
      </c>
    </row>
    <row r="2268" spans="1:11">
      <c r="A2268" s="11" t="s">
        <v>2360</v>
      </c>
      <c r="B2268" s="334" t="str">
        <f>报表附注!E2667</f>
        <v>处置交易性金融资产取得的投资收益</v>
      </c>
      <c r="C2268" s="321"/>
      <c r="D2268" s="11" t="b">
        <f t="shared" si="219"/>
        <v>1</v>
      </c>
      <c r="E2268" s="321">
        <f t="shared" si="221"/>
        <v>0</v>
      </c>
      <c r="H2268" s="11" t="b">
        <f t="shared" si="220"/>
        <v>0</v>
      </c>
      <c r="I2268" s="11" t="s">
        <v>2388</v>
      </c>
      <c r="K2268" s="11" t="b">
        <v>1</v>
      </c>
    </row>
    <row r="2269" spans="1:11">
      <c r="A2269" s="11" t="s">
        <v>2361</v>
      </c>
      <c r="B2269" s="334" t="str">
        <f>报表附注!E2668</f>
        <v>持有至到期投资取得的投资收益</v>
      </c>
      <c r="C2269" s="321"/>
      <c r="D2269" s="11" t="b">
        <f t="shared" si="219"/>
        <v>1</v>
      </c>
      <c r="E2269" s="321">
        <f t="shared" si="221"/>
        <v>0</v>
      </c>
      <c r="H2269" s="11" t="b">
        <f t="shared" si="220"/>
        <v>0</v>
      </c>
      <c r="I2269" s="11" t="s">
        <v>5731</v>
      </c>
      <c r="K2269" s="11" t="b">
        <v>1</v>
      </c>
    </row>
    <row r="2270" spans="1:11">
      <c r="A2270" s="11" t="s">
        <v>2362</v>
      </c>
      <c r="B2270" s="334" t="str">
        <f>报表附注!E2669</f>
        <v>处置可供出售金融资产等取得的投资收益</v>
      </c>
      <c r="C2270" s="321"/>
      <c r="D2270" s="11" t="b">
        <f t="shared" si="219"/>
        <v>0</v>
      </c>
      <c r="E2270" s="321">
        <f t="shared" si="221"/>
        <v>0</v>
      </c>
      <c r="H2270" s="11" t="b">
        <f t="shared" si="220"/>
        <v>0</v>
      </c>
      <c r="I2270" s="11" t="s">
        <v>5732</v>
      </c>
      <c r="K2270" s="11" t="b">
        <v>1</v>
      </c>
    </row>
    <row r="2271" spans="1:11">
      <c r="A2271" s="11" t="s">
        <v>280</v>
      </c>
      <c r="B2271" s="334" t="str">
        <f>报表附注!E2670</f>
        <v>其他</v>
      </c>
      <c r="C2271" s="321"/>
      <c r="D2271" s="11" t="b">
        <f t="shared" si="219"/>
        <v>1</v>
      </c>
      <c r="E2271" s="321">
        <f t="shared" si="221"/>
        <v>0</v>
      </c>
      <c r="H2271" s="11" t="b">
        <f t="shared" si="220"/>
        <v>1</v>
      </c>
      <c r="I2271" s="11" t="s">
        <v>280</v>
      </c>
      <c r="K2271" s="11" t="b">
        <v>1</v>
      </c>
    </row>
    <row r="2272" spans="1:11">
      <c r="A2272" s="11" t="s">
        <v>2363</v>
      </c>
      <c r="B2272" s="334" t="str">
        <f>报表附注!E2671</f>
        <v>增加项目1--</v>
      </c>
      <c r="C2272" s="321"/>
      <c r="D2272" s="11" t="b">
        <f t="shared" si="219"/>
        <v>1</v>
      </c>
      <c r="E2272" s="321">
        <f t="shared" si="221"/>
        <v>0</v>
      </c>
      <c r="H2272" s="11" t="b">
        <f t="shared" si="220"/>
        <v>0</v>
      </c>
      <c r="I2272" s="11" t="s">
        <v>2021</v>
      </c>
      <c r="K2272" s="11" t="b">
        <v>1</v>
      </c>
    </row>
    <row r="2273" spans="1:11">
      <c r="A2273" s="11" t="s">
        <v>2364</v>
      </c>
      <c r="B2273" s="334" t="str">
        <f>报表附注!E2672</f>
        <v>增加项目2--</v>
      </c>
      <c r="C2273" s="321"/>
      <c r="D2273" s="11" t="b">
        <f t="shared" si="219"/>
        <v>1</v>
      </c>
      <c r="E2273" s="321">
        <f t="shared" si="221"/>
        <v>0</v>
      </c>
      <c r="H2273" s="11" t="b">
        <f t="shared" si="220"/>
        <v>0</v>
      </c>
      <c r="I2273" s="11" t="s">
        <v>2351</v>
      </c>
      <c r="K2273" s="11" t="b">
        <v>1</v>
      </c>
    </row>
    <row r="2274" spans="1:11">
      <c r="A2274" s="11" t="s">
        <v>2365</v>
      </c>
      <c r="B2274" s="320" t="str">
        <f>报表附注!E2673</f>
        <v>合       计</v>
      </c>
      <c r="C2274" s="321"/>
      <c r="D2274" s="11" t="b">
        <f t="shared" si="219"/>
        <v>1</v>
      </c>
      <c r="E2274" s="321">
        <f t="shared" si="221"/>
        <v>0</v>
      </c>
      <c r="H2274" s="11" t="b">
        <f t="shared" si="220"/>
        <v>0</v>
      </c>
      <c r="I2274" s="11" t="s">
        <v>1284</v>
      </c>
      <c r="K2274" s="11" t="b">
        <v>1</v>
      </c>
    </row>
    <row r="2275" spans="3:11">
      <c r="C2275" s="328"/>
      <c r="D2275" s="11" t="b">
        <f t="shared" si="219"/>
        <v>1</v>
      </c>
      <c r="H2275" s="11" t="b">
        <f t="shared" si="220"/>
        <v>0</v>
      </c>
      <c r="I2275" s="11" t="s">
        <v>1590</v>
      </c>
      <c r="K2275" s="11" t="b">
        <v>1</v>
      </c>
    </row>
    <row r="2276" spans="1:11">
      <c r="A2276" s="11" t="s">
        <v>2366</v>
      </c>
      <c r="B2276" s="329" t="s">
        <v>2366</v>
      </c>
      <c r="C2276" s="328"/>
      <c r="D2276" s="11" t="b">
        <f t="shared" si="219"/>
        <v>1</v>
      </c>
      <c r="H2276" s="11" t="b">
        <f t="shared" si="220"/>
        <v>0</v>
      </c>
      <c r="I2276" s="11" t="s">
        <v>2382</v>
      </c>
      <c r="K2276" s="11" t="b">
        <v>1</v>
      </c>
    </row>
    <row r="2277" spans="1:11">
      <c r="A2277" s="11" t="s">
        <v>2347</v>
      </c>
      <c r="B2277" s="333" t="s">
        <v>2347</v>
      </c>
      <c r="C2277" s="328"/>
      <c r="D2277" s="11" t="b">
        <f t="shared" si="219"/>
        <v>1</v>
      </c>
      <c r="E2277" s="326"/>
      <c r="H2277" s="11" t="b">
        <f t="shared" si="220"/>
        <v>0</v>
      </c>
      <c r="I2277" s="11" t="s">
        <v>2383</v>
      </c>
      <c r="K2277" s="11" t="b">
        <v>1</v>
      </c>
    </row>
    <row r="2278" spans="1:11">
      <c r="A2278" s="11" t="s">
        <v>2367</v>
      </c>
      <c r="B2278" s="310" t="str">
        <f>报表附注!E2712</f>
        <v>1．坏账损失</v>
      </c>
      <c r="C2278" s="318">
        <v>4558848.14</v>
      </c>
      <c r="D2278" s="11" t="b">
        <f t="shared" si="219"/>
        <v>1</v>
      </c>
      <c r="E2278" s="311"/>
      <c r="H2278" s="11" t="b">
        <f t="shared" si="220"/>
        <v>0</v>
      </c>
      <c r="I2278" s="11" t="s">
        <v>2384</v>
      </c>
      <c r="K2278" s="11" t="b">
        <v>1</v>
      </c>
    </row>
    <row r="2279" spans="1:11">
      <c r="A2279" s="11" t="s">
        <v>2368</v>
      </c>
      <c r="B2279" s="310" t="str">
        <f>报表附注!E2713</f>
        <v>2．存货跌价损失</v>
      </c>
      <c r="C2279" s="318">
        <v>432021.28</v>
      </c>
      <c r="D2279" s="11" t="b">
        <f t="shared" si="219"/>
        <v>1</v>
      </c>
      <c r="E2279" s="311"/>
      <c r="H2279" s="11" t="b">
        <f t="shared" si="220"/>
        <v>0</v>
      </c>
      <c r="I2279" s="11" t="s">
        <v>2385</v>
      </c>
      <c r="K2279" s="11" t="b">
        <v>1</v>
      </c>
    </row>
    <row r="2280" spans="1:11">
      <c r="A2280" s="11" t="s">
        <v>2369</v>
      </c>
      <c r="B2280" s="310" t="str">
        <f>报表附注!E2714</f>
        <v>3．可供出售金融资产减值损失</v>
      </c>
      <c r="C2280" s="318"/>
      <c r="D2280" s="11" t="b">
        <f t="shared" si="219"/>
        <v>1</v>
      </c>
      <c r="E2280" s="311"/>
      <c r="H2280" s="11" t="b">
        <f t="shared" si="220"/>
        <v>0</v>
      </c>
      <c r="I2280" s="11" t="s">
        <v>2386</v>
      </c>
      <c r="K2280" s="11" t="b">
        <v>1</v>
      </c>
    </row>
    <row r="2281" spans="1:11">
      <c r="A2281" s="11" t="s">
        <v>2370</v>
      </c>
      <c r="B2281" s="310" t="str">
        <f>报表附注!E2715</f>
        <v>4．持有至到期投资减值损失</v>
      </c>
      <c r="C2281" s="318"/>
      <c r="D2281" s="11" t="b">
        <f t="shared" si="219"/>
        <v>1</v>
      </c>
      <c r="E2281" s="311"/>
      <c r="H2281" s="11" t="b">
        <f t="shared" si="220"/>
        <v>0</v>
      </c>
      <c r="I2281" s="11" t="s">
        <v>2387</v>
      </c>
      <c r="K2281" s="11" t="b">
        <v>1</v>
      </c>
    </row>
    <row r="2282" spans="1:11">
      <c r="A2282" s="11" t="s">
        <v>2371</v>
      </c>
      <c r="B2282" s="310" t="str">
        <f>报表附注!E2716</f>
        <v>5．长期股权投资减值损失</v>
      </c>
      <c r="C2282" s="318"/>
      <c r="D2282" s="11" t="b">
        <f t="shared" si="219"/>
        <v>1</v>
      </c>
      <c r="E2282" s="311"/>
      <c r="H2282" s="11" t="b">
        <f t="shared" si="220"/>
        <v>0</v>
      </c>
      <c r="I2282" s="11" t="s">
        <v>2388</v>
      </c>
      <c r="K2282" s="11" t="b">
        <v>1</v>
      </c>
    </row>
    <row r="2283" spans="1:11">
      <c r="A2283" s="11" t="s">
        <v>2372</v>
      </c>
      <c r="B2283" s="310" t="str">
        <f>报表附注!E2717</f>
        <v>6．投资性房地产减值损失</v>
      </c>
      <c r="C2283" s="318"/>
      <c r="D2283" s="11" t="b">
        <f t="shared" si="219"/>
        <v>1</v>
      </c>
      <c r="E2283" s="311"/>
      <c r="H2283" s="11" t="b">
        <f t="shared" si="220"/>
        <v>0</v>
      </c>
      <c r="I2283" s="11" t="s">
        <v>5731</v>
      </c>
      <c r="K2283" s="11" t="b">
        <v>1</v>
      </c>
    </row>
    <row r="2284" spans="1:11">
      <c r="A2284" s="11" t="s">
        <v>2373</v>
      </c>
      <c r="B2284" s="310" t="str">
        <f>报表附注!E2718</f>
        <v>7．固定资产减值损失</v>
      </c>
      <c r="C2284" s="318"/>
      <c r="D2284" s="11" t="b">
        <f t="shared" si="219"/>
        <v>1</v>
      </c>
      <c r="E2284" s="311"/>
      <c r="H2284" s="11" t="b">
        <f t="shared" si="220"/>
        <v>0</v>
      </c>
      <c r="I2284" s="11" t="s">
        <v>5732</v>
      </c>
      <c r="K2284" s="11" t="b">
        <v>1</v>
      </c>
    </row>
    <row r="2285" spans="1:11">
      <c r="A2285" s="11" t="s">
        <v>2374</v>
      </c>
      <c r="B2285" s="310" t="str">
        <f>报表附注!E2719</f>
        <v>8．工程物资减值损失</v>
      </c>
      <c r="C2285" s="318"/>
      <c r="D2285" s="11" t="b">
        <f t="shared" si="219"/>
        <v>1</v>
      </c>
      <c r="E2285" s="311"/>
      <c r="H2285" s="11" t="b">
        <f t="shared" si="220"/>
        <v>0</v>
      </c>
      <c r="I2285" s="11" t="s">
        <v>280</v>
      </c>
      <c r="K2285" s="11" t="b">
        <v>1</v>
      </c>
    </row>
    <row r="2286" spans="1:11">
      <c r="A2286" s="11" t="s">
        <v>2375</v>
      </c>
      <c r="B2286" s="310" t="str">
        <f>报表附注!E2720</f>
        <v>9．在建工程减值损失</v>
      </c>
      <c r="C2286" s="318"/>
      <c r="D2286" s="11" t="b">
        <f t="shared" si="219"/>
        <v>1</v>
      </c>
      <c r="E2286" s="311"/>
      <c r="H2286" s="11" t="b">
        <f t="shared" si="220"/>
        <v>0</v>
      </c>
      <c r="I2286" s="11" t="s">
        <v>2021</v>
      </c>
      <c r="K2286" s="11" t="b">
        <v>1</v>
      </c>
    </row>
    <row r="2287" spans="1:11">
      <c r="A2287" s="11" t="s">
        <v>2376</v>
      </c>
      <c r="B2287" s="310" t="str">
        <f>报表附注!E2721</f>
        <v>10．生产性生物资产减值损失</v>
      </c>
      <c r="C2287" s="318"/>
      <c r="D2287" s="11" t="b">
        <f t="shared" si="219"/>
        <v>1</v>
      </c>
      <c r="E2287" s="311"/>
      <c r="H2287" s="11" t="b">
        <f t="shared" si="220"/>
        <v>0</v>
      </c>
      <c r="K2287" s="11" t="b">
        <v>1</v>
      </c>
    </row>
    <row r="2288" spans="1:11">
      <c r="A2288" s="11" t="s">
        <v>2377</v>
      </c>
      <c r="B2288" s="310" t="str">
        <f>报表附注!E2722</f>
        <v>11．油气资产减值损失</v>
      </c>
      <c r="C2288" s="318"/>
      <c r="D2288" s="11" t="b">
        <f t="shared" si="219"/>
        <v>1</v>
      </c>
      <c r="E2288" s="311"/>
      <c r="H2288" s="11" t="b">
        <f t="shared" si="220"/>
        <v>0</v>
      </c>
      <c r="I2288" s="11" t="s">
        <v>2391</v>
      </c>
      <c r="K2288" s="11" t="b">
        <v>1</v>
      </c>
    </row>
    <row r="2289" spans="1:11">
      <c r="A2289" s="11" t="s">
        <v>2378</v>
      </c>
      <c r="B2289" s="310" t="str">
        <f>报表附注!E2723</f>
        <v>12．无形资产减值损失</v>
      </c>
      <c r="C2289" s="318"/>
      <c r="D2289" s="11" t="b">
        <f t="shared" si="219"/>
        <v>1</v>
      </c>
      <c r="E2289" s="311"/>
      <c r="H2289" s="11" t="b">
        <f t="shared" si="220"/>
        <v>0</v>
      </c>
      <c r="I2289" s="11" t="s">
        <v>2347</v>
      </c>
      <c r="K2289" s="11" t="b">
        <v>1</v>
      </c>
    </row>
    <row r="2290" spans="1:11">
      <c r="A2290" s="11" t="s">
        <v>2379</v>
      </c>
      <c r="B2290" s="310" t="str">
        <f>报表附注!E2724</f>
        <v>13．商誉减值损失</v>
      </c>
      <c r="C2290" s="318"/>
      <c r="D2290" s="11" t="b">
        <f t="shared" si="219"/>
        <v>1</v>
      </c>
      <c r="E2290" s="311"/>
      <c r="H2290" s="11" t="b">
        <f t="shared" si="220"/>
        <v>0</v>
      </c>
      <c r="I2290" s="11" t="s">
        <v>2392</v>
      </c>
      <c r="K2290" s="11" t="b">
        <v>1</v>
      </c>
    </row>
    <row r="2291" spans="1:11">
      <c r="A2291" s="11" t="s">
        <v>2380</v>
      </c>
      <c r="B2291" s="310" t="str">
        <f>报表附注!E2725</f>
        <v>14．其他</v>
      </c>
      <c r="C2291" s="318"/>
      <c r="D2291" s="11" t="b">
        <f t="shared" si="219"/>
        <v>1</v>
      </c>
      <c r="E2291" s="311"/>
      <c r="H2291" s="11" t="b">
        <f t="shared" si="220"/>
        <v>0</v>
      </c>
      <c r="I2291" s="11" t="s">
        <v>2393</v>
      </c>
      <c r="K2291" s="11" t="b">
        <v>1</v>
      </c>
    </row>
    <row r="2292" spans="1:11">
      <c r="A2292" s="11" t="s">
        <v>347</v>
      </c>
      <c r="B2292" s="320" t="str">
        <f>报表附注!E2726</f>
        <v>合 计</v>
      </c>
      <c r="C2292" s="318"/>
      <c r="D2292" s="11" t="b">
        <f t="shared" si="219"/>
        <v>1</v>
      </c>
      <c r="E2292" s="311"/>
      <c r="H2292" s="11" t="b">
        <f t="shared" si="220"/>
        <v>0</v>
      </c>
      <c r="I2292" s="11" t="s">
        <v>2394</v>
      </c>
      <c r="K2292" s="11" t="b">
        <v>1</v>
      </c>
    </row>
    <row r="2293" spans="1:11">
      <c r="A2293" s="11" t="s">
        <v>2351</v>
      </c>
      <c r="B2293" s="333" t="s">
        <v>2351</v>
      </c>
      <c r="C2293" s="328"/>
      <c r="D2293" s="11" t="b">
        <f t="shared" si="219"/>
        <v>1</v>
      </c>
      <c r="E2293" s="326"/>
      <c r="H2293" s="11" t="b">
        <f t="shared" si="220"/>
        <v>0</v>
      </c>
      <c r="I2293" s="11" t="s">
        <v>2395</v>
      </c>
      <c r="K2293" s="11" t="b">
        <v>1</v>
      </c>
    </row>
    <row r="2294" spans="1:11">
      <c r="A2294" s="11" t="s">
        <v>2367</v>
      </c>
      <c r="B2294" s="310" t="str">
        <f>报表附注!E2712</f>
        <v>1．坏账损失</v>
      </c>
      <c r="C2294" s="321"/>
      <c r="D2294" s="11" t="b">
        <f t="shared" si="219"/>
        <v>1</v>
      </c>
      <c r="E2294" s="321">
        <f>C2278</f>
        <v>4558848.14</v>
      </c>
      <c r="H2294" s="11" t="b">
        <f t="shared" si="220"/>
        <v>0</v>
      </c>
      <c r="I2294" s="11" t="s">
        <v>2396</v>
      </c>
      <c r="K2294" s="11" t="b">
        <v>1</v>
      </c>
    </row>
    <row r="2295" spans="1:11">
      <c r="A2295" s="11" t="s">
        <v>2368</v>
      </c>
      <c r="B2295" s="310" t="str">
        <f>报表附注!E2713</f>
        <v>2．存货跌价损失</v>
      </c>
      <c r="C2295" s="321"/>
      <c r="D2295" s="11" t="b">
        <f t="shared" si="219"/>
        <v>1</v>
      </c>
      <c r="E2295" s="321">
        <f t="shared" ref="E2295:E2308" si="222">C2279</f>
        <v>432021.28</v>
      </c>
      <c r="H2295" s="11" t="b">
        <f t="shared" si="220"/>
        <v>0</v>
      </c>
      <c r="I2295" s="11" t="s">
        <v>2397</v>
      </c>
      <c r="K2295" s="11" t="b">
        <v>1</v>
      </c>
    </row>
    <row r="2296" spans="1:11">
      <c r="A2296" s="11" t="s">
        <v>2369</v>
      </c>
      <c r="B2296" s="310" t="str">
        <f>报表附注!E2714</f>
        <v>3．可供出售金融资产减值损失</v>
      </c>
      <c r="C2296" s="321"/>
      <c r="D2296" s="11" t="b">
        <f t="shared" si="219"/>
        <v>1</v>
      </c>
      <c r="E2296" s="321">
        <f t="shared" si="222"/>
        <v>0</v>
      </c>
      <c r="H2296" s="11" t="b">
        <f t="shared" si="220"/>
        <v>0</v>
      </c>
      <c r="I2296" s="11" t="s">
        <v>2398</v>
      </c>
      <c r="K2296" s="11" t="b">
        <v>1</v>
      </c>
    </row>
    <row r="2297" spans="1:11">
      <c r="A2297" s="11" t="s">
        <v>2370</v>
      </c>
      <c r="B2297" s="310" t="str">
        <f>报表附注!E2715</f>
        <v>4．持有至到期投资减值损失</v>
      </c>
      <c r="C2297" s="321"/>
      <c r="D2297" s="11" t="b">
        <f t="shared" si="219"/>
        <v>1</v>
      </c>
      <c r="E2297" s="321">
        <f t="shared" si="222"/>
        <v>0</v>
      </c>
      <c r="H2297" s="11" t="b">
        <f t="shared" si="220"/>
        <v>0</v>
      </c>
      <c r="I2297" s="11" t="s">
        <v>2399</v>
      </c>
      <c r="K2297" s="11" t="b">
        <v>1</v>
      </c>
    </row>
    <row r="2298" spans="1:11">
      <c r="A2298" s="11" t="s">
        <v>2371</v>
      </c>
      <c r="B2298" s="310" t="str">
        <f>报表附注!E2716</f>
        <v>5．长期股权投资减值损失</v>
      </c>
      <c r="C2298" s="321"/>
      <c r="D2298" s="11" t="b">
        <f t="shared" si="219"/>
        <v>1</v>
      </c>
      <c r="E2298" s="321">
        <f t="shared" si="222"/>
        <v>0</v>
      </c>
      <c r="H2298" s="11" t="b">
        <f t="shared" si="220"/>
        <v>0</v>
      </c>
      <c r="I2298" s="11" t="s">
        <v>2400</v>
      </c>
      <c r="K2298" s="11" t="b">
        <v>1</v>
      </c>
    </row>
    <row r="2299" spans="1:11">
      <c r="A2299" s="11" t="s">
        <v>2372</v>
      </c>
      <c r="B2299" s="310" t="str">
        <f>报表附注!E2717</f>
        <v>6．投资性房地产减值损失</v>
      </c>
      <c r="C2299" s="321"/>
      <c r="D2299" s="11" t="b">
        <f t="shared" si="219"/>
        <v>1</v>
      </c>
      <c r="E2299" s="321">
        <f t="shared" si="222"/>
        <v>0</v>
      </c>
      <c r="H2299" s="11" t="b">
        <f t="shared" si="220"/>
        <v>0</v>
      </c>
      <c r="I2299" s="11" t="s">
        <v>2401</v>
      </c>
      <c r="K2299" s="11" t="b">
        <v>1</v>
      </c>
    </row>
    <row r="2300" spans="1:11">
      <c r="A2300" s="11" t="s">
        <v>2373</v>
      </c>
      <c r="B2300" s="310" t="str">
        <f>报表附注!E2718</f>
        <v>7．固定资产减值损失</v>
      </c>
      <c r="C2300" s="321"/>
      <c r="D2300" s="11" t="b">
        <f t="shared" si="219"/>
        <v>1</v>
      </c>
      <c r="E2300" s="321">
        <f t="shared" si="222"/>
        <v>0</v>
      </c>
      <c r="H2300" s="11" t="b">
        <f t="shared" si="220"/>
        <v>0</v>
      </c>
      <c r="I2300" s="11" t="s">
        <v>1207</v>
      </c>
      <c r="K2300" s="11" t="b">
        <v>1</v>
      </c>
    </row>
    <row r="2301" spans="1:11">
      <c r="A2301" s="11" t="s">
        <v>2374</v>
      </c>
      <c r="B2301" s="310" t="str">
        <f>报表附注!E2719</f>
        <v>8．工程物资减值损失</v>
      </c>
      <c r="C2301" s="321"/>
      <c r="D2301" s="11" t="b">
        <f t="shared" si="219"/>
        <v>1</v>
      </c>
      <c r="E2301" s="321">
        <f t="shared" si="222"/>
        <v>0</v>
      </c>
      <c r="H2301" s="11" t="b">
        <f t="shared" si="220"/>
        <v>0</v>
      </c>
      <c r="I2301" s="11" t="s">
        <v>2351</v>
      </c>
      <c r="K2301" s="11" t="b">
        <v>1</v>
      </c>
    </row>
    <row r="2302" spans="1:11">
      <c r="A2302" s="11" t="s">
        <v>2375</v>
      </c>
      <c r="B2302" s="310" t="str">
        <f>报表附注!E2720</f>
        <v>9．在建工程减值损失</v>
      </c>
      <c r="C2302" s="321"/>
      <c r="D2302" s="11" t="b">
        <f t="shared" ref="D2302:D2365" si="223">EXACT(A2302,B2302)</f>
        <v>1</v>
      </c>
      <c r="E2302" s="321">
        <f t="shared" si="222"/>
        <v>0</v>
      </c>
      <c r="H2302" s="11" t="b">
        <f t="shared" si="220"/>
        <v>0</v>
      </c>
      <c r="I2302" s="11" t="s">
        <v>2392</v>
      </c>
      <c r="K2302" s="11" t="b">
        <v>1</v>
      </c>
    </row>
    <row r="2303" spans="1:11">
      <c r="A2303" s="11" t="s">
        <v>2376</v>
      </c>
      <c r="B2303" s="310" t="str">
        <f>报表附注!E2721</f>
        <v>10．生产性生物资产减值损失</v>
      </c>
      <c r="C2303" s="321"/>
      <c r="D2303" s="11" t="b">
        <f t="shared" si="223"/>
        <v>1</v>
      </c>
      <c r="E2303" s="321">
        <f t="shared" si="222"/>
        <v>0</v>
      </c>
      <c r="H2303" s="11" t="b">
        <f t="shared" si="220"/>
        <v>0</v>
      </c>
      <c r="I2303" s="11" t="s">
        <v>2393</v>
      </c>
      <c r="K2303" s="11" t="b">
        <v>1</v>
      </c>
    </row>
    <row r="2304" spans="1:11">
      <c r="A2304" s="11" t="s">
        <v>2377</v>
      </c>
      <c r="B2304" s="310" t="str">
        <f>报表附注!E2722</f>
        <v>11．油气资产减值损失</v>
      </c>
      <c r="C2304" s="321"/>
      <c r="D2304" s="11" t="b">
        <f t="shared" si="223"/>
        <v>1</v>
      </c>
      <c r="E2304" s="321">
        <f t="shared" si="222"/>
        <v>0</v>
      </c>
      <c r="H2304" s="11" t="b">
        <f t="shared" si="220"/>
        <v>0</v>
      </c>
      <c r="I2304" s="11" t="s">
        <v>2394</v>
      </c>
      <c r="K2304" s="11" t="b">
        <v>1</v>
      </c>
    </row>
    <row r="2305" spans="1:11">
      <c r="A2305" s="11" t="s">
        <v>2378</v>
      </c>
      <c r="B2305" s="310" t="str">
        <f>报表附注!E2723</f>
        <v>12．无形资产减值损失</v>
      </c>
      <c r="C2305" s="321"/>
      <c r="D2305" s="11" t="b">
        <f t="shared" si="223"/>
        <v>1</v>
      </c>
      <c r="E2305" s="321">
        <f t="shared" si="222"/>
        <v>0</v>
      </c>
      <c r="H2305" s="11" t="b">
        <f t="shared" si="220"/>
        <v>0</v>
      </c>
      <c r="I2305" s="11" t="s">
        <v>2395</v>
      </c>
      <c r="K2305" s="11" t="b">
        <v>1</v>
      </c>
    </row>
    <row r="2306" spans="1:11">
      <c r="A2306" s="11" t="s">
        <v>2379</v>
      </c>
      <c r="B2306" s="310" t="str">
        <f>报表附注!E2724</f>
        <v>13．商誉减值损失</v>
      </c>
      <c r="C2306" s="321"/>
      <c r="D2306" s="11" t="b">
        <f t="shared" si="223"/>
        <v>1</v>
      </c>
      <c r="E2306" s="321">
        <f t="shared" si="222"/>
        <v>0</v>
      </c>
      <c r="H2306" s="11" t="b">
        <f t="shared" si="220"/>
        <v>0</v>
      </c>
      <c r="I2306" s="11" t="s">
        <v>2396</v>
      </c>
      <c r="K2306" s="11" t="b">
        <v>1</v>
      </c>
    </row>
    <row r="2307" spans="1:11">
      <c r="A2307" s="11" t="s">
        <v>2380</v>
      </c>
      <c r="B2307" s="310" t="str">
        <f>报表附注!E2725</f>
        <v>14．其他</v>
      </c>
      <c r="C2307" s="321"/>
      <c r="D2307" s="11" t="b">
        <f t="shared" si="223"/>
        <v>1</v>
      </c>
      <c r="E2307" s="321">
        <f t="shared" si="222"/>
        <v>0</v>
      </c>
      <c r="H2307" s="11" t="b">
        <f t="shared" si="220"/>
        <v>0</v>
      </c>
      <c r="I2307" s="11" t="s">
        <v>2397</v>
      </c>
      <c r="K2307" s="11" t="b">
        <v>1</v>
      </c>
    </row>
    <row r="2308" spans="1:11">
      <c r="A2308" s="11" t="s">
        <v>347</v>
      </c>
      <c r="B2308" s="320" t="str">
        <f>报表附注!E2726</f>
        <v>合 计</v>
      </c>
      <c r="C2308" s="321"/>
      <c r="D2308" s="11" t="b">
        <f t="shared" si="223"/>
        <v>1</v>
      </c>
      <c r="E2308" s="321">
        <f t="shared" si="222"/>
        <v>0</v>
      </c>
      <c r="H2308" s="11" t="b">
        <f t="shared" ref="H2308:H2371" si="224">I2308=B2308</f>
        <v>0</v>
      </c>
      <c r="I2308" s="11" t="s">
        <v>2398</v>
      </c>
      <c r="K2308" s="11" t="b">
        <v>1</v>
      </c>
    </row>
    <row r="2309" spans="4:11">
      <c r="D2309" s="11" t="b">
        <f t="shared" si="223"/>
        <v>1</v>
      </c>
      <c r="H2309" s="11" t="b">
        <f t="shared" si="224"/>
        <v>0</v>
      </c>
      <c r="I2309" s="11" t="s">
        <v>2399</v>
      </c>
      <c r="K2309" s="11" t="b">
        <v>1</v>
      </c>
    </row>
    <row r="2310" spans="1:11">
      <c r="A2310" s="11" t="s">
        <v>2381</v>
      </c>
      <c r="B2310" s="329" t="s">
        <v>2381</v>
      </c>
      <c r="D2310" s="11" t="b">
        <f t="shared" si="223"/>
        <v>1</v>
      </c>
      <c r="H2310" s="11" t="b">
        <f t="shared" si="224"/>
        <v>0</v>
      </c>
      <c r="I2310" s="11" t="s">
        <v>2400</v>
      </c>
      <c r="K2310" s="11" t="b">
        <v>1</v>
      </c>
    </row>
    <row r="2311" spans="1:11">
      <c r="A2311" s="11" t="s">
        <v>2347</v>
      </c>
      <c r="B2311" s="333" t="s">
        <v>2347</v>
      </c>
      <c r="D2311" s="11" t="b">
        <f t="shared" si="223"/>
        <v>1</v>
      </c>
      <c r="H2311" s="11" t="b">
        <f t="shared" si="224"/>
        <v>0</v>
      </c>
      <c r="I2311" s="11" t="s">
        <v>2401</v>
      </c>
      <c r="K2311" s="11" t="b">
        <v>1</v>
      </c>
    </row>
    <row r="2312" spans="1:11">
      <c r="A2312" s="11" t="s">
        <v>1284</v>
      </c>
      <c r="B2312" s="346" t="str">
        <f>报表附注!E2734</f>
        <v>利息支出</v>
      </c>
      <c r="C2312" s="318">
        <f>F2312</f>
        <v>6623057.53</v>
      </c>
      <c r="D2312" s="11" t="b">
        <f t="shared" si="223"/>
        <v>1</v>
      </c>
      <c r="E2312" s="388" t="s">
        <v>1284</v>
      </c>
      <c r="F2312" s="369">
        <v>6623057.53</v>
      </c>
      <c r="H2312" s="11" t="b">
        <f t="shared" si="224"/>
        <v>0</v>
      </c>
      <c r="I2312" s="11" t="s">
        <v>1207</v>
      </c>
      <c r="K2312" s="11" t="b">
        <v>1</v>
      </c>
    </row>
    <row r="2313" spans="1:11">
      <c r="A2313" s="11" t="s">
        <v>1590</v>
      </c>
      <c r="B2313" s="346" t="str">
        <f>报表附注!E2735</f>
        <v>利息收入</v>
      </c>
      <c r="C2313" s="318">
        <f>-F2313</f>
        <v>-7053316.31</v>
      </c>
      <c r="D2313" s="11" t="b">
        <f t="shared" si="223"/>
        <v>1</v>
      </c>
      <c r="E2313" s="388" t="s">
        <v>5206</v>
      </c>
      <c r="F2313" s="369">
        <v>7053316.31</v>
      </c>
      <c r="H2313" s="11" t="b">
        <f t="shared" si="224"/>
        <v>0</v>
      </c>
      <c r="I2313" s="11" t="s">
        <v>2402</v>
      </c>
      <c r="K2313" s="11" t="b">
        <v>1</v>
      </c>
    </row>
    <row r="2314" spans="1:11">
      <c r="A2314" s="11" t="s">
        <v>2382</v>
      </c>
      <c r="B2314" s="346" t="str">
        <f>报表附注!E2736</f>
        <v>手续费</v>
      </c>
      <c r="C2314" s="318">
        <f>F2314</f>
        <v>315433.67</v>
      </c>
      <c r="D2314" s="11" t="b">
        <f t="shared" si="223"/>
        <v>1</v>
      </c>
      <c r="E2314" s="388" t="s">
        <v>2382</v>
      </c>
      <c r="F2314" s="369">
        <v>315433.67</v>
      </c>
      <c r="H2314" s="11" t="b">
        <f t="shared" si="224"/>
        <v>0</v>
      </c>
      <c r="I2314" s="11" t="s">
        <v>2392</v>
      </c>
      <c r="K2314" s="11" t="b">
        <v>1</v>
      </c>
    </row>
    <row r="2315" spans="1:11">
      <c r="A2315" s="11" t="s">
        <v>2383</v>
      </c>
      <c r="B2315" s="346" t="str">
        <f>报表附注!E2737</f>
        <v>汇兑损益</v>
      </c>
      <c r="C2315" s="318">
        <f>F2315</f>
        <v>-59680.03</v>
      </c>
      <c r="D2315" s="11" t="b">
        <f t="shared" si="223"/>
        <v>1</v>
      </c>
      <c r="E2315" s="388" t="s">
        <v>2383</v>
      </c>
      <c r="F2315" s="369">
        <v>-59680.03</v>
      </c>
      <c r="H2315" s="11" t="b">
        <f t="shared" si="224"/>
        <v>0</v>
      </c>
      <c r="I2315" s="11" t="s">
        <v>2393</v>
      </c>
      <c r="K2315" s="11" t="b">
        <v>1</v>
      </c>
    </row>
    <row r="2316" spans="1:11">
      <c r="A2316" s="11" t="s">
        <v>2384</v>
      </c>
      <c r="B2316" s="346" t="str">
        <f>报表附注!E2738</f>
        <v>   其 中：货币资金引起汇兑损益</v>
      </c>
      <c r="C2316" s="318">
        <f>G2320</f>
        <v>0</v>
      </c>
      <c r="D2316" s="11" t="b">
        <f t="shared" si="223"/>
        <v>1</v>
      </c>
      <c r="E2316" s="388" t="s">
        <v>280</v>
      </c>
      <c r="F2316" s="369"/>
      <c r="H2316" s="11" t="b">
        <f t="shared" si="224"/>
        <v>0</v>
      </c>
      <c r="I2316" s="11" t="s">
        <v>2394</v>
      </c>
      <c r="K2316" s="11" t="b">
        <v>1</v>
      </c>
    </row>
    <row r="2317" ht="22.5" spans="1:11">
      <c r="A2317" s="11" t="s">
        <v>2385</v>
      </c>
      <c r="B2317" s="346" t="str">
        <f>报表附注!E2739</f>
        <v>                      应收账款引起汇兑损益</v>
      </c>
      <c r="C2317" s="318">
        <f>G2323</f>
        <v>-59680.03</v>
      </c>
      <c r="D2317" s="11" t="b">
        <f t="shared" si="223"/>
        <v>1</v>
      </c>
      <c r="E2317" s="388" t="s">
        <v>2021</v>
      </c>
      <c r="F2317" s="369">
        <f>F2312-F2313+F2314+F2315</f>
        <v>-174505.139999999</v>
      </c>
      <c r="H2317" s="11" t="b">
        <f t="shared" si="224"/>
        <v>0</v>
      </c>
      <c r="I2317" s="11" t="s">
        <v>2395</v>
      </c>
      <c r="K2317" s="11" t="b">
        <v>1</v>
      </c>
    </row>
    <row r="2318" ht="22.5" spans="1:11">
      <c r="A2318" s="11" t="s">
        <v>2386</v>
      </c>
      <c r="B2318" s="346" t="str">
        <f>报表附注!E2740</f>
        <v>                      其他应收账款引起汇兑损益</v>
      </c>
      <c r="C2318" s="318">
        <f>G2324</f>
        <v>0</v>
      </c>
      <c r="D2318" s="11" t="b">
        <f t="shared" si="223"/>
        <v>1</v>
      </c>
      <c r="E2318" s="311"/>
      <c r="F2318" s="389" t="s">
        <v>5733</v>
      </c>
      <c r="G2318" s="389"/>
      <c r="H2318" s="11" t="b">
        <f t="shared" si="224"/>
        <v>0</v>
      </c>
      <c r="I2318" s="11" t="s">
        <v>2396</v>
      </c>
      <c r="K2318" s="11" t="b">
        <v>1</v>
      </c>
    </row>
    <row r="2319" ht="22.5" spans="1:11">
      <c r="A2319" s="11" t="s">
        <v>2387</v>
      </c>
      <c r="B2319" s="346" t="str">
        <f>报表附注!E2741</f>
        <v>                       应付账款引起汇兑损益</v>
      </c>
      <c r="C2319" s="318">
        <f>G2325</f>
        <v>0</v>
      </c>
      <c r="D2319" s="11" t="b">
        <f t="shared" si="223"/>
        <v>1</v>
      </c>
      <c r="E2319" s="311"/>
      <c r="F2319" s="389" t="s">
        <v>5734</v>
      </c>
      <c r="G2319" s="389"/>
      <c r="H2319" s="11" t="b">
        <f t="shared" si="224"/>
        <v>0</v>
      </c>
      <c r="I2319" s="11" t="s">
        <v>2397</v>
      </c>
      <c r="K2319" s="11" t="b">
        <v>1</v>
      </c>
    </row>
    <row r="2320" ht="22.5" spans="1:11">
      <c r="A2320" s="11" t="s">
        <v>2388</v>
      </c>
      <c r="B2320" s="346" t="str">
        <f>报表附注!E2742</f>
        <v>                      其他应付款引起汇兑损益</v>
      </c>
      <c r="C2320" s="318">
        <f>G2326</f>
        <v>0</v>
      </c>
      <c r="D2320" s="11" t="b">
        <f t="shared" si="223"/>
        <v>1</v>
      </c>
      <c r="E2320" s="311"/>
      <c r="F2320" s="389" t="s">
        <v>5735</v>
      </c>
      <c r="G2320" s="389"/>
      <c r="H2320" s="11" t="b">
        <f t="shared" si="224"/>
        <v>0</v>
      </c>
      <c r="I2320" s="11" t="s">
        <v>2398</v>
      </c>
      <c r="K2320" s="11" t="b">
        <v>1</v>
      </c>
    </row>
    <row r="2321" spans="1:11">
      <c r="A2321" s="11" t="s">
        <v>2389</v>
      </c>
      <c r="B2321" s="346" t="str">
        <f>报表附注!E2743</f>
        <v>现金折扣</v>
      </c>
      <c r="C2321" s="318"/>
      <c r="D2321" s="11" t="b">
        <f t="shared" si="223"/>
        <v>0</v>
      </c>
      <c r="E2321" s="311"/>
      <c r="F2321" s="389" t="s">
        <v>5736</v>
      </c>
      <c r="G2321" s="389"/>
      <c r="H2321" s="11" t="b">
        <f t="shared" si="224"/>
        <v>0</v>
      </c>
      <c r="I2321" s="11" t="s">
        <v>2399</v>
      </c>
      <c r="K2321" s="11" t="b">
        <v>1</v>
      </c>
    </row>
    <row r="2322" spans="1:11">
      <c r="A2322" s="11" t="s">
        <v>2390</v>
      </c>
      <c r="B2322" s="346" t="str">
        <f>报表附注!E2744</f>
        <v>融资费用</v>
      </c>
      <c r="C2322" s="318"/>
      <c r="D2322" s="11" t="b">
        <f t="shared" si="223"/>
        <v>0</v>
      </c>
      <c r="E2322" s="311"/>
      <c r="F2322" s="389" t="s">
        <v>5737</v>
      </c>
      <c r="G2322" s="389"/>
      <c r="H2322" s="11" t="b">
        <f t="shared" si="224"/>
        <v>0</v>
      </c>
      <c r="I2322" s="11" t="s">
        <v>2400</v>
      </c>
      <c r="K2322" s="11" t="b">
        <v>1</v>
      </c>
    </row>
    <row r="2323" spans="1:11">
      <c r="A2323" s="11" t="s">
        <v>280</v>
      </c>
      <c r="B2323" s="346" t="str">
        <f>报表附注!E2745</f>
        <v>其他</v>
      </c>
      <c r="C2323" s="318">
        <f>F2316</f>
        <v>0</v>
      </c>
      <c r="D2323" s="11" t="b">
        <f t="shared" si="223"/>
        <v>1</v>
      </c>
      <c r="E2323" s="311"/>
      <c r="F2323" s="389" t="s">
        <v>5738</v>
      </c>
      <c r="G2323" s="389">
        <v>-59680.03</v>
      </c>
      <c r="H2323" s="11" t="b">
        <f t="shared" si="224"/>
        <v>0</v>
      </c>
      <c r="I2323" s="11" t="s">
        <v>2401</v>
      </c>
      <c r="K2323" s="11" t="b">
        <v>1</v>
      </c>
    </row>
    <row r="2324" spans="1:11">
      <c r="A2324" s="11" t="s">
        <v>2021</v>
      </c>
      <c r="B2324" s="354" t="str">
        <f>报表附注!E2746</f>
        <v>合计</v>
      </c>
      <c r="C2324" s="318">
        <f>F2317</f>
        <v>-174505.139999999</v>
      </c>
      <c r="D2324" s="11" t="b">
        <f t="shared" si="223"/>
        <v>1</v>
      </c>
      <c r="E2324" s="311"/>
      <c r="F2324" s="389" t="s">
        <v>5739</v>
      </c>
      <c r="G2324" s="389"/>
      <c r="H2324" s="11" t="b">
        <f t="shared" si="224"/>
        <v>0</v>
      </c>
      <c r="I2324" s="11" t="s">
        <v>1207</v>
      </c>
      <c r="K2324" s="11" t="b">
        <v>1</v>
      </c>
    </row>
    <row r="2325" spans="1:11">
      <c r="A2325" s="11" t="s">
        <v>2351</v>
      </c>
      <c r="B2325" s="333" t="s">
        <v>2351</v>
      </c>
      <c r="C2325" s="328"/>
      <c r="D2325" s="11" t="b">
        <f t="shared" si="223"/>
        <v>1</v>
      </c>
      <c r="F2325" s="389" t="s">
        <v>5740</v>
      </c>
      <c r="G2325" s="389"/>
      <c r="H2325" s="11" t="b">
        <f t="shared" si="224"/>
        <v>0</v>
      </c>
      <c r="I2325" s="11" t="s">
        <v>2403</v>
      </c>
      <c r="K2325" s="11" t="b">
        <v>1</v>
      </c>
    </row>
    <row r="2326" spans="1:11">
      <c r="A2326" s="11" t="s">
        <v>1284</v>
      </c>
      <c r="B2326" s="346" t="str">
        <f>报表附注!E2734</f>
        <v>利息支出</v>
      </c>
      <c r="C2326" s="321"/>
      <c r="D2326" s="11" t="b">
        <f t="shared" si="223"/>
        <v>1</v>
      </c>
      <c r="E2326" s="321">
        <f>C2312</f>
        <v>6623057.53</v>
      </c>
      <c r="F2326" s="389" t="s">
        <v>5741</v>
      </c>
      <c r="G2326" s="389"/>
      <c r="H2326" s="11" t="b">
        <f t="shared" si="224"/>
        <v>0</v>
      </c>
      <c r="I2326" s="11" t="s">
        <v>2392</v>
      </c>
      <c r="K2326" s="11" t="b">
        <v>1</v>
      </c>
    </row>
    <row r="2327" spans="1:11">
      <c r="A2327" s="11" t="s">
        <v>1590</v>
      </c>
      <c r="B2327" s="346" t="str">
        <f>报表附注!E2735</f>
        <v>利息收入</v>
      </c>
      <c r="C2327" s="321"/>
      <c r="D2327" s="11" t="b">
        <f t="shared" si="223"/>
        <v>1</v>
      </c>
      <c r="E2327" s="321">
        <f t="shared" ref="E2327:E2338" si="225">C2313</f>
        <v>-7053316.31</v>
      </c>
      <c r="F2327" s="389" t="s">
        <v>280</v>
      </c>
      <c r="G2327" s="389"/>
      <c r="H2327" s="11" t="b">
        <f t="shared" si="224"/>
        <v>0</v>
      </c>
      <c r="I2327" s="11" t="s">
        <v>2393</v>
      </c>
      <c r="K2327" s="11" t="b">
        <v>1</v>
      </c>
    </row>
    <row r="2328" spans="1:11">
      <c r="A2328" s="11" t="s">
        <v>2382</v>
      </c>
      <c r="B2328" s="346" t="str">
        <f>报表附注!E2736</f>
        <v>手续费</v>
      </c>
      <c r="C2328" s="321"/>
      <c r="D2328" s="11" t="b">
        <f t="shared" si="223"/>
        <v>1</v>
      </c>
      <c r="E2328" s="321">
        <f t="shared" si="225"/>
        <v>315433.67</v>
      </c>
      <c r="H2328" s="11" t="b">
        <f t="shared" si="224"/>
        <v>0</v>
      </c>
      <c r="I2328" s="11" t="s">
        <v>2394</v>
      </c>
      <c r="K2328" s="11" t="b">
        <v>1</v>
      </c>
    </row>
    <row r="2329" spans="1:11">
      <c r="A2329" s="11" t="s">
        <v>2383</v>
      </c>
      <c r="B2329" s="346" t="str">
        <f>报表附注!E2737</f>
        <v>汇兑损益</v>
      </c>
      <c r="C2329" s="321"/>
      <c r="D2329" s="11" t="b">
        <f t="shared" si="223"/>
        <v>1</v>
      </c>
      <c r="E2329" s="321">
        <f t="shared" si="225"/>
        <v>-59680.03</v>
      </c>
      <c r="H2329" s="11" t="b">
        <f t="shared" si="224"/>
        <v>0</v>
      </c>
      <c r="I2329" s="11" t="s">
        <v>2395</v>
      </c>
      <c r="K2329" s="11" t="b">
        <v>1</v>
      </c>
    </row>
    <row r="2330" spans="1:11">
      <c r="A2330" s="11" t="s">
        <v>2384</v>
      </c>
      <c r="B2330" s="346" t="str">
        <f>报表附注!E2738</f>
        <v>   其 中：货币资金引起汇兑损益</v>
      </c>
      <c r="C2330" s="321"/>
      <c r="D2330" s="11" t="b">
        <f t="shared" si="223"/>
        <v>1</v>
      </c>
      <c r="E2330" s="321">
        <f t="shared" si="225"/>
        <v>0</v>
      </c>
      <c r="H2330" s="11" t="b">
        <f t="shared" si="224"/>
        <v>0</v>
      </c>
      <c r="I2330" s="11" t="s">
        <v>2396</v>
      </c>
      <c r="K2330" s="11" t="b">
        <v>1</v>
      </c>
    </row>
    <row r="2331" ht="22.5" spans="1:11">
      <c r="A2331" s="11" t="s">
        <v>2385</v>
      </c>
      <c r="B2331" s="346" t="str">
        <f>报表附注!E2739</f>
        <v>                      应收账款引起汇兑损益</v>
      </c>
      <c r="C2331" s="321"/>
      <c r="D2331" s="11" t="b">
        <f t="shared" si="223"/>
        <v>1</v>
      </c>
      <c r="E2331" s="321">
        <f t="shared" si="225"/>
        <v>-59680.03</v>
      </c>
      <c r="H2331" s="11" t="b">
        <f t="shared" si="224"/>
        <v>0</v>
      </c>
      <c r="I2331" s="11" t="s">
        <v>2397</v>
      </c>
      <c r="K2331" s="11" t="b">
        <v>1</v>
      </c>
    </row>
    <row r="2332" ht="22.5" spans="1:11">
      <c r="A2332" s="11" t="s">
        <v>2386</v>
      </c>
      <c r="B2332" s="346" t="str">
        <f>报表附注!E2740</f>
        <v>                      其他应收账款引起汇兑损益</v>
      </c>
      <c r="C2332" s="321"/>
      <c r="D2332" s="11" t="b">
        <f t="shared" si="223"/>
        <v>1</v>
      </c>
      <c r="E2332" s="321">
        <f t="shared" si="225"/>
        <v>0</v>
      </c>
      <c r="H2332" s="11" t="b">
        <f t="shared" si="224"/>
        <v>0</v>
      </c>
      <c r="I2332" s="11" t="s">
        <v>2398</v>
      </c>
      <c r="K2332" s="11" t="b">
        <v>1</v>
      </c>
    </row>
    <row r="2333" ht="22.5" spans="1:11">
      <c r="A2333" s="11" t="s">
        <v>2387</v>
      </c>
      <c r="B2333" s="346" t="str">
        <f>报表附注!E2741</f>
        <v>                       应付账款引起汇兑损益</v>
      </c>
      <c r="C2333" s="321"/>
      <c r="D2333" s="11" t="b">
        <f t="shared" si="223"/>
        <v>1</v>
      </c>
      <c r="E2333" s="321">
        <f t="shared" si="225"/>
        <v>0</v>
      </c>
      <c r="H2333" s="11" t="b">
        <f t="shared" si="224"/>
        <v>0</v>
      </c>
      <c r="I2333" s="11" t="s">
        <v>2399</v>
      </c>
      <c r="K2333" s="11" t="b">
        <v>1</v>
      </c>
    </row>
    <row r="2334" ht="22.5" spans="1:11">
      <c r="A2334" s="11" t="s">
        <v>2388</v>
      </c>
      <c r="B2334" s="346" t="str">
        <f>报表附注!E2742</f>
        <v>                      其他应付款引起汇兑损益</v>
      </c>
      <c r="C2334" s="321"/>
      <c r="D2334" s="11" t="b">
        <f t="shared" si="223"/>
        <v>1</v>
      </c>
      <c r="E2334" s="321">
        <f t="shared" si="225"/>
        <v>0</v>
      </c>
      <c r="H2334" s="11" t="b">
        <f t="shared" si="224"/>
        <v>0</v>
      </c>
      <c r="I2334" s="11" t="s">
        <v>2400</v>
      </c>
      <c r="K2334" s="11" t="b">
        <v>1</v>
      </c>
    </row>
    <row r="2335" spans="1:11">
      <c r="A2335" s="11" t="s">
        <v>2389</v>
      </c>
      <c r="B2335" s="346" t="str">
        <f>报表附注!E2743</f>
        <v>现金折扣</v>
      </c>
      <c r="C2335" s="321"/>
      <c r="D2335" s="11" t="b">
        <f t="shared" si="223"/>
        <v>0</v>
      </c>
      <c r="E2335" s="321">
        <f t="shared" si="225"/>
        <v>0</v>
      </c>
      <c r="H2335" s="11" t="b">
        <f t="shared" si="224"/>
        <v>0</v>
      </c>
      <c r="I2335" s="11" t="s">
        <v>2401</v>
      </c>
      <c r="K2335" s="11" t="b">
        <v>1</v>
      </c>
    </row>
    <row r="2336" spans="1:11">
      <c r="A2336" s="11" t="s">
        <v>2390</v>
      </c>
      <c r="B2336" s="346" t="str">
        <f>报表附注!E2744</f>
        <v>融资费用</v>
      </c>
      <c r="C2336" s="321"/>
      <c r="D2336" s="11" t="b">
        <f t="shared" si="223"/>
        <v>0</v>
      </c>
      <c r="E2336" s="321">
        <f t="shared" si="225"/>
        <v>0</v>
      </c>
      <c r="H2336" s="11" t="b">
        <f t="shared" si="224"/>
        <v>0</v>
      </c>
      <c r="I2336" s="11" t="s">
        <v>1207</v>
      </c>
      <c r="K2336" s="11" t="b">
        <v>1</v>
      </c>
    </row>
    <row r="2337" spans="1:11">
      <c r="A2337" s="11" t="s">
        <v>280</v>
      </c>
      <c r="B2337" s="346" t="str">
        <f>报表附注!E2745</f>
        <v>其他</v>
      </c>
      <c r="C2337" s="321"/>
      <c r="D2337" s="11" t="b">
        <f t="shared" si="223"/>
        <v>1</v>
      </c>
      <c r="E2337" s="321">
        <f t="shared" si="225"/>
        <v>0</v>
      </c>
      <c r="H2337" s="11" t="b">
        <f t="shared" si="224"/>
        <v>0</v>
      </c>
      <c r="K2337" s="11" t="b">
        <v>1</v>
      </c>
    </row>
    <row r="2338" spans="1:11">
      <c r="A2338" s="11" t="s">
        <v>2021</v>
      </c>
      <c r="B2338" s="354" t="str">
        <f>报表附注!E2746</f>
        <v>合计</v>
      </c>
      <c r="C2338" s="321"/>
      <c r="D2338" s="11" t="b">
        <f t="shared" si="223"/>
        <v>1</v>
      </c>
      <c r="E2338" s="321">
        <f t="shared" si="225"/>
        <v>-174505.139999999</v>
      </c>
      <c r="H2338" s="11" t="b">
        <f t="shared" si="224"/>
        <v>0</v>
      </c>
      <c r="I2338" s="11" t="s">
        <v>2404</v>
      </c>
      <c r="K2338" s="11" t="b">
        <v>1</v>
      </c>
    </row>
    <row r="2339" spans="4:11">
      <c r="D2339" s="11" t="b">
        <f t="shared" si="223"/>
        <v>1</v>
      </c>
      <c r="H2339" s="11" t="b">
        <f t="shared" si="224"/>
        <v>0</v>
      </c>
      <c r="I2339" s="11" t="s">
        <v>2347</v>
      </c>
      <c r="K2339" s="11" t="b">
        <v>1</v>
      </c>
    </row>
    <row r="2340" spans="1:11">
      <c r="A2340" s="11" t="s">
        <v>2391</v>
      </c>
      <c r="B2340" s="329" t="s">
        <v>2391</v>
      </c>
      <c r="D2340" s="11" t="b">
        <f t="shared" si="223"/>
        <v>1</v>
      </c>
      <c r="H2340" s="11" t="b">
        <f t="shared" si="224"/>
        <v>0</v>
      </c>
      <c r="I2340" s="11" t="s">
        <v>2405</v>
      </c>
      <c r="K2340" s="11" t="b">
        <v>1</v>
      </c>
    </row>
    <row r="2341" spans="1:11">
      <c r="A2341" s="11" t="s">
        <v>2347</v>
      </c>
      <c r="B2341" s="333" t="s">
        <v>2347</v>
      </c>
      <c r="D2341" s="11" t="b">
        <f t="shared" si="223"/>
        <v>1</v>
      </c>
      <c r="E2341" s="326"/>
      <c r="H2341" s="11" t="b">
        <f t="shared" si="224"/>
        <v>0</v>
      </c>
      <c r="I2341" s="11" t="s">
        <v>2406</v>
      </c>
      <c r="K2341" s="11" t="b">
        <v>1</v>
      </c>
    </row>
    <row r="2342" spans="1:11">
      <c r="A2342" s="11" t="s">
        <v>2392</v>
      </c>
      <c r="B2342" s="310" t="str">
        <f>报表附注!E2915</f>
        <v>1．处置非流动资产利得小计</v>
      </c>
      <c r="C2342" s="318">
        <f>G2343</f>
        <v>0</v>
      </c>
      <c r="D2342" s="11" t="b">
        <f t="shared" si="223"/>
        <v>1</v>
      </c>
      <c r="F2342" s="390" t="s">
        <v>315</v>
      </c>
      <c r="G2342" s="390" t="s">
        <v>2347</v>
      </c>
      <c r="H2342" s="11" t="b">
        <f t="shared" si="224"/>
        <v>0</v>
      </c>
      <c r="I2342" s="11" t="s">
        <v>2407</v>
      </c>
      <c r="K2342" s="11" t="b">
        <v>1</v>
      </c>
    </row>
    <row r="2343" spans="1:11">
      <c r="A2343" s="11" t="s">
        <v>2393</v>
      </c>
      <c r="B2343" s="310" t="str">
        <f>报表附注!E2916</f>
        <v>其中：处置固定资产利得</v>
      </c>
      <c r="C2343" s="318">
        <f>G2344</f>
        <v>0</v>
      </c>
      <c r="D2343" s="11" t="b">
        <f t="shared" si="223"/>
        <v>1</v>
      </c>
      <c r="F2343" s="391" t="s">
        <v>5742</v>
      </c>
      <c r="G2343" s="392"/>
      <c r="H2343" s="11" t="b">
        <f t="shared" si="224"/>
        <v>0</v>
      </c>
      <c r="I2343" s="11" t="s">
        <v>2408</v>
      </c>
      <c r="K2343" s="11" t="b">
        <v>1</v>
      </c>
    </row>
    <row r="2344" spans="1:11">
      <c r="A2344" s="11" t="s">
        <v>2394</v>
      </c>
      <c r="B2344" s="310" t="str">
        <f>报表附注!E2917</f>
        <v>      处置无形资产利得</v>
      </c>
      <c r="C2344" s="318">
        <f>G2345</f>
        <v>0</v>
      </c>
      <c r="D2344" s="11" t="b">
        <f t="shared" si="223"/>
        <v>1</v>
      </c>
      <c r="F2344" s="391" t="s">
        <v>5743</v>
      </c>
      <c r="G2344" s="392"/>
      <c r="H2344" s="11" t="b">
        <f t="shared" si="224"/>
        <v>0</v>
      </c>
      <c r="I2344" s="11" t="s">
        <v>2409</v>
      </c>
      <c r="K2344" s="11" t="b">
        <v>1</v>
      </c>
    </row>
    <row r="2345" spans="1:11">
      <c r="A2345" s="11" t="s">
        <v>2395</v>
      </c>
      <c r="B2345" s="310" t="str">
        <f>报表附注!E2918</f>
        <v>2．非货币性资产交换利得</v>
      </c>
      <c r="C2345" s="318">
        <f>G2347</f>
        <v>0</v>
      </c>
      <c r="D2345" s="11" t="b">
        <f t="shared" si="223"/>
        <v>1</v>
      </c>
      <c r="F2345" s="391" t="s">
        <v>5744</v>
      </c>
      <c r="G2345" s="392"/>
      <c r="H2345" s="11" t="b">
        <f t="shared" si="224"/>
        <v>0</v>
      </c>
      <c r="I2345" s="11" t="s">
        <v>2410</v>
      </c>
      <c r="K2345" s="11" t="b">
        <v>1</v>
      </c>
    </row>
    <row r="2346" spans="1:11">
      <c r="A2346" s="11" t="s">
        <v>2396</v>
      </c>
      <c r="B2346" s="310" t="str">
        <f>报表附注!E2919</f>
        <v>3．债务重组利得</v>
      </c>
      <c r="C2346" s="318">
        <f>G2348</f>
        <v>0</v>
      </c>
      <c r="D2346" s="11" t="b">
        <f t="shared" si="223"/>
        <v>1</v>
      </c>
      <c r="F2346" s="391" t="s">
        <v>5745</v>
      </c>
      <c r="G2346" s="392"/>
      <c r="H2346" s="11" t="b">
        <f t="shared" si="224"/>
        <v>0</v>
      </c>
      <c r="I2346" s="11" t="s">
        <v>2411</v>
      </c>
      <c r="K2346" s="11" t="b">
        <v>1</v>
      </c>
    </row>
    <row r="2347" spans="1:11">
      <c r="A2347" s="11" t="s">
        <v>2397</v>
      </c>
      <c r="B2347" s="310" t="str">
        <f>报表附注!E2920</f>
        <v>4．政府补助</v>
      </c>
      <c r="C2347" s="318">
        <f>G2350</f>
        <v>341459.24</v>
      </c>
      <c r="D2347" s="11" t="b">
        <f t="shared" si="223"/>
        <v>1</v>
      </c>
      <c r="F2347" s="391" t="s">
        <v>5746</v>
      </c>
      <c r="G2347" s="392"/>
      <c r="H2347" s="11" t="b">
        <f t="shared" si="224"/>
        <v>0</v>
      </c>
      <c r="I2347" s="11" t="s">
        <v>2412</v>
      </c>
      <c r="K2347" s="11" t="b">
        <v>1</v>
      </c>
    </row>
    <row r="2348" spans="1:11">
      <c r="A2348" s="11" t="s">
        <v>2398</v>
      </c>
      <c r="B2348" s="310" t="str">
        <f>报表附注!E2921</f>
        <v>5．盘盈利得</v>
      </c>
      <c r="C2348" s="318">
        <f>G2351</f>
        <v>0</v>
      </c>
      <c r="D2348" s="11" t="b">
        <f t="shared" si="223"/>
        <v>1</v>
      </c>
      <c r="F2348" s="391" t="s">
        <v>5747</v>
      </c>
      <c r="G2348" s="392"/>
      <c r="H2348" s="11" t="b">
        <f t="shared" si="224"/>
        <v>0</v>
      </c>
      <c r="I2348" s="11" t="s">
        <v>2413</v>
      </c>
      <c r="K2348" s="11" t="b">
        <v>1</v>
      </c>
    </row>
    <row r="2349" spans="1:11">
      <c r="A2349" s="11" t="s">
        <v>2399</v>
      </c>
      <c r="B2349" s="310" t="str">
        <f>报表附注!E2922</f>
        <v>6．捐赠利得</v>
      </c>
      <c r="C2349" s="318">
        <f>G2349</f>
        <v>0</v>
      </c>
      <c r="D2349" s="11" t="b">
        <f t="shared" si="223"/>
        <v>1</v>
      </c>
      <c r="F2349" s="391" t="s">
        <v>5748</v>
      </c>
      <c r="G2349" s="392"/>
      <c r="H2349" s="11" t="b">
        <f t="shared" si="224"/>
        <v>0</v>
      </c>
      <c r="I2349" s="11" t="s">
        <v>2414</v>
      </c>
      <c r="K2349" s="11" t="b">
        <v>1</v>
      </c>
    </row>
    <row r="2350" spans="1:11">
      <c r="A2350" s="11" t="s">
        <v>2400</v>
      </c>
      <c r="B2350" s="310" t="str">
        <f>报表附注!E2923</f>
        <v>7．罚款收入</v>
      </c>
      <c r="C2350" s="318"/>
      <c r="D2350" s="11" t="b">
        <f t="shared" si="223"/>
        <v>1</v>
      </c>
      <c r="F2350" s="391" t="s">
        <v>5749</v>
      </c>
      <c r="G2350" s="392">
        <v>341459.24</v>
      </c>
      <c r="H2350" s="11" t="b">
        <f t="shared" si="224"/>
        <v>0</v>
      </c>
      <c r="I2350" s="11" t="s">
        <v>1207</v>
      </c>
      <c r="K2350" s="11" t="b">
        <v>1</v>
      </c>
    </row>
    <row r="2351" spans="1:11">
      <c r="A2351" s="11" t="s">
        <v>2401</v>
      </c>
      <c r="B2351" s="310" t="str">
        <f>报表附注!E2924</f>
        <v>8．其他</v>
      </c>
      <c r="C2351" s="318">
        <f>G2352</f>
        <v>20593.68</v>
      </c>
      <c r="D2351" s="11" t="b">
        <f t="shared" si="223"/>
        <v>1</v>
      </c>
      <c r="F2351" s="391" t="s">
        <v>5750</v>
      </c>
      <c r="G2351" s="392"/>
      <c r="H2351" s="11" t="b">
        <f t="shared" si="224"/>
        <v>0</v>
      </c>
      <c r="I2351" s="11" t="s">
        <v>2351</v>
      </c>
      <c r="K2351" s="11" t="b">
        <v>1</v>
      </c>
    </row>
    <row r="2352" spans="1:11">
      <c r="A2352" s="11" t="s">
        <v>1207</v>
      </c>
      <c r="B2352" s="320" t="str">
        <f>报表附注!E2925</f>
        <v>合  计</v>
      </c>
      <c r="C2352" s="318">
        <f>SUM(C2345:C2351,C2342)</f>
        <v>362052.92</v>
      </c>
      <c r="D2352" s="11" t="b">
        <f t="shared" si="223"/>
        <v>1</v>
      </c>
      <c r="F2352" s="391" t="s">
        <v>5751</v>
      </c>
      <c r="G2352" s="392">
        <v>20593.68</v>
      </c>
      <c r="H2352" s="11" t="b">
        <f t="shared" si="224"/>
        <v>0</v>
      </c>
      <c r="I2352" s="11" t="s">
        <v>2405</v>
      </c>
      <c r="K2352" s="11" t="b">
        <v>1</v>
      </c>
    </row>
    <row r="2353" spans="1:11">
      <c r="A2353" s="11" t="s">
        <v>2351</v>
      </c>
      <c r="B2353" s="333" t="s">
        <v>2351</v>
      </c>
      <c r="C2353" s="328"/>
      <c r="D2353" s="11" t="b">
        <f t="shared" si="223"/>
        <v>1</v>
      </c>
      <c r="F2353" s="391" t="s">
        <v>5752</v>
      </c>
      <c r="G2353" s="392"/>
      <c r="H2353" s="11" t="b">
        <f t="shared" si="224"/>
        <v>0</v>
      </c>
      <c r="I2353" s="11" t="s">
        <v>2406</v>
      </c>
      <c r="K2353" s="11" t="b">
        <v>1</v>
      </c>
    </row>
    <row r="2354" spans="1:11">
      <c r="A2354" s="11" t="s">
        <v>2392</v>
      </c>
      <c r="B2354" s="310" t="str">
        <f>报表附注!E2915</f>
        <v>1．处置非流动资产利得小计</v>
      </c>
      <c r="C2354" s="321"/>
      <c r="D2354" s="11" t="b">
        <f t="shared" si="223"/>
        <v>1</v>
      </c>
      <c r="F2354" s="391" t="s">
        <v>1207</v>
      </c>
      <c r="G2354" s="391"/>
      <c r="H2354" s="11" t="b">
        <f t="shared" si="224"/>
        <v>0</v>
      </c>
      <c r="I2354" s="11" t="s">
        <v>2407</v>
      </c>
      <c r="K2354" s="11" t="b">
        <v>1</v>
      </c>
    </row>
    <row r="2355" spans="1:11">
      <c r="A2355" s="11" t="s">
        <v>2393</v>
      </c>
      <c r="B2355" s="310" t="str">
        <f>报表附注!E2916</f>
        <v>其中：处置固定资产利得</v>
      </c>
      <c r="C2355" s="321"/>
      <c r="D2355" s="11" t="b">
        <f t="shared" si="223"/>
        <v>1</v>
      </c>
      <c r="E2355" s="321">
        <f t="shared" ref="E2355:E2364" si="226">C2343</f>
        <v>0</v>
      </c>
      <c r="H2355" s="11" t="b">
        <f t="shared" si="224"/>
        <v>0</v>
      </c>
      <c r="I2355" s="11" t="s">
        <v>2408</v>
      </c>
      <c r="K2355" s="11" t="b">
        <v>1</v>
      </c>
    </row>
    <row r="2356" spans="1:11">
      <c r="A2356" s="11" t="s">
        <v>2394</v>
      </c>
      <c r="B2356" s="310" t="str">
        <f>报表附注!E2917</f>
        <v>      处置无形资产利得</v>
      </c>
      <c r="C2356" s="321"/>
      <c r="D2356" s="11" t="b">
        <f t="shared" si="223"/>
        <v>1</v>
      </c>
      <c r="E2356" s="321">
        <f t="shared" si="226"/>
        <v>0</v>
      </c>
      <c r="H2356" s="11" t="b">
        <f t="shared" si="224"/>
        <v>0</v>
      </c>
      <c r="I2356" s="11" t="s">
        <v>2409</v>
      </c>
      <c r="K2356" s="11" t="b">
        <v>1</v>
      </c>
    </row>
    <row r="2357" spans="1:11">
      <c r="A2357" s="11" t="s">
        <v>2395</v>
      </c>
      <c r="B2357" s="310" t="str">
        <f>报表附注!E2918</f>
        <v>2．非货币性资产交换利得</v>
      </c>
      <c r="C2357" s="321"/>
      <c r="D2357" s="11" t="b">
        <f t="shared" si="223"/>
        <v>1</v>
      </c>
      <c r="E2357" s="321">
        <f t="shared" si="226"/>
        <v>0</v>
      </c>
      <c r="H2357" s="11" t="b">
        <f t="shared" si="224"/>
        <v>0</v>
      </c>
      <c r="I2357" s="11" t="s">
        <v>2410</v>
      </c>
      <c r="K2357" s="11" t="b">
        <v>1</v>
      </c>
    </row>
    <row r="2358" spans="1:11">
      <c r="A2358" s="11" t="s">
        <v>2396</v>
      </c>
      <c r="B2358" s="310" t="str">
        <f>报表附注!E2919</f>
        <v>3．债务重组利得</v>
      </c>
      <c r="C2358" s="321"/>
      <c r="D2358" s="11" t="b">
        <f t="shared" si="223"/>
        <v>1</v>
      </c>
      <c r="E2358" s="321">
        <f t="shared" si="226"/>
        <v>0</v>
      </c>
      <c r="H2358" s="11" t="b">
        <f t="shared" si="224"/>
        <v>0</v>
      </c>
      <c r="I2358" s="11" t="s">
        <v>2411</v>
      </c>
      <c r="K2358" s="11" t="b">
        <v>1</v>
      </c>
    </row>
    <row r="2359" spans="1:11">
      <c r="A2359" s="11" t="s">
        <v>2397</v>
      </c>
      <c r="B2359" s="310" t="str">
        <f>报表附注!E2920</f>
        <v>4．政府补助</v>
      </c>
      <c r="C2359" s="321"/>
      <c r="D2359" s="11" t="b">
        <f t="shared" si="223"/>
        <v>1</v>
      </c>
      <c r="E2359" s="321">
        <f t="shared" si="226"/>
        <v>341459.24</v>
      </c>
      <c r="H2359" s="11" t="b">
        <f t="shared" si="224"/>
        <v>0</v>
      </c>
      <c r="I2359" s="11" t="s">
        <v>2412</v>
      </c>
      <c r="K2359" s="11" t="b">
        <v>1</v>
      </c>
    </row>
    <row r="2360" spans="1:11">
      <c r="A2360" s="11" t="s">
        <v>2398</v>
      </c>
      <c r="B2360" s="310" t="str">
        <f>报表附注!E2921</f>
        <v>5．盘盈利得</v>
      </c>
      <c r="C2360" s="321"/>
      <c r="D2360" s="11" t="b">
        <f t="shared" si="223"/>
        <v>1</v>
      </c>
      <c r="E2360" s="321">
        <f t="shared" si="226"/>
        <v>0</v>
      </c>
      <c r="H2360" s="11" t="b">
        <f t="shared" si="224"/>
        <v>0</v>
      </c>
      <c r="I2360" s="11" t="s">
        <v>2413</v>
      </c>
      <c r="K2360" s="11" t="b">
        <v>1</v>
      </c>
    </row>
    <row r="2361" spans="1:11">
      <c r="A2361" s="11" t="s">
        <v>2399</v>
      </c>
      <c r="B2361" s="310" t="str">
        <f>报表附注!E2922</f>
        <v>6．捐赠利得</v>
      </c>
      <c r="C2361" s="321"/>
      <c r="D2361" s="11" t="b">
        <f t="shared" si="223"/>
        <v>1</v>
      </c>
      <c r="E2361" s="321">
        <f t="shared" si="226"/>
        <v>0</v>
      </c>
      <c r="H2361" s="11" t="b">
        <f t="shared" si="224"/>
        <v>0</v>
      </c>
      <c r="I2361" s="11" t="s">
        <v>2414</v>
      </c>
      <c r="K2361" s="11" t="b">
        <v>1</v>
      </c>
    </row>
    <row r="2362" spans="1:11">
      <c r="A2362" s="11" t="s">
        <v>2400</v>
      </c>
      <c r="B2362" s="310" t="str">
        <f>报表附注!E2923</f>
        <v>7．罚款收入</v>
      </c>
      <c r="C2362" s="321"/>
      <c r="D2362" s="11" t="b">
        <f t="shared" si="223"/>
        <v>1</v>
      </c>
      <c r="E2362" s="321">
        <f t="shared" si="226"/>
        <v>0</v>
      </c>
      <c r="H2362" s="11" t="b">
        <f t="shared" si="224"/>
        <v>0</v>
      </c>
      <c r="I2362" s="11" t="s">
        <v>1207</v>
      </c>
      <c r="K2362" s="11" t="b">
        <v>1</v>
      </c>
    </row>
    <row r="2363" spans="1:11">
      <c r="A2363" s="11" t="s">
        <v>2401</v>
      </c>
      <c r="B2363" s="310" t="str">
        <f>报表附注!E2924</f>
        <v>8．其他</v>
      </c>
      <c r="C2363" s="321"/>
      <c r="D2363" s="11" t="b">
        <f t="shared" si="223"/>
        <v>1</v>
      </c>
      <c r="E2363" s="321">
        <f t="shared" si="226"/>
        <v>20593.68</v>
      </c>
      <c r="H2363" s="11" t="b">
        <f t="shared" si="224"/>
        <v>0</v>
      </c>
      <c r="I2363" s="11" t="s">
        <v>2402</v>
      </c>
      <c r="K2363" s="11" t="b">
        <v>1</v>
      </c>
    </row>
    <row r="2364" spans="1:11">
      <c r="A2364" s="11" t="s">
        <v>1207</v>
      </c>
      <c r="B2364" s="320" t="str">
        <f>报表附注!E2925</f>
        <v>合  计</v>
      </c>
      <c r="C2364" s="321"/>
      <c r="D2364" s="11" t="b">
        <f t="shared" si="223"/>
        <v>1</v>
      </c>
      <c r="E2364" s="321">
        <f t="shared" si="226"/>
        <v>362052.92</v>
      </c>
      <c r="H2364" s="11" t="b">
        <f t="shared" si="224"/>
        <v>0</v>
      </c>
      <c r="I2364" s="11" t="s">
        <v>2405</v>
      </c>
      <c r="K2364" s="11" t="b">
        <v>1</v>
      </c>
    </row>
    <row r="2365" spans="1:11">
      <c r="A2365" s="11" t="s">
        <v>2402</v>
      </c>
      <c r="B2365" s="333" t="s">
        <v>2402</v>
      </c>
      <c r="C2365" s="328"/>
      <c r="D2365" s="11" t="b">
        <f t="shared" si="223"/>
        <v>1</v>
      </c>
      <c r="H2365" s="11" t="b">
        <f t="shared" si="224"/>
        <v>0</v>
      </c>
      <c r="I2365" s="11" t="s">
        <v>2406</v>
      </c>
      <c r="K2365" s="11" t="b">
        <v>1</v>
      </c>
    </row>
    <row r="2366" spans="1:11">
      <c r="A2366" s="11" t="s">
        <v>2392</v>
      </c>
      <c r="B2366" s="373" t="str">
        <f>报表附注!E2915</f>
        <v>1．处置非流动资产利得小计</v>
      </c>
      <c r="C2366" s="321"/>
      <c r="D2366" s="11" t="b">
        <f t="shared" ref="D2366:D2429" si="227">EXACT(A2366,B2366)</f>
        <v>1</v>
      </c>
      <c r="E2366" s="343"/>
      <c r="H2366" s="11" t="b">
        <f t="shared" si="224"/>
        <v>0</v>
      </c>
      <c r="I2366" s="11" t="s">
        <v>2407</v>
      </c>
      <c r="K2366" s="11" t="b">
        <v>1</v>
      </c>
    </row>
    <row r="2367" spans="1:11">
      <c r="A2367" s="11" t="s">
        <v>2393</v>
      </c>
      <c r="B2367" s="373" t="str">
        <f>报表附注!E2916</f>
        <v>其中：处置固定资产利得</v>
      </c>
      <c r="C2367" s="321"/>
      <c r="D2367" s="11" t="b">
        <f t="shared" si="227"/>
        <v>1</v>
      </c>
      <c r="E2367" s="343"/>
      <c r="H2367" s="11" t="b">
        <f t="shared" si="224"/>
        <v>0</v>
      </c>
      <c r="I2367" s="11" t="s">
        <v>2408</v>
      </c>
      <c r="K2367" s="11" t="b">
        <v>1</v>
      </c>
    </row>
    <row r="2368" spans="1:11">
      <c r="A2368" s="11" t="s">
        <v>2394</v>
      </c>
      <c r="B2368" s="373" t="str">
        <f>报表附注!E2917</f>
        <v>      处置无形资产利得</v>
      </c>
      <c r="C2368" s="321"/>
      <c r="D2368" s="11" t="b">
        <f t="shared" si="227"/>
        <v>1</v>
      </c>
      <c r="E2368" s="343"/>
      <c r="H2368" s="11" t="b">
        <f t="shared" si="224"/>
        <v>0</v>
      </c>
      <c r="I2368" s="11" t="s">
        <v>2409</v>
      </c>
      <c r="K2368" s="11" t="b">
        <v>1</v>
      </c>
    </row>
    <row r="2369" spans="1:11">
      <c r="A2369" s="11" t="s">
        <v>2395</v>
      </c>
      <c r="B2369" s="373" t="str">
        <f>报表附注!E2918</f>
        <v>2．非货币性资产交换利得</v>
      </c>
      <c r="C2369" s="321"/>
      <c r="D2369" s="11" t="b">
        <f t="shared" si="227"/>
        <v>1</v>
      </c>
      <c r="E2369" s="343"/>
      <c r="H2369" s="11" t="b">
        <f t="shared" si="224"/>
        <v>0</v>
      </c>
      <c r="I2369" s="11" t="s">
        <v>2410</v>
      </c>
      <c r="K2369" s="11" t="b">
        <v>1</v>
      </c>
    </row>
    <row r="2370" spans="1:11">
      <c r="A2370" s="11" t="s">
        <v>2396</v>
      </c>
      <c r="B2370" s="373" t="str">
        <f>报表附注!E2919</f>
        <v>3．债务重组利得</v>
      </c>
      <c r="C2370" s="321"/>
      <c r="D2370" s="11" t="b">
        <f t="shared" si="227"/>
        <v>1</v>
      </c>
      <c r="E2370" s="343"/>
      <c r="H2370" s="11" t="b">
        <f t="shared" si="224"/>
        <v>0</v>
      </c>
      <c r="I2370" s="11" t="s">
        <v>2411</v>
      </c>
      <c r="K2370" s="11" t="b">
        <v>1</v>
      </c>
    </row>
    <row r="2371" spans="1:11">
      <c r="A2371" s="11" t="s">
        <v>2397</v>
      </c>
      <c r="B2371" s="373" t="str">
        <f>报表附注!E2920</f>
        <v>4．政府补助</v>
      </c>
      <c r="C2371" s="321"/>
      <c r="D2371" s="11" t="b">
        <f t="shared" si="227"/>
        <v>1</v>
      </c>
      <c r="E2371" s="343"/>
      <c r="H2371" s="11" t="b">
        <f t="shared" si="224"/>
        <v>0</v>
      </c>
      <c r="I2371" s="11" t="s">
        <v>2412</v>
      </c>
      <c r="K2371" s="11" t="b">
        <v>1</v>
      </c>
    </row>
    <row r="2372" spans="1:11">
      <c r="A2372" s="11" t="s">
        <v>2398</v>
      </c>
      <c r="B2372" s="373" t="str">
        <f>报表附注!E2921</f>
        <v>5．盘盈利得</v>
      </c>
      <c r="C2372" s="321"/>
      <c r="D2372" s="11" t="b">
        <f t="shared" si="227"/>
        <v>1</v>
      </c>
      <c r="E2372" s="343"/>
      <c r="H2372" s="11" t="b">
        <f t="shared" ref="H2372:H2435" si="228">I2372=B2372</f>
        <v>0</v>
      </c>
      <c r="I2372" s="11" t="s">
        <v>2413</v>
      </c>
      <c r="K2372" s="11" t="b">
        <v>1</v>
      </c>
    </row>
    <row r="2373" spans="1:11">
      <c r="A2373" s="11" t="s">
        <v>2399</v>
      </c>
      <c r="B2373" s="373" t="str">
        <f>报表附注!E2922</f>
        <v>6．捐赠利得</v>
      </c>
      <c r="C2373" s="321"/>
      <c r="D2373" s="11" t="b">
        <f t="shared" si="227"/>
        <v>1</v>
      </c>
      <c r="E2373" s="343"/>
      <c r="H2373" s="11" t="b">
        <f t="shared" si="228"/>
        <v>0</v>
      </c>
      <c r="I2373" s="11" t="s">
        <v>2414</v>
      </c>
      <c r="K2373" s="11" t="b">
        <v>1</v>
      </c>
    </row>
    <row r="2374" spans="1:11">
      <c r="A2374" s="11" t="s">
        <v>2400</v>
      </c>
      <c r="B2374" s="373" t="str">
        <f>报表附注!E2923</f>
        <v>7．罚款收入</v>
      </c>
      <c r="C2374" s="321"/>
      <c r="D2374" s="11" t="b">
        <f t="shared" si="227"/>
        <v>1</v>
      </c>
      <c r="E2374" s="343"/>
      <c r="H2374" s="11" t="b">
        <f t="shared" si="228"/>
        <v>0</v>
      </c>
      <c r="I2374" s="11" t="s">
        <v>1207</v>
      </c>
      <c r="K2374" s="11" t="b">
        <v>1</v>
      </c>
    </row>
    <row r="2375" spans="1:11">
      <c r="A2375" s="11" t="s">
        <v>2401</v>
      </c>
      <c r="B2375" s="373" t="str">
        <f>报表附注!E2924</f>
        <v>8．其他</v>
      </c>
      <c r="C2375" s="321"/>
      <c r="D2375" s="11" t="b">
        <f t="shared" si="227"/>
        <v>1</v>
      </c>
      <c r="E2375" s="343"/>
      <c r="H2375" s="11" t="b">
        <f t="shared" si="228"/>
        <v>0</v>
      </c>
      <c r="I2375" s="11" t="s">
        <v>2403</v>
      </c>
      <c r="K2375" s="11" t="b">
        <v>1</v>
      </c>
    </row>
    <row r="2376" spans="1:11">
      <c r="A2376" s="11" t="s">
        <v>1207</v>
      </c>
      <c r="B2376" s="320" t="str">
        <f>报表附注!E2925</f>
        <v>合  计</v>
      </c>
      <c r="C2376" s="321"/>
      <c r="D2376" s="11" t="b">
        <f t="shared" si="227"/>
        <v>1</v>
      </c>
      <c r="E2376" s="343"/>
      <c r="H2376" s="11" t="b">
        <f t="shared" si="228"/>
        <v>0</v>
      </c>
      <c r="I2376" s="11" t="s">
        <v>2405</v>
      </c>
      <c r="K2376" s="11" t="b">
        <v>1</v>
      </c>
    </row>
    <row r="2377" spans="1:11">
      <c r="A2377" s="11" t="s">
        <v>2403</v>
      </c>
      <c r="B2377" s="333" t="s">
        <v>2403</v>
      </c>
      <c r="C2377" s="328"/>
      <c r="D2377" s="11" t="b">
        <f t="shared" si="227"/>
        <v>1</v>
      </c>
      <c r="H2377" s="11" t="b">
        <f t="shared" si="228"/>
        <v>0</v>
      </c>
      <c r="I2377" s="11" t="s">
        <v>2406</v>
      </c>
      <c r="K2377" s="11" t="b">
        <v>1</v>
      </c>
    </row>
    <row r="2378" spans="1:11">
      <c r="A2378" s="11" t="s">
        <v>2392</v>
      </c>
      <c r="B2378" s="373" t="str">
        <f>报表附注!E2915</f>
        <v>1．处置非流动资产利得小计</v>
      </c>
      <c r="C2378" s="321"/>
      <c r="D2378" s="11" t="b">
        <f t="shared" si="227"/>
        <v>1</v>
      </c>
      <c r="E2378" s="321">
        <f>C2366</f>
        <v>0</v>
      </c>
      <c r="H2378" s="11" t="b">
        <f t="shared" si="228"/>
        <v>0</v>
      </c>
      <c r="I2378" s="11" t="s">
        <v>2407</v>
      </c>
      <c r="K2378" s="11" t="b">
        <v>1</v>
      </c>
    </row>
    <row r="2379" spans="1:11">
      <c r="A2379" s="11" t="s">
        <v>2393</v>
      </c>
      <c r="B2379" s="373" t="str">
        <f>报表附注!E2916</f>
        <v>其中：处置固定资产利得</v>
      </c>
      <c r="C2379" s="321"/>
      <c r="D2379" s="11" t="b">
        <f t="shared" si="227"/>
        <v>1</v>
      </c>
      <c r="E2379" s="321">
        <f t="shared" ref="E2379:E2388" si="229">C2367</f>
        <v>0</v>
      </c>
      <c r="H2379" s="11" t="b">
        <f t="shared" si="228"/>
        <v>0</v>
      </c>
      <c r="I2379" s="11" t="s">
        <v>2408</v>
      </c>
      <c r="K2379" s="11" t="b">
        <v>1</v>
      </c>
    </row>
    <row r="2380" spans="1:11">
      <c r="A2380" s="11" t="s">
        <v>2394</v>
      </c>
      <c r="B2380" s="373" t="str">
        <f>报表附注!E2917</f>
        <v>      处置无形资产利得</v>
      </c>
      <c r="C2380" s="321"/>
      <c r="D2380" s="11" t="b">
        <f t="shared" si="227"/>
        <v>1</v>
      </c>
      <c r="E2380" s="321">
        <f t="shared" si="229"/>
        <v>0</v>
      </c>
      <c r="H2380" s="11" t="b">
        <f t="shared" si="228"/>
        <v>0</v>
      </c>
      <c r="I2380" s="11" t="s">
        <v>2409</v>
      </c>
      <c r="K2380" s="11" t="b">
        <v>1</v>
      </c>
    </row>
    <row r="2381" spans="1:11">
      <c r="A2381" s="11" t="s">
        <v>2395</v>
      </c>
      <c r="B2381" s="373" t="str">
        <f>报表附注!E2918</f>
        <v>2．非货币性资产交换利得</v>
      </c>
      <c r="C2381" s="321"/>
      <c r="D2381" s="11" t="b">
        <f t="shared" si="227"/>
        <v>1</v>
      </c>
      <c r="E2381" s="321">
        <f t="shared" si="229"/>
        <v>0</v>
      </c>
      <c r="H2381" s="11" t="b">
        <f t="shared" si="228"/>
        <v>0</v>
      </c>
      <c r="I2381" s="11" t="s">
        <v>2410</v>
      </c>
      <c r="K2381" s="11" t="b">
        <v>1</v>
      </c>
    </row>
    <row r="2382" spans="1:11">
      <c r="A2382" s="11" t="s">
        <v>2396</v>
      </c>
      <c r="B2382" s="373" t="str">
        <f>报表附注!E2919</f>
        <v>3．债务重组利得</v>
      </c>
      <c r="C2382" s="321"/>
      <c r="D2382" s="11" t="b">
        <f t="shared" si="227"/>
        <v>1</v>
      </c>
      <c r="E2382" s="321">
        <f t="shared" si="229"/>
        <v>0</v>
      </c>
      <c r="H2382" s="11" t="b">
        <f t="shared" si="228"/>
        <v>0</v>
      </c>
      <c r="I2382" s="11" t="s">
        <v>2411</v>
      </c>
      <c r="K2382" s="11" t="b">
        <v>1</v>
      </c>
    </row>
    <row r="2383" spans="1:11">
      <c r="A2383" s="11" t="s">
        <v>2397</v>
      </c>
      <c r="B2383" s="373" t="str">
        <f>报表附注!E2920</f>
        <v>4．政府补助</v>
      </c>
      <c r="C2383" s="321"/>
      <c r="D2383" s="11" t="b">
        <f t="shared" si="227"/>
        <v>1</v>
      </c>
      <c r="E2383" s="321">
        <f t="shared" si="229"/>
        <v>0</v>
      </c>
      <c r="H2383" s="11" t="b">
        <f t="shared" si="228"/>
        <v>0</v>
      </c>
      <c r="I2383" s="11" t="s">
        <v>2412</v>
      </c>
      <c r="K2383" s="11" t="b">
        <v>1</v>
      </c>
    </row>
    <row r="2384" spans="1:11">
      <c r="A2384" s="11" t="s">
        <v>2398</v>
      </c>
      <c r="B2384" s="373" t="str">
        <f>报表附注!E2921</f>
        <v>5．盘盈利得</v>
      </c>
      <c r="C2384" s="321"/>
      <c r="D2384" s="11" t="b">
        <f t="shared" si="227"/>
        <v>1</v>
      </c>
      <c r="E2384" s="321">
        <f t="shared" si="229"/>
        <v>0</v>
      </c>
      <c r="H2384" s="11" t="b">
        <f t="shared" si="228"/>
        <v>0</v>
      </c>
      <c r="I2384" s="11" t="s">
        <v>2413</v>
      </c>
      <c r="K2384" s="11" t="b">
        <v>1</v>
      </c>
    </row>
    <row r="2385" spans="1:11">
      <c r="A2385" s="11" t="s">
        <v>2399</v>
      </c>
      <c r="B2385" s="373" t="str">
        <f>报表附注!E2922</f>
        <v>6．捐赠利得</v>
      </c>
      <c r="C2385" s="321"/>
      <c r="D2385" s="11" t="b">
        <f t="shared" si="227"/>
        <v>1</v>
      </c>
      <c r="E2385" s="321">
        <f t="shared" si="229"/>
        <v>0</v>
      </c>
      <c r="H2385" s="11" t="b">
        <f t="shared" si="228"/>
        <v>0</v>
      </c>
      <c r="I2385" s="11" t="s">
        <v>2414</v>
      </c>
      <c r="K2385" s="11" t="b">
        <v>1</v>
      </c>
    </row>
    <row r="2386" spans="1:11">
      <c r="A2386" s="11" t="s">
        <v>2400</v>
      </c>
      <c r="B2386" s="373" t="str">
        <f>报表附注!E2923</f>
        <v>7．罚款收入</v>
      </c>
      <c r="C2386" s="321"/>
      <c r="D2386" s="11" t="b">
        <f t="shared" si="227"/>
        <v>1</v>
      </c>
      <c r="E2386" s="321">
        <f t="shared" si="229"/>
        <v>0</v>
      </c>
      <c r="H2386" s="11" t="b">
        <f t="shared" si="228"/>
        <v>0</v>
      </c>
      <c r="I2386" s="11" t="s">
        <v>1207</v>
      </c>
      <c r="K2386" s="11" t="b">
        <v>1</v>
      </c>
    </row>
    <row r="2387" spans="1:11">
      <c r="A2387" s="11" t="s">
        <v>2401</v>
      </c>
      <c r="B2387" s="373" t="str">
        <f>报表附注!E2924</f>
        <v>8．其他</v>
      </c>
      <c r="C2387" s="321"/>
      <c r="D2387" s="11" t="b">
        <f t="shared" si="227"/>
        <v>1</v>
      </c>
      <c r="E2387" s="321">
        <f t="shared" si="229"/>
        <v>0</v>
      </c>
      <c r="H2387" s="11" t="b">
        <f t="shared" si="228"/>
        <v>0</v>
      </c>
      <c r="K2387" s="11" t="b">
        <v>1</v>
      </c>
    </row>
    <row r="2388" spans="1:11">
      <c r="A2388" s="11" t="s">
        <v>1207</v>
      </c>
      <c r="B2388" s="320" t="str">
        <f>报表附注!E2925</f>
        <v>合  计</v>
      </c>
      <c r="C2388" s="321"/>
      <c r="D2388" s="11" t="b">
        <f t="shared" si="227"/>
        <v>1</v>
      </c>
      <c r="E2388" s="321">
        <f t="shared" si="229"/>
        <v>0</v>
      </c>
      <c r="H2388" s="11" t="b">
        <f t="shared" si="228"/>
        <v>0</v>
      </c>
      <c r="I2388" s="11" t="s">
        <v>2415</v>
      </c>
      <c r="K2388" s="11" t="b">
        <v>1</v>
      </c>
    </row>
    <row r="2389" spans="3:11">
      <c r="C2389" s="328"/>
      <c r="D2389" s="11" t="b">
        <f t="shared" si="227"/>
        <v>1</v>
      </c>
      <c r="H2389" s="11" t="b">
        <f t="shared" si="228"/>
        <v>0</v>
      </c>
      <c r="I2389" s="11" t="s">
        <v>2347</v>
      </c>
      <c r="K2389" s="11" t="b">
        <v>1</v>
      </c>
    </row>
    <row r="2390" spans="1:11">
      <c r="A2390" s="11" t="s">
        <v>2404</v>
      </c>
      <c r="B2390" s="329" t="s">
        <v>2404</v>
      </c>
      <c r="C2390" s="328"/>
      <c r="D2390" s="11" t="b">
        <f t="shared" si="227"/>
        <v>1</v>
      </c>
      <c r="F2390" s="389" t="s">
        <v>315</v>
      </c>
      <c r="G2390" s="389" t="s">
        <v>2347</v>
      </c>
      <c r="H2390" s="11" t="b">
        <f t="shared" si="228"/>
        <v>0</v>
      </c>
      <c r="I2390" s="11" t="s">
        <v>1670</v>
      </c>
      <c r="K2390" s="11" t="b">
        <v>1</v>
      </c>
    </row>
    <row r="2391" spans="1:11">
      <c r="A2391" s="11" t="s">
        <v>2347</v>
      </c>
      <c r="B2391" s="333" t="s">
        <v>2347</v>
      </c>
      <c r="C2391" s="328"/>
      <c r="D2391" s="11" t="b">
        <f t="shared" si="227"/>
        <v>1</v>
      </c>
      <c r="F2391" s="389" t="s">
        <v>5753</v>
      </c>
      <c r="G2391" s="389"/>
      <c r="H2391" s="11" t="b">
        <f t="shared" si="228"/>
        <v>0</v>
      </c>
      <c r="I2391" s="11" t="s">
        <v>2416</v>
      </c>
      <c r="K2391" s="11" t="b">
        <v>1</v>
      </c>
    </row>
    <row r="2392" spans="1:11">
      <c r="A2392" s="11" t="s">
        <v>2405</v>
      </c>
      <c r="B2392" s="310" t="str">
        <f>报表附注!E2981</f>
        <v>１．处置非流动资损失合计</v>
      </c>
      <c r="C2392" s="318">
        <f>G2391</f>
        <v>0</v>
      </c>
      <c r="D2392" s="11" t="b">
        <f t="shared" si="227"/>
        <v>1</v>
      </c>
      <c r="E2392" s="311"/>
      <c r="F2392" s="389" t="s">
        <v>5754</v>
      </c>
      <c r="G2392" s="389">
        <v>24270.57</v>
      </c>
      <c r="H2392" s="11" t="b">
        <f t="shared" si="228"/>
        <v>0</v>
      </c>
      <c r="I2392" s="11" t="s">
        <v>2417</v>
      </c>
      <c r="J2392" s="323">
        <v>141179.89</v>
      </c>
      <c r="K2392" s="11" t="b">
        <v>1</v>
      </c>
    </row>
    <row r="2393" spans="1:11">
      <c r="A2393" s="11" t="s">
        <v>2406</v>
      </c>
      <c r="B2393" s="310" t="str">
        <f>报表附注!E2982</f>
        <v>  其中：处置固定资产损失</v>
      </c>
      <c r="C2393" s="318">
        <f t="shared" ref="C2393:C2397" si="230">G2392</f>
        <v>24270.57</v>
      </c>
      <c r="D2393" s="11" t="b">
        <f t="shared" si="227"/>
        <v>1</v>
      </c>
      <c r="E2393" s="311"/>
      <c r="F2393" s="389" t="s">
        <v>5755</v>
      </c>
      <c r="G2393" s="389"/>
      <c r="H2393" s="11" t="b">
        <f t="shared" si="228"/>
        <v>0</v>
      </c>
      <c r="I2393" s="11" t="s">
        <v>2351</v>
      </c>
      <c r="K2393" s="11" t="b">
        <v>1</v>
      </c>
    </row>
    <row r="2394" spans="1:11">
      <c r="A2394" s="11" t="s">
        <v>2407</v>
      </c>
      <c r="B2394" s="310" t="str">
        <f>报表附注!E2983</f>
        <v>          处置无形资产损失</v>
      </c>
      <c r="C2394" s="318">
        <f t="shared" si="230"/>
        <v>0</v>
      </c>
      <c r="D2394" s="11" t="b">
        <f t="shared" si="227"/>
        <v>1</v>
      </c>
      <c r="E2394" s="311"/>
      <c r="F2394" s="389" t="s">
        <v>5756</v>
      </c>
      <c r="G2394" s="389"/>
      <c r="H2394" s="11" t="b">
        <f t="shared" si="228"/>
        <v>0</v>
      </c>
      <c r="I2394" s="11" t="s">
        <v>1670</v>
      </c>
      <c r="K2394" s="11" t="b">
        <v>1</v>
      </c>
    </row>
    <row r="2395" spans="1:11">
      <c r="A2395" s="11" t="s">
        <v>2408</v>
      </c>
      <c r="B2395" s="310" t="str">
        <f>报表附注!E2984</f>
        <v>２．非贷币性资产交换损失</v>
      </c>
      <c r="C2395" s="318">
        <f>G2395</f>
        <v>0</v>
      </c>
      <c r="D2395" s="11" t="b">
        <f t="shared" si="227"/>
        <v>1</v>
      </c>
      <c r="E2395" s="311"/>
      <c r="F2395" s="389" t="s">
        <v>5757</v>
      </c>
      <c r="G2395" s="389"/>
      <c r="H2395" s="11" t="b">
        <f t="shared" si="228"/>
        <v>0</v>
      </c>
      <c r="I2395" s="11" t="s">
        <v>2416</v>
      </c>
      <c r="K2395" s="11" t="b">
        <v>1</v>
      </c>
    </row>
    <row r="2396" spans="1:11">
      <c r="A2396" s="11" t="s">
        <v>2409</v>
      </c>
      <c r="B2396" s="310" t="str">
        <f>报表附注!E2985</f>
        <v>３．债务重组损失</v>
      </c>
      <c r="C2396" s="318">
        <f>G2394</f>
        <v>0</v>
      </c>
      <c r="D2396" s="11" t="b">
        <f t="shared" si="227"/>
        <v>1</v>
      </c>
      <c r="E2396" s="311"/>
      <c r="F2396" s="389" t="s">
        <v>5758</v>
      </c>
      <c r="G2396" s="389"/>
      <c r="H2396" s="11" t="b">
        <f t="shared" si="228"/>
        <v>0</v>
      </c>
      <c r="I2396" s="11" t="s">
        <v>2417</v>
      </c>
      <c r="K2396" s="11" t="b">
        <v>1</v>
      </c>
    </row>
    <row r="2397" spans="1:11">
      <c r="A2397" s="11" t="s">
        <v>2410</v>
      </c>
      <c r="B2397" s="310" t="str">
        <f>报表附注!E2986</f>
        <v>４．公益性捐赠支出</v>
      </c>
      <c r="C2397" s="318">
        <f t="shared" si="230"/>
        <v>0</v>
      </c>
      <c r="D2397" s="11" t="b">
        <f t="shared" si="227"/>
        <v>1</v>
      </c>
      <c r="E2397" s="311"/>
      <c r="F2397" s="389" t="s">
        <v>5759</v>
      </c>
      <c r="G2397" s="389">
        <v>11.08</v>
      </c>
      <c r="H2397" s="11" t="b">
        <f t="shared" si="228"/>
        <v>0</v>
      </c>
      <c r="K2397" s="11" t="b">
        <v>1</v>
      </c>
    </row>
    <row r="2398" spans="1:11">
      <c r="A2398" s="11" t="s">
        <v>2411</v>
      </c>
      <c r="B2398" s="310" t="str">
        <f>报表附注!E2987</f>
        <v>５．非常损失</v>
      </c>
      <c r="C2398" s="318"/>
      <c r="D2398" s="11" t="b">
        <f t="shared" si="227"/>
        <v>1</v>
      </c>
      <c r="E2398" s="311"/>
      <c r="F2398" s="389" t="s">
        <v>5760</v>
      </c>
      <c r="G2398" s="389"/>
      <c r="H2398" s="11" t="b">
        <f t="shared" si="228"/>
        <v>0</v>
      </c>
      <c r="K2398" s="11" t="b">
        <v>1</v>
      </c>
    </row>
    <row r="2399" spans="1:11">
      <c r="A2399" s="11" t="s">
        <v>2412</v>
      </c>
      <c r="B2399" s="310" t="str">
        <f>报表附注!E2988</f>
        <v>６．盘亏损失</v>
      </c>
      <c r="C2399" s="318">
        <f>G2398</f>
        <v>0</v>
      </c>
      <c r="D2399" s="11" t="b">
        <f t="shared" si="227"/>
        <v>1</v>
      </c>
      <c r="E2399" s="311"/>
      <c r="F2399" s="389" t="s">
        <v>5761</v>
      </c>
      <c r="G2399" s="389"/>
      <c r="H2399" s="11" t="b">
        <f t="shared" si="228"/>
        <v>0</v>
      </c>
      <c r="I2399" s="11" t="s">
        <v>2418</v>
      </c>
      <c r="K2399" s="11" t="b">
        <v>1</v>
      </c>
    </row>
    <row r="2400" spans="1:11">
      <c r="A2400" s="11" t="s">
        <v>2413</v>
      </c>
      <c r="B2400" s="310" t="str">
        <f>报表附注!E2989</f>
        <v>７．罚款支出</v>
      </c>
      <c r="C2400" s="318">
        <f>G2397</f>
        <v>11.08</v>
      </c>
      <c r="D2400" s="11" t="b">
        <f t="shared" si="227"/>
        <v>1</v>
      </c>
      <c r="E2400" s="311"/>
      <c r="F2400" s="389" t="s">
        <v>5762</v>
      </c>
      <c r="G2400" s="389"/>
      <c r="H2400" s="11" t="b">
        <f t="shared" si="228"/>
        <v>0</v>
      </c>
      <c r="K2400" s="11" t="b">
        <v>1</v>
      </c>
    </row>
    <row r="2401" spans="1:11">
      <c r="A2401" s="11" t="s">
        <v>2414</v>
      </c>
      <c r="B2401" s="310" t="str">
        <f>报表附注!E2990</f>
        <v>８．其他</v>
      </c>
      <c r="C2401" s="318">
        <f>G2399</f>
        <v>0</v>
      </c>
      <c r="D2401" s="11" t="b">
        <f t="shared" si="227"/>
        <v>1</v>
      </c>
      <c r="E2401" s="311"/>
      <c r="F2401" s="389"/>
      <c r="G2401" s="389"/>
      <c r="H2401" s="11" t="b">
        <f t="shared" si="228"/>
        <v>0</v>
      </c>
      <c r="I2401" s="11" t="s">
        <v>2419</v>
      </c>
      <c r="K2401" s="11" t="b">
        <v>1</v>
      </c>
    </row>
    <row r="2402" spans="1:11">
      <c r="A2402" s="11" t="s">
        <v>1207</v>
      </c>
      <c r="B2402" s="320" t="str">
        <f>报表附注!E2991</f>
        <v>合  计</v>
      </c>
      <c r="C2402" s="318">
        <f>G2402</f>
        <v>0</v>
      </c>
      <c r="D2402" s="11" t="b">
        <f t="shared" si="227"/>
        <v>1</v>
      </c>
      <c r="E2402" s="311"/>
      <c r="F2402" s="389" t="s">
        <v>1207</v>
      </c>
      <c r="G2402" s="389"/>
      <c r="H2402" s="11" t="b">
        <f t="shared" si="228"/>
        <v>0</v>
      </c>
      <c r="I2402" s="11" t="s">
        <v>2420</v>
      </c>
      <c r="K2402" s="11" t="b">
        <v>1</v>
      </c>
    </row>
    <row r="2403" spans="1:11">
      <c r="A2403" s="11" t="s">
        <v>2351</v>
      </c>
      <c r="B2403" s="333" t="s">
        <v>2351</v>
      </c>
      <c r="C2403" s="328"/>
      <c r="D2403" s="11" t="b">
        <f t="shared" si="227"/>
        <v>1</v>
      </c>
      <c r="H2403" s="11" t="b">
        <f t="shared" si="228"/>
        <v>0</v>
      </c>
      <c r="I2403" s="11" t="s">
        <v>2433</v>
      </c>
      <c r="K2403" s="11" t="b">
        <v>0</v>
      </c>
    </row>
    <row r="2404" spans="1:11">
      <c r="A2404" s="11" t="s">
        <v>2405</v>
      </c>
      <c r="B2404" s="310" t="str">
        <f>报表附注!E2981</f>
        <v>１．处置非流动资损失合计</v>
      </c>
      <c r="C2404" s="321"/>
      <c r="D2404" s="11" t="b">
        <f t="shared" si="227"/>
        <v>1</v>
      </c>
      <c r="E2404" s="321">
        <f>C2392</f>
        <v>0</v>
      </c>
      <c r="H2404" s="11" t="b">
        <f t="shared" si="228"/>
        <v>0</v>
      </c>
      <c r="I2404" s="11" t="s">
        <v>2434</v>
      </c>
      <c r="K2404" s="11" t="b">
        <v>0</v>
      </c>
    </row>
    <row r="2405" spans="1:11">
      <c r="A2405" s="11" t="s">
        <v>2406</v>
      </c>
      <c r="B2405" s="310" t="str">
        <f>报表附注!E2982</f>
        <v>  其中：处置固定资产损失</v>
      </c>
      <c r="C2405" s="321"/>
      <c r="D2405" s="11" t="b">
        <f t="shared" si="227"/>
        <v>1</v>
      </c>
      <c r="E2405" s="321">
        <f t="shared" ref="E2405:E2414" si="231">C2393</f>
        <v>24270.57</v>
      </c>
      <c r="H2405" s="11" t="b">
        <f t="shared" si="228"/>
        <v>0</v>
      </c>
      <c r="I2405" s="11" t="s">
        <v>2424</v>
      </c>
      <c r="K2405" s="11" t="b">
        <v>0</v>
      </c>
    </row>
    <row r="2406" spans="1:11">
      <c r="A2406" s="11" t="s">
        <v>2407</v>
      </c>
      <c r="B2406" s="310" t="str">
        <f>报表附注!E2983</f>
        <v>          处置无形资产损失</v>
      </c>
      <c r="C2406" s="321"/>
      <c r="D2406" s="11" t="b">
        <f t="shared" si="227"/>
        <v>1</v>
      </c>
      <c r="E2406" s="321">
        <f t="shared" si="231"/>
        <v>0</v>
      </c>
      <c r="H2406" s="11" t="b">
        <f t="shared" si="228"/>
        <v>0</v>
      </c>
      <c r="I2406" s="11" t="s">
        <v>2203</v>
      </c>
      <c r="K2406" s="11" t="b">
        <v>0</v>
      </c>
    </row>
    <row r="2407" spans="1:11">
      <c r="A2407" s="11" t="s">
        <v>2408</v>
      </c>
      <c r="B2407" s="310" t="str">
        <f>报表附注!E2984</f>
        <v>２．非贷币性资产交换损失</v>
      </c>
      <c r="C2407" s="321"/>
      <c r="D2407" s="11" t="b">
        <f t="shared" si="227"/>
        <v>1</v>
      </c>
      <c r="E2407" s="321">
        <f t="shared" si="231"/>
        <v>0</v>
      </c>
      <c r="H2407" s="11" t="b">
        <f t="shared" si="228"/>
        <v>0</v>
      </c>
      <c r="I2407" s="11">
        <v>0</v>
      </c>
      <c r="K2407" s="11" t="b">
        <v>0</v>
      </c>
    </row>
    <row r="2408" spans="1:11">
      <c r="A2408" s="11" t="s">
        <v>2409</v>
      </c>
      <c r="B2408" s="310" t="str">
        <f>报表附注!E2985</f>
        <v>３．债务重组损失</v>
      </c>
      <c r="C2408" s="321"/>
      <c r="D2408" s="11" t="b">
        <f t="shared" si="227"/>
        <v>1</v>
      </c>
      <c r="E2408" s="321">
        <f t="shared" si="231"/>
        <v>0</v>
      </c>
      <c r="H2408" s="11" t="b">
        <f t="shared" si="228"/>
        <v>0</v>
      </c>
      <c r="I2408" s="11">
        <v>0</v>
      </c>
      <c r="K2408" s="11" t="b">
        <v>0</v>
      </c>
    </row>
    <row r="2409" spans="1:11">
      <c r="A2409" s="11" t="s">
        <v>2410</v>
      </c>
      <c r="B2409" s="310" t="str">
        <f>报表附注!E2986</f>
        <v>４．公益性捐赠支出</v>
      </c>
      <c r="C2409" s="321"/>
      <c r="D2409" s="11" t="b">
        <f t="shared" si="227"/>
        <v>1</v>
      </c>
      <c r="E2409" s="321">
        <f t="shared" si="231"/>
        <v>0</v>
      </c>
      <c r="H2409" s="11" t="b">
        <f t="shared" si="228"/>
        <v>0</v>
      </c>
      <c r="I2409" s="11">
        <v>0</v>
      </c>
      <c r="K2409" s="11" t="b">
        <v>0</v>
      </c>
    </row>
    <row r="2410" spans="1:11">
      <c r="A2410" s="11" t="s">
        <v>2411</v>
      </c>
      <c r="B2410" s="310" t="str">
        <f>报表附注!E2987</f>
        <v>５．非常损失</v>
      </c>
      <c r="C2410" s="321"/>
      <c r="D2410" s="11" t="b">
        <f t="shared" si="227"/>
        <v>1</v>
      </c>
      <c r="E2410" s="321">
        <f t="shared" si="231"/>
        <v>0</v>
      </c>
      <c r="H2410" s="11" t="b">
        <f t="shared" si="228"/>
        <v>0</v>
      </c>
      <c r="I2410" s="11" t="s">
        <v>5763</v>
      </c>
      <c r="K2410" s="11" t="b">
        <v>0</v>
      </c>
    </row>
    <row r="2411" spans="1:11">
      <c r="A2411" s="11" t="s">
        <v>2412</v>
      </c>
      <c r="B2411" s="310" t="str">
        <f>报表附注!E2988</f>
        <v>６．盘亏损失</v>
      </c>
      <c r="C2411" s="321"/>
      <c r="D2411" s="11" t="b">
        <f t="shared" si="227"/>
        <v>1</v>
      </c>
      <c r="E2411" s="321">
        <f t="shared" si="231"/>
        <v>0</v>
      </c>
      <c r="H2411" s="11" t="b">
        <f t="shared" si="228"/>
        <v>0</v>
      </c>
      <c r="I2411" s="11" t="s">
        <v>4277</v>
      </c>
      <c r="K2411" s="11" t="b">
        <v>0</v>
      </c>
    </row>
    <row r="2412" spans="1:11">
      <c r="A2412" s="11" t="s">
        <v>2413</v>
      </c>
      <c r="B2412" s="310" t="str">
        <f>报表附注!E2989</f>
        <v>７．罚款支出</v>
      </c>
      <c r="C2412" s="321"/>
      <c r="D2412" s="11" t="b">
        <f t="shared" si="227"/>
        <v>1</v>
      </c>
      <c r="E2412" s="321">
        <f t="shared" si="231"/>
        <v>11.08</v>
      </c>
      <c r="H2412" s="11" t="b">
        <f t="shared" si="228"/>
        <v>0</v>
      </c>
      <c r="I2412" s="11" t="s">
        <v>4276</v>
      </c>
      <c r="K2412" s="11" t="b">
        <v>0</v>
      </c>
    </row>
    <row r="2413" spans="1:11">
      <c r="A2413" s="11" t="s">
        <v>2414</v>
      </c>
      <c r="B2413" s="310" t="str">
        <f>报表附注!E2990</f>
        <v>８．其他</v>
      </c>
      <c r="C2413" s="321"/>
      <c r="D2413" s="11" t="b">
        <f t="shared" si="227"/>
        <v>1</v>
      </c>
      <c r="E2413" s="321">
        <f t="shared" si="231"/>
        <v>0</v>
      </c>
      <c r="H2413" s="11" t="b">
        <f t="shared" si="228"/>
        <v>0</v>
      </c>
      <c r="I2413" s="11" t="s">
        <v>4280</v>
      </c>
      <c r="K2413" s="11" t="b">
        <v>0</v>
      </c>
    </row>
    <row r="2414" spans="1:11">
      <c r="A2414" s="11" t="s">
        <v>1207</v>
      </c>
      <c r="B2414" s="320" t="str">
        <f>报表附注!E2991</f>
        <v>合  计</v>
      </c>
      <c r="C2414" s="321"/>
      <c r="D2414" s="11" t="b">
        <f t="shared" si="227"/>
        <v>1</v>
      </c>
      <c r="E2414" s="321">
        <f t="shared" si="231"/>
        <v>0</v>
      </c>
      <c r="H2414" s="11" t="b">
        <f t="shared" si="228"/>
        <v>0</v>
      </c>
      <c r="I2414" s="11" t="s">
        <v>4281</v>
      </c>
      <c r="K2414" s="11" t="b">
        <v>0</v>
      </c>
    </row>
    <row r="2415" spans="1:11">
      <c r="A2415" s="11" t="s">
        <v>2402</v>
      </c>
      <c r="B2415" s="333" t="s">
        <v>2402</v>
      </c>
      <c r="C2415" s="328"/>
      <c r="D2415" s="11" t="b">
        <f t="shared" si="227"/>
        <v>1</v>
      </c>
      <c r="H2415" s="11" t="b">
        <f t="shared" si="228"/>
        <v>0</v>
      </c>
      <c r="I2415" s="11" t="s">
        <v>4283</v>
      </c>
      <c r="K2415" s="11" t="b">
        <v>0</v>
      </c>
    </row>
    <row r="2416" spans="1:11">
      <c r="A2416" s="11" t="s">
        <v>2405</v>
      </c>
      <c r="B2416" s="373" t="str">
        <f>报表附注!E2981</f>
        <v>１．处置非流动资损失合计</v>
      </c>
      <c r="C2416" s="321"/>
      <c r="D2416" s="11" t="b">
        <f t="shared" si="227"/>
        <v>1</v>
      </c>
      <c r="E2416" s="311"/>
      <c r="H2416" s="11" t="b">
        <f t="shared" si="228"/>
        <v>0</v>
      </c>
      <c r="I2416" s="11" t="s">
        <v>4284</v>
      </c>
      <c r="K2416" s="11" t="b">
        <v>0</v>
      </c>
    </row>
    <row r="2417" spans="1:11">
      <c r="A2417" s="11" t="s">
        <v>2406</v>
      </c>
      <c r="B2417" s="373" t="str">
        <f>报表附注!E2982</f>
        <v>  其中：处置固定资产损失</v>
      </c>
      <c r="C2417" s="321"/>
      <c r="D2417" s="11" t="b">
        <f t="shared" si="227"/>
        <v>1</v>
      </c>
      <c r="E2417" s="311"/>
      <c r="H2417" s="11" t="b">
        <f t="shared" si="228"/>
        <v>0</v>
      </c>
      <c r="I2417" s="11">
        <v>0</v>
      </c>
      <c r="K2417" s="11" t="b">
        <v>0</v>
      </c>
    </row>
    <row r="2418" spans="1:11">
      <c r="A2418" s="11" t="s">
        <v>2407</v>
      </c>
      <c r="B2418" s="373" t="str">
        <f>报表附注!E2983</f>
        <v>          处置无形资产损失</v>
      </c>
      <c r="C2418" s="321"/>
      <c r="D2418" s="11" t="b">
        <f t="shared" si="227"/>
        <v>1</v>
      </c>
      <c r="E2418" s="311"/>
      <c r="H2418" s="11" t="b">
        <f t="shared" si="228"/>
        <v>0</v>
      </c>
      <c r="I2418" s="11">
        <v>0</v>
      </c>
      <c r="K2418" s="11" t="b">
        <v>0</v>
      </c>
    </row>
    <row r="2419" spans="1:11">
      <c r="A2419" s="11" t="s">
        <v>2408</v>
      </c>
      <c r="B2419" s="373" t="str">
        <f>报表附注!E2984</f>
        <v>２．非贷币性资产交换损失</v>
      </c>
      <c r="C2419" s="321"/>
      <c r="D2419" s="11" t="b">
        <f t="shared" si="227"/>
        <v>1</v>
      </c>
      <c r="E2419" s="311"/>
      <c r="H2419" s="11" t="b">
        <f t="shared" si="228"/>
        <v>0</v>
      </c>
      <c r="I2419" s="11">
        <v>0</v>
      </c>
      <c r="K2419" s="11" t="b">
        <v>0</v>
      </c>
    </row>
    <row r="2420" spans="1:11">
      <c r="A2420" s="11" t="s">
        <v>2409</v>
      </c>
      <c r="B2420" s="373" t="str">
        <f>报表附注!E2985</f>
        <v>３．债务重组损失</v>
      </c>
      <c r="C2420" s="321"/>
      <c r="D2420" s="11" t="b">
        <f t="shared" si="227"/>
        <v>1</v>
      </c>
      <c r="E2420" s="311"/>
      <c r="H2420" s="11" t="b">
        <f t="shared" si="228"/>
        <v>0</v>
      </c>
      <c r="I2420" s="11">
        <v>0</v>
      </c>
      <c r="K2420" s="11" t="b">
        <v>0</v>
      </c>
    </row>
    <row r="2421" spans="1:11">
      <c r="A2421" s="11" t="s">
        <v>2410</v>
      </c>
      <c r="B2421" s="373" t="str">
        <f>报表附注!E2986</f>
        <v>４．公益性捐赠支出</v>
      </c>
      <c r="C2421" s="321"/>
      <c r="D2421" s="11" t="b">
        <f t="shared" si="227"/>
        <v>1</v>
      </c>
      <c r="E2421" s="311"/>
      <c r="H2421" s="11" t="b">
        <f t="shared" si="228"/>
        <v>0</v>
      </c>
      <c r="I2421" s="11">
        <v>0</v>
      </c>
      <c r="K2421" s="11" t="b">
        <v>0</v>
      </c>
    </row>
    <row r="2422" spans="1:11">
      <c r="A2422" s="11" t="s">
        <v>2411</v>
      </c>
      <c r="B2422" s="373" t="str">
        <f>报表附注!E2987</f>
        <v>５．非常损失</v>
      </c>
      <c r="C2422" s="321"/>
      <c r="D2422" s="11" t="b">
        <f t="shared" si="227"/>
        <v>1</v>
      </c>
      <c r="E2422" s="311"/>
      <c r="H2422" s="11" t="b">
        <f t="shared" si="228"/>
        <v>0</v>
      </c>
      <c r="I2422" s="11">
        <v>0</v>
      </c>
      <c r="K2422" s="11" t="b">
        <v>0</v>
      </c>
    </row>
    <row r="2423" spans="1:11">
      <c r="A2423" s="11" t="s">
        <v>2412</v>
      </c>
      <c r="B2423" s="373" t="str">
        <f>报表附注!E2988</f>
        <v>６．盘亏损失</v>
      </c>
      <c r="C2423" s="321"/>
      <c r="D2423" s="11" t="b">
        <f t="shared" si="227"/>
        <v>1</v>
      </c>
      <c r="E2423" s="311"/>
      <c r="H2423" s="11" t="b">
        <f t="shared" si="228"/>
        <v>0</v>
      </c>
      <c r="I2423" s="11">
        <v>0</v>
      </c>
      <c r="K2423" s="11" t="b">
        <v>0</v>
      </c>
    </row>
    <row r="2424" spans="1:11">
      <c r="A2424" s="11" t="s">
        <v>2413</v>
      </c>
      <c r="B2424" s="373" t="str">
        <f>报表附注!E2989</f>
        <v>７．罚款支出</v>
      </c>
      <c r="C2424" s="321"/>
      <c r="D2424" s="11" t="b">
        <f t="shared" si="227"/>
        <v>1</v>
      </c>
      <c r="E2424" s="311"/>
      <c r="H2424" s="11" t="b">
        <f t="shared" si="228"/>
        <v>0</v>
      </c>
      <c r="I2424" s="11" t="s">
        <v>2435</v>
      </c>
      <c r="K2424" s="11" t="b">
        <v>1</v>
      </c>
    </row>
    <row r="2425" spans="1:11">
      <c r="A2425" s="11" t="s">
        <v>2414</v>
      </c>
      <c r="B2425" s="373" t="str">
        <f>报表附注!E2990</f>
        <v>８．其他</v>
      </c>
      <c r="C2425" s="321"/>
      <c r="D2425" s="11" t="b">
        <f t="shared" si="227"/>
        <v>1</v>
      </c>
      <c r="E2425" s="311"/>
      <c r="H2425" s="11" t="b">
        <f t="shared" si="228"/>
        <v>0</v>
      </c>
      <c r="I2425" s="11" t="s">
        <v>2433</v>
      </c>
      <c r="K2425" s="11" t="b">
        <v>0</v>
      </c>
    </row>
    <row r="2426" spans="1:11">
      <c r="A2426" s="11" t="s">
        <v>1207</v>
      </c>
      <c r="B2426" s="320" t="str">
        <f>报表附注!E2991</f>
        <v>合  计</v>
      </c>
      <c r="C2426" s="321"/>
      <c r="D2426" s="11" t="b">
        <f t="shared" si="227"/>
        <v>1</v>
      </c>
      <c r="E2426" s="311"/>
      <c r="H2426" s="11" t="b">
        <f t="shared" si="228"/>
        <v>0</v>
      </c>
      <c r="I2426" s="11" t="s">
        <v>2434</v>
      </c>
      <c r="K2426" s="11" t="b">
        <v>0</v>
      </c>
    </row>
    <row r="2427" spans="1:11">
      <c r="A2427" s="11" t="s">
        <v>2403</v>
      </c>
      <c r="B2427" s="333" t="s">
        <v>2403</v>
      </c>
      <c r="C2427" s="328"/>
      <c r="D2427" s="11" t="b">
        <f t="shared" si="227"/>
        <v>1</v>
      </c>
      <c r="H2427" s="11" t="b">
        <f t="shared" si="228"/>
        <v>0</v>
      </c>
      <c r="I2427" s="11" t="s">
        <v>2424</v>
      </c>
      <c r="K2427" s="11" t="b">
        <v>0</v>
      </c>
    </row>
    <row r="2428" spans="1:11">
      <c r="A2428" s="11" t="s">
        <v>2405</v>
      </c>
      <c r="B2428" s="373" t="str">
        <f>报表附注!E2981</f>
        <v>１．处置非流动资损失合计</v>
      </c>
      <c r="C2428" s="321"/>
      <c r="D2428" s="11" t="b">
        <f t="shared" si="227"/>
        <v>1</v>
      </c>
      <c r="E2428" s="321">
        <f>C2416</f>
        <v>0</v>
      </c>
      <c r="H2428" s="11" t="b">
        <f t="shared" si="228"/>
        <v>0</v>
      </c>
      <c r="I2428" s="11" t="s">
        <v>2203</v>
      </c>
      <c r="K2428" s="11" t="b">
        <v>0</v>
      </c>
    </row>
    <row r="2429" spans="1:11">
      <c r="A2429" s="11" t="s">
        <v>2406</v>
      </c>
      <c r="B2429" s="373" t="str">
        <f>报表附注!E2982</f>
        <v>  其中：处置固定资产损失</v>
      </c>
      <c r="C2429" s="321"/>
      <c r="D2429" s="11" t="b">
        <f t="shared" si="227"/>
        <v>1</v>
      </c>
      <c r="E2429" s="321">
        <f t="shared" ref="E2429:E2438" si="232">C2417</f>
        <v>0</v>
      </c>
      <c r="H2429" s="11" t="b">
        <f t="shared" si="228"/>
        <v>0</v>
      </c>
      <c r="I2429" s="11">
        <v>0</v>
      </c>
      <c r="K2429" s="11" t="b">
        <v>0</v>
      </c>
    </row>
    <row r="2430" spans="1:11">
      <c r="A2430" s="11" t="s">
        <v>2407</v>
      </c>
      <c r="B2430" s="373" t="str">
        <f>报表附注!E2983</f>
        <v>          处置无形资产损失</v>
      </c>
      <c r="C2430" s="321"/>
      <c r="D2430" s="11" t="b">
        <f t="shared" ref="D2430:D2493" si="233">EXACT(A2430,B2430)</f>
        <v>1</v>
      </c>
      <c r="E2430" s="321">
        <f t="shared" si="232"/>
        <v>0</v>
      </c>
      <c r="H2430" s="11" t="b">
        <f t="shared" si="228"/>
        <v>0</v>
      </c>
      <c r="I2430" s="11">
        <v>0</v>
      </c>
      <c r="K2430" s="11" t="b">
        <v>0</v>
      </c>
    </row>
    <row r="2431" spans="1:11">
      <c r="A2431" s="11" t="s">
        <v>2408</v>
      </c>
      <c r="B2431" s="373" t="str">
        <f>报表附注!E2984</f>
        <v>２．非贷币性资产交换损失</v>
      </c>
      <c r="C2431" s="321"/>
      <c r="D2431" s="11" t="b">
        <f t="shared" si="233"/>
        <v>1</v>
      </c>
      <c r="E2431" s="321">
        <f t="shared" si="232"/>
        <v>0</v>
      </c>
      <c r="H2431" s="11" t="b">
        <f t="shared" si="228"/>
        <v>0</v>
      </c>
      <c r="I2431" s="11">
        <v>0</v>
      </c>
      <c r="K2431" s="11" t="b">
        <v>0</v>
      </c>
    </row>
    <row r="2432" spans="1:11">
      <c r="A2432" s="11" t="s">
        <v>2409</v>
      </c>
      <c r="B2432" s="373" t="str">
        <f>报表附注!E2985</f>
        <v>３．债务重组损失</v>
      </c>
      <c r="C2432" s="321"/>
      <c r="D2432" s="11" t="b">
        <f t="shared" si="233"/>
        <v>1</v>
      </c>
      <c r="E2432" s="321">
        <f t="shared" si="232"/>
        <v>0</v>
      </c>
      <c r="H2432" s="11" t="b">
        <f t="shared" si="228"/>
        <v>0</v>
      </c>
      <c r="I2432" s="11" t="s">
        <v>5763</v>
      </c>
      <c r="K2432" s="11" t="b">
        <v>0</v>
      </c>
    </row>
    <row r="2433" spans="1:11">
      <c r="A2433" s="11" t="s">
        <v>2410</v>
      </c>
      <c r="B2433" s="373" t="str">
        <f>报表附注!E2986</f>
        <v>４．公益性捐赠支出</v>
      </c>
      <c r="C2433" s="321"/>
      <c r="D2433" s="11" t="b">
        <f t="shared" si="233"/>
        <v>1</v>
      </c>
      <c r="E2433" s="321">
        <f t="shared" si="232"/>
        <v>0</v>
      </c>
      <c r="H2433" s="11" t="b">
        <f t="shared" si="228"/>
        <v>0</v>
      </c>
      <c r="I2433" s="11" t="s">
        <v>4277</v>
      </c>
      <c r="K2433" s="11" t="b">
        <v>0</v>
      </c>
    </row>
    <row r="2434" spans="1:11">
      <c r="A2434" s="11" t="s">
        <v>2411</v>
      </c>
      <c r="B2434" s="373" t="str">
        <f>报表附注!E2987</f>
        <v>５．非常损失</v>
      </c>
      <c r="C2434" s="321"/>
      <c r="D2434" s="11" t="b">
        <f t="shared" si="233"/>
        <v>1</v>
      </c>
      <c r="E2434" s="321">
        <f t="shared" si="232"/>
        <v>0</v>
      </c>
      <c r="H2434" s="11" t="b">
        <f t="shared" si="228"/>
        <v>0</v>
      </c>
      <c r="I2434" s="11" t="s">
        <v>4276</v>
      </c>
      <c r="K2434" s="11" t="b">
        <v>0</v>
      </c>
    </row>
    <row r="2435" spans="1:11">
      <c r="A2435" s="11" t="s">
        <v>2412</v>
      </c>
      <c r="B2435" s="373" t="str">
        <f>报表附注!E2988</f>
        <v>６．盘亏损失</v>
      </c>
      <c r="C2435" s="321"/>
      <c r="D2435" s="11" t="b">
        <f t="shared" si="233"/>
        <v>1</v>
      </c>
      <c r="E2435" s="321">
        <f t="shared" si="232"/>
        <v>0</v>
      </c>
      <c r="H2435" s="11" t="b">
        <f t="shared" si="228"/>
        <v>0</v>
      </c>
      <c r="I2435" s="11" t="s">
        <v>4280</v>
      </c>
      <c r="K2435" s="11" t="b">
        <v>0</v>
      </c>
    </row>
    <row r="2436" spans="1:11">
      <c r="A2436" s="11" t="s">
        <v>2413</v>
      </c>
      <c r="B2436" s="373" t="str">
        <f>报表附注!E2989</f>
        <v>７．罚款支出</v>
      </c>
      <c r="C2436" s="321"/>
      <c r="D2436" s="11" t="b">
        <f t="shared" si="233"/>
        <v>1</v>
      </c>
      <c r="E2436" s="321">
        <f t="shared" si="232"/>
        <v>0</v>
      </c>
      <c r="H2436" s="11" t="b">
        <f t="shared" ref="H2436:H2499" si="234">I2436=B2436</f>
        <v>0</v>
      </c>
      <c r="I2436" s="11" t="s">
        <v>4281</v>
      </c>
      <c r="K2436" s="11" t="b">
        <v>0</v>
      </c>
    </row>
    <row r="2437" spans="1:11">
      <c r="A2437" s="11" t="s">
        <v>2414</v>
      </c>
      <c r="B2437" s="373" t="str">
        <f>报表附注!E2990</f>
        <v>８．其他</v>
      </c>
      <c r="C2437" s="321"/>
      <c r="D2437" s="11" t="b">
        <f t="shared" si="233"/>
        <v>1</v>
      </c>
      <c r="E2437" s="321">
        <f t="shared" si="232"/>
        <v>0</v>
      </c>
      <c r="H2437" s="11" t="b">
        <f t="shared" si="234"/>
        <v>0</v>
      </c>
      <c r="I2437" s="11" t="s">
        <v>4283</v>
      </c>
      <c r="K2437" s="11" t="b">
        <v>0</v>
      </c>
    </row>
    <row r="2438" spans="1:11">
      <c r="A2438" s="11" t="s">
        <v>1207</v>
      </c>
      <c r="B2438" s="320" t="str">
        <f>报表附注!E2991</f>
        <v>合  计</v>
      </c>
      <c r="C2438" s="321"/>
      <c r="D2438" s="11" t="b">
        <f t="shared" si="233"/>
        <v>1</v>
      </c>
      <c r="E2438" s="321">
        <f t="shared" si="232"/>
        <v>0</v>
      </c>
      <c r="H2438" s="11" t="b">
        <f t="shared" si="234"/>
        <v>0</v>
      </c>
      <c r="I2438" s="11" t="s">
        <v>4284</v>
      </c>
      <c r="K2438" s="11" t="b">
        <v>0</v>
      </c>
    </row>
    <row r="2439" spans="3:11">
      <c r="C2439" s="328"/>
      <c r="D2439" s="11" t="b">
        <f t="shared" si="233"/>
        <v>1</v>
      </c>
      <c r="H2439" s="11" t="b">
        <f t="shared" si="234"/>
        <v>1</v>
      </c>
      <c r="I2439" s="11">
        <v>0</v>
      </c>
      <c r="K2439" s="11" t="b">
        <v>0</v>
      </c>
    </row>
    <row r="2440" spans="1:11">
      <c r="A2440" s="11" t="s">
        <v>2415</v>
      </c>
      <c r="B2440" s="329" t="s">
        <v>2415</v>
      </c>
      <c r="C2440" s="328"/>
      <c r="D2440" s="11" t="b">
        <f t="shared" si="233"/>
        <v>1</v>
      </c>
      <c r="H2440" s="11" t="b">
        <f t="shared" si="234"/>
        <v>0</v>
      </c>
      <c r="I2440" s="11">
        <v>0</v>
      </c>
      <c r="K2440" s="11" t="b">
        <v>0</v>
      </c>
    </row>
    <row r="2441" spans="1:11">
      <c r="A2441" s="11" t="s">
        <v>2347</v>
      </c>
      <c r="B2441" s="333" t="s">
        <v>2347</v>
      </c>
      <c r="C2441" s="328"/>
      <c r="D2441" s="11" t="b">
        <f t="shared" si="233"/>
        <v>1</v>
      </c>
      <c r="H2441" s="11" t="b">
        <f t="shared" si="234"/>
        <v>0</v>
      </c>
      <c r="I2441" s="11">
        <v>0</v>
      </c>
      <c r="K2441" s="11" t="b">
        <v>0</v>
      </c>
    </row>
    <row r="2442" spans="1:11">
      <c r="A2442" s="11" t="s">
        <v>1670</v>
      </c>
      <c r="B2442" s="310" t="str">
        <f>报表附注!E3000</f>
        <v>所得税费用</v>
      </c>
      <c r="C2442" s="318"/>
      <c r="D2442" s="11" t="b">
        <f t="shared" si="233"/>
        <v>1</v>
      </c>
      <c r="E2442" s="311"/>
      <c r="H2442" s="11" t="b">
        <f t="shared" si="234"/>
        <v>0</v>
      </c>
      <c r="I2442" s="11">
        <v>0</v>
      </c>
      <c r="K2442" s="11" t="b">
        <v>0</v>
      </c>
    </row>
    <row r="2443" spans="1:11">
      <c r="A2443" s="11" t="s">
        <v>2416</v>
      </c>
      <c r="B2443" s="310" t="str">
        <f>报表附注!E3001</f>
        <v>其中：当期所得税</v>
      </c>
      <c r="C2443" s="318">
        <v>842798.93</v>
      </c>
      <c r="D2443" s="11" t="b">
        <f t="shared" si="233"/>
        <v>1</v>
      </c>
      <c r="E2443" s="311"/>
      <c r="H2443" s="11" t="b">
        <f t="shared" si="234"/>
        <v>0</v>
      </c>
      <c r="I2443" s="11">
        <v>0</v>
      </c>
      <c r="K2443" s="11" t="b">
        <v>0</v>
      </c>
    </row>
    <row r="2444" spans="1:11">
      <c r="A2444" s="11" t="s">
        <v>2417</v>
      </c>
      <c r="B2444" s="310" t="str">
        <f>报表附注!E3002</f>
        <v>      递延所得税</v>
      </c>
      <c r="C2444" s="318"/>
      <c r="D2444" s="11" t="b">
        <f t="shared" si="233"/>
        <v>1</v>
      </c>
      <c r="E2444" s="311"/>
      <c r="H2444" s="11" t="b">
        <f t="shared" si="234"/>
        <v>0</v>
      </c>
      <c r="I2444" s="11">
        <v>0</v>
      </c>
      <c r="K2444" s="11" t="b">
        <v>0</v>
      </c>
    </row>
    <row r="2445" spans="1:11">
      <c r="A2445" s="11" t="s">
        <v>2351</v>
      </c>
      <c r="B2445" s="333" t="s">
        <v>2351</v>
      </c>
      <c r="C2445" s="328"/>
      <c r="D2445" s="11" t="b">
        <f t="shared" si="233"/>
        <v>1</v>
      </c>
      <c r="E2445" s="326"/>
      <c r="H2445" s="11" t="b">
        <f t="shared" si="234"/>
        <v>0</v>
      </c>
      <c r="I2445" s="11">
        <v>0</v>
      </c>
      <c r="K2445" s="11" t="b">
        <v>0</v>
      </c>
    </row>
    <row r="2446" spans="1:8">
      <c r="A2446" s="11" t="s">
        <v>1670</v>
      </c>
      <c r="B2446" s="310" t="str">
        <f>报表附注!E3000</f>
        <v>所得税费用</v>
      </c>
      <c r="C2446" s="321"/>
      <c r="D2446" s="11" t="b">
        <f t="shared" si="233"/>
        <v>1</v>
      </c>
      <c r="E2446" s="321">
        <f>C2442</f>
        <v>0</v>
      </c>
      <c r="H2446" s="11" t="b">
        <f t="shared" si="234"/>
        <v>0</v>
      </c>
    </row>
    <row r="2447" spans="1:8">
      <c r="A2447" s="11" t="s">
        <v>2416</v>
      </c>
      <c r="B2447" s="310" t="str">
        <f>报表附注!E3001</f>
        <v>其中：当期所得税</v>
      </c>
      <c r="C2447" s="321"/>
      <c r="D2447" s="11" t="b">
        <f t="shared" si="233"/>
        <v>1</v>
      </c>
      <c r="E2447" s="321">
        <f t="shared" ref="E2447:E2448" si="235">C2443</f>
        <v>842798.93</v>
      </c>
      <c r="H2447" s="11" t="b">
        <f t="shared" si="234"/>
        <v>0</v>
      </c>
    </row>
    <row r="2448" spans="1:9">
      <c r="A2448" s="11" t="s">
        <v>2417</v>
      </c>
      <c r="B2448" s="310" t="str">
        <f>报表附注!E3002</f>
        <v>      递延所得税</v>
      </c>
      <c r="C2448" s="321"/>
      <c r="D2448" s="11" t="b">
        <f t="shared" si="233"/>
        <v>1</v>
      </c>
      <c r="E2448" s="321">
        <f t="shared" si="235"/>
        <v>0</v>
      </c>
      <c r="H2448" s="11" t="b">
        <f t="shared" si="234"/>
        <v>0</v>
      </c>
      <c r="I2448" s="11" t="s">
        <v>2436</v>
      </c>
    </row>
    <row r="2449" spans="4:8">
      <c r="D2449" s="11" t="b">
        <f t="shared" si="233"/>
        <v>1</v>
      </c>
      <c r="H2449" s="11" t="b">
        <f t="shared" si="234"/>
        <v>1</v>
      </c>
    </row>
    <row r="2450" spans="4:9">
      <c r="D2450" s="11" t="b">
        <f t="shared" si="233"/>
        <v>1</v>
      </c>
      <c r="H2450" s="11" t="b">
        <f t="shared" si="234"/>
        <v>0</v>
      </c>
      <c r="I2450" s="11" t="s">
        <v>2437</v>
      </c>
    </row>
    <row r="2451" spans="1:9">
      <c r="A2451" s="11" t="s">
        <v>2418</v>
      </c>
      <c r="B2451" s="353" t="s">
        <v>2418</v>
      </c>
      <c r="D2451" s="11" t="b">
        <f t="shared" si="233"/>
        <v>1</v>
      </c>
      <c r="H2451" s="11" t="b">
        <f t="shared" si="234"/>
        <v>0</v>
      </c>
      <c r="I2451" s="11" t="s">
        <v>2438</v>
      </c>
    </row>
    <row r="2452" spans="4:9">
      <c r="D2452" s="11" t="b">
        <f t="shared" si="233"/>
        <v>1</v>
      </c>
      <c r="H2452" s="11" t="b">
        <f t="shared" si="234"/>
        <v>0</v>
      </c>
      <c r="I2452" s="11" t="s">
        <v>2347</v>
      </c>
    </row>
    <row r="2453" spans="1:9">
      <c r="A2453" s="11" t="s">
        <v>2419</v>
      </c>
      <c r="B2453" s="329" t="s">
        <v>2419</v>
      </c>
      <c r="D2453" s="11" t="b">
        <f t="shared" si="233"/>
        <v>1</v>
      </c>
      <c r="H2453" s="11" t="b">
        <f t="shared" si="234"/>
        <v>0</v>
      </c>
      <c r="I2453" s="11" t="s">
        <v>5174</v>
      </c>
    </row>
    <row r="2454" spans="1:9">
      <c r="A2454" s="11" t="s">
        <v>2420</v>
      </c>
      <c r="B2454" s="393" t="s">
        <v>2420</v>
      </c>
      <c r="D2454" s="11" t="b">
        <f t="shared" si="233"/>
        <v>1</v>
      </c>
      <c r="H2454" s="11" t="b">
        <f t="shared" si="234"/>
        <v>0</v>
      </c>
      <c r="I2454" s="11" t="s">
        <v>5764</v>
      </c>
    </row>
    <row r="2455" ht="22.5" spans="1:9">
      <c r="A2455" s="11" t="s">
        <v>2421</v>
      </c>
      <c r="B2455" s="310" t="str">
        <f>报表附注!E3114</f>
        <v>   减：与其他计入其他综合收益相关的所得税影响</v>
      </c>
      <c r="C2455" s="321"/>
      <c r="D2455" s="11" t="b">
        <f t="shared" si="233"/>
        <v>0</v>
      </c>
      <c r="E2455" s="311"/>
      <c r="H2455" s="11" t="b">
        <f t="shared" si="234"/>
        <v>0</v>
      </c>
      <c r="I2455" s="11" t="s">
        <v>5765</v>
      </c>
    </row>
    <row r="2456" ht="22.5" spans="1:9">
      <c r="A2456" s="11" t="s">
        <v>2422</v>
      </c>
      <c r="B2456" s="310" t="str">
        <f>报表附注!E3115</f>
        <v>       前期其他计入其他综合收益当期转入损益的净额</v>
      </c>
      <c r="C2456" s="321"/>
      <c r="D2456" s="11" t="b">
        <f t="shared" si="233"/>
        <v>0</v>
      </c>
      <c r="E2456" s="311"/>
      <c r="H2456" s="11" t="b">
        <f t="shared" si="234"/>
        <v>0</v>
      </c>
      <c r="I2456" s="11" t="s">
        <v>5175</v>
      </c>
    </row>
    <row r="2457" spans="1:9">
      <c r="A2457" s="11" t="s">
        <v>2423</v>
      </c>
      <c r="B2457" s="310" t="str">
        <f>报表附注!E3116</f>
        <v>小  计</v>
      </c>
      <c r="C2457" s="321"/>
      <c r="D2457" s="11" t="b">
        <f t="shared" si="233"/>
        <v>0</v>
      </c>
      <c r="E2457" s="311"/>
      <c r="H2457" s="11" t="b">
        <f t="shared" si="234"/>
        <v>0</v>
      </c>
      <c r="I2457" s="11" t="s">
        <v>5766</v>
      </c>
    </row>
    <row r="2458" spans="1:9">
      <c r="A2458" s="11" t="s">
        <v>2424</v>
      </c>
      <c r="B2458" s="310" t="str">
        <f>报表附注!E3117</f>
        <v>合   计</v>
      </c>
      <c r="C2458" s="321"/>
      <c r="D2458" s="11" t="b">
        <f t="shared" si="233"/>
        <v>0</v>
      </c>
      <c r="E2458" s="311"/>
      <c r="H2458" s="11" t="b">
        <f t="shared" si="234"/>
        <v>0</v>
      </c>
      <c r="I2458" s="11" t="s">
        <v>5767</v>
      </c>
    </row>
    <row r="2459" spans="1:9">
      <c r="A2459" s="11" t="s">
        <v>2425</v>
      </c>
      <c r="B2459" s="310">
        <f>报表附注!E3118</f>
        <v>0</v>
      </c>
      <c r="C2459" s="321"/>
      <c r="D2459" s="11" t="b">
        <f t="shared" si="233"/>
        <v>0</v>
      </c>
      <c r="E2459" s="311"/>
      <c r="H2459" s="11" t="b">
        <f t="shared" si="234"/>
        <v>0</v>
      </c>
      <c r="I2459" s="11" t="s">
        <v>5768</v>
      </c>
    </row>
    <row r="2460" spans="1:9">
      <c r="A2460" s="11" t="s">
        <v>2426</v>
      </c>
      <c r="B2460" s="310">
        <f>报表附注!E3119</f>
        <v>0</v>
      </c>
      <c r="C2460" s="321"/>
      <c r="D2460" s="11" t="b">
        <f t="shared" si="233"/>
        <v>0</v>
      </c>
      <c r="E2460" s="311"/>
      <c r="H2460" s="11" t="b">
        <f t="shared" si="234"/>
        <v>0</v>
      </c>
      <c r="I2460" s="11" t="s">
        <v>5769</v>
      </c>
    </row>
    <row r="2461" spans="1:9">
      <c r="A2461" s="11" t="s">
        <v>2423</v>
      </c>
      <c r="B2461" s="310">
        <f>报表附注!E3120</f>
        <v>0</v>
      </c>
      <c r="C2461" s="321"/>
      <c r="D2461" s="11" t="b">
        <f t="shared" si="233"/>
        <v>0</v>
      </c>
      <c r="E2461" s="311"/>
      <c r="H2461" s="11" t="b">
        <f t="shared" si="234"/>
        <v>0</v>
      </c>
      <c r="I2461" s="11" t="s">
        <v>5181</v>
      </c>
    </row>
    <row r="2462" ht="22.5" spans="1:9">
      <c r="A2462" s="11" t="s">
        <v>2424</v>
      </c>
      <c r="B2462" s="310" t="str">
        <f>报表附注!E3121</f>
        <v>（六十六）收到或支付的其他与经营活动有关的现金</v>
      </c>
      <c r="C2462" s="321"/>
      <c r="D2462" s="11" t="b">
        <f t="shared" si="233"/>
        <v>0</v>
      </c>
      <c r="E2462" s="311"/>
      <c r="H2462" s="11" t="b">
        <f t="shared" si="234"/>
        <v>0</v>
      </c>
      <c r="I2462" s="11" t="s">
        <v>5575</v>
      </c>
    </row>
    <row r="2463" spans="1:9">
      <c r="A2463" s="11" t="s">
        <v>2427</v>
      </c>
      <c r="B2463" s="310" t="str">
        <f>报表附注!E3122</f>
        <v>大额项目</v>
      </c>
      <c r="C2463" s="321"/>
      <c r="D2463" s="11" t="b">
        <f t="shared" si="233"/>
        <v>0</v>
      </c>
      <c r="E2463" s="311"/>
      <c r="H2463" s="11" t="b">
        <f t="shared" si="234"/>
        <v>0</v>
      </c>
      <c r="I2463" s="11" t="s">
        <v>5770</v>
      </c>
    </row>
    <row r="2464" spans="1:9">
      <c r="A2464" s="11" t="s">
        <v>2428</v>
      </c>
      <c r="B2464" s="310" t="str">
        <f>报表附注!E3123</f>
        <v>一、收到的其他与经营活动有关的现金</v>
      </c>
      <c r="C2464" s="321"/>
      <c r="D2464" s="11" t="b">
        <f t="shared" si="233"/>
        <v>0</v>
      </c>
      <c r="E2464" s="311"/>
      <c r="H2464" s="11" t="b">
        <f t="shared" si="234"/>
        <v>0</v>
      </c>
      <c r="I2464" s="11" t="s">
        <v>2021</v>
      </c>
    </row>
    <row r="2465" spans="1:9">
      <c r="A2465" s="11" t="s">
        <v>2423</v>
      </c>
      <c r="B2465" s="310" t="str">
        <f>报表附注!E3124</f>
        <v>其中：往来款</v>
      </c>
      <c r="C2465" s="321"/>
      <c r="D2465" s="11" t="b">
        <f t="shared" si="233"/>
        <v>0</v>
      </c>
      <c r="E2465" s="311"/>
      <c r="H2465" s="11" t="b">
        <f t="shared" si="234"/>
        <v>0</v>
      </c>
      <c r="I2465" s="11" t="s">
        <v>2351</v>
      </c>
    </row>
    <row r="2466" spans="1:9">
      <c r="A2466" s="11" t="s">
        <v>2429</v>
      </c>
      <c r="B2466" s="310" t="str">
        <f>报表附注!E3125</f>
        <v>      利息收入</v>
      </c>
      <c r="C2466" s="321"/>
      <c r="D2466" s="11" t="b">
        <f t="shared" si="233"/>
        <v>0</v>
      </c>
      <c r="E2466" s="311"/>
      <c r="H2466" s="11" t="b">
        <f t="shared" si="234"/>
        <v>0</v>
      </c>
      <c r="I2466" s="11" t="s">
        <v>5174</v>
      </c>
    </row>
    <row r="2467" spans="1:9">
      <c r="A2467" s="11" t="s">
        <v>2424</v>
      </c>
      <c r="B2467" s="310" t="str">
        <f>报表附注!E3126</f>
        <v>政府补助</v>
      </c>
      <c r="C2467" s="321"/>
      <c r="D2467" s="11" t="b">
        <f t="shared" si="233"/>
        <v>0</v>
      </c>
      <c r="E2467" s="311"/>
      <c r="H2467" s="11" t="b">
        <f t="shared" si="234"/>
        <v>0</v>
      </c>
      <c r="I2467" s="11" t="s">
        <v>5764</v>
      </c>
    </row>
    <row r="2468" spans="1:9">
      <c r="A2468" s="11" t="s">
        <v>2430</v>
      </c>
      <c r="B2468" s="310" t="str">
        <f>报表附注!E3127</f>
        <v>其他…….</v>
      </c>
      <c r="C2468" s="321"/>
      <c r="D2468" s="11" t="b">
        <f t="shared" si="233"/>
        <v>0</v>
      </c>
      <c r="E2468" s="311"/>
      <c r="H2468" s="11" t="b">
        <f t="shared" si="234"/>
        <v>0</v>
      </c>
      <c r="I2468" s="11" t="s">
        <v>5765</v>
      </c>
    </row>
    <row r="2469" spans="1:9">
      <c r="A2469" s="11" t="s">
        <v>2431</v>
      </c>
      <c r="B2469" s="310" t="str">
        <f>报表附注!E3128</f>
        <v>非关联方租金收入</v>
      </c>
      <c r="C2469" s="321"/>
      <c r="D2469" s="11" t="b">
        <f t="shared" si="233"/>
        <v>0</v>
      </c>
      <c r="E2469" s="311"/>
      <c r="H2469" s="11" t="b">
        <f t="shared" si="234"/>
        <v>0</v>
      </c>
      <c r="I2469" s="11" t="s">
        <v>5175</v>
      </c>
    </row>
    <row r="2470" spans="1:9">
      <c r="A2470" s="11" t="s">
        <v>2424</v>
      </c>
      <c r="B2470" s="310" t="str">
        <f>报表附注!E3129</f>
        <v>关联方租金收入</v>
      </c>
      <c r="C2470" s="321"/>
      <c r="D2470" s="11" t="b">
        <f t="shared" si="233"/>
        <v>0</v>
      </c>
      <c r="E2470" s="311"/>
      <c r="H2470" s="11" t="b">
        <f t="shared" si="234"/>
        <v>0</v>
      </c>
      <c r="I2470" s="11" t="s">
        <v>5766</v>
      </c>
    </row>
    <row r="2471" spans="1:9">
      <c r="A2471" s="11" t="s">
        <v>2432</v>
      </c>
      <c r="B2471" s="310" t="str">
        <f>报表附注!E3130</f>
        <v>银行承兑汇票保证金收入</v>
      </c>
      <c r="C2471" s="321"/>
      <c r="D2471" s="11" t="b">
        <f t="shared" si="233"/>
        <v>0</v>
      </c>
      <c r="E2471" s="311"/>
      <c r="H2471" s="11" t="b">
        <f t="shared" si="234"/>
        <v>0</v>
      </c>
      <c r="I2471" s="11" t="s">
        <v>5767</v>
      </c>
    </row>
    <row r="2472" spans="1:9">
      <c r="A2472" s="11" t="s">
        <v>2433</v>
      </c>
      <c r="B2472" s="310">
        <f>报表附注!E3131</f>
        <v>0</v>
      </c>
      <c r="C2472" s="321"/>
      <c r="D2472" s="11" t="b">
        <f t="shared" si="233"/>
        <v>0</v>
      </c>
      <c r="E2472" s="311"/>
      <c r="H2472" s="11" t="b">
        <f t="shared" si="234"/>
        <v>0</v>
      </c>
      <c r="I2472" s="11" t="s">
        <v>5768</v>
      </c>
    </row>
    <row r="2473" spans="1:9">
      <c r="A2473" s="11" t="s">
        <v>2434</v>
      </c>
      <c r="B2473" s="310">
        <f>报表附注!E3132</f>
        <v>0</v>
      </c>
      <c r="C2473" s="321"/>
      <c r="D2473" s="11" t="b">
        <f t="shared" si="233"/>
        <v>0</v>
      </c>
      <c r="E2473" s="311"/>
      <c r="H2473" s="11" t="b">
        <f t="shared" si="234"/>
        <v>0</v>
      </c>
      <c r="I2473" s="11" t="s">
        <v>5769</v>
      </c>
    </row>
    <row r="2474" spans="1:9">
      <c r="A2474" s="11" t="s">
        <v>2424</v>
      </c>
      <c r="B2474" s="310">
        <f>报表附注!E3133</f>
        <v>0</v>
      </c>
      <c r="C2474" s="321"/>
      <c r="D2474" s="11" t="b">
        <f t="shared" si="233"/>
        <v>0</v>
      </c>
      <c r="E2474" s="311"/>
      <c r="H2474" s="11" t="b">
        <f t="shared" si="234"/>
        <v>0</v>
      </c>
      <c r="I2474" s="11" t="s">
        <v>5181</v>
      </c>
    </row>
    <row r="2475" spans="1:9">
      <c r="A2475" s="11" t="s">
        <v>2203</v>
      </c>
      <c r="B2475" s="320">
        <f>报表附注!E3134</f>
        <v>0</v>
      </c>
      <c r="C2475" s="321"/>
      <c r="D2475" s="11" t="b">
        <f t="shared" si="233"/>
        <v>0</v>
      </c>
      <c r="E2475" s="311"/>
      <c r="H2475" s="11" t="b">
        <f t="shared" si="234"/>
        <v>0</v>
      </c>
      <c r="I2475" s="11" t="s">
        <v>5575</v>
      </c>
    </row>
    <row r="2476" spans="1:9">
      <c r="A2476" s="11" t="s">
        <v>2435</v>
      </c>
      <c r="B2476" s="333" t="s">
        <v>2435</v>
      </c>
      <c r="D2476" s="11" t="b">
        <f t="shared" si="233"/>
        <v>1</v>
      </c>
      <c r="H2476" s="11" t="b">
        <f t="shared" si="234"/>
        <v>0</v>
      </c>
      <c r="I2476" s="11" t="s">
        <v>5770</v>
      </c>
    </row>
    <row r="2477" ht="22.5" spans="1:9">
      <c r="A2477" s="11" t="s">
        <v>2421</v>
      </c>
      <c r="B2477" s="310" t="str">
        <f>报表附注!E3114</f>
        <v>   减：与其他计入其他综合收益相关的所得税影响</v>
      </c>
      <c r="C2477" s="321"/>
      <c r="D2477" s="11" t="b">
        <f t="shared" si="233"/>
        <v>0</v>
      </c>
      <c r="E2477" s="321">
        <f>C2455</f>
        <v>0</v>
      </c>
      <c r="H2477" s="11" t="b">
        <f t="shared" si="234"/>
        <v>0</v>
      </c>
      <c r="I2477" s="11" t="s">
        <v>2021</v>
      </c>
    </row>
    <row r="2478" ht="22.5" spans="1:8">
      <c r="A2478" s="11" t="s">
        <v>2422</v>
      </c>
      <c r="B2478" s="310" t="str">
        <f>报表附注!E3115</f>
        <v>       前期其他计入其他综合收益当期转入损益的净额</v>
      </c>
      <c r="C2478" s="321"/>
      <c r="D2478" s="11" t="b">
        <f t="shared" si="233"/>
        <v>0</v>
      </c>
      <c r="E2478" s="321">
        <f t="shared" ref="E2478:E2497" si="236">C2456</f>
        <v>0</v>
      </c>
      <c r="H2478" s="11" t="b">
        <f t="shared" si="234"/>
        <v>0</v>
      </c>
    </row>
    <row r="2479" spans="1:9">
      <c r="A2479" s="11" t="s">
        <v>2423</v>
      </c>
      <c r="B2479" s="310" t="str">
        <f>报表附注!E3116</f>
        <v>小  计</v>
      </c>
      <c r="C2479" s="321"/>
      <c r="D2479" s="11" t="b">
        <f t="shared" si="233"/>
        <v>0</v>
      </c>
      <c r="E2479" s="321">
        <f t="shared" si="236"/>
        <v>0</v>
      </c>
      <c r="H2479" s="11" t="b">
        <f t="shared" si="234"/>
        <v>0</v>
      </c>
      <c r="I2479" s="11" t="s">
        <v>2439</v>
      </c>
    </row>
    <row r="2480" spans="1:9">
      <c r="A2480" s="11" t="s">
        <v>2424</v>
      </c>
      <c r="B2480" s="310" t="str">
        <f>报表附注!E3117</f>
        <v>合   计</v>
      </c>
      <c r="C2480" s="321"/>
      <c r="D2480" s="11" t="b">
        <f t="shared" si="233"/>
        <v>0</v>
      </c>
      <c r="E2480" s="321">
        <f t="shared" si="236"/>
        <v>0</v>
      </c>
      <c r="H2480" s="11" t="b">
        <f t="shared" si="234"/>
        <v>0</v>
      </c>
      <c r="I2480" s="11" t="s">
        <v>2438</v>
      </c>
    </row>
    <row r="2481" spans="1:9">
      <c r="A2481" s="11" t="s">
        <v>2425</v>
      </c>
      <c r="B2481" s="310">
        <f>报表附注!E3118</f>
        <v>0</v>
      </c>
      <c r="C2481" s="321"/>
      <c r="D2481" s="11" t="b">
        <f t="shared" si="233"/>
        <v>0</v>
      </c>
      <c r="E2481" s="321">
        <f t="shared" si="236"/>
        <v>0</v>
      </c>
      <c r="H2481" s="11" t="b">
        <f t="shared" si="234"/>
        <v>0</v>
      </c>
      <c r="I2481" s="11" t="s">
        <v>2347</v>
      </c>
    </row>
    <row r="2482" spans="1:9">
      <c r="A2482" s="11" t="s">
        <v>2426</v>
      </c>
      <c r="B2482" s="310">
        <f>报表附注!E3119</f>
        <v>0</v>
      </c>
      <c r="C2482" s="321"/>
      <c r="D2482" s="11" t="b">
        <f t="shared" si="233"/>
        <v>0</v>
      </c>
      <c r="E2482" s="321">
        <f t="shared" si="236"/>
        <v>0</v>
      </c>
      <c r="H2482" s="11" t="b">
        <f t="shared" si="234"/>
        <v>0</v>
      </c>
      <c r="I2482" s="11" t="s">
        <v>5771</v>
      </c>
    </row>
    <row r="2483" spans="1:9">
      <c r="A2483" s="11" t="s">
        <v>2423</v>
      </c>
      <c r="B2483" s="310">
        <f>报表附注!E3120</f>
        <v>0</v>
      </c>
      <c r="C2483" s="321"/>
      <c r="D2483" s="11" t="b">
        <f t="shared" si="233"/>
        <v>0</v>
      </c>
      <c r="E2483" s="321">
        <f t="shared" si="236"/>
        <v>0</v>
      </c>
      <c r="H2483" s="11" t="b">
        <f t="shared" si="234"/>
        <v>0</v>
      </c>
      <c r="I2483" s="11" t="s">
        <v>5772</v>
      </c>
    </row>
    <row r="2484" ht="22.5" spans="1:9">
      <c r="A2484" s="11" t="s">
        <v>2424</v>
      </c>
      <c r="B2484" s="310" t="str">
        <f>报表附注!E3121</f>
        <v>（六十六）收到或支付的其他与经营活动有关的现金</v>
      </c>
      <c r="C2484" s="321"/>
      <c r="D2484" s="11" t="b">
        <f t="shared" si="233"/>
        <v>0</v>
      </c>
      <c r="E2484" s="321">
        <f t="shared" si="236"/>
        <v>0</v>
      </c>
      <c r="H2484" s="11" t="b">
        <f t="shared" si="234"/>
        <v>0</v>
      </c>
      <c r="I2484" s="11" t="s">
        <v>5174</v>
      </c>
    </row>
    <row r="2485" spans="1:9">
      <c r="A2485" s="11" t="s">
        <v>2427</v>
      </c>
      <c r="B2485" s="310" t="str">
        <f>报表附注!E3122</f>
        <v>大额项目</v>
      </c>
      <c r="C2485" s="321"/>
      <c r="D2485" s="11" t="b">
        <f t="shared" si="233"/>
        <v>0</v>
      </c>
      <c r="E2485" s="321">
        <f t="shared" si="236"/>
        <v>0</v>
      </c>
      <c r="H2485" s="11" t="b">
        <f t="shared" si="234"/>
        <v>0</v>
      </c>
      <c r="I2485" s="11" t="s">
        <v>5773</v>
      </c>
    </row>
    <row r="2486" spans="1:9">
      <c r="A2486" s="11" t="s">
        <v>2428</v>
      </c>
      <c r="B2486" s="310" t="str">
        <f>报表附注!E3123</f>
        <v>一、收到的其他与经营活动有关的现金</v>
      </c>
      <c r="C2486" s="321"/>
      <c r="D2486" s="11" t="b">
        <f t="shared" si="233"/>
        <v>0</v>
      </c>
      <c r="E2486" s="321">
        <f t="shared" si="236"/>
        <v>0</v>
      </c>
      <c r="H2486" s="11" t="b">
        <f t="shared" si="234"/>
        <v>0</v>
      </c>
      <c r="I2486" s="11" t="s">
        <v>5774</v>
      </c>
    </row>
    <row r="2487" spans="1:9">
      <c r="A2487" s="11" t="s">
        <v>2423</v>
      </c>
      <c r="B2487" s="310" t="str">
        <f>报表附注!E3124</f>
        <v>其中：往来款</v>
      </c>
      <c r="C2487" s="321"/>
      <c r="D2487" s="11" t="b">
        <f t="shared" si="233"/>
        <v>0</v>
      </c>
      <c r="E2487" s="321">
        <f t="shared" si="236"/>
        <v>0</v>
      </c>
      <c r="H2487" s="11" t="b">
        <f t="shared" si="234"/>
        <v>0</v>
      </c>
      <c r="I2487" s="11" t="s">
        <v>5775</v>
      </c>
    </row>
    <row r="2488" spans="1:9">
      <c r="A2488" s="11" t="s">
        <v>2429</v>
      </c>
      <c r="B2488" s="310" t="str">
        <f>报表附注!E3125</f>
        <v>      利息收入</v>
      </c>
      <c r="C2488" s="321"/>
      <c r="D2488" s="11" t="b">
        <f t="shared" si="233"/>
        <v>0</v>
      </c>
      <c r="E2488" s="321">
        <f t="shared" si="236"/>
        <v>0</v>
      </c>
      <c r="H2488" s="11" t="b">
        <f t="shared" si="234"/>
        <v>0</v>
      </c>
      <c r="I2488" s="11" t="s">
        <v>5776</v>
      </c>
    </row>
    <row r="2489" spans="1:9">
      <c r="A2489" s="11" t="s">
        <v>2424</v>
      </c>
      <c r="B2489" s="310" t="str">
        <f>报表附注!E3126</f>
        <v>政府补助</v>
      </c>
      <c r="C2489" s="321"/>
      <c r="D2489" s="11" t="b">
        <f t="shared" si="233"/>
        <v>0</v>
      </c>
      <c r="E2489" s="321">
        <f t="shared" si="236"/>
        <v>0</v>
      </c>
      <c r="H2489" s="11" t="b">
        <f t="shared" si="234"/>
        <v>0</v>
      </c>
      <c r="I2489" s="11" t="s">
        <v>2021</v>
      </c>
    </row>
    <row r="2490" spans="1:9">
      <c r="A2490" s="11" t="s">
        <v>2430</v>
      </c>
      <c r="B2490" s="310" t="str">
        <f>报表附注!E3127</f>
        <v>其他…….</v>
      </c>
      <c r="C2490" s="321"/>
      <c r="D2490" s="11" t="b">
        <f t="shared" si="233"/>
        <v>0</v>
      </c>
      <c r="E2490" s="321">
        <f t="shared" si="236"/>
        <v>0</v>
      </c>
      <c r="H2490" s="11" t="b">
        <f t="shared" si="234"/>
        <v>0</v>
      </c>
      <c r="I2490" s="11" t="s">
        <v>2351</v>
      </c>
    </row>
    <row r="2491" spans="1:9">
      <c r="A2491" s="11" t="s">
        <v>2431</v>
      </c>
      <c r="B2491" s="310" t="str">
        <f>报表附注!E3128</f>
        <v>非关联方租金收入</v>
      </c>
      <c r="C2491" s="321"/>
      <c r="D2491" s="11" t="b">
        <f t="shared" si="233"/>
        <v>0</v>
      </c>
      <c r="E2491" s="321">
        <f t="shared" si="236"/>
        <v>0</v>
      </c>
      <c r="H2491" s="11" t="b">
        <f t="shared" si="234"/>
        <v>0</v>
      </c>
      <c r="I2491" s="11" t="s">
        <v>5771</v>
      </c>
    </row>
    <row r="2492" spans="1:9">
      <c r="A2492" s="11" t="s">
        <v>2424</v>
      </c>
      <c r="B2492" s="310" t="str">
        <f>报表附注!E3129</f>
        <v>关联方租金收入</v>
      </c>
      <c r="C2492" s="321"/>
      <c r="D2492" s="11" t="b">
        <f t="shared" si="233"/>
        <v>0</v>
      </c>
      <c r="E2492" s="321">
        <f t="shared" si="236"/>
        <v>0</v>
      </c>
      <c r="H2492" s="11" t="b">
        <f t="shared" si="234"/>
        <v>0</v>
      </c>
      <c r="I2492" s="11" t="s">
        <v>5772</v>
      </c>
    </row>
    <row r="2493" spans="1:9">
      <c r="A2493" s="11" t="s">
        <v>2432</v>
      </c>
      <c r="B2493" s="310" t="str">
        <f>报表附注!E3130</f>
        <v>银行承兑汇票保证金收入</v>
      </c>
      <c r="C2493" s="321"/>
      <c r="D2493" s="11" t="b">
        <f t="shared" si="233"/>
        <v>0</v>
      </c>
      <c r="E2493" s="321">
        <f t="shared" si="236"/>
        <v>0</v>
      </c>
      <c r="H2493" s="11" t="b">
        <f t="shared" si="234"/>
        <v>0</v>
      </c>
      <c r="I2493" s="11" t="s">
        <v>5174</v>
      </c>
    </row>
    <row r="2494" spans="1:9">
      <c r="A2494" s="11" t="s">
        <v>2433</v>
      </c>
      <c r="B2494" s="310">
        <f>报表附注!E3131</f>
        <v>0</v>
      </c>
      <c r="C2494" s="321"/>
      <c r="D2494" s="11" t="b">
        <f t="shared" ref="D2494:D2497" si="237">EXACT(A2494,B2494)</f>
        <v>0</v>
      </c>
      <c r="E2494" s="321">
        <f t="shared" si="236"/>
        <v>0</v>
      </c>
      <c r="H2494" s="11" t="b">
        <f t="shared" si="234"/>
        <v>0</v>
      </c>
      <c r="I2494" s="11" t="s">
        <v>5773</v>
      </c>
    </row>
    <row r="2495" spans="1:9">
      <c r="A2495" s="11" t="s">
        <v>2434</v>
      </c>
      <c r="B2495" s="310">
        <f>报表附注!E3132</f>
        <v>0</v>
      </c>
      <c r="C2495" s="321"/>
      <c r="D2495" s="11" t="b">
        <f t="shared" si="237"/>
        <v>0</v>
      </c>
      <c r="E2495" s="321">
        <f t="shared" si="236"/>
        <v>0</v>
      </c>
      <c r="H2495" s="11" t="b">
        <f t="shared" si="234"/>
        <v>0</v>
      </c>
      <c r="I2495" s="11" t="s">
        <v>5774</v>
      </c>
    </row>
    <row r="2496" spans="1:9">
      <c r="A2496" s="11" t="s">
        <v>2424</v>
      </c>
      <c r="B2496" s="310">
        <f>报表附注!E3133</f>
        <v>0</v>
      </c>
      <c r="C2496" s="321"/>
      <c r="D2496" s="11" t="b">
        <f t="shared" si="237"/>
        <v>0</v>
      </c>
      <c r="E2496" s="321">
        <f t="shared" si="236"/>
        <v>0</v>
      </c>
      <c r="H2496" s="11" t="b">
        <f t="shared" si="234"/>
        <v>0</v>
      </c>
      <c r="I2496" s="11" t="s">
        <v>5775</v>
      </c>
    </row>
    <row r="2497" spans="1:9">
      <c r="A2497" s="11" t="s">
        <v>2203</v>
      </c>
      <c r="B2497" s="320">
        <f>报表附注!E3134</f>
        <v>0</v>
      </c>
      <c r="C2497" s="321"/>
      <c r="D2497" s="11" t="b">
        <f t="shared" si="237"/>
        <v>0</v>
      </c>
      <c r="E2497" s="321">
        <f t="shared" si="236"/>
        <v>0</v>
      </c>
      <c r="H2497" s="11" t="b">
        <f t="shared" si="234"/>
        <v>0</v>
      </c>
      <c r="I2497" s="11" t="s">
        <v>5776</v>
      </c>
    </row>
    <row r="2498" spans="8:9">
      <c r="H2498" s="11" t="b">
        <f t="shared" si="234"/>
        <v>0</v>
      </c>
      <c r="I2498" s="11" t="s">
        <v>2021</v>
      </c>
    </row>
    <row r="2499" spans="8:8">
      <c r="H2499" s="11" t="b">
        <f t="shared" si="234"/>
        <v>1</v>
      </c>
    </row>
    <row r="2500" spans="1:8">
      <c r="A2500" s="11" t="s">
        <v>2436</v>
      </c>
      <c r="B2500" s="394" t="s">
        <v>2436</v>
      </c>
      <c r="H2500" s="11" t="b">
        <f t="shared" ref="H2500:H2537" si="238">I2500=B2500</f>
        <v>0</v>
      </c>
    </row>
    <row r="2501" spans="8:8">
      <c r="H2501" s="11" t="b">
        <f t="shared" si="238"/>
        <v>1</v>
      </c>
    </row>
    <row r="2502" spans="8:8">
      <c r="H2502" s="11" t="b">
        <f t="shared" si="238"/>
        <v>1</v>
      </c>
    </row>
    <row r="2503" spans="8:8">
      <c r="H2503" s="11" t="b">
        <f t="shared" si="238"/>
        <v>1</v>
      </c>
    </row>
    <row r="2504" spans="8:8">
      <c r="H2504" s="11" t="b">
        <f t="shared" si="238"/>
        <v>1</v>
      </c>
    </row>
    <row r="2505" spans="8:8">
      <c r="H2505" s="11" t="b">
        <f t="shared" si="238"/>
        <v>1</v>
      </c>
    </row>
    <row r="2506" spans="8:8">
      <c r="H2506" s="11" t="b">
        <f t="shared" si="238"/>
        <v>1</v>
      </c>
    </row>
    <row r="2507" spans="8:8">
      <c r="H2507" s="11" t="b">
        <f t="shared" si="238"/>
        <v>1</v>
      </c>
    </row>
    <row r="2508" spans="8:8">
      <c r="H2508" s="11" t="b">
        <f t="shared" si="238"/>
        <v>1</v>
      </c>
    </row>
    <row r="2509" spans="8:8">
      <c r="H2509" s="11" t="b">
        <f t="shared" si="238"/>
        <v>1</v>
      </c>
    </row>
    <row r="2510" spans="8:8">
      <c r="H2510" s="11" t="b">
        <f t="shared" si="238"/>
        <v>1</v>
      </c>
    </row>
    <row r="2511" spans="8:8">
      <c r="H2511" s="11" t="b">
        <f t="shared" si="238"/>
        <v>1</v>
      </c>
    </row>
    <row r="2512" spans="8:8">
      <c r="H2512" s="11" t="b">
        <f t="shared" si="238"/>
        <v>1</v>
      </c>
    </row>
    <row r="2513" spans="8:8">
      <c r="H2513" s="11" t="b">
        <f t="shared" si="238"/>
        <v>1</v>
      </c>
    </row>
    <row r="2514" spans="8:8">
      <c r="H2514" s="11" t="b">
        <f t="shared" si="238"/>
        <v>1</v>
      </c>
    </row>
    <row r="2515" spans="8:8">
      <c r="H2515" s="11" t="b">
        <f t="shared" si="238"/>
        <v>1</v>
      </c>
    </row>
    <row r="2516" spans="8:8">
      <c r="H2516" s="11" t="b">
        <f t="shared" si="238"/>
        <v>1</v>
      </c>
    </row>
    <row r="2517" spans="8:8">
      <c r="H2517" s="11" t="b">
        <f t="shared" si="238"/>
        <v>1</v>
      </c>
    </row>
    <row r="2518" spans="8:8">
      <c r="H2518" s="11" t="b">
        <f t="shared" si="238"/>
        <v>1</v>
      </c>
    </row>
    <row r="2519" spans="8:8">
      <c r="H2519" s="11" t="b">
        <f t="shared" si="238"/>
        <v>1</v>
      </c>
    </row>
    <row r="2520" spans="8:8">
      <c r="H2520" s="11" t="b">
        <f t="shared" si="238"/>
        <v>1</v>
      </c>
    </row>
    <row r="2521" spans="8:8">
      <c r="H2521" s="11" t="b">
        <f t="shared" si="238"/>
        <v>1</v>
      </c>
    </row>
    <row r="2522" spans="8:8">
      <c r="H2522" s="11" t="b">
        <f t="shared" si="238"/>
        <v>1</v>
      </c>
    </row>
    <row r="2523" spans="8:8">
      <c r="H2523" s="11" t="b">
        <f t="shared" si="238"/>
        <v>1</v>
      </c>
    </row>
    <row r="2524" spans="8:8">
      <c r="H2524" s="11" t="b">
        <f t="shared" si="238"/>
        <v>1</v>
      </c>
    </row>
    <row r="2525" spans="8:8">
      <c r="H2525" s="11" t="b">
        <f t="shared" si="238"/>
        <v>1</v>
      </c>
    </row>
    <row r="2526" spans="8:8">
      <c r="H2526" s="11" t="b">
        <f t="shared" si="238"/>
        <v>1</v>
      </c>
    </row>
    <row r="2527" spans="8:8">
      <c r="H2527" s="11" t="b">
        <f t="shared" si="238"/>
        <v>1</v>
      </c>
    </row>
    <row r="2528" spans="8:8">
      <c r="H2528" s="11" t="b">
        <f t="shared" si="238"/>
        <v>1</v>
      </c>
    </row>
    <row r="2529" spans="8:8">
      <c r="H2529" s="11" t="b">
        <f t="shared" si="238"/>
        <v>1</v>
      </c>
    </row>
    <row r="2530" spans="8:8">
      <c r="H2530" s="11" t="b">
        <f t="shared" si="238"/>
        <v>1</v>
      </c>
    </row>
    <row r="2531" spans="8:8">
      <c r="H2531" s="11" t="b">
        <f t="shared" si="238"/>
        <v>1</v>
      </c>
    </row>
    <row r="2532" spans="8:8">
      <c r="H2532" s="11" t="b">
        <f t="shared" si="238"/>
        <v>1</v>
      </c>
    </row>
    <row r="2533" spans="8:8">
      <c r="H2533" s="11" t="b">
        <f t="shared" si="238"/>
        <v>1</v>
      </c>
    </row>
    <row r="2534" spans="8:8">
      <c r="H2534" s="11" t="b">
        <f t="shared" si="238"/>
        <v>1</v>
      </c>
    </row>
    <row r="2535" spans="8:8">
      <c r="H2535" s="11" t="b">
        <f t="shared" si="238"/>
        <v>1</v>
      </c>
    </row>
    <row r="2536" spans="8:8">
      <c r="H2536" s="11" t="b">
        <f t="shared" si="238"/>
        <v>1</v>
      </c>
    </row>
    <row r="2537" spans="8:8">
      <c r="H2537" s="11" t="b">
        <f t="shared" si="238"/>
        <v>1</v>
      </c>
    </row>
  </sheetData>
  <autoFilter ref="A1:IW2537">
    <extLst/>
  </autoFilter>
  <conditionalFormatting sqref="B190 B293">
    <cfRule type="containsText" dxfId="6" priority="1" operator="between" text="文字描述">
      <formula>NOT(ISERROR(SEARCH("文字描述",B190)))</formula>
    </cfRule>
  </conditionalFormatting>
  <hyperlinks>
    <hyperlink ref="F1" location="报表附注!F1" display="【返回】报表附注"/>
  </hyperlinks>
  <pageMargins left="0.7" right="0.7" top="0.75" bottom="0.75" header="0.3" footer="0.3"/>
  <pageSetup paperSize="9" orientation="portrait"/>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3"/>
  <sheetViews>
    <sheetView workbookViewId="0">
      <pane xSplit="1" ySplit="3" topLeftCell="B4" activePane="bottomRight" state="frozen"/>
      <selection/>
      <selection pane="topRight"/>
      <selection pane="bottomLeft"/>
      <selection pane="bottomRight" activeCell="B4" sqref="B4:B14"/>
    </sheetView>
  </sheetViews>
  <sheetFormatPr defaultColWidth="9" defaultRowHeight="13.5" customHeight="1"/>
  <cols>
    <col min="1" max="1" width="11.25" customWidth="1"/>
    <col min="2" max="2" width="26.625" customWidth="1"/>
    <col min="3" max="3" width="17.875" customWidth="1"/>
    <col min="4" max="4" width="17.25" customWidth="1"/>
    <col min="5" max="5" width="3.25" customWidth="1"/>
    <col min="6" max="6" width="16.125" customWidth="1"/>
    <col min="7" max="7" width="10" customWidth="1"/>
    <col min="8" max="9" width="11.5" customWidth="1"/>
    <col min="12" max="13" width="12.875" customWidth="1"/>
    <col min="14" max="14" width="10.75" customWidth="1"/>
    <col min="15" max="15" width="3.625" customWidth="1"/>
    <col min="16" max="16" width="14" hidden="1" customWidth="1"/>
  </cols>
  <sheetData>
    <row r="1" customHeight="1" spans="1:20">
      <c r="A1" s="224" t="s">
        <v>1997</v>
      </c>
      <c r="B1" s="225"/>
      <c r="C1" s="226">
        <f>C2-审定利润表!C10</f>
        <v>-13092697.23</v>
      </c>
      <c r="D1" s="226">
        <f>D2-审定利润表!D10</f>
        <v>-18616301.28</v>
      </c>
      <c r="E1" s="227"/>
      <c r="F1" s="228" t="s">
        <v>5777</v>
      </c>
      <c r="G1" s="278" t="s">
        <v>5778</v>
      </c>
      <c r="H1" s="279">
        <f>C15-H2</f>
        <v>0</v>
      </c>
      <c r="I1" s="279">
        <f>D15-I2</f>
        <v>0</v>
      </c>
      <c r="J1" s="278"/>
      <c r="K1" s="278"/>
      <c r="L1" s="291"/>
      <c r="M1" s="291"/>
      <c r="N1" s="259"/>
      <c r="O1" s="260"/>
      <c r="P1" s="260"/>
      <c r="Q1" s="227"/>
      <c r="R1" s="227"/>
      <c r="S1" s="227"/>
      <c r="T1" s="227"/>
    </row>
    <row r="2" customHeight="1" spans="1:20">
      <c r="A2" s="231" t="s">
        <v>5779</v>
      </c>
      <c r="B2" s="231"/>
      <c r="C2" s="232">
        <f>C15</f>
        <v>0</v>
      </c>
      <c r="D2" s="232">
        <f>D15</f>
        <v>0</v>
      </c>
      <c r="E2" s="233"/>
      <c r="F2" s="229" t="s">
        <v>5780</v>
      </c>
      <c r="G2" s="234" t="s">
        <v>5779</v>
      </c>
      <c r="H2" s="235">
        <f>H80</f>
        <v>0</v>
      </c>
      <c r="I2" s="235">
        <f>I80</f>
        <v>0</v>
      </c>
      <c r="J2" s="278"/>
      <c r="K2" s="278"/>
      <c r="L2" s="292"/>
      <c r="M2" s="291"/>
      <c r="N2" s="293" t="s">
        <v>5168</v>
      </c>
      <c r="O2" s="294"/>
      <c r="P2" s="260"/>
      <c r="Q2" s="227"/>
      <c r="R2" s="227"/>
      <c r="S2" s="227"/>
      <c r="T2" s="227"/>
    </row>
    <row r="3" customHeight="1" spans="1:18">
      <c r="A3" s="236" t="s">
        <v>5781</v>
      </c>
      <c r="B3" s="237" t="s">
        <v>5782</v>
      </c>
      <c r="C3" s="238" t="s">
        <v>1905</v>
      </c>
      <c r="D3" s="238" t="s">
        <v>1906</v>
      </c>
      <c r="E3" s="239"/>
      <c r="F3" s="241" t="s">
        <v>5783</v>
      </c>
      <c r="G3" s="241" t="s">
        <v>5784</v>
      </c>
      <c r="H3" s="242" t="s">
        <v>5785</v>
      </c>
      <c r="I3" s="242" t="s">
        <v>2351</v>
      </c>
      <c r="J3" s="295" t="s">
        <v>5786</v>
      </c>
      <c r="K3" s="242" t="s">
        <v>5787</v>
      </c>
      <c r="L3" s="296" t="s">
        <v>5788</v>
      </c>
      <c r="M3" s="297" t="s">
        <v>5789</v>
      </c>
      <c r="N3" s="263" t="s">
        <v>5790</v>
      </c>
      <c r="O3" s="298">
        <v>1</v>
      </c>
      <c r="P3" s="299" t="str">
        <f>A4</f>
        <v>深圳新阳蓝光能源管理科技股份有限公司</v>
      </c>
      <c r="Q3" s="239"/>
      <c r="R3" s="239"/>
    </row>
    <row r="4" customHeight="1" spans="1:16">
      <c r="A4" s="243" t="str">
        <f>参数表!C3</f>
        <v>深圳新阳蓝光能源管理科技股份有限公司</v>
      </c>
      <c r="B4" s="243" t="s">
        <v>5174</v>
      </c>
      <c r="C4" s="245">
        <f>SUMIFS($H$4:$H$80,$N$4:$N$80,$B4)</f>
        <v>0</v>
      </c>
      <c r="D4" s="245">
        <f>SUMIFS($I$4:$I$80,$N$4:$N$80,$B4)</f>
        <v>0</v>
      </c>
      <c r="E4" s="246"/>
      <c r="F4" s="240" t="s">
        <v>5791</v>
      </c>
      <c r="G4" s="241" t="s">
        <v>5792</v>
      </c>
      <c r="H4" s="247">
        <f>SUM(H5:H9,H13:H16)</f>
        <v>0</v>
      </c>
      <c r="I4" s="247">
        <f>SUM(I5:I9,I13:I16)</f>
        <v>0</v>
      </c>
      <c r="J4" s="300">
        <v>0</v>
      </c>
      <c r="K4" s="301"/>
      <c r="L4" s="247">
        <f>SUM(L5:L9,L13:L16)</f>
        <v>0</v>
      </c>
      <c r="M4" s="247">
        <f>SUM(M5:M9,M13:M16)</f>
        <v>0</v>
      </c>
      <c r="N4" s="302" t="s">
        <v>5174</v>
      </c>
      <c r="O4" s="299">
        <v>2</v>
      </c>
      <c r="P4" s="270" t="str">
        <f>P3</f>
        <v>深圳新阳蓝光能源管理科技股份有限公司</v>
      </c>
    </row>
    <row r="5" customHeight="1" spans="1:16">
      <c r="A5" s="243" t="str">
        <f>A4</f>
        <v>深圳新阳蓝光能源管理科技股份有限公司</v>
      </c>
      <c r="B5" s="243" t="s">
        <v>5764</v>
      </c>
      <c r="C5" s="245">
        <f t="shared" ref="C5:C14" si="0">SUMIFS($H$4:$H$80,$N$4:$N$80,$B5)</f>
        <v>0</v>
      </c>
      <c r="D5" s="245">
        <f t="shared" ref="D5:D14" si="1">SUMIFS($I$4:$I$80,$N$4:$N$80,$B5)</f>
        <v>0</v>
      </c>
      <c r="E5" s="246"/>
      <c r="F5" s="241" t="s">
        <v>5793</v>
      </c>
      <c r="G5" s="241" t="s">
        <v>5794</v>
      </c>
      <c r="H5" s="248"/>
      <c r="I5" s="248"/>
      <c r="J5" s="300">
        <v>0</v>
      </c>
      <c r="K5" s="301"/>
      <c r="L5" s="248"/>
      <c r="M5" s="248"/>
      <c r="N5" s="303"/>
      <c r="O5" s="299">
        <v>3</v>
      </c>
      <c r="P5" s="270" t="str">
        <f t="shared" ref="P5:P68" si="2">P4</f>
        <v>深圳新阳蓝光能源管理科技股份有限公司</v>
      </c>
    </row>
    <row r="6" customHeight="1" spans="1:16">
      <c r="A6" s="243" t="str">
        <f t="shared" ref="A6:A16" si="3">A5</f>
        <v>深圳新阳蓝光能源管理科技股份有限公司</v>
      </c>
      <c r="B6" s="243" t="s">
        <v>5765</v>
      </c>
      <c r="C6" s="245">
        <f t="shared" si="0"/>
        <v>0</v>
      </c>
      <c r="D6" s="245">
        <f t="shared" si="1"/>
        <v>0</v>
      </c>
      <c r="E6" s="246"/>
      <c r="F6" s="241" t="s">
        <v>5795</v>
      </c>
      <c r="G6" s="241" t="s">
        <v>5796</v>
      </c>
      <c r="H6" s="248"/>
      <c r="I6" s="248"/>
      <c r="J6" s="300">
        <v>0</v>
      </c>
      <c r="K6" s="301"/>
      <c r="L6" s="248"/>
      <c r="M6" s="248"/>
      <c r="N6" s="303"/>
      <c r="O6" s="299">
        <v>4</v>
      </c>
      <c r="P6" s="270" t="str">
        <f t="shared" si="2"/>
        <v>深圳新阳蓝光能源管理科技股份有限公司</v>
      </c>
    </row>
    <row r="7" customHeight="1" spans="1:16">
      <c r="A7" s="243" t="str">
        <f t="shared" si="3"/>
        <v>深圳新阳蓝光能源管理科技股份有限公司</v>
      </c>
      <c r="B7" s="243" t="s">
        <v>5175</v>
      </c>
      <c r="C7" s="245">
        <f t="shared" si="0"/>
        <v>0</v>
      </c>
      <c r="D7" s="245">
        <f t="shared" si="1"/>
        <v>0</v>
      </c>
      <c r="F7" s="241" t="s">
        <v>5797</v>
      </c>
      <c r="G7" s="241" t="s">
        <v>5798</v>
      </c>
      <c r="H7" s="248"/>
      <c r="I7" s="248"/>
      <c r="J7" s="300">
        <v>0</v>
      </c>
      <c r="K7" s="301"/>
      <c r="L7" s="248"/>
      <c r="M7" s="248"/>
      <c r="N7" s="303"/>
      <c r="O7" s="299">
        <v>5</v>
      </c>
      <c r="P7" s="270" t="str">
        <f t="shared" si="2"/>
        <v>深圳新阳蓝光能源管理科技股份有限公司</v>
      </c>
    </row>
    <row r="8" customHeight="1" spans="1:16">
      <c r="A8" s="243" t="str">
        <f t="shared" si="3"/>
        <v>深圳新阳蓝光能源管理科技股份有限公司</v>
      </c>
      <c r="B8" s="243" t="s">
        <v>5766</v>
      </c>
      <c r="C8" s="245">
        <f t="shared" si="0"/>
        <v>0</v>
      </c>
      <c r="D8" s="245">
        <f t="shared" si="1"/>
        <v>0</v>
      </c>
      <c r="F8" s="241" t="s">
        <v>5799</v>
      </c>
      <c r="G8" s="241" t="s">
        <v>5800</v>
      </c>
      <c r="H8" s="248"/>
      <c r="I8" s="248"/>
      <c r="J8" s="300">
        <v>0</v>
      </c>
      <c r="K8" s="301"/>
      <c r="L8" s="248"/>
      <c r="M8" s="248"/>
      <c r="N8" s="303"/>
      <c r="O8" s="299">
        <v>6</v>
      </c>
      <c r="P8" s="270" t="str">
        <f t="shared" si="2"/>
        <v>深圳新阳蓝光能源管理科技股份有限公司</v>
      </c>
    </row>
    <row r="9" customHeight="1" spans="1:16">
      <c r="A9" s="243" t="str">
        <f t="shared" si="3"/>
        <v>深圳新阳蓝光能源管理科技股份有限公司</v>
      </c>
      <c r="B9" s="243" t="s">
        <v>5767</v>
      </c>
      <c r="C9" s="245">
        <f t="shared" si="0"/>
        <v>0</v>
      </c>
      <c r="D9" s="245">
        <f t="shared" si="1"/>
        <v>0</v>
      </c>
      <c r="F9" s="241" t="s">
        <v>5801</v>
      </c>
      <c r="G9" s="241" t="s">
        <v>5802</v>
      </c>
      <c r="H9" s="247">
        <f>SUM(H10:H12)</f>
        <v>0</v>
      </c>
      <c r="I9" s="247">
        <f>SUM(I10:I12)</f>
        <v>0</v>
      </c>
      <c r="J9" s="300">
        <v>0</v>
      </c>
      <c r="K9" s="301"/>
      <c r="L9" s="247">
        <f>SUM(L10:L12)</f>
        <v>0</v>
      </c>
      <c r="M9" s="247">
        <f>SUM(M10:M12)</f>
        <v>0</v>
      </c>
      <c r="N9" s="303"/>
      <c r="O9" s="299">
        <v>7</v>
      </c>
      <c r="P9" s="270" t="str">
        <f t="shared" si="2"/>
        <v>深圳新阳蓝光能源管理科技股份有限公司</v>
      </c>
    </row>
    <row r="10" customHeight="1" spans="1:16">
      <c r="A10" s="243" t="str">
        <f t="shared" si="3"/>
        <v>深圳新阳蓝光能源管理科技股份有限公司</v>
      </c>
      <c r="B10" s="243" t="s">
        <v>5768</v>
      </c>
      <c r="C10" s="245">
        <f t="shared" si="0"/>
        <v>0</v>
      </c>
      <c r="D10" s="245">
        <f t="shared" si="1"/>
        <v>0</v>
      </c>
      <c r="F10" s="241" t="s">
        <v>5803</v>
      </c>
      <c r="G10" s="241" t="s">
        <v>5804</v>
      </c>
      <c r="H10" s="248"/>
      <c r="I10" s="248"/>
      <c r="J10" s="300">
        <v>0</v>
      </c>
      <c r="K10" s="301"/>
      <c r="L10" s="248"/>
      <c r="M10" s="248"/>
      <c r="N10" s="303"/>
      <c r="O10" s="299">
        <v>8</v>
      </c>
      <c r="P10" s="270" t="str">
        <f t="shared" si="2"/>
        <v>深圳新阳蓝光能源管理科技股份有限公司</v>
      </c>
    </row>
    <row r="11" customHeight="1" spans="1:16">
      <c r="A11" s="243" t="str">
        <f t="shared" si="3"/>
        <v>深圳新阳蓝光能源管理科技股份有限公司</v>
      </c>
      <c r="B11" s="280" t="s">
        <v>5769</v>
      </c>
      <c r="C11" s="245">
        <f t="shared" si="0"/>
        <v>0</v>
      </c>
      <c r="D11" s="245">
        <f t="shared" si="1"/>
        <v>0</v>
      </c>
      <c r="F11" s="241" t="s">
        <v>5805</v>
      </c>
      <c r="G11" s="241" t="s">
        <v>5806</v>
      </c>
      <c r="H11" s="248"/>
      <c r="I11" s="248"/>
      <c r="J11" s="300">
        <v>0</v>
      </c>
      <c r="K11" s="301"/>
      <c r="L11" s="248"/>
      <c r="M11" s="248"/>
      <c r="N11" s="303"/>
      <c r="O11" s="299">
        <v>9</v>
      </c>
      <c r="P11" s="270" t="str">
        <f t="shared" si="2"/>
        <v>深圳新阳蓝光能源管理科技股份有限公司</v>
      </c>
    </row>
    <row r="12" customHeight="1" spans="1:16">
      <c r="A12" s="243" t="str">
        <f t="shared" si="3"/>
        <v>深圳新阳蓝光能源管理科技股份有限公司</v>
      </c>
      <c r="B12" s="280" t="s">
        <v>5181</v>
      </c>
      <c r="C12" s="245">
        <f t="shared" si="0"/>
        <v>0</v>
      </c>
      <c r="D12" s="245">
        <f t="shared" si="1"/>
        <v>0</v>
      </c>
      <c r="F12" s="241" t="s">
        <v>5807</v>
      </c>
      <c r="G12" s="241" t="s">
        <v>5808</v>
      </c>
      <c r="H12" s="248"/>
      <c r="I12" s="248"/>
      <c r="J12" s="300">
        <v>0</v>
      </c>
      <c r="K12" s="301"/>
      <c r="L12" s="248"/>
      <c r="M12" s="248"/>
      <c r="N12" s="303"/>
      <c r="O12" s="299">
        <v>10</v>
      </c>
      <c r="P12" s="270" t="str">
        <f t="shared" si="2"/>
        <v>深圳新阳蓝光能源管理科技股份有限公司</v>
      </c>
    </row>
    <row r="13" customHeight="1" spans="1:16">
      <c r="A13" s="243" t="str">
        <f t="shared" si="3"/>
        <v>深圳新阳蓝光能源管理科技股份有限公司</v>
      </c>
      <c r="B13" s="280" t="s">
        <v>5575</v>
      </c>
      <c r="C13" s="245">
        <f t="shared" si="0"/>
        <v>0</v>
      </c>
      <c r="D13" s="245">
        <f t="shared" si="1"/>
        <v>0</v>
      </c>
      <c r="F13" s="241" t="s">
        <v>5809</v>
      </c>
      <c r="G13" s="241" t="s">
        <v>5810</v>
      </c>
      <c r="H13" s="248"/>
      <c r="I13" s="248"/>
      <c r="J13" s="300">
        <v>0</v>
      </c>
      <c r="K13" s="301"/>
      <c r="L13" s="248"/>
      <c r="M13" s="248"/>
      <c r="N13" s="303"/>
      <c r="O13" s="299">
        <v>11</v>
      </c>
      <c r="P13" s="270" t="str">
        <f t="shared" si="2"/>
        <v>深圳新阳蓝光能源管理科技股份有限公司</v>
      </c>
    </row>
    <row r="14" customHeight="1" spans="1:16">
      <c r="A14" s="243" t="str">
        <f t="shared" si="3"/>
        <v>深圳新阳蓝光能源管理科技股份有限公司</v>
      </c>
      <c r="B14" s="280" t="s">
        <v>5770</v>
      </c>
      <c r="C14" s="245">
        <f t="shared" si="0"/>
        <v>0</v>
      </c>
      <c r="D14" s="245">
        <f t="shared" si="1"/>
        <v>0</v>
      </c>
      <c r="F14" s="241" t="s">
        <v>5811</v>
      </c>
      <c r="G14" s="241" t="s">
        <v>5812</v>
      </c>
      <c r="H14" s="248"/>
      <c r="I14" s="248"/>
      <c r="J14" s="300">
        <v>0</v>
      </c>
      <c r="K14" s="301"/>
      <c r="L14" s="248"/>
      <c r="M14" s="248"/>
      <c r="N14" s="303"/>
      <c r="O14" s="299">
        <v>12</v>
      </c>
      <c r="P14" s="270" t="str">
        <f t="shared" si="2"/>
        <v>深圳新阳蓝光能源管理科技股份有限公司</v>
      </c>
    </row>
    <row r="15" customHeight="1" spans="1:16">
      <c r="A15" s="243" t="str">
        <f t="shared" si="3"/>
        <v>深圳新阳蓝光能源管理科技股份有限公司</v>
      </c>
      <c r="B15" s="281" t="s">
        <v>2021</v>
      </c>
      <c r="C15" s="282">
        <f>SUM(C4:C14)</f>
        <v>0</v>
      </c>
      <c r="D15" s="282">
        <f>SUM(D4:D14)</f>
        <v>0</v>
      </c>
      <c r="F15" s="241" t="s">
        <v>5813</v>
      </c>
      <c r="G15" s="241" t="s">
        <v>5814</v>
      </c>
      <c r="H15" s="248"/>
      <c r="I15" s="248"/>
      <c r="J15" s="300">
        <v>0</v>
      </c>
      <c r="K15" s="301"/>
      <c r="L15" s="248"/>
      <c r="M15" s="248"/>
      <c r="N15" s="303"/>
      <c r="O15" s="299">
        <v>13</v>
      </c>
      <c r="P15" s="270" t="str">
        <f t="shared" si="2"/>
        <v>深圳新阳蓝光能源管理科技股份有限公司</v>
      </c>
    </row>
    <row r="16" customHeight="1" spans="1:16">
      <c r="A16" s="283" t="str">
        <f t="shared" si="3"/>
        <v>深圳新阳蓝光能源管理科技股份有限公司</v>
      </c>
      <c r="B16" s="252" t="s">
        <v>1395</v>
      </c>
      <c r="C16" s="284">
        <f>C15-H2</f>
        <v>0</v>
      </c>
      <c r="D16" s="284">
        <f>D15-I2</f>
        <v>0</v>
      </c>
      <c r="F16" s="241" t="s">
        <v>5815</v>
      </c>
      <c r="G16" s="241" t="s">
        <v>5816</v>
      </c>
      <c r="H16" s="248"/>
      <c r="I16" s="248"/>
      <c r="J16" s="300">
        <v>0</v>
      </c>
      <c r="K16" s="301"/>
      <c r="L16" s="248"/>
      <c r="M16" s="248"/>
      <c r="N16" s="303"/>
      <c r="O16" s="299">
        <v>14</v>
      </c>
      <c r="P16" s="270" t="str">
        <f t="shared" si="2"/>
        <v>深圳新阳蓝光能源管理科技股份有限公司</v>
      </c>
    </row>
    <row r="17" customHeight="1" spans="1:16">
      <c r="A17" s="254"/>
      <c r="B17" s="285"/>
      <c r="C17" s="286"/>
      <c r="D17" s="286"/>
      <c r="F17" s="240" t="s">
        <v>5817</v>
      </c>
      <c r="G17" s="241" t="s">
        <v>5818</v>
      </c>
      <c r="H17" s="248"/>
      <c r="I17" s="248"/>
      <c r="J17" s="300">
        <v>0</v>
      </c>
      <c r="K17" s="301"/>
      <c r="L17" s="248"/>
      <c r="M17" s="248"/>
      <c r="N17" s="302" t="s">
        <v>5175</v>
      </c>
      <c r="O17" s="299">
        <v>15</v>
      </c>
      <c r="P17" s="270" t="str">
        <f t="shared" si="2"/>
        <v>深圳新阳蓝光能源管理科技股份有限公司</v>
      </c>
    </row>
    <row r="18" customHeight="1" spans="1:16">
      <c r="A18" s="254"/>
      <c r="B18" s="285"/>
      <c r="C18" s="286"/>
      <c r="D18" s="286"/>
      <c r="F18" s="240" t="s">
        <v>5819</v>
      </c>
      <c r="G18" s="241" t="s">
        <v>5820</v>
      </c>
      <c r="H18" s="248"/>
      <c r="I18" s="248"/>
      <c r="J18" s="300">
        <v>0</v>
      </c>
      <c r="K18" s="301"/>
      <c r="L18" s="248"/>
      <c r="M18" s="248"/>
      <c r="N18" s="302" t="s">
        <v>5175</v>
      </c>
      <c r="O18" s="299">
        <v>16</v>
      </c>
      <c r="P18" s="270" t="str">
        <f t="shared" si="2"/>
        <v>深圳新阳蓝光能源管理科技股份有限公司</v>
      </c>
    </row>
    <row r="19" customHeight="1" spans="1:20">
      <c r="A19" s="254"/>
      <c r="B19" s="285"/>
      <c r="C19" s="285"/>
      <c r="D19" s="285"/>
      <c r="E19" s="287"/>
      <c r="F19" s="240" t="s">
        <v>5821</v>
      </c>
      <c r="G19" s="241" t="s">
        <v>5822</v>
      </c>
      <c r="H19" s="248"/>
      <c r="I19" s="248"/>
      <c r="J19" s="300">
        <v>0</v>
      </c>
      <c r="K19" s="301"/>
      <c r="L19" s="248"/>
      <c r="M19" s="248"/>
      <c r="N19" s="302" t="s">
        <v>5767</v>
      </c>
      <c r="O19" s="299">
        <v>17</v>
      </c>
      <c r="P19" s="270" t="str">
        <f t="shared" si="2"/>
        <v>深圳新阳蓝光能源管理科技股份有限公司</v>
      </c>
      <c r="Q19" s="287"/>
      <c r="R19" s="287"/>
      <c r="S19" s="307"/>
      <c r="T19" s="307"/>
    </row>
    <row r="20" customHeight="1" spans="1:20">
      <c r="A20" s="287"/>
      <c r="C20" s="288"/>
      <c r="D20" s="288"/>
      <c r="E20" s="287"/>
      <c r="F20" s="240" t="s">
        <v>5823</v>
      </c>
      <c r="G20" s="241" t="s">
        <v>5824</v>
      </c>
      <c r="H20" s="248"/>
      <c r="I20" s="248"/>
      <c r="J20" s="300">
        <v>0</v>
      </c>
      <c r="K20" s="301"/>
      <c r="L20" s="248"/>
      <c r="M20" s="248"/>
      <c r="N20" s="302" t="s">
        <v>5769</v>
      </c>
      <c r="O20" s="299">
        <v>18</v>
      </c>
      <c r="P20" s="270" t="str">
        <f t="shared" si="2"/>
        <v>深圳新阳蓝光能源管理科技股份有限公司</v>
      </c>
      <c r="Q20" s="287"/>
      <c r="R20" s="287"/>
      <c r="S20" s="307"/>
      <c r="T20" s="307"/>
    </row>
    <row r="21" customHeight="1" spans="1:20">
      <c r="A21" s="287"/>
      <c r="C21" s="288"/>
      <c r="D21" s="288"/>
      <c r="E21" s="287"/>
      <c r="F21" s="240" t="s">
        <v>5825</v>
      </c>
      <c r="G21" s="241" t="s">
        <v>5826</v>
      </c>
      <c r="H21" s="248"/>
      <c r="I21" s="248"/>
      <c r="J21" s="300">
        <v>0</v>
      </c>
      <c r="K21" s="301"/>
      <c r="L21" s="248"/>
      <c r="M21" s="248"/>
      <c r="N21" s="302" t="s">
        <v>5768</v>
      </c>
      <c r="O21" s="299">
        <v>19</v>
      </c>
      <c r="P21" s="270" t="str">
        <f t="shared" si="2"/>
        <v>深圳新阳蓝光能源管理科技股份有限公司</v>
      </c>
      <c r="Q21" s="287"/>
      <c r="R21" s="287"/>
      <c r="S21" s="307"/>
      <c r="T21" s="307"/>
    </row>
    <row r="22" customHeight="1" spans="1:20">
      <c r="A22" s="287"/>
      <c r="C22" s="288"/>
      <c r="D22" s="288"/>
      <c r="E22" s="287"/>
      <c r="F22" s="240" t="s">
        <v>5827</v>
      </c>
      <c r="G22" s="241" t="s">
        <v>5828</v>
      </c>
      <c r="H22" s="248"/>
      <c r="I22" s="248"/>
      <c r="J22" s="300">
        <v>0</v>
      </c>
      <c r="K22" s="301"/>
      <c r="L22" s="248"/>
      <c r="M22" s="248"/>
      <c r="N22" s="302" t="s">
        <v>5175</v>
      </c>
      <c r="O22" s="299">
        <v>20</v>
      </c>
      <c r="P22" s="270" t="str">
        <f t="shared" si="2"/>
        <v>深圳新阳蓝光能源管理科技股份有限公司</v>
      </c>
      <c r="Q22" s="287"/>
      <c r="R22" s="287"/>
      <c r="S22" s="307"/>
      <c r="T22" s="307"/>
    </row>
    <row r="23" customHeight="1" spans="1:20">
      <c r="A23" s="287"/>
      <c r="C23" s="288"/>
      <c r="D23" s="288"/>
      <c r="E23" s="287"/>
      <c r="F23" s="240" t="s">
        <v>5829</v>
      </c>
      <c r="G23" s="241" t="s">
        <v>5830</v>
      </c>
      <c r="H23" s="248"/>
      <c r="I23" s="248"/>
      <c r="J23" s="300">
        <v>0</v>
      </c>
      <c r="K23" s="301"/>
      <c r="L23" s="248"/>
      <c r="M23" s="248"/>
      <c r="N23" s="302" t="s">
        <v>5575</v>
      </c>
      <c r="O23" s="299">
        <v>21</v>
      </c>
      <c r="P23" s="270" t="str">
        <f t="shared" si="2"/>
        <v>深圳新阳蓝光能源管理科技股份有限公司</v>
      </c>
      <c r="Q23" s="287"/>
      <c r="R23" s="287"/>
      <c r="S23" s="307"/>
      <c r="T23" s="307"/>
    </row>
    <row r="24" customHeight="1" spans="1:20">
      <c r="A24" s="287"/>
      <c r="C24" s="288"/>
      <c r="D24" s="288"/>
      <c r="E24" s="287"/>
      <c r="F24" s="240" t="s">
        <v>5831</v>
      </c>
      <c r="G24" s="241" t="s">
        <v>5832</v>
      </c>
      <c r="H24" s="247">
        <f>SUM(H25:H28)</f>
        <v>0</v>
      </c>
      <c r="I24" s="247">
        <f>SUM(I25:I28)</f>
        <v>0</v>
      </c>
      <c r="J24" s="300">
        <v>0</v>
      </c>
      <c r="K24" s="301"/>
      <c r="L24" s="247">
        <f>SUM(L25:L28)</f>
        <v>0</v>
      </c>
      <c r="M24" s="247">
        <f>SUM(M25:M28)</f>
        <v>0</v>
      </c>
      <c r="N24" s="302" t="s">
        <v>5766</v>
      </c>
      <c r="O24" s="299">
        <v>22</v>
      </c>
      <c r="P24" s="270" t="str">
        <f t="shared" si="2"/>
        <v>深圳新阳蓝光能源管理科技股份有限公司</v>
      </c>
      <c r="Q24" s="287"/>
      <c r="R24" s="287"/>
      <c r="S24" s="307"/>
      <c r="T24" s="307"/>
    </row>
    <row r="25" customHeight="1" spans="1:20">
      <c r="A25" s="287"/>
      <c r="C25" s="288"/>
      <c r="D25" s="288"/>
      <c r="E25" s="287"/>
      <c r="F25" s="241" t="s">
        <v>5833</v>
      </c>
      <c r="G25" s="241" t="s">
        <v>5834</v>
      </c>
      <c r="H25" s="248"/>
      <c r="I25" s="248"/>
      <c r="J25" s="300">
        <v>0</v>
      </c>
      <c r="K25" s="301"/>
      <c r="L25" s="248"/>
      <c r="M25" s="248"/>
      <c r="N25" s="303"/>
      <c r="O25" s="299">
        <v>23</v>
      </c>
      <c r="P25" s="270" t="str">
        <f t="shared" si="2"/>
        <v>深圳新阳蓝光能源管理科技股份有限公司</v>
      </c>
      <c r="Q25" s="287"/>
      <c r="R25" s="287"/>
      <c r="S25" s="307"/>
      <c r="T25" s="307"/>
    </row>
    <row r="26" customHeight="1" spans="1:20">
      <c r="A26" s="287"/>
      <c r="C26" s="288"/>
      <c r="D26" s="288"/>
      <c r="E26" s="287"/>
      <c r="F26" s="241" t="s">
        <v>5835</v>
      </c>
      <c r="G26" s="241" t="s">
        <v>5836</v>
      </c>
      <c r="H26" s="248"/>
      <c r="I26" s="248"/>
      <c r="J26" s="300">
        <v>0</v>
      </c>
      <c r="K26" s="301"/>
      <c r="L26" s="248"/>
      <c r="M26" s="248"/>
      <c r="N26" s="303"/>
      <c r="O26" s="299">
        <v>24</v>
      </c>
      <c r="P26" s="270" t="str">
        <f t="shared" si="2"/>
        <v>深圳新阳蓝光能源管理科技股份有限公司</v>
      </c>
      <c r="Q26" s="287"/>
      <c r="R26" s="287"/>
      <c r="S26" s="307"/>
      <c r="T26" s="307"/>
    </row>
    <row r="27" customHeight="1" spans="1:20">
      <c r="A27" s="287"/>
      <c r="C27" s="288"/>
      <c r="D27" s="288"/>
      <c r="E27" s="287"/>
      <c r="F27" s="241" t="s">
        <v>5837</v>
      </c>
      <c r="G27" s="241" t="s">
        <v>5838</v>
      </c>
      <c r="H27" s="248"/>
      <c r="I27" s="248"/>
      <c r="J27" s="300">
        <v>0</v>
      </c>
      <c r="K27" s="301"/>
      <c r="L27" s="248"/>
      <c r="M27" s="248"/>
      <c r="N27" s="303"/>
      <c r="O27" s="299">
        <v>25</v>
      </c>
      <c r="P27" s="270" t="str">
        <f t="shared" si="2"/>
        <v>深圳新阳蓝光能源管理科技股份有限公司</v>
      </c>
      <c r="Q27" s="287"/>
      <c r="R27" s="287"/>
      <c r="S27" s="307"/>
      <c r="T27" s="307"/>
    </row>
    <row r="28" customHeight="1" spans="1:20">
      <c r="A28" s="287"/>
      <c r="C28" s="288"/>
      <c r="D28" s="288"/>
      <c r="E28" s="287"/>
      <c r="F28" s="241" t="s">
        <v>5839</v>
      </c>
      <c r="G28" s="241" t="s">
        <v>5840</v>
      </c>
      <c r="H28" s="247">
        <f>SUM(H29:H31)</f>
        <v>0</v>
      </c>
      <c r="I28" s="247">
        <f>SUM(I29:I31)</f>
        <v>0</v>
      </c>
      <c r="J28" s="300">
        <v>0</v>
      </c>
      <c r="K28" s="301"/>
      <c r="L28" s="247">
        <f>SUM(L29:L31)</f>
        <v>0</v>
      </c>
      <c r="M28" s="247">
        <f>SUM(M29:M31)</f>
        <v>0</v>
      </c>
      <c r="N28" s="303"/>
      <c r="O28" s="299">
        <v>26</v>
      </c>
      <c r="P28" s="270" t="str">
        <f t="shared" si="2"/>
        <v>深圳新阳蓝光能源管理科技股份有限公司</v>
      </c>
      <c r="Q28" s="287"/>
      <c r="R28" s="287"/>
      <c r="S28" s="307"/>
      <c r="T28" s="307"/>
    </row>
    <row r="29" customHeight="1" spans="1:20">
      <c r="A29" s="287"/>
      <c r="C29" s="288"/>
      <c r="D29" s="288"/>
      <c r="E29" s="287"/>
      <c r="F29" s="241" t="s">
        <v>5841</v>
      </c>
      <c r="G29" s="241" t="s">
        <v>5842</v>
      </c>
      <c r="H29" s="248"/>
      <c r="I29" s="248"/>
      <c r="J29" s="300">
        <v>0</v>
      </c>
      <c r="K29" s="301"/>
      <c r="L29" s="248"/>
      <c r="M29" s="248"/>
      <c r="N29" s="303"/>
      <c r="O29" s="299">
        <v>27</v>
      </c>
      <c r="P29" s="270" t="str">
        <f t="shared" si="2"/>
        <v>深圳新阳蓝光能源管理科技股份有限公司</v>
      </c>
      <c r="Q29" s="287"/>
      <c r="R29" s="287"/>
      <c r="S29" s="307"/>
      <c r="T29" s="307"/>
    </row>
    <row r="30" customHeight="1" spans="1:20">
      <c r="A30" s="287"/>
      <c r="C30" s="288"/>
      <c r="D30" s="288"/>
      <c r="E30" s="287"/>
      <c r="F30" s="241" t="s">
        <v>5843</v>
      </c>
      <c r="G30" s="241" t="s">
        <v>5844</v>
      </c>
      <c r="H30" s="248"/>
      <c r="I30" s="248"/>
      <c r="J30" s="300">
        <v>0</v>
      </c>
      <c r="K30" s="301"/>
      <c r="L30" s="248"/>
      <c r="M30" s="248"/>
      <c r="N30" s="303"/>
      <c r="O30" s="299">
        <v>28</v>
      </c>
      <c r="P30" s="270" t="str">
        <f t="shared" si="2"/>
        <v>深圳新阳蓝光能源管理科技股份有限公司</v>
      </c>
      <c r="Q30" s="287"/>
      <c r="R30" s="287"/>
      <c r="S30" s="307"/>
      <c r="T30" s="307"/>
    </row>
    <row r="31" customHeight="1" spans="1:20">
      <c r="A31" s="289"/>
      <c r="B31" s="287"/>
      <c r="C31" s="288"/>
      <c r="D31" s="288"/>
      <c r="E31" s="287"/>
      <c r="F31" s="241" t="s">
        <v>5845</v>
      </c>
      <c r="G31" s="241" t="s">
        <v>5846</v>
      </c>
      <c r="H31" s="248"/>
      <c r="I31" s="248"/>
      <c r="J31" s="300">
        <v>0</v>
      </c>
      <c r="K31" s="301"/>
      <c r="L31" s="248"/>
      <c r="M31" s="248"/>
      <c r="N31" s="303"/>
      <c r="O31" s="299">
        <v>29</v>
      </c>
      <c r="P31" s="270" t="str">
        <f t="shared" si="2"/>
        <v>深圳新阳蓝光能源管理科技股份有限公司</v>
      </c>
      <c r="Q31" s="287"/>
      <c r="R31" s="287"/>
      <c r="S31" s="307"/>
      <c r="T31" s="307"/>
    </row>
    <row r="32" customHeight="1" spans="1:20">
      <c r="A32" s="287"/>
      <c r="B32" s="287"/>
      <c r="C32" s="288"/>
      <c r="D32" s="288"/>
      <c r="E32" s="287"/>
      <c r="F32" s="240" t="s">
        <v>5847</v>
      </c>
      <c r="G32" s="241" t="s">
        <v>5848</v>
      </c>
      <c r="H32" s="248"/>
      <c r="I32" s="248"/>
      <c r="J32" s="300">
        <v>0</v>
      </c>
      <c r="K32" s="301"/>
      <c r="L32" s="248"/>
      <c r="M32" s="248"/>
      <c r="N32" s="302" t="s">
        <v>5765</v>
      </c>
      <c r="O32" s="299">
        <v>30</v>
      </c>
      <c r="P32" s="270" t="str">
        <f t="shared" si="2"/>
        <v>深圳新阳蓝光能源管理科技股份有限公司</v>
      </c>
      <c r="Q32" s="287"/>
      <c r="R32" s="287"/>
      <c r="S32" s="307"/>
      <c r="T32" s="307"/>
    </row>
    <row r="33" customHeight="1" spans="1:20">
      <c r="A33" s="287"/>
      <c r="B33" s="287"/>
      <c r="C33" s="288"/>
      <c r="D33" s="288"/>
      <c r="E33" s="287"/>
      <c r="F33" s="240" t="s">
        <v>5849</v>
      </c>
      <c r="G33" s="241" t="s">
        <v>5850</v>
      </c>
      <c r="H33" s="248"/>
      <c r="I33" s="248"/>
      <c r="J33" s="300">
        <v>0</v>
      </c>
      <c r="K33" s="301"/>
      <c r="L33" s="248"/>
      <c r="M33" s="248"/>
      <c r="N33" s="302" t="s">
        <v>5770</v>
      </c>
      <c r="O33" s="299">
        <v>31</v>
      </c>
      <c r="P33" s="270" t="str">
        <f t="shared" si="2"/>
        <v>深圳新阳蓝光能源管理科技股份有限公司</v>
      </c>
      <c r="Q33" s="287"/>
      <c r="R33" s="287"/>
      <c r="S33" s="307"/>
      <c r="T33" s="307"/>
    </row>
    <row r="34" customHeight="1" spans="1:20">
      <c r="A34" s="287"/>
      <c r="C34" s="288"/>
      <c r="D34" s="288"/>
      <c r="E34" s="287"/>
      <c r="F34" s="240" t="s">
        <v>5851</v>
      </c>
      <c r="G34" s="241" t="s">
        <v>5852</v>
      </c>
      <c r="H34" s="247">
        <f>SUM(H35:H36)</f>
        <v>0</v>
      </c>
      <c r="I34" s="247">
        <f>SUM(I35:I36)</f>
        <v>0</v>
      </c>
      <c r="J34" s="300">
        <v>0</v>
      </c>
      <c r="K34" s="301"/>
      <c r="L34" s="247">
        <f>SUM(L35:L36)</f>
        <v>0</v>
      </c>
      <c r="M34" s="247">
        <f>SUM(M35:M36)</f>
        <v>0</v>
      </c>
      <c r="N34" s="302" t="s">
        <v>5768</v>
      </c>
      <c r="O34" s="299">
        <v>32</v>
      </c>
      <c r="P34" s="270" t="str">
        <f t="shared" si="2"/>
        <v>深圳新阳蓝光能源管理科技股份有限公司</v>
      </c>
      <c r="Q34" s="287"/>
      <c r="R34" s="287"/>
      <c r="S34" s="307"/>
      <c r="T34" s="307"/>
    </row>
    <row r="35" customHeight="1" spans="6:16">
      <c r="F35" s="241" t="s">
        <v>167</v>
      </c>
      <c r="G35" s="241" t="s">
        <v>5853</v>
      </c>
      <c r="H35" s="248"/>
      <c r="I35" s="248"/>
      <c r="J35" s="300">
        <v>0</v>
      </c>
      <c r="K35" s="301"/>
      <c r="L35" s="248"/>
      <c r="M35" s="248"/>
      <c r="N35" s="303"/>
      <c r="O35" s="299">
        <v>33</v>
      </c>
      <c r="P35" s="270" t="str">
        <f t="shared" si="2"/>
        <v>深圳新阳蓝光能源管理科技股份有限公司</v>
      </c>
    </row>
    <row r="36" customHeight="1" spans="6:16">
      <c r="F36" s="241" t="s">
        <v>5854</v>
      </c>
      <c r="G36" s="241" t="s">
        <v>5855</v>
      </c>
      <c r="H36" s="248"/>
      <c r="I36" s="248"/>
      <c r="J36" s="300">
        <v>0</v>
      </c>
      <c r="K36" s="301"/>
      <c r="L36" s="248"/>
      <c r="M36" s="248"/>
      <c r="N36" s="303"/>
      <c r="O36" s="299">
        <v>34</v>
      </c>
      <c r="P36" s="270" t="str">
        <f t="shared" si="2"/>
        <v>深圳新阳蓝光能源管理科技股份有限公司</v>
      </c>
    </row>
    <row r="37" customHeight="1" spans="6:16">
      <c r="F37" s="240" t="s">
        <v>5856</v>
      </c>
      <c r="G37" s="241" t="s">
        <v>5857</v>
      </c>
      <c r="H37" s="248"/>
      <c r="I37" s="248"/>
      <c r="J37" s="300">
        <v>0</v>
      </c>
      <c r="K37" s="301"/>
      <c r="L37" s="248"/>
      <c r="M37" s="248"/>
      <c r="N37" s="302" t="s">
        <v>5770</v>
      </c>
      <c r="O37" s="299">
        <v>35</v>
      </c>
      <c r="P37" s="270" t="str">
        <f t="shared" si="2"/>
        <v>深圳新阳蓝光能源管理科技股份有限公司</v>
      </c>
    </row>
    <row r="38" customHeight="1" spans="6:16">
      <c r="F38" s="240" t="s">
        <v>5858</v>
      </c>
      <c r="G38" s="241" t="s">
        <v>5859</v>
      </c>
      <c r="H38" s="248">
        <v>0</v>
      </c>
      <c r="I38" s="248"/>
      <c r="J38" s="300">
        <v>0</v>
      </c>
      <c r="K38" s="301"/>
      <c r="L38" s="248"/>
      <c r="M38" s="248"/>
      <c r="N38" s="302" t="s">
        <v>5770</v>
      </c>
      <c r="O38" s="299">
        <v>36</v>
      </c>
      <c r="P38" s="270" t="str">
        <f t="shared" si="2"/>
        <v>深圳新阳蓝光能源管理科技股份有限公司</v>
      </c>
    </row>
    <row r="39" customHeight="1" spans="6:16">
      <c r="F39" s="240" t="s">
        <v>5860</v>
      </c>
      <c r="G39" s="241" t="s">
        <v>5861</v>
      </c>
      <c r="H39" s="247">
        <f>SUM(H40:H44)</f>
        <v>0</v>
      </c>
      <c r="I39" s="247">
        <f>SUM(I40:I44)</f>
        <v>0</v>
      </c>
      <c r="J39" s="300">
        <v>0</v>
      </c>
      <c r="K39" s="301"/>
      <c r="L39" s="247">
        <f>SUM(L40:L44)</f>
        <v>0</v>
      </c>
      <c r="M39" s="247">
        <f>SUM(M40:M44)</f>
        <v>0</v>
      </c>
      <c r="N39" s="302" t="s">
        <v>5181</v>
      </c>
      <c r="O39" s="299">
        <v>37</v>
      </c>
      <c r="P39" s="270" t="str">
        <f t="shared" si="2"/>
        <v>深圳新阳蓝光能源管理科技股份有限公司</v>
      </c>
    </row>
    <row r="40" customHeight="1" spans="6:16">
      <c r="F40" s="241" t="s">
        <v>5862</v>
      </c>
      <c r="G40" s="241" t="s">
        <v>5863</v>
      </c>
      <c r="H40" s="248"/>
      <c r="I40" s="248"/>
      <c r="J40" s="300">
        <v>0</v>
      </c>
      <c r="K40" s="301"/>
      <c r="L40" s="248"/>
      <c r="M40" s="248"/>
      <c r="N40" s="303"/>
      <c r="O40" s="299">
        <v>38</v>
      </c>
      <c r="P40" s="270" t="str">
        <f t="shared" si="2"/>
        <v>深圳新阳蓝光能源管理科技股份有限公司</v>
      </c>
    </row>
    <row r="41" customHeight="1" spans="6:16">
      <c r="F41" s="241" t="s">
        <v>5864</v>
      </c>
      <c r="G41" s="241" t="s">
        <v>5865</v>
      </c>
      <c r="H41" s="248"/>
      <c r="I41" s="248"/>
      <c r="J41" s="300">
        <v>0</v>
      </c>
      <c r="K41" s="301"/>
      <c r="L41" s="248"/>
      <c r="M41" s="248"/>
      <c r="N41" s="303"/>
      <c r="O41" s="299">
        <v>39</v>
      </c>
      <c r="P41" s="270" t="str">
        <f t="shared" si="2"/>
        <v>深圳新阳蓝光能源管理科技股份有限公司</v>
      </c>
    </row>
    <row r="42" customHeight="1" spans="6:16">
      <c r="F42" s="241" t="s">
        <v>5866</v>
      </c>
      <c r="G42" s="241" t="s">
        <v>5867</v>
      </c>
      <c r="H42" s="248"/>
      <c r="I42" s="248"/>
      <c r="J42" s="300">
        <v>0</v>
      </c>
      <c r="K42" s="301"/>
      <c r="L42" s="248"/>
      <c r="M42" s="248"/>
      <c r="N42" s="304"/>
      <c r="O42" s="299">
        <v>40</v>
      </c>
      <c r="P42" s="270" t="str">
        <f t="shared" si="2"/>
        <v>深圳新阳蓝光能源管理科技股份有限公司</v>
      </c>
    </row>
    <row r="43" customHeight="1" spans="6:16">
      <c r="F43" s="241" t="s">
        <v>5868</v>
      </c>
      <c r="G43" s="241" t="s">
        <v>5869</v>
      </c>
      <c r="H43" s="248"/>
      <c r="I43" s="248"/>
      <c r="J43" s="300">
        <v>0</v>
      </c>
      <c r="K43" s="301"/>
      <c r="L43" s="248"/>
      <c r="M43" s="248"/>
      <c r="N43" s="304"/>
      <c r="O43" s="299">
        <v>41</v>
      </c>
      <c r="P43" s="270" t="str">
        <f t="shared" si="2"/>
        <v>深圳新阳蓝光能源管理科技股份有限公司</v>
      </c>
    </row>
    <row r="44" customHeight="1" spans="6:16">
      <c r="F44" s="241" t="s">
        <v>5870</v>
      </c>
      <c r="G44" s="241" t="s">
        <v>5871</v>
      </c>
      <c r="H44" s="248"/>
      <c r="I44" s="248"/>
      <c r="J44" s="300">
        <v>0</v>
      </c>
      <c r="K44" s="301"/>
      <c r="L44" s="248"/>
      <c r="M44" s="248"/>
      <c r="N44" s="305"/>
      <c r="O44" s="299">
        <v>42</v>
      </c>
      <c r="P44" s="270" t="str">
        <f t="shared" si="2"/>
        <v>深圳新阳蓝光能源管理科技股份有限公司</v>
      </c>
    </row>
    <row r="45" customHeight="1" spans="6:16">
      <c r="F45" s="240" t="s">
        <v>5872</v>
      </c>
      <c r="G45" s="241" t="s">
        <v>5873</v>
      </c>
      <c r="H45" s="247">
        <f>SUM(H46,H54:H71)</f>
        <v>0</v>
      </c>
      <c r="I45" s="247">
        <f>SUM(I46,I54:I71)</f>
        <v>0</v>
      </c>
      <c r="J45" s="300">
        <v>0</v>
      </c>
      <c r="K45" s="301"/>
      <c r="L45" s="247">
        <f>SUM(L46,L54:L71)</f>
        <v>0</v>
      </c>
      <c r="M45" s="247">
        <f>SUM(M46,M54:M71)</f>
        <v>0</v>
      </c>
      <c r="N45" s="302" t="s">
        <v>5764</v>
      </c>
      <c r="O45" s="299">
        <v>43</v>
      </c>
      <c r="P45" s="270" t="str">
        <f t="shared" si="2"/>
        <v>深圳新阳蓝光能源管理科技股份有限公司</v>
      </c>
    </row>
    <row r="46" customHeight="1" spans="6:16">
      <c r="F46" s="290" t="s">
        <v>5874</v>
      </c>
      <c r="G46" s="241" t="s">
        <v>5875</v>
      </c>
      <c r="H46" s="247">
        <f>SUM(H47:H53)</f>
        <v>0</v>
      </c>
      <c r="I46" s="247">
        <f>SUM(I47:I53)</f>
        <v>0</v>
      </c>
      <c r="J46" s="300">
        <v>0</v>
      </c>
      <c r="K46" s="301"/>
      <c r="L46" s="247">
        <f>SUM(L47:L53)</f>
        <v>0</v>
      </c>
      <c r="M46" s="247">
        <f>SUM(M47:M53)</f>
        <v>0</v>
      </c>
      <c r="N46" s="303"/>
      <c r="O46" s="299">
        <v>44</v>
      </c>
      <c r="P46" s="270" t="str">
        <f t="shared" si="2"/>
        <v>深圳新阳蓝光能源管理科技股份有限公司</v>
      </c>
    </row>
    <row r="47" customHeight="1" spans="6:16">
      <c r="F47" s="290" t="s">
        <v>5876</v>
      </c>
      <c r="G47" s="241" t="s">
        <v>5877</v>
      </c>
      <c r="H47" s="248"/>
      <c r="I47" s="248"/>
      <c r="J47" s="300">
        <v>0</v>
      </c>
      <c r="K47" s="301"/>
      <c r="L47" s="248"/>
      <c r="M47" s="248"/>
      <c r="N47" s="303"/>
      <c r="O47" s="299">
        <v>45</v>
      </c>
      <c r="P47" s="270" t="str">
        <f t="shared" si="2"/>
        <v>深圳新阳蓝光能源管理科技股份有限公司</v>
      </c>
    </row>
    <row r="48" customHeight="1" spans="6:16">
      <c r="F48" s="290" t="s">
        <v>5878</v>
      </c>
      <c r="G48" s="241" t="s">
        <v>5879</v>
      </c>
      <c r="H48" s="248"/>
      <c r="I48" s="248"/>
      <c r="J48" s="300">
        <v>0</v>
      </c>
      <c r="K48" s="301"/>
      <c r="L48" s="248"/>
      <c r="M48" s="248"/>
      <c r="N48" s="303"/>
      <c r="O48" s="299">
        <v>46</v>
      </c>
      <c r="P48" s="270" t="str">
        <f t="shared" si="2"/>
        <v>深圳新阳蓝光能源管理科技股份有限公司</v>
      </c>
    </row>
    <row r="49" customHeight="1" spans="6:16">
      <c r="F49" s="290" t="s">
        <v>5880</v>
      </c>
      <c r="G49" s="241" t="s">
        <v>5881</v>
      </c>
      <c r="H49" s="248"/>
      <c r="I49" s="248"/>
      <c r="J49" s="300">
        <v>0</v>
      </c>
      <c r="K49" s="301"/>
      <c r="L49" s="248"/>
      <c r="M49" s="248"/>
      <c r="N49" s="303"/>
      <c r="O49" s="299">
        <v>47</v>
      </c>
      <c r="P49" s="270" t="str">
        <f t="shared" si="2"/>
        <v>深圳新阳蓝光能源管理科技股份有限公司</v>
      </c>
    </row>
    <row r="50" customHeight="1" spans="6:16">
      <c r="F50" s="290" t="s">
        <v>5882</v>
      </c>
      <c r="G50" s="241" t="s">
        <v>5883</v>
      </c>
      <c r="H50" s="248"/>
      <c r="I50" s="248"/>
      <c r="J50" s="300">
        <v>0</v>
      </c>
      <c r="K50" s="301"/>
      <c r="L50" s="248"/>
      <c r="M50" s="248"/>
      <c r="N50" s="303"/>
      <c r="O50" s="299">
        <v>48</v>
      </c>
      <c r="P50" s="270" t="str">
        <f t="shared" si="2"/>
        <v>深圳新阳蓝光能源管理科技股份有限公司</v>
      </c>
    </row>
    <row r="51" customHeight="1" spans="6:16">
      <c r="F51" s="290" t="s">
        <v>5884</v>
      </c>
      <c r="G51" s="241" t="s">
        <v>5885</v>
      </c>
      <c r="H51" s="248"/>
      <c r="I51" s="248"/>
      <c r="J51" s="300">
        <v>0</v>
      </c>
      <c r="K51" s="301"/>
      <c r="L51" s="248"/>
      <c r="M51" s="248"/>
      <c r="N51" s="303"/>
      <c r="O51" s="299">
        <v>49</v>
      </c>
      <c r="P51" s="270" t="str">
        <f t="shared" si="2"/>
        <v>深圳新阳蓝光能源管理科技股份有限公司</v>
      </c>
    </row>
    <row r="52" customHeight="1" spans="6:16">
      <c r="F52" s="290" t="s">
        <v>5886</v>
      </c>
      <c r="G52" s="241" t="s">
        <v>5887</v>
      </c>
      <c r="H52" s="248"/>
      <c r="I52" s="248"/>
      <c r="J52" s="300">
        <v>0</v>
      </c>
      <c r="K52" s="301"/>
      <c r="L52" s="248"/>
      <c r="M52" s="248"/>
      <c r="N52" s="303"/>
      <c r="O52" s="299">
        <v>50</v>
      </c>
      <c r="P52" s="270" t="str">
        <f t="shared" si="2"/>
        <v>深圳新阳蓝光能源管理科技股份有限公司</v>
      </c>
    </row>
    <row r="53" customHeight="1" spans="6:16">
      <c r="F53" s="290" t="s">
        <v>5888</v>
      </c>
      <c r="G53" s="241" t="s">
        <v>5889</v>
      </c>
      <c r="H53" s="248"/>
      <c r="I53" s="248"/>
      <c r="J53" s="300">
        <v>0</v>
      </c>
      <c r="K53" s="301"/>
      <c r="L53" s="248"/>
      <c r="M53" s="248"/>
      <c r="N53" s="303"/>
      <c r="O53" s="299">
        <v>51</v>
      </c>
      <c r="P53" s="270" t="str">
        <f t="shared" si="2"/>
        <v>深圳新阳蓝光能源管理科技股份有限公司</v>
      </c>
    </row>
    <row r="54" customHeight="1" spans="6:16">
      <c r="F54" s="290" t="s">
        <v>5890</v>
      </c>
      <c r="G54" s="241" t="s">
        <v>5891</v>
      </c>
      <c r="H54" s="248"/>
      <c r="I54" s="248"/>
      <c r="J54" s="300">
        <v>0</v>
      </c>
      <c r="K54" s="301"/>
      <c r="L54" s="248"/>
      <c r="M54" s="248"/>
      <c r="N54" s="303"/>
      <c r="O54" s="299">
        <v>52</v>
      </c>
      <c r="P54" s="270" t="str">
        <f t="shared" si="2"/>
        <v>深圳新阳蓝光能源管理科技股份有限公司</v>
      </c>
    </row>
    <row r="55" customHeight="1" spans="6:16">
      <c r="F55" s="290" t="s">
        <v>5892</v>
      </c>
      <c r="G55" s="241" t="s">
        <v>5893</v>
      </c>
      <c r="H55" s="248"/>
      <c r="I55" s="248"/>
      <c r="J55" s="300">
        <v>0</v>
      </c>
      <c r="K55" s="301"/>
      <c r="L55" s="248"/>
      <c r="M55" s="248"/>
      <c r="N55" s="303"/>
      <c r="O55" s="299">
        <v>53</v>
      </c>
      <c r="P55" s="270" t="str">
        <f t="shared" si="2"/>
        <v>深圳新阳蓝光能源管理科技股份有限公司</v>
      </c>
    </row>
    <row r="56" customHeight="1" spans="6:16">
      <c r="F56" s="290" t="s">
        <v>5894</v>
      </c>
      <c r="G56" s="241" t="s">
        <v>5895</v>
      </c>
      <c r="H56" s="248"/>
      <c r="I56" s="248"/>
      <c r="J56" s="300">
        <v>0</v>
      </c>
      <c r="K56" s="301"/>
      <c r="L56" s="248"/>
      <c r="M56" s="248"/>
      <c r="N56" s="303"/>
      <c r="O56" s="299">
        <v>54</v>
      </c>
      <c r="P56" s="270" t="str">
        <f t="shared" si="2"/>
        <v>深圳新阳蓝光能源管理科技股份有限公司</v>
      </c>
    </row>
    <row r="57" customHeight="1" spans="6:16">
      <c r="F57" s="290" t="s">
        <v>5896</v>
      </c>
      <c r="G57" s="241" t="s">
        <v>5897</v>
      </c>
      <c r="H57" s="248"/>
      <c r="I57" s="248"/>
      <c r="J57" s="300">
        <v>0</v>
      </c>
      <c r="K57" s="301"/>
      <c r="L57" s="248"/>
      <c r="M57" s="248"/>
      <c r="N57" s="303"/>
      <c r="O57" s="299">
        <v>55</v>
      </c>
      <c r="P57" s="270" t="str">
        <f t="shared" si="2"/>
        <v>深圳新阳蓝光能源管理科技股份有限公司</v>
      </c>
    </row>
    <row r="58" customHeight="1" spans="6:16">
      <c r="F58" s="290" t="s">
        <v>5898</v>
      </c>
      <c r="G58" s="241" t="s">
        <v>5899</v>
      </c>
      <c r="H58" s="248"/>
      <c r="I58" s="248"/>
      <c r="J58" s="300">
        <v>0</v>
      </c>
      <c r="K58" s="301"/>
      <c r="L58" s="248"/>
      <c r="M58" s="248"/>
      <c r="N58" s="306"/>
      <c r="O58" s="299">
        <v>56</v>
      </c>
      <c r="P58" s="270" t="str">
        <f t="shared" si="2"/>
        <v>深圳新阳蓝光能源管理科技股份有限公司</v>
      </c>
    </row>
    <row r="59" customHeight="1" spans="6:16">
      <c r="F59" s="290" t="s">
        <v>5900</v>
      </c>
      <c r="G59" s="241" t="s">
        <v>5901</v>
      </c>
      <c r="H59" s="248"/>
      <c r="I59" s="248"/>
      <c r="J59" s="300">
        <v>0</v>
      </c>
      <c r="K59" s="301"/>
      <c r="L59" s="248"/>
      <c r="M59" s="248"/>
      <c r="N59" s="306"/>
      <c r="O59" s="299">
        <v>57</v>
      </c>
      <c r="P59" s="270" t="str">
        <f t="shared" si="2"/>
        <v>深圳新阳蓝光能源管理科技股份有限公司</v>
      </c>
    </row>
    <row r="60" customHeight="1" spans="6:16">
      <c r="F60" s="290" t="s">
        <v>5902</v>
      </c>
      <c r="G60" s="241" t="s">
        <v>5903</v>
      </c>
      <c r="H60" s="248"/>
      <c r="I60" s="248"/>
      <c r="J60" s="300">
        <v>0</v>
      </c>
      <c r="K60" s="301"/>
      <c r="L60" s="248"/>
      <c r="M60" s="248"/>
      <c r="N60" s="306"/>
      <c r="O60" s="299">
        <v>58</v>
      </c>
      <c r="P60" s="270" t="str">
        <f t="shared" si="2"/>
        <v>深圳新阳蓝光能源管理科技股份有限公司</v>
      </c>
    </row>
    <row r="61" customHeight="1" spans="6:16">
      <c r="F61" s="290" t="s">
        <v>5904</v>
      </c>
      <c r="G61" s="241" t="s">
        <v>5905</v>
      </c>
      <c r="H61" s="248"/>
      <c r="I61" s="248"/>
      <c r="J61" s="300">
        <v>0</v>
      </c>
      <c r="K61" s="301"/>
      <c r="L61" s="248"/>
      <c r="M61" s="248"/>
      <c r="N61" s="306"/>
      <c r="O61" s="299">
        <v>59</v>
      </c>
      <c r="P61" s="270" t="str">
        <f t="shared" si="2"/>
        <v>深圳新阳蓝光能源管理科技股份有限公司</v>
      </c>
    </row>
    <row r="62" customHeight="1" spans="6:16">
      <c r="F62" s="290" t="s">
        <v>5906</v>
      </c>
      <c r="G62" s="241" t="s">
        <v>5907</v>
      </c>
      <c r="H62" s="248"/>
      <c r="I62" s="248"/>
      <c r="J62" s="300">
        <v>0</v>
      </c>
      <c r="K62" s="301"/>
      <c r="L62" s="248"/>
      <c r="M62" s="248"/>
      <c r="N62" s="306"/>
      <c r="O62" s="299">
        <v>60</v>
      </c>
      <c r="P62" s="270" t="str">
        <f t="shared" si="2"/>
        <v>深圳新阳蓝光能源管理科技股份有限公司</v>
      </c>
    </row>
    <row r="63" customHeight="1" spans="6:16">
      <c r="F63" s="290" t="s">
        <v>5908</v>
      </c>
      <c r="G63" s="241" t="s">
        <v>5909</v>
      </c>
      <c r="H63" s="248"/>
      <c r="I63" s="248"/>
      <c r="J63" s="300">
        <v>0</v>
      </c>
      <c r="K63" s="301"/>
      <c r="L63" s="248"/>
      <c r="M63" s="248"/>
      <c r="N63" s="306"/>
      <c r="O63" s="299">
        <v>61</v>
      </c>
      <c r="P63" s="270" t="str">
        <f t="shared" si="2"/>
        <v>深圳新阳蓝光能源管理科技股份有限公司</v>
      </c>
    </row>
    <row r="64" customHeight="1" spans="6:16">
      <c r="F64" s="290" t="s">
        <v>5910</v>
      </c>
      <c r="G64" s="241" t="s">
        <v>5911</v>
      </c>
      <c r="H64" s="248"/>
      <c r="I64" s="248"/>
      <c r="J64" s="300">
        <v>0</v>
      </c>
      <c r="K64" s="301"/>
      <c r="L64" s="248"/>
      <c r="M64" s="248"/>
      <c r="N64" s="306"/>
      <c r="O64" s="299">
        <v>62</v>
      </c>
      <c r="P64" s="270" t="str">
        <f t="shared" si="2"/>
        <v>深圳新阳蓝光能源管理科技股份有限公司</v>
      </c>
    </row>
    <row r="65" customHeight="1" spans="6:16">
      <c r="F65" s="290" t="s">
        <v>5912</v>
      </c>
      <c r="G65" s="241" t="s">
        <v>5913</v>
      </c>
      <c r="H65" s="248"/>
      <c r="I65" s="248"/>
      <c r="J65" s="300">
        <v>0</v>
      </c>
      <c r="K65" s="301"/>
      <c r="L65" s="248"/>
      <c r="M65" s="248"/>
      <c r="N65" s="306"/>
      <c r="O65" s="299">
        <v>63</v>
      </c>
      <c r="P65" s="270" t="str">
        <f t="shared" si="2"/>
        <v>深圳新阳蓝光能源管理科技股份有限公司</v>
      </c>
    </row>
    <row r="66" customHeight="1" spans="6:16">
      <c r="F66" s="290" t="s">
        <v>5914</v>
      </c>
      <c r="G66" s="241" t="s">
        <v>5915</v>
      </c>
      <c r="H66" s="248"/>
      <c r="I66" s="248"/>
      <c r="J66" s="300">
        <v>0</v>
      </c>
      <c r="K66" s="301"/>
      <c r="L66" s="248"/>
      <c r="M66" s="248"/>
      <c r="N66" s="306"/>
      <c r="O66" s="299">
        <v>64</v>
      </c>
      <c r="P66" s="270" t="str">
        <f t="shared" si="2"/>
        <v>深圳新阳蓝光能源管理科技股份有限公司</v>
      </c>
    </row>
    <row r="67" customHeight="1" spans="6:16">
      <c r="F67" s="290" t="s">
        <v>5916</v>
      </c>
      <c r="G67" s="241" t="s">
        <v>5917</v>
      </c>
      <c r="H67" s="248"/>
      <c r="I67" s="248"/>
      <c r="J67" s="300">
        <v>0</v>
      </c>
      <c r="K67" s="301"/>
      <c r="L67" s="248"/>
      <c r="M67" s="248"/>
      <c r="N67" s="306"/>
      <c r="O67" s="299">
        <v>65</v>
      </c>
      <c r="P67" s="270" t="str">
        <f t="shared" si="2"/>
        <v>深圳新阳蓝光能源管理科技股份有限公司</v>
      </c>
    </row>
    <row r="68" customHeight="1" spans="6:16">
      <c r="F68" s="290" t="s">
        <v>5918</v>
      </c>
      <c r="G68" s="241" t="s">
        <v>5919</v>
      </c>
      <c r="H68" s="248"/>
      <c r="I68" s="248"/>
      <c r="J68" s="300">
        <v>0</v>
      </c>
      <c r="K68" s="301"/>
      <c r="L68" s="248"/>
      <c r="M68" s="248"/>
      <c r="N68" s="306"/>
      <c r="O68" s="299">
        <v>66</v>
      </c>
      <c r="P68" s="270" t="str">
        <f t="shared" si="2"/>
        <v>深圳新阳蓝光能源管理科技股份有限公司</v>
      </c>
    </row>
    <row r="69" customHeight="1" spans="6:16">
      <c r="F69" s="290" t="s">
        <v>5920</v>
      </c>
      <c r="G69" s="241" t="s">
        <v>5921</v>
      </c>
      <c r="H69" s="248"/>
      <c r="I69" s="248"/>
      <c r="J69" s="300">
        <v>0</v>
      </c>
      <c r="K69" s="301"/>
      <c r="L69" s="248"/>
      <c r="M69" s="248"/>
      <c r="N69" s="306"/>
      <c r="O69" s="299">
        <v>67</v>
      </c>
      <c r="P69" s="270" t="str">
        <f t="shared" ref="P69:P80" si="4">P68</f>
        <v>深圳新阳蓝光能源管理科技股份有限公司</v>
      </c>
    </row>
    <row r="70" customHeight="1" spans="6:16">
      <c r="F70" s="290" t="s">
        <v>5922</v>
      </c>
      <c r="G70" s="241" t="s">
        <v>5923</v>
      </c>
      <c r="H70" s="248"/>
      <c r="I70" s="248"/>
      <c r="J70" s="300">
        <v>0</v>
      </c>
      <c r="K70" s="301"/>
      <c r="L70" s="248"/>
      <c r="M70" s="248"/>
      <c r="N70" s="306"/>
      <c r="O70" s="299">
        <v>68</v>
      </c>
      <c r="P70" s="270" t="str">
        <f t="shared" si="4"/>
        <v>深圳新阳蓝光能源管理科技股份有限公司</v>
      </c>
    </row>
    <row r="71" customHeight="1" spans="6:16">
      <c r="F71" s="290" t="s">
        <v>5924</v>
      </c>
      <c r="G71" s="241" t="s">
        <v>5925</v>
      </c>
      <c r="H71" s="248"/>
      <c r="I71" s="248"/>
      <c r="J71" s="300">
        <v>0</v>
      </c>
      <c r="K71" s="301"/>
      <c r="L71" s="248"/>
      <c r="M71" s="248"/>
      <c r="N71" s="303"/>
      <c r="O71" s="299">
        <v>69</v>
      </c>
      <c r="P71" s="270" t="str">
        <f t="shared" si="4"/>
        <v>深圳新阳蓝光能源管理科技股份有限公司</v>
      </c>
    </row>
    <row r="72" customHeight="1" spans="6:16">
      <c r="F72" s="240" t="s">
        <v>5926</v>
      </c>
      <c r="G72" s="241" t="s">
        <v>5927</v>
      </c>
      <c r="H72" s="248"/>
      <c r="I72" s="248"/>
      <c r="J72" s="300">
        <v>0</v>
      </c>
      <c r="K72" s="301"/>
      <c r="L72" s="248"/>
      <c r="M72" s="248"/>
      <c r="N72" s="302" t="s">
        <v>5770</v>
      </c>
      <c r="O72" s="299">
        <v>70</v>
      </c>
      <c r="P72" s="270" t="str">
        <f t="shared" si="4"/>
        <v>深圳新阳蓝光能源管理科技股份有限公司</v>
      </c>
    </row>
    <row r="73" customHeight="1" spans="6:16">
      <c r="F73" s="240" t="s">
        <v>5928</v>
      </c>
      <c r="G73" s="241" t="s">
        <v>5929</v>
      </c>
      <c r="H73" s="248"/>
      <c r="I73" s="248"/>
      <c r="J73" s="300">
        <v>0</v>
      </c>
      <c r="K73" s="301"/>
      <c r="L73" s="248"/>
      <c r="M73" s="248"/>
      <c r="N73" s="302" t="s">
        <v>5770</v>
      </c>
      <c r="O73" s="299">
        <v>71</v>
      </c>
      <c r="P73" s="270" t="str">
        <f t="shared" si="4"/>
        <v>深圳新阳蓝光能源管理科技股份有限公司</v>
      </c>
    </row>
    <row r="74" customHeight="1" spans="6:16">
      <c r="F74" s="240" t="s">
        <v>5930</v>
      </c>
      <c r="G74" s="241" t="s">
        <v>5931</v>
      </c>
      <c r="H74" s="248"/>
      <c r="I74" s="248"/>
      <c r="J74" s="300">
        <v>0</v>
      </c>
      <c r="K74" s="301"/>
      <c r="L74" s="248"/>
      <c r="M74" s="248"/>
      <c r="N74" s="302" t="s">
        <v>5770</v>
      </c>
      <c r="O74" s="299">
        <v>72</v>
      </c>
      <c r="P74" s="270" t="str">
        <f t="shared" si="4"/>
        <v>深圳新阳蓝光能源管理科技股份有限公司</v>
      </c>
    </row>
    <row r="75" customHeight="1" spans="6:16">
      <c r="F75" s="240" t="s">
        <v>5932</v>
      </c>
      <c r="G75" s="241" t="s">
        <v>5933</v>
      </c>
      <c r="H75" s="248"/>
      <c r="I75" s="248"/>
      <c r="J75" s="300">
        <v>0</v>
      </c>
      <c r="K75" s="301"/>
      <c r="L75" s="248"/>
      <c r="M75" s="248"/>
      <c r="N75" s="302" t="s">
        <v>5770</v>
      </c>
      <c r="O75" s="299">
        <v>73</v>
      </c>
      <c r="P75" s="270" t="str">
        <f t="shared" si="4"/>
        <v>深圳新阳蓝光能源管理科技股份有限公司</v>
      </c>
    </row>
    <row r="76" customHeight="1" spans="6:16">
      <c r="F76" s="264" t="s">
        <v>5934</v>
      </c>
      <c r="G76" s="241"/>
      <c r="H76" s="248"/>
      <c r="I76" s="248"/>
      <c r="J76" s="300">
        <v>0</v>
      </c>
      <c r="K76" s="301"/>
      <c r="L76" s="248"/>
      <c r="M76" s="248"/>
      <c r="N76" s="302" t="s">
        <v>5770</v>
      </c>
      <c r="O76" s="299">
        <v>74</v>
      </c>
      <c r="P76" s="270" t="str">
        <f t="shared" si="4"/>
        <v>深圳新阳蓝光能源管理科技股份有限公司</v>
      </c>
    </row>
    <row r="77" customHeight="1" spans="6:16">
      <c r="F77" s="264" t="s">
        <v>5935</v>
      </c>
      <c r="G77" s="241"/>
      <c r="H77" s="248"/>
      <c r="I77" s="248"/>
      <c r="J77" s="300">
        <v>0</v>
      </c>
      <c r="K77" s="301"/>
      <c r="L77" s="248"/>
      <c r="M77" s="248"/>
      <c r="N77" s="302" t="s">
        <v>5770</v>
      </c>
      <c r="O77" s="299">
        <v>75</v>
      </c>
      <c r="P77" s="270" t="str">
        <f t="shared" si="4"/>
        <v>深圳新阳蓝光能源管理科技股份有限公司</v>
      </c>
    </row>
    <row r="78" customHeight="1" spans="6:16">
      <c r="F78" s="264" t="s">
        <v>5936</v>
      </c>
      <c r="G78" s="241"/>
      <c r="H78" s="248"/>
      <c r="I78" s="248"/>
      <c r="J78" s="300">
        <v>0</v>
      </c>
      <c r="K78" s="301"/>
      <c r="L78" s="248"/>
      <c r="M78" s="248"/>
      <c r="N78" s="302" t="s">
        <v>5770</v>
      </c>
      <c r="O78" s="299">
        <v>76</v>
      </c>
      <c r="P78" s="270" t="str">
        <f t="shared" si="4"/>
        <v>深圳新阳蓝光能源管理科技股份有限公司</v>
      </c>
    </row>
    <row r="79" customHeight="1" spans="6:16">
      <c r="F79" s="264" t="s">
        <v>5937</v>
      </c>
      <c r="G79" s="241"/>
      <c r="H79" s="248"/>
      <c r="I79" s="248"/>
      <c r="J79" s="300">
        <v>0</v>
      </c>
      <c r="K79" s="301"/>
      <c r="L79" s="248"/>
      <c r="M79" s="248"/>
      <c r="N79" s="302" t="s">
        <v>5770</v>
      </c>
      <c r="O79" s="299">
        <v>77</v>
      </c>
      <c r="P79" s="270" t="str">
        <f t="shared" si="4"/>
        <v>深圳新阳蓝光能源管理科技股份有限公司</v>
      </c>
    </row>
    <row r="80" customHeight="1" spans="6:16">
      <c r="F80" s="241" t="s">
        <v>2021</v>
      </c>
      <c r="G80" s="241"/>
      <c r="H80" s="247">
        <f>SUM(H4,H17:H24,H32:H34,H37:H39,H45,H72:H79)</f>
        <v>0</v>
      </c>
      <c r="I80" s="247">
        <f>SUM(I4,I17:I24,I32:I34,I37:I39,I45,I72:I79)</f>
        <v>0</v>
      </c>
      <c r="J80" s="300">
        <v>0</v>
      </c>
      <c r="K80" s="301"/>
      <c r="L80" s="247">
        <f>SUM(L4,L17:L24,L32:L34,L37:L39,L45,L72:L79)</f>
        <v>0</v>
      </c>
      <c r="M80" s="247">
        <f>SUM(M4,M17:M24,M32:M34,M37:M39,M45,M72:M79)</f>
        <v>0</v>
      </c>
      <c r="N80" s="309"/>
      <c r="O80" s="299">
        <v>78</v>
      </c>
      <c r="P80" s="270" t="str">
        <f t="shared" si="4"/>
        <v>深圳新阳蓝光能源管理科技股份有限公司</v>
      </c>
    </row>
    <row r="81" customHeight="1" spans="6:16">
      <c r="F81" s="308" t="s">
        <v>1847</v>
      </c>
      <c r="G81" s="308"/>
      <c r="H81" s="308"/>
      <c r="I81" s="308"/>
      <c r="J81" s="308"/>
      <c r="K81" s="308"/>
      <c r="L81" s="308"/>
      <c r="M81" s="308"/>
      <c r="N81" s="308"/>
      <c r="O81" s="308"/>
      <c r="P81" s="308"/>
    </row>
    <row r="82" customHeight="1" spans="8:9">
      <c r="H82" s="233"/>
      <c r="I82" s="233"/>
    </row>
    <row r="83" customHeight="1" spans="8:9">
      <c r="H83" s="233"/>
      <c r="I83" s="233"/>
    </row>
  </sheetData>
  <sheetProtection formatCells="0" formatColumns="0" insertHyperlinks="0" autoFilter="0" pivotTables="0"/>
  <autoFilter ref="A3:P81">
    <extLst/>
  </autoFilter>
  <conditionalFormatting sqref="K4">
    <cfRule type="expression" dxfId="11" priority="5" stopIfTrue="1">
      <formula>J4&lt;=-0.3</formula>
    </cfRule>
    <cfRule type="expression" dxfId="11" priority="6" stopIfTrue="1">
      <formula>J4&gt;=0.3</formula>
    </cfRule>
    <cfRule type="expression" dxfId="12" priority="7" stopIfTrue="1">
      <formula>J4&lt;=-0.3</formula>
    </cfRule>
    <cfRule type="expression" dxfId="12" priority="8" stopIfTrue="1">
      <formula>J4&gt;=0.3</formula>
    </cfRule>
    <cfRule type="expression" dxfId="13" priority="9" stopIfTrue="1">
      <formula>J4&lt;=-0.3</formula>
    </cfRule>
    <cfRule type="expression" dxfId="13" priority="10" stopIfTrue="1">
      <formula>J4&gt;=0.3</formula>
    </cfRule>
    <cfRule type="expression" dxfId="14" priority="11" stopIfTrue="1">
      <formula>J4&lt;=-0.3</formula>
    </cfRule>
    <cfRule type="expression" dxfId="14" priority="12" stopIfTrue="1">
      <formula>J4&gt;=0.3</formula>
    </cfRule>
  </conditionalFormatting>
  <conditionalFormatting sqref="K5">
    <cfRule type="expression" dxfId="11" priority="13" stopIfTrue="1">
      <formula>J5&lt;=-0.3</formula>
    </cfRule>
    <cfRule type="expression" dxfId="11" priority="14" stopIfTrue="1">
      <formula>J5&gt;=0.3</formula>
    </cfRule>
  </conditionalFormatting>
  <conditionalFormatting sqref="K6">
    <cfRule type="expression" dxfId="11" priority="3" stopIfTrue="1">
      <formula>J6&lt;=-0.3</formula>
    </cfRule>
    <cfRule type="expression" dxfId="11" priority="4" stopIfTrue="1">
      <formula>J6&gt;=0.3</formula>
    </cfRule>
  </conditionalFormatting>
  <conditionalFormatting sqref="K7:K80">
    <cfRule type="expression" dxfId="11" priority="1" stopIfTrue="1">
      <formula>J7&lt;=-0.3</formula>
    </cfRule>
    <cfRule type="expression" dxfId="11" priority="2" stopIfTrue="1">
      <formula>J7&gt;=0.3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4"/>
  <sheetViews>
    <sheetView workbookViewId="0">
      <pane xSplit="1" ySplit="3" topLeftCell="B25" activePane="bottomRight" state="frozen"/>
      <selection/>
      <selection pane="topRight"/>
      <selection pane="bottomLeft"/>
      <selection pane="bottomRight" activeCell="H5" sqref="H5"/>
    </sheetView>
  </sheetViews>
  <sheetFormatPr defaultColWidth="9" defaultRowHeight="13.5" customHeight="1"/>
  <cols>
    <col min="1" max="1" width="9.75" customWidth="1"/>
    <col min="2" max="2" width="26.625" customWidth="1"/>
    <col min="3" max="4" width="17.25" customWidth="1"/>
    <col min="5" max="5" width="2.625" customWidth="1"/>
    <col min="6" max="6" width="17.375" customWidth="1"/>
    <col min="7" max="7" width="10.625" customWidth="1"/>
    <col min="8" max="9" width="13.125" customWidth="1"/>
    <col min="10" max="10" width="9" customWidth="1"/>
    <col min="11" max="11" width="7" customWidth="1"/>
    <col min="12" max="13" width="16.375" customWidth="1"/>
    <col min="14" max="14" width="12.5" customWidth="1"/>
    <col min="15" max="15" width="3.625" customWidth="1"/>
    <col min="16" max="16" width="20.375" hidden="1" customWidth="1"/>
  </cols>
  <sheetData>
    <row r="1" customHeight="1" spans="1:20">
      <c r="A1" s="224" t="s">
        <v>1997</v>
      </c>
      <c r="B1" s="225"/>
      <c r="C1" s="226">
        <f>C2-审定利润表!C9</f>
        <v>-11918966.31</v>
      </c>
      <c r="D1" s="226">
        <f>D2-审定利润表!D9</f>
        <v>-11911652.27</v>
      </c>
      <c r="E1" s="227"/>
      <c r="F1" s="228" t="s">
        <v>5938</v>
      </c>
      <c r="G1" s="229" t="s">
        <v>5778</v>
      </c>
      <c r="H1" s="230">
        <f>C11-H2</f>
        <v>0</v>
      </c>
      <c r="I1" s="230">
        <f>D11-I2</f>
        <v>0</v>
      </c>
      <c r="J1" s="229"/>
      <c r="K1" s="229"/>
      <c r="L1" s="259"/>
      <c r="M1" s="259"/>
      <c r="N1" s="259" t="s">
        <v>5168</v>
      </c>
      <c r="O1" s="260"/>
      <c r="P1" s="260"/>
      <c r="Q1" s="227"/>
      <c r="R1" s="227"/>
      <c r="S1" s="227"/>
      <c r="T1" s="227"/>
    </row>
    <row r="2" customHeight="1" spans="1:20">
      <c r="A2" s="231" t="s">
        <v>5779</v>
      </c>
      <c r="B2" s="231"/>
      <c r="C2" s="232">
        <f>C11</f>
        <v>0</v>
      </c>
      <c r="D2" s="232">
        <f>D11</f>
        <v>0</v>
      </c>
      <c r="E2" s="233"/>
      <c r="F2" s="229" t="s">
        <v>5939</v>
      </c>
      <c r="G2" s="234" t="s">
        <v>5779</v>
      </c>
      <c r="H2" s="235">
        <f>H38</f>
        <v>0</v>
      </c>
      <c r="I2" s="235">
        <f>I38</f>
        <v>0</v>
      </c>
      <c r="J2" s="229"/>
      <c r="K2" s="229"/>
      <c r="L2" s="259"/>
      <c r="M2" s="259"/>
      <c r="N2" s="259"/>
      <c r="O2" s="260"/>
      <c r="P2" s="260"/>
      <c r="Q2" s="227"/>
      <c r="R2" s="227"/>
      <c r="S2" s="227"/>
      <c r="T2" s="227"/>
    </row>
    <row r="3" customHeight="1" spans="1:18">
      <c r="A3" s="236" t="s">
        <v>5781</v>
      </c>
      <c r="B3" s="237" t="s">
        <v>5940</v>
      </c>
      <c r="C3" s="238" t="s">
        <v>1905</v>
      </c>
      <c r="D3" s="238" t="s">
        <v>1906</v>
      </c>
      <c r="E3" s="239"/>
      <c r="F3" s="240" t="s">
        <v>5783</v>
      </c>
      <c r="G3" s="241" t="s">
        <v>5784</v>
      </c>
      <c r="H3" s="242" t="s">
        <v>5785</v>
      </c>
      <c r="I3" s="242" t="s">
        <v>2351</v>
      </c>
      <c r="J3" s="241" t="s">
        <v>5786</v>
      </c>
      <c r="K3" s="241" t="s">
        <v>5787</v>
      </c>
      <c r="L3" s="261" t="s">
        <v>5788</v>
      </c>
      <c r="M3" s="262" t="s">
        <v>5789</v>
      </c>
      <c r="N3" s="263" t="s">
        <v>5790</v>
      </c>
      <c r="O3" s="264">
        <v>1</v>
      </c>
      <c r="P3" s="265" t="s">
        <v>5781</v>
      </c>
      <c r="Q3" s="239"/>
      <c r="R3" s="239"/>
    </row>
    <row r="4" customHeight="1" spans="1:16">
      <c r="A4" s="243" t="str">
        <f>参数表!C3</f>
        <v>深圳新阳蓝光能源管理科技股份有限公司</v>
      </c>
      <c r="B4" s="244" t="s">
        <v>5771</v>
      </c>
      <c r="C4" s="245">
        <f>SUMIFS($H$4:$H$38,$N$4:$N$38,$B4)</f>
        <v>0</v>
      </c>
      <c r="D4" s="245">
        <f>SUMIFS($I$4:$I$38,$N$4:$N$38,$B4)</f>
        <v>0</v>
      </c>
      <c r="E4" s="246"/>
      <c r="F4" s="240" t="s">
        <v>5791</v>
      </c>
      <c r="G4" s="241" t="s">
        <v>5941</v>
      </c>
      <c r="H4" s="247">
        <f>SUM(H5:H9,H13:H16)</f>
        <v>0</v>
      </c>
      <c r="I4" s="247">
        <f>SUM(I5:I9,I13:I16)</f>
        <v>0</v>
      </c>
      <c r="J4" s="266">
        <v>0</v>
      </c>
      <c r="K4" s="267"/>
      <c r="L4" s="268">
        <f>SUM(L5:L9,L13:L16)</f>
        <v>0</v>
      </c>
      <c r="M4" s="268">
        <f>SUM(M5:M9,M13:M16)</f>
        <v>0</v>
      </c>
      <c r="N4" s="269" t="s">
        <v>5174</v>
      </c>
      <c r="O4" s="264">
        <v>2</v>
      </c>
      <c r="P4" s="270" t="str">
        <f>A4</f>
        <v>深圳新阳蓝光能源管理科技股份有限公司</v>
      </c>
    </row>
    <row r="5" customHeight="1" spans="1:16">
      <c r="A5" s="243" t="str">
        <f>A4</f>
        <v>深圳新阳蓝光能源管理科技股份有限公司</v>
      </c>
      <c r="B5" s="244" t="s">
        <v>5772</v>
      </c>
      <c r="C5" s="245">
        <f t="shared" ref="C5:C10" si="0">SUMIFS($H$4:$H$38,$N$4:$N$38,$B5)</f>
        <v>0</v>
      </c>
      <c r="D5" s="245">
        <f t="shared" ref="D5:D10" si="1">SUMIFS($I$4:$I$38,$N$4:$N$38,$B5)</f>
        <v>0</v>
      </c>
      <c r="E5" s="246"/>
      <c r="F5" s="241" t="s">
        <v>5793</v>
      </c>
      <c r="G5" s="241" t="s">
        <v>5942</v>
      </c>
      <c r="H5" s="248"/>
      <c r="I5" s="248"/>
      <c r="J5" s="266">
        <v>0</v>
      </c>
      <c r="K5" s="267"/>
      <c r="L5" s="271"/>
      <c r="M5" s="271"/>
      <c r="N5" s="272"/>
      <c r="O5" s="264">
        <v>3</v>
      </c>
      <c r="P5" s="270" t="str">
        <f>P4</f>
        <v>深圳新阳蓝光能源管理科技股份有限公司</v>
      </c>
    </row>
    <row r="6" customHeight="1" spans="1:16">
      <c r="A6" s="243" t="str">
        <f t="shared" ref="A6:A12" si="2">A5</f>
        <v>深圳新阳蓝光能源管理科技股份有限公司</v>
      </c>
      <c r="B6" s="244" t="s">
        <v>5174</v>
      </c>
      <c r="C6" s="245">
        <f t="shared" si="0"/>
        <v>0</v>
      </c>
      <c r="D6" s="245">
        <f t="shared" si="1"/>
        <v>0</v>
      </c>
      <c r="E6" s="246"/>
      <c r="F6" s="241" t="s">
        <v>5795</v>
      </c>
      <c r="G6" s="241" t="s">
        <v>5943</v>
      </c>
      <c r="H6" s="248"/>
      <c r="I6" s="248"/>
      <c r="J6" s="266">
        <v>0</v>
      </c>
      <c r="K6" s="267"/>
      <c r="L6" s="271"/>
      <c r="M6" s="271"/>
      <c r="N6" s="272"/>
      <c r="O6" s="264">
        <v>4</v>
      </c>
      <c r="P6" s="270" t="str">
        <f t="shared" ref="P6:P38" si="3">P5</f>
        <v>深圳新阳蓝光能源管理科技股份有限公司</v>
      </c>
    </row>
    <row r="7" customHeight="1" spans="1:16">
      <c r="A7" s="243" t="str">
        <f t="shared" si="2"/>
        <v>深圳新阳蓝光能源管理科技股份有限公司</v>
      </c>
      <c r="B7" s="244" t="s">
        <v>5773</v>
      </c>
      <c r="C7" s="245">
        <f t="shared" si="0"/>
        <v>0</v>
      </c>
      <c r="D7" s="245">
        <f t="shared" si="1"/>
        <v>0</v>
      </c>
      <c r="F7" s="241" t="s">
        <v>5797</v>
      </c>
      <c r="G7" s="241" t="s">
        <v>5944</v>
      </c>
      <c r="H7" s="248"/>
      <c r="I7" s="248"/>
      <c r="J7" s="266">
        <v>0</v>
      </c>
      <c r="K7" s="267"/>
      <c r="L7" s="271"/>
      <c r="M7" s="271"/>
      <c r="N7" s="272"/>
      <c r="O7" s="264">
        <v>5</v>
      </c>
      <c r="P7" s="270" t="str">
        <f t="shared" si="3"/>
        <v>深圳新阳蓝光能源管理科技股份有限公司</v>
      </c>
    </row>
    <row r="8" customHeight="1" spans="1:16">
      <c r="A8" s="243" t="str">
        <f t="shared" si="2"/>
        <v>深圳新阳蓝光能源管理科技股份有限公司</v>
      </c>
      <c r="B8" s="244" t="s">
        <v>5774</v>
      </c>
      <c r="C8" s="245">
        <f t="shared" si="0"/>
        <v>0</v>
      </c>
      <c r="D8" s="245">
        <f t="shared" si="1"/>
        <v>0</v>
      </c>
      <c r="F8" s="241" t="s">
        <v>5799</v>
      </c>
      <c r="G8" s="241" t="s">
        <v>5945</v>
      </c>
      <c r="H8" s="248"/>
      <c r="I8" s="248"/>
      <c r="J8" s="266">
        <v>0</v>
      </c>
      <c r="K8" s="267"/>
      <c r="L8" s="271"/>
      <c r="M8" s="271"/>
      <c r="N8" s="272"/>
      <c r="O8" s="264">
        <v>6</v>
      </c>
      <c r="P8" s="270" t="str">
        <f t="shared" si="3"/>
        <v>深圳新阳蓝光能源管理科技股份有限公司</v>
      </c>
    </row>
    <row r="9" customHeight="1" spans="1:16">
      <c r="A9" s="243" t="str">
        <f t="shared" si="2"/>
        <v>深圳新阳蓝光能源管理科技股份有限公司</v>
      </c>
      <c r="B9" s="244" t="s">
        <v>5775</v>
      </c>
      <c r="C9" s="245">
        <f t="shared" si="0"/>
        <v>0</v>
      </c>
      <c r="D9" s="245">
        <f t="shared" si="1"/>
        <v>0</v>
      </c>
      <c r="F9" s="241" t="s">
        <v>5801</v>
      </c>
      <c r="G9" s="241" t="s">
        <v>5946</v>
      </c>
      <c r="H9" s="247">
        <f>SUM(H10:H12)</f>
        <v>0</v>
      </c>
      <c r="I9" s="247">
        <f>SUM(I10:I12)</f>
        <v>0</v>
      </c>
      <c r="J9" s="266">
        <v>0</v>
      </c>
      <c r="K9" s="267"/>
      <c r="L9" s="268">
        <f>SUM(L10:L12)</f>
        <v>0</v>
      </c>
      <c r="M9" s="268">
        <f>SUM(M10:M12)</f>
        <v>0</v>
      </c>
      <c r="N9" s="272"/>
      <c r="O9" s="264">
        <v>7</v>
      </c>
      <c r="P9" s="270" t="str">
        <f t="shared" si="3"/>
        <v>深圳新阳蓝光能源管理科技股份有限公司</v>
      </c>
    </row>
    <row r="10" customHeight="1" spans="1:16">
      <c r="A10" s="243" t="str">
        <f t="shared" si="2"/>
        <v>深圳新阳蓝光能源管理科技股份有限公司</v>
      </c>
      <c r="B10" s="244" t="s">
        <v>5776</v>
      </c>
      <c r="C10" s="245">
        <f t="shared" si="0"/>
        <v>0</v>
      </c>
      <c r="D10" s="245">
        <f t="shared" si="1"/>
        <v>0</v>
      </c>
      <c r="F10" s="241" t="s">
        <v>5803</v>
      </c>
      <c r="G10" s="241" t="s">
        <v>5947</v>
      </c>
      <c r="H10" s="248"/>
      <c r="I10" s="248"/>
      <c r="J10" s="266">
        <v>0</v>
      </c>
      <c r="K10" s="267"/>
      <c r="L10" s="271"/>
      <c r="M10" s="271"/>
      <c r="N10" s="272"/>
      <c r="O10" s="264">
        <v>8</v>
      </c>
      <c r="P10" s="270" t="str">
        <f t="shared" si="3"/>
        <v>深圳新阳蓝光能源管理科技股份有限公司</v>
      </c>
    </row>
    <row r="11" customHeight="1" spans="1:16">
      <c r="A11" s="243" t="str">
        <f t="shared" si="2"/>
        <v>深圳新阳蓝光能源管理科技股份有限公司</v>
      </c>
      <c r="B11" s="249" t="s">
        <v>2021</v>
      </c>
      <c r="C11" s="250">
        <f>SUM(C4:C10)</f>
        <v>0</v>
      </c>
      <c r="D11" s="250">
        <f>SUM(D4:D10)</f>
        <v>0</v>
      </c>
      <c r="F11" s="241" t="s">
        <v>5805</v>
      </c>
      <c r="G11" s="241" t="s">
        <v>5948</v>
      </c>
      <c r="H11" s="248"/>
      <c r="I11" s="248"/>
      <c r="J11" s="266">
        <v>0</v>
      </c>
      <c r="K11" s="267"/>
      <c r="L11" s="271"/>
      <c r="M11" s="271"/>
      <c r="N11" s="272"/>
      <c r="O11" s="264">
        <v>9</v>
      </c>
      <c r="P11" s="270" t="str">
        <f t="shared" si="3"/>
        <v>深圳新阳蓝光能源管理科技股份有限公司</v>
      </c>
    </row>
    <row r="12" customHeight="1" spans="1:16">
      <c r="A12" s="251" t="str">
        <f t="shared" si="2"/>
        <v>深圳新阳蓝光能源管理科技股份有限公司</v>
      </c>
      <c r="B12" s="252" t="s">
        <v>1395</v>
      </c>
      <c r="C12" s="253">
        <f>C11-H2</f>
        <v>0</v>
      </c>
      <c r="D12" s="253">
        <f>D11-I2</f>
        <v>0</v>
      </c>
      <c r="F12" s="241" t="s">
        <v>5949</v>
      </c>
      <c r="G12" s="241" t="s">
        <v>5950</v>
      </c>
      <c r="H12" s="248"/>
      <c r="I12" s="248"/>
      <c r="J12" s="266">
        <v>0</v>
      </c>
      <c r="K12" s="267"/>
      <c r="L12" s="271"/>
      <c r="M12" s="271"/>
      <c r="N12" s="272"/>
      <c r="O12" s="264">
        <v>10</v>
      </c>
      <c r="P12" s="270" t="str">
        <f t="shared" si="3"/>
        <v>深圳新阳蓝光能源管理科技股份有限公司</v>
      </c>
    </row>
    <row r="13" customHeight="1" spans="1:16">
      <c r="A13" s="254"/>
      <c r="F13" s="241" t="s">
        <v>5809</v>
      </c>
      <c r="G13" s="241" t="s">
        <v>5951</v>
      </c>
      <c r="H13" s="248"/>
      <c r="I13" s="248"/>
      <c r="J13" s="266">
        <v>0</v>
      </c>
      <c r="K13" s="267"/>
      <c r="L13" s="271"/>
      <c r="M13" s="271"/>
      <c r="N13" s="272"/>
      <c r="O13" s="264">
        <v>11</v>
      </c>
      <c r="P13" s="270" t="str">
        <f t="shared" si="3"/>
        <v>深圳新阳蓝光能源管理科技股份有限公司</v>
      </c>
    </row>
    <row r="14" customHeight="1" spans="1:16">
      <c r="A14" s="254"/>
      <c r="F14" s="241" t="s">
        <v>5811</v>
      </c>
      <c r="G14" s="241" t="s">
        <v>5952</v>
      </c>
      <c r="H14" s="248"/>
      <c r="I14" s="248"/>
      <c r="J14" s="266">
        <v>0</v>
      </c>
      <c r="K14" s="267"/>
      <c r="L14" s="271"/>
      <c r="M14" s="271"/>
      <c r="N14" s="272"/>
      <c r="O14" s="264">
        <v>12</v>
      </c>
      <c r="P14" s="270" t="str">
        <f t="shared" si="3"/>
        <v>深圳新阳蓝光能源管理科技股份有限公司</v>
      </c>
    </row>
    <row r="15" customHeight="1" spans="1:16">
      <c r="A15" s="254"/>
      <c r="D15" s="255"/>
      <c r="F15" s="241" t="s">
        <v>5813</v>
      </c>
      <c r="G15" s="241" t="s">
        <v>5953</v>
      </c>
      <c r="H15" s="248"/>
      <c r="I15" s="248"/>
      <c r="J15" s="266">
        <v>0</v>
      </c>
      <c r="K15" s="267"/>
      <c r="L15" s="271"/>
      <c r="M15" s="271"/>
      <c r="N15" s="272"/>
      <c r="O15" s="264">
        <v>13</v>
      </c>
      <c r="P15" s="270" t="str">
        <f t="shared" si="3"/>
        <v>深圳新阳蓝光能源管理科技股份有限公司</v>
      </c>
    </row>
    <row r="16" customHeight="1" spans="1:16">
      <c r="A16" s="254"/>
      <c r="F16" s="241" t="s">
        <v>5815</v>
      </c>
      <c r="G16" s="241" t="s">
        <v>5954</v>
      </c>
      <c r="H16" s="248"/>
      <c r="I16" s="248"/>
      <c r="J16" s="266">
        <v>0</v>
      </c>
      <c r="K16" s="267"/>
      <c r="L16" s="271"/>
      <c r="M16" s="271"/>
      <c r="N16" s="272"/>
      <c r="O16" s="264">
        <v>14</v>
      </c>
      <c r="P16" s="270" t="str">
        <f t="shared" si="3"/>
        <v>深圳新阳蓝光能源管理科技股份有限公司</v>
      </c>
    </row>
    <row r="17" customHeight="1" spans="1:16">
      <c r="A17" s="254"/>
      <c r="F17" s="240" t="s">
        <v>5817</v>
      </c>
      <c r="G17" s="241" t="s">
        <v>5955</v>
      </c>
      <c r="H17" s="248"/>
      <c r="I17" s="248"/>
      <c r="J17" s="266">
        <v>0</v>
      </c>
      <c r="K17" s="267"/>
      <c r="L17" s="271"/>
      <c r="M17" s="271"/>
      <c r="N17" s="272" t="s">
        <v>5775</v>
      </c>
      <c r="O17" s="264">
        <v>15</v>
      </c>
      <c r="P17" s="270" t="str">
        <f t="shared" si="3"/>
        <v>深圳新阳蓝光能源管理科技股份有限公司</v>
      </c>
    </row>
    <row r="18" customHeight="1" spans="1:16">
      <c r="A18" s="254"/>
      <c r="B18" s="256"/>
      <c r="F18" s="240" t="s">
        <v>5819</v>
      </c>
      <c r="G18" s="241" t="s">
        <v>5956</v>
      </c>
      <c r="H18" s="248"/>
      <c r="I18" s="248"/>
      <c r="J18" s="266">
        <v>0</v>
      </c>
      <c r="K18" s="267"/>
      <c r="L18" s="271"/>
      <c r="M18" s="271"/>
      <c r="N18" s="272" t="s">
        <v>5775</v>
      </c>
      <c r="O18" s="264">
        <v>16</v>
      </c>
      <c r="P18" s="270" t="str">
        <f t="shared" si="3"/>
        <v>深圳新阳蓝光能源管理科技股份有限公司</v>
      </c>
    </row>
    <row r="19" customHeight="1" spans="1:16">
      <c r="A19" s="254"/>
      <c r="F19" s="240" t="s">
        <v>5821</v>
      </c>
      <c r="G19" s="241" t="s">
        <v>5957</v>
      </c>
      <c r="H19" s="248"/>
      <c r="I19" s="248"/>
      <c r="J19" s="266">
        <v>0</v>
      </c>
      <c r="K19" s="267"/>
      <c r="L19" s="271"/>
      <c r="M19" s="271"/>
      <c r="N19" s="269" t="s">
        <v>5772</v>
      </c>
      <c r="O19" s="264">
        <v>17</v>
      </c>
      <c r="P19" s="270" t="str">
        <f t="shared" si="3"/>
        <v>深圳新阳蓝光能源管理科技股份有限公司</v>
      </c>
    </row>
    <row r="20" customHeight="1" spans="1:16">
      <c r="A20" s="254"/>
      <c r="F20" s="240" t="s">
        <v>5823</v>
      </c>
      <c r="G20" s="241" t="s">
        <v>5958</v>
      </c>
      <c r="H20" s="248"/>
      <c r="I20" s="248"/>
      <c r="J20" s="266">
        <v>0</v>
      </c>
      <c r="K20" s="267"/>
      <c r="L20" s="271"/>
      <c r="M20" s="271"/>
      <c r="N20" s="272" t="s">
        <v>5773</v>
      </c>
      <c r="O20" s="264">
        <v>18</v>
      </c>
      <c r="P20" s="270" t="str">
        <f t="shared" si="3"/>
        <v>深圳新阳蓝光能源管理科技股份有限公司</v>
      </c>
    </row>
    <row r="21" customHeight="1" spans="1:16">
      <c r="A21" s="254"/>
      <c r="F21" s="240" t="s">
        <v>5825</v>
      </c>
      <c r="G21" s="241" t="s">
        <v>5959</v>
      </c>
      <c r="H21" s="248"/>
      <c r="I21" s="248"/>
      <c r="J21" s="266">
        <v>0</v>
      </c>
      <c r="K21" s="267"/>
      <c r="L21" s="271"/>
      <c r="M21" s="271"/>
      <c r="N21" s="272" t="s">
        <v>5774</v>
      </c>
      <c r="O21" s="264">
        <v>19</v>
      </c>
      <c r="P21" s="270" t="str">
        <f t="shared" si="3"/>
        <v>深圳新阳蓝光能源管理科技股份有限公司</v>
      </c>
    </row>
    <row r="22" customHeight="1" spans="1:16">
      <c r="A22" s="254"/>
      <c r="F22" s="240" t="s">
        <v>5960</v>
      </c>
      <c r="G22" s="241" t="s">
        <v>5961</v>
      </c>
      <c r="H22" s="248"/>
      <c r="I22" s="248"/>
      <c r="J22" s="266">
        <v>0</v>
      </c>
      <c r="K22" s="267"/>
      <c r="L22" s="271"/>
      <c r="M22" s="271"/>
      <c r="N22" s="272" t="s">
        <v>5775</v>
      </c>
      <c r="O22" s="264">
        <v>20</v>
      </c>
      <c r="P22" s="270" t="str">
        <f t="shared" si="3"/>
        <v>深圳新阳蓝光能源管理科技股份有限公司</v>
      </c>
    </row>
    <row r="23" customHeight="1" spans="1:16">
      <c r="A23" s="254"/>
      <c r="F23" s="240" t="s">
        <v>5829</v>
      </c>
      <c r="G23" s="241" t="s">
        <v>5962</v>
      </c>
      <c r="H23" s="248"/>
      <c r="I23" s="248"/>
      <c r="J23" s="266">
        <v>0</v>
      </c>
      <c r="K23" s="267"/>
      <c r="L23" s="271"/>
      <c r="M23" s="271"/>
      <c r="N23" s="272" t="s">
        <v>5776</v>
      </c>
      <c r="O23" s="264">
        <v>21</v>
      </c>
      <c r="P23" s="270" t="str">
        <f t="shared" si="3"/>
        <v>深圳新阳蓝光能源管理科技股份有限公司</v>
      </c>
    </row>
    <row r="24" customHeight="1" spans="1:16">
      <c r="A24" s="254"/>
      <c r="F24" s="240" t="s">
        <v>5963</v>
      </c>
      <c r="G24" s="241" t="s">
        <v>5964</v>
      </c>
      <c r="H24" s="248"/>
      <c r="I24" s="248"/>
      <c r="J24" s="266">
        <v>0</v>
      </c>
      <c r="K24" s="267"/>
      <c r="L24" s="271"/>
      <c r="M24" s="271"/>
      <c r="N24" s="272" t="s">
        <v>5776</v>
      </c>
      <c r="O24" s="264">
        <v>22</v>
      </c>
      <c r="P24" s="270" t="str">
        <f t="shared" si="3"/>
        <v>深圳新阳蓝光能源管理科技股份有限公司</v>
      </c>
    </row>
    <row r="25" customHeight="1" spans="1:16">
      <c r="A25" s="254"/>
      <c r="F25" s="240" t="s">
        <v>5847</v>
      </c>
      <c r="G25" s="241" t="s">
        <v>5965</v>
      </c>
      <c r="H25" s="248"/>
      <c r="I25" s="248"/>
      <c r="J25" s="266">
        <v>0</v>
      </c>
      <c r="K25" s="267"/>
      <c r="L25" s="271"/>
      <c r="M25" s="271"/>
      <c r="N25" s="272" t="s">
        <v>5771</v>
      </c>
      <c r="O25" s="264">
        <v>23</v>
      </c>
      <c r="P25" s="270" t="str">
        <f t="shared" si="3"/>
        <v>深圳新阳蓝光能源管理科技股份有限公司</v>
      </c>
    </row>
    <row r="26" customHeight="1" spans="1:16">
      <c r="A26" s="254"/>
      <c r="F26" s="240" t="s">
        <v>5966</v>
      </c>
      <c r="G26" s="241" t="s">
        <v>5967</v>
      </c>
      <c r="H26" s="248"/>
      <c r="I26" s="248"/>
      <c r="J26" s="266">
        <v>0</v>
      </c>
      <c r="K26" s="267"/>
      <c r="L26" s="271"/>
      <c r="M26" s="271"/>
      <c r="N26" s="272" t="s">
        <v>5775</v>
      </c>
      <c r="O26" s="264">
        <v>24</v>
      </c>
      <c r="P26" s="270" t="str">
        <f t="shared" si="3"/>
        <v>深圳新阳蓝光能源管理科技股份有限公司</v>
      </c>
    </row>
    <row r="27" customHeight="1" spans="1:16">
      <c r="A27" s="254"/>
      <c r="F27" s="240" t="s">
        <v>5968</v>
      </c>
      <c r="G27" s="241" t="s">
        <v>5969</v>
      </c>
      <c r="H27" s="248"/>
      <c r="I27" s="248"/>
      <c r="J27" s="266">
        <v>0</v>
      </c>
      <c r="K27" s="267"/>
      <c r="L27" s="271"/>
      <c r="M27" s="271"/>
      <c r="N27" s="272" t="s">
        <v>5771</v>
      </c>
      <c r="O27" s="264">
        <v>25</v>
      </c>
      <c r="P27" s="270" t="str">
        <f t="shared" si="3"/>
        <v>深圳新阳蓝光能源管理科技股份有限公司</v>
      </c>
    </row>
    <row r="28" customHeight="1" spans="1:16">
      <c r="A28" s="254"/>
      <c r="F28" s="240" t="s">
        <v>5856</v>
      </c>
      <c r="G28" s="241" t="s">
        <v>5970</v>
      </c>
      <c r="H28" s="248"/>
      <c r="I28" s="248"/>
      <c r="J28" s="266">
        <v>0</v>
      </c>
      <c r="K28" s="267"/>
      <c r="L28" s="271"/>
      <c r="M28" s="271"/>
      <c r="N28" s="269" t="s">
        <v>5771</v>
      </c>
      <c r="O28" s="264">
        <v>26</v>
      </c>
      <c r="P28" s="270" t="str">
        <f t="shared" si="3"/>
        <v>深圳新阳蓝光能源管理科技股份有限公司</v>
      </c>
    </row>
    <row r="29" customHeight="1" spans="1:16">
      <c r="A29" s="254"/>
      <c r="F29" s="240" t="s">
        <v>5971</v>
      </c>
      <c r="G29" s="241" t="s">
        <v>5972</v>
      </c>
      <c r="H29" s="247">
        <f>SUM(H30:H32)</f>
        <v>0</v>
      </c>
      <c r="I29" s="247">
        <f>SUM(I30:I32)</f>
        <v>0</v>
      </c>
      <c r="J29" s="266">
        <v>0</v>
      </c>
      <c r="K29" s="267"/>
      <c r="L29" s="268">
        <f>SUM(L30:L32)</f>
        <v>0</v>
      </c>
      <c r="M29" s="268">
        <f>SUM(M30:M32)</f>
        <v>0</v>
      </c>
      <c r="N29" s="269" t="s">
        <v>5772</v>
      </c>
      <c r="O29" s="264">
        <v>27</v>
      </c>
      <c r="P29" s="270" t="str">
        <f t="shared" si="3"/>
        <v>深圳新阳蓝光能源管理科技股份有限公司</v>
      </c>
    </row>
    <row r="30" customHeight="1" spans="1:16">
      <c r="A30" s="254"/>
      <c r="F30" s="241" t="s">
        <v>5973</v>
      </c>
      <c r="G30" s="241" t="s">
        <v>5974</v>
      </c>
      <c r="H30" s="248"/>
      <c r="I30" s="248"/>
      <c r="J30" s="266">
        <v>0</v>
      </c>
      <c r="K30" s="267"/>
      <c r="L30" s="271"/>
      <c r="M30" s="271"/>
      <c r="N30" s="272"/>
      <c r="O30" s="264">
        <v>28</v>
      </c>
      <c r="P30" s="270" t="str">
        <f t="shared" si="3"/>
        <v>深圳新阳蓝光能源管理科技股份有限公司</v>
      </c>
    </row>
    <row r="31" customHeight="1" spans="1:16">
      <c r="A31" s="254"/>
      <c r="F31" s="241" t="s">
        <v>5975</v>
      </c>
      <c r="G31" s="241" t="s">
        <v>5976</v>
      </c>
      <c r="H31" s="248"/>
      <c r="I31" s="248"/>
      <c r="J31" s="266">
        <v>0</v>
      </c>
      <c r="K31" s="267"/>
      <c r="L31" s="271"/>
      <c r="M31" s="271"/>
      <c r="N31" s="272"/>
      <c r="O31" s="264">
        <v>29</v>
      </c>
      <c r="P31" s="270" t="str">
        <f t="shared" si="3"/>
        <v>深圳新阳蓝光能源管理科技股份有限公司</v>
      </c>
    </row>
    <row r="32" customHeight="1" spans="1:16">
      <c r="A32" s="254"/>
      <c r="F32" s="241" t="s">
        <v>5977</v>
      </c>
      <c r="G32" s="241" t="s">
        <v>5978</v>
      </c>
      <c r="H32" s="248"/>
      <c r="I32" s="248"/>
      <c r="J32" s="266">
        <v>0</v>
      </c>
      <c r="K32" s="267"/>
      <c r="L32" s="271"/>
      <c r="M32" s="271"/>
      <c r="N32" s="272"/>
      <c r="O32" s="264">
        <v>30</v>
      </c>
      <c r="P32" s="270" t="str">
        <f t="shared" si="3"/>
        <v>深圳新阳蓝光能源管理科技股份有限公司</v>
      </c>
    </row>
    <row r="33" customHeight="1" spans="1:16">
      <c r="A33" s="254"/>
      <c r="F33" s="240" t="s">
        <v>5860</v>
      </c>
      <c r="G33" s="241" t="s">
        <v>5979</v>
      </c>
      <c r="H33" s="247">
        <f>SUM(H34)</f>
        <v>0</v>
      </c>
      <c r="I33" s="247">
        <f>SUM(I34)</f>
        <v>0</v>
      </c>
      <c r="J33" s="266">
        <v>0</v>
      </c>
      <c r="K33" s="267"/>
      <c r="L33" s="268">
        <f>SUM(L34)</f>
        <v>0</v>
      </c>
      <c r="M33" s="268">
        <f>SUM(M34)</f>
        <v>0</v>
      </c>
      <c r="N33" s="272" t="s">
        <v>5776</v>
      </c>
      <c r="O33" s="264">
        <v>31</v>
      </c>
      <c r="P33" s="270" t="str">
        <f t="shared" si="3"/>
        <v>深圳新阳蓝光能源管理科技股份有限公司</v>
      </c>
    </row>
    <row r="34" customHeight="1" spans="1:16">
      <c r="A34" s="254"/>
      <c r="F34" s="241" t="s">
        <v>5862</v>
      </c>
      <c r="G34" s="241" t="s">
        <v>5980</v>
      </c>
      <c r="H34" s="248"/>
      <c r="I34" s="248"/>
      <c r="J34" s="266">
        <v>0</v>
      </c>
      <c r="K34" s="267"/>
      <c r="L34" s="273"/>
      <c r="M34" s="271"/>
      <c r="N34" s="272"/>
      <c r="O34" s="264">
        <v>32</v>
      </c>
      <c r="P34" s="270" t="str">
        <f t="shared" si="3"/>
        <v>深圳新阳蓝光能源管理科技股份有限公司</v>
      </c>
    </row>
    <row r="35" customHeight="1" spans="1:16">
      <c r="A35" s="254"/>
      <c r="F35" s="240" t="s">
        <v>5928</v>
      </c>
      <c r="G35" s="241" t="s">
        <v>5981</v>
      </c>
      <c r="H35" s="248"/>
      <c r="I35" s="248"/>
      <c r="J35" s="266">
        <v>0</v>
      </c>
      <c r="K35" s="267"/>
      <c r="L35" s="274"/>
      <c r="M35" s="271"/>
      <c r="N35" s="272" t="s">
        <v>5771</v>
      </c>
      <c r="O35" s="264">
        <v>33</v>
      </c>
      <c r="P35" s="270" t="str">
        <f t="shared" si="3"/>
        <v>深圳新阳蓝光能源管理科技股份有限公司</v>
      </c>
    </row>
    <row r="36" customHeight="1" spans="1:16">
      <c r="A36" s="254"/>
      <c r="F36" s="240" t="s">
        <v>5982</v>
      </c>
      <c r="G36" s="241" t="s">
        <v>5983</v>
      </c>
      <c r="H36" s="248"/>
      <c r="I36" s="248"/>
      <c r="J36" s="266">
        <v>0</v>
      </c>
      <c r="K36" s="267"/>
      <c r="L36" s="274"/>
      <c r="M36" s="271"/>
      <c r="N36" s="272" t="s">
        <v>5776</v>
      </c>
      <c r="O36" s="264">
        <v>34</v>
      </c>
      <c r="P36" s="270" t="str">
        <f t="shared" si="3"/>
        <v>深圳新阳蓝光能源管理科技股份有限公司</v>
      </c>
    </row>
    <row r="37" customHeight="1" spans="1:16">
      <c r="A37" s="254"/>
      <c r="F37" s="240" t="s">
        <v>5984</v>
      </c>
      <c r="G37" s="241" t="s">
        <v>5985</v>
      </c>
      <c r="H37" s="248"/>
      <c r="I37" s="248"/>
      <c r="J37" s="266">
        <v>0</v>
      </c>
      <c r="K37" s="267"/>
      <c r="L37" s="274"/>
      <c r="M37" s="271"/>
      <c r="N37" s="272" t="s">
        <v>5776</v>
      </c>
      <c r="O37" s="264">
        <v>35</v>
      </c>
      <c r="P37" s="270" t="str">
        <f t="shared" si="3"/>
        <v>深圳新阳蓝光能源管理科技股份有限公司</v>
      </c>
    </row>
    <row r="38" customHeight="1" spans="1:16">
      <c r="A38" s="254"/>
      <c r="F38" s="241" t="s">
        <v>2021</v>
      </c>
      <c r="G38" s="241"/>
      <c r="H38" s="247">
        <f>SUM(H4,H17:H29,H33,H35:H37)</f>
        <v>0</v>
      </c>
      <c r="I38" s="247">
        <f>SUM(I4,I17:I29,I33,I35:I37)</f>
        <v>0</v>
      </c>
      <c r="J38" s="266">
        <v>0</v>
      </c>
      <c r="K38" s="267"/>
      <c r="L38" s="268">
        <f>SUM(L4,L17:L29,L33,L35:L37)</f>
        <v>0</v>
      </c>
      <c r="M38" s="268">
        <f>SUM(M4,M17:M29,M33,M35:M37)</f>
        <v>0</v>
      </c>
      <c r="N38" s="275"/>
      <c r="O38" s="264">
        <v>36</v>
      </c>
      <c r="P38" s="270" t="str">
        <f t="shared" si="3"/>
        <v>深圳新阳蓝光能源管理科技股份有限公司</v>
      </c>
    </row>
    <row r="39" customHeight="1" spans="6:16">
      <c r="F39" s="257" t="s">
        <v>1847</v>
      </c>
      <c r="G39" s="257"/>
      <c r="H39" s="258"/>
      <c r="I39" s="258"/>
      <c r="J39" s="229"/>
      <c r="K39" s="229"/>
      <c r="L39" s="229"/>
      <c r="M39" s="229"/>
      <c r="N39" s="259"/>
      <c r="O39" s="234"/>
      <c r="P39" s="276"/>
    </row>
    <row r="40" customHeight="1" spans="15:15">
      <c r="O40" s="277"/>
    </row>
    <row r="41" customHeight="1" spans="15:15">
      <c r="O41" s="277"/>
    </row>
    <row r="42" customHeight="1" spans="15:15">
      <c r="O42" s="277"/>
    </row>
    <row r="43" customHeight="1" spans="15:15">
      <c r="O43" s="277"/>
    </row>
    <row r="44" customHeight="1" spans="15:15">
      <c r="O44" s="277"/>
    </row>
    <row r="45" customHeight="1" spans="15:15">
      <c r="O45" s="277"/>
    </row>
    <row r="46" customHeight="1" spans="15:15">
      <c r="O46" s="277"/>
    </row>
    <row r="47" customHeight="1" spans="15:15">
      <c r="O47" s="277"/>
    </row>
    <row r="48" customHeight="1" spans="15:15">
      <c r="O48" s="277"/>
    </row>
    <row r="49" customHeight="1" spans="15:15">
      <c r="O49" s="277"/>
    </row>
    <row r="50" customHeight="1" spans="15:15">
      <c r="O50" s="277"/>
    </row>
    <row r="51" customHeight="1" spans="15:15">
      <c r="O51" s="277"/>
    </row>
    <row r="52" customHeight="1" spans="15:15">
      <c r="O52" s="277"/>
    </row>
    <row r="53" customHeight="1" spans="15:15">
      <c r="O53" s="277"/>
    </row>
    <row r="54" customHeight="1" spans="15:15">
      <c r="O54" s="277"/>
    </row>
    <row r="55" customHeight="1" spans="15:15">
      <c r="O55" s="277"/>
    </row>
    <row r="56" customHeight="1" spans="15:15">
      <c r="O56" s="277"/>
    </row>
    <row r="57" customHeight="1" spans="15:15">
      <c r="O57" s="277"/>
    </row>
    <row r="58" customHeight="1" spans="15:15">
      <c r="O58" s="277"/>
    </row>
    <row r="59" customHeight="1" spans="15:15">
      <c r="O59" s="277"/>
    </row>
    <row r="60" customHeight="1" spans="15:15">
      <c r="O60" s="277"/>
    </row>
    <row r="61" customHeight="1" spans="15:15">
      <c r="O61" s="277"/>
    </row>
    <row r="62" customHeight="1" spans="15:15">
      <c r="O62" s="277"/>
    </row>
    <row r="63" customHeight="1" spans="15:15">
      <c r="O63" s="277"/>
    </row>
    <row r="64" customHeight="1" spans="15:15">
      <c r="O64" s="277"/>
    </row>
    <row r="65" customHeight="1" spans="15:15">
      <c r="O65" s="277"/>
    </row>
    <row r="66" customHeight="1" spans="15:15">
      <c r="O66" s="277"/>
    </row>
    <row r="67" customHeight="1" spans="15:15">
      <c r="O67" s="277"/>
    </row>
    <row r="68" customHeight="1" spans="15:15">
      <c r="O68" s="277"/>
    </row>
    <row r="69" customHeight="1" spans="15:15">
      <c r="O69" s="277"/>
    </row>
    <row r="70" customHeight="1" spans="15:15">
      <c r="O70" s="277"/>
    </row>
    <row r="71" customHeight="1" spans="15:15">
      <c r="O71" s="277"/>
    </row>
    <row r="72" customHeight="1" spans="15:15">
      <c r="O72" s="277"/>
    </row>
    <row r="73" customHeight="1" spans="15:15">
      <c r="O73" s="277"/>
    </row>
    <row r="74" customHeight="1" spans="15:15">
      <c r="O74" s="277"/>
    </row>
    <row r="75" customHeight="1" spans="15:15">
      <c r="O75" s="277"/>
    </row>
    <row r="76" customHeight="1" spans="15:15">
      <c r="O76" s="277"/>
    </row>
    <row r="77" customHeight="1" spans="15:15">
      <c r="O77" s="277"/>
    </row>
    <row r="78" customHeight="1" spans="15:15">
      <c r="O78" s="277"/>
    </row>
    <row r="79" customHeight="1" spans="15:15">
      <c r="O79" s="277"/>
    </row>
    <row r="80" customHeight="1" spans="15:15">
      <c r="O80" s="277"/>
    </row>
    <row r="81" customHeight="1" spans="15:15">
      <c r="O81" s="277"/>
    </row>
    <row r="82" customHeight="1" spans="15:15">
      <c r="O82" s="277"/>
    </row>
    <row r="83" customHeight="1" spans="15:15">
      <c r="O83" s="277"/>
    </row>
    <row r="84" customHeight="1" spans="15:15">
      <c r="O84" s="277"/>
    </row>
  </sheetData>
  <sheetProtection formatCells="0" formatColumns="0" formatRows="0" insertHyperlinks="0" sort="0" autoFilter="0" pivotTables="0"/>
  <autoFilter ref="A3:P39">
    <extLst/>
  </autoFilter>
  <conditionalFormatting sqref="K4">
    <cfRule type="expression" dxfId="11" priority="9" stopIfTrue="1">
      <formula>J4&lt;=-0.3</formula>
    </cfRule>
    <cfRule type="expression" dxfId="11" priority="10" stopIfTrue="1">
      <formula>J4&gt;=0.3</formula>
    </cfRule>
    <cfRule type="expression" dxfId="12" priority="11" stopIfTrue="1">
      <formula>J4&lt;=-0.3</formula>
    </cfRule>
    <cfRule type="expression" dxfId="12" priority="12" stopIfTrue="1">
      <formula>J4&gt;=0.3</formula>
    </cfRule>
    <cfRule type="expression" dxfId="13" priority="13" stopIfTrue="1">
      <formula>J4&lt;=-0.3</formula>
    </cfRule>
    <cfRule type="expression" dxfId="13" priority="14" stopIfTrue="1">
      <formula>J4&gt;=0.3</formula>
    </cfRule>
    <cfRule type="expression" dxfId="14" priority="15" stopIfTrue="1">
      <formula>J4&lt;=-0.3</formula>
    </cfRule>
    <cfRule type="expression" dxfId="14" priority="16" stopIfTrue="1">
      <formula>J4&gt;=0.3</formula>
    </cfRule>
  </conditionalFormatting>
  <conditionalFormatting sqref="K5:K38">
    <cfRule type="expression" dxfId="11" priority="1" stopIfTrue="1">
      <formula>J5&lt;=-0.3</formula>
    </cfRule>
    <cfRule type="expression" dxfId="11" priority="2" stopIfTrue="1">
      <formula>J5&gt;=0.3</formula>
    </cfRule>
    <cfRule type="expression" dxfId="12" priority="3" stopIfTrue="1">
      <formula>J5&lt;=-0.3</formula>
    </cfRule>
    <cfRule type="expression" dxfId="12" priority="4" stopIfTrue="1">
      <formula>J5&gt;=0.3</formula>
    </cfRule>
    <cfRule type="expression" dxfId="13" priority="5" stopIfTrue="1">
      <formula>J5&lt;=-0.3</formula>
    </cfRule>
    <cfRule type="expression" dxfId="13" priority="6" stopIfTrue="1">
      <formula>J5&gt;=0.3</formula>
    </cfRule>
    <cfRule type="expression" dxfId="14" priority="7" stopIfTrue="1">
      <formula>J5&lt;=-0.3</formula>
    </cfRule>
    <cfRule type="expression" dxfId="14" priority="8" stopIfTrue="1">
      <formula>J5&gt;=0.3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P81"/>
  <sheetViews>
    <sheetView workbookViewId="0">
      <pane xSplit="1" ySplit="12" topLeftCell="B34" activePane="bottomRight" state="frozen"/>
      <selection/>
      <selection pane="topRight"/>
      <selection pane="bottomLeft"/>
      <selection pane="bottomRight" activeCell="G23" sqref="G23"/>
    </sheetView>
  </sheetViews>
  <sheetFormatPr defaultColWidth="9" defaultRowHeight="14.25"/>
  <cols>
    <col min="1" max="1" width="21.125" customWidth="1"/>
    <col min="2" max="2" width="15.25" customWidth="1"/>
    <col min="3" max="3" width="13.875" customWidth="1"/>
    <col min="4" max="5" width="14.125" customWidth="1"/>
    <col min="6" max="6" width="13.125" customWidth="1"/>
    <col min="7" max="7" width="6.375" customWidth="1"/>
    <col min="8" max="8" width="14.5" customWidth="1"/>
    <col min="9" max="9" width="14.25" customWidth="1"/>
    <col min="10" max="10" width="11.75" customWidth="1"/>
    <col min="11" max="11" width="13.25" customWidth="1"/>
    <col min="12" max="12" width="13.75" customWidth="1"/>
    <col min="13" max="13" width="15.25" customWidth="1"/>
    <col min="14" max="14" width="13.375" customWidth="1"/>
    <col min="15" max="15" width="13.875" customWidth="1"/>
    <col min="16" max="16" width="11.25" customWidth="1"/>
  </cols>
  <sheetData>
    <row r="1" spans="3:6">
      <c r="C1" s="182"/>
      <c r="D1" s="182" t="s">
        <v>2202</v>
      </c>
      <c r="E1" s="182"/>
      <c r="F1" s="183"/>
    </row>
    <row r="2" spans="3:6">
      <c r="C2" s="184" t="s">
        <v>3551</v>
      </c>
      <c r="D2" s="182" t="s">
        <v>316</v>
      </c>
      <c r="E2" s="182" t="s">
        <v>5986</v>
      </c>
      <c r="F2" s="185" t="s">
        <v>1997</v>
      </c>
    </row>
    <row r="3" spans="3:6">
      <c r="C3" s="182" t="s">
        <v>989</v>
      </c>
      <c r="D3" s="182">
        <f>SUMIFS(报表附注!$F$1771:$F$1778,报表附注!$E$1771:$E$1778,'3.借款'!C3)</f>
        <v>0</v>
      </c>
      <c r="E3" s="182">
        <f t="shared" ref="E3:E8" si="0">SUMIFS($H$13:$H$27,$C$13:$C$27,C3)</f>
        <v>0</v>
      </c>
      <c r="F3" s="186">
        <f t="shared" ref="F3:F8" si="1">D3-E3</f>
        <v>0</v>
      </c>
    </row>
    <row r="4" spans="3:6">
      <c r="C4" s="182" t="s">
        <v>985</v>
      </c>
      <c r="D4" s="182">
        <f>SUMIFS(报表附注!$F$1771:$F$1778,报表附注!$E$1771:$E$1778,'3.借款'!C4)</f>
        <v>0</v>
      </c>
      <c r="E4" s="182">
        <f t="shared" si="0"/>
        <v>0</v>
      </c>
      <c r="F4" s="186">
        <f t="shared" si="1"/>
        <v>0</v>
      </c>
    </row>
    <row r="5" spans="3:6">
      <c r="C5" s="182" t="s">
        <v>987</v>
      </c>
      <c r="D5" s="182">
        <f>SUMIFS(报表附注!$F$1771:$F$1778,报表附注!$E$1771:$E$1778,'3.借款'!C5)</f>
        <v>4850000</v>
      </c>
      <c r="E5" s="182">
        <f t="shared" si="0"/>
        <v>0</v>
      </c>
      <c r="F5" s="186">
        <f t="shared" si="1"/>
        <v>4850000</v>
      </c>
    </row>
    <row r="6" spans="3:6">
      <c r="C6" s="182" t="s">
        <v>983</v>
      </c>
      <c r="D6" s="182">
        <f>SUMIFS(报表附注!$F$1771:$F$1778,报表附注!$E$1771:$E$1778,'3.借款'!C6)</f>
        <v>0</v>
      </c>
      <c r="E6" s="182">
        <f t="shared" si="0"/>
        <v>0</v>
      </c>
      <c r="F6" s="186">
        <f t="shared" si="1"/>
        <v>0</v>
      </c>
    </row>
    <row r="7" spans="3:6">
      <c r="C7" s="182" t="s">
        <v>3552</v>
      </c>
      <c r="D7" s="182">
        <f>SUMIFS(报表附注!$F$1771:$F$1778,报表附注!$E$1771:$E$1778,'3.借款'!C7)</f>
        <v>0</v>
      </c>
      <c r="E7" s="182">
        <f t="shared" si="0"/>
        <v>0</v>
      </c>
      <c r="F7" s="186">
        <f t="shared" si="1"/>
        <v>0</v>
      </c>
    </row>
    <row r="8" ht="16.5" customHeight="1" spans="3:6">
      <c r="C8" s="182" t="s">
        <v>3553</v>
      </c>
      <c r="D8" s="182">
        <f>SUMIFS(报表附注!$F$1771:$F$1778,报表附注!$E$1771:$E$1778,'3.借款'!C8)</f>
        <v>0</v>
      </c>
      <c r="E8" s="182">
        <f t="shared" si="0"/>
        <v>0</v>
      </c>
      <c r="F8" s="186">
        <f t="shared" si="1"/>
        <v>0</v>
      </c>
    </row>
    <row r="9" spans="1:1">
      <c r="A9" s="187" t="s">
        <v>5987</v>
      </c>
    </row>
    <row r="10" spans="1:14">
      <c r="A10" s="188" t="s">
        <v>1997</v>
      </c>
      <c r="B10" s="188"/>
      <c r="C10" s="188"/>
      <c r="D10" s="188"/>
      <c r="E10" s="188"/>
      <c r="F10" s="188"/>
      <c r="G10" s="188"/>
      <c r="H10" s="188">
        <f>H11-审定资负表!G7</f>
        <v>-4850000</v>
      </c>
      <c r="I10" s="188"/>
      <c r="J10" s="188"/>
      <c r="K10" s="188"/>
      <c r="L10" s="188"/>
      <c r="M10" s="204"/>
      <c r="N10" s="204"/>
    </row>
    <row r="11" spans="1:16">
      <c r="A11" s="189" t="s">
        <v>5779</v>
      </c>
      <c r="H11" s="189">
        <f>SUM(H13:H27)</f>
        <v>0</v>
      </c>
      <c r="L11" s="205"/>
      <c r="O11" s="189"/>
      <c r="P11" s="206"/>
    </row>
    <row r="12" ht="33.75" spans="1:16">
      <c r="A12" s="190" t="s">
        <v>5781</v>
      </c>
      <c r="B12" s="190" t="s">
        <v>5988</v>
      </c>
      <c r="C12" s="190" t="s">
        <v>5989</v>
      </c>
      <c r="D12" s="190" t="s">
        <v>993</v>
      </c>
      <c r="E12" s="191" t="s">
        <v>3705</v>
      </c>
      <c r="F12" s="191" t="s">
        <v>3706</v>
      </c>
      <c r="G12" s="190" t="s">
        <v>5990</v>
      </c>
      <c r="H12" s="192" t="s">
        <v>516</v>
      </c>
      <c r="I12" s="190" t="s">
        <v>5991</v>
      </c>
      <c r="J12" s="190" t="s">
        <v>5992</v>
      </c>
      <c r="K12" s="190" t="s">
        <v>5993</v>
      </c>
      <c r="L12" s="190" t="s">
        <v>280</v>
      </c>
      <c r="M12" s="207" t="s">
        <v>5994</v>
      </c>
      <c r="N12" s="207" t="s">
        <v>5995</v>
      </c>
      <c r="O12" s="207" t="s">
        <v>5996</v>
      </c>
      <c r="P12" s="208" t="s">
        <v>5997</v>
      </c>
    </row>
    <row r="13" spans="1:16">
      <c r="A13" s="193"/>
      <c r="B13" s="193"/>
      <c r="C13" s="194"/>
      <c r="D13" s="193"/>
      <c r="E13" s="195"/>
      <c r="F13" s="195"/>
      <c r="G13" s="196"/>
      <c r="H13" s="193"/>
      <c r="I13" s="193"/>
      <c r="J13" s="193"/>
      <c r="K13" s="193"/>
      <c r="L13" s="193"/>
      <c r="M13" s="193"/>
      <c r="N13" s="209">
        <f>IFERROR(ROUND(H13*G13*M13/360,2),)</f>
        <v>0</v>
      </c>
      <c r="O13" s="210"/>
      <c r="P13" s="210"/>
    </row>
    <row r="14" spans="1:16">
      <c r="A14" s="193"/>
      <c r="B14" s="193"/>
      <c r="C14" s="194"/>
      <c r="D14" s="193"/>
      <c r="E14" s="195"/>
      <c r="F14" s="195"/>
      <c r="G14" s="196"/>
      <c r="H14" s="193"/>
      <c r="I14" s="193"/>
      <c r="J14" s="193"/>
      <c r="K14" s="193"/>
      <c r="L14" s="193"/>
      <c r="M14" s="193"/>
      <c r="N14" s="209">
        <f t="shared" ref="N14:N27" si="2">IFERROR(ROUND(H14*G14*M14/360,2),)</f>
        <v>0</v>
      </c>
      <c r="O14" s="210"/>
      <c r="P14" s="210"/>
    </row>
    <row r="15" spans="1:16">
      <c r="A15" s="193"/>
      <c r="B15" s="193"/>
      <c r="C15" s="194"/>
      <c r="D15" s="193"/>
      <c r="E15" s="193"/>
      <c r="F15" s="193"/>
      <c r="G15" s="196"/>
      <c r="H15" s="193"/>
      <c r="I15" s="193"/>
      <c r="J15" s="193"/>
      <c r="K15" s="193"/>
      <c r="L15" s="193"/>
      <c r="M15" s="193"/>
      <c r="N15" s="209">
        <f t="shared" si="2"/>
        <v>0</v>
      </c>
      <c r="O15" s="210"/>
      <c r="P15" s="210"/>
    </row>
    <row r="16" spans="1:16">
      <c r="A16" s="193"/>
      <c r="B16" s="193"/>
      <c r="C16" s="194"/>
      <c r="D16" s="193"/>
      <c r="E16" s="193"/>
      <c r="F16" s="193"/>
      <c r="G16" s="196"/>
      <c r="H16" s="193"/>
      <c r="I16" s="193"/>
      <c r="J16" s="193"/>
      <c r="K16" s="193"/>
      <c r="L16" s="193"/>
      <c r="M16" s="193"/>
      <c r="N16" s="209">
        <f t="shared" si="2"/>
        <v>0</v>
      </c>
      <c r="O16" s="210"/>
      <c r="P16" s="210"/>
    </row>
    <row r="17" spans="1:16">
      <c r="A17" s="193"/>
      <c r="B17" s="193"/>
      <c r="C17" s="194"/>
      <c r="D17" s="193"/>
      <c r="E17" s="193"/>
      <c r="F17" s="193"/>
      <c r="G17" s="196"/>
      <c r="H17" s="193"/>
      <c r="I17" s="193"/>
      <c r="J17" s="193"/>
      <c r="K17" s="193"/>
      <c r="L17" s="193"/>
      <c r="M17" s="193"/>
      <c r="N17" s="209">
        <f t="shared" si="2"/>
        <v>0</v>
      </c>
      <c r="O17" s="210"/>
      <c r="P17" s="210"/>
    </row>
    <row r="18" spans="1:16">
      <c r="A18" s="193"/>
      <c r="B18" s="193"/>
      <c r="C18" s="194"/>
      <c r="D18" s="193"/>
      <c r="E18" s="193"/>
      <c r="F18" s="193"/>
      <c r="G18" s="196"/>
      <c r="H18" s="193"/>
      <c r="I18" s="193"/>
      <c r="J18" s="193"/>
      <c r="K18" s="193"/>
      <c r="L18" s="193"/>
      <c r="M18" s="193"/>
      <c r="N18" s="209">
        <f t="shared" si="2"/>
        <v>0</v>
      </c>
      <c r="O18" s="210"/>
      <c r="P18" s="210"/>
    </row>
    <row r="19" spans="1:16">
      <c r="A19" s="193"/>
      <c r="B19" s="193"/>
      <c r="C19" s="194"/>
      <c r="D19" s="193"/>
      <c r="E19" s="193"/>
      <c r="F19" s="193"/>
      <c r="G19" s="196"/>
      <c r="H19" s="193"/>
      <c r="I19" s="193"/>
      <c r="J19" s="193"/>
      <c r="K19" s="193"/>
      <c r="L19" s="193"/>
      <c r="M19" s="193"/>
      <c r="N19" s="209">
        <f t="shared" si="2"/>
        <v>0</v>
      </c>
      <c r="O19" s="210"/>
      <c r="P19" s="210"/>
    </row>
    <row r="20" spans="1:16">
      <c r="A20" s="193"/>
      <c r="B20" s="193"/>
      <c r="C20" s="194"/>
      <c r="D20" s="193"/>
      <c r="E20" s="193"/>
      <c r="F20" s="193"/>
      <c r="G20" s="196"/>
      <c r="H20" s="193"/>
      <c r="I20" s="193"/>
      <c r="J20" s="193"/>
      <c r="K20" s="193"/>
      <c r="L20" s="193"/>
      <c r="M20" s="193"/>
      <c r="N20" s="209">
        <f t="shared" si="2"/>
        <v>0</v>
      </c>
      <c r="O20" s="210"/>
      <c r="P20" s="210"/>
    </row>
    <row r="21" spans="1:16">
      <c r="A21" s="193"/>
      <c r="B21" s="193"/>
      <c r="C21" s="194"/>
      <c r="D21" s="193"/>
      <c r="E21" s="193"/>
      <c r="F21" s="193"/>
      <c r="G21" s="196"/>
      <c r="H21" s="193"/>
      <c r="I21" s="193"/>
      <c r="J21" s="193"/>
      <c r="K21" s="193"/>
      <c r="L21" s="193"/>
      <c r="M21" s="193"/>
      <c r="N21" s="209">
        <f t="shared" si="2"/>
        <v>0</v>
      </c>
      <c r="O21" s="210"/>
      <c r="P21" s="210"/>
    </row>
    <row r="22" spans="1:16">
      <c r="A22" s="193"/>
      <c r="B22" s="193"/>
      <c r="C22" s="194"/>
      <c r="D22" s="193"/>
      <c r="E22" s="193"/>
      <c r="F22" s="193"/>
      <c r="G22" s="196"/>
      <c r="H22" s="193"/>
      <c r="I22" s="193"/>
      <c r="J22" s="193"/>
      <c r="K22" s="193"/>
      <c r="L22" s="193"/>
      <c r="M22" s="193"/>
      <c r="N22" s="209">
        <f t="shared" si="2"/>
        <v>0</v>
      </c>
      <c r="O22" s="210"/>
      <c r="P22" s="210"/>
    </row>
    <row r="23" spans="1:16">
      <c r="A23" s="193"/>
      <c r="B23" s="193"/>
      <c r="C23" s="194"/>
      <c r="D23" s="193"/>
      <c r="E23" s="193"/>
      <c r="F23" s="193"/>
      <c r="G23" s="196"/>
      <c r="H23" s="193"/>
      <c r="I23" s="193"/>
      <c r="J23" s="193"/>
      <c r="K23" s="193"/>
      <c r="L23" s="193"/>
      <c r="M23" s="193"/>
      <c r="N23" s="209">
        <f t="shared" si="2"/>
        <v>0</v>
      </c>
      <c r="O23" s="210"/>
      <c r="P23" s="210"/>
    </row>
    <row r="24" spans="1:16">
      <c r="A24" s="193"/>
      <c r="B24" s="193"/>
      <c r="C24" s="194"/>
      <c r="D24" s="193"/>
      <c r="E24" s="193"/>
      <c r="F24" s="193"/>
      <c r="G24" s="196"/>
      <c r="H24" s="193"/>
      <c r="I24" s="193"/>
      <c r="J24" s="193"/>
      <c r="K24" s="193"/>
      <c r="L24" s="193"/>
      <c r="M24" s="193"/>
      <c r="N24" s="209">
        <f t="shared" si="2"/>
        <v>0</v>
      </c>
      <c r="O24" s="210"/>
      <c r="P24" s="210"/>
    </row>
    <row r="25" spans="1:16">
      <c r="A25" s="193"/>
      <c r="B25" s="193"/>
      <c r="C25" s="194"/>
      <c r="D25" s="193"/>
      <c r="E25" s="193"/>
      <c r="F25" s="193"/>
      <c r="G25" s="196"/>
      <c r="H25" s="193"/>
      <c r="I25" s="193"/>
      <c r="J25" s="193"/>
      <c r="K25" s="193"/>
      <c r="L25" s="193"/>
      <c r="M25" s="193"/>
      <c r="N25" s="209">
        <f t="shared" si="2"/>
        <v>0</v>
      </c>
      <c r="O25" s="210"/>
      <c r="P25" s="210"/>
    </row>
    <row r="26" spans="1:16">
      <c r="A26" s="193"/>
      <c r="B26" s="193"/>
      <c r="C26" s="194"/>
      <c r="D26" s="193"/>
      <c r="E26" s="193"/>
      <c r="F26" s="193"/>
      <c r="G26" s="196"/>
      <c r="H26" s="193"/>
      <c r="I26" s="193"/>
      <c r="J26" s="193"/>
      <c r="K26" s="193"/>
      <c r="L26" s="193"/>
      <c r="M26" s="193"/>
      <c r="N26" s="209">
        <f t="shared" si="2"/>
        <v>0</v>
      </c>
      <c r="O26" s="210"/>
      <c r="P26" s="210"/>
    </row>
    <row r="27" spans="1:16">
      <c r="A27" s="193"/>
      <c r="B27" s="193"/>
      <c r="C27" s="194"/>
      <c r="D27" s="193"/>
      <c r="E27" s="193"/>
      <c r="F27" s="193"/>
      <c r="G27" s="196"/>
      <c r="H27" s="193"/>
      <c r="I27" s="193"/>
      <c r="J27" s="193"/>
      <c r="K27" s="193"/>
      <c r="L27" s="193"/>
      <c r="M27" s="193"/>
      <c r="N27" s="209">
        <f t="shared" si="2"/>
        <v>0</v>
      </c>
      <c r="O27" s="210"/>
      <c r="P27" s="210"/>
    </row>
    <row r="28" spans="1:16">
      <c r="A28" s="190" t="s">
        <v>2021</v>
      </c>
      <c r="B28" s="190"/>
      <c r="C28" s="190"/>
      <c r="D28" s="190"/>
      <c r="E28" s="190"/>
      <c r="F28" s="190"/>
      <c r="G28" s="190"/>
      <c r="H28" s="197">
        <f>SUM(H13:H27)</f>
        <v>0</v>
      </c>
      <c r="I28" s="190"/>
      <c r="J28" s="190"/>
      <c r="K28" s="190"/>
      <c r="L28" s="190"/>
      <c r="M28" s="197"/>
      <c r="N28" s="197">
        <f>SUM(N13:N27)</f>
        <v>0</v>
      </c>
      <c r="O28" s="197">
        <f>报表附注!F2030</f>
        <v>0</v>
      </c>
      <c r="P28" s="211">
        <f>N28-O28</f>
        <v>0</v>
      </c>
    </row>
    <row r="29" spans="12:15">
      <c r="L29" s="205"/>
      <c r="O29" s="189"/>
    </row>
    <row r="30" spans="1:15">
      <c r="A30" s="187" t="s">
        <v>5998</v>
      </c>
      <c r="B30" s="198"/>
      <c r="C30" s="199"/>
      <c r="M30" s="212"/>
      <c r="N30" s="212"/>
      <c r="O30" s="212"/>
    </row>
    <row r="31" spans="1:14">
      <c r="A31" s="188" t="s">
        <v>1997</v>
      </c>
      <c r="B31" s="188"/>
      <c r="C31" s="188"/>
      <c r="D31" s="188"/>
      <c r="E31" s="188"/>
      <c r="F31" s="188"/>
      <c r="G31" s="188"/>
      <c r="H31" s="188">
        <f>H32-审定资负表!G17-审定资负表!G23</f>
        <v>-54389788.67</v>
      </c>
      <c r="I31" s="188">
        <f>I32-审定资负表!G23</f>
        <v>-30498148.16</v>
      </c>
      <c r="J31" s="188">
        <f>J32-审定资负表!G17</f>
        <v>-23891640.51</v>
      </c>
      <c r="K31" s="188"/>
      <c r="L31" s="188"/>
      <c r="M31" s="204"/>
      <c r="N31" s="204"/>
    </row>
    <row r="32" spans="1:15">
      <c r="A32" s="189" t="s">
        <v>5779</v>
      </c>
      <c r="H32" s="189">
        <f>SUM(H34:H78)</f>
        <v>0</v>
      </c>
      <c r="I32" s="189">
        <f t="shared" ref="I32:J32" si="3">SUM(I34:I78)</f>
        <v>0</v>
      </c>
      <c r="J32" s="189">
        <f t="shared" si="3"/>
        <v>0</v>
      </c>
      <c r="L32" s="205"/>
      <c r="O32" s="189"/>
    </row>
    <row r="33" ht="40.5" customHeight="1" spans="1:14">
      <c r="A33" s="190" t="s">
        <v>5781</v>
      </c>
      <c r="B33" s="190" t="s">
        <v>5988</v>
      </c>
      <c r="C33" s="200" t="s">
        <v>3551</v>
      </c>
      <c r="D33" s="201" t="s">
        <v>3750</v>
      </c>
      <c r="E33" s="191" t="s">
        <v>3705</v>
      </c>
      <c r="F33" s="191" t="s">
        <v>3706</v>
      </c>
      <c r="G33" s="191" t="s">
        <v>3707</v>
      </c>
      <c r="H33" s="202" t="s">
        <v>5999</v>
      </c>
      <c r="I33" s="192" t="s">
        <v>6000</v>
      </c>
      <c r="J33" s="192" t="s">
        <v>6001</v>
      </c>
      <c r="K33" s="190" t="s">
        <v>5991</v>
      </c>
      <c r="L33" s="190" t="s">
        <v>3751</v>
      </c>
      <c r="M33" s="190" t="s">
        <v>6002</v>
      </c>
      <c r="N33" s="213" t="s">
        <v>671</v>
      </c>
    </row>
    <row r="34" spans="1:15">
      <c r="A34" s="194"/>
      <c r="B34" s="194"/>
      <c r="C34" s="194"/>
      <c r="D34" s="194"/>
      <c r="E34" s="194"/>
      <c r="F34" s="194"/>
      <c r="G34" s="194"/>
      <c r="H34" s="194"/>
      <c r="I34" s="194"/>
      <c r="J34" s="194"/>
      <c r="K34" s="214"/>
      <c r="L34" s="214"/>
      <c r="M34" s="214"/>
      <c r="N34" s="194"/>
      <c r="O34" s="189"/>
    </row>
    <row r="35" spans="1:15">
      <c r="A35" s="194"/>
      <c r="B35" s="194"/>
      <c r="C35" s="194"/>
      <c r="D35" s="194"/>
      <c r="E35" s="194"/>
      <c r="F35" s="194"/>
      <c r="G35" s="194"/>
      <c r="H35" s="194"/>
      <c r="I35" s="194"/>
      <c r="J35" s="194"/>
      <c r="K35" s="214"/>
      <c r="L35" s="214"/>
      <c r="M35" s="214"/>
      <c r="N35" s="194"/>
      <c r="O35" s="189"/>
    </row>
    <row r="36" spans="1:15">
      <c r="A36" s="194"/>
      <c r="B36" s="194"/>
      <c r="C36" s="194"/>
      <c r="D36" s="194"/>
      <c r="E36" s="194"/>
      <c r="F36" s="194"/>
      <c r="G36" s="194"/>
      <c r="H36" s="194"/>
      <c r="I36" s="194"/>
      <c r="J36" s="194"/>
      <c r="K36" s="214"/>
      <c r="L36" s="214"/>
      <c r="M36" s="214"/>
      <c r="N36" s="194"/>
      <c r="O36" s="189"/>
    </row>
    <row r="37" spans="1:15">
      <c r="A37" s="194"/>
      <c r="B37" s="194"/>
      <c r="C37" s="194"/>
      <c r="D37" s="194"/>
      <c r="E37" s="194"/>
      <c r="F37" s="194"/>
      <c r="G37" s="194"/>
      <c r="H37" s="194"/>
      <c r="I37" s="194"/>
      <c r="J37" s="194"/>
      <c r="K37" s="214"/>
      <c r="L37" s="214"/>
      <c r="M37" s="214"/>
      <c r="N37" s="194"/>
      <c r="O37" s="189"/>
    </row>
    <row r="38" spans="1:15">
      <c r="A38" s="194"/>
      <c r="B38" s="194"/>
      <c r="C38" s="194"/>
      <c r="D38" s="194"/>
      <c r="E38" s="194"/>
      <c r="F38" s="194"/>
      <c r="G38" s="194"/>
      <c r="H38" s="194"/>
      <c r="I38" s="194"/>
      <c r="J38" s="194"/>
      <c r="K38" s="214"/>
      <c r="L38" s="214"/>
      <c r="M38" s="214"/>
      <c r="N38" s="194"/>
      <c r="O38" s="189"/>
    </row>
    <row r="39" hidden="1" spans="1:15">
      <c r="A39" s="194"/>
      <c r="B39" s="194"/>
      <c r="C39" s="194"/>
      <c r="D39" s="194"/>
      <c r="E39" s="194"/>
      <c r="F39" s="194"/>
      <c r="G39" s="194"/>
      <c r="H39" s="194"/>
      <c r="I39" s="194"/>
      <c r="J39" s="194"/>
      <c r="K39" s="214"/>
      <c r="L39" s="214"/>
      <c r="M39" s="214"/>
      <c r="N39" s="194"/>
      <c r="O39" s="189"/>
    </row>
    <row r="40" hidden="1" spans="1:15">
      <c r="A40" s="194"/>
      <c r="B40" s="194"/>
      <c r="C40" s="194"/>
      <c r="D40" s="194"/>
      <c r="E40" s="194"/>
      <c r="F40" s="194"/>
      <c r="G40" s="194"/>
      <c r="H40" s="194"/>
      <c r="I40" s="194"/>
      <c r="J40" s="194"/>
      <c r="K40" s="214"/>
      <c r="L40" s="214"/>
      <c r="M40" s="214"/>
      <c r="N40" s="194"/>
      <c r="O40" s="189"/>
    </row>
    <row r="41" hidden="1" spans="1:15">
      <c r="A41" s="194"/>
      <c r="B41" s="194"/>
      <c r="C41" s="194"/>
      <c r="D41" s="194"/>
      <c r="E41" s="194"/>
      <c r="F41" s="194"/>
      <c r="G41" s="194"/>
      <c r="H41" s="194"/>
      <c r="I41" s="194"/>
      <c r="J41" s="194"/>
      <c r="K41" s="214"/>
      <c r="L41" s="214"/>
      <c r="M41" s="214"/>
      <c r="N41" s="194"/>
      <c r="O41" s="189"/>
    </row>
    <row r="42" hidden="1" spans="1:15">
      <c r="A42" s="194"/>
      <c r="B42" s="194"/>
      <c r="C42" s="194"/>
      <c r="D42" s="194"/>
      <c r="E42" s="194"/>
      <c r="F42" s="194"/>
      <c r="G42" s="194"/>
      <c r="H42" s="194"/>
      <c r="I42" s="194"/>
      <c r="J42" s="194"/>
      <c r="K42" s="214"/>
      <c r="L42" s="214"/>
      <c r="M42" s="214"/>
      <c r="N42" s="194"/>
      <c r="O42" s="189"/>
    </row>
    <row r="43" hidden="1" spans="1:15">
      <c r="A43" s="194"/>
      <c r="B43" s="194"/>
      <c r="C43" s="194"/>
      <c r="D43" s="194"/>
      <c r="E43" s="194"/>
      <c r="F43" s="194"/>
      <c r="G43" s="194"/>
      <c r="H43" s="194"/>
      <c r="I43" s="194"/>
      <c r="J43" s="194"/>
      <c r="K43" s="214"/>
      <c r="L43" s="214"/>
      <c r="M43" s="214"/>
      <c r="N43" s="194"/>
      <c r="O43" s="189"/>
    </row>
    <row r="44" hidden="1" spans="1:15">
      <c r="A44" s="203"/>
      <c r="B44" s="203"/>
      <c r="C44" s="194"/>
      <c r="D44" s="203"/>
      <c r="E44" s="194"/>
      <c r="F44" s="194"/>
      <c r="G44" s="194"/>
      <c r="H44" s="194"/>
      <c r="I44" s="194"/>
      <c r="J44" s="194"/>
      <c r="K44" s="214"/>
      <c r="L44" s="215"/>
      <c r="M44" s="215"/>
      <c r="N44" s="194"/>
      <c r="O44" s="189"/>
    </row>
    <row r="45" hidden="1" spans="1:15">
      <c r="A45" s="194"/>
      <c r="B45" s="194"/>
      <c r="C45" s="194"/>
      <c r="D45" s="194"/>
      <c r="E45" s="194"/>
      <c r="F45" s="194"/>
      <c r="G45" s="194"/>
      <c r="H45" s="194"/>
      <c r="I45" s="194"/>
      <c r="J45" s="194"/>
      <c r="K45" s="214"/>
      <c r="L45" s="214"/>
      <c r="M45" s="214"/>
      <c r="N45" s="194"/>
      <c r="O45" s="189"/>
    </row>
    <row r="46" hidden="1" spans="1:15">
      <c r="A46" s="194"/>
      <c r="B46" s="194"/>
      <c r="C46" s="194"/>
      <c r="D46" s="194"/>
      <c r="E46" s="194"/>
      <c r="F46" s="194"/>
      <c r="G46" s="194"/>
      <c r="H46" s="194"/>
      <c r="I46" s="194"/>
      <c r="J46" s="194"/>
      <c r="K46" s="214"/>
      <c r="L46" s="214"/>
      <c r="M46" s="214"/>
      <c r="N46" s="194"/>
      <c r="O46" s="189"/>
    </row>
    <row r="47" hidden="1" spans="1:15">
      <c r="A47" s="194"/>
      <c r="B47" s="194"/>
      <c r="C47" s="194"/>
      <c r="D47" s="194"/>
      <c r="E47" s="194"/>
      <c r="F47" s="194"/>
      <c r="G47" s="194"/>
      <c r="H47" s="194"/>
      <c r="I47" s="194"/>
      <c r="J47" s="194"/>
      <c r="K47" s="214"/>
      <c r="L47" s="214"/>
      <c r="M47" s="214"/>
      <c r="N47" s="194"/>
      <c r="O47" s="189"/>
    </row>
    <row r="48" hidden="1" spans="1:15">
      <c r="A48" s="194"/>
      <c r="B48" s="194"/>
      <c r="C48" s="194"/>
      <c r="D48" s="194"/>
      <c r="E48" s="194"/>
      <c r="F48" s="194"/>
      <c r="G48" s="194"/>
      <c r="H48" s="194"/>
      <c r="I48" s="194"/>
      <c r="J48" s="194"/>
      <c r="K48" s="214"/>
      <c r="L48" s="214"/>
      <c r="M48" s="214"/>
      <c r="N48" s="194"/>
      <c r="O48" s="189"/>
    </row>
    <row r="49" hidden="1" spans="1:15">
      <c r="A49" s="194"/>
      <c r="B49" s="194"/>
      <c r="C49" s="194"/>
      <c r="D49" s="194"/>
      <c r="E49" s="194"/>
      <c r="F49" s="194"/>
      <c r="G49" s="194"/>
      <c r="H49" s="194"/>
      <c r="I49" s="194"/>
      <c r="J49" s="194"/>
      <c r="K49" s="214"/>
      <c r="L49" s="214"/>
      <c r="M49" s="214"/>
      <c r="N49" s="194"/>
      <c r="O49" s="189"/>
    </row>
    <row r="50" hidden="1" spans="1:15">
      <c r="A50" s="194"/>
      <c r="B50" s="194"/>
      <c r="C50" s="194"/>
      <c r="D50" s="194"/>
      <c r="E50" s="194"/>
      <c r="F50" s="194"/>
      <c r="G50" s="194"/>
      <c r="H50" s="194"/>
      <c r="I50" s="194"/>
      <c r="J50" s="194"/>
      <c r="K50" s="214"/>
      <c r="L50" s="214"/>
      <c r="M50" s="214"/>
      <c r="N50" s="194"/>
      <c r="O50" s="189"/>
    </row>
    <row r="51" hidden="1" spans="1:15">
      <c r="A51" s="194"/>
      <c r="B51" s="194"/>
      <c r="C51" s="194"/>
      <c r="D51" s="194"/>
      <c r="E51" s="194"/>
      <c r="F51" s="194"/>
      <c r="G51" s="194"/>
      <c r="H51" s="194"/>
      <c r="I51" s="194"/>
      <c r="J51" s="194"/>
      <c r="K51" s="214"/>
      <c r="L51" s="214"/>
      <c r="M51" s="214"/>
      <c r="N51" s="194"/>
      <c r="O51" s="189"/>
    </row>
    <row r="52" hidden="1" spans="1:15">
      <c r="A52" s="194"/>
      <c r="B52" s="194"/>
      <c r="C52" s="194"/>
      <c r="D52" s="194"/>
      <c r="E52" s="194"/>
      <c r="F52" s="194"/>
      <c r="G52" s="194"/>
      <c r="H52" s="194"/>
      <c r="I52" s="194"/>
      <c r="J52" s="194"/>
      <c r="K52" s="214"/>
      <c r="L52" s="214"/>
      <c r="M52" s="214"/>
      <c r="N52" s="194"/>
      <c r="O52" s="189"/>
    </row>
    <row r="53" hidden="1" spans="1:15">
      <c r="A53" s="194"/>
      <c r="B53" s="194"/>
      <c r="C53" s="194"/>
      <c r="D53" s="194"/>
      <c r="E53" s="194"/>
      <c r="F53" s="194"/>
      <c r="G53" s="194"/>
      <c r="H53" s="194"/>
      <c r="I53" s="194"/>
      <c r="J53" s="194"/>
      <c r="K53" s="214"/>
      <c r="L53" s="214"/>
      <c r="M53" s="214"/>
      <c r="N53" s="194"/>
      <c r="O53" s="189"/>
    </row>
    <row r="54" hidden="1" spans="1:15">
      <c r="A54" s="194"/>
      <c r="B54" s="194"/>
      <c r="C54" s="194"/>
      <c r="D54" s="194"/>
      <c r="E54" s="194"/>
      <c r="F54" s="194"/>
      <c r="G54" s="194"/>
      <c r="H54" s="194"/>
      <c r="I54" s="194"/>
      <c r="J54" s="194"/>
      <c r="K54" s="214"/>
      <c r="L54" s="214"/>
      <c r="M54" s="214"/>
      <c r="N54" s="194"/>
      <c r="O54" s="189"/>
    </row>
    <row r="55" hidden="1" spans="1:15">
      <c r="A55" s="194"/>
      <c r="B55" s="194"/>
      <c r="C55" s="194"/>
      <c r="D55" s="194"/>
      <c r="E55" s="194"/>
      <c r="F55" s="194"/>
      <c r="G55" s="194"/>
      <c r="H55" s="194"/>
      <c r="I55" s="194"/>
      <c r="J55" s="194"/>
      <c r="K55" s="214"/>
      <c r="L55" s="214"/>
      <c r="M55" s="214"/>
      <c r="N55" s="194"/>
      <c r="O55" s="189"/>
    </row>
    <row r="56" hidden="1" spans="1:15">
      <c r="A56" s="194"/>
      <c r="B56" s="194"/>
      <c r="C56" s="194"/>
      <c r="D56" s="194"/>
      <c r="E56" s="194"/>
      <c r="F56" s="194"/>
      <c r="G56" s="194"/>
      <c r="H56" s="194"/>
      <c r="I56" s="194"/>
      <c r="J56" s="194"/>
      <c r="K56" s="214"/>
      <c r="L56" s="214"/>
      <c r="M56" s="214"/>
      <c r="N56" s="194"/>
      <c r="O56" s="189"/>
    </row>
    <row r="57" hidden="1" spans="1:15">
      <c r="A57" s="194"/>
      <c r="B57" s="194"/>
      <c r="C57" s="194"/>
      <c r="D57" s="194"/>
      <c r="E57" s="194"/>
      <c r="F57" s="194"/>
      <c r="G57" s="194"/>
      <c r="H57" s="194"/>
      <c r="I57" s="194"/>
      <c r="J57" s="194"/>
      <c r="K57" s="214"/>
      <c r="L57" s="214"/>
      <c r="M57" s="214"/>
      <c r="N57" s="194"/>
      <c r="O57" s="189"/>
    </row>
    <row r="58" hidden="1" spans="1:15">
      <c r="A58" s="194"/>
      <c r="B58" s="194"/>
      <c r="C58" s="194"/>
      <c r="D58" s="194"/>
      <c r="E58" s="194"/>
      <c r="F58" s="194"/>
      <c r="G58" s="194"/>
      <c r="H58" s="194"/>
      <c r="I58" s="194"/>
      <c r="J58" s="194"/>
      <c r="K58" s="214"/>
      <c r="L58" s="214"/>
      <c r="M58" s="214"/>
      <c r="N58" s="194"/>
      <c r="O58" s="189"/>
    </row>
    <row r="59" hidden="1" spans="1:15">
      <c r="A59" s="194"/>
      <c r="B59" s="194"/>
      <c r="C59" s="194"/>
      <c r="D59" s="194"/>
      <c r="E59" s="194"/>
      <c r="F59" s="194"/>
      <c r="G59" s="194"/>
      <c r="H59" s="194"/>
      <c r="I59" s="194"/>
      <c r="J59" s="194"/>
      <c r="K59" s="214"/>
      <c r="L59" s="214"/>
      <c r="M59" s="214"/>
      <c r="N59" s="194"/>
      <c r="O59" s="189"/>
    </row>
    <row r="60" hidden="1" spans="1:15">
      <c r="A60" s="194"/>
      <c r="B60" s="194"/>
      <c r="C60" s="194"/>
      <c r="D60" s="194"/>
      <c r="E60" s="194"/>
      <c r="F60" s="194"/>
      <c r="G60" s="194"/>
      <c r="H60" s="194"/>
      <c r="I60" s="194"/>
      <c r="J60" s="194"/>
      <c r="K60" s="214"/>
      <c r="L60" s="214"/>
      <c r="M60" s="214"/>
      <c r="N60" s="194"/>
      <c r="O60" s="189"/>
    </row>
    <row r="61" hidden="1" spans="1:15">
      <c r="A61" s="194"/>
      <c r="B61" s="194"/>
      <c r="C61" s="194"/>
      <c r="D61" s="194"/>
      <c r="E61" s="194"/>
      <c r="F61" s="194"/>
      <c r="G61" s="194"/>
      <c r="H61" s="194"/>
      <c r="I61" s="194"/>
      <c r="J61" s="194"/>
      <c r="K61" s="214"/>
      <c r="L61" s="214"/>
      <c r="M61" s="214"/>
      <c r="N61" s="194"/>
      <c r="O61" s="189"/>
    </row>
    <row r="62" hidden="1" spans="1:15">
      <c r="A62" s="194"/>
      <c r="B62" s="194"/>
      <c r="C62" s="194"/>
      <c r="D62" s="194"/>
      <c r="E62" s="194"/>
      <c r="F62" s="194"/>
      <c r="G62" s="194"/>
      <c r="H62" s="194"/>
      <c r="I62" s="194"/>
      <c r="J62" s="194"/>
      <c r="K62" s="214"/>
      <c r="L62" s="214"/>
      <c r="M62" s="214"/>
      <c r="N62" s="194"/>
      <c r="O62" s="189"/>
    </row>
    <row r="63" hidden="1" spans="1:15">
      <c r="A63" s="194"/>
      <c r="B63" s="194"/>
      <c r="C63" s="194"/>
      <c r="D63" s="194"/>
      <c r="E63" s="194"/>
      <c r="F63" s="194"/>
      <c r="G63" s="194"/>
      <c r="H63" s="194"/>
      <c r="I63" s="194"/>
      <c r="J63" s="194"/>
      <c r="K63" s="214"/>
      <c r="L63" s="214"/>
      <c r="M63" s="214"/>
      <c r="N63" s="194"/>
      <c r="O63" s="189"/>
    </row>
    <row r="64" hidden="1" spans="1:15">
      <c r="A64" s="194"/>
      <c r="B64" s="194"/>
      <c r="C64" s="194"/>
      <c r="D64" s="194"/>
      <c r="E64" s="194"/>
      <c r="F64" s="194"/>
      <c r="G64" s="194"/>
      <c r="H64" s="194"/>
      <c r="I64" s="194"/>
      <c r="J64" s="194"/>
      <c r="K64" s="214"/>
      <c r="L64" s="214"/>
      <c r="M64" s="214"/>
      <c r="N64" s="194"/>
      <c r="O64" s="189"/>
    </row>
    <row r="65" hidden="1" spans="1:15">
      <c r="A65" s="194"/>
      <c r="B65" s="194"/>
      <c r="C65" s="194"/>
      <c r="D65" s="194"/>
      <c r="E65" s="194"/>
      <c r="F65" s="194"/>
      <c r="G65" s="194"/>
      <c r="H65" s="194"/>
      <c r="I65" s="194"/>
      <c r="J65" s="194"/>
      <c r="K65" s="214"/>
      <c r="L65" s="214"/>
      <c r="M65" s="214"/>
      <c r="N65" s="194"/>
      <c r="O65" s="189"/>
    </row>
    <row r="66" hidden="1" spans="1:15">
      <c r="A66" s="194"/>
      <c r="B66" s="194"/>
      <c r="C66" s="194"/>
      <c r="D66" s="194"/>
      <c r="E66" s="194"/>
      <c r="F66" s="194"/>
      <c r="G66" s="194"/>
      <c r="H66" s="194"/>
      <c r="I66" s="194"/>
      <c r="J66" s="194"/>
      <c r="K66" s="214"/>
      <c r="L66" s="214"/>
      <c r="M66" s="214"/>
      <c r="N66" s="194"/>
      <c r="O66" s="189"/>
    </row>
    <row r="67" hidden="1" spans="1:15">
      <c r="A67" s="194"/>
      <c r="B67" s="194"/>
      <c r="C67" s="194"/>
      <c r="D67" s="194"/>
      <c r="E67" s="194"/>
      <c r="F67" s="194"/>
      <c r="G67" s="194"/>
      <c r="H67" s="194"/>
      <c r="I67" s="194"/>
      <c r="J67" s="194"/>
      <c r="K67" s="214"/>
      <c r="L67" s="214"/>
      <c r="M67" s="214"/>
      <c r="N67" s="194"/>
      <c r="O67" s="189"/>
    </row>
    <row r="68" hidden="1" spans="1:15">
      <c r="A68" s="194"/>
      <c r="B68" s="194"/>
      <c r="C68" s="194"/>
      <c r="D68" s="194"/>
      <c r="E68" s="194"/>
      <c r="F68" s="194"/>
      <c r="G68" s="194"/>
      <c r="H68" s="194"/>
      <c r="I68" s="194"/>
      <c r="J68" s="194"/>
      <c r="K68" s="214"/>
      <c r="L68" s="214"/>
      <c r="M68" s="214"/>
      <c r="N68" s="194"/>
      <c r="O68" s="189"/>
    </row>
    <row r="69" hidden="1" spans="1:15">
      <c r="A69" s="216"/>
      <c r="B69" s="216"/>
      <c r="C69" s="194"/>
      <c r="D69" s="216"/>
      <c r="E69" s="217"/>
      <c r="F69" s="217"/>
      <c r="G69" s="216"/>
      <c r="H69" s="216"/>
      <c r="I69" s="216"/>
      <c r="J69" s="216"/>
      <c r="K69" s="221"/>
      <c r="L69" s="221"/>
      <c r="M69" s="221"/>
      <c r="N69" s="216"/>
      <c r="O69" s="189"/>
    </row>
    <row r="70" hidden="1" spans="1:15">
      <c r="A70" s="216"/>
      <c r="B70" s="216"/>
      <c r="C70" s="194"/>
      <c r="D70" s="216"/>
      <c r="E70" s="217"/>
      <c r="F70" s="217"/>
      <c r="G70" s="216"/>
      <c r="H70" s="216"/>
      <c r="I70" s="216"/>
      <c r="J70" s="216"/>
      <c r="K70" s="221"/>
      <c r="L70" s="221"/>
      <c r="M70" s="221"/>
      <c r="N70" s="216"/>
      <c r="O70" s="189"/>
    </row>
    <row r="71" hidden="1" spans="1:15">
      <c r="A71" s="216"/>
      <c r="B71" s="216"/>
      <c r="C71" s="194"/>
      <c r="D71" s="216"/>
      <c r="E71" s="217"/>
      <c r="F71" s="217"/>
      <c r="G71" s="216"/>
      <c r="H71" s="216"/>
      <c r="I71" s="216"/>
      <c r="J71" s="216"/>
      <c r="K71" s="221"/>
      <c r="L71" s="221"/>
      <c r="M71" s="221"/>
      <c r="N71" s="216"/>
      <c r="O71" s="189"/>
    </row>
    <row r="72" hidden="1" spans="1:15">
      <c r="A72" s="216"/>
      <c r="B72" s="216"/>
      <c r="C72" s="194"/>
      <c r="D72" s="216"/>
      <c r="E72" s="217"/>
      <c r="F72" s="217"/>
      <c r="G72" s="216"/>
      <c r="H72" s="216"/>
      <c r="I72" s="216"/>
      <c r="J72" s="216"/>
      <c r="K72" s="221"/>
      <c r="L72" s="221"/>
      <c r="M72" s="221"/>
      <c r="N72" s="216"/>
      <c r="O72" s="189"/>
    </row>
    <row r="73" hidden="1" spans="1:15">
      <c r="A73" s="194"/>
      <c r="B73" s="194"/>
      <c r="C73" s="194"/>
      <c r="D73" s="194"/>
      <c r="E73" s="194"/>
      <c r="F73" s="194"/>
      <c r="G73" s="194"/>
      <c r="H73" s="194"/>
      <c r="I73" s="194"/>
      <c r="J73" s="194"/>
      <c r="K73" s="214"/>
      <c r="L73" s="214"/>
      <c r="M73" s="214"/>
      <c r="N73" s="194"/>
      <c r="O73" s="189"/>
    </row>
    <row r="74" hidden="1" spans="1:15">
      <c r="A74" s="194"/>
      <c r="B74" s="194"/>
      <c r="C74" s="194"/>
      <c r="D74" s="194"/>
      <c r="E74" s="194"/>
      <c r="F74" s="194"/>
      <c r="G74" s="194"/>
      <c r="H74" s="194"/>
      <c r="I74" s="194"/>
      <c r="J74" s="194"/>
      <c r="K74" s="214"/>
      <c r="L74" s="214"/>
      <c r="M74" s="214"/>
      <c r="N74" s="194"/>
      <c r="O74" s="189"/>
    </row>
    <row r="75" hidden="1" spans="1:15">
      <c r="A75" s="216"/>
      <c r="B75" s="216"/>
      <c r="C75" s="194"/>
      <c r="D75" s="216"/>
      <c r="E75" s="217"/>
      <c r="F75" s="217"/>
      <c r="G75" s="216"/>
      <c r="H75" s="216"/>
      <c r="I75" s="216"/>
      <c r="J75" s="216"/>
      <c r="K75" s="221"/>
      <c r="L75" s="221"/>
      <c r="M75" s="221"/>
      <c r="N75" s="216"/>
      <c r="O75" s="189"/>
    </row>
    <row r="76" hidden="1" spans="1:15">
      <c r="A76" s="216"/>
      <c r="B76" s="216"/>
      <c r="C76" s="194"/>
      <c r="D76" s="216"/>
      <c r="E76" s="217"/>
      <c r="F76" s="217"/>
      <c r="G76" s="216"/>
      <c r="H76" s="216"/>
      <c r="I76" s="216"/>
      <c r="J76" s="216"/>
      <c r="K76" s="221"/>
      <c r="L76" s="221"/>
      <c r="M76" s="221"/>
      <c r="N76" s="216"/>
      <c r="O76" s="189"/>
    </row>
    <row r="77" hidden="1" spans="1:15">
      <c r="A77" s="216"/>
      <c r="B77" s="216"/>
      <c r="C77" s="216"/>
      <c r="D77" s="216"/>
      <c r="E77" s="217"/>
      <c r="F77" s="217"/>
      <c r="G77" s="216"/>
      <c r="H77" s="216"/>
      <c r="I77" s="216"/>
      <c r="J77" s="216"/>
      <c r="K77" s="221"/>
      <c r="L77" s="221"/>
      <c r="M77" s="221"/>
      <c r="N77" s="216"/>
      <c r="O77" s="189"/>
    </row>
    <row r="78" hidden="1" spans="1:15">
      <c r="A78" s="216"/>
      <c r="B78" s="216"/>
      <c r="C78" s="216"/>
      <c r="D78" s="216"/>
      <c r="E78" s="217"/>
      <c r="F78" s="217"/>
      <c r="G78" s="216"/>
      <c r="H78" s="216"/>
      <c r="I78" s="216"/>
      <c r="J78" s="216"/>
      <c r="K78" s="221"/>
      <c r="L78" s="221"/>
      <c r="M78" s="221"/>
      <c r="N78" s="216"/>
      <c r="O78" s="189"/>
    </row>
    <row r="79" hidden="1" spans="1:15">
      <c r="A79" s="216"/>
      <c r="B79" s="216"/>
      <c r="C79" s="216"/>
      <c r="D79" s="216"/>
      <c r="E79" s="217"/>
      <c r="F79" s="217"/>
      <c r="G79" s="216"/>
      <c r="H79" s="216"/>
      <c r="I79" s="216"/>
      <c r="J79" s="216"/>
      <c r="K79" s="221"/>
      <c r="L79" s="221"/>
      <c r="M79" s="221"/>
      <c r="N79" s="216"/>
      <c r="O79" s="189"/>
    </row>
    <row r="80" spans="1:15">
      <c r="A80" s="218"/>
      <c r="B80" s="218" t="s">
        <v>2021</v>
      </c>
      <c r="C80" s="218"/>
      <c r="D80" s="218"/>
      <c r="E80" s="219"/>
      <c r="F80" s="219"/>
      <c r="G80" s="219"/>
      <c r="H80" s="220">
        <f>SUM(H34:H79)</f>
        <v>0</v>
      </c>
      <c r="I80" s="220">
        <f t="shared" ref="I80:J80" si="4">SUM(I34:I79)</f>
        <v>0</v>
      </c>
      <c r="J80" s="220">
        <f t="shared" si="4"/>
        <v>0</v>
      </c>
      <c r="K80" s="222"/>
      <c r="L80" s="223"/>
      <c r="M80" s="223"/>
      <c r="N80" s="220">
        <f>SUM(N34:N79)</f>
        <v>0</v>
      </c>
      <c r="O80" s="189"/>
    </row>
    <row r="81" spans="11:15">
      <c r="K81" s="205"/>
      <c r="L81" s="205"/>
      <c r="N81" s="189"/>
      <c r="O81" s="189"/>
    </row>
  </sheetData>
  <sheetProtection formatCells="0" formatColumns="0" formatRows="0" insertRows="0" insertColumns="0" insertHyperlinks="0" deleteColumns="0" deleteRows="0" autoFilter="0"/>
  <conditionalFormatting sqref="L12">
    <cfRule type="containsText" dxfId="6" priority="2" operator="between" text="文字描述">
      <formula>NOT(ISERROR(SEARCH("文字描述",L12)))</formula>
    </cfRule>
  </conditionalFormatting>
  <conditionalFormatting sqref="A28:P28">
    <cfRule type="containsText" dxfId="6" priority="3" operator="between" text="文字描述">
      <formula>NOT(ISERROR(SEARCH("文字描述",A28)))</formula>
    </cfRule>
  </conditionalFormatting>
  <conditionalFormatting sqref="L34:M80 I33:M33 A33:D80 G12:K12 A9 A12:D12 A30:B30 C13:C27">
    <cfRule type="containsText" dxfId="6" priority="5" operator="between" text="文字描述">
      <formula>NOT(ISERROR(SEARCH("文字描述",A9)))</formula>
    </cfRule>
  </conditionalFormatting>
  <conditionalFormatting sqref="O13:P27">
    <cfRule type="containsText" dxfId="6" priority="1" operator="between" text="文字描述">
      <formula>NOT(ISERROR(SEARCH("文字描述",O13)))</formula>
    </cfRule>
  </conditionalFormatting>
  <dataValidations count="1">
    <dataValidation type="list" allowBlank="1" showInputMessage="1" showErrorMessage="1" sqref="C13:C27 C34:C76">
      <formula1>$C$3:$C$8</formula1>
    </dataValidation>
  </dataValidations>
  <pageMargins left="0.7" right="0.7" top="0.75" bottom="0.75" header="0.3" footer="0.3"/>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M80"/>
  <sheetViews>
    <sheetView workbookViewId="0">
      <pane xSplit="1" ySplit="1" topLeftCell="B2" activePane="bottomRight" state="frozen"/>
      <selection/>
      <selection pane="topRight"/>
      <selection pane="bottomLeft"/>
      <selection pane="bottomRight" activeCell="B24" sqref="B24"/>
    </sheetView>
  </sheetViews>
  <sheetFormatPr defaultColWidth="9" defaultRowHeight="14.25"/>
  <cols>
    <col min="1" max="1" width="38.125" customWidth="1"/>
    <col min="2" max="2" width="19" customWidth="1"/>
  </cols>
  <sheetData>
    <row r="1" spans="1:13">
      <c r="A1" s="168" t="s">
        <v>6003</v>
      </c>
      <c r="B1" s="169" t="s">
        <v>366</v>
      </c>
      <c r="C1" s="170"/>
      <c r="D1" s="170"/>
      <c r="E1" s="170"/>
      <c r="F1" s="170"/>
      <c r="G1" s="170"/>
      <c r="H1" s="170"/>
      <c r="I1" s="170"/>
      <c r="J1" s="170"/>
      <c r="K1" s="170"/>
      <c r="L1" s="170"/>
      <c r="M1" s="170"/>
    </row>
    <row r="2" spans="1:13">
      <c r="A2" s="171" t="str">
        <f>报表附注!E2915</f>
        <v>1．处置非流动资产利得小计</v>
      </c>
      <c r="B2" s="172">
        <f>报表附注!F2915</f>
        <v>0</v>
      </c>
      <c r="C2" s="173"/>
      <c r="D2" s="173"/>
      <c r="E2" s="173"/>
      <c r="F2" s="173"/>
      <c r="G2" s="173"/>
      <c r="H2" s="173"/>
      <c r="I2" s="173"/>
      <c r="J2" s="173"/>
      <c r="K2" s="173"/>
      <c r="L2" s="173"/>
      <c r="M2" s="173"/>
    </row>
    <row r="3" spans="1:13">
      <c r="A3" s="171" t="str">
        <f>报表附注!E2916</f>
        <v>其中：处置固定资产利得</v>
      </c>
      <c r="B3" s="172">
        <f>报表附注!F2916</f>
        <v>0</v>
      </c>
      <c r="C3" s="173"/>
      <c r="D3" s="173"/>
      <c r="E3" s="173"/>
      <c r="F3" s="173"/>
      <c r="G3" s="173"/>
      <c r="H3" s="173"/>
      <c r="I3" s="173"/>
      <c r="J3" s="173"/>
      <c r="K3" s="173"/>
      <c r="L3" s="173"/>
      <c r="M3" s="173"/>
    </row>
    <row r="4" spans="1:13">
      <c r="A4" s="171" t="str">
        <f>报表附注!E2917</f>
        <v>      处置无形资产利得</v>
      </c>
      <c r="B4" s="172">
        <f>报表附注!F2917</f>
        <v>0</v>
      </c>
      <c r="C4" s="173"/>
      <c r="D4" s="173"/>
      <c r="E4" s="173"/>
      <c r="F4" s="173"/>
      <c r="G4" s="173"/>
      <c r="H4" s="173"/>
      <c r="I4" s="173"/>
      <c r="J4" s="173"/>
      <c r="K4" s="173"/>
      <c r="L4" s="173"/>
      <c r="M4" s="173"/>
    </row>
    <row r="5" spans="1:13">
      <c r="A5" s="171" t="str">
        <f>报表附注!E2918</f>
        <v>2．非货币性资产交换利得</v>
      </c>
      <c r="B5" s="172">
        <f>报表附注!F2918</f>
        <v>0</v>
      </c>
      <c r="C5" s="173"/>
      <c r="D5" s="173"/>
      <c r="E5" s="173"/>
      <c r="F5" s="173"/>
      <c r="G5" s="173"/>
      <c r="H5" s="173"/>
      <c r="I5" s="173"/>
      <c r="J5" s="173"/>
      <c r="K5" s="173"/>
      <c r="L5" s="173"/>
      <c r="M5" s="173"/>
    </row>
    <row r="6" spans="1:13">
      <c r="A6" s="171" t="str">
        <f>报表附注!E2919</f>
        <v>3．债务重组利得</v>
      </c>
      <c r="B6" s="172">
        <f>报表附注!F2919</f>
        <v>0</v>
      </c>
      <c r="C6" s="173"/>
      <c r="D6" s="173"/>
      <c r="E6" s="173"/>
      <c r="F6" s="173"/>
      <c r="G6" s="173"/>
      <c r="H6" s="173"/>
      <c r="I6" s="173"/>
      <c r="J6" s="173"/>
      <c r="K6" s="173"/>
      <c r="L6" s="173"/>
      <c r="M6" s="173"/>
    </row>
    <row r="7" spans="1:13">
      <c r="A7" s="171" t="str">
        <f>报表附注!E2920</f>
        <v>4．政府补助</v>
      </c>
      <c r="B7" s="172">
        <f>报表附注!F2920</f>
        <v>853546.58</v>
      </c>
      <c r="C7" s="173"/>
      <c r="D7" s="173"/>
      <c r="E7" s="173"/>
      <c r="F7" s="173"/>
      <c r="G7" s="173"/>
      <c r="H7" s="173"/>
      <c r="I7" s="173"/>
      <c r="J7" s="173"/>
      <c r="K7" s="173"/>
      <c r="L7" s="173"/>
      <c r="M7" s="173"/>
    </row>
    <row r="8" spans="1:13">
      <c r="A8" s="171" t="str">
        <f>报表附注!E2921</f>
        <v>5．盘盈利得</v>
      </c>
      <c r="B8" s="172">
        <f>报表附注!F2921</f>
        <v>0</v>
      </c>
      <c r="C8" s="173"/>
      <c r="D8" s="173"/>
      <c r="E8" s="173"/>
      <c r="F8" s="173"/>
      <c r="G8" s="173"/>
      <c r="H8" s="173"/>
      <c r="I8" s="173"/>
      <c r="J8" s="173"/>
      <c r="K8" s="173"/>
      <c r="L8" s="173"/>
      <c r="M8" s="173"/>
    </row>
    <row r="9" spans="1:13">
      <c r="A9" s="171" t="str">
        <f>报表附注!E2922</f>
        <v>6．捐赠利得</v>
      </c>
      <c r="B9" s="172">
        <f>报表附注!F2922</f>
        <v>0</v>
      </c>
      <c r="C9" s="173"/>
      <c r="D9" s="173"/>
      <c r="E9" s="173"/>
      <c r="F9" s="173"/>
      <c r="G9" s="173"/>
      <c r="H9" s="173"/>
      <c r="I9" s="173"/>
      <c r="J9" s="173"/>
      <c r="K9" s="173"/>
      <c r="L9" s="173"/>
      <c r="M9" s="173"/>
    </row>
    <row r="10" spans="1:13">
      <c r="A10" s="171" t="str">
        <f>报表附注!E2923</f>
        <v>7．罚款收入</v>
      </c>
      <c r="B10" s="172">
        <f>报表附注!F2923</f>
        <v>0</v>
      </c>
      <c r="C10" s="173"/>
      <c r="D10" s="173"/>
      <c r="E10" s="173"/>
      <c r="F10" s="173"/>
      <c r="G10" s="173"/>
      <c r="H10" s="173"/>
      <c r="I10" s="173"/>
      <c r="J10" s="173"/>
      <c r="K10" s="173"/>
      <c r="L10" s="173"/>
      <c r="M10" s="173"/>
    </row>
    <row r="11" spans="1:13">
      <c r="A11" s="171" t="str">
        <f>报表附注!E2924</f>
        <v>8．其他</v>
      </c>
      <c r="B11" s="172">
        <f>报表附注!F2924</f>
        <v>0</v>
      </c>
      <c r="C11" s="173"/>
      <c r="D11" s="173"/>
      <c r="E11" s="173"/>
      <c r="F11" s="173"/>
      <c r="G11" s="173"/>
      <c r="H11" s="173"/>
      <c r="I11" s="173"/>
      <c r="J11" s="173"/>
      <c r="K11" s="173"/>
      <c r="L11" s="173"/>
      <c r="M11" s="173"/>
    </row>
    <row r="12" spans="1:13">
      <c r="A12" s="174" t="s">
        <v>1335</v>
      </c>
      <c r="B12" s="175">
        <f>报表附注!F2925</f>
        <v>853546.58</v>
      </c>
      <c r="C12" s="170"/>
      <c r="D12" s="170"/>
      <c r="E12" s="170"/>
      <c r="F12" s="170"/>
      <c r="G12" s="170"/>
      <c r="H12" s="170"/>
      <c r="I12" s="170"/>
      <c r="J12" s="170"/>
      <c r="K12" s="170"/>
      <c r="L12" s="170"/>
      <c r="M12" s="170"/>
    </row>
    <row r="13" spans="1:13">
      <c r="A13" s="171" t="str">
        <f>报表附注!E2981</f>
        <v>１．处置非流动资损失合计</v>
      </c>
      <c r="B13" s="172">
        <f>报表附注!F2981</f>
        <v>68120.1</v>
      </c>
      <c r="C13" s="173"/>
      <c r="D13" s="173"/>
      <c r="E13" s="173"/>
      <c r="F13" s="173"/>
      <c r="G13" s="173"/>
      <c r="H13" s="173"/>
      <c r="I13" s="173"/>
      <c r="J13" s="173"/>
      <c r="K13" s="173"/>
      <c r="L13" s="173"/>
      <c r="M13" s="173"/>
    </row>
    <row r="14" spans="1:13">
      <c r="A14" s="171" t="str">
        <f>报表附注!E2982</f>
        <v>  其中：处置固定资产损失</v>
      </c>
      <c r="B14" s="172">
        <f>报表附注!F2982</f>
        <v>68120.1</v>
      </c>
      <c r="C14" s="173"/>
      <c r="D14" s="173"/>
      <c r="E14" s="173"/>
      <c r="F14" s="173"/>
      <c r="G14" s="173"/>
      <c r="H14" s="173"/>
      <c r="I14" s="173"/>
      <c r="J14" s="173"/>
      <c r="K14" s="173"/>
      <c r="L14" s="173"/>
      <c r="M14" s="173"/>
    </row>
    <row r="15" spans="1:13">
      <c r="A15" s="171" t="str">
        <f>报表附注!E2983</f>
        <v>          处置无形资产损失</v>
      </c>
      <c r="B15" s="172">
        <f>报表附注!F2983</f>
        <v>0</v>
      </c>
      <c r="C15" s="173"/>
      <c r="D15" s="173"/>
      <c r="E15" s="173"/>
      <c r="F15" s="173"/>
      <c r="G15" s="173"/>
      <c r="H15" s="173"/>
      <c r="I15" s="173"/>
      <c r="J15" s="173"/>
      <c r="K15" s="173"/>
      <c r="L15" s="173"/>
      <c r="M15" s="173"/>
    </row>
    <row r="16" spans="1:13">
      <c r="A16" s="171" t="str">
        <f>报表附注!E2984</f>
        <v>２．非贷币性资产交换损失</v>
      </c>
      <c r="B16" s="172">
        <f>报表附注!F2984</f>
        <v>0</v>
      </c>
      <c r="C16" s="173"/>
      <c r="D16" s="173"/>
      <c r="E16" s="173"/>
      <c r="F16" s="173"/>
      <c r="G16" s="173"/>
      <c r="H16" s="173"/>
      <c r="I16" s="173"/>
      <c r="J16" s="173"/>
      <c r="K16" s="173"/>
      <c r="L16" s="173"/>
      <c r="M16" s="173"/>
    </row>
    <row r="17" spans="1:13">
      <c r="A17" s="171" t="str">
        <f>报表附注!E2985</f>
        <v>３．债务重组损失</v>
      </c>
      <c r="B17" s="172">
        <f>报表附注!F2985</f>
        <v>0</v>
      </c>
      <c r="C17" s="173"/>
      <c r="D17" s="173"/>
      <c r="E17" s="173"/>
      <c r="F17" s="173"/>
      <c r="G17" s="173"/>
      <c r="H17" s="173"/>
      <c r="I17" s="173"/>
      <c r="J17" s="173"/>
      <c r="K17" s="173"/>
      <c r="L17" s="173"/>
      <c r="M17" s="173"/>
    </row>
    <row r="18" spans="1:13">
      <c r="A18" s="171" t="str">
        <f>报表附注!E2986</f>
        <v>４．公益性捐赠支出</v>
      </c>
      <c r="B18" s="172">
        <f>报表附注!F2986</f>
        <v>20000</v>
      </c>
      <c r="C18" s="173"/>
      <c r="D18" s="173"/>
      <c r="E18" s="173"/>
      <c r="F18" s="173"/>
      <c r="G18" s="173"/>
      <c r="H18" s="173"/>
      <c r="I18" s="173"/>
      <c r="J18" s="173"/>
      <c r="K18" s="173"/>
      <c r="L18" s="173"/>
      <c r="M18" s="173"/>
    </row>
    <row r="19" spans="1:13">
      <c r="A19" s="171" t="str">
        <f>报表附注!E2987</f>
        <v>５．非常损失</v>
      </c>
      <c r="B19" s="172">
        <f>报表附注!F2987</f>
        <v>0</v>
      </c>
      <c r="C19" s="173"/>
      <c r="D19" s="173"/>
      <c r="E19" s="173"/>
      <c r="F19" s="173"/>
      <c r="G19" s="173"/>
      <c r="H19" s="173"/>
      <c r="I19" s="173"/>
      <c r="J19" s="173"/>
      <c r="K19" s="173"/>
      <c r="L19" s="173"/>
      <c r="M19" s="173"/>
    </row>
    <row r="20" spans="1:13">
      <c r="A20" s="171" t="str">
        <f>报表附注!E2988</f>
        <v>６．盘亏损失</v>
      </c>
      <c r="B20" s="172">
        <f>报表附注!F2988</f>
        <v>0</v>
      </c>
      <c r="C20" s="173"/>
      <c r="D20" s="173"/>
      <c r="E20" s="173"/>
      <c r="F20" s="173"/>
      <c r="G20" s="173"/>
      <c r="H20" s="173"/>
      <c r="I20" s="173"/>
      <c r="J20" s="173"/>
      <c r="K20" s="173"/>
      <c r="L20" s="173"/>
      <c r="M20" s="173"/>
    </row>
    <row r="21" spans="1:13">
      <c r="A21" s="171" t="str">
        <f>报表附注!E2989</f>
        <v>７．罚款支出</v>
      </c>
      <c r="B21" s="172">
        <f>报表附注!F2989</f>
        <v>1833.65</v>
      </c>
      <c r="C21" s="173"/>
      <c r="D21" s="173"/>
      <c r="E21" s="173"/>
      <c r="F21" s="173"/>
      <c r="G21" s="173"/>
      <c r="H21" s="173"/>
      <c r="I21" s="173"/>
      <c r="J21" s="173"/>
      <c r="K21" s="173"/>
      <c r="L21" s="173"/>
      <c r="M21" s="173"/>
    </row>
    <row r="22" spans="1:13">
      <c r="A22" s="171" t="str">
        <f>报表附注!E2990</f>
        <v>８．其他</v>
      </c>
      <c r="B22" s="172">
        <f>报表附注!F2990</f>
        <v>2050008.73</v>
      </c>
      <c r="C22" s="173"/>
      <c r="D22" s="173"/>
      <c r="E22" s="173"/>
      <c r="F22" s="173"/>
      <c r="G22" s="173"/>
      <c r="H22" s="173"/>
      <c r="I22" s="173"/>
      <c r="J22" s="173"/>
      <c r="K22" s="173"/>
      <c r="L22" s="173"/>
      <c r="M22" s="173"/>
    </row>
    <row r="23" spans="1:13">
      <c r="A23" s="174" t="s">
        <v>1338</v>
      </c>
      <c r="B23" s="172">
        <f>报表附注!F2991</f>
        <v>2139962.48</v>
      </c>
      <c r="C23" s="170"/>
      <c r="D23" s="170"/>
      <c r="E23" s="170"/>
      <c r="F23" s="170"/>
      <c r="G23" s="170"/>
      <c r="H23" s="170"/>
      <c r="I23" s="170"/>
      <c r="J23" s="170"/>
      <c r="K23" s="170"/>
      <c r="L23" s="170"/>
      <c r="M23" s="170"/>
    </row>
    <row r="24" spans="1:13">
      <c r="A24" s="174" t="s">
        <v>6004</v>
      </c>
      <c r="B24" s="176"/>
      <c r="C24" s="170"/>
      <c r="D24" s="170"/>
      <c r="E24" s="170"/>
      <c r="F24" s="170"/>
      <c r="G24" s="170"/>
      <c r="H24" s="170"/>
      <c r="I24" s="170"/>
      <c r="J24" s="170"/>
      <c r="K24" s="170"/>
      <c r="L24" s="170"/>
      <c r="M24" s="170"/>
    </row>
    <row r="25" spans="1:13">
      <c r="A25" s="174" t="s">
        <v>6005</v>
      </c>
      <c r="B25" s="176"/>
      <c r="C25" s="170"/>
      <c r="D25" s="170"/>
      <c r="E25" s="170"/>
      <c r="F25" s="170"/>
      <c r="G25" s="170"/>
      <c r="H25" s="170"/>
      <c r="I25" s="170"/>
      <c r="J25" s="170"/>
      <c r="K25" s="170"/>
      <c r="L25" s="170"/>
      <c r="M25" s="170"/>
    </row>
    <row r="26" spans="1:13">
      <c r="A26" s="174" t="s">
        <v>6006</v>
      </c>
      <c r="B26" s="176"/>
      <c r="C26" s="170"/>
      <c r="D26" s="170"/>
      <c r="E26" s="170"/>
      <c r="F26" s="170"/>
      <c r="G26" s="170"/>
      <c r="H26" s="170"/>
      <c r="I26" s="170"/>
      <c r="J26" s="170"/>
      <c r="K26" s="170"/>
      <c r="L26" s="170"/>
      <c r="M26" s="170"/>
    </row>
    <row r="27" spans="1:13">
      <c r="A27" s="174" t="s">
        <v>6007</v>
      </c>
      <c r="B27" s="176"/>
      <c r="C27" s="170"/>
      <c r="D27" s="170"/>
      <c r="E27" s="170"/>
      <c r="F27" s="170"/>
      <c r="G27" s="170"/>
      <c r="H27" s="170"/>
      <c r="I27" s="170"/>
      <c r="J27" s="170"/>
      <c r="K27" s="170"/>
      <c r="L27" s="170"/>
      <c r="M27" s="170"/>
    </row>
    <row r="28" spans="1:13">
      <c r="A28" s="177" t="s">
        <v>6008</v>
      </c>
      <c r="B28" s="178">
        <f>B12-B23+B24+B25+B26+B27</f>
        <v>-1286415.9</v>
      </c>
      <c r="C28" s="173"/>
      <c r="D28" s="173"/>
      <c r="E28" s="173"/>
      <c r="F28" s="173"/>
      <c r="G28" s="173"/>
      <c r="H28" s="173"/>
      <c r="I28" s="173"/>
      <c r="J28" s="173"/>
      <c r="K28" s="173"/>
      <c r="L28" s="173"/>
      <c r="M28" s="173"/>
    </row>
    <row r="29" spans="1:13">
      <c r="A29" s="177" t="s">
        <v>6009</v>
      </c>
      <c r="B29" s="178"/>
      <c r="C29" s="173"/>
      <c r="D29" s="173"/>
      <c r="E29" s="173"/>
      <c r="F29" s="173"/>
      <c r="G29" s="173"/>
      <c r="H29" s="173"/>
      <c r="I29" s="173"/>
      <c r="J29" s="173"/>
      <c r="K29" s="173"/>
      <c r="L29" s="173"/>
      <c r="M29" s="173"/>
    </row>
    <row r="30" spans="1:13">
      <c r="A30" s="177" t="s">
        <v>6010</v>
      </c>
      <c r="B30" s="178"/>
      <c r="C30" s="173"/>
      <c r="D30" s="173"/>
      <c r="E30" s="173"/>
      <c r="F30" s="173"/>
      <c r="G30" s="173"/>
      <c r="H30" s="173"/>
      <c r="I30" s="173"/>
      <c r="J30" s="173"/>
      <c r="K30" s="173"/>
      <c r="L30" s="173"/>
      <c r="M30" s="173"/>
    </row>
    <row r="31" spans="1:13">
      <c r="A31" s="171" t="s">
        <v>6011</v>
      </c>
      <c r="B31" s="172">
        <f>ROUND((B28+B30)*B29,2)</f>
        <v>0</v>
      </c>
      <c r="C31" s="173"/>
      <c r="D31" s="173"/>
      <c r="E31" s="173"/>
      <c r="F31" s="173"/>
      <c r="G31" s="173"/>
      <c r="H31" s="173"/>
      <c r="I31" s="173"/>
      <c r="J31" s="173"/>
      <c r="K31" s="173"/>
      <c r="L31" s="173"/>
      <c r="M31" s="173"/>
    </row>
    <row r="32" spans="1:13">
      <c r="A32" s="171" t="s">
        <v>6012</v>
      </c>
      <c r="B32" s="172">
        <f>B28-B31</f>
        <v>-1286415.9</v>
      </c>
      <c r="C32" s="173"/>
      <c r="D32" s="173"/>
      <c r="E32" s="173"/>
      <c r="F32" s="173"/>
      <c r="G32" s="173"/>
      <c r="H32" s="173"/>
      <c r="I32" s="173"/>
      <c r="J32" s="173"/>
      <c r="K32" s="173"/>
      <c r="L32" s="173"/>
      <c r="M32" s="173"/>
    </row>
    <row r="33" spans="1:13">
      <c r="A33" s="177" t="s">
        <v>6013</v>
      </c>
      <c r="B33" s="178"/>
      <c r="C33" s="173"/>
      <c r="D33" s="173"/>
      <c r="E33" s="173"/>
      <c r="F33" s="173"/>
      <c r="G33" s="173"/>
      <c r="H33" s="173"/>
      <c r="I33" s="173"/>
      <c r="J33" s="173"/>
      <c r="K33" s="173"/>
      <c r="L33" s="173"/>
      <c r="M33" s="173"/>
    </row>
    <row r="34" spans="1:13">
      <c r="A34" s="171" t="s">
        <v>6014</v>
      </c>
      <c r="B34" s="172">
        <f>ROUND(B32*B33,2)</f>
        <v>0</v>
      </c>
      <c r="C34" s="173"/>
      <c r="D34" s="173"/>
      <c r="E34" s="173"/>
      <c r="F34" s="173"/>
      <c r="G34" s="173"/>
      <c r="H34" s="173"/>
      <c r="I34" s="173"/>
      <c r="J34" s="173"/>
      <c r="K34" s="173"/>
      <c r="L34" s="173"/>
      <c r="M34" s="173"/>
    </row>
    <row r="35" spans="1:13">
      <c r="A35" s="179" t="s">
        <v>6015</v>
      </c>
      <c r="B35" s="180">
        <f>B31-B34</f>
        <v>0</v>
      </c>
      <c r="C35" s="173"/>
      <c r="D35" s="173"/>
      <c r="E35" s="173"/>
      <c r="F35" s="173"/>
      <c r="G35" s="173"/>
      <c r="H35" s="173"/>
      <c r="I35" s="173"/>
      <c r="J35" s="173"/>
      <c r="K35" s="173"/>
      <c r="L35" s="173"/>
      <c r="M35" s="173"/>
    </row>
    <row r="36" spans="1:13">
      <c r="A36" s="173"/>
      <c r="B36" s="181"/>
      <c r="C36" s="173"/>
      <c r="D36" s="173"/>
      <c r="E36" s="173"/>
      <c r="F36" s="173"/>
      <c r="G36" s="173"/>
      <c r="H36" s="173"/>
      <c r="I36" s="173"/>
      <c r="J36" s="173"/>
      <c r="K36" s="173"/>
      <c r="L36" s="173"/>
      <c r="M36" s="173"/>
    </row>
    <row r="37" spans="1:13">
      <c r="A37" s="173"/>
      <c r="B37" s="181"/>
      <c r="C37" s="173"/>
      <c r="D37" s="173"/>
      <c r="E37" s="173"/>
      <c r="F37" s="173"/>
      <c r="G37" s="173"/>
      <c r="H37" s="173"/>
      <c r="I37" s="173"/>
      <c r="J37" s="173"/>
      <c r="K37" s="173"/>
      <c r="L37" s="173"/>
      <c r="M37" s="173"/>
    </row>
    <row r="38" spans="1:13">
      <c r="A38" s="173"/>
      <c r="B38" s="181"/>
      <c r="C38" s="173"/>
      <c r="D38" s="173"/>
      <c r="E38" s="173"/>
      <c r="F38" s="173"/>
      <c r="G38" s="173"/>
      <c r="H38" s="173"/>
      <c r="I38" s="173"/>
      <c r="J38" s="173"/>
      <c r="K38" s="173"/>
      <c r="L38" s="173"/>
      <c r="M38" s="173"/>
    </row>
    <row r="39" spans="1:13">
      <c r="A39" s="173"/>
      <c r="B39" s="181"/>
      <c r="C39" s="173"/>
      <c r="D39" s="173"/>
      <c r="E39" s="173"/>
      <c r="F39" s="173"/>
      <c r="G39" s="173"/>
      <c r="H39" s="173"/>
      <c r="I39" s="173"/>
      <c r="J39" s="173"/>
      <c r="K39" s="173"/>
      <c r="L39" s="173"/>
      <c r="M39" s="173"/>
    </row>
    <row r="40" spans="1:13">
      <c r="A40" s="173"/>
      <c r="B40" s="181"/>
      <c r="C40" s="173"/>
      <c r="D40" s="173"/>
      <c r="E40" s="173"/>
      <c r="F40" s="173"/>
      <c r="G40" s="173"/>
      <c r="H40" s="173"/>
      <c r="I40" s="173"/>
      <c r="J40" s="173"/>
      <c r="K40" s="173"/>
      <c r="L40" s="173"/>
      <c r="M40" s="173"/>
    </row>
    <row r="41" spans="1:13">
      <c r="A41" s="173"/>
      <c r="B41" s="181"/>
      <c r="C41" s="173"/>
      <c r="D41" s="173"/>
      <c r="E41" s="173"/>
      <c r="F41" s="173"/>
      <c r="G41" s="173"/>
      <c r="H41" s="173"/>
      <c r="I41" s="173"/>
      <c r="J41" s="173"/>
      <c r="K41" s="173"/>
      <c r="L41" s="173"/>
      <c r="M41" s="173"/>
    </row>
    <row r="42" spans="1:13">
      <c r="A42" s="173"/>
      <c r="B42" s="181"/>
      <c r="C42" s="173"/>
      <c r="D42" s="173"/>
      <c r="E42" s="173"/>
      <c r="F42" s="173"/>
      <c r="G42" s="173"/>
      <c r="H42" s="173"/>
      <c r="I42" s="173"/>
      <c r="J42" s="173"/>
      <c r="K42" s="173"/>
      <c r="L42" s="173"/>
      <c r="M42" s="173"/>
    </row>
    <row r="43" spans="1:13">
      <c r="A43" s="173"/>
      <c r="B43" s="181"/>
      <c r="C43" s="173"/>
      <c r="D43" s="173"/>
      <c r="E43" s="173"/>
      <c r="F43" s="173"/>
      <c r="G43" s="173"/>
      <c r="H43" s="173"/>
      <c r="I43" s="173"/>
      <c r="J43" s="173"/>
      <c r="K43" s="173"/>
      <c r="L43" s="173"/>
      <c r="M43" s="173"/>
    </row>
    <row r="44" spans="1:13">
      <c r="A44" s="173"/>
      <c r="B44" s="181"/>
      <c r="C44" s="173"/>
      <c r="D44" s="173"/>
      <c r="E44" s="173"/>
      <c r="F44" s="173"/>
      <c r="G44" s="173"/>
      <c r="H44" s="173"/>
      <c r="I44" s="173"/>
      <c r="J44" s="173"/>
      <c r="K44" s="173"/>
      <c r="L44" s="173"/>
      <c r="M44" s="173"/>
    </row>
    <row r="45" spans="1:13">
      <c r="A45" s="173"/>
      <c r="B45" s="181"/>
      <c r="C45" s="173"/>
      <c r="D45" s="173"/>
      <c r="E45" s="173"/>
      <c r="F45" s="173"/>
      <c r="G45" s="173"/>
      <c r="H45" s="173"/>
      <c r="I45" s="173"/>
      <c r="J45" s="173"/>
      <c r="K45" s="173"/>
      <c r="L45" s="173"/>
      <c r="M45" s="173"/>
    </row>
    <row r="46" spans="1:13">
      <c r="A46" s="173"/>
      <c r="B46" s="181"/>
      <c r="C46" s="173"/>
      <c r="D46" s="173"/>
      <c r="E46" s="173"/>
      <c r="F46" s="173"/>
      <c r="G46" s="173"/>
      <c r="H46" s="173"/>
      <c r="I46" s="173"/>
      <c r="J46" s="173"/>
      <c r="K46" s="173"/>
      <c r="L46" s="173"/>
      <c r="M46" s="173"/>
    </row>
    <row r="47" spans="1:13">
      <c r="A47" s="173"/>
      <c r="B47" s="181"/>
      <c r="C47" s="173"/>
      <c r="D47" s="173"/>
      <c r="E47" s="173"/>
      <c r="F47" s="173"/>
      <c r="G47" s="173"/>
      <c r="H47" s="173"/>
      <c r="I47" s="173"/>
      <c r="J47" s="173"/>
      <c r="K47" s="173"/>
      <c r="L47" s="173"/>
      <c r="M47" s="173"/>
    </row>
    <row r="48" spans="1:13">
      <c r="A48" s="173"/>
      <c r="B48" s="181"/>
      <c r="C48" s="173"/>
      <c r="D48" s="173"/>
      <c r="E48" s="173"/>
      <c r="F48" s="173"/>
      <c r="G48" s="173"/>
      <c r="H48" s="173"/>
      <c r="I48" s="173"/>
      <c r="J48" s="173"/>
      <c r="K48" s="173"/>
      <c r="L48" s="173"/>
      <c r="M48" s="173"/>
    </row>
    <row r="49" spans="1:13">
      <c r="A49" s="173"/>
      <c r="B49" s="181"/>
      <c r="C49" s="173"/>
      <c r="D49" s="173"/>
      <c r="E49" s="173"/>
      <c r="F49" s="173"/>
      <c r="G49" s="173"/>
      <c r="H49" s="173"/>
      <c r="I49" s="173"/>
      <c r="J49" s="173"/>
      <c r="K49" s="173"/>
      <c r="L49" s="173"/>
      <c r="M49" s="173"/>
    </row>
    <row r="50" spans="1:13">
      <c r="A50" s="173"/>
      <c r="B50" s="181"/>
      <c r="C50" s="173"/>
      <c r="D50" s="173"/>
      <c r="E50" s="173"/>
      <c r="F50" s="173"/>
      <c r="G50" s="173"/>
      <c r="H50" s="173"/>
      <c r="I50" s="173"/>
      <c r="J50" s="173"/>
      <c r="K50" s="173"/>
      <c r="L50" s="173"/>
      <c r="M50" s="173"/>
    </row>
    <row r="51" spans="1:13">
      <c r="A51" s="173"/>
      <c r="B51" s="181"/>
      <c r="C51" s="173"/>
      <c r="D51" s="173"/>
      <c r="E51" s="173"/>
      <c r="F51" s="173"/>
      <c r="G51" s="173"/>
      <c r="H51" s="173"/>
      <c r="I51" s="173"/>
      <c r="J51" s="173"/>
      <c r="K51" s="173"/>
      <c r="L51" s="173"/>
      <c r="M51" s="173"/>
    </row>
    <row r="52" spans="1:13">
      <c r="A52" s="173"/>
      <c r="B52" s="181"/>
      <c r="C52" s="173"/>
      <c r="D52" s="173"/>
      <c r="E52" s="173"/>
      <c r="F52" s="173"/>
      <c r="G52" s="173"/>
      <c r="H52" s="173"/>
      <c r="I52" s="173"/>
      <c r="J52" s="173"/>
      <c r="K52" s="173"/>
      <c r="L52" s="173"/>
      <c r="M52" s="173"/>
    </row>
    <row r="53" spans="1:13">
      <c r="A53" s="173"/>
      <c r="B53" s="181"/>
      <c r="C53" s="173"/>
      <c r="D53" s="173"/>
      <c r="E53" s="173"/>
      <c r="F53" s="173"/>
      <c r="G53" s="173"/>
      <c r="H53" s="173"/>
      <c r="I53" s="173"/>
      <c r="J53" s="173"/>
      <c r="K53" s="173"/>
      <c r="L53" s="173"/>
      <c r="M53" s="173"/>
    </row>
    <row r="54" spans="1:13">
      <c r="A54" s="173"/>
      <c r="B54" s="181"/>
      <c r="C54" s="173"/>
      <c r="D54" s="173"/>
      <c r="E54" s="173"/>
      <c r="F54" s="173"/>
      <c r="G54" s="173"/>
      <c r="H54" s="173"/>
      <c r="I54" s="173"/>
      <c r="J54" s="173"/>
      <c r="K54" s="173"/>
      <c r="L54" s="173"/>
      <c r="M54" s="173"/>
    </row>
    <row r="55" spans="1:13">
      <c r="A55" s="173"/>
      <c r="B55" s="181"/>
      <c r="C55" s="173"/>
      <c r="D55" s="173"/>
      <c r="E55" s="173"/>
      <c r="F55" s="173"/>
      <c r="G55" s="173"/>
      <c r="H55" s="173"/>
      <c r="I55" s="173"/>
      <c r="J55" s="173"/>
      <c r="K55" s="173"/>
      <c r="L55" s="173"/>
      <c r="M55" s="173"/>
    </row>
    <row r="56" spans="1:13">
      <c r="A56" s="173"/>
      <c r="B56" s="181"/>
      <c r="C56" s="173"/>
      <c r="D56" s="173"/>
      <c r="E56" s="173"/>
      <c r="F56" s="173"/>
      <c r="G56" s="173"/>
      <c r="H56" s="173"/>
      <c r="I56" s="173"/>
      <c r="J56" s="173"/>
      <c r="K56" s="173"/>
      <c r="L56" s="173"/>
      <c r="M56" s="173"/>
    </row>
    <row r="57" spans="1:13">
      <c r="A57" s="173"/>
      <c r="B57" s="181"/>
      <c r="C57" s="173"/>
      <c r="D57" s="173"/>
      <c r="E57" s="173"/>
      <c r="F57" s="173"/>
      <c r="G57" s="173"/>
      <c r="H57" s="173"/>
      <c r="I57" s="173"/>
      <c r="J57" s="173"/>
      <c r="K57" s="173"/>
      <c r="L57" s="173"/>
      <c r="M57" s="173"/>
    </row>
    <row r="58" spans="1:13">
      <c r="A58" s="173"/>
      <c r="B58" s="181"/>
      <c r="C58" s="173"/>
      <c r="D58" s="173"/>
      <c r="E58" s="173"/>
      <c r="F58" s="173"/>
      <c r="G58" s="173"/>
      <c r="H58" s="173"/>
      <c r="I58" s="173"/>
      <c r="J58" s="173"/>
      <c r="K58" s="173"/>
      <c r="L58" s="173"/>
      <c r="M58" s="173"/>
    </row>
    <row r="59" spans="1:13">
      <c r="A59" s="173"/>
      <c r="B59" s="181"/>
      <c r="C59" s="173"/>
      <c r="D59" s="173"/>
      <c r="E59" s="173"/>
      <c r="F59" s="173"/>
      <c r="G59" s="173"/>
      <c r="H59" s="173"/>
      <c r="I59" s="173"/>
      <c r="J59" s="173"/>
      <c r="K59" s="173"/>
      <c r="L59" s="173"/>
      <c r="M59" s="173"/>
    </row>
    <row r="60" spans="3:13">
      <c r="C60" s="173"/>
      <c r="D60" s="173"/>
      <c r="E60" s="173"/>
      <c r="F60" s="173"/>
      <c r="G60" s="173"/>
      <c r="H60" s="173"/>
      <c r="I60" s="173"/>
      <c r="J60" s="173"/>
      <c r="K60" s="173"/>
      <c r="L60" s="173"/>
      <c r="M60" s="173"/>
    </row>
    <row r="61" spans="3:13">
      <c r="C61" s="173"/>
      <c r="D61" s="173"/>
      <c r="E61" s="173"/>
      <c r="F61" s="173"/>
      <c r="G61" s="173"/>
      <c r="H61" s="173"/>
      <c r="I61" s="173"/>
      <c r="J61" s="173"/>
      <c r="K61" s="173"/>
      <c r="L61" s="173"/>
      <c r="M61" s="173"/>
    </row>
    <row r="62" spans="3:13">
      <c r="C62" s="173"/>
      <c r="D62" s="173"/>
      <c r="E62" s="173"/>
      <c r="F62" s="173"/>
      <c r="G62" s="173"/>
      <c r="H62" s="173"/>
      <c r="I62" s="173"/>
      <c r="J62" s="173"/>
      <c r="K62" s="173"/>
      <c r="L62" s="173"/>
      <c r="M62" s="173"/>
    </row>
    <row r="63" spans="3:13">
      <c r="C63" s="173"/>
      <c r="D63" s="173"/>
      <c r="E63" s="173"/>
      <c r="F63" s="173"/>
      <c r="G63" s="173"/>
      <c r="H63" s="173"/>
      <c r="I63" s="173"/>
      <c r="J63" s="173"/>
      <c r="K63" s="173"/>
      <c r="L63" s="173"/>
      <c r="M63" s="173"/>
    </row>
    <row r="64" spans="3:13">
      <c r="C64" s="173"/>
      <c r="D64" s="173"/>
      <c r="E64" s="173"/>
      <c r="F64" s="173"/>
      <c r="G64" s="173"/>
      <c r="H64" s="173"/>
      <c r="I64" s="173"/>
      <c r="J64" s="173"/>
      <c r="K64" s="173"/>
      <c r="L64" s="173"/>
      <c r="M64" s="173"/>
    </row>
    <row r="65" spans="3:13">
      <c r="C65" s="173"/>
      <c r="D65" s="173"/>
      <c r="E65" s="173"/>
      <c r="F65" s="173"/>
      <c r="G65" s="173"/>
      <c r="H65" s="173"/>
      <c r="I65" s="173"/>
      <c r="J65" s="173"/>
      <c r="K65" s="173"/>
      <c r="L65" s="173"/>
      <c r="M65" s="173"/>
    </row>
    <row r="66" spans="3:13">
      <c r="C66" s="173"/>
      <c r="D66" s="173"/>
      <c r="E66" s="173"/>
      <c r="F66" s="173"/>
      <c r="G66" s="173"/>
      <c r="H66" s="173"/>
      <c r="I66" s="173"/>
      <c r="J66" s="173"/>
      <c r="K66" s="173"/>
      <c r="L66" s="173"/>
      <c r="M66" s="173"/>
    </row>
    <row r="67" spans="3:13">
      <c r="C67" s="173"/>
      <c r="D67" s="173"/>
      <c r="E67" s="173"/>
      <c r="F67" s="173"/>
      <c r="G67" s="173"/>
      <c r="H67" s="173"/>
      <c r="I67" s="173"/>
      <c r="J67" s="173"/>
      <c r="K67" s="173"/>
      <c r="L67" s="173"/>
      <c r="M67" s="173"/>
    </row>
    <row r="68" spans="3:13">
      <c r="C68" s="173"/>
      <c r="D68" s="173"/>
      <c r="E68" s="173"/>
      <c r="F68" s="173"/>
      <c r="G68" s="173"/>
      <c r="H68" s="173"/>
      <c r="I68" s="173"/>
      <c r="J68" s="173"/>
      <c r="K68" s="173"/>
      <c r="L68" s="173"/>
      <c r="M68" s="173"/>
    </row>
    <row r="69" spans="3:13">
      <c r="C69" s="173"/>
      <c r="D69" s="173"/>
      <c r="E69" s="173"/>
      <c r="F69" s="173"/>
      <c r="G69" s="173"/>
      <c r="H69" s="173"/>
      <c r="I69" s="173"/>
      <c r="J69" s="173"/>
      <c r="K69" s="173"/>
      <c r="L69" s="173"/>
      <c r="M69" s="173"/>
    </row>
    <row r="70" spans="3:13">
      <c r="C70" s="173"/>
      <c r="D70" s="173"/>
      <c r="E70" s="173"/>
      <c r="F70" s="173"/>
      <c r="G70" s="173"/>
      <c r="H70" s="173"/>
      <c r="I70" s="173"/>
      <c r="J70" s="173"/>
      <c r="K70" s="173"/>
      <c r="L70" s="173"/>
      <c r="M70" s="173"/>
    </row>
    <row r="71" spans="3:13">
      <c r="C71" s="173"/>
      <c r="D71" s="173"/>
      <c r="E71" s="173"/>
      <c r="F71" s="173"/>
      <c r="G71" s="173"/>
      <c r="H71" s="173"/>
      <c r="I71" s="173"/>
      <c r="J71" s="173"/>
      <c r="K71" s="173"/>
      <c r="L71" s="173"/>
      <c r="M71" s="173"/>
    </row>
    <row r="72" spans="3:13">
      <c r="C72" s="173"/>
      <c r="D72" s="173"/>
      <c r="E72" s="173"/>
      <c r="F72" s="173"/>
      <c r="G72" s="173"/>
      <c r="H72" s="173"/>
      <c r="I72" s="173"/>
      <c r="J72" s="173"/>
      <c r="K72" s="173"/>
      <c r="L72" s="173"/>
      <c r="M72" s="173"/>
    </row>
    <row r="73" spans="3:13">
      <c r="C73" s="173"/>
      <c r="D73" s="173"/>
      <c r="E73" s="173"/>
      <c r="F73" s="173"/>
      <c r="G73" s="173"/>
      <c r="H73" s="173"/>
      <c r="I73" s="173"/>
      <c r="J73" s="173"/>
      <c r="K73" s="173"/>
      <c r="L73" s="173"/>
      <c r="M73" s="173"/>
    </row>
    <row r="74" spans="3:13">
      <c r="C74" s="173"/>
      <c r="D74" s="173"/>
      <c r="E74" s="173"/>
      <c r="F74" s="173"/>
      <c r="G74" s="173"/>
      <c r="H74" s="173"/>
      <c r="I74" s="173"/>
      <c r="J74" s="173"/>
      <c r="K74" s="173"/>
      <c r="L74" s="173"/>
      <c r="M74" s="173"/>
    </row>
    <row r="75" spans="3:13">
      <c r="C75" s="173"/>
      <c r="D75" s="173"/>
      <c r="E75" s="173"/>
      <c r="F75" s="173"/>
      <c r="G75" s="173"/>
      <c r="H75" s="173"/>
      <c r="I75" s="173"/>
      <c r="J75" s="173"/>
      <c r="K75" s="173"/>
      <c r="L75" s="173"/>
      <c r="M75" s="173"/>
    </row>
    <row r="76" spans="3:13">
      <c r="C76" s="173"/>
      <c r="D76" s="173"/>
      <c r="E76" s="173"/>
      <c r="F76" s="173"/>
      <c r="G76" s="173"/>
      <c r="H76" s="173"/>
      <c r="I76" s="173"/>
      <c r="J76" s="173"/>
      <c r="K76" s="173"/>
      <c r="L76" s="173"/>
      <c r="M76" s="173"/>
    </row>
    <row r="77" spans="3:13">
      <c r="C77" s="173"/>
      <c r="D77" s="173"/>
      <c r="E77" s="173"/>
      <c r="F77" s="173"/>
      <c r="G77" s="173"/>
      <c r="H77" s="173"/>
      <c r="I77" s="173"/>
      <c r="J77" s="173"/>
      <c r="K77" s="173"/>
      <c r="L77" s="173"/>
      <c r="M77" s="173"/>
    </row>
    <row r="78" spans="3:13">
      <c r="C78" s="173"/>
      <c r="D78" s="173"/>
      <c r="E78" s="173"/>
      <c r="F78" s="173"/>
      <c r="G78" s="173"/>
      <c r="H78" s="173"/>
      <c r="I78" s="173"/>
      <c r="J78" s="173"/>
      <c r="K78" s="173"/>
      <c r="L78" s="173"/>
      <c r="M78" s="173"/>
    </row>
    <row r="79" spans="3:13">
      <c r="C79" s="173"/>
      <c r="D79" s="173"/>
      <c r="E79" s="173"/>
      <c r="F79" s="173"/>
      <c r="G79" s="173"/>
      <c r="H79" s="173"/>
      <c r="I79" s="173"/>
      <c r="J79" s="173"/>
      <c r="K79" s="173"/>
      <c r="L79" s="173"/>
      <c r="M79" s="173"/>
    </row>
    <row r="80" spans="3:13">
      <c r="C80" s="173"/>
      <c r="D80" s="173"/>
      <c r="E80" s="173"/>
      <c r="F80" s="173"/>
      <c r="G80" s="173"/>
      <c r="H80" s="173"/>
      <c r="I80" s="173"/>
      <c r="J80" s="173"/>
      <c r="K80" s="173"/>
      <c r="L80" s="173"/>
      <c r="M80" s="173"/>
    </row>
  </sheetData>
  <sheetProtection formatCells="0" autoFilter="0" pivotTables="0"/>
  <pageMargins left="0.7" right="0.7"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E20"/>
  <sheetViews>
    <sheetView workbookViewId="0">
      <selection activeCell="A4" sqref="A4"/>
    </sheetView>
  </sheetViews>
  <sheetFormatPr defaultColWidth="9" defaultRowHeight="14.25" outlineLevelCol="4"/>
  <cols>
    <col min="1" max="1" width="47" customWidth="1"/>
    <col min="2" max="4" width="15" customWidth="1"/>
  </cols>
  <sheetData>
    <row r="1" spans="1:5">
      <c r="A1" s="158" t="s">
        <v>6016</v>
      </c>
      <c r="B1" s="159" t="s">
        <v>366</v>
      </c>
      <c r="C1" s="160" t="s">
        <v>6017</v>
      </c>
      <c r="D1" s="161" t="s">
        <v>6018</v>
      </c>
      <c r="E1" s="161" t="s">
        <v>6019</v>
      </c>
    </row>
    <row r="2" spans="1:2">
      <c r="A2" s="162" t="s">
        <v>6020</v>
      </c>
      <c r="B2" s="163">
        <f>审定利润表!C22</f>
        <v>8548321.03</v>
      </c>
    </row>
    <row r="3" spans="1:3">
      <c r="A3" s="162" t="s">
        <v>6021</v>
      </c>
      <c r="B3" s="163">
        <f>SUM(B4:B11)</f>
        <v>0</v>
      </c>
      <c r="C3" s="163">
        <f>SUM(C4:C11)</f>
        <v>0</v>
      </c>
    </row>
    <row r="4" spans="1:4">
      <c r="A4" s="164" t="s">
        <v>6022</v>
      </c>
      <c r="B4" s="165">
        <f>'1.管理费用'!C9+'2.销售费用'!C5-MIN(C4,D4)</f>
        <v>0</v>
      </c>
      <c r="C4" s="166">
        <f>ROUND(('1.管理费用'!C9+'2.销售费用'!C5)*60%,2)</f>
        <v>0</v>
      </c>
      <c r="D4" s="166">
        <f>ROUND(审定利润表!C6*0.5%,2)</f>
        <v>600487.82</v>
      </c>
    </row>
    <row r="5" spans="1:1">
      <c r="A5" s="164" t="s">
        <v>6023</v>
      </c>
    </row>
    <row r="6" spans="1:1">
      <c r="A6" s="11" t="s">
        <v>6024</v>
      </c>
    </row>
    <row r="7" spans="1:1">
      <c r="A7" s="11" t="s">
        <v>6025</v>
      </c>
    </row>
    <row r="8" spans="1:1">
      <c r="A8" s="164" t="s">
        <v>6026</v>
      </c>
    </row>
    <row r="9" spans="1:1">
      <c r="A9" s="11" t="s">
        <v>6027</v>
      </c>
    </row>
    <row r="10" spans="1:1">
      <c r="A10" s="11" t="s">
        <v>6028</v>
      </c>
    </row>
    <row r="11" spans="1:1">
      <c r="A11" s="11" t="s">
        <v>6029</v>
      </c>
    </row>
    <row r="12" spans="1:3">
      <c r="A12" s="162" t="s">
        <v>6030</v>
      </c>
      <c r="B12" s="167">
        <f>SUM(B13:B16)</f>
        <v>0</v>
      </c>
      <c r="C12" s="167">
        <f>SUM(C13:C16)</f>
        <v>0</v>
      </c>
    </row>
    <row r="13" spans="1:1">
      <c r="A13" s="164" t="s">
        <v>6031</v>
      </c>
    </row>
    <row r="14" spans="1:1">
      <c r="A14" s="164" t="s">
        <v>6032</v>
      </c>
    </row>
    <row r="15" spans="1:1">
      <c r="A15" s="164" t="s">
        <v>6033</v>
      </c>
    </row>
    <row r="16" spans="1:1">
      <c r="A16" s="164" t="s">
        <v>6034</v>
      </c>
    </row>
    <row r="17" spans="1:3">
      <c r="A17" s="158" t="s">
        <v>6035</v>
      </c>
      <c r="B17" s="158"/>
      <c r="C17" s="158"/>
    </row>
    <row r="19" spans="1:1">
      <c r="A19" s="11" t="s">
        <v>6036</v>
      </c>
    </row>
    <row r="20" spans="1:1">
      <c r="A20" s="11" t="s">
        <v>6037</v>
      </c>
    </row>
  </sheetData>
  <pageMargins left="0.7" right="0.7"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U31"/>
  <sheetViews>
    <sheetView workbookViewId="0">
      <pane xSplit="2" ySplit="2" topLeftCell="C3" activePane="bottomRight" state="frozen"/>
      <selection/>
      <selection pane="topRight"/>
      <selection pane="bottomLeft"/>
      <selection pane="bottomRight" activeCell="J22" sqref="J22"/>
    </sheetView>
  </sheetViews>
  <sheetFormatPr defaultColWidth="9" defaultRowHeight="12.75" customHeight="1"/>
  <cols>
    <col min="1" max="1" width="2.375" hidden="1" customWidth="1"/>
    <col min="2" max="2" width="26.125" customWidth="1"/>
    <col min="3" max="14" width="11.875" customWidth="1"/>
    <col min="15" max="15" width="3.25" customWidth="1"/>
    <col min="16" max="16" width="23.25" customWidth="1"/>
    <col min="17" max="21" width="12.75" customWidth="1"/>
  </cols>
  <sheetData>
    <row r="1" customHeight="1" spans="1:21">
      <c r="A1" s="124" t="str">
        <f>报表附注!$G$1</f>
        <v>深圳新阳蓝光能源管理科技股份有限公司</v>
      </c>
      <c r="B1" s="144" t="s">
        <v>3319</v>
      </c>
      <c r="C1" s="145"/>
      <c r="D1" s="145"/>
      <c r="E1" s="145"/>
      <c r="F1" s="145"/>
      <c r="G1" s="146"/>
      <c r="H1" s="146"/>
      <c r="I1" s="152"/>
      <c r="J1" s="152"/>
      <c r="K1" s="152"/>
      <c r="L1" s="152"/>
      <c r="M1" s="152"/>
      <c r="N1" s="152"/>
      <c r="P1" s="153" t="str">
        <f>报表附注!E1311</f>
        <v>（3）在建工程减值准备</v>
      </c>
      <c r="Q1" s="145"/>
      <c r="R1" s="145"/>
      <c r="S1" s="145"/>
      <c r="T1" s="145"/>
      <c r="U1" s="152"/>
    </row>
    <row r="2" ht="24" customHeight="1" spans="1:21">
      <c r="A2" s="124" t="str">
        <f>报表附注!$G$1</f>
        <v>深圳新阳蓝光能源管理科技股份有限公司</v>
      </c>
      <c r="B2" s="147" t="s">
        <v>2981</v>
      </c>
      <c r="C2" s="147" t="s">
        <v>816</v>
      </c>
      <c r="D2" s="147" t="s">
        <v>671</v>
      </c>
      <c r="E2" s="147" t="s">
        <v>672</v>
      </c>
      <c r="F2" s="147" t="s">
        <v>3320</v>
      </c>
      <c r="G2" s="147" t="s">
        <v>818</v>
      </c>
      <c r="H2" s="147" t="s">
        <v>3321</v>
      </c>
      <c r="I2" s="147" t="s">
        <v>3322</v>
      </c>
      <c r="J2" s="147" t="s">
        <v>3323</v>
      </c>
      <c r="K2" s="154" t="s">
        <v>3324</v>
      </c>
      <c r="L2" s="147" t="s">
        <v>3325</v>
      </c>
      <c r="M2" s="147" t="s">
        <v>819</v>
      </c>
      <c r="N2" s="147" t="s">
        <v>2902</v>
      </c>
      <c r="P2" s="155" t="str">
        <f>报表附注!E1312</f>
        <v>项目</v>
      </c>
      <c r="Q2" s="155" t="str">
        <f>报表附注!F1312</f>
        <v>期初余额</v>
      </c>
      <c r="R2" s="155" t="str">
        <f>报表附注!G1312</f>
        <v>本期增加</v>
      </c>
      <c r="S2" s="155" t="str">
        <f>报表附注!H1312</f>
        <v>本期减少</v>
      </c>
      <c r="T2" s="155" t="str">
        <f>报表附注!I1312</f>
        <v>期末余额</v>
      </c>
      <c r="U2" s="155" t="str">
        <f>报表附注!J1312</f>
        <v>计提原因</v>
      </c>
    </row>
    <row r="3" customHeight="1" spans="1:21">
      <c r="A3" s="124" t="str">
        <f>报表附注!$G$1</f>
        <v>深圳新阳蓝光能源管理科技股份有限公司</v>
      </c>
      <c r="B3" s="148" t="str">
        <f>报表附注!E1281</f>
        <v>广州中心城区路灯EPC项目</v>
      </c>
      <c r="C3" s="136">
        <f>报表附注!F1281</f>
        <v>0</v>
      </c>
      <c r="D3" s="136">
        <f>报表附注!G1281</f>
        <v>566699</v>
      </c>
      <c r="E3" s="136">
        <f>报表附注!H1281</f>
        <v>0</v>
      </c>
      <c r="F3" s="136">
        <f>报表附注!I1281</f>
        <v>566699</v>
      </c>
      <c r="G3" s="137">
        <f>报表附注!J1281</f>
        <v>0</v>
      </c>
      <c r="H3" s="137">
        <f>报表附注!K1281</f>
        <v>0</v>
      </c>
      <c r="I3" s="137">
        <f>报表附注!L1281</f>
        <v>0</v>
      </c>
      <c r="J3" s="137">
        <f>报表附注!M1281</f>
        <v>0</v>
      </c>
      <c r="K3" s="137">
        <f>报表附注!N1281</f>
        <v>0</v>
      </c>
      <c r="L3" s="137">
        <f>报表附注!O1281</f>
        <v>0</v>
      </c>
      <c r="M3" s="137">
        <f>报表附注!P1281</f>
        <v>0</v>
      </c>
      <c r="N3" s="156">
        <f>ROUND(D3+E3-F3-G3,2)</f>
        <v>0</v>
      </c>
      <c r="P3" s="149">
        <f>报表附注!E1313</f>
        <v>0</v>
      </c>
      <c r="Q3" s="136">
        <f>报表附注!F1313</f>
        <v>0</v>
      </c>
      <c r="R3" s="136">
        <f>报表附注!G1313</f>
        <v>0</v>
      </c>
      <c r="S3" s="136">
        <f>报表附注!H1313</f>
        <v>0</v>
      </c>
      <c r="T3" s="139">
        <f>报表附注!I1313</f>
        <v>0</v>
      </c>
      <c r="U3" s="137">
        <f>报表附注!J1313</f>
        <v>0</v>
      </c>
    </row>
    <row r="4" customHeight="1" spans="1:21">
      <c r="A4" s="124" t="str">
        <f>报表附注!$G$1</f>
        <v>深圳新阳蓝光能源管理科技股份有限公司</v>
      </c>
      <c r="B4" s="148" t="str">
        <f>报表附注!E1282</f>
        <v>朗溪县城区新建及改造LED路灯项目</v>
      </c>
      <c r="C4" s="136">
        <f>报表附注!F1282</f>
        <v>0</v>
      </c>
      <c r="D4" s="136">
        <f>报表附注!G1282</f>
        <v>0</v>
      </c>
      <c r="E4" s="136">
        <f>报表附注!H1282</f>
        <v>8227910.7</v>
      </c>
      <c r="F4" s="136">
        <f>报表附注!I1282</f>
        <v>0</v>
      </c>
      <c r="G4" s="137">
        <f>报表附注!J1282</f>
        <v>0</v>
      </c>
      <c r="H4" s="137">
        <f>报表附注!K1282</f>
        <v>0</v>
      </c>
      <c r="I4" s="137">
        <f>报表附注!L1282</f>
        <v>0</v>
      </c>
      <c r="J4" s="137">
        <f>报表附注!M1282</f>
        <v>0</v>
      </c>
      <c r="K4" s="137">
        <f>报表附注!N1282</f>
        <v>0</v>
      </c>
      <c r="L4" s="137">
        <f>报表附注!O1282</f>
        <v>0</v>
      </c>
      <c r="M4" s="137">
        <f>报表附注!P1282</f>
        <v>0</v>
      </c>
      <c r="N4" s="156">
        <f t="shared" ref="N4:N30" si="0">ROUND(D4+E4-F4-G4,2)</f>
        <v>8227910.7</v>
      </c>
      <c r="P4" s="149">
        <f>报表附注!E1314</f>
        <v>0</v>
      </c>
      <c r="Q4" s="136">
        <f>报表附注!F1314</f>
        <v>0</v>
      </c>
      <c r="R4" s="136">
        <f>报表附注!G1314</f>
        <v>0</v>
      </c>
      <c r="S4" s="136">
        <f>报表附注!H1314</f>
        <v>0</v>
      </c>
      <c r="T4" s="139">
        <f>报表附注!I1314</f>
        <v>0</v>
      </c>
      <c r="U4" s="137">
        <f>报表附注!J1314</f>
        <v>0</v>
      </c>
    </row>
    <row r="5" customHeight="1" spans="1:21">
      <c r="A5" s="124" t="str">
        <f>报表附注!$G$1</f>
        <v>深圳新阳蓝光能源管理科技股份有限公司</v>
      </c>
      <c r="B5" s="148" t="str">
        <f>报表附注!E1283</f>
        <v>佛一环二标段二期路灯EPC项目</v>
      </c>
      <c r="C5" s="136">
        <f>报表附注!F1283</f>
        <v>0</v>
      </c>
      <c r="D5" s="136">
        <f>报表附注!G1283</f>
        <v>0</v>
      </c>
      <c r="E5" s="136">
        <f>报表附注!H1283</f>
        <v>1502874.27</v>
      </c>
      <c r="F5" s="136">
        <f>报表附注!I1283</f>
        <v>0</v>
      </c>
      <c r="G5" s="137">
        <f>报表附注!J1283</f>
        <v>0</v>
      </c>
      <c r="H5" s="137">
        <f>报表附注!K1283</f>
        <v>0</v>
      </c>
      <c r="I5" s="137">
        <f>报表附注!L1283</f>
        <v>0</v>
      </c>
      <c r="J5" s="137">
        <f>报表附注!M1283</f>
        <v>0</v>
      </c>
      <c r="K5" s="137">
        <f>报表附注!N1283</f>
        <v>0</v>
      </c>
      <c r="L5" s="137">
        <f>报表附注!O1283</f>
        <v>0</v>
      </c>
      <c r="M5" s="137">
        <f>报表附注!P1283</f>
        <v>0</v>
      </c>
      <c r="N5" s="156">
        <f t="shared" si="0"/>
        <v>1502874.27</v>
      </c>
      <c r="P5" s="149">
        <f>报表附注!E1315</f>
        <v>0</v>
      </c>
      <c r="Q5" s="136">
        <f>报表附注!F1315</f>
        <v>0</v>
      </c>
      <c r="R5" s="136">
        <f>报表附注!G1315</f>
        <v>0</v>
      </c>
      <c r="S5" s="136">
        <f>报表附注!H1315</f>
        <v>0</v>
      </c>
      <c r="T5" s="139">
        <f>报表附注!I1315</f>
        <v>0</v>
      </c>
      <c r="U5" s="137">
        <f>报表附注!J1315</f>
        <v>0</v>
      </c>
    </row>
    <row r="6" customHeight="1" spans="1:21">
      <c r="A6" s="124" t="str">
        <f>报表附注!$G$1</f>
        <v>深圳新阳蓝光能源管理科技股份有限公司</v>
      </c>
      <c r="B6" s="148" t="str">
        <f>报表附注!E1284</f>
        <v>广州市北二环高速公路全线路灯节能改造项目</v>
      </c>
      <c r="C6" s="136">
        <f>报表附注!F1284</f>
        <v>0</v>
      </c>
      <c r="D6" s="136">
        <f>报表附注!G1284</f>
        <v>1477994.46</v>
      </c>
      <c r="E6" s="136">
        <f>报表附注!H1284</f>
        <v>0</v>
      </c>
      <c r="F6" s="136">
        <f>报表附注!I1284</f>
        <v>1477994.46</v>
      </c>
      <c r="G6" s="137">
        <f>报表附注!J1284</f>
        <v>0</v>
      </c>
      <c r="H6" s="137">
        <f>报表附注!K1284</f>
        <v>0</v>
      </c>
      <c r="I6" s="137">
        <f>报表附注!L1284</f>
        <v>0</v>
      </c>
      <c r="J6" s="137">
        <f>报表附注!M1284</f>
        <v>0</v>
      </c>
      <c r="K6" s="137">
        <f>报表附注!N1284</f>
        <v>0</v>
      </c>
      <c r="L6" s="137">
        <f>报表附注!O1284</f>
        <v>0</v>
      </c>
      <c r="M6" s="137">
        <f>报表附注!P1284</f>
        <v>0</v>
      </c>
      <c r="N6" s="156">
        <f t="shared" si="0"/>
        <v>0</v>
      </c>
      <c r="P6" s="149">
        <f>报表附注!E1316</f>
        <v>0</v>
      </c>
      <c r="Q6" s="136">
        <f>报表附注!F1316</f>
        <v>0</v>
      </c>
      <c r="R6" s="136">
        <f>报表附注!G1316</f>
        <v>0</v>
      </c>
      <c r="S6" s="136">
        <f>报表附注!H1316</f>
        <v>0</v>
      </c>
      <c r="T6" s="139">
        <f>报表附注!I1316</f>
        <v>0</v>
      </c>
      <c r="U6" s="137">
        <f>报表附注!J1316</f>
        <v>0</v>
      </c>
    </row>
    <row r="7" customHeight="1" spans="1:21">
      <c r="A7" s="124" t="str">
        <f>报表附注!$G$1</f>
        <v>深圳新阳蓝光能源管理科技股份有限公司</v>
      </c>
      <c r="B7" s="148" t="str">
        <f>报表附注!E1285</f>
        <v>阳江市区LED路灯节能改造</v>
      </c>
      <c r="C7" s="136">
        <f>报表附注!F1285</f>
        <v>0</v>
      </c>
      <c r="D7" s="136">
        <f>报表附注!G1285</f>
        <v>228844</v>
      </c>
      <c r="E7" s="136">
        <f>报表附注!H1285</f>
        <v>5971829.8</v>
      </c>
      <c r="F7" s="136">
        <f>报表附注!I1285</f>
        <v>0</v>
      </c>
      <c r="G7" s="137">
        <f>报表附注!J1285</f>
        <v>0</v>
      </c>
      <c r="H7" s="137">
        <f>报表附注!K1285</f>
        <v>0</v>
      </c>
      <c r="I7" s="137">
        <f>报表附注!L1285</f>
        <v>0</v>
      </c>
      <c r="J7" s="137">
        <f>报表附注!M1285</f>
        <v>0</v>
      </c>
      <c r="K7" s="137">
        <f>报表附注!N1285</f>
        <v>0</v>
      </c>
      <c r="L7" s="137">
        <f>报表附注!O1285</f>
        <v>0</v>
      </c>
      <c r="M7" s="137">
        <f>报表附注!P1285</f>
        <v>0</v>
      </c>
      <c r="N7" s="156">
        <f t="shared" si="0"/>
        <v>6200673.8</v>
      </c>
      <c r="P7" s="149">
        <f>报表附注!E1317</f>
        <v>0</v>
      </c>
      <c r="Q7" s="136">
        <f>报表附注!F1317</f>
        <v>0</v>
      </c>
      <c r="R7" s="136">
        <f>报表附注!G1317</f>
        <v>0</v>
      </c>
      <c r="S7" s="136">
        <f>报表附注!H1317</f>
        <v>0</v>
      </c>
      <c r="T7" s="139">
        <f>报表附注!I1317</f>
        <v>0</v>
      </c>
      <c r="U7" s="137">
        <f>报表附注!J1317</f>
        <v>0</v>
      </c>
    </row>
    <row r="8" customHeight="1" spans="1:21">
      <c r="A8" s="124" t="str">
        <f>报表附注!$G$1</f>
        <v>深圳新阳蓝光能源管理科技股份有限公司</v>
      </c>
      <c r="B8" s="148" t="str">
        <f>报表附注!E1286</f>
        <v>机场高速</v>
      </c>
      <c r="C8" s="136">
        <f>报表附注!F1286</f>
        <v>0</v>
      </c>
      <c r="D8" s="136">
        <f>报表附注!G1286</f>
        <v>0</v>
      </c>
      <c r="E8" s="136">
        <f>报表附注!H1286</f>
        <v>6879348.68</v>
      </c>
      <c r="F8" s="136">
        <f>报表附注!I1286</f>
        <v>0</v>
      </c>
      <c r="G8" s="137">
        <f>报表附注!J1286</f>
        <v>0</v>
      </c>
      <c r="H8" s="137">
        <f>报表附注!K1286</f>
        <v>0</v>
      </c>
      <c r="I8" s="137">
        <f>报表附注!L1286</f>
        <v>0</v>
      </c>
      <c r="J8" s="137">
        <f>报表附注!M1286</f>
        <v>0</v>
      </c>
      <c r="K8" s="137">
        <f>报表附注!N1286</f>
        <v>0</v>
      </c>
      <c r="L8" s="137">
        <f>报表附注!O1286</f>
        <v>0</v>
      </c>
      <c r="M8" s="137">
        <f>报表附注!P1286</f>
        <v>0</v>
      </c>
      <c r="N8" s="156">
        <f t="shared" si="0"/>
        <v>6879348.68</v>
      </c>
      <c r="P8" s="149">
        <f>报表附注!E1318</f>
        <v>0</v>
      </c>
      <c r="Q8" s="136">
        <f>报表附注!F1318</f>
        <v>0</v>
      </c>
      <c r="R8" s="136">
        <f>报表附注!G1318</f>
        <v>0</v>
      </c>
      <c r="S8" s="136">
        <f>报表附注!H1318</f>
        <v>0</v>
      </c>
      <c r="T8" s="139">
        <f>报表附注!I1318</f>
        <v>0</v>
      </c>
      <c r="U8" s="137">
        <f>报表附注!J1318</f>
        <v>0</v>
      </c>
    </row>
    <row r="9" customHeight="1" spans="1:21">
      <c r="A9" s="124" t="str">
        <f>报表附注!$G$1</f>
        <v>深圳新阳蓝光能源管理科技股份有限公司</v>
      </c>
      <c r="B9" s="148" t="str">
        <f>报表附注!E1287</f>
        <v>阳江市海陵岛LED路灯节能改造</v>
      </c>
      <c r="C9" s="136">
        <f>报表附注!F1287</f>
        <v>0</v>
      </c>
      <c r="D9" s="136">
        <f>报表附注!G1287</f>
        <v>0</v>
      </c>
      <c r="E9" s="136">
        <f>报表附注!H1287</f>
        <v>373165</v>
      </c>
      <c r="F9" s="136">
        <f>报表附注!I1287</f>
        <v>0</v>
      </c>
      <c r="G9" s="137">
        <f>报表附注!J1287</f>
        <v>0</v>
      </c>
      <c r="H9" s="137">
        <f>报表附注!K1287</f>
        <v>0</v>
      </c>
      <c r="I9" s="137">
        <f>报表附注!L1287</f>
        <v>0</v>
      </c>
      <c r="J9" s="137">
        <f>报表附注!M1287</f>
        <v>0</v>
      </c>
      <c r="K9" s="137">
        <f>报表附注!N1287</f>
        <v>0</v>
      </c>
      <c r="L9" s="137">
        <f>报表附注!O1287</f>
        <v>0</v>
      </c>
      <c r="M9" s="137">
        <f>报表附注!P1287</f>
        <v>0</v>
      </c>
      <c r="N9" s="156">
        <f t="shared" si="0"/>
        <v>373165</v>
      </c>
      <c r="P9" s="138" t="str">
        <f>报表附注!E1319</f>
        <v>合计</v>
      </c>
      <c r="Q9" s="139">
        <f>ROUND(SUM(Q3:Q8),2)</f>
        <v>0</v>
      </c>
      <c r="R9" s="139">
        <f t="shared" ref="R9:T9" si="1">ROUND(SUM(R3:R8),2)</f>
        <v>0</v>
      </c>
      <c r="S9" s="139">
        <f t="shared" si="1"/>
        <v>0</v>
      </c>
      <c r="T9" s="139">
        <f t="shared" si="1"/>
        <v>0</v>
      </c>
      <c r="U9" s="143"/>
    </row>
    <row r="10" customHeight="1" spans="1:14">
      <c r="A10" s="124" t="str">
        <f>报表附注!$G$1</f>
        <v>深圳新阳蓝光能源管理科技股份有限公司</v>
      </c>
      <c r="B10" s="148" t="str">
        <f>报表附注!E1288</f>
        <v>阳江市阳东县LED路灯节能改造</v>
      </c>
      <c r="C10" s="136">
        <f>报表附注!F1288</f>
        <v>0</v>
      </c>
      <c r="D10" s="136">
        <f>报表附注!G1288</f>
        <v>0</v>
      </c>
      <c r="E10" s="136">
        <f>报表附注!H1288</f>
        <v>6078815</v>
      </c>
      <c r="F10" s="136">
        <f>报表附注!I1288</f>
        <v>0</v>
      </c>
      <c r="G10" s="137">
        <f>报表附注!J1288</f>
        <v>0</v>
      </c>
      <c r="H10" s="137">
        <f>报表附注!K1288</f>
        <v>0</v>
      </c>
      <c r="I10" s="137">
        <f>报表附注!L1288</f>
        <v>0</v>
      </c>
      <c r="J10" s="137">
        <f>报表附注!M1288</f>
        <v>0</v>
      </c>
      <c r="K10" s="137">
        <f>报表附注!N1288</f>
        <v>0</v>
      </c>
      <c r="L10" s="137">
        <f>报表附注!O1288</f>
        <v>0</v>
      </c>
      <c r="M10" s="137">
        <f>报表附注!P1288</f>
        <v>0</v>
      </c>
      <c r="N10" s="156">
        <f t="shared" si="0"/>
        <v>6078815</v>
      </c>
    </row>
    <row r="11" customHeight="1" spans="1:14">
      <c r="A11" s="124" t="str">
        <f>报表附注!$G$1</f>
        <v>深圳新阳蓝光能源管理科技股份有限公司</v>
      </c>
      <c r="B11" s="148" t="str">
        <f>报表附注!E1289</f>
        <v>阳江市阳春市LED路灯节能改造</v>
      </c>
      <c r="C11" s="136">
        <f>报表附注!F1289</f>
        <v>0</v>
      </c>
      <c r="D11" s="136">
        <f>报表附注!G1289</f>
        <v>0</v>
      </c>
      <c r="E11" s="136">
        <f>报表附注!H1289</f>
        <v>4370485</v>
      </c>
      <c r="F11" s="136">
        <f>报表附注!I1289</f>
        <v>0</v>
      </c>
      <c r="G11" s="137">
        <f>报表附注!J1289</f>
        <v>0</v>
      </c>
      <c r="H11" s="137">
        <f>报表附注!K1289</f>
        <v>0</v>
      </c>
      <c r="I11" s="137">
        <f>报表附注!L1289</f>
        <v>0</v>
      </c>
      <c r="J11" s="137">
        <f>报表附注!M1289</f>
        <v>0</v>
      </c>
      <c r="K11" s="137">
        <f>报表附注!N1289</f>
        <v>0</v>
      </c>
      <c r="L11" s="137">
        <f>报表附注!O1289</f>
        <v>0</v>
      </c>
      <c r="M11" s="137">
        <f>报表附注!P1289</f>
        <v>0</v>
      </c>
      <c r="N11" s="156">
        <f t="shared" si="0"/>
        <v>4370485</v>
      </c>
    </row>
    <row r="12" customHeight="1" spans="1:14">
      <c r="A12" s="124" t="str">
        <f>报表附注!$G$1</f>
        <v>深圳新阳蓝光能源管理科技股份有限公司</v>
      </c>
      <c r="B12" s="148" t="str">
        <f>报表附注!E1290</f>
        <v>阳江市阳西县LED路灯节能改造</v>
      </c>
      <c r="C12" s="136">
        <f>报表附注!F1290</f>
        <v>0</v>
      </c>
      <c r="D12" s="136">
        <f>报表附注!G1290</f>
        <v>0</v>
      </c>
      <c r="E12" s="136">
        <f>报表附注!H1290</f>
        <v>3230485</v>
      </c>
      <c r="F12" s="136">
        <f>报表附注!I1290</f>
        <v>0</v>
      </c>
      <c r="G12" s="137">
        <f>报表附注!J1290</f>
        <v>0</v>
      </c>
      <c r="H12" s="137">
        <f>报表附注!K1290</f>
        <v>0</v>
      </c>
      <c r="I12" s="137">
        <f>报表附注!L1290</f>
        <v>0</v>
      </c>
      <c r="J12" s="137">
        <f>报表附注!M1290</f>
        <v>0</v>
      </c>
      <c r="K12" s="137">
        <f>报表附注!N1290</f>
        <v>0</v>
      </c>
      <c r="L12" s="137">
        <f>报表附注!O1290</f>
        <v>0</v>
      </c>
      <c r="M12" s="137">
        <f>报表附注!P1290</f>
        <v>0</v>
      </c>
      <c r="N12" s="156">
        <f t="shared" si="0"/>
        <v>3230485</v>
      </c>
    </row>
    <row r="13" customHeight="1" spans="1:14">
      <c r="A13" s="124" t="str">
        <f>报表附注!$G$1</f>
        <v>深圳新阳蓝光能源管理科技股份有限公司</v>
      </c>
      <c r="B13" s="148" t="str">
        <f>报表附注!E1291</f>
        <v>[KC]葵涌项目</v>
      </c>
      <c r="C13" s="136">
        <f>报表附注!F1291</f>
        <v>0</v>
      </c>
      <c r="D13" s="136">
        <f>报表附注!G1291</f>
        <v>0</v>
      </c>
      <c r="E13" s="136">
        <f>报表附注!H1291</f>
        <v>3004385</v>
      </c>
      <c r="F13" s="136">
        <f>报表附注!I1291</f>
        <v>0</v>
      </c>
      <c r="G13" s="137">
        <f>报表附注!J1291</f>
        <v>0</v>
      </c>
      <c r="H13" s="137">
        <f>报表附注!K1291</f>
        <v>0</v>
      </c>
      <c r="I13" s="137">
        <f>报表附注!L1291</f>
        <v>0</v>
      </c>
      <c r="J13" s="137">
        <f>报表附注!M1291</f>
        <v>0</v>
      </c>
      <c r="K13" s="137">
        <f>报表附注!N1291</f>
        <v>0</v>
      </c>
      <c r="L13" s="137">
        <f>报表附注!O1291</f>
        <v>0</v>
      </c>
      <c r="M13" s="137">
        <f>报表附注!P1291</f>
        <v>0</v>
      </c>
      <c r="N13" s="156">
        <f t="shared" si="0"/>
        <v>3004385</v>
      </c>
    </row>
    <row r="14" customHeight="1" spans="1:14">
      <c r="A14" s="124" t="str">
        <f>报表附注!$G$1</f>
        <v>深圳新阳蓝光能源管理科技股份有限公司</v>
      </c>
      <c r="B14" s="148" t="str">
        <f>报表附注!E1292</f>
        <v>[NSGAJ]南山公安局项目</v>
      </c>
      <c r="C14" s="136">
        <f>报表附注!F1292</f>
        <v>0</v>
      </c>
      <c r="D14" s="136">
        <f>报表附注!G1292</f>
        <v>0</v>
      </c>
      <c r="E14" s="136">
        <f>报表附注!H1292</f>
        <v>1130587.76</v>
      </c>
      <c r="F14" s="136">
        <f>报表附注!I1292</f>
        <v>0</v>
      </c>
      <c r="G14" s="137">
        <f>报表附注!J1292</f>
        <v>0</v>
      </c>
      <c r="H14" s="137">
        <f>报表附注!K1292</f>
        <v>0</v>
      </c>
      <c r="I14" s="137">
        <f>报表附注!L1292</f>
        <v>0</v>
      </c>
      <c r="J14" s="137">
        <f>报表附注!M1292</f>
        <v>0</v>
      </c>
      <c r="K14" s="137">
        <f>报表附注!N1292</f>
        <v>0</v>
      </c>
      <c r="L14" s="137">
        <f>报表附注!O1292</f>
        <v>0</v>
      </c>
      <c r="M14" s="137">
        <f>报表附注!P1292</f>
        <v>0</v>
      </c>
      <c r="N14" s="156">
        <f t="shared" si="0"/>
        <v>1130587.76</v>
      </c>
    </row>
    <row r="15" customHeight="1" spans="1:14">
      <c r="A15" s="124" t="str">
        <f>报表附注!$G$1</f>
        <v>深圳新阳蓝光能源管理科技股份有限公司</v>
      </c>
      <c r="B15" s="148" t="str">
        <f>报表附注!E1293</f>
        <v>[NSXM]深圳南山教育局项目</v>
      </c>
      <c r="C15" s="136">
        <f>报表附注!F1293</f>
        <v>0</v>
      </c>
      <c r="D15" s="136">
        <f>报表附注!G1293</f>
        <v>4708</v>
      </c>
      <c r="E15" s="136">
        <f>报表附注!H1293</f>
        <v>5689381</v>
      </c>
      <c r="F15" s="136">
        <f>报表附注!I1293</f>
        <v>3090613.38</v>
      </c>
      <c r="G15" s="137">
        <f>报表附注!J1293</f>
        <v>0</v>
      </c>
      <c r="H15" s="137">
        <f>报表附注!K1293</f>
        <v>0</v>
      </c>
      <c r="I15" s="137">
        <f>报表附注!L1293</f>
        <v>0</v>
      </c>
      <c r="J15" s="137">
        <f>报表附注!M1293</f>
        <v>0</v>
      </c>
      <c r="K15" s="137">
        <f>报表附注!N1293</f>
        <v>0</v>
      </c>
      <c r="L15" s="137">
        <f>报表附注!O1293</f>
        <v>0</v>
      </c>
      <c r="M15" s="137">
        <f>报表附注!P1293</f>
        <v>0</v>
      </c>
      <c r="N15" s="156">
        <f t="shared" si="0"/>
        <v>2603475.62</v>
      </c>
    </row>
    <row r="16" customHeight="1" spans="1:14">
      <c r="A16" s="124" t="str">
        <f>报表附注!$G$1</f>
        <v>深圳新阳蓝光能源管理科技股份有限公司</v>
      </c>
      <c r="B16" s="148" t="str">
        <f>报表附注!E1294</f>
        <v>[STXM]汕头项目</v>
      </c>
      <c r="C16" s="136">
        <f>报表附注!F1294</f>
        <v>0</v>
      </c>
      <c r="D16" s="136">
        <f>报表附注!G1294</f>
        <v>0</v>
      </c>
      <c r="E16" s="136">
        <f>报表附注!H1294</f>
        <v>7095788.1</v>
      </c>
      <c r="F16" s="136">
        <f>报表附注!I1294</f>
        <v>0</v>
      </c>
      <c r="G16" s="137">
        <f>报表附注!J1294</f>
        <v>0</v>
      </c>
      <c r="H16" s="137">
        <f>报表附注!K1294</f>
        <v>0</v>
      </c>
      <c r="I16" s="137">
        <f>报表附注!L1294</f>
        <v>0</v>
      </c>
      <c r="J16" s="137">
        <f>报表附注!M1294</f>
        <v>0</v>
      </c>
      <c r="K16" s="137">
        <f>报表附注!N1294</f>
        <v>0</v>
      </c>
      <c r="L16" s="137">
        <f>报表附注!O1294</f>
        <v>0</v>
      </c>
      <c r="M16" s="137">
        <f>报表附注!P1294</f>
        <v>0</v>
      </c>
      <c r="N16" s="156">
        <f t="shared" si="0"/>
        <v>7095788.1</v>
      </c>
    </row>
    <row r="17" customHeight="1" spans="1:14">
      <c r="A17" s="124" t="str">
        <f>报表附注!$G$1</f>
        <v>深圳新阳蓝光能源管理科技股份有限公司</v>
      </c>
      <c r="B17" s="148" t="str">
        <f>报表附注!E1295</f>
        <v>[SYDS]深圳水源大厦</v>
      </c>
      <c r="C17" s="136">
        <f>报表附注!F1295</f>
        <v>0</v>
      </c>
      <c r="D17" s="136">
        <f>报表附注!G1295</f>
        <v>0</v>
      </c>
      <c r="E17" s="136">
        <f>报表附注!H1295</f>
        <v>410110.6</v>
      </c>
      <c r="F17" s="136">
        <f>报表附注!I1295</f>
        <v>410110.6</v>
      </c>
      <c r="G17" s="137">
        <f>报表附注!J1295</f>
        <v>0</v>
      </c>
      <c r="H17" s="137">
        <f>报表附注!K1295</f>
        <v>0</v>
      </c>
      <c r="I17" s="137">
        <f>报表附注!L1295</f>
        <v>0</v>
      </c>
      <c r="J17" s="137">
        <f>报表附注!M1295</f>
        <v>0</v>
      </c>
      <c r="K17" s="137">
        <f>报表附注!N1295</f>
        <v>0</v>
      </c>
      <c r="L17" s="137">
        <f>报表附注!O1295</f>
        <v>0</v>
      </c>
      <c r="M17" s="137">
        <f>报表附注!P1295</f>
        <v>0</v>
      </c>
      <c r="N17" s="156">
        <f t="shared" si="0"/>
        <v>0</v>
      </c>
    </row>
    <row r="18" customHeight="1" spans="1:14">
      <c r="A18" s="124" t="str">
        <f>报表附注!$G$1</f>
        <v>深圳新阳蓝光能源管理科技股份有限公司</v>
      </c>
      <c r="B18" s="148" t="str">
        <f>报表附注!E1296</f>
        <v>[YFEQ]云浮二期项目</v>
      </c>
      <c r="C18" s="136">
        <f>报表附注!F1296</f>
        <v>0</v>
      </c>
      <c r="D18" s="136">
        <f>报表附注!G1296</f>
        <v>48174.45</v>
      </c>
      <c r="E18" s="136">
        <f>报表附注!H1296</f>
        <v>720325.7</v>
      </c>
      <c r="F18" s="136">
        <f>报表附注!I1296</f>
        <v>768500.15</v>
      </c>
      <c r="G18" s="137">
        <f>报表附注!J1296</f>
        <v>0</v>
      </c>
      <c r="H18" s="137">
        <f>报表附注!K1296</f>
        <v>0</v>
      </c>
      <c r="I18" s="137">
        <f>报表附注!L1296</f>
        <v>0</v>
      </c>
      <c r="J18" s="137">
        <f>报表附注!M1296</f>
        <v>0</v>
      </c>
      <c r="K18" s="137">
        <f>报表附注!N1296</f>
        <v>0</v>
      </c>
      <c r="L18" s="137">
        <f>报表附注!O1296</f>
        <v>0</v>
      </c>
      <c r="M18" s="137">
        <f>报表附注!P1296</f>
        <v>0</v>
      </c>
      <c r="N18" s="156">
        <f t="shared" si="0"/>
        <v>0</v>
      </c>
    </row>
    <row r="19" customHeight="1" spans="1:14">
      <c r="A19" s="124" t="str">
        <f>报表附注!$G$1</f>
        <v>深圳新阳蓝光能源管理科技股份有限公司</v>
      </c>
      <c r="B19" s="148" t="str">
        <f>报表附注!E1297</f>
        <v>[ZBT]中波台</v>
      </c>
      <c r="C19" s="136">
        <f>报表附注!F1297</f>
        <v>0</v>
      </c>
      <c r="D19" s="136">
        <f>报表附注!G1297</f>
        <v>0</v>
      </c>
      <c r="E19" s="136">
        <f>报表附注!H1297</f>
        <v>61969.1</v>
      </c>
      <c r="F19" s="136">
        <f>报表附注!I1297</f>
        <v>61969.1</v>
      </c>
      <c r="G19" s="137">
        <f>报表附注!J1297</f>
        <v>0</v>
      </c>
      <c r="H19" s="137">
        <f>报表附注!K1297</f>
        <v>0</v>
      </c>
      <c r="I19" s="137">
        <f>报表附注!L1297</f>
        <v>0</v>
      </c>
      <c r="J19" s="137">
        <f>报表附注!M1297</f>
        <v>0</v>
      </c>
      <c r="K19" s="137">
        <f>报表附注!N1297</f>
        <v>0</v>
      </c>
      <c r="L19" s="137">
        <f>报表附注!O1297</f>
        <v>0</v>
      </c>
      <c r="M19" s="137">
        <f>报表附注!P1297</f>
        <v>0</v>
      </c>
      <c r="N19" s="156">
        <f t="shared" si="0"/>
        <v>0</v>
      </c>
    </row>
    <row r="20" customHeight="1" spans="1:14">
      <c r="A20" s="124" t="str">
        <f>报表附注!$G$1</f>
        <v>深圳新阳蓝光能源管理科技股份有限公司</v>
      </c>
      <c r="B20" s="148" t="str">
        <f>报表附注!E1298</f>
        <v>广深高速三期</v>
      </c>
      <c r="C20" s="136">
        <f>报表附注!F1298</f>
        <v>0</v>
      </c>
      <c r="D20" s="136">
        <f>报表附注!G1298</f>
        <v>1000</v>
      </c>
      <c r="E20" s="136">
        <f>报表附注!H1298</f>
        <v>415310</v>
      </c>
      <c r="F20" s="136">
        <f>报表附注!I1298</f>
        <v>416310</v>
      </c>
      <c r="G20" s="137">
        <f>报表附注!J1298</f>
        <v>0</v>
      </c>
      <c r="H20" s="137">
        <f>报表附注!K1298</f>
        <v>0</v>
      </c>
      <c r="I20" s="137">
        <f>报表附注!L1298</f>
        <v>0</v>
      </c>
      <c r="J20" s="137">
        <f>报表附注!M1298</f>
        <v>0</v>
      </c>
      <c r="K20" s="137">
        <f>报表附注!N1298</f>
        <v>0</v>
      </c>
      <c r="L20" s="137">
        <f>报表附注!O1298</f>
        <v>0</v>
      </c>
      <c r="M20" s="137">
        <f>报表附注!P1298</f>
        <v>0</v>
      </c>
      <c r="N20" s="156">
        <f t="shared" si="0"/>
        <v>0</v>
      </c>
    </row>
    <row r="21" customHeight="1" spans="1:14">
      <c r="A21" s="124" t="str">
        <f>报表附注!$G$1</f>
        <v>深圳新阳蓝光能源管理科技股份有限公司</v>
      </c>
      <c r="B21" s="148">
        <f>报表附注!E1299</f>
        <v>0</v>
      </c>
      <c r="C21" s="136">
        <f>报表附注!F1299</f>
        <v>0</v>
      </c>
      <c r="D21" s="136">
        <f>报表附注!G1299</f>
        <v>0</v>
      </c>
      <c r="E21" s="136">
        <f>报表附注!H1299</f>
        <v>0</v>
      </c>
      <c r="F21" s="136">
        <f>报表附注!I1299</f>
        <v>0</v>
      </c>
      <c r="G21" s="137">
        <f>报表附注!J1299</f>
        <v>0</v>
      </c>
      <c r="H21" s="137">
        <f>报表附注!K1299</f>
        <v>0</v>
      </c>
      <c r="I21" s="137">
        <f>报表附注!L1299</f>
        <v>0</v>
      </c>
      <c r="J21" s="137">
        <f>报表附注!M1299</f>
        <v>0</v>
      </c>
      <c r="K21" s="137">
        <f>报表附注!N1299</f>
        <v>0</v>
      </c>
      <c r="L21" s="137">
        <f>报表附注!O1299</f>
        <v>0</v>
      </c>
      <c r="M21" s="137">
        <f>报表附注!P1299</f>
        <v>0</v>
      </c>
      <c r="N21" s="156">
        <f t="shared" si="0"/>
        <v>0</v>
      </c>
    </row>
    <row r="22" customHeight="1" spans="1:14">
      <c r="A22" s="124" t="str">
        <f>报表附注!$G$1</f>
        <v>深圳新阳蓝光能源管理科技股份有限公司</v>
      </c>
      <c r="B22" s="148">
        <f>报表附注!E1300</f>
        <v>0</v>
      </c>
      <c r="C22" s="136">
        <f>报表附注!F1300</f>
        <v>0</v>
      </c>
      <c r="D22" s="136">
        <f>报表附注!G1300</f>
        <v>0</v>
      </c>
      <c r="E22" s="136">
        <f>报表附注!H1300</f>
        <v>0</v>
      </c>
      <c r="F22" s="136">
        <f>报表附注!I1300</f>
        <v>0</v>
      </c>
      <c r="G22" s="137">
        <f>报表附注!J1300</f>
        <v>0</v>
      </c>
      <c r="H22" s="137">
        <f>报表附注!K1300</f>
        <v>0</v>
      </c>
      <c r="I22" s="137">
        <f>报表附注!L1300</f>
        <v>0</v>
      </c>
      <c r="J22" s="137">
        <f>报表附注!M1300</f>
        <v>0</v>
      </c>
      <c r="K22" s="137">
        <f>报表附注!N1300</f>
        <v>0</v>
      </c>
      <c r="L22" s="137">
        <f>报表附注!O1300</f>
        <v>0</v>
      </c>
      <c r="M22" s="137">
        <f>报表附注!P1300</f>
        <v>0</v>
      </c>
      <c r="N22" s="156">
        <f t="shared" si="0"/>
        <v>0</v>
      </c>
    </row>
    <row r="23" customHeight="1" spans="1:14">
      <c r="A23" s="124" t="str">
        <f>报表附注!$G$1</f>
        <v>深圳新阳蓝光能源管理科技股份有限公司</v>
      </c>
      <c r="B23" s="148">
        <f>报表附注!E1301</f>
        <v>0</v>
      </c>
      <c r="C23" s="136">
        <f>报表附注!F1301</f>
        <v>0</v>
      </c>
      <c r="D23" s="136">
        <f>报表附注!G1301</f>
        <v>0</v>
      </c>
      <c r="E23" s="136">
        <f>报表附注!H1301</f>
        <v>0</v>
      </c>
      <c r="F23" s="136">
        <f>报表附注!I1301</f>
        <v>0</v>
      </c>
      <c r="G23" s="137">
        <f>报表附注!J1301</f>
        <v>0</v>
      </c>
      <c r="H23" s="137">
        <f>报表附注!K1301</f>
        <v>0</v>
      </c>
      <c r="I23" s="137">
        <f>报表附注!L1301</f>
        <v>0</v>
      </c>
      <c r="J23" s="137">
        <f>报表附注!M1301</f>
        <v>0</v>
      </c>
      <c r="K23" s="137">
        <f>报表附注!N1301</f>
        <v>0</v>
      </c>
      <c r="L23" s="137">
        <f>报表附注!O1301</f>
        <v>0</v>
      </c>
      <c r="M23" s="137">
        <f>报表附注!P1301</f>
        <v>0</v>
      </c>
      <c r="N23" s="156">
        <f t="shared" si="0"/>
        <v>0</v>
      </c>
    </row>
    <row r="24" customHeight="1" spans="1:14">
      <c r="A24" s="124" t="str">
        <f>报表附注!$G$1</f>
        <v>深圳新阳蓝光能源管理科技股份有限公司</v>
      </c>
      <c r="B24" s="148">
        <f>报表附注!E1302</f>
        <v>0</v>
      </c>
      <c r="C24" s="136">
        <f>报表附注!F1302</f>
        <v>0</v>
      </c>
      <c r="D24" s="136">
        <f>报表附注!G1302</f>
        <v>0</v>
      </c>
      <c r="E24" s="136">
        <f>报表附注!H1302</f>
        <v>0</v>
      </c>
      <c r="F24" s="136">
        <f>报表附注!I1302</f>
        <v>0</v>
      </c>
      <c r="G24" s="137">
        <f>报表附注!J1302</f>
        <v>0</v>
      </c>
      <c r="H24" s="137">
        <f>报表附注!K1302</f>
        <v>0</v>
      </c>
      <c r="I24" s="137">
        <f>报表附注!L1302</f>
        <v>0</v>
      </c>
      <c r="J24" s="137">
        <f>报表附注!M1302</f>
        <v>0</v>
      </c>
      <c r="K24" s="137">
        <f>报表附注!N1302</f>
        <v>0</v>
      </c>
      <c r="L24" s="137">
        <f>报表附注!O1302</f>
        <v>0</v>
      </c>
      <c r="M24" s="137">
        <f>报表附注!P1302</f>
        <v>0</v>
      </c>
      <c r="N24" s="156">
        <f t="shared" si="0"/>
        <v>0</v>
      </c>
    </row>
    <row r="25" customHeight="1" spans="1:14">
      <c r="A25" s="124" t="str">
        <f>报表附注!$G$1</f>
        <v>深圳新阳蓝光能源管理科技股份有限公司</v>
      </c>
      <c r="B25" s="148">
        <f>报表附注!E1303</f>
        <v>0</v>
      </c>
      <c r="C25" s="136">
        <f>报表附注!F1303</f>
        <v>0</v>
      </c>
      <c r="D25" s="136">
        <f>报表附注!G1303</f>
        <v>0</v>
      </c>
      <c r="E25" s="136">
        <f>报表附注!H1303</f>
        <v>0</v>
      </c>
      <c r="F25" s="136">
        <f>报表附注!I1303</f>
        <v>0</v>
      </c>
      <c r="G25" s="137">
        <f>报表附注!J1303</f>
        <v>0</v>
      </c>
      <c r="H25" s="137">
        <f>报表附注!K1303</f>
        <v>0</v>
      </c>
      <c r="I25" s="137">
        <f>报表附注!L1303</f>
        <v>0</v>
      </c>
      <c r="J25" s="137">
        <f>报表附注!M1303</f>
        <v>0</v>
      </c>
      <c r="K25" s="137">
        <f>报表附注!N1303</f>
        <v>0</v>
      </c>
      <c r="L25" s="137">
        <f>报表附注!O1303</f>
        <v>0</v>
      </c>
      <c r="M25" s="137">
        <f>报表附注!P1303</f>
        <v>0</v>
      </c>
      <c r="N25" s="156">
        <f t="shared" si="0"/>
        <v>0</v>
      </c>
    </row>
    <row r="26" customHeight="1" spans="1:14">
      <c r="A26" s="124" t="str">
        <f>报表附注!$G$1</f>
        <v>深圳新阳蓝光能源管理科技股份有限公司</v>
      </c>
      <c r="B26" s="148">
        <f>报表附注!E1304</f>
        <v>0</v>
      </c>
      <c r="C26" s="136">
        <f>报表附注!F1304</f>
        <v>0</v>
      </c>
      <c r="D26" s="136">
        <f>报表附注!G1304</f>
        <v>0</v>
      </c>
      <c r="E26" s="136">
        <f>报表附注!H1304</f>
        <v>0</v>
      </c>
      <c r="F26" s="136">
        <f>报表附注!I1304</f>
        <v>0</v>
      </c>
      <c r="G26" s="137">
        <f>报表附注!J1304</f>
        <v>0</v>
      </c>
      <c r="H26" s="137">
        <f>报表附注!K1304</f>
        <v>0</v>
      </c>
      <c r="I26" s="137">
        <f>报表附注!L1304</f>
        <v>0</v>
      </c>
      <c r="J26" s="137">
        <f>报表附注!M1304</f>
        <v>0</v>
      </c>
      <c r="K26" s="137">
        <f>报表附注!N1304</f>
        <v>0</v>
      </c>
      <c r="L26" s="137">
        <f>报表附注!O1304</f>
        <v>0</v>
      </c>
      <c r="M26" s="137">
        <f>报表附注!P1304</f>
        <v>0</v>
      </c>
      <c r="N26" s="156">
        <f t="shared" si="0"/>
        <v>0</v>
      </c>
    </row>
    <row r="27" customHeight="1" spans="1:14">
      <c r="A27" s="124" t="str">
        <f>报表附注!$G$1</f>
        <v>深圳新阳蓝光能源管理科技股份有限公司</v>
      </c>
      <c r="B27" s="148">
        <f>报表附注!E1305</f>
        <v>0</v>
      </c>
      <c r="C27" s="136">
        <f>报表附注!F1305</f>
        <v>0</v>
      </c>
      <c r="D27" s="136">
        <f>报表附注!G1305</f>
        <v>0</v>
      </c>
      <c r="E27" s="136">
        <f>报表附注!H1305</f>
        <v>0</v>
      </c>
      <c r="F27" s="136">
        <f>报表附注!I1305</f>
        <v>0</v>
      </c>
      <c r="G27" s="137">
        <f>报表附注!J1305</f>
        <v>0</v>
      </c>
      <c r="H27" s="137">
        <f>报表附注!K1305</f>
        <v>0</v>
      </c>
      <c r="I27" s="137">
        <f>报表附注!L1305</f>
        <v>0</v>
      </c>
      <c r="J27" s="137">
        <f>报表附注!M1305</f>
        <v>0</v>
      </c>
      <c r="K27" s="137">
        <f>报表附注!N1305</f>
        <v>0</v>
      </c>
      <c r="L27" s="137">
        <f>报表附注!O1305</f>
        <v>0</v>
      </c>
      <c r="M27" s="137">
        <f>报表附注!P1305</f>
        <v>0</v>
      </c>
      <c r="N27" s="156">
        <f t="shared" si="0"/>
        <v>0</v>
      </c>
    </row>
    <row r="28" customHeight="1" spans="1:14">
      <c r="A28" s="124" t="str">
        <f>报表附注!$G$1</f>
        <v>深圳新阳蓝光能源管理科技股份有限公司</v>
      </c>
      <c r="B28" s="148">
        <f>报表附注!E1306</f>
        <v>0</v>
      </c>
      <c r="C28" s="136">
        <f>报表附注!F1306</f>
        <v>0</v>
      </c>
      <c r="D28" s="136">
        <f>报表附注!G1306</f>
        <v>0</v>
      </c>
      <c r="E28" s="136">
        <f>报表附注!H1306</f>
        <v>0</v>
      </c>
      <c r="F28" s="136">
        <f>报表附注!I1306</f>
        <v>0</v>
      </c>
      <c r="G28" s="137">
        <f>报表附注!J1306</f>
        <v>0</v>
      </c>
      <c r="H28" s="137">
        <f>报表附注!K1306</f>
        <v>0</v>
      </c>
      <c r="I28" s="137">
        <f>报表附注!L1306</f>
        <v>0</v>
      </c>
      <c r="J28" s="137">
        <f>报表附注!M1306</f>
        <v>0</v>
      </c>
      <c r="K28" s="137">
        <f>报表附注!N1306</f>
        <v>0</v>
      </c>
      <c r="L28" s="137">
        <f>报表附注!O1306</f>
        <v>0</v>
      </c>
      <c r="M28" s="137">
        <f>报表附注!P1306</f>
        <v>0</v>
      </c>
      <c r="N28" s="156">
        <f t="shared" si="0"/>
        <v>0</v>
      </c>
    </row>
    <row r="29" customHeight="1" spans="1:14">
      <c r="A29" s="124" t="str">
        <f>报表附注!$G$1</f>
        <v>深圳新阳蓝光能源管理科技股份有限公司</v>
      </c>
      <c r="B29" s="148">
        <f>报表附注!E1307</f>
        <v>0</v>
      </c>
      <c r="C29" s="136">
        <f>报表附注!F1307</f>
        <v>0</v>
      </c>
      <c r="D29" s="136">
        <f>报表附注!G1307</f>
        <v>0</v>
      </c>
      <c r="E29" s="136">
        <f>报表附注!H1307</f>
        <v>0</v>
      </c>
      <c r="F29" s="136">
        <f>报表附注!I1307</f>
        <v>0</v>
      </c>
      <c r="G29" s="137">
        <f>报表附注!J1307</f>
        <v>0</v>
      </c>
      <c r="H29" s="137">
        <f>报表附注!K1307</f>
        <v>0</v>
      </c>
      <c r="I29" s="137">
        <f>报表附注!L1307</f>
        <v>0</v>
      </c>
      <c r="J29" s="137">
        <f>报表附注!M1307</f>
        <v>0</v>
      </c>
      <c r="K29" s="137">
        <f>报表附注!N1307</f>
        <v>0</v>
      </c>
      <c r="L29" s="137">
        <f>报表附注!O1307</f>
        <v>0</v>
      </c>
      <c r="M29" s="137">
        <f>报表附注!P1307</f>
        <v>0</v>
      </c>
      <c r="N29" s="156">
        <f t="shared" si="0"/>
        <v>0</v>
      </c>
    </row>
    <row r="30" customHeight="1" spans="1:14">
      <c r="A30" s="124" t="str">
        <f>报表附注!$G$1</f>
        <v>深圳新阳蓝光能源管理科技股份有限公司</v>
      </c>
      <c r="B30" s="149">
        <f>报表附注!E1308</f>
        <v>0</v>
      </c>
      <c r="C30" s="136">
        <f>报表附注!F1308</f>
        <v>0</v>
      </c>
      <c r="D30" s="136">
        <f>报表附注!G1308</f>
        <v>0</v>
      </c>
      <c r="E30" s="136">
        <f>报表附注!H1308</f>
        <v>0</v>
      </c>
      <c r="F30" s="136">
        <f>报表附注!I1308</f>
        <v>0</v>
      </c>
      <c r="G30" s="137">
        <f>报表附注!J1308</f>
        <v>0</v>
      </c>
      <c r="H30" s="137">
        <f>报表附注!K1308</f>
        <v>0</v>
      </c>
      <c r="I30" s="137">
        <f>报表附注!L1308</f>
        <v>0</v>
      </c>
      <c r="J30" s="137">
        <f>报表附注!M1308</f>
        <v>0</v>
      </c>
      <c r="K30" s="137">
        <f>报表附注!N1308</f>
        <v>0</v>
      </c>
      <c r="L30" s="137">
        <f>报表附注!O1308</f>
        <v>0</v>
      </c>
      <c r="M30" s="137">
        <f>报表附注!P1308</f>
        <v>0</v>
      </c>
      <c r="N30" s="156">
        <f t="shared" si="0"/>
        <v>0</v>
      </c>
    </row>
    <row r="31" customHeight="1" spans="1:14">
      <c r="A31" s="124" t="str">
        <f>报表附注!$G$1</f>
        <v>深圳新阳蓝光能源管理科技股份有限公司</v>
      </c>
      <c r="B31" s="150" t="s">
        <v>2021</v>
      </c>
      <c r="C31" s="151">
        <f>ROUND(SUM(C3:C30),2)</f>
        <v>0</v>
      </c>
      <c r="D31" s="151">
        <f t="shared" ref="D31:K31" si="2">ROUND(SUM(D3:D30),2)</f>
        <v>2327419.91</v>
      </c>
      <c r="E31" s="151">
        <f t="shared" si="2"/>
        <v>55162770.71</v>
      </c>
      <c r="F31" s="151">
        <f t="shared" si="2"/>
        <v>6792196.69</v>
      </c>
      <c r="G31" s="151">
        <f t="shared" si="2"/>
        <v>0</v>
      </c>
      <c r="H31" s="151"/>
      <c r="I31" s="151"/>
      <c r="J31" s="151">
        <f t="shared" si="2"/>
        <v>0</v>
      </c>
      <c r="K31" s="151">
        <f t="shared" si="2"/>
        <v>0</v>
      </c>
      <c r="L31" s="151"/>
      <c r="M31" s="151"/>
      <c r="N31" s="157">
        <f t="shared" ref="N31" si="3">SUM(N3:N30)</f>
        <v>50697993.93</v>
      </c>
    </row>
  </sheetData>
  <sheetProtection formatCells="0" formatColumns="0" formatRows="0"/>
  <conditionalFormatting sqref="B1:B31 P1:P9">
    <cfRule type="containsText" dxfId="6" priority="6" operator="between" text="文字描述">
      <formula>NOT(ISERROR(SEARCH("文字描述",B1)))</formula>
    </cfRule>
  </conditionalFormatting>
  <pageMargins left="0.7" right="0.7" top="0.75" bottom="0.75" header="0.3" footer="0.3"/>
  <headerFooter/>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K32"/>
  <sheetViews>
    <sheetView topLeftCell="B1" workbookViewId="0">
      <pane xSplit="1" ySplit="1" topLeftCell="C2" activePane="bottomRight" state="frozen"/>
      <selection/>
      <selection pane="topRight"/>
      <selection pane="bottomLeft"/>
      <selection pane="bottomRight" activeCell="F21" sqref="F21"/>
    </sheetView>
  </sheetViews>
  <sheetFormatPr defaultColWidth="9" defaultRowHeight="14.25"/>
  <cols>
    <col min="1" max="1" width="7.5" hidden="1" customWidth="1"/>
    <col min="2" max="2" width="25" customWidth="1"/>
    <col min="3" max="9" width="15.375" customWidth="1"/>
  </cols>
  <sheetData>
    <row r="1" spans="1:11">
      <c r="A1" s="124" t="str">
        <f>报表附注!$G$1</f>
        <v>深圳新阳蓝光能源管理科技股份有限公司</v>
      </c>
      <c r="B1" s="132" t="s">
        <v>61</v>
      </c>
      <c r="C1" s="132" t="s">
        <v>929</v>
      </c>
      <c r="D1" s="132" t="s">
        <v>1971</v>
      </c>
      <c r="E1" s="132" t="s">
        <v>1220</v>
      </c>
      <c r="F1" s="132" t="s">
        <v>3415</v>
      </c>
      <c r="G1" s="132" t="s">
        <v>818</v>
      </c>
      <c r="H1" s="132" t="s">
        <v>1970</v>
      </c>
      <c r="I1" s="140" t="s">
        <v>3416</v>
      </c>
      <c r="K1" s="141"/>
    </row>
    <row r="2" spans="1:9">
      <c r="A2" s="124" t="str">
        <f>报表附注!$G$1</f>
        <v>深圳新阳蓝光能源管理科技股份有限公司</v>
      </c>
      <c r="B2" s="133" t="str">
        <f>报表附注!E1522</f>
        <v>长园办公楼装修</v>
      </c>
      <c r="C2" s="134">
        <f>报表附注!F1522</f>
        <v>0</v>
      </c>
      <c r="D2" s="134">
        <f>报表附注!G1522</f>
        <v>99456.65</v>
      </c>
      <c r="E2" s="134">
        <f>报表附注!H1522</f>
        <v>0</v>
      </c>
      <c r="F2" s="134">
        <f>报表附注!I1522</f>
        <v>99456.65</v>
      </c>
      <c r="G2" s="134">
        <f>报表附注!J1522</f>
        <v>0</v>
      </c>
      <c r="H2" s="135">
        <f>ROUND(D2+E2-F2-G2,2)</f>
        <v>0</v>
      </c>
      <c r="I2" s="142"/>
    </row>
    <row r="3" spans="1:9">
      <c r="A3" s="124" t="str">
        <f>报表附注!$G$1</f>
        <v>深圳新阳蓝光能源管理科技股份有限公司</v>
      </c>
      <c r="B3" s="133" t="str">
        <f>报表附注!E1523</f>
        <v>厚街仓库装修</v>
      </c>
      <c r="C3" s="134">
        <f>报表附注!F1523</f>
        <v>0</v>
      </c>
      <c r="D3" s="134">
        <f>报表附注!G1523</f>
        <v>85625.03</v>
      </c>
      <c r="E3" s="134">
        <f>报表附注!H1523</f>
        <v>0</v>
      </c>
      <c r="F3" s="134">
        <f>报表附注!I1523</f>
        <v>68499.96</v>
      </c>
      <c r="G3" s="134">
        <f>报表附注!J1523</f>
        <v>0</v>
      </c>
      <c r="H3" s="135">
        <f t="shared" ref="H3:H31" si="0">ROUND(D3+E3-F3-G3,2)</f>
        <v>17125.07</v>
      </c>
      <c r="I3" s="142"/>
    </row>
    <row r="4" spans="1:9">
      <c r="A4" s="124" t="str">
        <f>报表附注!$G$1</f>
        <v>深圳新阳蓝光能源管理科技股份有限公司</v>
      </c>
      <c r="B4" s="133" t="str">
        <f>报表附注!E1524</f>
        <v>欧诺装修款（201511-202010）</v>
      </c>
      <c r="C4" s="134">
        <f>报表附注!F1524</f>
        <v>0</v>
      </c>
      <c r="D4" s="134">
        <f>报表附注!G1524</f>
        <v>193333.34</v>
      </c>
      <c r="E4" s="134">
        <f>报表附注!H1524</f>
        <v>0</v>
      </c>
      <c r="F4" s="134">
        <f>报表附注!I1524</f>
        <v>39999.96</v>
      </c>
      <c r="G4" s="134">
        <f>报表附注!J1524</f>
        <v>0</v>
      </c>
      <c r="H4" s="135">
        <f t="shared" si="0"/>
        <v>153333.38</v>
      </c>
      <c r="I4" s="142"/>
    </row>
    <row r="5" spans="1:9">
      <c r="A5" s="124" t="str">
        <f>报表附注!$G$1</f>
        <v>深圳新阳蓝光能源管理科技股份有限公司</v>
      </c>
      <c r="B5" s="133" t="str">
        <f>报表附注!E1525</f>
        <v>项目4</v>
      </c>
      <c r="C5" s="134">
        <f>报表附注!F1525</f>
        <v>0</v>
      </c>
      <c r="D5" s="134">
        <f>报表附注!G1525</f>
        <v>0</v>
      </c>
      <c r="E5" s="134">
        <f>报表附注!H1525</f>
        <v>0</v>
      </c>
      <c r="F5" s="134">
        <f>报表附注!I1525</f>
        <v>0</v>
      </c>
      <c r="G5" s="134">
        <f>报表附注!J1525</f>
        <v>0</v>
      </c>
      <c r="H5" s="135">
        <f t="shared" si="0"/>
        <v>0</v>
      </c>
      <c r="I5" s="142"/>
    </row>
    <row r="6" spans="1:9">
      <c r="A6" s="124" t="str">
        <f>报表附注!$G$1</f>
        <v>深圳新阳蓝光能源管理科技股份有限公司</v>
      </c>
      <c r="B6" s="133" t="str">
        <f>报表附注!E1526</f>
        <v>项目5</v>
      </c>
      <c r="C6" s="134">
        <f>报表附注!F1526</f>
        <v>0</v>
      </c>
      <c r="D6" s="134">
        <f>报表附注!G1526</f>
        <v>0</v>
      </c>
      <c r="E6" s="134">
        <f>报表附注!H1526</f>
        <v>0</v>
      </c>
      <c r="F6" s="134">
        <f>报表附注!I1526</f>
        <v>0</v>
      </c>
      <c r="G6" s="134">
        <f>报表附注!J1526</f>
        <v>0</v>
      </c>
      <c r="H6" s="135">
        <f t="shared" si="0"/>
        <v>0</v>
      </c>
      <c r="I6" s="142"/>
    </row>
    <row r="7" spans="1:9">
      <c r="A7" s="124" t="str">
        <f>报表附注!$G$1</f>
        <v>深圳新阳蓝光能源管理科技股份有限公司</v>
      </c>
      <c r="B7" s="133" t="str">
        <f>报表附注!E1527</f>
        <v>项目6</v>
      </c>
      <c r="C7" s="134">
        <f>报表附注!F1527</f>
        <v>0</v>
      </c>
      <c r="D7" s="134">
        <f>报表附注!G1527</f>
        <v>0</v>
      </c>
      <c r="E7" s="134">
        <f>报表附注!H1527</f>
        <v>0</v>
      </c>
      <c r="F7" s="134">
        <f>报表附注!I1527</f>
        <v>0</v>
      </c>
      <c r="G7" s="134">
        <f>报表附注!J1527</f>
        <v>0</v>
      </c>
      <c r="H7" s="135">
        <f t="shared" si="0"/>
        <v>0</v>
      </c>
      <c r="I7" s="142"/>
    </row>
    <row r="8" spans="1:9">
      <c r="A8" s="124" t="str">
        <f>报表附注!$G$1</f>
        <v>深圳新阳蓝光能源管理科技股份有限公司</v>
      </c>
      <c r="B8" s="133" t="str">
        <f>报表附注!E1528</f>
        <v>项目7</v>
      </c>
      <c r="C8" s="134">
        <f>报表附注!F1528</f>
        <v>0</v>
      </c>
      <c r="D8" s="134">
        <f>报表附注!G1528</f>
        <v>0</v>
      </c>
      <c r="E8" s="134">
        <f>报表附注!H1528</f>
        <v>0</v>
      </c>
      <c r="F8" s="134">
        <f>报表附注!I1528</f>
        <v>0</v>
      </c>
      <c r="G8" s="134">
        <f>报表附注!J1528</f>
        <v>0</v>
      </c>
      <c r="H8" s="135">
        <f t="shared" si="0"/>
        <v>0</v>
      </c>
      <c r="I8" s="142"/>
    </row>
    <row r="9" spans="1:9">
      <c r="A9" s="124" t="str">
        <f>报表附注!$G$1</f>
        <v>深圳新阳蓝光能源管理科技股份有限公司</v>
      </c>
      <c r="B9" s="133" t="str">
        <f>报表附注!E1529</f>
        <v>项目8</v>
      </c>
      <c r="C9" s="134">
        <f>报表附注!F1529</f>
        <v>0</v>
      </c>
      <c r="D9" s="134">
        <f>报表附注!G1529</f>
        <v>0</v>
      </c>
      <c r="E9" s="134">
        <f>报表附注!H1529</f>
        <v>0</v>
      </c>
      <c r="F9" s="134">
        <f>报表附注!I1529</f>
        <v>0</v>
      </c>
      <c r="G9" s="134">
        <f>报表附注!J1529</f>
        <v>0</v>
      </c>
      <c r="H9" s="135">
        <f t="shared" si="0"/>
        <v>0</v>
      </c>
      <c r="I9" s="142"/>
    </row>
    <row r="10" spans="1:9">
      <c r="A10" s="124" t="str">
        <f>报表附注!$G$1</f>
        <v>深圳新阳蓝光能源管理科技股份有限公司</v>
      </c>
      <c r="B10" s="133" t="str">
        <f>报表附注!E1530</f>
        <v>项目9</v>
      </c>
      <c r="C10" s="134">
        <f>报表附注!F1530</f>
        <v>0</v>
      </c>
      <c r="D10" s="134">
        <f>报表附注!G1530</f>
        <v>0</v>
      </c>
      <c r="E10" s="134">
        <f>报表附注!H1530</f>
        <v>0</v>
      </c>
      <c r="F10" s="134">
        <f>报表附注!I1530</f>
        <v>0</v>
      </c>
      <c r="G10" s="134">
        <f>报表附注!J1530</f>
        <v>0</v>
      </c>
      <c r="H10" s="135">
        <f t="shared" si="0"/>
        <v>0</v>
      </c>
      <c r="I10" s="142"/>
    </row>
    <row r="11" spans="1:9">
      <c r="A11" s="124" t="str">
        <f>报表附注!$G$1</f>
        <v>深圳新阳蓝光能源管理科技股份有限公司</v>
      </c>
      <c r="B11" s="133" t="str">
        <f>报表附注!E1531</f>
        <v>项目10</v>
      </c>
      <c r="C11" s="134">
        <f>报表附注!F1531</f>
        <v>0</v>
      </c>
      <c r="D11" s="134">
        <f>报表附注!G1531</f>
        <v>0</v>
      </c>
      <c r="E11" s="134">
        <f>报表附注!H1531</f>
        <v>0</v>
      </c>
      <c r="F11" s="134">
        <f>报表附注!I1531</f>
        <v>0</v>
      </c>
      <c r="G11" s="134">
        <f>报表附注!J1531</f>
        <v>0</v>
      </c>
      <c r="H11" s="135">
        <f t="shared" si="0"/>
        <v>0</v>
      </c>
      <c r="I11" s="142"/>
    </row>
    <row r="12" spans="1:9">
      <c r="A12" s="124" t="str">
        <f>报表附注!$G$1</f>
        <v>深圳新阳蓝光能源管理科技股份有限公司</v>
      </c>
      <c r="B12" s="133" t="str">
        <f>报表附注!E1532</f>
        <v>项目11</v>
      </c>
      <c r="C12" s="134">
        <f>报表附注!F1532</f>
        <v>0</v>
      </c>
      <c r="D12" s="134">
        <f>报表附注!G1532</f>
        <v>0</v>
      </c>
      <c r="E12" s="134">
        <f>报表附注!H1532</f>
        <v>0</v>
      </c>
      <c r="F12" s="134">
        <f>报表附注!I1532</f>
        <v>0</v>
      </c>
      <c r="G12" s="134">
        <f>报表附注!J1532</f>
        <v>0</v>
      </c>
      <c r="H12" s="135">
        <f t="shared" si="0"/>
        <v>0</v>
      </c>
      <c r="I12" s="142"/>
    </row>
    <row r="13" spans="1:9">
      <c r="A13" s="124" t="str">
        <f>报表附注!$G$1</f>
        <v>深圳新阳蓝光能源管理科技股份有限公司</v>
      </c>
      <c r="B13" s="133" t="str">
        <f>报表附注!E1533</f>
        <v>项目12</v>
      </c>
      <c r="C13" s="134">
        <f>报表附注!F1533</f>
        <v>0</v>
      </c>
      <c r="D13" s="134">
        <f>报表附注!G1533</f>
        <v>0</v>
      </c>
      <c r="E13" s="134">
        <f>报表附注!H1533</f>
        <v>0</v>
      </c>
      <c r="F13" s="134">
        <f>报表附注!I1533</f>
        <v>0</v>
      </c>
      <c r="G13" s="134">
        <f>报表附注!J1533</f>
        <v>0</v>
      </c>
      <c r="H13" s="135">
        <f t="shared" si="0"/>
        <v>0</v>
      </c>
      <c r="I13" s="142"/>
    </row>
    <row r="14" spans="1:9">
      <c r="A14" s="124" t="str">
        <f>报表附注!$G$1</f>
        <v>深圳新阳蓝光能源管理科技股份有限公司</v>
      </c>
      <c r="B14" s="133" t="str">
        <f>报表附注!E1534</f>
        <v>项目13</v>
      </c>
      <c r="C14" s="134">
        <f>报表附注!F1534</f>
        <v>0</v>
      </c>
      <c r="D14" s="134">
        <f>报表附注!G1534</f>
        <v>0</v>
      </c>
      <c r="E14" s="134">
        <f>报表附注!H1534</f>
        <v>0</v>
      </c>
      <c r="F14" s="134">
        <f>报表附注!I1534</f>
        <v>0</v>
      </c>
      <c r="G14" s="134">
        <f>报表附注!J1534</f>
        <v>0</v>
      </c>
      <c r="H14" s="135">
        <f t="shared" si="0"/>
        <v>0</v>
      </c>
      <c r="I14" s="142"/>
    </row>
    <row r="15" spans="1:9">
      <c r="A15" s="124" t="str">
        <f>报表附注!$G$1</f>
        <v>深圳新阳蓝光能源管理科技股份有限公司</v>
      </c>
      <c r="B15" s="133" t="str">
        <f>报表附注!E1535</f>
        <v>项目14</v>
      </c>
      <c r="C15" s="134">
        <f>报表附注!F1535</f>
        <v>0</v>
      </c>
      <c r="D15" s="134">
        <f>报表附注!G1535</f>
        <v>0</v>
      </c>
      <c r="E15" s="134">
        <f>报表附注!H1535</f>
        <v>0</v>
      </c>
      <c r="F15" s="134">
        <f>报表附注!I1535</f>
        <v>0</v>
      </c>
      <c r="G15" s="134">
        <f>报表附注!J1535</f>
        <v>0</v>
      </c>
      <c r="H15" s="135">
        <f t="shared" si="0"/>
        <v>0</v>
      </c>
      <c r="I15" s="142"/>
    </row>
    <row r="16" spans="1:9">
      <c r="A16" s="124" t="str">
        <f>报表附注!$G$1</f>
        <v>深圳新阳蓝光能源管理科技股份有限公司</v>
      </c>
      <c r="B16" s="133" t="str">
        <f>报表附注!E1536</f>
        <v>项目15</v>
      </c>
      <c r="C16" s="134">
        <f>报表附注!F1536</f>
        <v>0</v>
      </c>
      <c r="D16" s="134">
        <f>报表附注!G1536</f>
        <v>0</v>
      </c>
      <c r="E16" s="134">
        <f>报表附注!H1536</f>
        <v>0</v>
      </c>
      <c r="F16" s="134">
        <f>报表附注!I1536</f>
        <v>0</v>
      </c>
      <c r="G16" s="134">
        <f>报表附注!J1536</f>
        <v>0</v>
      </c>
      <c r="H16" s="135">
        <f t="shared" si="0"/>
        <v>0</v>
      </c>
      <c r="I16" s="142"/>
    </row>
    <row r="17" spans="1:9">
      <c r="A17" s="124" t="str">
        <f>报表附注!$G$1</f>
        <v>深圳新阳蓝光能源管理科技股份有限公司</v>
      </c>
      <c r="B17" s="133" t="str">
        <f>报表附注!E1537</f>
        <v>项目16</v>
      </c>
      <c r="C17" s="134">
        <f>报表附注!F1537</f>
        <v>0</v>
      </c>
      <c r="D17" s="134">
        <f>报表附注!G1537</f>
        <v>0</v>
      </c>
      <c r="E17" s="134">
        <f>报表附注!H1537</f>
        <v>0</v>
      </c>
      <c r="F17" s="134">
        <f>报表附注!I1537</f>
        <v>0</v>
      </c>
      <c r="G17" s="134">
        <f>报表附注!J1537</f>
        <v>0</v>
      </c>
      <c r="H17" s="135">
        <f t="shared" si="0"/>
        <v>0</v>
      </c>
      <c r="I17" s="142"/>
    </row>
    <row r="18" spans="1:9">
      <c r="A18" s="124" t="str">
        <f>报表附注!$G$1</f>
        <v>深圳新阳蓝光能源管理科技股份有限公司</v>
      </c>
      <c r="B18" s="133" t="str">
        <f>报表附注!E1538</f>
        <v>项目17</v>
      </c>
      <c r="C18" s="134">
        <f>报表附注!F1538</f>
        <v>0</v>
      </c>
      <c r="D18" s="134">
        <f>报表附注!G1538</f>
        <v>0</v>
      </c>
      <c r="E18" s="134">
        <f>报表附注!H1538</f>
        <v>0</v>
      </c>
      <c r="F18" s="134">
        <f>报表附注!I1538</f>
        <v>0</v>
      </c>
      <c r="G18" s="134">
        <f>报表附注!J1538</f>
        <v>0</v>
      </c>
      <c r="H18" s="135">
        <f t="shared" si="0"/>
        <v>0</v>
      </c>
      <c r="I18" s="142"/>
    </row>
    <row r="19" spans="1:9">
      <c r="A19" s="124" t="str">
        <f>报表附注!$G$1</f>
        <v>深圳新阳蓝光能源管理科技股份有限公司</v>
      </c>
      <c r="B19" s="133" t="str">
        <f>报表附注!E1539</f>
        <v>项目18</v>
      </c>
      <c r="C19" s="134">
        <f>报表附注!F1539</f>
        <v>0</v>
      </c>
      <c r="D19" s="134">
        <f>报表附注!G1539</f>
        <v>0</v>
      </c>
      <c r="E19" s="134">
        <f>报表附注!H1539</f>
        <v>0</v>
      </c>
      <c r="F19" s="134">
        <f>报表附注!I1539</f>
        <v>0</v>
      </c>
      <c r="G19" s="134">
        <f>报表附注!J1539</f>
        <v>0</v>
      </c>
      <c r="H19" s="135">
        <f t="shared" si="0"/>
        <v>0</v>
      </c>
      <c r="I19" s="142"/>
    </row>
    <row r="20" spans="1:9">
      <c r="A20" s="124" t="str">
        <f>报表附注!$G$1</f>
        <v>深圳新阳蓝光能源管理科技股份有限公司</v>
      </c>
      <c r="B20" s="133" t="str">
        <f>报表附注!E1540</f>
        <v>项目19</v>
      </c>
      <c r="C20" s="134">
        <f>报表附注!F1540</f>
        <v>0</v>
      </c>
      <c r="D20" s="134">
        <f>报表附注!G1540</f>
        <v>0</v>
      </c>
      <c r="E20" s="134">
        <f>报表附注!H1540</f>
        <v>0</v>
      </c>
      <c r="F20" s="134">
        <f>报表附注!I1540</f>
        <v>0</v>
      </c>
      <c r="G20" s="134">
        <f>报表附注!J1540</f>
        <v>0</v>
      </c>
      <c r="H20" s="135">
        <f t="shared" si="0"/>
        <v>0</v>
      </c>
      <c r="I20" s="142"/>
    </row>
    <row r="21" spans="1:9">
      <c r="A21" s="124" t="str">
        <f>报表附注!$G$1</f>
        <v>深圳新阳蓝光能源管理科技股份有限公司</v>
      </c>
      <c r="B21" s="133" t="str">
        <f>报表附注!E1541</f>
        <v>项目20</v>
      </c>
      <c r="C21" s="134">
        <f>报表附注!F1541</f>
        <v>0</v>
      </c>
      <c r="D21" s="134">
        <f>报表附注!G1541</f>
        <v>0</v>
      </c>
      <c r="E21" s="134">
        <f>报表附注!H1541</f>
        <v>0</v>
      </c>
      <c r="F21" s="134">
        <f>报表附注!I1541</f>
        <v>0</v>
      </c>
      <c r="G21" s="134">
        <f>报表附注!J1541</f>
        <v>0</v>
      </c>
      <c r="H21" s="135">
        <f t="shared" si="0"/>
        <v>0</v>
      </c>
      <c r="I21" s="142"/>
    </row>
    <row r="22" spans="1:9">
      <c r="A22" s="124" t="str">
        <f>报表附注!$G$1</f>
        <v>深圳新阳蓝光能源管理科技股份有限公司</v>
      </c>
      <c r="B22" s="133" t="str">
        <f>报表附注!E1542</f>
        <v>项目21</v>
      </c>
      <c r="C22" s="134">
        <f>报表附注!F1542</f>
        <v>0</v>
      </c>
      <c r="D22" s="134">
        <f>报表附注!G1542</f>
        <v>0</v>
      </c>
      <c r="E22" s="134">
        <f>报表附注!H1542</f>
        <v>0</v>
      </c>
      <c r="F22" s="134">
        <f>报表附注!I1542</f>
        <v>0</v>
      </c>
      <c r="G22" s="134">
        <f>报表附注!J1542</f>
        <v>0</v>
      </c>
      <c r="H22" s="135">
        <f t="shared" si="0"/>
        <v>0</v>
      </c>
      <c r="I22" s="142"/>
    </row>
    <row r="23" spans="1:9">
      <c r="A23" s="124" t="str">
        <f>报表附注!$G$1</f>
        <v>深圳新阳蓝光能源管理科技股份有限公司</v>
      </c>
      <c r="B23" s="133" t="str">
        <f>报表附注!E1543</f>
        <v>项目22</v>
      </c>
      <c r="C23" s="134">
        <f>报表附注!F1543</f>
        <v>0</v>
      </c>
      <c r="D23" s="134">
        <f>报表附注!G1543</f>
        <v>0</v>
      </c>
      <c r="E23" s="134">
        <f>报表附注!H1543</f>
        <v>0</v>
      </c>
      <c r="F23" s="134">
        <f>报表附注!I1543</f>
        <v>0</v>
      </c>
      <c r="G23" s="134">
        <f>报表附注!J1543</f>
        <v>0</v>
      </c>
      <c r="H23" s="135">
        <f t="shared" si="0"/>
        <v>0</v>
      </c>
      <c r="I23" s="142"/>
    </row>
    <row r="24" spans="1:9">
      <c r="A24" s="124" t="str">
        <f>报表附注!$G$1</f>
        <v>深圳新阳蓝光能源管理科技股份有限公司</v>
      </c>
      <c r="B24" s="133" t="str">
        <f>报表附注!E1544</f>
        <v>项目23</v>
      </c>
      <c r="C24" s="134">
        <f>报表附注!F1544</f>
        <v>0</v>
      </c>
      <c r="D24" s="134">
        <f>报表附注!G1544</f>
        <v>0</v>
      </c>
      <c r="E24" s="134">
        <f>报表附注!H1544</f>
        <v>0</v>
      </c>
      <c r="F24" s="134">
        <f>报表附注!I1544</f>
        <v>0</v>
      </c>
      <c r="G24" s="134">
        <f>报表附注!J1544</f>
        <v>0</v>
      </c>
      <c r="H24" s="135">
        <f t="shared" si="0"/>
        <v>0</v>
      </c>
      <c r="I24" s="142"/>
    </row>
    <row r="25" spans="1:9">
      <c r="A25" s="124" t="str">
        <f>报表附注!$G$1</f>
        <v>深圳新阳蓝光能源管理科技股份有限公司</v>
      </c>
      <c r="B25" s="133" t="str">
        <f>报表附注!E1545</f>
        <v>项目24</v>
      </c>
      <c r="C25" s="134">
        <f>报表附注!F1545</f>
        <v>0</v>
      </c>
      <c r="D25" s="134">
        <f>报表附注!G1545</f>
        <v>0</v>
      </c>
      <c r="E25" s="134">
        <f>报表附注!H1545</f>
        <v>0</v>
      </c>
      <c r="F25" s="134">
        <f>报表附注!I1545</f>
        <v>0</v>
      </c>
      <c r="G25" s="134">
        <f>报表附注!J1545</f>
        <v>0</v>
      </c>
      <c r="H25" s="135">
        <f t="shared" si="0"/>
        <v>0</v>
      </c>
      <c r="I25" s="142"/>
    </row>
    <row r="26" spans="1:9">
      <c r="A26" s="124" t="str">
        <f>报表附注!$G$1</f>
        <v>深圳新阳蓝光能源管理科技股份有限公司</v>
      </c>
      <c r="B26" s="133" t="str">
        <f>报表附注!E1546</f>
        <v>项目25</v>
      </c>
      <c r="C26" s="136">
        <f>报表附注!F1546</f>
        <v>0</v>
      </c>
      <c r="D26" s="136">
        <f>报表附注!G1546</f>
        <v>0</v>
      </c>
      <c r="E26" s="136">
        <f>报表附注!H1546</f>
        <v>0</v>
      </c>
      <c r="F26" s="136">
        <f>报表附注!I1546</f>
        <v>0</v>
      </c>
      <c r="G26" s="137">
        <f>报表附注!J1546</f>
        <v>0</v>
      </c>
      <c r="H26" s="135">
        <f t="shared" si="0"/>
        <v>0</v>
      </c>
      <c r="I26" s="142"/>
    </row>
    <row r="27" spans="1:9">
      <c r="A27" s="124" t="str">
        <f>报表附注!$G$1</f>
        <v>深圳新阳蓝光能源管理科技股份有限公司</v>
      </c>
      <c r="B27" s="133" t="str">
        <f>报表附注!E1547</f>
        <v>项目26</v>
      </c>
      <c r="C27" s="136">
        <f>报表附注!F1547</f>
        <v>0</v>
      </c>
      <c r="D27" s="136">
        <f>报表附注!G1547</f>
        <v>0</v>
      </c>
      <c r="E27" s="136">
        <f>报表附注!H1547</f>
        <v>0</v>
      </c>
      <c r="F27" s="136">
        <f>报表附注!I1547</f>
        <v>0</v>
      </c>
      <c r="G27" s="137">
        <f>报表附注!J1547</f>
        <v>0</v>
      </c>
      <c r="H27" s="135">
        <f t="shared" si="0"/>
        <v>0</v>
      </c>
      <c r="I27" s="142"/>
    </row>
    <row r="28" spans="1:9">
      <c r="A28" s="124" t="str">
        <f>报表附注!$G$1</f>
        <v>深圳新阳蓝光能源管理科技股份有限公司</v>
      </c>
      <c r="B28" s="133" t="str">
        <f>报表附注!E1548</f>
        <v>项目27</v>
      </c>
      <c r="C28" s="136">
        <f>报表附注!F1548</f>
        <v>0</v>
      </c>
      <c r="D28" s="136">
        <f>报表附注!G1548</f>
        <v>0</v>
      </c>
      <c r="E28" s="136">
        <f>报表附注!H1548</f>
        <v>0</v>
      </c>
      <c r="F28" s="136">
        <f>报表附注!I1548</f>
        <v>0</v>
      </c>
      <c r="G28" s="137">
        <f>报表附注!J1548</f>
        <v>0</v>
      </c>
      <c r="H28" s="135">
        <f t="shared" si="0"/>
        <v>0</v>
      </c>
      <c r="I28" s="142"/>
    </row>
    <row r="29" spans="1:9">
      <c r="A29" s="124" t="str">
        <f>报表附注!$G$1</f>
        <v>深圳新阳蓝光能源管理科技股份有限公司</v>
      </c>
      <c r="B29" s="133" t="str">
        <f>报表附注!E1549</f>
        <v>项目28</v>
      </c>
      <c r="C29" s="136">
        <f>报表附注!F1549</f>
        <v>0</v>
      </c>
      <c r="D29" s="136">
        <f>报表附注!G1549</f>
        <v>0</v>
      </c>
      <c r="E29" s="136">
        <f>报表附注!H1549</f>
        <v>0</v>
      </c>
      <c r="F29" s="136">
        <f>报表附注!I1549</f>
        <v>0</v>
      </c>
      <c r="G29" s="137">
        <f>报表附注!J1549</f>
        <v>0</v>
      </c>
      <c r="H29" s="135">
        <f t="shared" si="0"/>
        <v>0</v>
      </c>
      <c r="I29" s="142"/>
    </row>
    <row r="30" spans="1:9">
      <c r="A30" s="124" t="str">
        <f>报表附注!$G$1</f>
        <v>深圳新阳蓝光能源管理科技股份有限公司</v>
      </c>
      <c r="B30" s="133" t="str">
        <f>报表附注!E1550</f>
        <v>项目29</v>
      </c>
      <c r="C30" s="136">
        <f>报表附注!F1550</f>
        <v>0</v>
      </c>
      <c r="D30" s="136">
        <f>报表附注!G1550</f>
        <v>0</v>
      </c>
      <c r="E30" s="136">
        <f>报表附注!H1550</f>
        <v>0</v>
      </c>
      <c r="F30" s="136">
        <f>报表附注!I1550</f>
        <v>0</v>
      </c>
      <c r="G30" s="137">
        <f>报表附注!J1550</f>
        <v>0</v>
      </c>
      <c r="H30" s="135">
        <f t="shared" si="0"/>
        <v>0</v>
      </c>
      <c r="I30" s="142"/>
    </row>
    <row r="31" spans="1:9">
      <c r="A31" s="124" t="str">
        <f>报表附注!$G$1</f>
        <v>深圳新阳蓝光能源管理科技股份有限公司</v>
      </c>
      <c r="B31" s="133" t="str">
        <f>报表附注!E1551</f>
        <v>项目30</v>
      </c>
      <c r="C31" s="136">
        <f>报表附注!F1551</f>
        <v>0</v>
      </c>
      <c r="D31" s="136">
        <f>报表附注!G1551</f>
        <v>0</v>
      </c>
      <c r="E31" s="136">
        <f>报表附注!H1551</f>
        <v>0</v>
      </c>
      <c r="F31" s="136">
        <f>报表附注!I1551</f>
        <v>0</v>
      </c>
      <c r="G31" s="137">
        <f>报表附注!J1551</f>
        <v>0</v>
      </c>
      <c r="H31" s="135">
        <f t="shared" si="0"/>
        <v>0</v>
      </c>
      <c r="I31" s="142"/>
    </row>
    <row r="32" spans="1:9">
      <c r="A32" s="124" t="str">
        <f>报表附注!$G$1</f>
        <v>深圳新阳蓝光能源管理科技股份有限公司</v>
      </c>
      <c r="B32" s="138" t="s">
        <v>2021</v>
      </c>
      <c r="C32" s="139">
        <f t="shared" ref="C32" si="1">ROUND(SUM(C2:C31),2)</f>
        <v>0</v>
      </c>
      <c r="D32" s="139">
        <f t="shared" ref="D32" si="2">ROUND(SUM(D2:D31),2)</f>
        <v>378415.02</v>
      </c>
      <c r="E32" s="139">
        <f t="shared" ref="E32" si="3">ROUND(SUM(E2:E31),2)</f>
        <v>0</v>
      </c>
      <c r="F32" s="139">
        <f t="shared" ref="F32" si="4">ROUND(SUM(F2:F31),2)</f>
        <v>207956.57</v>
      </c>
      <c r="G32" s="139">
        <f t="shared" ref="G32" si="5">ROUND(SUM(G2:G31),2)</f>
        <v>0</v>
      </c>
      <c r="H32" s="139">
        <f t="shared" ref="H32" si="6">ROUND(SUM(H2:H31),2)</f>
        <v>170458.45</v>
      </c>
      <c r="I32" s="143"/>
    </row>
  </sheetData>
  <conditionalFormatting sqref="B1:B32">
    <cfRule type="containsText" dxfId="6" priority="1" operator="between" text="文字描述">
      <formula>NOT(ISERROR(SEARCH("文字描述",B1)))</formula>
    </cfRule>
  </conditionalFormatting>
  <pageMargins left="0.7" right="0.7" top="0.75" bottom="0.75" header="0.3" footer="0.3"/>
  <headerFooter/>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20" zoomScaleNormal="120" workbookViewId="0">
      <pane xSplit="2" ySplit="2" topLeftCell="C3" activePane="bottomRight" state="frozen"/>
      <selection/>
      <selection pane="topRight"/>
      <selection pane="bottomLeft"/>
      <selection pane="bottomRight" activeCell="A1" sqref="A1"/>
    </sheetView>
  </sheetViews>
  <sheetFormatPr defaultColWidth="9" defaultRowHeight="12.95" customHeight="1"/>
  <cols>
    <col min="1" max="1" width="4.125" hidden="1" customWidth="1"/>
    <col min="2" max="2" width="22.125" customWidth="1"/>
    <col min="3" max="17" width="13.625" customWidth="1"/>
  </cols>
  <sheetData>
    <row r="1" customHeight="1" spans="1:17">
      <c r="A1" s="69" t="str">
        <f>报表附注!G1</f>
        <v>深圳新阳蓝光能源管理科技股份有限公司</v>
      </c>
      <c r="B1" s="70" t="s">
        <v>4838</v>
      </c>
      <c r="C1" s="71" t="s">
        <v>4720</v>
      </c>
      <c r="D1" s="90"/>
      <c r="E1" s="90"/>
      <c r="F1" s="90"/>
      <c r="G1" s="90"/>
      <c r="H1" s="73" t="s">
        <v>6038</v>
      </c>
      <c r="I1" s="73"/>
      <c r="J1" s="73"/>
      <c r="K1" s="73"/>
      <c r="L1" s="73"/>
      <c r="M1" s="109" t="s">
        <v>6039</v>
      </c>
      <c r="N1" s="129"/>
      <c r="O1" s="129"/>
      <c r="P1" s="129"/>
      <c r="Q1" s="129"/>
    </row>
    <row r="2" customHeight="1" spans="1:17">
      <c r="A2" s="69" t="str">
        <f>A1</f>
        <v>深圳新阳蓝光能源管理科技股份有限公司</v>
      </c>
      <c r="B2" s="112" t="s">
        <v>61</v>
      </c>
      <c r="C2" s="112" t="s">
        <v>4960</v>
      </c>
      <c r="D2" s="112" t="s">
        <v>2100</v>
      </c>
      <c r="E2" s="112" t="s">
        <v>4842</v>
      </c>
      <c r="F2" s="112" t="s">
        <v>4843</v>
      </c>
      <c r="G2" s="112" t="s">
        <v>2021</v>
      </c>
      <c r="H2" s="113" t="s">
        <v>4960</v>
      </c>
      <c r="I2" s="113" t="s">
        <v>2100</v>
      </c>
      <c r="J2" s="113" t="s">
        <v>4842</v>
      </c>
      <c r="K2" s="113" t="s">
        <v>4843</v>
      </c>
      <c r="L2" s="113" t="s">
        <v>2021</v>
      </c>
      <c r="M2" s="113" t="s">
        <v>4960</v>
      </c>
      <c r="N2" s="113" t="s">
        <v>2100</v>
      </c>
      <c r="O2" s="113" t="s">
        <v>4842</v>
      </c>
      <c r="P2" s="113" t="s">
        <v>4843</v>
      </c>
      <c r="Q2" s="113" t="s">
        <v>2021</v>
      </c>
    </row>
    <row r="3" customHeight="1" spans="1:17">
      <c r="A3" s="69" t="str">
        <f t="shared" ref="A3:A52" si="0">A2</f>
        <v>深圳新阳蓝光能源管理科技股份有限公司</v>
      </c>
      <c r="B3" s="84" t="s">
        <v>4846</v>
      </c>
      <c r="C3" s="114"/>
      <c r="D3" s="114"/>
      <c r="E3" s="114"/>
      <c r="F3" s="114"/>
      <c r="G3" s="114"/>
      <c r="H3" s="115"/>
      <c r="I3" s="115"/>
      <c r="J3" s="115"/>
      <c r="K3" s="115"/>
      <c r="L3" s="115"/>
      <c r="M3" s="115"/>
      <c r="N3" s="115"/>
      <c r="O3" s="115"/>
      <c r="P3" s="115"/>
      <c r="Q3" s="115"/>
    </row>
    <row r="4" customHeight="1" spans="1:17">
      <c r="A4" s="69" t="str">
        <f t="shared" si="0"/>
        <v>深圳新阳蓝光能源管理科技股份有限公司</v>
      </c>
      <c r="B4" s="84" t="s">
        <v>4849</v>
      </c>
      <c r="C4" s="116">
        <f>报表附注!F3798</f>
        <v>81847437.29</v>
      </c>
      <c r="D4" s="116">
        <f>报表附注!G3798</f>
        <v>300000</v>
      </c>
      <c r="E4" s="116">
        <f>报表附注!H3798</f>
        <v>1717158</v>
      </c>
      <c r="F4" s="116">
        <f>报表附注!I3798</f>
        <v>416187.98</v>
      </c>
      <c r="G4" s="78">
        <f>ROUND(SUM(C4:F4),2)</f>
        <v>84280783.27</v>
      </c>
      <c r="H4" s="117"/>
      <c r="I4" s="117"/>
      <c r="J4" s="117"/>
      <c r="K4" s="117"/>
      <c r="L4" s="130">
        <f>ROUND(SUM(H4:K4),2)</f>
        <v>0</v>
      </c>
      <c r="M4" s="111">
        <f>C4-H4</f>
        <v>81847437.29</v>
      </c>
      <c r="N4" s="111">
        <f t="shared" ref="N4:P4" si="1">D4-I4</f>
        <v>300000</v>
      </c>
      <c r="O4" s="111">
        <f t="shared" si="1"/>
        <v>1717158</v>
      </c>
      <c r="P4" s="111">
        <f t="shared" si="1"/>
        <v>416187.98</v>
      </c>
      <c r="Q4" s="130">
        <f>ROUND(SUM(M4:P4),2)</f>
        <v>84280783.27</v>
      </c>
    </row>
    <row r="5" customHeight="1" spans="1:17">
      <c r="A5" s="69" t="str">
        <f t="shared" si="0"/>
        <v>深圳新阳蓝光能源管理科技股份有限公司</v>
      </c>
      <c r="B5" s="84" t="s">
        <v>4852</v>
      </c>
      <c r="C5" s="78">
        <f>ROUND(SUM(C6:C11),2)</f>
        <v>6792196.69</v>
      </c>
      <c r="D5" s="78">
        <f t="shared" ref="D5:F5" si="2">ROUND(SUM(D6:D11),2)</f>
        <v>0</v>
      </c>
      <c r="E5" s="78">
        <f t="shared" si="2"/>
        <v>78343.34</v>
      </c>
      <c r="F5" s="78">
        <f t="shared" si="2"/>
        <v>47775.65</v>
      </c>
      <c r="G5" s="78">
        <f t="shared" ref="G5:G39" si="3">ROUND(SUM(C5:F5),2)</f>
        <v>6918315.68</v>
      </c>
      <c r="H5" s="118">
        <f>ROUND(SUM(H6:H11),2)</f>
        <v>0</v>
      </c>
      <c r="I5" s="118">
        <f t="shared" ref="I5:K5" si="4">ROUND(SUM(I6:I11),2)</f>
        <v>0</v>
      </c>
      <c r="J5" s="118">
        <f t="shared" si="4"/>
        <v>0</v>
      </c>
      <c r="K5" s="118">
        <f t="shared" si="4"/>
        <v>0</v>
      </c>
      <c r="L5" s="130">
        <f t="shared" ref="L5:L39" si="5">ROUND(SUM(H5:K5),2)</f>
        <v>0</v>
      </c>
      <c r="M5" s="130">
        <f>ROUND(SUM(M6:M11),2)</f>
        <v>6792196.69</v>
      </c>
      <c r="N5" s="130">
        <f t="shared" ref="N5:P5" si="6">ROUND(SUM(N6:N11),2)</f>
        <v>0</v>
      </c>
      <c r="O5" s="130">
        <f t="shared" si="6"/>
        <v>78343.34</v>
      </c>
      <c r="P5" s="130">
        <f t="shared" si="6"/>
        <v>47775.65</v>
      </c>
      <c r="Q5" s="130">
        <f t="shared" ref="Q5:Q39" si="7">ROUND(SUM(M5:P5),2)</f>
        <v>6918315.68</v>
      </c>
    </row>
    <row r="6" customHeight="1" spans="1:17">
      <c r="A6" s="69" t="str">
        <f t="shared" si="0"/>
        <v>深圳新阳蓝光能源管理科技股份有限公司</v>
      </c>
      <c r="B6" s="119" t="s">
        <v>4855</v>
      </c>
      <c r="C6" s="116">
        <f>报表附注!F3800</f>
        <v>0</v>
      </c>
      <c r="D6" s="116">
        <f>报表附注!G3800</f>
        <v>0</v>
      </c>
      <c r="E6" s="116">
        <f>报表附注!H3800</f>
        <v>78343.34</v>
      </c>
      <c r="F6" s="116">
        <f>报表附注!I3800</f>
        <v>47775.65</v>
      </c>
      <c r="G6" s="78">
        <f t="shared" si="3"/>
        <v>126118.99</v>
      </c>
      <c r="H6" s="120"/>
      <c r="I6" s="120"/>
      <c r="J6" s="120"/>
      <c r="K6" s="120"/>
      <c r="L6" s="130">
        <f t="shared" si="5"/>
        <v>0</v>
      </c>
      <c r="M6" s="111">
        <f t="shared" ref="M6:M11" si="8">C6-H6</f>
        <v>0</v>
      </c>
      <c r="N6" s="111">
        <f t="shared" ref="N6:N11" si="9">D6-I6</f>
        <v>0</v>
      </c>
      <c r="O6" s="111">
        <f t="shared" ref="O6:O11" si="10">E6-J6</f>
        <v>78343.34</v>
      </c>
      <c r="P6" s="111">
        <f t="shared" ref="P6:P11" si="11">F6-K6</f>
        <v>47775.65</v>
      </c>
      <c r="Q6" s="130">
        <f t="shared" si="7"/>
        <v>126118.99</v>
      </c>
    </row>
    <row r="7" customHeight="1" spans="1:17">
      <c r="A7" s="69" t="str">
        <f t="shared" si="0"/>
        <v>深圳新阳蓝光能源管理科技股份有限公司</v>
      </c>
      <c r="B7" s="119" t="s">
        <v>4858</v>
      </c>
      <c r="C7" s="116">
        <f>报表附注!F3801</f>
        <v>6792196.69</v>
      </c>
      <c r="D7" s="116">
        <f>报表附注!G3801</f>
        <v>0</v>
      </c>
      <c r="E7" s="116">
        <f>报表附注!H3801</f>
        <v>0</v>
      </c>
      <c r="F7" s="116">
        <f>报表附注!I3801</f>
        <v>0</v>
      </c>
      <c r="G7" s="78">
        <f t="shared" si="3"/>
        <v>6792196.69</v>
      </c>
      <c r="H7" s="120"/>
      <c r="I7" s="120"/>
      <c r="J7" s="120"/>
      <c r="K7" s="120"/>
      <c r="L7" s="130">
        <f t="shared" si="5"/>
        <v>0</v>
      </c>
      <c r="M7" s="111">
        <f t="shared" si="8"/>
        <v>6792196.69</v>
      </c>
      <c r="N7" s="111">
        <f t="shared" si="9"/>
        <v>0</v>
      </c>
      <c r="O7" s="111">
        <f t="shared" si="10"/>
        <v>0</v>
      </c>
      <c r="P7" s="111">
        <f t="shared" si="11"/>
        <v>0</v>
      </c>
      <c r="Q7" s="130">
        <f t="shared" si="7"/>
        <v>6792196.69</v>
      </c>
    </row>
    <row r="8" customHeight="1" spans="1:17">
      <c r="A8" s="69" t="str">
        <f t="shared" si="0"/>
        <v>深圳新阳蓝光能源管理科技股份有限公司</v>
      </c>
      <c r="B8" s="119" t="s">
        <v>4861</v>
      </c>
      <c r="C8" s="116">
        <f>报表附注!F3802</f>
        <v>0</v>
      </c>
      <c r="D8" s="116">
        <f>报表附注!G3802</f>
        <v>0</v>
      </c>
      <c r="E8" s="116">
        <f>报表附注!H3802</f>
        <v>0</v>
      </c>
      <c r="F8" s="116">
        <f>报表附注!I3802</f>
        <v>0</v>
      </c>
      <c r="G8" s="78">
        <f t="shared" si="3"/>
        <v>0</v>
      </c>
      <c r="H8" s="120"/>
      <c r="I8" s="120"/>
      <c r="J8" s="120"/>
      <c r="K8" s="120"/>
      <c r="L8" s="130">
        <f t="shared" si="5"/>
        <v>0</v>
      </c>
      <c r="M8" s="111">
        <f t="shared" si="8"/>
        <v>0</v>
      </c>
      <c r="N8" s="111">
        <f t="shared" si="9"/>
        <v>0</v>
      </c>
      <c r="O8" s="111">
        <f t="shared" si="10"/>
        <v>0</v>
      </c>
      <c r="P8" s="111">
        <f t="shared" si="11"/>
        <v>0</v>
      </c>
      <c r="Q8" s="130">
        <f t="shared" si="7"/>
        <v>0</v>
      </c>
    </row>
    <row r="9" customHeight="1" spans="1:17">
      <c r="A9" s="69" t="str">
        <f t="shared" si="0"/>
        <v>深圳新阳蓝光能源管理科技股份有限公司</v>
      </c>
      <c r="B9" s="84" t="s">
        <v>4864</v>
      </c>
      <c r="C9" s="116">
        <f>报表附注!F3803</f>
        <v>0</v>
      </c>
      <c r="D9" s="116">
        <f>报表附注!G3803</f>
        <v>0</v>
      </c>
      <c r="E9" s="116">
        <f>报表附注!H3803</f>
        <v>0</v>
      </c>
      <c r="F9" s="116">
        <f>报表附注!I3803</f>
        <v>0</v>
      </c>
      <c r="G9" s="78">
        <f t="shared" si="3"/>
        <v>0</v>
      </c>
      <c r="H9" s="120"/>
      <c r="I9" s="120"/>
      <c r="J9" s="120"/>
      <c r="K9" s="120"/>
      <c r="L9" s="130">
        <f t="shared" si="5"/>
        <v>0</v>
      </c>
      <c r="M9" s="111">
        <f t="shared" si="8"/>
        <v>0</v>
      </c>
      <c r="N9" s="111">
        <f t="shared" si="9"/>
        <v>0</v>
      </c>
      <c r="O9" s="111">
        <f t="shared" si="10"/>
        <v>0</v>
      </c>
      <c r="P9" s="111">
        <f t="shared" si="11"/>
        <v>0</v>
      </c>
      <c r="Q9" s="130">
        <f t="shared" si="7"/>
        <v>0</v>
      </c>
    </row>
    <row r="10" customHeight="1" spans="1:17">
      <c r="A10" s="69" t="str">
        <f t="shared" si="0"/>
        <v>深圳新阳蓝光能源管理科技股份有限公司</v>
      </c>
      <c r="B10" s="84" t="s">
        <v>4867</v>
      </c>
      <c r="C10" s="116">
        <f>报表附注!F3804</f>
        <v>0</v>
      </c>
      <c r="D10" s="116">
        <f>报表附注!G3804</f>
        <v>0</v>
      </c>
      <c r="E10" s="116">
        <f>报表附注!H3804</f>
        <v>0</v>
      </c>
      <c r="F10" s="116">
        <f>报表附注!I3804</f>
        <v>0</v>
      </c>
      <c r="G10" s="78">
        <f t="shared" si="3"/>
        <v>0</v>
      </c>
      <c r="H10" s="120"/>
      <c r="I10" s="120"/>
      <c r="J10" s="120"/>
      <c r="K10" s="120"/>
      <c r="L10" s="130">
        <f t="shared" si="5"/>
        <v>0</v>
      </c>
      <c r="M10" s="111">
        <f t="shared" si="8"/>
        <v>0</v>
      </c>
      <c r="N10" s="111">
        <f t="shared" si="9"/>
        <v>0</v>
      </c>
      <c r="O10" s="111">
        <f t="shared" si="10"/>
        <v>0</v>
      </c>
      <c r="P10" s="111">
        <f t="shared" si="11"/>
        <v>0</v>
      </c>
      <c r="Q10" s="130">
        <f t="shared" si="7"/>
        <v>0</v>
      </c>
    </row>
    <row r="11" customHeight="1" spans="1:17">
      <c r="A11" s="69" t="str">
        <f t="shared" si="0"/>
        <v>深圳新阳蓝光能源管理科技股份有限公司</v>
      </c>
      <c r="B11" s="84" t="s">
        <v>4870</v>
      </c>
      <c r="C11" s="116">
        <f>报表附注!F3805</f>
        <v>0</v>
      </c>
      <c r="D11" s="116">
        <f>报表附注!G3805</f>
        <v>0</v>
      </c>
      <c r="E11" s="116">
        <f>报表附注!H3805</f>
        <v>0</v>
      </c>
      <c r="F11" s="116">
        <f>报表附注!I3805</f>
        <v>0</v>
      </c>
      <c r="G11" s="78">
        <f t="shared" si="3"/>
        <v>0</v>
      </c>
      <c r="H11" s="120"/>
      <c r="I11" s="120"/>
      <c r="J11" s="120"/>
      <c r="K11" s="120"/>
      <c r="L11" s="130">
        <f t="shared" si="5"/>
        <v>0</v>
      </c>
      <c r="M11" s="111">
        <f t="shared" si="8"/>
        <v>0</v>
      </c>
      <c r="N11" s="111">
        <f t="shared" si="9"/>
        <v>0</v>
      </c>
      <c r="O11" s="111">
        <f t="shared" si="10"/>
        <v>0</v>
      </c>
      <c r="P11" s="111">
        <f t="shared" si="11"/>
        <v>0</v>
      </c>
      <c r="Q11" s="130">
        <f t="shared" si="7"/>
        <v>0</v>
      </c>
    </row>
    <row r="12" customHeight="1" spans="1:17">
      <c r="A12" s="69" t="str">
        <f t="shared" si="0"/>
        <v>深圳新阳蓝光能源管理科技股份有限公司</v>
      </c>
      <c r="B12" s="84" t="s">
        <v>4873</v>
      </c>
      <c r="C12" s="78">
        <f>ROUND(SUM(C13:C16),2)</f>
        <v>0</v>
      </c>
      <c r="D12" s="78">
        <f t="shared" ref="D12:F12" si="12">ROUND(SUM(D13:D16),2)</f>
        <v>0</v>
      </c>
      <c r="E12" s="78">
        <f t="shared" si="12"/>
        <v>300000</v>
      </c>
      <c r="F12" s="78">
        <f t="shared" si="12"/>
        <v>176159.98</v>
      </c>
      <c r="G12" s="78">
        <f t="shared" si="3"/>
        <v>476159.98</v>
      </c>
      <c r="H12" s="118">
        <f>ROUND(SUM(H13:H16),2)</f>
        <v>0</v>
      </c>
      <c r="I12" s="118">
        <f t="shared" ref="I12:K12" si="13">ROUND(SUM(I13:I16),2)</f>
        <v>0</v>
      </c>
      <c r="J12" s="118">
        <f t="shared" si="13"/>
        <v>0</v>
      </c>
      <c r="K12" s="118">
        <f t="shared" si="13"/>
        <v>0</v>
      </c>
      <c r="L12" s="130">
        <f t="shared" si="5"/>
        <v>0</v>
      </c>
      <c r="M12" s="130">
        <f>ROUND(SUM(M13:M16),2)</f>
        <v>0</v>
      </c>
      <c r="N12" s="130">
        <f t="shared" ref="N12:P12" si="14">ROUND(SUM(N13:N16),2)</f>
        <v>0</v>
      </c>
      <c r="O12" s="130">
        <f t="shared" si="14"/>
        <v>300000</v>
      </c>
      <c r="P12" s="130">
        <f t="shared" si="14"/>
        <v>176159.98</v>
      </c>
      <c r="Q12" s="130">
        <f t="shared" si="7"/>
        <v>476159.98</v>
      </c>
    </row>
    <row r="13" customHeight="1" spans="1:17">
      <c r="A13" s="69" t="str">
        <f t="shared" si="0"/>
        <v>深圳新阳蓝光能源管理科技股份有限公司</v>
      </c>
      <c r="B13" s="119" t="s">
        <v>4876</v>
      </c>
      <c r="C13" s="116">
        <f>报表附注!F3807</f>
        <v>0</v>
      </c>
      <c r="D13" s="116">
        <f>报表附注!G3807</f>
        <v>0</v>
      </c>
      <c r="E13" s="116">
        <f>报表附注!H3807</f>
        <v>300000</v>
      </c>
      <c r="F13" s="116">
        <f>报表附注!I3807</f>
        <v>176159.98</v>
      </c>
      <c r="G13" s="78">
        <f t="shared" si="3"/>
        <v>476159.98</v>
      </c>
      <c r="H13" s="120"/>
      <c r="I13" s="120"/>
      <c r="J13" s="120"/>
      <c r="K13" s="120"/>
      <c r="L13" s="130">
        <f t="shared" si="5"/>
        <v>0</v>
      </c>
      <c r="M13" s="111">
        <f t="shared" ref="M13:M16" si="15">C13-H13</f>
        <v>0</v>
      </c>
      <c r="N13" s="111">
        <f t="shared" ref="N13:N16" si="16">D13-I13</f>
        <v>0</v>
      </c>
      <c r="O13" s="111">
        <f t="shared" ref="O13:O16" si="17">E13-J13</f>
        <v>300000</v>
      </c>
      <c r="P13" s="111">
        <f t="shared" ref="P13:P16" si="18">F13-K13</f>
        <v>176159.98</v>
      </c>
      <c r="Q13" s="130">
        <f t="shared" si="7"/>
        <v>476159.98</v>
      </c>
    </row>
    <row r="14" customHeight="1" spans="1:17">
      <c r="A14" s="69" t="str">
        <f t="shared" si="0"/>
        <v>深圳新阳蓝光能源管理科技股份有限公司</v>
      </c>
      <c r="B14" s="84" t="s">
        <v>4879</v>
      </c>
      <c r="C14" s="116">
        <f>报表附注!F3808</f>
        <v>0</v>
      </c>
      <c r="D14" s="116">
        <f>报表附注!G3808</f>
        <v>0</v>
      </c>
      <c r="E14" s="116">
        <f>报表附注!H3808</f>
        <v>0</v>
      </c>
      <c r="F14" s="116">
        <f>报表附注!I3808</f>
        <v>0</v>
      </c>
      <c r="G14" s="78">
        <f t="shared" si="3"/>
        <v>0</v>
      </c>
      <c r="H14" s="120"/>
      <c r="I14" s="120"/>
      <c r="J14" s="120"/>
      <c r="K14" s="120"/>
      <c r="L14" s="130">
        <f t="shared" si="5"/>
        <v>0</v>
      </c>
      <c r="M14" s="111">
        <f t="shared" si="15"/>
        <v>0</v>
      </c>
      <c r="N14" s="111">
        <f t="shared" si="16"/>
        <v>0</v>
      </c>
      <c r="O14" s="111">
        <f t="shared" si="17"/>
        <v>0</v>
      </c>
      <c r="P14" s="111">
        <f t="shared" si="18"/>
        <v>0</v>
      </c>
      <c r="Q14" s="130">
        <f t="shared" si="7"/>
        <v>0</v>
      </c>
    </row>
    <row r="15" customHeight="1" spans="1:17">
      <c r="A15" s="69" t="str">
        <f t="shared" si="0"/>
        <v>深圳新阳蓝光能源管理科技股份有限公司</v>
      </c>
      <c r="B15" s="84" t="s">
        <v>4882</v>
      </c>
      <c r="C15" s="116">
        <f>报表附注!F3809</f>
        <v>0</v>
      </c>
      <c r="D15" s="116">
        <f>报表附注!G3809</f>
        <v>0</v>
      </c>
      <c r="E15" s="116">
        <f>报表附注!H3809</f>
        <v>0</v>
      </c>
      <c r="F15" s="116">
        <f>报表附注!I3809</f>
        <v>0</v>
      </c>
      <c r="G15" s="78">
        <f t="shared" si="3"/>
        <v>0</v>
      </c>
      <c r="H15" s="120"/>
      <c r="I15" s="120"/>
      <c r="J15" s="120"/>
      <c r="K15" s="120"/>
      <c r="L15" s="130">
        <f t="shared" si="5"/>
        <v>0</v>
      </c>
      <c r="M15" s="111">
        <f t="shared" si="15"/>
        <v>0</v>
      </c>
      <c r="N15" s="111">
        <f t="shared" si="16"/>
        <v>0</v>
      </c>
      <c r="O15" s="111">
        <f t="shared" si="17"/>
        <v>0</v>
      </c>
      <c r="P15" s="111">
        <f t="shared" si="18"/>
        <v>0</v>
      </c>
      <c r="Q15" s="130">
        <f t="shared" si="7"/>
        <v>0</v>
      </c>
    </row>
    <row r="16" customHeight="1" spans="1:17">
      <c r="A16" s="69" t="str">
        <f t="shared" si="0"/>
        <v>深圳新阳蓝光能源管理科技股份有限公司</v>
      </c>
      <c r="B16" s="84" t="s">
        <v>4885</v>
      </c>
      <c r="C16" s="116">
        <f>报表附注!F3810</f>
        <v>0</v>
      </c>
      <c r="D16" s="116">
        <f>报表附注!G3810</f>
        <v>0</v>
      </c>
      <c r="E16" s="116">
        <f>报表附注!H3810</f>
        <v>0</v>
      </c>
      <c r="F16" s="116">
        <f>报表附注!I3810</f>
        <v>0</v>
      </c>
      <c r="G16" s="78">
        <f t="shared" si="3"/>
        <v>0</v>
      </c>
      <c r="H16" s="120"/>
      <c r="I16" s="120"/>
      <c r="J16" s="120"/>
      <c r="K16" s="120"/>
      <c r="L16" s="130">
        <f t="shared" si="5"/>
        <v>0</v>
      </c>
      <c r="M16" s="111">
        <f t="shared" si="15"/>
        <v>0</v>
      </c>
      <c r="N16" s="111">
        <f t="shared" si="16"/>
        <v>0</v>
      </c>
      <c r="O16" s="111">
        <f t="shared" si="17"/>
        <v>0</v>
      </c>
      <c r="P16" s="111">
        <f t="shared" si="18"/>
        <v>0</v>
      </c>
      <c r="Q16" s="130">
        <f t="shared" si="7"/>
        <v>0</v>
      </c>
    </row>
    <row r="17" customHeight="1" spans="1:17">
      <c r="A17" s="69" t="str">
        <f t="shared" si="0"/>
        <v>深圳新阳蓝光能源管理科技股份有限公司</v>
      </c>
      <c r="B17" s="84" t="s">
        <v>4888</v>
      </c>
      <c r="C17" s="78">
        <f>ROUND(C4+C5-C12,2)</f>
        <v>88639633.98</v>
      </c>
      <c r="D17" s="78">
        <f t="shared" ref="D17:F17" si="19">ROUND(D4+D5-D12,2)</f>
        <v>300000</v>
      </c>
      <c r="E17" s="78">
        <f t="shared" si="19"/>
        <v>1495501.34</v>
      </c>
      <c r="F17" s="78">
        <f t="shared" si="19"/>
        <v>287803.65</v>
      </c>
      <c r="G17" s="78">
        <f t="shared" si="3"/>
        <v>90722938.97</v>
      </c>
      <c r="H17" s="118">
        <f>ROUND(H4+H5-H12,2)</f>
        <v>0</v>
      </c>
      <c r="I17" s="118">
        <f t="shared" ref="I17:K17" si="20">ROUND(I4+I5-I12,2)</f>
        <v>0</v>
      </c>
      <c r="J17" s="118">
        <f t="shared" si="20"/>
        <v>0</v>
      </c>
      <c r="K17" s="118">
        <f t="shared" si="20"/>
        <v>0</v>
      </c>
      <c r="L17" s="130">
        <f t="shared" si="5"/>
        <v>0</v>
      </c>
      <c r="M17" s="130">
        <f>ROUND(M4+M5-M12,2)</f>
        <v>88639633.98</v>
      </c>
      <c r="N17" s="130">
        <f t="shared" ref="N17:P17" si="21">ROUND(N4+N5-N12,2)</f>
        <v>300000</v>
      </c>
      <c r="O17" s="130">
        <f t="shared" si="21"/>
        <v>1495501.34</v>
      </c>
      <c r="P17" s="130">
        <f t="shared" si="21"/>
        <v>287803.65</v>
      </c>
      <c r="Q17" s="130">
        <f t="shared" si="7"/>
        <v>90722938.97</v>
      </c>
    </row>
    <row r="18" customHeight="1" spans="1:17">
      <c r="A18" s="69" t="str">
        <f t="shared" si="0"/>
        <v>深圳新阳蓝光能源管理科技股份有限公司</v>
      </c>
      <c r="B18" s="84" t="s">
        <v>4891</v>
      </c>
      <c r="C18" s="114"/>
      <c r="D18" s="114"/>
      <c r="E18" s="114"/>
      <c r="F18" s="114"/>
      <c r="G18" s="78">
        <f t="shared" si="3"/>
        <v>0</v>
      </c>
      <c r="H18" s="118"/>
      <c r="I18" s="118"/>
      <c r="J18" s="118"/>
      <c r="K18" s="118"/>
      <c r="L18" s="130">
        <f t="shared" si="5"/>
        <v>0</v>
      </c>
      <c r="M18" s="115"/>
      <c r="N18" s="115"/>
      <c r="O18" s="115"/>
      <c r="P18" s="115"/>
      <c r="Q18" s="130">
        <f t="shared" si="7"/>
        <v>0</v>
      </c>
    </row>
    <row r="19" customHeight="1" spans="1:17">
      <c r="A19" s="69" t="str">
        <f t="shared" si="0"/>
        <v>深圳新阳蓝光能源管理科技股份有限公司</v>
      </c>
      <c r="B19" s="84" t="s">
        <v>4849</v>
      </c>
      <c r="C19" s="116">
        <f>报表附注!F3813</f>
        <v>15277280.8</v>
      </c>
      <c r="D19" s="116">
        <f>报表附注!G3813</f>
        <v>78375</v>
      </c>
      <c r="E19" s="116">
        <f>报表附注!H3813</f>
        <v>1007572.78</v>
      </c>
      <c r="F19" s="116">
        <f>报表附注!I3813</f>
        <v>303764.39</v>
      </c>
      <c r="G19" s="78">
        <f t="shared" si="3"/>
        <v>16666992.97</v>
      </c>
      <c r="H19" s="120"/>
      <c r="I19" s="120"/>
      <c r="J19" s="120"/>
      <c r="K19" s="120"/>
      <c r="L19" s="130">
        <f t="shared" si="5"/>
        <v>0</v>
      </c>
      <c r="M19" s="111">
        <f t="shared" ref="M19" si="22">C19-H19</f>
        <v>15277280.8</v>
      </c>
      <c r="N19" s="111">
        <f t="shared" ref="N19" si="23">D19-I19</f>
        <v>78375</v>
      </c>
      <c r="O19" s="111">
        <f t="shared" ref="O19" si="24">E19-J19</f>
        <v>1007572.78</v>
      </c>
      <c r="P19" s="111">
        <f t="shared" ref="P19" si="25">F19-K19</f>
        <v>303764.39</v>
      </c>
      <c r="Q19" s="130">
        <f t="shared" ref="Q19" si="26">ROUND(SUM(M19:P19),2)</f>
        <v>16666992.97</v>
      </c>
    </row>
    <row r="20" customHeight="1" spans="1:17">
      <c r="A20" s="69" t="str">
        <f t="shared" si="0"/>
        <v>深圳新阳蓝光能源管理科技股份有限公司</v>
      </c>
      <c r="B20" s="84" t="s">
        <v>4852</v>
      </c>
      <c r="C20" s="78">
        <f>ROUND(SUM(C21:C24),2)</f>
        <v>10829306.89</v>
      </c>
      <c r="D20" s="78">
        <f t="shared" ref="D20:F20" si="27">ROUND(SUM(D21:D24),2)</f>
        <v>28500</v>
      </c>
      <c r="E20" s="78">
        <f t="shared" si="27"/>
        <v>351042.55</v>
      </c>
      <c r="F20" s="78">
        <f t="shared" si="27"/>
        <v>65814.94</v>
      </c>
      <c r="G20" s="78">
        <f t="shared" si="3"/>
        <v>11274664.38</v>
      </c>
      <c r="H20" s="118">
        <f>ROUND(SUM(H21:H24),2)</f>
        <v>0</v>
      </c>
      <c r="I20" s="118">
        <f t="shared" ref="I20:K20" si="28">ROUND(SUM(I21:I24),2)</f>
        <v>0</v>
      </c>
      <c r="J20" s="118">
        <f t="shared" si="28"/>
        <v>0</v>
      </c>
      <c r="K20" s="118">
        <f t="shared" si="28"/>
        <v>0</v>
      </c>
      <c r="L20" s="130">
        <f t="shared" si="5"/>
        <v>0</v>
      </c>
      <c r="M20" s="130">
        <f>ROUND(SUM(M21:M24),2)</f>
        <v>10829306.89</v>
      </c>
      <c r="N20" s="130">
        <f t="shared" ref="N20:P20" si="29">ROUND(SUM(N21:N24),2)</f>
        <v>28500</v>
      </c>
      <c r="O20" s="130">
        <f t="shared" si="29"/>
        <v>351042.55</v>
      </c>
      <c r="P20" s="130">
        <f t="shared" si="29"/>
        <v>65814.94</v>
      </c>
      <c r="Q20" s="130">
        <f t="shared" si="7"/>
        <v>11274664.38</v>
      </c>
    </row>
    <row r="21" customHeight="1" spans="1:17">
      <c r="A21" s="69" t="str">
        <f t="shared" si="0"/>
        <v>深圳新阳蓝光能源管理科技股份有限公司</v>
      </c>
      <c r="B21" s="119" t="s">
        <v>4898</v>
      </c>
      <c r="C21" s="116">
        <f>报表附注!F3815</f>
        <v>10829306.89</v>
      </c>
      <c r="D21" s="116">
        <f>报表附注!G3815</f>
        <v>28500</v>
      </c>
      <c r="E21" s="116">
        <f>报表附注!H3815</f>
        <v>351042.55</v>
      </c>
      <c r="F21" s="116">
        <f>报表附注!I3815</f>
        <v>65814.94</v>
      </c>
      <c r="G21" s="78">
        <f t="shared" si="3"/>
        <v>11274664.38</v>
      </c>
      <c r="H21" s="120"/>
      <c r="I21" s="120"/>
      <c r="J21" s="120"/>
      <c r="K21" s="120"/>
      <c r="L21" s="130">
        <f t="shared" si="5"/>
        <v>0</v>
      </c>
      <c r="M21" s="111">
        <f t="shared" ref="M21:M24" si="30">C21-H21</f>
        <v>10829306.89</v>
      </c>
      <c r="N21" s="111">
        <f t="shared" ref="N21:N24" si="31">D21-I21</f>
        <v>28500</v>
      </c>
      <c r="O21" s="111">
        <f t="shared" ref="O21:O24" si="32">E21-J21</f>
        <v>351042.55</v>
      </c>
      <c r="P21" s="111">
        <f t="shared" ref="P21:P24" si="33">F21-K21</f>
        <v>65814.94</v>
      </c>
      <c r="Q21" s="130">
        <f t="shared" ref="Q21:Q24" si="34">ROUND(SUM(M21:P21),2)</f>
        <v>11274664.38</v>
      </c>
    </row>
    <row r="22" customHeight="1" spans="1:17">
      <c r="A22" s="69" t="str">
        <f t="shared" si="0"/>
        <v>深圳新阳蓝光能源管理科技股份有限公司</v>
      </c>
      <c r="B22" s="84" t="s">
        <v>4901</v>
      </c>
      <c r="C22" s="116">
        <f>报表附注!F3816</f>
        <v>0</v>
      </c>
      <c r="D22" s="116">
        <f>报表附注!G3816</f>
        <v>0</v>
      </c>
      <c r="E22" s="116">
        <f>报表附注!H3816</f>
        <v>0</v>
      </c>
      <c r="F22" s="116">
        <f>报表附注!I3816</f>
        <v>0</v>
      </c>
      <c r="G22" s="78">
        <f t="shared" si="3"/>
        <v>0</v>
      </c>
      <c r="H22" s="120"/>
      <c r="I22" s="120"/>
      <c r="J22" s="120"/>
      <c r="K22" s="120"/>
      <c r="L22" s="130">
        <f t="shared" si="5"/>
        <v>0</v>
      </c>
      <c r="M22" s="111">
        <f t="shared" si="30"/>
        <v>0</v>
      </c>
      <c r="N22" s="111">
        <f t="shared" si="31"/>
        <v>0</v>
      </c>
      <c r="O22" s="111">
        <f t="shared" si="32"/>
        <v>0</v>
      </c>
      <c r="P22" s="111">
        <f t="shared" si="33"/>
        <v>0</v>
      </c>
      <c r="Q22" s="130">
        <f t="shared" si="34"/>
        <v>0</v>
      </c>
    </row>
    <row r="23" customHeight="1" spans="1:17">
      <c r="A23" s="69" t="str">
        <f t="shared" si="0"/>
        <v>深圳新阳蓝光能源管理科技股份有限公司</v>
      </c>
      <c r="B23" s="84" t="s">
        <v>4904</v>
      </c>
      <c r="C23" s="116">
        <f>报表附注!F3817</f>
        <v>0</v>
      </c>
      <c r="D23" s="116">
        <f>报表附注!G3817</f>
        <v>0</v>
      </c>
      <c r="E23" s="116">
        <f>报表附注!H3817</f>
        <v>0</v>
      </c>
      <c r="F23" s="116">
        <f>报表附注!I3817</f>
        <v>0</v>
      </c>
      <c r="G23" s="78">
        <f t="shared" si="3"/>
        <v>0</v>
      </c>
      <c r="H23" s="120"/>
      <c r="I23" s="120"/>
      <c r="J23" s="120"/>
      <c r="K23" s="120"/>
      <c r="L23" s="130">
        <f t="shared" si="5"/>
        <v>0</v>
      </c>
      <c r="M23" s="111">
        <f t="shared" si="30"/>
        <v>0</v>
      </c>
      <c r="N23" s="111">
        <f t="shared" si="31"/>
        <v>0</v>
      </c>
      <c r="O23" s="111">
        <f t="shared" si="32"/>
        <v>0</v>
      </c>
      <c r="P23" s="111">
        <f t="shared" si="33"/>
        <v>0</v>
      </c>
      <c r="Q23" s="130">
        <f t="shared" si="34"/>
        <v>0</v>
      </c>
    </row>
    <row r="24" customHeight="1" spans="1:17">
      <c r="A24" s="69" t="str">
        <f t="shared" si="0"/>
        <v>深圳新阳蓝光能源管理科技股份有限公司</v>
      </c>
      <c r="B24" s="84" t="s">
        <v>4907</v>
      </c>
      <c r="C24" s="116">
        <f>报表附注!F3818</f>
        <v>0</v>
      </c>
      <c r="D24" s="116">
        <f>报表附注!G3818</f>
        <v>0</v>
      </c>
      <c r="E24" s="116">
        <f>报表附注!H3818</f>
        <v>0</v>
      </c>
      <c r="F24" s="116">
        <f>报表附注!I3818</f>
        <v>0</v>
      </c>
      <c r="G24" s="78">
        <f t="shared" si="3"/>
        <v>0</v>
      </c>
      <c r="H24" s="120"/>
      <c r="I24" s="120"/>
      <c r="J24" s="120"/>
      <c r="K24" s="120"/>
      <c r="L24" s="130">
        <f t="shared" si="5"/>
        <v>0</v>
      </c>
      <c r="M24" s="111">
        <f t="shared" si="30"/>
        <v>0</v>
      </c>
      <c r="N24" s="111">
        <f t="shared" si="31"/>
        <v>0</v>
      </c>
      <c r="O24" s="111">
        <f t="shared" si="32"/>
        <v>0</v>
      </c>
      <c r="P24" s="111">
        <f t="shared" si="33"/>
        <v>0</v>
      </c>
      <c r="Q24" s="130">
        <f t="shared" si="34"/>
        <v>0</v>
      </c>
    </row>
    <row r="25" customHeight="1" spans="1:17">
      <c r="A25" s="69" t="str">
        <f t="shared" si="0"/>
        <v>深圳新阳蓝光能源管理科技股份有限公司</v>
      </c>
      <c r="B25" s="84" t="s">
        <v>4873</v>
      </c>
      <c r="C25" s="78">
        <f>ROUND(SUM(C26:C29),2)</f>
        <v>0</v>
      </c>
      <c r="D25" s="78">
        <f t="shared" ref="D25:F25" si="35">ROUND(SUM(D26:D29),2)</f>
        <v>0</v>
      </c>
      <c r="E25" s="78">
        <f t="shared" si="35"/>
        <v>190000</v>
      </c>
      <c r="F25" s="78">
        <f t="shared" si="35"/>
        <v>166910.75</v>
      </c>
      <c r="G25" s="78">
        <f t="shared" si="3"/>
        <v>356910.75</v>
      </c>
      <c r="H25" s="118">
        <f>ROUND(SUM(H26:H29),2)</f>
        <v>0</v>
      </c>
      <c r="I25" s="118">
        <f t="shared" ref="I25:K25" si="36">ROUND(SUM(I26:I29),2)</f>
        <v>0</v>
      </c>
      <c r="J25" s="118">
        <f t="shared" si="36"/>
        <v>0</v>
      </c>
      <c r="K25" s="118">
        <f t="shared" si="36"/>
        <v>0</v>
      </c>
      <c r="L25" s="130">
        <f t="shared" si="5"/>
        <v>0</v>
      </c>
      <c r="M25" s="130">
        <f>ROUND(SUM(M26:M29),2)</f>
        <v>0</v>
      </c>
      <c r="N25" s="130">
        <f t="shared" ref="N25:P25" si="37">ROUND(SUM(N26:N29),2)</f>
        <v>0</v>
      </c>
      <c r="O25" s="130">
        <f t="shared" si="37"/>
        <v>190000</v>
      </c>
      <c r="P25" s="130">
        <f t="shared" si="37"/>
        <v>166910.75</v>
      </c>
      <c r="Q25" s="130">
        <f t="shared" si="7"/>
        <v>356910.75</v>
      </c>
    </row>
    <row r="26" customHeight="1" spans="1:17">
      <c r="A26" s="69" t="str">
        <f t="shared" si="0"/>
        <v>深圳新阳蓝光能源管理科技股份有限公司</v>
      </c>
      <c r="B26" s="119" t="s">
        <v>4876</v>
      </c>
      <c r="C26" s="116">
        <f>报表附注!F3820</f>
        <v>0</v>
      </c>
      <c r="D26" s="116">
        <f>报表附注!G3820</f>
        <v>0</v>
      </c>
      <c r="E26" s="116">
        <f>报表附注!H3820</f>
        <v>190000</v>
      </c>
      <c r="F26" s="116">
        <f>报表附注!I3820</f>
        <v>166910.75</v>
      </c>
      <c r="G26" s="78">
        <f t="shared" si="3"/>
        <v>356910.75</v>
      </c>
      <c r="H26" s="120"/>
      <c r="I26" s="120"/>
      <c r="J26" s="120"/>
      <c r="K26" s="120"/>
      <c r="L26" s="130">
        <f t="shared" si="5"/>
        <v>0</v>
      </c>
      <c r="M26" s="111">
        <f t="shared" ref="M26:M29" si="38">C26-H26</f>
        <v>0</v>
      </c>
      <c r="N26" s="111">
        <f t="shared" ref="N26:N29" si="39">D26-I26</f>
        <v>0</v>
      </c>
      <c r="O26" s="111">
        <f t="shared" ref="O26:O29" si="40">E26-J26</f>
        <v>190000</v>
      </c>
      <c r="P26" s="111">
        <f t="shared" ref="P26:P29" si="41">F26-K26</f>
        <v>166910.75</v>
      </c>
      <c r="Q26" s="130">
        <f t="shared" ref="Q26:Q29" si="42">ROUND(SUM(M26:P26),2)</f>
        <v>356910.75</v>
      </c>
    </row>
    <row r="27" customHeight="1" spans="1:17">
      <c r="A27" s="69" t="str">
        <f t="shared" si="0"/>
        <v>深圳新阳蓝光能源管理科技股份有限公司</v>
      </c>
      <c r="B27" s="84" t="s">
        <v>4879</v>
      </c>
      <c r="C27" s="116">
        <f>报表附注!F3821</f>
        <v>0</v>
      </c>
      <c r="D27" s="116">
        <f>报表附注!G3821</f>
        <v>0</v>
      </c>
      <c r="E27" s="116">
        <f>报表附注!H3821</f>
        <v>0</v>
      </c>
      <c r="F27" s="116">
        <f>报表附注!I3821</f>
        <v>0</v>
      </c>
      <c r="G27" s="78">
        <f t="shared" si="3"/>
        <v>0</v>
      </c>
      <c r="H27" s="120"/>
      <c r="I27" s="120"/>
      <c r="J27" s="120"/>
      <c r="K27" s="120"/>
      <c r="L27" s="130">
        <f t="shared" si="5"/>
        <v>0</v>
      </c>
      <c r="M27" s="111">
        <f t="shared" si="38"/>
        <v>0</v>
      </c>
      <c r="N27" s="111">
        <f t="shared" si="39"/>
        <v>0</v>
      </c>
      <c r="O27" s="111">
        <f t="shared" si="40"/>
        <v>0</v>
      </c>
      <c r="P27" s="111">
        <f t="shared" si="41"/>
        <v>0</v>
      </c>
      <c r="Q27" s="130">
        <f t="shared" si="42"/>
        <v>0</v>
      </c>
    </row>
    <row r="28" customHeight="1" spans="1:17">
      <c r="A28" s="69" t="str">
        <f t="shared" si="0"/>
        <v>深圳新阳蓝光能源管理科技股份有限公司</v>
      </c>
      <c r="B28" s="84" t="s">
        <v>4882</v>
      </c>
      <c r="C28" s="116">
        <f>报表附注!F3822</f>
        <v>0</v>
      </c>
      <c r="D28" s="116">
        <f>报表附注!G3822</f>
        <v>0</v>
      </c>
      <c r="E28" s="116">
        <f>报表附注!H3822</f>
        <v>0</v>
      </c>
      <c r="F28" s="116">
        <f>报表附注!I3822</f>
        <v>0</v>
      </c>
      <c r="G28" s="78">
        <f t="shared" si="3"/>
        <v>0</v>
      </c>
      <c r="H28" s="120"/>
      <c r="I28" s="120"/>
      <c r="J28" s="120"/>
      <c r="K28" s="120"/>
      <c r="L28" s="130">
        <f t="shared" si="5"/>
        <v>0</v>
      </c>
      <c r="M28" s="111">
        <f t="shared" si="38"/>
        <v>0</v>
      </c>
      <c r="N28" s="111">
        <f t="shared" si="39"/>
        <v>0</v>
      </c>
      <c r="O28" s="111">
        <f t="shared" si="40"/>
        <v>0</v>
      </c>
      <c r="P28" s="111">
        <f t="shared" si="41"/>
        <v>0</v>
      </c>
      <c r="Q28" s="130">
        <f t="shared" si="42"/>
        <v>0</v>
      </c>
    </row>
    <row r="29" customHeight="1" spans="1:17">
      <c r="A29" s="69" t="str">
        <f t="shared" si="0"/>
        <v>深圳新阳蓝光能源管理科技股份有限公司</v>
      </c>
      <c r="B29" s="84" t="s">
        <v>4918</v>
      </c>
      <c r="C29" s="116">
        <f>报表附注!F3823</f>
        <v>0</v>
      </c>
      <c r="D29" s="116">
        <f>报表附注!G3823</f>
        <v>0</v>
      </c>
      <c r="E29" s="116">
        <f>报表附注!H3823</f>
        <v>0</v>
      </c>
      <c r="F29" s="116">
        <f>报表附注!I3823</f>
        <v>0</v>
      </c>
      <c r="G29" s="78">
        <f t="shared" si="3"/>
        <v>0</v>
      </c>
      <c r="H29" s="120"/>
      <c r="I29" s="120"/>
      <c r="J29" s="120"/>
      <c r="K29" s="120"/>
      <c r="L29" s="130">
        <f t="shared" si="5"/>
        <v>0</v>
      </c>
      <c r="M29" s="111">
        <f t="shared" si="38"/>
        <v>0</v>
      </c>
      <c r="N29" s="111">
        <f t="shared" si="39"/>
        <v>0</v>
      </c>
      <c r="O29" s="111">
        <f t="shared" si="40"/>
        <v>0</v>
      </c>
      <c r="P29" s="111">
        <f t="shared" si="41"/>
        <v>0</v>
      </c>
      <c r="Q29" s="130">
        <f t="shared" si="42"/>
        <v>0</v>
      </c>
    </row>
    <row r="30" customHeight="1" spans="1:17">
      <c r="A30" s="69" t="str">
        <f t="shared" si="0"/>
        <v>深圳新阳蓝光能源管理科技股份有限公司</v>
      </c>
      <c r="B30" s="84" t="s">
        <v>4888</v>
      </c>
      <c r="C30" s="78">
        <f>ROUND(C19+C20-C25,2)</f>
        <v>26106587.69</v>
      </c>
      <c r="D30" s="78">
        <f t="shared" ref="D30:F30" si="43">ROUND(D19+D20-D25,2)</f>
        <v>106875</v>
      </c>
      <c r="E30" s="78">
        <f t="shared" si="43"/>
        <v>1168615.33</v>
      </c>
      <c r="F30" s="78">
        <f t="shared" si="43"/>
        <v>202668.58</v>
      </c>
      <c r="G30" s="78">
        <f t="shared" si="3"/>
        <v>27584746.6</v>
      </c>
      <c r="H30" s="118">
        <f>ROUND(H19+H20-H25,2)</f>
        <v>0</v>
      </c>
      <c r="I30" s="118">
        <f t="shared" ref="I30:K30" si="44">ROUND(I19+I20-I25,2)</f>
        <v>0</v>
      </c>
      <c r="J30" s="118">
        <f t="shared" si="44"/>
        <v>0</v>
      </c>
      <c r="K30" s="118">
        <f t="shared" si="44"/>
        <v>0</v>
      </c>
      <c r="L30" s="130">
        <f t="shared" si="5"/>
        <v>0</v>
      </c>
      <c r="M30" s="130">
        <f>ROUND(M19+M20-M25,2)</f>
        <v>26106587.69</v>
      </c>
      <c r="N30" s="130">
        <f t="shared" ref="N30:P30" si="45">ROUND(N19+N20-N25,2)</f>
        <v>106875</v>
      </c>
      <c r="O30" s="130">
        <f t="shared" si="45"/>
        <v>1168615.33</v>
      </c>
      <c r="P30" s="130">
        <f t="shared" si="45"/>
        <v>202668.58</v>
      </c>
      <c r="Q30" s="130">
        <f t="shared" si="7"/>
        <v>27584746.6</v>
      </c>
    </row>
    <row r="31" customHeight="1" spans="1:17">
      <c r="A31" s="69" t="str">
        <f t="shared" si="0"/>
        <v>深圳新阳蓝光能源管理科技股份有限公司</v>
      </c>
      <c r="B31" s="84" t="s">
        <v>4791</v>
      </c>
      <c r="C31" s="114"/>
      <c r="D31" s="114"/>
      <c r="E31" s="114"/>
      <c r="F31" s="114"/>
      <c r="G31" s="78">
        <f t="shared" si="3"/>
        <v>0</v>
      </c>
      <c r="H31" s="118"/>
      <c r="I31" s="118"/>
      <c r="J31" s="118"/>
      <c r="K31" s="118"/>
      <c r="L31" s="130">
        <f t="shared" si="5"/>
        <v>0</v>
      </c>
      <c r="M31" s="115"/>
      <c r="N31" s="115"/>
      <c r="O31" s="115"/>
      <c r="P31" s="115"/>
      <c r="Q31" s="130">
        <f t="shared" si="7"/>
        <v>0</v>
      </c>
    </row>
    <row r="32" customHeight="1" spans="1:17">
      <c r="A32" s="69" t="str">
        <f t="shared" si="0"/>
        <v>深圳新阳蓝光能源管理科技股份有限公司</v>
      </c>
      <c r="B32" s="84" t="s">
        <v>4849</v>
      </c>
      <c r="C32" s="116">
        <f>报表附注!F3826</f>
        <v>0</v>
      </c>
      <c r="D32" s="116">
        <f>报表附注!G3826</f>
        <v>0</v>
      </c>
      <c r="E32" s="116">
        <f>报表附注!H3826</f>
        <v>0</v>
      </c>
      <c r="F32" s="116">
        <f>报表附注!I3826</f>
        <v>0</v>
      </c>
      <c r="G32" s="78">
        <f t="shared" si="3"/>
        <v>0</v>
      </c>
      <c r="H32" s="120"/>
      <c r="I32" s="120"/>
      <c r="J32" s="120"/>
      <c r="K32" s="120"/>
      <c r="L32" s="130">
        <f t="shared" si="5"/>
        <v>0</v>
      </c>
      <c r="M32" s="111">
        <f t="shared" ref="M32" si="46">C32-H32</f>
        <v>0</v>
      </c>
      <c r="N32" s="111">
        <f t="shared" ref="N32" si="47">D32-I32</f>
        <v>0</v>
      </c>
      <c r="O32" s="111">
        <f t="shared" ref="O32" si="48">E32-J32</f>
        <v>0</v>
      </c>
      <c r="P32" s="111">
        <f t="shared" ref="P32" si="49">F32-K32</f>
        <v>0</v>
      </c>
      <c r="Q32" s="130">
        <f t="shared" ref="Q32" si="50">ROUND(SUM(M32:P32),2)</f>
        <v>0</v>
      </c>
    </row>
    <row r="33" customHeight="1" spans="1:17">
      <c r="A33" s="69" t="str">
        <f t="shared" si="0"/>
        <v>深圳新阳蓝光能源管理科技股份有限公司</v>
      </c>
      <c r="B33" s="84" t="s">
        <v>4852</v>
      </c>
      <c r="C33" s="78">
        <f>ROUND(SUM(C34:C35),2)</f>
        <v>0</v>
      </c>
      <c r="D33" s="78">
        <f t="shared" ref="D33:F33" si="51">ROUND(SUM(D34:D35),2)</f>
        <v>0</v>
      </c>
      <c r="E33" s="78">
        <f t="shared" si="51"/>
        <v>0</v>
      </c>
      <c r="F33" s="78">
        <f t="shared" si="51"/>
        <v>0</v>
      </c>
      <c r="G33" s="78">
        <f t="shared" si="3"/>
        <v>0</v>
      </c>
      <c r="H33" s="118">
        <f>ROUND(SUM(H34:H35),2)</f>
        <v>0</v>
      </c>
      <c r="I33" s="118">
        <f t="shared" ref="I33:K33" si="52">ROUND(SUM(I34:I35),2)</f>
        <v>0</v>
      </c>
      <c r="J33" s="118">
        <f t="shared" si="52"/>
        <v>0</v>
      </c>
      <c r="K33" s="118">
        <f t="shared" si="52"/>
        <v>0</v>
      </c>
      <c r="L33" s="130">
        <f t="shared" si="5"/>
        <v>0</v>
      </c>
      <c r="M33" s="130">
        <f>ROUND(SUM(M34:M35),2)</f>
        <v>0</v>
      </c>
      <c r="N33" s="130">
        <f t="shared" ref="N33:P33" si="53">ROUND(SUM(N34:N35),2)</f>
        <v>0</v>
      </c>
      <c r="O33" s="130">
        <f t="shared" si="53"/>
        <v>0</v>
      </c>
      <c r="P33" s="130">
        <f t="shared" si="53"/>
        <v>0</v>
      </c>
      <c r="Q33" s="130">
        <f t="shared" si="7"/>
        <v>0</v>
      </c>
    </row>
    <row r="34" customHeight="1" spans="1:17">
      <c r="A34" s="69" t="str">
        <f t="shared" si="0"/>
        <v>深圳新阳蓝光能源管理科技股份有限公司</v>
      </c>
      <c r="B34" s="119" t="s">
        <v>4898</v>
      </c>
      <c r="C34" s="116">
        <f>报表附注!F3828</f>
        <v>0</v>
      </c>
      <c r="D34" s="116">
        <f>报表附注!G3828</f>
        <v>0</v>
      </c>
      <c r="E34" s="116">
        <f>报表附注!H3828</f>
        <v>0</v>
      </c>
      <c r="F34" s="116">
        <f>报表附注!I3828</f>
        <v>0</v>
      </c>
      <c r="G34" s="78">
        <f t="shared" si="3"/>
        <v>0</v>
      </c>
      <c r="H34" s="120"/>
      <c r="I34" s="120"/>
      <c r="J34" s="120"/>
      <c r="K34" s="120"/>
      <c r="L34" s="130">
        <f t="shared" si="5"/>
        <v>0</v>
      </c>
      <c r="M34" s="111">
        <f t="shared" ref="M34:M35" si="54">C34-H34</f>
        <v>0</v>
      </c>
      <c r="N34" s="111">
        <f t="shared" ref="N34:N35" si="55">D34-I34</f>
        <v>0</v>
      </c>
      <c r="O34" s="111">
        <f t="shared" ref="O34:O35" si="56">E34-J34</f>
        <v>0</v>
      </c>
      <c r="P34" s="111">
        <f t="shared" ref="P34:P35" si="57">F34-K34</f>
        <v>0</v>
      </c>
      <c r="Q34" s="130">
        <f t="shared" ref="Q34:Q35" si="58">ROUND(SUM(M34:P34),2)</f>
        <v>0</v>
      </c>
    </row>
    <row r="35" customHeight="1" spans="1:17">
      <c r="A35" s="69" t="str">
        <f t="shared" si="0"/>
        <v>深圳新阳蓝光能源管理科技股份有限公司</v>
      </c>
      <c r="B35" s="84"/>
      <c r="C35" s="116">
        <f>报表附注!F3829</f>
        <v>0</v>
      </c>
      <c r="D35" s="116">
        <f>报表附注!G3829</f>
        <v>0</v>
      </c>
      <c r="E35" s="116">
        <f>报表附注!H3829</f>
        <v>0</v>
      </c>
      <c r="F35" s="116">
        <f>报表附注!I3829</f>
        <v>0</v>
      </c>
      <c r="G35" s="78">
        <f t="shared" si="3"/>
        <v>0</v>
      </c>
      <c r="H35" s="120"/>
      <c r="I35" s="120"/>
      <c r="J35" s="120"/>
      <c r="K35" s="120"/>
      <c r="L35" s="130">
        <f t="shared" si="5"/>
        <v>0</v>
      </c>
      <c r="M35" s="111">
        <f t="shared" si="54"/>
        <v>0</v>
      </c>
      <c r="N35" s="111">
        <f t="shared" si="55"/>
        <v>0</v>
      </c>
      <c r="O35" s="111">
        <f t="shared" si="56"/>
        <v>0</v>
      </c>
      <c r="P35" s="111">
        <f t="shared" si="57"/>
        <v>0</v>
      </c>
      <c r="Q35" s="130">
        <f t="shared" si="58"/>
        <v>0</v>
      </c>
    </row>
    <row r="36" customHeight="1" spans="1:17">
      <c r="A36" s="69" t="str">
        <f t="shared" si="0"/>
        <v>深圳新阳蓝光能源管理科技股份有限公司</v>
      </c>
      <c r="B36" s="84" t="s">
        <v>4873</v>
      </c>
      <c r="C36" s="78">
        <f>ROUND(SUM(C37:C38),2)</f>
        <v>0</v>
      </c>
      <c r="D36" s="78">
        <f t="shared" ref="D36:F36" si="59">ROUND(SUM(D37:D38),2)</f>
        <v>0</v>
      </c>
      <c r="E36" s="78">
        <f t="shared" si="59"/>
        <v>0</v>
      </c>
      <c r="F36" s="78">
        <f t="shared" si="59"/>
        <v>0</v>
      </c>
      <c r="G36" s="78">
        <f t="shared" si="3"/>
        <v>0</v>
      </c>
      <c r="H36" s="118">
        <f>ROUND(SUM(H37:H38),2)</f>
        <v>0</v>
      </c>
      <c r="I36" s="118">
        <f t="shared" ref="I36:K36" si="60">ROUND(SUM(I37:I38),2)</f>
        <v>0</v>
      </c>
      <c r="J36" s="118">
        <f t="shared" si="60"/>
        <v>0</v>
      </c>
      <c r="K36" s="118">
        <f t="shared" si="60"/>
        <v>0</v>
      </c>
      <c r="L36" s="130">
        <f t="shared" si="5"/>
        <v>0</v>
      </c>
      <c r="M36" s="130">
        <f>ROUND(SUM(M37:M38),2)</f>
        <v>0</v>
      </c>
      <c r="N36" s="130">
        <f t="shared" ref="N36:P36" si="61">ROUND(SUM(N37:N38),2)</f>
        <v>0</v>
      </c>
      <c r="O36" s="130">
        <f t="shared" si="61"/>
        <v>0</v>
      </c>
      <c r="P36" s="130">
        <f t="shared" si="61"/>
        <v>0</v>
      </c>
      <c r="Q36" s="130">
        <f t="shared" si="7"/>
        <v>0</v>
      </c>
    </row>
    <row r="37" customHeight="1" spans="1:17">
      <c r="A37" s="69" t="str">
        <f t="shared" si="0"/>
        <v>深圳新阳蓝光能源管理科技股份有限公司</v>
      </c>
      <c r="B37" s="119" t="s">
        <v>4876</v>
      </c>
      <c r="C37" s="116">
        <f>报表附注!F3831</f>
        <v>0</v>
      </c>
      <c r="D37" s="116">
        <f>报表附注!G3831</f>
        <v>0</v>
      </c>
      <c r="E37" s="116">
        <f>报表附注!H3831</f>
        <v>0</v>
      </c>
      <c r="F37" s="116">
        <f>报表附注!I3831</f>
        <v>0</v>
      </c>
      <c r="G37" s="78">
        <f t="shared" si="3"/>
        <v>0</v>
      </c>
      <c r="H37" s="120"/>
      <c r="I37" s="120"/>
      <c r="J37" s="120"/>
      <c r="K37" s="120"/>
      <c r="L37" s="130">
        <f t="shared" si="5"/>
        <v>0</v>
      </c>
      <c r="M37" s="111">
        <f t="shared" ref="M37:M38" si="62">C37-H37</f>
        <v>0</v>
      </c>
      <c r="N37" s="111">
        <f t="shared" ref="N37:N38" si="63">D37-I37</f>
        <v>0</v>
      </c>
      <c r="O37" s="111">
        <f t="shared" ref="O37:O38" si="64">E37-J37</f>
        <v>0</v>
      </c>
      <c r="P37" s="111">
        <f t="shared" ref="P37:P38" si="65">F37-K37</f>
        <v>0</v>
      </c>
      <c r="Q37" s="130">
        <f t="shared" ref="Q37:Q38" si="66">ROUND(SUM(M37:P37),2)</f>
        <v>0</v>
      </c>
    </row>
    <row r="38" customHeight="1" spans="1:17">
      <c r="A38" s="69" t="str">
        <f t="shared" si="0"/>
        <v>深圳新阳蓝光能源管理科技股份有限公司</v>
      </c>
      <c r="B38" s="84"/>
      <c r="C38" s="116">
        <f>报表附注!F3832</f>
        <v>0</v>
      </c>
      <c r="D38" s="116">
        <f>报表附注!G3832</f>
        <v>0</v>
      </c>
      <c r="E38" s="116">
        <f>报表附注!H3832</f>
        <v>0</v>
      </c>
      <c r="F38" s="116">
        <f>报表附注!I3832</f>
        <v>0</v>
      </c>
      <c r="G38" s="78">
        <f t="shared" si="3"/>
        <v>0</v>
      </c>
      <c r="H38" s="120"/>
      <c r="I38" s="120"/>
      <c r="J38" s="120"/>
      <c r="K38" s="120"/>
      <c r="L38" s="130">
        <f t="shared" si="5"/>
        <v>0</v>
      </c>
      <c r="M38" s="111">
        <f t="shared" si="62"/>
        <v>0</v>
      </c>
      <c r="N38" s="111">
        <f t="shared" si="63"/>
        <v>0</v>
      </c>
      <c r="O38" s="111">
        <f t="shared" si="64"/>
        <v>0</v>
      </c>
      <c r="P38" s="111">
        <f t="shared" si="65"/>
        <v>0</v>
      </c>
      <c r="Q38" s="130">
        <f t="shared" si="66"/>
        <v>0</v>
      </c>
    </row>
    <row r="39" customHeight="1" spans="1:17">
      <c r="A39" s="69" t="str">
        <f t="shared" si="0"/>
        <v>深圳新阳蓝光能源管理科技股份有限公司</v>
      </c>
      <c r="B39" s="84" t="s">
        <v>4888</v>
      </c>
      <c r="C39" s="78">
        <f>ROUND(C32+C33-C36,2)</f>
        <v>0</v>
      </c>
      <c r="D39" s="78">
        <f t="shared" ref="D39:F39" si="67">ROUND(D32+D33-D36,2)</f>
        <v>0</v>
      </c>
      <c r="E39" s="78">
        <f t="shared" si="67"/>
        <v>0</v>
      </c>
      <c r="F39" s="78">
        <f t="shared" si="67"/>
        <v>0</v>
      </c>
      <c r="G39" s="78">
        <f t="shared" si="3"/>
        <v>0</v>
      </c>
      <c r="H39" s="118">
        <f>ROUND(H32+H33-H36,2)</f>
        <v>0</v>
      </c>
      <c r="I39" s="118">
        <f t="shared" ref="I39:K39" si="68">ROUND(I32+I33-I36,2)</f>
        <v>0</v>
      </c>
      <c r="J39" s="118">
        <f t="shared" si="68"/>
        <v>0</v>
      </c>
      <c r="K39" s="118">
        <f t="shared" si="68"/>
        <v>0</v>
      </c>
      <c r="L39" s="130">
        <f t="shared" si="5"/>
        <v>0</v>
      </c>
      <c r="M39" s="130">
        <f>ROUND(M32+M33-M36,2)</f>
        <v>0</v>
      </c>
      <c r="N39" s="130">
        <f t="shared" ref="N39:P39" si="69">ROUND(N32+N33-N36,2)</f>
        <v>0</v>
      </c>
      <c r="O39" s="130">
        <f t="shared" si="69"/>
        <v>0</v>
      </c>
      <c r="P39" s="130">
        <f t="shared" si="69"/>
        <v>0</v>
      </c>
      <c r="Q39" s="130">
        <f t="shared" si="7"/>
        <v>0</v>
      </c>
    </row>
    <row r="40" customHeight="1" spans="1:17">
      <c r="A40" s="69" t="str">
        <f t="shared" si="0"/>
        <v>深圳新阳蓝光能源管理科技股份有限公司</v>
      </c>
      <c r="B40" s="84" t="s">
        <v>4814</v>
      </c>
      <c r="C40" s="114"/>
      <c r="D40" s="114"/>
      <c r="E40" s="114"/>
      <c r="F40" s="114"/>
      <c r="G40" s="78"/>
      <c r="H40" s="118"/>
      <c r="I40" s="118"/>
      <c r="J40" s="118"/>
      <c r="K40" s="118"/>
      <c r="L40" s="130"/>
      <c r="M40" s="115"/>
      <c r="N40" s="115"/>
      <c r="O40" s="115"/>
      <c r="P40" s="115"/>
      <c r="Q40" s="130"/>
    </row>
    <row r="41" customHeight="1" spans="1:17">
      <c r="A41" s="69" t="str">
        <f t="shared" si="0"/>
        <v>深圳新阳蓝光能源管理科技股份有限公司</v>
      </c>
      <c r="B41" s="84" t="s">
        <v>4943</v>
      </c>
      <c r="C41" s="78">
        <f>ROUND(C17-C30-C39,2)</f>
        <v>62533046.29</v>
      </c>
      <c r="D41" s="78">
        <f t="shared" ref="D41:F41" si="70">ROUND(D17-D30-D39,2)</f>
        <v>193125</v>
      </c>
      <c r="E41" s="78">
        <f t="shared" si="70"/>
        <v>326886.01</v>
      </c>
      <c r="F41" s="78">
        <f t="shared" si="70"/>
        <v>85135.07</v>
      </c>
      <c r="G41" s="78">
        <f>ROUND(SUM(C41:F41),2)</f>
        <v>63138192.37</v>
      </c>
      <c r="H41" s="118">
        <f>ROUND(H17-H30-H39,2)</f>
        <v>0</v>
      </c>
      <c r="I41" s="118">
        <f t="shared" ref="I41:K41" si="71">ROUND(I17-I30-I39,2)</f>
        <v>0</v>
      </c>
      <c r="J41" s="118">
        <f t="shared" si="71"/>
        <v>0</v>
      </c>
      <c r="K41" s="118">
        <f t="shared" si="71"/>
        <v>0</v>
      </c>
      <c r="L41" s="130">
        <f>ROUND(SUM(H41:K41),2)</f>
        <v>0</v>
      </c>
      <c r="M41" s="130">
        <f>ROUND(M17-M30-M39,2)</f>
        <v>62533046.29</v>
      </c>
      <c r="N41" s="130">
        <f t="shared" ref="N41:P41" si="72">ROUND(N17-N30-N39,2)</f>
        <v>193125</v>
      </c>
      <c r="O41" s="130">
        <f t="shared" si="72"/>
        <v>326886.01</v>
      </c>
      <c r="P41" s="130">
        <f t="shared" si="72"/>
        <v>85135.07</v>
      </c>
      <c r="Q41" s="130">
        <f>ROUND(SUM(M41:P41),2)</f>
        <v>63138192.37</v>
      </c>
    </row>
    <row r="42" customHeight="1" spans="1:17">
      <c r="A42" s="69" t="str">
        <f t="shared" si="0"/>
        <v>深圳新阳蓝光能源管理科技股份有限公司</v>
      </c>
      <c r="B42" s="84" t="s">
        <v>4946</v>
      </c>
      <c r="C42" s="121">
        <f>ROUND(C4-C19-C32,2)</f>
        <v>66570156.49</v>
      </c>
      <c r="D42" s="121">
        <f t="shared" ref="D42:F42" si="73">ROUND(D4-D19-D32,2)</f>
        <v>221625</v>
      </c>
      <c r="E42" s="121">
        <f t="shared" si="73"/>
        <v>709585.22</v>
      </c>
      <c r="F42" s="121">
        <f t="shared" si="73"/>
        <v>112423.59</v>
      </c>
      <c r="G42" s="78">
        <f>ROUND(SUM(C42:F42),2)</f>
        <v>67613790.3</v>
      </c>
      <c r="H42" s="122">
        <f>ROUND(H4-H19-H32,2)</f>
        <v>0</v>
      </c>
      <c r="I42" s="122">
        <f t="shared" ref="I42:K42" si="74">ROUND(I4-I19-I32,2)</f>
        <v>0</v>
      </c>
      <c r="J42" s="122">
        <f t="shared" si="74"/>
        <v>0</v>
      </c>
      <c r="K42" s="122">
        <f t="shared" si="74"/>
        <v>0</v>
      </c>
      <c r="L42" s="130">
        <f>ROUND(SUM(H42:K42),2)</f>
        <v>0</v>
      </c>
      <c r="M42" s="131">
        <f>ROUND(M4-M19-M32,2)</f>
        <v>66570156.49</v>
      </c>
      <c r="N42" s="131">
        <f t="shared" ref="N42:P42" si="75">ROUND(N4-N19-N32,2)</f>
        <v>221625</v>
      </c>
      <c r="O42" s="131">
        <f t="shared" si="75"/>
        <v>709585.22</v>
      </c>
      <c r="P42" s="131">
        <f t="shared" si="75"/>
        <v>112423.59</v>
      </c>
      <c r="Q42" s="130">
        <f>ROUND(SUM(M42:P42),2)</f>
        <v>67613790.3</v>
      </c>
    </row>
    <row r="43" customHeight="1" spans="1:17">
      <c r="A43" s="69" t="str">
        <f t="shared" si="0"/>
        <v>深圳新阳蓝光能源管理科技股份有限公司</v>
      </c>
      <c r="B43" s="89" t="s">
        <v>4823</v>
      </c>
      <c r="C43" s="123"/>
      <c r="D43" s="123"/>
      <c r="E43" s="123"/>
      <c r="F43" s="123"/>
      <c r="G43" s="91">
        <f>审定资负表!C27</f>
        <v>63138192.37</v>
      </c>
      <c r="H43" s="90"/>
      <c r="I43" s="90"/>
      <c r="J43" s="90"/>
      <c r="K43" s="90"/>
      <c r="L43" s="90"/>
      <c r="M43" s="90"/>
      <c r="N43" s="90"/>
      <c r="O43" s="90"/>
      <c r="P43" s="90"/>
      <c r="Q43" s="90"/>
    </row>
    <row r="44" customHeight="1" spans="1:17">
      <c r="A44" s="124" t="str">
        <f t="shared" si="0"/>
        <v>深圳新阳蓝光能源管理科技股份有限公司</v>
      </c>
      <c r="B44" s="89" t="s">
        <v>1395</v>
      </c>
      <c r="C44" s="125"/>
      <c r="D44" s="126"/>
      <c r="E44" s="126"/>
      <c r="F44" s="126"/>
      <c r="G44" s="92">
        <f>ROUND(G43-G41,2)</f>
        <v>0</v>
      </c>
      <c r="H44" s="90"/>
      <c r="I44" s="90"/>
      <c r="J44" s="90"/>
      <c r="K44" s="90"/>
      <c r="L44" s="90"/>
      <c r="M44" s="90"/>
      <c r="N44" s="90"/>
      <c r="O44" s="90"/>
      <c r="P44" s="90"/>
      <c r="Q44" s="90"/>
    </row>
    <row r="45" customHeight="1" spans="1:17">
      <c r="A45" s="124" t="str">
        <f t="shared" si="0"/>
        <v>深圳新阳蓝光能源管理科技股份有限公司</v>
      </c>
      <c r="B45" s="89" t="s">
        <v>4830</v>
      </c>
      <c r="C45" s="123"/>
      <c r="D45" s="123"/>
      <c r="E45" s="123"/>
      <c r="F45" s="123"/>
      <c r="G45" s="93">
        <f>审定资负表!D27</f>
        <v>67613790.3</v>
      </c>
      <c r="H45" s="90"/>
      <c r="I45" s="90"/>
      <c r="J45" s="90"/>
      <c r="K45" s="90"/>
      <c r="L45" s="90"/>
      <c r="M45" s="90"/>
      <c r="N45" s="90"/>
      <c r="O45" s="90"/>
      <c r="P45" s="90"/>
      <c r="Q45" s="90"/>
    </row>
    <row r="46" customHeight="1" spans="1:17">
      <c r="A46" s="124" t="str">
        <f t="shared" si="0"/>
        <v>深圳新阳蓝光能源管理科技股份有限公司</v>
      </c>
      <c r="B46" s="89" t="s">
        <v>1395</v>
      </c>
      <c r="C46" s="126"/>
      <c r="D46" s="126"/>
      <c r="E46" s="126"/>
      <c r="F46" s="126"/>
      <c r="G46" s="92">
        <f>ROUND(G45-G42,2)</f>
        <v>0</v>
      </c>
      <c r="H46" s="90"/>
      <c r="I46" s="90"/>
      <c r="J46" s="90"/>
      <c r="K46" s="90"/>
      <c r="L46" s="90"/>
      <c r="M46" s="90"/>
      <c r="N46" s="90"/>
      <c r="O46" s="90"/>
      <c r="P46" s="90"/>
      <c r="Q46" s="90"/>
    </row>
    <row r="47" customHeight="1" spans="1:17">
      <c r="A47" s="124" t="str">
        <f t="shared" si="0"/>
        <v>深圳新阳蓝光能源管理科技股份有限公司</v>
      </c>
      <c r="B47" s="127" t="s">
        <v>4955</v>
      </c>
      <c r="C47" s="126"/>
      <c r="D47" s="126"/>
      <c r="E47" s="126"/>
      <c r="F47" s="126"/>
      <c r="G47" s="93">
        <f>报表附注!$I$1309</f>
        <v>6792196.69</v>
      </c>
      <c r="H47" s="90"/>
      <c r="I47" s="90"/>
      <c r="J47" s="90"/>
      <c r="K47" s="90"/>
      <c r="L47" s="90"/>
      <c r="M47" s="90"/>
      <c r="N47" s="90"/>
      <c r="O47" s="90"/>
      <c r="P47" s="90"/>
      <c r="Q47" s="90"/>
    </row>
    <row r="48" customHeight="1" spans="1:17">
      <c r="A48" s="124" t="str">
        <f t="shared" si="0"/>
        <v>深圳新阳蓝光能源管理科技股份有限公司</v>
      </c>
      <c r="B48" s="89" t="s">
        <v>1395</v>
      </c>
      <c r="C48" s="126"/>
      <c r="D48" s="126"/>
      <c r="E48" s="126"/>
      <c r="F48" s="126"/>
      <c r="G48" s="92">
        <f>ROUND(G47-G7,2)</f>
        <v>0</v>
      </c>
      <c r="H48" s="90"/>
      <c r="I48" s="90"/>
      <c r="J48" s="90"/>
      <c r="K48" s="90"/>
      <c r="L48" s="90"/>
      <c r="M48" s="90"/>
      <c r="N48" s="90"/>
      <c r="O48" s="90"/>
      <c r="P48" s="90"/>
      <c r="Q48" s="90"/>
    </row>
    <row r="49" customHeight="1" spans="1:17">
      <c r="A49" s="124" t="str">
        <f t="shared" si="0"/>
        <v>深圳新阳蓝光能源管理科技股份有限公司</v>
      </c>
      <c r="B49" s="96" t="s">
        <v>61</v>
      </c>
      <c r="C49" s="97" t="s">
        <v>4960</v>
      </c>
      <c r="D49" s="97" t="s">
        <v>2100</v>
      </c>
      <c r="E49" s="97" t="s">
        <v>4842</v>
      </c>
      <c r="F49" s="97" t="s">
        <v>4843</v>
      </c>
      <c r="G49" s="98" t="s">
        <v>2021</v>
      </c>
      <c r="H49" s="90"/>
      <c r="I49" s="90"/>
      <c r="J49" s="90"/>
      <c r="K49" s="90"/>
      <c r="L49" s="90"/>
      <c r="M49" s="90"/>
      <c r="N49" s="90"/>
      <c r="O49" s="90"/>
      <c r="P49" s="90"/>
      <c r="Q49" s="90"/>
    </row>
    <row r="50" customHeight="1" spans="1:17">
      <c r="A50" s="124" t="str">
        <f t="shared" si="0"/>
        <v>深圳新阳蓝光能源管理科技股份有限公司</v>
      </c>
      <c r="B50" s="99" t="s">
        <v>4963</v>
      </c>
      <c r="C50" s="100">
        <f>C13-C26-C37</f>
        <v>0</v>
      </c>
      <c r="D50" s="100">
        <f t="shared" ref="D50:G50" si="76">D13-D26-D37</f>
        <v>0</v>
      </c>
      <c r="E50" s="100">
        <f t="shared" si="76"/>
        <v>110000</v>
      </c>
      <c r="F50" s="100">
        <f t="shared" si="76"/>
        <v>9249.23000000001</v>
      </c>
      <c r="G50" s="100">
        <f t="shared" si="76"/>
        <v>119249.23</v>
      </c>
      <c r="H50" s="90"/>
      <c r="I50" s="90"/>
      <c r="J50" s="90"/>
      <c r="K50" s="90"/>
      <c r="L50" s="90"/>
      <c r="M50" s="90"/>
      <c r="N50" s="90"/>
      <c r="O50" s="90"/>
      <c r="P50" s="90"/>
      <c r="Q50" s="90"/>
    </row>
    <row r="51" customHeight="1" spans="1:17">
      <c r="A51" s="124" t="str">
        <f t="shared" si="0"/>
        <v>深圳新阳蓝光能源管理科技股份有限公司</v>
      </c>
      <c r="B51" s="104" t="s">
        <v>4966</v>
      </c>
      <c r="C51" s="102"/>
      <c r="D51" s="103"/>
      <c r="E51" s="103"/>
      <c r="F51" s="103"/>
      <c r="G51" s="103"/>
      <c r="H51" s="90"/>
      <c r="I51" s="90"/>
      <c r="J51" s="90"/>
      <c r="K51" s="90"/>
      <c r="L51" s="90"/>
      <c r="M51" s="90"/>
      <c r="N51" s="90"/>
      <c r="O51" s="90"/>
      <c r="P51" s="90"/>
      <c r="Q51" s="90"/>
    </row>
    <row r="52" customHeight="1" spans="1:17">
      <c r="A52" s="124" t="str">
        <f t="shared" si="0"/>
        <v>深圳新阳蓝光能源管理科技股份有限公司</v>
      </c>
      <c r="B52" s="104" t="s">
        <v>4969</v>
      </c>
      <c r="C52" s="100">
        <f>C50-C51</f>
        <v>0</v>
      </c>
      <c r="D52" s="100">
        <f t="shared" ref="D52:G52" si="77">D50-D51</f>
        <v>0</v>
      </c>
      <c r="E52" s="100">
        <f t="shared" si="77"/>
        <v>110000</v>
      </c>
      <c r="F52" s="100">
        <f t="shared" si="77"/>
        <v>9249.23000000001</v>
      </c>
      <c r="G52" s="100">
        <f t="shared" si="77"/>
        <v>119249.23</v>
      </c>
      <c r="H52" s="90"/>
      <c r="I52" s="90"/>
      <c r="J52" s="90"/>
      <c r="K52" s="90"/>
      <c r="L52" s="90"/>
      <c r="M52" s="90"/>
      <c r="N52" s="90"/>
      <c r="O52" s="90"/>
      <c r="P52" s="90"/>
      <c r="Q52" s="90"/>
    </row>
    <row r="53" customHeight="1" spans="1:17">
      <c r="A53" s="124"/>
      <c r="B53" s="128"/>
      <c r="C53" s="105"/>
      <c r="D53" s="105"/>
      <c r="E53" s="105"/>
      <c r="F53" s="105"/>
      <c r="G53" s="105"/>
      <c r="H53" s="90"/>
      <c r="I53" s="90"/>
      <c r="J53" s="90"/>
      <c r="K53" s="90"/>
      <c r="L53" s="90"/>
      <c r="M53" s="90"/>
      <c r="N53" s="90"/>
      <c r="O53" s="90"/>
      <c r="P53" s="90"/>
      <c r="Q53" s="90"/>
    </row>
  </sheetData>
  <sheetProtection formatCells="0" formatColumns="0" formatRows="0" autoFilter="0" pivotTables="0"/>
  <conditionalFormatting sqref="G48">
    <cfRule type="cellIs" dxfId="8" priority="1" operator="notEqual">
      <formula>0</formula>
    </cfRule>
    <cfRule type="containsText" dxfId="7" priority="2" operator="between" text="不">
      <formula>NOT(ISERROR(SEARCH("不",G48)))</formula>
    </cfRule>
  </conditionalFormatting>
  <conditionalFormatting sqref="B50:B53 B1">
    <cfRule type="containsText" dxfId="6" priority="5" operator="between" text="文字描述">
      <formula>NOT(ISERROR(SEARCH("文字描述",B1)))</formula>
    </cfRule>
  </conditionalFormatting>
  <conditionalFormatting sqref="C44 G44 G46">
    <cfRule type="cellIs" dxfId="8" priority="3" operator="notEqual">
      <formula>0</formula>
    </cfRule>
    <cfRule type="containsText" dxfId="7" priority="4" operator="between" text="不">
      <formula>NOT(ISERROR(SEARCH("不",C44)))</formula>
    </cfRule>
  </conditionalFormatting>
  <hyperlinks>
    <hyperlink ref="C1" location="报表附注!E1142" display="（返回公式连接表）"/>
  </hyperlinks>
  <pageMargins left="0.7" right="0.7" top="0.75" bottom="0.75" header="0.3" footer="0.3"/>
  <headerFooter/>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10" zoomScaleNormal="110" workbookViewId="0">
      <pane xSplit="2" ySplit="2" topLeftCell="C45" activePane="bottomRight" state="frozen"/>
      <selection/>
      <selection pane="topRight"/>
      <selection pane="bottomLeft"/>
      <selection pane="bottomRight" activeCell="I19" sqref="I19"/>
    </sheetView>
  </sheetViews>
  <sheetFormatPr defaultColWidth="9" defaultRowHeight="12.95" customHeight="1"/>
  <cols>
    <col min="1" max="1" width="4.125" hidden="1" customWidth="1"/>
    <col min="2" max="2" width="22.125" customWidth="1"/>
    <col min="3" max="17" width="13.625" customWidth="1"/>
  </cols>
  <sheetData>
    <row r="1" customHeight="1" spans="1:17">
      <c r="A1" s="69" t="str">
        <f>报表附注!G1</f>
        <v>深圳新阳蓝光能源管理科技股份有限公司</v>
      </c>
      <c r="B1" s="70" t="s">
        <v>4976</v>
      </c>
      <c r="C1" s="71" t="s">
        <v>4720</v>
      </c>
      <c r="D1" s="72"/>
      <c r="E1" s="72"/>
      <c r="F1" s="72"/>
      <c r="G1" s="72"/>
      <c r="H1" s="73" t="s">
        <v>6038</v>
      </c>
      <c r="I1" s="73"/>
      <c r="J1" s="73"/>
      <c r="K1" s="73"/>
      <c r="L1" s="73"/>
      <c r="M1" s="109" t="s">
        <v>6039</v>
      </c>
      <c r="N1" s="110"/>
      <c r="O1" s="110"/>
      <c r="P1" s="110"/>
      <c r="Q1" s="110"/>
    </row>
    <row r="2" customHeight="1" spans="1:17">
      <c r="A2" s="69" t="str">
        <f t="shared" ref="A2:A11" si="0">A1</f>
        <v>深圳新阳蓝光能源管理科技股份有限公司</v>
      </c>
      <c r="B2" s="74" t="s">
        <v>61</v>
      </c>
      <c r="C2" s="74" t="s">
        <v>4726</v>
      </c>
      <c r="D2" s="74" t="s">
        <v>4979</v>
      </c>
      <c r="E2" s="74" t="s">
        <v>4980</v>
      </c>
      <c r="F2" s="74" t="s">
        <v>280</v>
      </c>
      <c r="G2" s="74" t="s">
        <v>2021</v>
      </c>
      <c r="H2" s="74" t="s">
        <v>4726</v>
      </c>
      <c r="I2" s="74" t="s">
        <v>4979</v>
      </c>
      <c r="J2" s="74" t="s">
        <v>4980</v>
      </c>
      <c r="K2" s="74" t="s">
        <v>280</v>
      </c>
      <c r="L2" s="74" t="s">
        <v>2021</v>
      </c>
      <c r="M2" s="74" t="s">
        <v>4726</v>
      </c>
      <c r="N2" s="74" t="s">
        <v>4979</v>
      </c>
      <c r="O2" s="74" t="s">
        <v>4980</v>
      </c>
      <c r="P2" s="74" t="s">
        <v>280</v>
      </c>
      <c r="Q2" s="74" t="s">
        <v>2021</v>
      </c>
    </row>
    <row r="3" customHeight="1" spans="1:17">
      <c r="A3" s="69" t="str">
        <f t="shared" si="0"/>
        <v>深圳新阳蓝光能源管理科技股份有限公司</v>
      </c>
      <c r="B3" s="75" t="s">
        <v>4729</v>
      </c>
      <c r="C3" s="76"/>
      <c r="D3" s="76"/>
      <c r="E3" s="76"/>
      <c r="F3" s="76"/>
      <c r="G3" s="76"/>
      <c r="H3" s="76"/>
      <c r="I3" s="76"/>
      <c r="J3" s="76"/>
      <c r="K3" s="76"/>
      <c r="L3" s="76"/>
      <c r="M3" s="76"/>
      <c r="N3" s="76"/>
      <c r="O3" s="76"/>
      <c r="P3" s="76"/>
      <c r="Q3" s="76"/>
    </row>
    <row r="4" customHeight="1" spans="1:17">
      <c r="A4" s="69" t="str">
        <f t="shared" si="0"/>
        <v>深圳新阳蓝光能源管理科技股份有限公司</v>
      </c>
      <c r="B4" s="75" t="s">
        <v>4732</v>
      </c>
      <c r="C4" s="77">
        <f>报表附注!F3853</f>
        <v>0</v>
      </c>
      <c r="D4" s="77">
        <f>报表附注!G3853</f>
        <v>0</v>
      </c>
      <c r="E4" s="77">
        <f>报表附注!H3853</f>
        <v>18000</v>
      </c>
      <c r="F4" s="77">
        <f>报表附注!I3853</f>
        <v>0</v>
      </c>
      <c r="G4" s="78">
        <f>ROUND(SUM(C4:F4),2)</f>
        <v>18000</v>
      </c>
      <c r="H4" s="79"/>
      <c r="I4" s="79"/>
      <c r="J4" s="79"/>
      <c r="K4" s="79"/>
      <c r="L4" s="78">
        <f>ROUND(SUM(H4:K4),2)</f>
        <v>0</v>
      </c>
      <c r="M4" s="111">
        <f t="shared" ref="M4:P4" si="1">C4-H4</f>
        <v>0</v>
      </c>
      <c r="N4" s="111">
        <f t="shared" si="1"/>
        <v>0</v>
      </c>
      <c r="O4" s="111">
        <f t="shared" si="1"/>
        <v>18000</v>
      </c>
      <c r="P4" s="111">
        <f t="shared" si="1"/>
        <v>0</v>
      </c>
      <c r="Q4" s="78">
        <f>ROUND(SUM(M4:P4),2)</f>
        <v>18000</v>
      </c>
    </row>
    <row r="5" customHeight="1" spans="1:17">
      <c r="A5" s="69" t="str">
        <f t="shared" si="0"/>
        <v>深圳新阳蓝光能源管理科技股份有限公司</v>
      </c>
      <c r="B5" s="75" t="s">
        <v>4735</v>
      </c>
      <c r="C5" s="78">
        <f>ROUND(SUM(C6:C10),2)</f>
        <v>0</v>
      </c>
      <c r="D5" s="78">
        <f t="shared" ref="D5:F5" si="2">ROUND(SUM(D6:D10),2)</f>
        <v>0</v>
      </c>
      <c r="E5" s="78">
        <f t="shared" si="2"/>
        <v>0</v>
      </c>
      <c r="F5" s="78">
        <f t="shared" si="2"/>
        <v>0</v>
      </c>
      <c r="G5" s="78">
        <f>ROUND(SUM(C5:F5),2)</f>
        <v>0</v>
      </c>
      <c r="H5" s="80">
        <f>ROUND(SUM(H6:H10),2)</f>
        <v>0</v>
      </c>
      <c r="I5" s="80">
        <f t="shared" ref="I5:K5" si="3">ROUND(SUM(I6:I10),2)</f>
        <v>0</v>
      </c>
      <c r="J5" s="80">
        <f t="shared" si="3"/>
        <v>0</v>
      </c>
      <c r="K5" s="80">
        <f t="shared" si="3"/>
        <v>0</v>
      </c>
      <c r="L5" s="78">
        <f>ROUND(SUM(H5:K5),2)</f>
        <v>0</v>
      </c>
      <c r="M5" s="78">
        <f>ROUND(SUM(M6:M10),2)</f>
        <v>0</v>
      </c>
      <c r="N5" s="78">
        <f t="shared" ref="N5:P5" si="4">ROUND(SUM(N6:N10),2)</f>
        <v>0</v>
      </c>
      <c r="O5" s="78">
        <f t="shared" si="4"/>
        <v>0</v>
      </c>
      <c r="P5" s="78">
        <f t="shared" si="4"/>
        <v>0</v>
      </c>
      <c r="Q5" s="78">
        <f>ROUND(SUM(M5:P5),2)</f>
        <v>0</v>
      </c>
    </row>
    <row r="6" customHeight="1" spans="1:17">
      <c r="A6" s="69" t="str">
        <f t="shared" si="0"/>
        <v>深圳新阳蓝光能源管理科技股份有限公司</v>
      </c>
      <c r="B6" s="81" t="s">
        <v>4989</v>
      </c>
      <c r="C6" s="77">
        <f>报表附注!F3855</f>
        <v>0</v>
      </c>
      <c r="D6" s="77">
        <f>报表附注!G3855</f>
        <v>0</v>
      </c>
      <c r="E6" s="77">
        <f>报表附注!H3855</f>
        <v>0</v>
      </c>
      <c r="F6" s="77">
        <f>报表附注!I3855</f>
        <v>0</v>
      </c>
      <c r="G6" s="78">
        <f t="shared" ref="G6:G41" si="5">ROUND(SUM(C6:F6),2)</f>
        <v>0</v>
      </c>
      <c r="H6" s="82"/>
      <c r="I6" s="82"/>
      <c r="J6" s="82"/>
      <c r="K6" s="82"/>
      <c r="L6" s="78">
        <f t="shared" ref="L6:L15" si="6">ROUND(SUM(H6:K6),2)</f>
        <v>0</v>
      </c>
      <c r="M6" s="111">
        <f t="shared" ref="M6:P10" si="7">C6-H6</f>
        <v>0</v>
      </c>
      <c r="N6" s="111">
        <f t="shared" si="7"/>
        <v>0</v>
      </c>
      <c r="O6" s="111">
        <f t="shared" si="7"/>
        <v>0</v>
      </c>
      <c r="P6" s="111">
        <f t="shared" si="7"/>
        <v>0</v>
      </c>
      <c r="Q6" s="78">
        <f t="shared" ref="Q6:Q15" si="8">ROUND(SUM(M6:P6),2)</f>
        <v>0</v>
      </c>
    </row>
    <row r="7" customHeight="1" spans="1:17">
      <c r="A7" s="69" t="str">
        <f t="shared" si="0"/>
        <v>深圳新阳蓝光能源管理科技股份有限公司</v>
      </c>
      <c r="B7" s="81" t="s">
        <v>4992</v>
      </c>
      <c r="C7" s="77">
        <f>报表附注!F3856</f>
        <v>0</v>
      </c>
      <c r="D7" s="77">
        <f>报表附注!G3856</f>
        <v>0</v>
      </c>
      <c r="E7" s="77">
        <f>报表附注!H3856</f>
        <v>0</v>
      </c>
      <c r="F7" s="77">
        <f>报表附注!I3856</f>
        <v>0</v>
      </c>
      <c r="G7" s="78">
        <f t="shared" si="5"/>
        <v>0</v>
      </c>
      <c r="H7" s="82"/>
      <c r="I7" s="82"/>
      <c r="J7" s="82"/>
      <c r="K7" s="82"/>
      <c r="L7" s="78">
        <f t="shared" si="6"/>
        <v>0</v>
      </c>
      <c r="M7" s="111">
        <f t="shared" si="7"/>
        <v>0</v>
      </c>
      <c r="N7" s="111">
        <f t="shared" si="7"/>
        <v>0</v>
      </c>
      <c r="O7" s="111">
        <f t="shared" si="7"/>
        <v>0</v>
      </c>
      <c r="P7" s="111">
        <f t="shared" si="7"/>
        <v>0</v>
      </c>
      <c r="Q7" s="78">
        <f t="shared" si="8"/>
        <v>0</v>
      </c>
    </row>
    <row r="8" customHeight="1" spans="1:17">
      <c r="A8" s="69" t="str">
        <f t="shared" si="0"/>
        <v>深圳新阳蓝光能源管理科技股份有限公司</v>
      </c>
      <c r="B8" s="81" t="s">
        <v>4995</v>
      </c>
      <c r="C8" s="77">
        <f>报表附注!F3857</f>
        <v>0</v>
      </c>
      <c r="D8" s="77">
        <f>报表附注!G3857</f>
        <v>0</v>
      </c>
      <c r="E8" s="77">
        <f>报表附注!H3857</f>
        <v>0</v>
      </c>
      <c r="F8" s="77">
        <f>报表附注!I3857</f>
        <v>0</v>
      </c>
      <c r="G8" s="78">
        <f t="shared" si="5"/>
        <v>0</v>
      </c>
      <c r="H8" s="82"/>
      <c r="I8" s="82"/>
      <c r="J8" s="82"/>
      <c r="K8" s="82"/>
      <c r="L8" s="78">
        <f t="shared" si="6"/>
        <v>0</v>
      </c>
      <c r="M8" s="111">
        <f t="shared" si="7"/>
        <v>0</v>
      </c>
      <c r="N8" s="111">
        <f t="shared" si="7"/>
        <v>0</v>
      </c>
      <c r="O8" s="111">
        <f t="shared" si="7"/>
        <v>0</v>
      </c>
      <c r="P8" s="111">
        <f t="shared" si="7"/>
        <v>0</v>
      </c>
      <c r="Q8" s="78">
        <f t="shared" si="8"/>
        <v>0</v>
      </c>
    </row>
    <row r="9" customHeight="1" spans="1:17">
      <c r="A9" s="69" t="str">
        <f t="shared" si="0"/>
        <v>深圳新阳蓝光能源管理科技股份有限公司</v>
      </c>
      <c r="B9" s="83" t="s">
        <v>4864</v>
      </c>
      <c r="C9" s="77">
        <f>报表附注!F3858</f>
        <v>0</v>
      </c>
      <c r="D9" s="77">
        <f>报表附注!G3858</f>
        <v>0</v>
      </c>
      <c r="E9" s="77">
        <f>报表附注!H3858</f>
        <v>0</v>
      </c>
      <c r="F9" s="77">
        <f>报表附注!I3858</f>
        <v>0</v>
      </c>
      <c r="G9" s="78">
        <f t="shared" si="5"/>
        <v>0</v>
      </c>
      <c r="H9" s="82"/>
      <c r="I9" s="82"/>
      <c r="J9" s="82"/>
      <c r="K9" s="82"/>
      <c r="L9" s="78">
        <f t="shared" si="6"/>
        <v>0</v>
      </c>
      <c r="M9" s="111">
        <f t="shared" si="7"/>
        <v>0</v>
      </c>
      <c r="N9" s="111">
        <f t="shared" si="7"/>
        <v>0</v>
      </c>
      <c r="O9" s="111">
        <f t="shared" si="7"/>
        <v>0</v>
      </c>
      <c r="P9" s="111">
        <f t="shared" si="7"/>
        <v>0</v>
      </c>
      <c r="Q9" s="78">
        <f t="shared" si="8"/>
        <v>0</v>
      </c>
    </row>
    <row r="10" customHeight="1" spans="1:17">
      <c r="A10" s="69" t="str">
        <f t="shared" si="0"/>
        <v>深圳新阳蓝光能源管理科技股份有限公司</v>
      </c>
      <c r="B10" s="84" t="s">
        <v>5000</v>
      </c>
      <c r="C10" s="77">
        <f>报表附注!F3859</f>
        <v>0</v>
      </c>
      <c r="D10" s="77">
        <f>报表附注!G3859</f>
        <v>0</v>
      </c>
      <c r="E10" s="77">
        <f>报表附注!H3859</f>
        <v>0</v>
      </c>
      <c r="F10" s="77">
        <f>报表附注!I3859</f>
        <v>0</v>
      </c>
      <c r="G10" s="78">
        <f t="shared" si="5"/>
        <v>0</v>
      </c>
      <c r="H10" s="82"/>
      <c r="I10" s="82"/>
      <c r="J10" s="82"/>
      <c r="K10" s="82"/>
      <c r="L10" s="78">
        <f t="shared" si="6"/>
        <v>0</v>
      </c>
      <c r="M10" s="111">
        <f t="shared" si="7"/>
        <v>0</v>
      </c>
      <c r="N10" s="111">
        <f t="shared" si="7"/>
        <v>0</v>
      </c>
      <c r="O10" s="111">
        <f t="shared" si="7"/>
        <v>0</v>
      </c>
      <c r="P10" s="111">
        <f t="shared" si="7"/>
        <v>0</v>
      </c>
      <c r="Q10" s="78">
        <f t="shared" si="8"/>
        <v>0</v>
      </c>
    </row>
    <row r="11" customHeight="1" spans="1:17">
      <c r="A11" s="69" t="str">
        <f t="shared" si="0"/>
        <v>深圳新阳蓝光能源管理科技股份有限公司</v>
      </c>
      <c r="B11" s="75" t="s">
        <v>4749</v>
      </c>
      <c r="C11" s="78">
        <f>ROUND(SUM(C12:C15),2)</f>
        <v>0</v>
      </c>
      <c r="D11" s="78">
        <f t="shared" ref="D11:F11" si="9">ROUND(SUM(D12:D15),2)</f>
        <v>0</v>
      </c>
      <c r="E11" s="78">
        <f t="shared" si="9"/>
        <v>0</v>
      </c>
      <c r="F11" s="78">
        <f t="shared" si="9"/>
        <v>0</v>
      </c>
      <c r="G11" s="78">
        <f t="shared" si="5"/>
        <v>0</v>
      </c>
      <c r="H11" s="80">
        <f>ROUND(SUM(H12:H15),2)</f>
        <v>0</v>
      </c>
      <c r="I11" s="80">
        <f t="shared" ref="I11:K11" si="10">ROUND(SUM(I12:I15),2)</f>
        <v>0</v>
      </c>
      <c r="J11" s="80">
        <f t="shared" si="10"/>
        <v>0</v>
      </c>
      <c r="K11" s="80">
        <f t="shared" si="10"/>
        <v>0</v>
      </c>
      <c r="L11" s="78">
        <f t="shared" si="6"/>
        <v>0</v>
      </c>
      <c r="M11" s="78">
        <f>ROUND(SUM(M12:M15),2)</f>
        <v>0</v>
      </c>
      <c r="N11" s="78">
        <f t="shared" ref="N11:P11" si="11">ROUND(SUM(N12:N15),2)</f>
        <v>0</v>
      </c>
      <c r="O11" s="78">
        <f t="shared" si="11"/>
        <v>0</v>
      </c>
      <c r="P11" s="78">
        <f t="shared" si="11"/>
        <v>0</v>
      </c>
      <c r="Q11" s="78">
        <f t="shared" si="8"/>
        <v>0</v>
      </c>
    </row>
    <row r="12" customHeight="1" spans="1:17">
      <c r="A12" s="69" t="str">
        <f t="shared" ref="A12:A52" si="12">A11</f>
        <v>深圳新阳蓝光能源管理科技股份有限公司</v>
      </c>
      <c r="B12" s="81" t="s">
        <v>5005</v>
      </c>
      <c r="C12" s="77">
        <f>报表附注!F3861</f>
        <v>0</v>
      </c>
      <c r="D12" s="77">
        <f>报表附注!G3861</f>
        <v>0</v>
      </c>
      <c r="E12" s="77">
        <f>报表附注!H3861</f>
        <v>0</v>
      </c>
      <c r="F12" s="77">
        <f>报表附注!I3861</f>
        <v>0</v>
      </c>
      <c r="G12" s="78">
        <f t="shared" si="5"/>
        <v>0</v>
      </c>
      <c r="H12" s="82"/>
      <c r="I12" s="82"/>
      <c r="J12" s="82"/>
      <c r="K12" s="82"/>
      <c r="L12" s="78">
        <f t="shared" si="6"/>
        <v>0</v>
      </c>
      <c r="M12" s="111">
        <f t="shared" ref="M12:P15" si="13">C12-H12</f>
        <v>0</v>
      </c>
      <c r="N12" s="111">
        <f t="shared" si="13"/>
        <v>0</v>
      </c>
      <c r="O12" s="111">
        <f t="shared" si="13"/>
        <v>0</v>
      </c>
      <c r="P12" s="111">
        <f t="shared" si="13"/>
        <v>0</v>
      </c>
      <c r="Q12" s="78">
        <f t="shared" si="8"/>
        <v>0</v>
      </c>
    </row>
    <row r="13" customHeight="1" spans="1:17">
      <c r="A13" s="69" t="str">
        <f t="shared" si="12"/>
        <v>深圳新阳蓝光能源管理科技股份有限公司</v>
      </c>
      <c r="B13" s="84" t="s">
        <v>4879</v>
      </c>
      <c r="C13" s="77">
        <f>报表附注!F3862</f>
        <v>0</v>
      </c>
      <c r="D13" s="77">
        <f>报表附注!G3862</f>
        <v>0</v>
      </c>
      <c r="E13" s="77">
        <f>报表附注!H3862</f>
        <v>0</v>
      </c>
      <c r="F13" s="77">
        <f>报表附注!I3862</f>
        <v>0</v>
      </c>
      <c r="G13" s="78">
        <f t="shared" si="5"/>
        <v>0</v>
      </c>
      <c r="H13" s="82"/>
      <c r="I13" s="82"/>
      <c r="J13" s="82"/>
      <c r="K13" s="82"/>
      <c r="L13" s="78">
        <f t="shared" si="6"/>
        <v>0</v>
      </c>
      <c r="M13" s="111">
        <f t="shared" si="13"/>
        <v>0</v>
      </c>
      <c r="N13" s="111">
        <f t="shared" si="13"/>
        <v>0</v>
      </c>
      <c r="O13" s="111">
        <f t="shared" si="13"/>
        <v>0</v>
      </c>
      <c r="P13" s="111">
        <f t="shared" si="13"/>
        <v>0</v>
      </c>
      <c r="Q13" s="78">
        <f t="shared" si="8"/>
        <v>0</v>
      </c>
    </row>
    <row r="14" customHeight="1" spans="1:17">
      <c r="A14" s="69" t="str">
        <f t="shared" si="12"/>
        <v>深圳新阳蓝光能源管理科技股份有限公司</v>
      </c>
      <c r="B14" s="84" t="s">
        <v>4882</v>
      </c>
      <c r="C14" s="77">
        <f>报表附注!F3863</f>
        <v>0</v>
      </c>
      <c r="D14" s="77">
        <f>报表附注!G3863</f>
        <v>0</v>
      </c>
      <c r="E14" s="77">
        <f>报表附注!H3863</f>
        <v>0</v>
      </c>
      <c r="F14" s="77">
        <f>报表附注!I3863</f>
        <v>0</v>
      </c>
      <c r="G14" s="78">
        <f t="shared" si="5"/>
        <v>0</v>
      </c>
      <c r="H14" s="82"/>
      <c r="I14" s="82"/>
      <c r="J14" s="82"/>
      <c r="K14" s="82"/>
      <c r="L14" s="78">
        <f t="shared" si="6"/>
        <v>0</v>
      </c>
      <c r="M14" s="111">
        <f t="shared" si="13"/>
        <v>0</v>
      </c>
      <c r="N14" s="111">
        <f t="shared" si="13"/>
        <v>0</v>
      </c>
      <c r="O14" s="111">
        <f t="shared" si="13"/>
        <v>0</v>
      </c>
      <c r="P14" s="111">
        <f t="shared" si="13"/>
        <v>0</v>
      </c>
      <c r="Q14" s="78">
        <f t="shared" si="8"/>
        <v>0</v>
      </c>
    </row>
    <row r="15" customHeight="1" spans="1:17">
      <c r="A15" s="69" t="str">
        <f t="shared" si="12"/>
        <v>深圳新阳蓝光能源管理科技股份有限公司</v>
      </c>
      <c r="B15" s="84" t="s">
        <v>4885</v>
      </c>
      <c r="C15" s="77">
        <f>报表附注!F3864</f>
        <v>0</v>
      </c>
      <c r="D15" s="77">
        <f>报表附注!G3864</f>
        <v>0</v>
      </c>
      <c r="E15" s="77">
        <f>报表附注!H3864</f>
        <v>0</v>
      </c>
      <c r="F15" s="77">
        <f>报表附注!I3864</f>
        <v>0</v>
      </c>
      <c r="G15" s="78">
        <f t="shared" si="5"/>
        <v>0</v>
      </c>
      <c r="H15" s="85"/>
      <c r="I15" s="82"/>
      <c r="J15" s="82"/>
      <c r="K15" s="82"/>
      <c r="L15" s="78">
        <f t="shared" si="6"/>
        <v>0</v>
      </c>
      <c r="M15" s="111">
        <f t="shared" si="13"/>
        <v>0</v>
      </c>
      <c r="N15" s="111">
        <f t="shared" si="13"/>
        <v>0</v>
      </c>
      <c r="O15" s="111">
        <f t="shared" si="13"/>
        <v>0</v>
      </c>
      <c r="P15" s="111">
        <f t="shared" si="13"/>
        <v>0</v>
      </c>
      <c r="Q15" s="78">
        <f t="shared" si="8"/>
        <v>0</v>
      </c>
    </row>
    <row r="16" customHeight="1" spans="1:17">
      <c r="A16" s="69" t="str">
        <f t="shared" si="12"/>
        <v>深圳新阳蓝光能源管理科技股份有限公司</v>
      </c>
      <c r="B16" s="75" t="s">
        <v>4761</v>
      </c>
      <c r="C16" s="78">
        <f>ROUND(C4+C5-C11,2)</f>
        <v>0</v>
      </c>
      <c r="D16" s="78">
        <f t="shared" ref="D16:F16" si="14">ROUND(D4+D5-D11,2)</f>
        <v>0</v>
      </c>
      <c r="E16" s="78">
        <f t="shared" si="14"/>
        <v>18000</v>
      </c>
      <c r="F16" s="78">
        <f t="shared" si="14"/>
        <v>0</v>
      </c>
      <c r="G16" s="78">
        <f t="shared" si="5"/>
        <v>18000</v>
      </c>
      <c r="H16" s="80">
        <f>ROUND(H4+H5-H11,2)</f>
        <v>0</v>
      </c>
      <c r="I16" s="80">
        <f t="shared" ref="I16:K16" si="15">ROUND(I4+I5-I11,2)</f>
        <v>0</v>
      </c>
      <c r="J16" s="80">
        <f t="shared" si="15"/>
        <v>0</v>
      </c>
      <c r="K16" s="80">
        <f t="shared" si="15"/>
        <v>0</v>
      </c>
      <c r="L16" s="78">
        <f t="shared" ref="L16:L23" si="16">ROUND(SUM(H16:K16),2)</f>
        <v>0</v>
      </c>
      <c r="M16" s="78">
        <f>ROUND(M4+M5-M11,2)</f>
        <v>0</v>
      </c>
      <c r="N16" s="78">
        <f t="shared" ref="N16:P16" si="17">ROUND(N4+N5-N11,2)</f>
        <v>0</v>
      </c>
      <c r="O16" s="78">
        <f t="shared" si="17"/>
        <v>18000</v>
      </c>
      <c r="P16" s="78">
        <f t="shared" si="17"/>
        <v>0</v>
      </c>
      <c r="Q16" s="78">
        <f t="shared" ref="Q16:Q22" si="18">ROUND(SUM(M16:P16),2)</f>
        <v>18000</v>
      </c>
    </row>
    <row r="17" customHeight="1" spans="1:17">
      <c r="A17" s="69" t="str">
        <f t="shared" si="12"/>
        <v>深圳新阳蓝光能源管理科技股份有限公司</v>
      </c>
      <c r="B17" s="75" t="s">
        <v>5016</v>
      </c>
      <c r="C17" s="86"/>
      <c r="D17" s="86"/>
      <c r="E17" s="86"/>
      <c r="F17" s="86"/>
      <c r="G17" s="78">
        <f t="shared" si="5"/>
        <v>0</v>
      </c>
      <c r="H17" s="87"/>
      <c r="I17" s="87"/>
      <c r="J17" s="87"/>
      <c r="K17" s="87"/>
      <c r="L17" s="78">
        <f t="shared" si="16"/>
        <v>0</v>
      </c>
      <c r="M17" s="86"/>
      <c r="N17" s="86"/>
      <c r="O17" s="86"/>
      <c r="P17" s="86"/>
      <c r="Q17" s="78">
        <f t="shared" si="18"/>
        <v>0</v>
      </c>
    </row>
    <row r="18" customHeight="1" spans="1:17">
      <c r="A18" s="69" t="str">
        <f t="shared" si="12"/>
        <v>深圳新阳蓝光能源管理科技股份有限公司</v>
      </c>
      <c r="B18" s="75" t="s">
        <v>4732</v>
      </c>
      <c r="C18" s="77">
        <f>报表附注!F3867</f>
        <v>0</v>
      </c>
      <c r="D18" s="77">
        <f>报表附注!G3867</f>
        <v>0</v>
      </c>
      <c r="E18" s="77">
        <f>报表附注!H3867</f>
        <v>2000</v>
      </c>
      <c r="F18" s="77">
        <f>报表附注!I3867</f>
        <v>0</v>
      </c>
      <c r="G18" s="78">
        <f t="shared" si="5"/>
        <v>2000</v>
      </c>
      <c r="H18" s="82"/>
      <c r="I18" s="82"/>
      <c r="J18" s="82"/>
      <c r="K18" s="82"/>
      <c r="L18" s="78">
        <f t="shared" si="16"/>
        <v>0</v>
      </c>
      <c r="M18" s="111">
        <f t="shared" ref="M18:P18" si="19">C18-H18</f>
        <v>0</v>
      </c>
      <c r="N18" s="111">
        <f t="shared" si="19"/>
        <v>0</v>
      </c>
      <c r="O18" s="111">
        <f t="shared" si="19"/>
        <v>2000</v>
      </c>
      <c r="P18" s="111">
        <f t="shared" si="19"/>
        <v>0</v>
      </c>
      <c r="Q18" s="78">
        <f t="shared" si="18"/>
        <v>2000</v>
      </c>
    </row>
    <row r="19" customHeight="1" spans="1:17">
      <c r="A19" s="69" t="str">
        <f t="shared" si="12"/>
        <v>深圳新阳蓝光能源管理科技股份有限公司</v>
      </c>
      <c r="B19" s="75" t="s">
        <v>4735</v>
      </c>
      <c r="C19" s="78">
        <f>ROUND(SUM(C20:C23),2)</f>
        <v>0</v>
      </c>
      <c r="D19" s="78">
        <f t="shared" ref="D19:F19" si="20">ROUND(SUM(D20:D23),2)</f>
        <v>0</v>
      </c>
      <c r="E19" s="78">
        <f t="shared" si="20"/>
        <v>6000</v>
      </c>
      <c r="F19" s="78">
        <f t="shared" si="20"/>
        <v>0</v>
      </c>
      <c r="G19" s="78">
        <f t="shared" si="5"/>
        <v>6000</v>
      </c>
      <c r="H19" s="80">
        <f>ROUND(SUM(H20:H23),2)</f>
        <v>0</v>
      </c>
      <c r="I19" s="80">
        <f t="shared" ref="I19:K19" si="21">ROUND(SUM(I20:I23),2)</f>
        <v>0</v>
      </c>
      <c r="J19" s="80">
        <f t="shared" si="21"/>
        <v>0</v>
      </c>
      <c r="K19" s="80">
        <f t="shared" si="21"/>
        <v>0</v>
      </c>
      <c r="L19" s="78">
        <f t="shared" si="16"/>
        <v>0</v>
      </c>
      <c r="M19" s="78">
        <f>ROUND(SUM(M20:M23),2)</f>
        <v>0</v>
      </c>
      <c r="N19" s="78">
        <f t="shared" ref="N19:P19" si="22">ROUND(SUM(N20:N23),2)</f>
        <v>0</v>
      </c>
      <c r="O19" s="78">
        <f t="shared" si="22"/>
        <v>6000</v>
      </c>
      <c r="P19" s="78">
        <f t="shared" si="22"/>
        <v>0</v>
      </c>
      <c r="Q19" s="78">
        <f t="shared" si="18"/>
        <v>6000</v>
      </c>
    </row>
    <row r="20" customHeight="1" spans="1:17">
      <c r="A20" s="69" t="str">
        <f t="shared" si="12"/>
        <v>深圳新阳蓝光能源管理科技股份有限公司</v>
      </c>
      <c r="B20" s="81" t="s">
        <v>5023</v>
      </c>
      <c r="C20" s="77">
        <f>报表附注!F3869</f>
        <v>0</v>
      </c>
      <c r="D20" s="77">
        <f>报表附注!G3869</f>
        <v>0</v>
      </c>
      <c r="E20" s="77">
        <f>报表附注!H3869</f>
        <v>6000</v>
      </c>
      <c r="F20" s="77">
        <f>报表附注!I3869</f>
        <v>0</v>
      </c>
      <c r="G20" s="78">
        <f t="shared" si="5"/>
        <v>6000</v>
      </c>
      <c r="H20" s="82"/>
      <c r="I20" s="82"/>
      <c r="J20" s="82"/>
      <c r="K20" s="82"/>
      <c r="L20" s="78">
        <f t="shared" si="16"/>
        <v>0</v>
      </c>
      <c r="M20" s="111">
        <f t="shared" ref="M20:P23" si="23">C20-H20</f>
        <v>0</v>
      </c>
      <c r="N20" s="111">
        <f t="shared" si="23"/>
        <v>0</v>
      </c>
      <c r="O20" s="111">
        <f t="shared" si="23"/>
        <v>6000</v>
      </c>
      <c r="P20" s="111">
        <f t="shared" si="23"/>
        <v>0</v>
      </c>
      <c r="Q20" s="78">
        <f t="shared" si="18"/>
        <v>6000</v>
      </c>
    </row>
    <row r="21" customHeight="1" spans="1:17">
      <c r="A21" s="69" t="str">
        <f t="shared" si="12"/>
        <v>深圳新阳蓝光能源管理科技股份有限公司</v>
      </c>
      <c r="B21" s="84" t="s">
        <v>4901</v>
      </c>
      <c r="C21" s="77">
        <f>报表附注!F3870</f>
        <v>0</v>
      </c>
      <c r="D21" s="77">
        <f>报表附注!G3870</f>
        <v>0</v>
      </c>
      <c r="E21" s="77">
        <f>报表附注!H3870</f>
        <v>0</v>
      </c>
      <c r="F21" s="77">
        <f>报表附注!I3870</f>
        <v>0</v>
      </c>
      <c r="G21" s="78">
        <f t="shared" si="5"/>
        <v>0</v>
      </c>
      <c r="H21" s="82"/>
      <c r="I21" s="82"/>
      <c r="J21" s="82"/>
      <c r="K21" s="82"/>
      <c r="L21" s="78">
        <f t="shared" si="16"/>
        <v>0</v>
      </c>
      <c r="M21" s="111">
        <f t="shared" si="23"/>
        <v>0</v>
      </c>
      <c r="N21" s="111">
        <f t="shared" si="23"/>
        <v>0</v>
      </c>
      <c r="O21" s="111">
        <f t="shared" si="23"/>
        <v>0</v>
      </c>
      <c r="P21" s="111">
        <f t="shared" si="23"/>
        <v>0</v>
      </c>
      <c r="Q21" s="78">
        <f t="shared" si="18"/>
        <v>0</v>
      </c>
    </row>
    <row r="22" customHeight="1" spans="1:17">
      <c r="A22" s="69" t="str">
        <f t="shared" si="12"/>
        <v>深圳新阳蓝光能源管理科技股份有限公司</v>
      </c>
      <c r="B22" s="84" t="s">
        <v>4904</v>
      </c>
      <c r="C22" s="77">
        <f>报表附注!F3871</f>
        <v>0</v>
      </c>
      <c r="D22" s="77">
        <f>报表附注!G3871</f>
        <v>0</v>
      </c>
      <c r="E22" s="77">
        <f>报表附注!H3871</f>
        <v>0</v>
      </c>
      <c r="F22" s="77">
        <f>报表附注!I3871</f>
        <v>0</v>
      </c>
      <c r="G22" s="78">
        <f t="shared" si="5"/>
        <v>0</v>
      </c>
      <c r="H22" s="82"/>
      <c r="I22" s="82"/>
      <c r="J22" s="82"/>
      <c r="K22" s="82"/>
      <c r="L22" s="78">
        <f t="shared" si="16"/>
        <v>0</v>
      </c>
      <c r="M22" s="111">
        <f t="shared" si="23"/>
        <v>0</v>
      </c>
      <c r="N22" s="111">
        <f t="shared" si="23"/>
        <v>0</v>
      </c>
      <c r="O22" s="111">
        <f t="shared" si="23"/>
        <v>0</v>
      </c>
      <c r="P22" s="111">
        <f t="shared" si="23"/>
        <v>0</v>
      </c>
      <c r="Q22" s="78">
        <f t="shared" si="18"/>
        <v>0</v>
      </c>
    </row>
    <row r="23" customHeight="1" spans="1:17">
      <c r="A23" s="69" t="str">
        <f t="shared" si="12"/>
        <v>深圳新阳蓝光能源管理科技股份有限公司</v>
      </c>
      <c r="B23" s="84" t="s">
        <v>4907</v>
      </c>
      <c r="C23" s="77">
        <f>报表附注!F3872</f>
        <v>0</v>
      </c>
      <c r="D23" s="77">
        <f>报表附注!G3872</f>
        <v>0</v>
      </c>
      <c r="E23" s="77">
        <f>报表附注!H3872</f>
        <v>0</v>
      </c>
      <c r="F23" s="77">
        <f>报表附注!I3872</f>
        <v>0</v>
      </c>
      <c r="G23" s="78">
        <f t="shared" si="5"/>
        <v>0</v>
      </c>
      <c r="H23" s="82"/>
      <c r="I23" s="82"/>
      <c r="J23" s="82"/>
      <c r="K23" s="82"/>
      <c r="L23" s="78">
        <f t="shared" si="16"/>
        <v>0</v>
      </c>
      <c r="M23" s="111">
        <f t="shared" si="23"/>
        <v>0</v>
      </c>
      <c r="N23" s="111">
        <f t="shared" si="23"/>
        <v>0</v>
      </c>
      <c r="O23" s="111">
        <f t="shared" si="23"/>
        <v>0</v>
      </c>
      <c r="P23" s="111">
        <f t="shared" si="23"/>
        <v>0</v>
      </c>
      <c r="Q23" s="78">
        <f t="shared" ref="Q23:Q27" si="24">ROUND(SUM(M23:P23),2)</f>
        <v>0</v>
      </c>
    </row>
    <row r="24" customHeight="1" spans="1:17">
      <c r="A24" s="69" t="str">
        <f t="shared" si="12"/>
        <v>深圳新阳蓝光能源管理科技股份有限公司</v>
      </c>
      <c r="B24" s="75" t="s">
        <v>4749</v>
      </c>
      <c r="C24" s="78">
        <f>ROUND(SUM(C25:C28),2)</f>
        <v>0</v>
      </c>
      <c r="D24" s="78">
        <f t="shared" ref="D24:F24" si="25">ROUND(SUM(D25:D28),2)</f>
        <v>0</v>
      </c>
      <c r="E24" s="78">
        <f t="shared" si="25"/>
        <v>0</v>
      </c>
      <c r="F24" s="78">
        <f t="shared" si="25"/>
        <v>0</v>
      </c>
      <c r="G24" s="78">
        <f t="shared" si="5"/>
        <v>0</v>
      </c>
      <c r="H24" s="80">
        <f>ROUND(SUM(H25:H28),2)</f>
        <v>0</v>
      </c>
      <c r="I24" s="80">
        <f t="shared" ref="I24:K24" si="26">ROUND(SUM(I25:I28),2)</f>
        <v>0</v>
      </c>
      <c r="J24" s="80">
        <f t="shared" si="26"/>
        <v>0</v>
      </c>
      <c r="K24" s="80">
        <f t="shared" si="26"/>
        <v>0</v>
      </c>
      <c r="L24" s="78">
        <f t="shared" ref="L24:L28" si="27">ROUND(SUM(H24:K24),2)</f>
        <v>0</v>
      </c>
      <c r="M24" s="78">
        <f>ROUND(SUM(M25:M28),2)</f>
        <v>0</v>
      </c>
      <c r="N24" s="78">
        <f t="shared" ref="N24:P24" si="28">ROUND(SUM(N25:N28),2)</f>
        <v>0</v>
      </c>
      <c r="O24" s="78">
        <f t="shared" si="28"/>
        <v>0</v>
      </c>
      <c r="P24" s="78">
        <f t="shared" si="28"/>
        <v>0</v>
      </c>
      <c r="Q24" s="78">
        <f t="shared" si="24"/>
        <v>0</v>
      </c>
    </row>
    <row r="25" customHeight="1" spans="1:17">
      <c r="A25" s="69" t="str">
        <f t="shared" si="12"/>
        <v>深圳新阳蓝光能源管理科技股份有限公司</v>
      </c>
      <c r="B25" s="81" t="s">
        <v>5005</v>
      </c>
      <c r="C25" s="77">
        <f>报表附注!F3874</f>
        <v>0</v>
      </c>
      <c r="D25" s="77">
        <f>报表附注!G3874</f>
        <v>0</v>
      </c>
      <c r="E25" s="77">
        <f>报表附注!H3874</f>
        <v>0</v>
      </c>
      <c r="F25" s="77">
        <f>报表附注!I3874</f>
        <v>0</v>
      </c>
      <c r="G25" s="78">
        <f t="shared" si="5"/>
        <v>0</v>
      </c>
      <c r="H25" s="82"/>
      <c r="I25" s="82"/>
      <c r="J25" s="82"/>
      <c r="K25" s="82"/>
      <c r="L25" s="78">
        <f t="shared" si="27"/>
        <v>0</v>
      </c>
      <c r="M25" s="111">
        <f t="shared" ref="M25:P28" si="29">C25-H25</f>
        <v>0</v>
      </c>
      <c r="N25" s="111">
        <f t="shared" si="29"/>
        <v>0</v>
      </c>
      <c r="O25" s="111">
        <f t="shared" si="29"/>
        <v>0</v>
      </c>
      <c r="P25" s="111">
        <f t="shared" si="29"/>
        <v>0</v>
      </c>
      <c r="Q25" s="78">
        <f t="shared" si="24"/>
        <v>0</v>
      </c>
    </row>
    <row r="26" customHeight="1" spans="1:17">
      <c r="A26" s="69" t="str">
        <f t="shared" si="12"/>
        <v>深圳新阳蓝光能源管理科技股份有限公司</v>
      </c>
      <c r="B26" s="84" t="s">
        <v>4879</v>
      </c>
      <c r="C26" s="77">
        <f>报表附注!F3875</f>
        <v>0</v>
      </c>
      <c r="D26" s="77">
        <f>报表附注!G3875</f>
        <v>0</v>
      </c>
      <c r="E26" s="77">
        <f>报表附注!H3875</f>
        <v>0</v>
      </c>
      <c r="F26" s="77">
        <f>报表附注!I3875</f>
        <v>0</v>
      </c>
      <c r="G26" s="78">
        <f t="shared" si="5"/>
        <v>0</v>
      </c>
      <c r="H26" s="82"/>
      <c r="I26" s="82"/>
      <c r="J26" s="82"/>
      <c r="K26" s="82"/>
      <c r="L26" s="78">
        <f t="shared" si="27"/>
        <v>0</v>
      </c>
      <c r="M26" s="111">
        <f t="shared" si="29"/>
        <v>0</v>
      </c>
      <c r="N26" s="111">
        <f t="shared" si="29"/>
        <v>0</v>
      </c>
      <c r="O26" s="111">
        <f t="shared" si="29"/>
        <v>0</v>
      </c>
      <c r="P26" s="111">
        <f t="shared" si="29"/>
        <v>0</v>
      </c>
      <c r="Q26" s="78">
        <f t="shared" si="24"/>
        <v>0</v>
      </c>
    </row>
    <row r="27" customHeight="1" spans="1:17">
      <c r="A27" s="69" t="str">
        <f t="shared" si="12"/>
        <v>深圳新阳蓝光能源管理科技股份有限公司</v>
      </c>
      <c r="B27" s="84" t="s">
        <v>4882</v>
      </c>
      <c r="C27" s="77">
        <f>报表附注!F3876</f>
        <v>0</v>
      </c>
      <c r="D27" s="77">
        <f>报表附注!G3876</f>
        <v>0</v>
      </c>
      <c r="E27" s="77">
        <f>报表附注!H3876</f>
        <v>0</v>
      </c>
      <c r="F27" s="77">
        <f>报表附注!I3876</f>
        <v>0</v>
      </c>
      <c r="G27" s="78">
        <f t="shared" si="5"/>
        <v>0</v>
      </c>
      <c r="H27" s="82"/>
      <c r="I27" s="82"/>
      <c r="J27" s="82"/>
      <c r="K27" s="82"/>
      <c r="L27" s="78">
        <f t="shared" si="27"/>
        <v>0</v>
      </c>
      <c r="M27" s="111">
        <f t="shared" si="29"/>
        <v>0</v>
      </c>
      <c r="N27" s="111">
        <f t="shared" si="29"/>
        <v>0</v>
      </c>
      <c r="O27" s="111">
        <f t="shared" si="29"/>
        <v>0</v>
      </c>
      <c r="P27" s="111">
        <f t="shared" si="29"/>
        <v>0</v>
      </c>
      <c r="Q27" s="78">
        <f t="shared" si="24"/>
        <v>0</v>
      </c>
    </row>
    <row r="28" customHeight="1" spans="1:17">
      <c r="A28" s="69" t="str">
        <f t="shared" si="12"/>
        <v>深圳新阳蓝光能源管理科技股份有限公司</v>
      </c>
      <c r="B28" s="84" t="s">
        <v>4918</v>
      </c>
      <c r="C28" s="77">
        <f>报表附注!F3877</f>
        <v>0</v>
      </c>
      <c r="D28" s="77">
        <f>报表附注!G3877</f>
        <v>0</v>
      </c>
      <c r="E28" s="77">
        <f>报表附注!H3877</f>
        <v>0</v>
      </c>
      <c r="F28" s="77">
        <f>报表附注!I3877</f>
        <v>0</v>
      </c>
      <c r="G28" s="78">
        <f t="shared" si="5"/>
        <v>0</v>
      </c>
      <c r="H28" s="82"/>
      <c r="I28" s="82"/>
      <c r="J28" s="82"/>
      <c r="K28" s="82"/>
      <c r="L28" s="78">
        <f t="shared" si="27"/>
        <v>0</v>
      </c>
      <c r="M28" s="111">
        <f t="shared" si="29"/>
        <v>0</v>
      </c>
      <c r="N28" s="111">
        <f t="shared" si="29"/>
        <v>0</v>
      </c>
      <c r="O28" s="111">
        <f t="shared" si="29"/>
        <v>0</v>
      </c>
      <c r="P28" s="111">
        <f t="shared" si="29"/>
        <v>0</v>
      </c>
      <c r="Q28" s="78">
        <f t="shared" ref="Q28:Q41" si="30">ROUND(SUM(M28:P28),2)</f>
        <v>0</v>
      </c>
    </row>
    <row r="29" customHeight="1" spans="1:17">
      <c r="A29" s="69" t="str">
        <f t="shared" si="12"/>
        <v>深圳新阳蓝光能源管理科技股份有限公司</v>
      </c>
      <c r="B29" s="75" t="s">
        <v>4761</v>
      </c>
      <c r="C29" s="78">
        <f>ROUND(C18+C19-C24,2)</f>
        <v>0</v>
      </c>
      <c r="D29" s="78">
        <f t="shared" ref="D29:F29" si="31">ROUND(D18+D19-D24,2)</f>
        <v>0</v>
      </c>
      <c r="E29" s="78">
        <f t="shared" si="31"/>
        <v>8000</v>
      </c>
      <c r="F29" s="78">
        <f t="shared" si="31"/>
        <v>0</v>
      </c>
      <c r="G29" s="78">
        <f t="shared" si="5"/>
        <v>8000</v>
      </c>
      <c r="H29" s="80">
        <f>ROUND(H18+H19-H24,2)</f>
        <v>0</v>
      </c>
      <c r="I29" s="80">
        <f t="shared" ref="I29:K29" si="32">ROUND(I18+I19-I24,2)</f>
        <v>0</v>
      </c>
      <c r="J29" s="80">
        <f t="shared" si="32"/>
        <v>0</v>
      </c>
      <c r="K29" s="80">
        <f t="shared" si="32"/>
        <v>0</v>
      </c>
      <c r="L29" s="78">
        <f t="shared" ref="L29:L41" si="33">ROUND(SUM(H29:K29),2)</f>
        <v>0</v>
      </c>
      <c r="M29" s="78">
        <f>ROUND(M18+M19-M24,2)</f>
        <v>0</v>
      </c>
      <c r="N29" s="78">
        <f t="shared" ref="N29:P29" si="34">ROUND(N18+N19-N24,2)</f>
        <v>0</v>
      </c>
      <c r="O29" s="78">
        <f t="shared" si="34"/>
        <v>8000</v>
      </c>
      <c r="P29" s="78">
        <f t="shared" si="34"/>
        <v>0</v>
      </c>
      <c r="Q29" s="78">
        <f t="shared" si="30"/>
        <v>8000</v>
      </c>
    </row>
    <row r="30" customHeight="1" spans="1:17">
      <c r="A30" s="69" t="str">
        <f t="shared" si="12"/>
        <v>深圳新阳蓝光能源管理科技股份有限公司</v>
      </c>
      <c r="B30" s="75" t="s">
        <v>4791</v>
      </c>
      <c r="C30" s="86"/>
      <c r="D30" s="86"/>
      <c r="E30" s="86"/>
      <c r="F30" s="86"/>
      <c r="G30" s="78">
        <f t="shared" si="5"/>
        <v>0</v>
      </c>
      <c r="H30" s="87"/>
      <c r="I30" s="87"/>
      <c r="J30" s="87"/>
      <c r="K30" s="87"/>
      <c r="L30" s="78">
        <f t="shared" si="33"/>
        <v>0</v>
      </c>
      <c r="M30" s="86"/>
      <c r="N30" s="86"/>
      <c r="O30" s="86"/>
      <c r="P30" s="86"/>
      <c r="Q30" s="78">
        <f t="shared" si="30"/>
        <v>0</v>
      </c>
    </row>
    <row r="31" customHeight="1" spans="1:17">
      <c r="A31" s="69" t="str">
        <f t="shared" si="12"/>
        <v>深圳新阳蓝光能源管理科技股份有限公司</v>
      </c>
      <c r="B31" s="75" t="s">
        <v>4732</v>
      </c>
      <c r="C31" s="77">
        <f>报表附注!F3880</f>
        <v>0</v>
      </c>
      <c r="D31" s="77">
        <f>报表附注!G3880</f>
        <v>0</v>
      </c>
      <c r="E31" s="77">
        <f>报表附注!H3880</f>
        <v>0</v>
      </c>
      <c r="F31" s="77">
        <f>报表附注!I3880</f>
        <v>0</v>
      </c>
      <c r="G31" s="78">
        <f t="shared" si="5"/>
        <v>0</v>
      </c>
      <c r="H31" s="82"/>
      <c r="I31" s="82"/>
      <c r="J31" s="82"/>
      <c r="K31" s="82"/>
      <c r="L31" s="78">
        <f t="shared" si="33"/>
        <v>0</v>
      </c>
      <c r="M31" s="111">
        <f t="shared" ref="M31:P31" si="35">C31-H31</f>
        <v>0</v>
      </c>
      <c r="N31" s="111">
        <f t="shared" si="35"/>
        <v>0</v>
      </c>
      <c r="O31" s="111">
        <f t="shared" si="35"/>
        <v>0</v>
      </c>
      <c r="P31" s="111">
        <f t="shared" si="35"/>
        <v>0</v>
      </c>
      <c r="Q31" s="78">
        <f t="shared" si="30"/>
        <v>0</v>
      </c>
    </row>
    <row r="32" customHeight="1" spans="1:17">
      <c r="A32" s="69" t="str">
        <f t="shared" si="12"/>
        <v>深圳新阳蓝光能源管理科技股份有限公司</v>
      </c>
      <c r="B32" s="75" t="s">
        <v>4735</v>
      </c>
      <c r="C32" s="78">
        <f>ROUND(SUM(C33:C34),2)</f>
        <v>0</v>
      </c>
      <c r="D32" s="78">
        <f t="shared" ref="D32:F32" si="36">ROUND(SUM(D33:D34),2)</f>
        <v>0</v>
      </c>
      <c r="E32" s="78">
        <f t="shared" si="36"/>
        <v>0</v>
      </c>
      <c r="F32" s="78">
        <f t="shared" si="36"/>
        <v>0</v>
      </c>
      <c r="G32" s="78">
        <f t="shared" si="5"/>
        <v>0</v>
      </c>
      <c r="H32" s="80">
        <f>ROUND(SUM(H33:H34),2)</f>
        <v>0</v>
      </c>
      <c r="I32" s="80">
        <f t="shared" ref="I32:K32" si="37">ROUND(SUM(I33:I34),2)</f>
        <v>0</v>
      </c>
      <c r="J32" s="80">
        <f t="shared" si="37"/>
        <v>0</v>
      </c>
      <c r="K32" s="80">
        <f t="shared" si="37"/>
        <v>0</v>
      </c>
      <c r="L32" s="78">
        <f t="shared" si="33"/>
        <v>0</v>
      </c>
      <c r="M32" s="78">
        <f>ROUND(SUM(M33:M34),2)</f>
        <v>0</v>
      </c>
      <c r="N32" s="78">
        <f t="shared" ref="N32:P32" si="38">ROUND(SUM(N33:N34),2)</f>
        <v>0</v>
      </c>
      <c r="O32" s="78">
        <f t="shared" si="38"/>
        <v>0</v>
      </c>
      <c r="P32" s="78">
        <f t="shared" si="38"/>
        <v>0</v>
      </c>
      <c r="Q32" s="78">
        <f t="shared" si="30"/>
        <v>0</v>
      </c>
    </row>
    <row r="33" customHeight="1" spans="1:17">
      <c r="A33" s="69" t="str">
        <f t="shared" si="12"/>
        <v>深圳新阳蓝光能源管理科技股份有限公司</v>
      </c>
      <c r="B33" s="81" t="s">
        <v>5023</v>
      </c>
      <c r="C33" s="77">
        <f>报表附注!F3882</f>
        <v>0</v>
      </c>
      <c r="D33" s="77">
        <f>报表附注!G3882</f>
        <v>0</v>
      </c>
      <c r="E33" s="77">
        <f>报表附注!H3882</f>
        <v>0</v>
      </c>
      <c r="F33" s="77">
        <f>报表附注!I3882</f>
        <v>0</v>
      </c>
      <c r="G33" s="78">
        <f t="shared" si="5"/>
        <v>0</v>
      </c>
      <c r="H33" s="82"/>
      <c r="I33" s="82"/>
      <c r="J33" s="82"/>
      <c r="K33" s="82"/>
      <c r="L33" s="78">
        <f t="shared" si="33"/>
        <v>0</v>
      </c>
      <c r="M33" s="111">
        <f t="shared" ref="M33:P34" si="39">C33-H33</f>
        <v>0</v>
      </c>
      <c r="N33" s="111">
        <f t="shared" si="39"/>
        <v>0</v>
      </c>
      <c r="O33" s="111">
        <f t="shared" si="39"/>
        <v>0</v>
      </c>
      <c r="P33" s="111">
        <f t="shared" si="39"/>
        <v>0</v>
      </c>
      <c r="Q33" s="78">
        <f t="shared" si="30"/>
        <v>0</v>
      </c>
    </row>
    <row r="34" customHeight="1" spans="1:17">
      <c r="A34" s="69" t="str">
        <f t="shared" si="12"/>
        <v>深圳新阳蓝光能源管理科技股份有限公司</v>
      </c>
      <c r="B34" s="83"/>
      <c r="C34" s="77">
        <f>报表附注!F3883</f>
        <v>0</v>
      </c>
      <c r="D34" s="77">
        <f>报表附注!G3883</f>
        <v>0</v>
      </c>
      <c r="E34" s="77">
        <f>报表附注!H3883</f>
        <v>0</v>
      </c>
      <c r="F34" s="77">
        <f>报表附注!I3883</f>
        <v>0</v>
      </c>
      <c r="G34" s="78">
        <f t="shared" si="5"/>
        <v>0</v>
      </c>
      <c r="H34" s="82"/>
      <c r="I34" s="82"/>
      <c r="J34" s="82"/>
      <c r="K34" s="82"/>
      <c r="L34" s="78">
        <f t="shared" si="33"/>
        <v>0</v>
      </c>
      <c r="M34" s="111">
        <f t="shared" si="39"/>
        <v>0</v>
      </c>
      <c r="N34" s="111">
        <f t="shared" si="39"/>
        <v>0</v>
      </c>
      <c r="O34" s="111">
        <f t="shared" si="39"/>
        <v>0</v>
      </c>
      <c r="P34" s="111">
        <f t="shared" si="39"/>
        <v>0</v>
      </c>
      <c r="Q34" s="78">
        <f t="shared" si="30"/>
        <v>0</v>
      </c>
    </row>
    <row r="35" customHeight="1" spans="1:17">
      <c r="A35" s="69" t="str">
        <f t="shared" si="12"/>
        <v>深圳新阳蓝光能源管理科技股份有限公司</v>
      </c>
      <c r="B35" s="75" t="s">
        <v>4749</v>
      </c>
      <c r="C35" s="78">
        <f>ROUND(SUM(C36:C37),2)</f>
        <v>0</v>
      </c>
      <c r="D35" s="78">
        <f t="shared" ref="D35:F35" si="40">ROUND(SUM(D36:D37),2)</f>
        <v>0</v>
      </c>
      <c r="E35" s="78">
        <f t="shared" si="40"/>
        <v>0</v>
      </c>
      <c r="F35" s="78">
        <f t="shared" si="40"/>
        <v>0</v>
      </c>
      <c r="G35" s="78">
        <f t="shared" si="5"/>
        <v>0</v>
      </c>
      <c r="H35" s="80">
        <f>ROUND(SUM(H36:H37),2)</f>
        <v>0</v>
      </c>
      <c r="I35" s="80">
        <f t="shared" ref="I35:K35" si="41">ROUND(SUM(I36:I37),2)</f>
        <v>0</v>
      </c>
      <c r="J35" s="80">
        <f t="shared" si="41"/>
        <v>0</v>
      </c>
      <c r="K35" s="80">
        <f t="shared" si="41"/>
        <v>0</v>
      </c>
      <c r="L35" s="78">
        <f t="shared" si="33"/>
        <v>0</v>
      </c>
      <c r="M35" s="78">
        <f>ROUND(SUM(M36:M37),2)</f>
        <v>0</v>
      </c>
      <c r="N35" s="78">
        <f t="shared" ref="N35:P35" si="42">ROUND(SUM(N36:N37),2)</f>
        <v>0</v>
      </c>
      <c r="O35" s="78">
        <f t="shared" si="42"/>
        <v>0</v>
      </c>
      <c r="P35" s="78">
        <f t="shared" si="42"/>
        <v>0</v>
      </c>
      <c r="Q35" s="78">
        <f t="shared" si="30"/>
        <v>0</v>
      </c>
    </row>
    <row r="36" customHeight="1" spans="1:17">
      <c r="A36" s="69" t="str">
        <f t="shared" si="12"/>
        <v>深圳新阳蓝光能源管理科技股份有限公司</v>
      </c>
      <c r="B36" s="81" t="s">
        <v>5056</v>
      </c>
      <c r="C36" s="77">
        <f>报表附注!F3885</f>
        <v>0</v>
      </c>
      <c r="D36" s="77">
        <f>报表附注!G3885</f>
        <v>0</v>
      </c>
      <c r="E36" s="77">
        <f>报表附注!H3885</f>
        <v>0</v>
      </c>
      <c r="F36" s="77">
        <f>报表附注!I3885</f>
        <v>0</v>
      </c>
      <c r="G36" s="78">
        <f t="shared" si="5"/>
        <v>0</v>
      </c>
      <c r="H36" s="82"/>
      <c r="I36" s="82"/>
      <c r="J36" s="82"/>
      <c r="K36" s="82"/>
      <c r="L36" s="78">
        <f t="shared" si="33"/>
        <v>0</v>
      </c>
      <c r="M36" s="111">
        <f t="shared" ref="M36:P37" si="43">C36-H36</f>
        <v>0</v>
      </c>
      <c r="N36" s="111">
        <f t="shared" si="43"/>
        <v>0</v>
      </c>
      <c r="O36" s="111">
        <f t="shared" si="43"/>
        <v>0</v>
      </c>
      <c r="P36" s="111">
        <f t="shared" si="43"/>
        <v>0</v>
      </c>
      <c r="Q36" s="78">
        <f t="shared" si="30"/>
        <v>0</v>
      </c>
    </row>
    <row r="37" customHeight="1" spans="1:17">
      <c r="A37" s="69" t="str">
        <f t="shared" si="12"/>
        <v>深圳新阳蓝光能源管理科技股份有限公司</v>
      </c>
      <c r="B37" s="83"/>
      <c r="C37" s="77">
        <f>报表附注!F3886</f>
        <v>0</v>
      </c>
      <c r="D37" s="77">
        <f>报表附注!G3886</f>
        <v>0</v>
      </c>
      <c r="E37" s="77">
        <f>报表附注!H3886</f>
        <v>0</v>
      </c>
      <c r="F37" s="77">
        <f>报表附注!I3886</f>
        <v>0</v>
      </c>
      <c r="G37" s="78">
        <f t="shared" si="5"/>
        <v>0</v>
      </c>
      <c r="H37" s="82"/>
      <c r="I37" s="82"/>
      <c r="J37" s="82"/>
      <c r="K37" s="82"/>
      <c r="L37" s="78">
        <f t="shared" si="33"/>
        <v>0</v>
      </c>
      <c r="M37" s="111">
        <f t="shared" si="43"/>
        <v>0</v>
      </c>
      <c r="N37" s="111">
        <f t="shared" si="43"/>
        <v>0</v>
      </c>
      <c r="O37" s="111">
        <f t="shared" si="43"/>
        <v>0</v>
      </c>
      <c r="P37" s="111">
        <f t="shared" si="43"/>
        <v>0</v>
      </c>
      <c r="Q37" s="78">
        <f t="shared" si="30"/>
        <v>0</v>
      </c>
    </row>
    <row r="38" customHeight="1" spans="1:17">
      <c r="A38" s="69" t="str">
        <f t="shared" si="12"/>
        <v>深圳新阳蓝光能源管理科技股份有限公司</v>
      </c>
      <c r="B38" s="75" t="s">
        <v>4761</v>
      </c>
      <c r="C38" s="78">
        <f>ROUND(C31+C32-C35,2)</f>
        <v>0</v>
      </c>
      <c r="D38" s="78">
        <f t="shared" ref="D38:F38" si="44">ROUND(D31+D32-D35,2)</f>
        <v>0</v>
      </c>
      <c r="E38" s="78">
        <f t="shared" si="44"/>
        <v>0</v>
      </c>
      <c r="F38" s="78">
        <f t="shared" si="44"/>
        <v>0</v>
      </c>
      <c r="G38" s="78">
        <f t="shared" si="5"/>
        <v>0</v>
      </c>
      <c r="H38" s="80">
        <f>ROUND(H31+H32-H35,2)</f>
        <v>0</v>
      </c>
      <c r="I38" s="80">
        <f t="shared" ref="I38:K38" si="45">ROUND(I31+I32-I35,2)</f>
        <v>0</v>
      </c>
      <c r="J38" s="80">
        <f t="shared" si="45"/>
        <v>0</v>
      </c>
      <c r="K38" s="80">
        <f t="shared" si="45"/>
        <v>0</v>
      </c>
      <c r="L38" s="78">
        <f t="shared" si="33"/>
        <v>0</v>
      </c>
      <c r="M38" s="78">
        <f>ROUND(M31+M32-M35,2)</f>
        <v>0</v>
      </c>
      <c r="N38" s="78">
        <f t="shared" ref="N38:P38" si="46">ROUND(N31+N32-N35,2)</f>
        <v>0</v>
      </c>
      <c r="O38" s="78">
        <f t="shared" si="46"/>
        <v>0</v>
      </c>
      <c r="P38" s="78">
        <f t="shared" si="46"/>
        <v>0</v>
      </c>
      <c r="Q38" s="78">
        <f t="shared" si="30"/>
        <v>0</v>
      </c>
    </row>
    <row r="39" customHeight="1" spans="1:17">
      <c r="A39" s="69" t="str">
        <f t="shared" si="12"/>
        <v>深圳新阳蓝光能源管理科技股份有限公司</v>
      </c>
      <c r="B39" s="75" t="s">
        <v>4814</v>
      </c>
      <c r="C39" s="86"/>
      <c r="D39" s="86"/>
      <c r="E39" s="86"/>
      <c r="F39" s="86"/>
      <c r="G39" s="78">
        <f t="shared" si="5"/>
        <v>0</v>
      </c>
      <c r="H39" s="87"/>
      <c r="I39" s="87"/>
      <c r="J39" s="87"/>
      <c r="K39" s="87"/>
      <c r="L39" s="78">
        <f t="shared" si="33"/>
        <v>0</v>
      </c>
      <c r="M39" s="86"/>
      <c r="N39" s="86"/>
      <c r="O39" s="86"/>
      <c r="P39" s="86"/>
      <c r="Q39" s="78">
        <f t="shared" si="30"/>
        <v>0</v>
      </c>
    </row>
    <row r="40" customHeight="1" spans="1:17">
      <c r="A40" s="69" t="str">
        <f t="shared" si="12"/>
        <v>深圳新阳蓝光能源管理科技股份有限公司</v>
      </c>
      <c r="B40" s="75" t="s">
        <v>4817</v>
      </c>
      <c r="C40" s="78">
        <f>ROUND(C16-C29-C38,2)</f>
        <v>0</v>
      </c>
      <c r="D40" s="78">
        <f t="shared" ref="D40:F40" si="47">ROUND(D16-D29-D38,2)</f>
        <v>0</v>
      </c>
      <c r="E40" s="78">
        <f t="shared" si="47"/>
        <v>10000</v>
      </c>
      <c r="F40" s="78">
        <f t="shared" si="47"/>
        <v>0</v>
      </c>
      <c r="G40" s="88">
        <f t="shared" si="5"/>
        <v>10000</v>
      </c>
      <c r="H40" s="80">
        <f>ROUND(H16-H29-H38,2)</f>
        <v>0</v>
      </c>
      <c r="I40" s="80">
        <f t="shared" ref="I40:K40" si="48">ROUND(I16-I29-I38,2)</f>
        <v>0</v>
      </c>
      <c r="J40" s="80">
        <f t="shared" si="48"/>
        <v>0</v>
      </c>
      <c r="K40" s="80">
        <f t="shared" si="48"/>
        <v>0</v>
      </c>
      <c r="L40" s="88">
        <f t="shared" si="33"/>
        <v>0</v>
      </c>
      <c r="M40" s="78">
        <f>ROUND(M16-M29-M38,2)</f>
        <v>0</v>
      </c>
      <c r="N40" s="78">
        <f t="shared" ref="N40:P40" si="49">ROUND(N16-N29-N38,2)</f>
        <v>0</v>
      </c>
      <c r="O40" s="78">
        <f t="shared" si="49"/>
        <v>10000</v>
      </c>
      <c r="P40" s="78">
        <f t="shared" si="49"/>
        <v>0</v>
      </c>
      <c r="Q40" s="88">
        <f t="shared" si="30"/>
        <v>10000</v>
      </c>
    </row>
    <row r="41" customHeight="1" spans="1:17">
      <c r="A41" s="69" t="str">
        <f t="shared" si="12"/>
        <v>深圳新阳蓝光能源管理科技股份有限公司</v>
      </c>
      <c r="B41" s="75" t="s">
        <v>4820</v>
      </c>
      <c r="C41" s="78">
        <f>ROUND(C4-C18-C31,2)</f>
        <v>0</v>
      </c>
      <c r="D41" s="78">
        <f t="shared" ref="D41:F41" si="50">ROUND(D4-D18-D31,2)</f>
        <v>0</v>
      </c>
      <c r="E41" s="78">
        <f t="shared" si="50"/>
        <v>16000</v>
      </c>
      <c r="F41" s="78">
        <f t="shared" si="50"/>
        <v>0</v>
      </c>
      <c r="G41" s="88">
        <f t="shared" si="5"/>
        <v>16000</v>
      </c>
      <c r="H41" s="80">
        <f>ROUND(H4-H18-H31,2)</f>
        <v>0</v>
      </c>
      <c r="I41" s="80">
        <f t="shared" ref="I41:K41" si="51">ROUND(I4-I18-I31,2)</f>
        <v>0</v>
      </c>
      <c r="J41" s="80">
        <f t="shared" si="51"/>
        <v>0</v>
      </c>
      <c r="K41" s="80">
        <f t="shared" si="51"/>
        <v>0</v>
      </c>
      <c r="L41" s="88">
        <f t="shared" si="33"/>
        <v>0</v>
      </c>
      <c r="M41" s="78">
        <f>ROUND(M4-M18-M31,2)</f>
        <v>0</v>
      </c>
      <c r="N41" s="78">
        <f t="shared" ref="N41:P41" si="52">ROUND(N4-N18-N31,2)</f>
        <v>0</v>
      </c>
      <c r="O41" s="78">
        <f t="shared" si="52"/>
        <v>16000</v>
      </c>
      <c r="P41" s="78">
        <f t="shared" si="52"/>
        <v>0</v>
      </c>
      <c r="Q41" s="88">
        <f t="shared" si="30"/>
        <v>16000</v>
      </c>
    </row>
    <row r="42" customHeight="1" spans="1:17">
      <c r="A42" s="69" t="str">
        <f t="shared" si="12"/>
        <v>深圳新阳蓝光能源管理科技股份有限公司</v>
      </c>
      <c r="B42" s="89" t="s">
        <v>4823</v>
      </c>
      <c r="C42" s="90"/>
      <c r="D42" s="90"/>
      <c r="E42" s="90"/>
      <c r="F42" s="90"/>
      <c r="G42" s="91">
        <f>审定资负表!C33</f>
        <v>10000</v>
      </c>
      <c r="H42" s="90"/>
      <c r="I42" s="90"/>
      <c r="J42" s="90"/>
      <c r="K42" s="90"/>
      <c r="L42" s="90"/>
      <c r="M42" s="90"/>
      <c r="N42" s="90"/>
      <c r="O42" s="90"/>
      <c r="P42" s="90"/>
      <c r="Q42" s="90"/>
    </row>
    <row r="43" customHeight="1" spans="1:17">
      <c r="A43" s="69" t="str">
        <f t="shared" si="12"/>
        <v>深圳新阳蓝光能源管理科技股份有限公司</v>
      </c>
      <c r="B43" s="89" t="s">
        <v>1395</v>
      </c>
      <c r="C43" s="90"/>
      <c r="D43" s="90"/>
      <c r="E43" s="90"/>
      <c r="F43" s="90"/>
      <c r="G43" s="92">
        <f>ROUND(G42-G41,2)</f>
        <v>-6000</v>
      </c>
      <c r="H43" s="90"/>
      <c r="I43" s="90"/>
      <c r="J43" s="90"/>
      <c r="K43" s="90"/>
      <c r="L43" s="90"/>
      <c r="M43" s="90"/>
      <c r="N43" s="90"/>
      <c r="O43" s="90"/>
      <c r="P43" s="90"/>
      <c r="Q43" s="90"/>
    </row>
    <row r="44" customHeight="1" spans="1:17">
      <c r="A44" s="69" t="str">
        <f t="shared" si="12"/>
        <v>深圳新阳蓝光能源管理科技股份有限公司</v>
      </c>
      <c r="B44" s="89" t="s">
        <v>4830</v>
      </c>
      <c r="C44" s="90"/>
      <c r="D44" s="90"/>
      <c r="E44" s="90"/>
      <c r="F44" s="90"/>
      <c r="G44" s="93">
        <f>审定资负表!D33</f>
        <v>16000</v>
      </c>
      <c r="H44" s="90"/>
      <c r="I44" s="90"/>
      <c r="J44" s="90"/>
      <c r="K44" s="90"/>
      <c r="L44" s="90"/>
      <c r="M44" s="90"/>
      <c r="N44" s="90"/>
      <c r="O44" s="90"/>
      <c r="P44" s="90"/>
      <c r="Q44" s="90"/>
    </row>
    <row r="45" customHeight="1" spans="1:17">
      <c r="A45" s="69" t="str">
        <f t="shared" si="12"/>
        <v>深圳新阳蓝光能源管理科技股份有限公司</v>
      </c>
      <c r="B45" s="89" t="s">
        <v>1395</v>
      </c>
      <c r="C45" s="90"/>
      <c r="D45" s="90"/>
      <c r="E45" s="90"/>
      <c r="F45" s="90"/>
      <c r="G45" s="92">
        <f>ROUND(G44-G41,2)</f>
        <v>0</v>
      </c>
      <c r="H45" s="90"/>
      <c r="I45" s="90"/>
      <c r="J45" s="90"/>
      <c r="K45" s="90"/>
      <c r="L45" s="90"/>
      <c r="M45" s="90"/>
      <c r="N45" s="90"/>
      <c r="O45" s="90"/>
      <c r="P45" s="90"/>
      <c r="Q45" s="90"/>
    </row>
    <row r="46" customHeight="1" spans="1:17">
      <c r="A46" s="69" t="str">
        <f t="shared" si="12"/>
        <v>深圳新阳蓝光能源管理科技股份有限公司</v>
      </c>
      <c r="B46" s="94" t="s">
        <v>5077</v>
      </c>
      <c r="C46" s="90"/>
      <c r="D46" s="90"/>
      <c r="E46" s="90"/>
      <c r="F46" s="90"/>
      <c r="G46" s="95"/>
      <c r="H46" s="90"/>
      <c r="I46" s="90"/>
      <c r="J46" s="90"/>
      <c r="K46" s="90"/>
      <c r="L46" s="90"/>
      <c r="M46" s="90"/>
      <c r="N46" s="90"/>
      <c r="O46" s="90"/>
      <c r="P46" s="90"/>
      <c r="Q46" s="90"/>
    </row>
    <row r="47" customHeight="1" spans="1:17">
      <c r="A47" s="69" t="str">
        <f t="shared" si="12"/>
        <v>深圳新阳蓝光能源管理科技股份有限公司</v>
      </c>
      <c r="B47" s="96" t="s">
        <v>61</v>
      </c>
      <c r="C47" s="97" t="s">
        <v>4726</v>
      </c>
      <c r="D47" s="97" t="s">
        <v>4979</v>
      </c>
      <c r="E47" s="97" t="s">
        <v>5080</v>
      </c>
      <c r="F47" s="97" t="s">
        <v>280</v>
      </c>
      <c r="G47" s="98" t="s">
        <v>2021</v>
      </c>
      <c r="H47" s="90"/>
      <c r="I47" s="90"/>
      <c r="J47" s="90"/>
      <c r="K47" s="90"/>
      <c r="L47" s="90"/>
      <c r="M47" s="90"/>
      <c r="N47" s="90"/>
      <c r="O47" s="90"/>
      <c r="P47" s="90"/>
      <c r="Q47" s="90"/>
    </row>
    <row r="48" customHeight="1" spans="1:17">
      <c r="A48" s="69" t="str">
        <f t="shared" si="12"/>
        <v>深圳新阳蓝光能源管理科技股份有限公司</v>
      </c>
      <c r="B48" s="99" t="s">
        <v>4963</v>
      </c>
      <c r="C48" s="100">
        <f>C12-C25-C36</f>
        <v>0</v>
      </c>
      <c r="D48" s="100">
        <f t="shared" ref="D48:G48" si="53">D12-D25-D36</f>
        <v>0</v>
      </c>
      <c r="E48" s="100">
        <f t="shared" si="53"/>
        <v>0</v>
      </c>
      <c r="F48" s="100">
        <f t="shared" si="53"/>
        <v>0</v>
      </c>
      <c r="G48" s="100">
        <f t="shared" si="53"/>
        <v>0</v>
      </c>
      <c r="H48" s="90"/>
      <c r="I48" s="90"/>
      <c r="J48" s="90"/>
      <c r="K48" s="90"/>
      <c r="L48" s="90"/>
      <c r="M48" s="90"/>
      <c r="N48" s="90"/>
      <c r="O48" s="90"/>
      <c r="P48" s="90"/>
      <c r="Q48" s="90"/>
    </row>
    <row r="49" customHeight="1" spans="1:17">
      <c r="A49" s="69" t="str">
        <f t="shared" si="12"/>
        <v>深圳新阳蓝光能源管理科技股份有限公司</v>
      </c>
      <c r="B49" s="101" t="s">
        <v>4966</v>
      </c>
      <c r="C49" s="102"/>
      <c r="D49" s="103"/>
      <c r="E49" s="103"/>
      <c r="F49" s="103"/>
      <c r="G49" s="103"/>
      <c r="H49" s="90"/>
      <c r="I49" s="90"/>
      <c r="J49" s="90"/>
      <c r="K49" s="90"/>
      <c r="L49" s="90"/>
      <c r="M49" s="90"/>
      <c r="N49" s="90"/>
      <c r="O49" s="90"/>
      <c r="P49" s="90"/>
      <c r="Q49" s="90"/>
    </row>
    <row r="50" customHeight="1" spans="1:17">
      <c r="A50" s="69" t="str">
        <f t="shared" si="12"/>
        <v>深圳新阳蓝光能源管理科技股份有限公司</v>
      </c>
      <c r="B50" s="104" t="s">
        <v>4969</v>
      </c>
      <c r="C50" s="100">
        <f>C48-C49</f>
        <v>0</v>
      </c>
      <c r="D50" s="100">
        <f t="shared" ref="D50:G50" si="54">D48-D49</f>
        <v>0</v>
      </c>
      <c r="E50" s="100">
        <f t="shared" si="54"/>
        <v>0</v>
      </c>
      <c r="F50" s="100">
        <f t="shared" si="54"/>
        <v>0</v>
      </c>
      <c r="G50" s="100">
        <f t="shared" si="54"/>
        <v>0</v>
      </c>
      <c r="H50" s="90"/>
      <c r="I50" s="90"/>
      <c r="J50" s="90"/>
      <c r="K50" s="90"/>
      <c r="L50" s="90"/>
      <c r="M50" s="90"/>
      <c r="N50" s="90"/>
      <c r="O50" s="90"/>
      <c r="P50" s="90"/>
      <c r="Q50" s="90"/>
    </row>
    <row r="51" customHeight="1" spans="1:17">
      <c r="A51" s="69" t="str">
        <f t="shared" si="12"/>
        <v>深圳新阳蓝光能源管理科技股份有限公司</v>
      </c>
      <c r="B51" s="95"/>
      <c r="C51" s="105"/>
      <c r="D51" s="105"/>
      <c r="E51" s="105"/>
      <c r="F51" s="105"/>
      <c r="G51" s="105"/>
      <c r="H51" s="90"/>
      <c r="I51" s="90"/>
      <c r="J51" s="90"/>
      <c r="K51" s="90"/>
      <c r="L51" s="90"/>
      <c r="M51" s="90"/>
      <c r="N51" s="90"/>
      <c r="O51" s="90"/>
      <c r="P51" s="90"/>
      <c r="Q51" s="90"/>
    </row>
    <row r="52" customHeight="1" spans="1:17">
      <c r="A52" s="69" t="str">
        <f t="shared" si="12"/>
        <v>深圳新阳蓝光能源管理科技股份有限公司</v>
      </c>
      <c r="B52" s="106" t="s">
        <v>4835</v>
      </c>
      <c r="C52" s="107"/>
      <c r="D52" s="107"/>
      <c r="E52" s="107"/>
      <c r="F52" s="107"/>
      <c r="G52" s="108"/>
      <c r="H52" s="90"/>
      <c r="I52" s="90"/>
      <c r="J52" s="90"/>
      <c r="K52" s="90"/>
      <c r="L52" s="90"/>
      <c r="M52" s="90"/>
      <c r="N52" s="90"/>
      <c r="O52" s="90"/>
      <c r="P52" s="90"/>
      <c r="Q52" s="90"/>
    </row>
    <row r="53" customHeight="1" spans="2:17">
      <c r="B53" s="90"/>
      <c r="C53" s="90"/>
      <c r="D53" s="90"/>
      <c r="E53" s="90"/>
      <c r="F53" s="90"/>
      <c r="G53" s="90"/>
      <c r="H53" s="90"/>
      <c r="I53" s="90"/>
      <c r="J53" s="90"/>
      <c r="K53" s="90"/>
      <c r="L53" s="90"/>
      <c r="M53" s="90"/>
      <c r="N53" s="90"/>
      <c r="O53" s="90"/>
      <c r="P53" s="90"/>
      <c r="Q53" s="90"/>
    </row>
  </sheetData>
  <sheetProtection formatCells="0" formatColumns="0" formatRows="0" autoFilter="0" pivotTables="0"/>
  <conditionalFormatting sqref="B46:B52 B1">
    <cfRule type="containsText" dxfId="6" priority="6" operator="between" text="文字描述">
      <formula>NOT(ISERROR(SEARCH("文字描述",B1)))</formula>
    </cfRule>
  </conditionalFormatting>
  <conditionalFormatting sqref="G45 G43">
    <cfRule type="cellIs" dxfId="8" priority="4" operator="notEqual">
      <formula>0</formula>
    </cfRule>
    <cfRule type="containsText" dxfId="7" priority="5" operator="between" text="不">
      <formula>NOT(ISERROR(SEARCH("不",G43)))</formula>
    </cfRule>
  </conditionalFormatting>
  <hyperlinks>
    <hyperlink ref="C1" location="报表附注!E1418" display="（返回公式连接表）"/>
  </hyperlinks>
  <pageMargins left="0.7" right="0.7" top="0.75" bottom="0.75" header="0.3" footer="0.3"/>
  <headerFooter/>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2:D20"/>
  <sheetViews>
    <sheetView workbookViewId="0">
      <selection activeCell="C16" sqref="C16"/>
    </sheetView>
  </sheetViews>
  <sheetFormatPr defaultColWidth="9" defaultRowHeight="14.25" outlineLevelCol="3"/>
  <cols>
    <col min="1" max="1" width="33.625" customWidth="1"/>
    <col min="2" max="2" width="14.25" customWidth="1"/>
    <col min="3" max="3" width="13.625" customWidth="1"/>
  </cols>
  <sheetData>
    <row r="2" spans="1:3">
      <c r="A2" s="49" t="s">
        <v>131</v>
      </c>
      <c r="B2" s="50"/>
      <c r="C2" s="50"/>
    </row>
    <row r="3" spans="1:4">
      <c r="A3" s="51" t="s">
        <v>61</v>
      </c>
      <c r="B3" s="51" t="s">
        <v>6040</v>
      </c>
      <c r="C3" s="52" t="s">
        <v>6041</v>
      </c>
      <c r="D3" s="52" t="s">
        <v>354</v>
      </c>
    </row>
    <row r="4" spans="1:3">
      <c r="A4" s="53" t="s">
        <v>6042</v>
      </c>
      <c r="B4" s="54"/>
      <c r="C4" s="54"/>
    </row>
    <row r="5" spans="1:3">
      <c r="A5" s="53" t="s">
        <v>6043</v>
      </c>
      <c r="B5" s="55" t="s">
        <v>6044</v>
      </c>
      <c r="C5" s="55"/>
    </row>
    <row r="6" spans="1:3">
      <c r="A6" s="53" t="s">
        <v>860</v>
      </c>
      <c r="B6" s="55" t="s">
        <v>6045</v>
      </c>
      <c r="C6" s="55"/>
    </row>
    <row r="7" spans="1:3">
      <c r="A7" s="56" t="s">
        <v>3307</v>
      </c>
      <c r="B7" s="57" t="s">
        <v>6046</v>
      </c>
      <c r="C7" s="57">
        <f>C5-C6</f>
        <v>0</v>
      </c>
    </row>
    <row r="8" spans="1:3">
      <c r="A8" s="53" t="s">
        <v>6047</v>
      </c>
      <c r="B8" s="55" t="s">
        <v>6048</v>
      </c>
      <c r="C8" s="55"/>
    </row>
    <row r="9" spans="1:3">
      <c r="A9" s="53" t="s">
        <v>6049</v>
      </c>
      <c r="B9" s="55" t="s">
        <v>6050</v>
      </c>
      <c r="C9" s="55"/>
    </row>
    <row r="10" spans="1:3">
      <c r="A10" s="53" t="s">
        <v>6051</v>
      </c>
      <c r="B10" s="55" t="s">
        <v>6052</v>
      </c>
      <c r="C10" s="55"/>
    </row>
    <row r="11" spans="1:3">
      <c r="A11" s="58" t="s">
        <v>6053</v>
      </c>
      <c r="B11" s="57" t="s">
        <v>6054</v>
      </c>
      <c r="C11" s="57">
        <f>C8-C9-C10</f>
        <v>0</v>
      </c>
    </row>
    <row r="12" spans="1:4">
      <c r="A12" s="58" t="s">
        <v>6055</v>
      </c>
      <c r="B12" s="59" t="s">
        <v>6056</v>
      </c>
      <c r="C12" s="59">
        <f>C11-C7</f>
        <v>0</v>
      </c>
      <c r="D12" s="60" t="s">
        <v>6057</v>
      </c>
    </row>
    <row r="13" spans="1:3">
      <c r="A13" s="53" t="s">
        <v>6058</v>
      </c>
      <c r="B13" s="54" t="s">
        <v>6059</v>
      </c>
      <c r="C13" s="54"/>
    </row>
    <row r="14" ht="22.5" spans="1:3">
      <c r="A14" s="61" t="s">
        <v>6060</v>
      </c>
      <c r="B14" s="62" t="s">
        <v>6061</v>
      </c>
      <c r="C14" s="62">
        <f>C13+C11</f>
        <v>0</v>
      </c>
    </row>
    <row r="15" spans="1:3">
      <c r="A15" s="61"/>
      <c r="B15" s="62"/>
      <c r="C15" s="62"/>
    </row>
    <row r="16" spans="1:3">
      <c r="A16" s="53" t="s">
        <v>6062</v>
      </c>
      <c r="B16" s="53"/>
      <c r="C16" s="53">
        <f>报表附注!F2982</f>
        <v>68120.1</v>
      </c>
    </row>
    <row r="17" ht="22.5" spans="1:3">
      <c r="A17" s="53" t="s">
        <v>6063</v>
      </c>
      <c r="B17" s="53"/>
      <c r="C17" s="53">
        <f>审定现流表!C21</f>
        <v>51129.13</v>
      </c>
    </row>
    <row r="18" spans="2:3">
      <c r="B18" s="53"/>
      <c r="C18" s="53"/>
    </row>
    <row r="19" spans="1:3">
      <c r="A19" s="63" t="s">
        <v>6064</v>
      </c>
      <c r="B19" s="64"/>
      <c r="C19" s="65">
        <f>C12-C16</f>
        <v>-68120.1</v>
      </c>
    </row>
    <row r="20" ht="22.5" spans="1:3">
      <c r="A20" s="66" t="s">
        <v>6065</v>
      </c>
      <c r="B20" s="67"/>
      <c r="C20" s="68">
        <f>C14-C17</f>
        <v>-51129.13</v>
      </c>
    </row>
  </sheetData>
  <pageMargins left="0.7" right="0.7" top="0.75" bottom="0.75" header="0.3" footer="0.3"/>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761955626087"/>
  </sheetPr>
  <dimension ref="A1:X48"/>
  <sheetViews>
    <sheetView workbookViewId="0">
      <pane xSplit="1" ySplit="2" topLeftCell="B3" activePane="bottomRight" state="frozen"/>
      <selection/>
      <selection pane="topRight"/>
      <selection pane="bottomLeft"/>
      <selection pane="bottomRight" activeCell="K27" sqref="K27"/>
    </sheetView>
  </sheetViews>
  <sheetFormatPr defaultColWidth="9" defaultRowHeight="14.25"/>
  <cols>
    <col min="1" max="1" width="8.5" customWidth="1"/>
    <col min="2" max="2" width="14.375" customWidth="1"/>
    <col min="3" max="3" width="15.625" customWidth="1"/>
    <col min="4" max="4" width="13.625" customWidth="1"/>
    <col min="5" max="5" width="12.25" customWidth="1"/>
    <col min="6" max="6" width="15.125" customWidth="1"/>
    <col min="11" max="11" width="8.875" customWidth="1"/>
    <col min="12" max="12" width="11.375" customWidth="1"/>
    <col min="16" max="16" width="12.5" customWidth="1"/>
    <col min="17" max="17" width="12.25" customWidth="1"/>
    <col min="19" max="24" width="11.875" customWidth="1"/>
  </cols>
  <sheetData>
    <row r="1" ht="15" customHeight="1" spans="1:2">
      <c r="A1" s="15" t="s">
        <v>6066</v>
      </c>
      <c r="B1" s="16"/>
    </row>
    <row r="2" spans="1:2">
      <c r="A2" s="17" t="s">
        <v>6067</v>
      </c>
      <c r="B2" s="18"/>
    </row>
    <row r="3" spans="1:24">
      <c r="A3" s="19" t="s">
        <v>162</v>
      </c>
      <c r="B3" s="20"/>
      <c r="C3" s="21" t="s">
        <v>6068</v>
      </c>
      <c r="D3" s="21"/>
      <c r="E3" s="21"/>
      <c r="F3" s="21"/>
      <c r="G3" s="21"/>
      <c r="H3" s="21"/>
      <c r="I3" s="21"/>
      <c r="J3" s="21"/>
      <c r="K3" s="21"/>
      <c r="L3" s="21"/>
      <c r="M3" s="21" t="s">
        <v>6069</v>
      </c>
      <c r="N3" s="21"/>
      <c r="O3" s="21"/>
      <c r="P3" s="44" t="s">
        <v>6070</v>
      </c>
      <c r="Q3" s="44" t="s">
        <v>6071</v>
      </c>
      <c r="R3" s="47" t="s">
        <v>1971</v>
      </c>
      <c r="S3" s="48" t="s">
        <v>6072</v>
      </c>
      <c r="T3" s="48"/>
      <c r="U3" s="48"/>
      <c r="V3" s="48"/>
      <c r="W3" s="48"/>
      <c r="X3" s="48"/>
    </row>
    <row r="4" spans="1:24">
      <c r="A4" s="19"/>
      <c r="B4" s="22" t="s">
        <v>6073</v>
      </c>
      <c r="C4" s="23" t="s">
        <v>6074</v>
      </c>
      <c r="D4" s="23" t="s">
        <v>6075</v>
      </c>
      <c r="E4" s="24" t="s">
        <v>2944</v>
      </c>
      <c r="F4" s="23" t="s">
        <v>366</v>
      </c>
      <c r="G4" s="23" t="s">
        <v>3002</v>
      </c>
      <c r="H4" s="23" t="s">
        <v>6076</v>
      </c>
      <c r="I4" s="23" t="s">
        <v>6077</v>
      </c>
      <c r="J4" s="23" t="s">
        <v>6078</v>
      </c>
      <c r="K4" s="23" t="s">
        <v>6079</v>
      </c>
      <c r="L4" s="23" t="s">
        <v>2031</v>
      </c>
      <c r="M4" s="23" t="s">
        <v>1971</v>
      </c>
      <c r="N4" s="45" t="s">
        <v>6080</v>
      </c>
      <c r="O4" s="23" t="s">
        <v>1970</v>
      </c>
      <c r="P4" s="44"/>
      <c r="Q4" s="44"/>
      <c r="R4" s="47"/>
      <c r="S4" s="23" t="s">
        <v>3002</v>
      </c>
      <c r="T4" s="23" t="s">
        <v>6076</v>
      </c>
      <c r="U4" s="23" t="s">
        <v>6077</v>
      </c>
      <c r="V4" s="23" t="s">
        <v>6078</v>
      </c>
      <c r="W4" s="23" t="s">
        <v>6079</v>
      </c>
      <c r="X4" s="23" t="s">
        <v>2031</v>
      </c>
    </row>
    <row r="5" spans="1:24">
      <c r="A5" s="25">
        <v>1</v>
      </c>
      <c r="B5" s="26"/>
      <c r="C5" s="27"/>
      <c r="D5" s="27"/>
      <c r="E5" s="27"/>
      <c r="F5" s="28">
        <f t="shared" ref="F5:F13" si="0">SUM(G5:L5)</f>
        <v>0</v>
      </c>
      <c r="G5" s="29"/>
      <c r="H5" s="29"/>
      <c r="I5" s="29"/>
      <c r="J5" s="29"/>
      <c r="K5" s="29"/>
      <c r="L5" s="29"/>
      <c r="M5" s="29"/>
      <c r="N5" s="29"/>
      <c r="O5" s="29"/>
      <c r="P5" s="46"/>
      <c r="Q5" s="46"/>
      <c r="R5" s="32">
        <f>SUM(S5:X5)</f>
        <v>0</v>
      </c>
      <c r="S5" s="30"/>
      <c r="T5" s="30"/>
      <c r="U5" s="30"/>
      <c r="V5" s="30"/>
      <c r="W5" s="30"/>
      <c r="X5" s="30"/>
    </row>
    <row r="6" spans="1:24">
      <c r="A6" s="25">
        <v>2</v>
      </c>
      <c r="B6" s="26"/>
      <c r="C6" s="30"/>
      <c r="D6" s="30"/>
      <c r="E6" s="30"/>
      <c r="F6" s="28">
        <f t="shared" si="0"/>
        <v>0</v>
      </c>
      <c r="G6" s="30"/>
      <c r="H6" s="30"/>
      <c r="I6" s="30"/>
      <c r="J6" s="30"/>
      <c r="K6" s="30"/>
      <c r="L6" s="30"/>
      <c r="M6" s="30"/>
      <c r="N6" s="30"/>
      <c r="O6" s="30"/>
      <c r="P6" s="30"/>
      <c r="Q6" s="30"/>
      <c r="R6" s="32">
        <f t="shared" ref="R6:R16" si="1">SUM(S6:X6)</f>
        <v>0</v>
      </c>
      <c r="S6" s="30"/>
      <c r="T6" s="30"/>
      <c r="U6" s="30"/>
      <c r="V6" s="30"/>
      <c r="W6" s="30"/>
      <c r="X6" s="30"/>
    </row>
    <row r="7" spans="1:24">
      <c r="A7" s="25">
        <v>3</v>
      </c>
      <c r="B7" s="26"/>
      <c r="C7" s="30"/>
      <c r="D7" s="30"/>
      <c r="E7" s="30"/>
      <c r="F7" s="28">
        <f t="shared" si="0"/>
        <v>0</v>
      </c>
      <c r="G7" s="30"/>
      <c r="H7" s="30"/>
      <c r="I7" s="30"/>
      <c r="J7" s="30"/>
      <c r="K7" s="30"/>
      <c r="L7" s="30"/>
      <c r="M7" s="30"/>
      <c r="N7" s="30"/>
      <c r="O7" s="30"/>
      <c r="P7" s="30"/>
      <c r="Q7" s="30"/>
      <c r="R7" s="32">
        <f t="shared" si="1"/>
        <v>0</v>
      </c>
      <c r="S7" s="30"/>
      <c r="T7" s="30"/>
      <c r="U7" s="30"/>
      <c r="V7" s="30"/>
      <c r="W7" s="30"/>
      <c r="X7" s="30"/>
    </row>
    <row r="8" spans="1:24">
      <c r="A8" s="25">
        <v>4</v>
      </c>
      <c r="B8" s="26"/>
      <c r="C8" s="30"/>
      <c r="D8" s="30"/>
      <c r="E8" s="30"/>
      <c r="F8" s="28">
        <f t="shared" si="0"/>
        <v>0</v>
      </c>
      <c r="G8" s="30"/>
      <c r="H8" s="30"/>
      <c r="I8" s="30"/>
      <c r="J8" s="30"/>
      <c r="K8" s="30"/>
      <c r="L8" s="30"/>
      <c r="M8" s="30"/>
      <c r="N8" s="30"/>
      <c r="O8" s="30"/>
      <c r="P8" s="30"/>
      <c r="Q8" s="30"/>
      <c r="R8" s="32">
        <f t="shared" si="1"/>
        <v>0</v>
      </c>
      <c r="S8" s="30"/>
      <c r="T8" s="30"/>
      <c r="U8" s="30"/>
      <c r="V8" s="30"/>
      <c r="W8" s="30"/>
      <c r="X8" s="30"/>
    </row>
    <row r="9" spans="1:24">
      <c r="A9" s="25">
        <v>5</v>
      </c>
      <c r="B9" s="26"/>
      <c r="C9" s="30"/>
      <c r="D9" s="30"/>
      <c r="E9" s="30"/>
      <c r="F9" s="28">
        <f t="shared" si="0"/>
        <v>0</v>
      </c>
      <c r="G9" s="30"/>
      <c r="H9" s="30"/>
      <c r="I9" s="30"/>
      <c r="J9" s="30"/>
      <c r="K9" s="30"/>
      <c r="L9" s="30"/>
      <c r="M9" s="30"/>
      <c r="N9" s="30"/>
      <c r="O9" s="30"/>
      <c r="P9" s="30"/>
      <c r="Q9" s="30"/>
      <c r="R9" s="32">
        <f t="shared" si="1"/>
        <v>0</v>
      </c>
      <c r="S9" s="30"/>
      <c r="T9" s="30"/>
      <c r="U9" s="30"/>
      <c r="V9" s="30"/>
      <c r="W9" s="30"/>
      <c r="X9" s="30"/>
    </row>
    <row r="10" spans="1:24">
      <c r="A10" s="25">
        <v>6</v>
      </c>
      <c r="B10" s="26"/>
      <c r="C10" s="30"/>
      <c r="D10" s="30"/>
      <c r="E10" s="30"/>
      <c r="F10" s="28">
        <f t="shared" si="0"/>
        <v>0</v>
      </c>
      <c r="G10" s="30"/>
      <c r="H10" s="30"/>
      <c r="I10" s="30"/>
      <c r="J10" s="30"/>
      <c r="K10" s="30"/>
      <c r="L10" s="30"/>
      <c r="M10" s="30"/>
      <c r="N10" s="30"/>
      <c r="O10" s="30"/>
      <c r="P10" s="30"/>
      <c r="Q10" s="30"/>
      <c r="R10" s="32">
        <f t="shared" si="1"/>
        <v>0</v>
      </c>
      <c r="S10" s="30"/>
      <c r="T10" s="30"/>
      <c r="U10" s="30"/>
      <c r="V10" s="30"/>
      <c r="W10" s="30"/>
      <c r="X10" s="30"/>
    </row>
    <row r="11" spans="1:24">
      <c r="A11" s="25">
        <v>7</v>
      </c>
      <c r="B11" s="26"/>
      <c r="C11" s="30"/>
      <c r="D11" s="30"/>
      <c r="E11" s="30"/>
      <c r="F11" s="28">
        <f t="shared" si="0"/>
        <v>0</v>
      </c>
      <c r="G11" s="30"/>
      <c r="H11" s="30"/>
      <c r="I11" s="30"/>
      <c r="J11" s="30"/>
      <c r="K11" s="30"/>
      <c r="L11" s="30"/>
      <c r="M11" s="30"/>
      <c r="N11" s="30"/>
      <c r="O11" s="30"/>
      <c r="P11" s="30"/>
      <c r="Q11" s="30"/>
      <c r="R11" s="32">
        <f t="shared" si="1"/>
        <v>0</v>
      </c>
      <c r="S11" s="30"/>
      <c r="T11" s="30"/>
      <c r="U11" s="30"/>
      <c r="V11" s="30"/>
      <c r="W11" s="30"/>
      <c r="X11" s="30"/>
    </row>
    <row r="12" spans="1:24">
      <c r="A12" s="25">
        <v>8</v>
      </c>
      <c r="B12" s="26"/>
      <c r="C12" s="30"/>
      <c r="D12" s="30"/>
      <c r="E12" s="30"/>
      <c r="F12" s="28">
        <f t="shared" si="0"/>
        <v>0</v>
      </c>
      <c r="G12" s="30"/>
      <c r="H12" s="30"/>
      <c r="I12" s="30"/>
      <c r="J12" s="30"/>
      <c r="K12" s="30"/>
      <c r="L12" s="30"/>
      <c r="M12" s="30"/>
      <c r="N12" s="30"/>
      <c r="O12" s="30"/>
      <c r="P12" s="30"/>
      <c r="Q12" s="30"/>
      <c r="R12" s="32">
        <f t="shared" si="1"/>
        <v>0</v>
      </c>
      <c r="S12" s="30"/>
      <c r="T12" s="30"/>
      <c r="U12" s="30"/>
      <c r="V12" s="30"/>
      <c r="W12" s="30"/>
      <c r="X12" s="30"/>
    </row>
    <row r="13" spans="1:24">
      <c r="A13" s="25">
        <v>9</v>
      </c>
      <c r="B13" s="26"/>
      <c r="C13" s="30"/>
      <c r="D13" s="30"/>
      <c r="E13" s="30"/>
      <c r="F13" s="28">
        <f t="shared" si="0"/>
        <v>0</v>
      </c>
      <c r="G13" s="30"/>
      <c r="H13" s="30"/>
      <c r="I13" s="30"/>
      <c r="J13" s="30"/>
      <c r="K13" s="30"/>
      <c r="L13" s="30"/>
      <c r="M13" s="30"/>
      <c r="N13" s="30"/>
      <c r="O13" s="30"/>
      <c r="P13" s="30"/>
      <c r="Q13" s="30"/>
      <c r="R13" s="32">
        <f t="shared" si="1"/>
        <v>0</v>
      </c>
      <c r="S13" s="30"/>
      <c r="T13" s="30"/>
      <c r="U13" s="30"/>
      <c r="V13" s="30"/>
      <c r="W13" s="30"/>
      <c r="X13" s="30"/>
    </row>
    <row r="14" spans="1:24">
      <c r="A14" s="25">
        <v>10</v>
      </c>
      <c r="B14" s="26"/>
      <c r="C14" s="30"/>
      <c r="D14" s="30"/>
      <c r="E14" s="30"/>
      <c r="F14" s="28"/>
      <c r="G14" s="30"/>
      <c r="H14" s="30"/>
      <c r="I14" s="30"/>
      <c r="J14" s="30"/>
      <c r="K14" s="30"/>
      <c r="L14" s="30"/>
      <c r="M14" s="30"/>
      <c r="N14" s="30"/>
      <c r="O14" s="30"/>
      <c r="P14" s="30"/>
      <c r="Q14" s="30"/>
      <c r="R14" s="32">
        <f t="shared" si="1"/>
        <v>0</v>
      </c>
      <c r="S14" s="30"/>
      <c r="T14" s="30"/>
      <c r="U14" s="30"/>
      <c r="V14" s="30"/>
      <c r="W14" s="30"/>
      <c r="X14" s="30"/>
    </row>
    <row r="15" spans="1:24">
      <c r="A15" s="25" t="s">
        <v>4638</v>
      </c>
      <c r="B15" s="26"/>
      <c r="C15" s="30"/>
      <c r="D15" s="30"/>
      <c r="E15" s="30"/>
      <c r="F15" s="28"/>
      <c r="G15" s="30"/>
      <c r="H15" s="30"/>
      <c r="I15" s="30"/>
      <c r="J15" s="30"/>
      <c r="K15" s="30"/>
      <c r="L15" s="30"/>
      <c r="M15" s="30"/>
      <c r="N15" s="30"/>
      <c r="O15" s="30"/>
      <c r="P15" s="30"/>
      <c r="Q15" s="30"/>
      <c r="R15" s="32">
        <f t="shared" si="1"/>
        <v>0</v>
      </c>
      <c r="S15" s="30"/>
      <c r="T15" s="30"/>
      <c r="U15" s="30"/>
      <c r="V15" s="30"/>
      <c r="W15" s="30"/>
      <c r="X15" s="30"/>
    </row>
    <row r="16" spans="1:24">
      <c r="A16" s="25"/>
      <c r="B16" s="31"/>
      <c r="C16" s="32"/>
      <c r="D16" s="32"/>
      <c r="E16" s="32"/>
      <c r="F16" s="28">
        <f>SUM(G16:L16)</f>
        <v>0</v>
      </c>
      <c r="G16" s="32"/>
      <c r="H16" s="32"/>
      <c r="I16" s="32"/>
      <c r="J16" s="32"/>
      <c r="K16" s="32"/>
      <c r="L16" s="32"/>
      <c r="M16" s="32"/>
      <c r="N16" s="32"/>
      <c r="O16" s="32"/>
      <c r="P16" s="32"/>
      <c r="Q16" s="32"/>
      <c r="R16" s="32">
        <f t="shared" si="1"/>
        <v>0</v>
      </c>
      <c r="S16" s="30"/>
      <c r="T16" s="30"/>
      <c r="U16" s="30"/>
      <c r="V16" s="30"/>
      <c r="W16" s="30"/>
      <c r="X16" s="30"/>
    </row>
    <row r="17" spans="1:17">
      <c r="A17" s="33"/>
      <c r="B17" s="34"/>
      <c r="C17" s="35"/>
      <c r="D17" s="35"/>
      <c r="E17" s="35"/>
      <c r="F17" s="35"/>
      <c r="G17" s="35"/>
      <c r="H17" s="35"/>
      <c r="I17" s="35"/>
      <c r="J17" s="35"/>
      <c r="K17" s="35"/>
      <c r="L17" s="35"/>
      <c r="M17" s="35"/>
      <c r="N17" s="35"/>
      <c r="O17" s="35"/>
      <c r="P17" s="35"/>
      <c r="Q17" s="35"/>
    </row>
    <row r="18" ht="12" customHeight="1" spans="1:2">
      <c r="A18" s="17" t="s">
        <v>6081</v>
      </c>
      <c r="B18" s="18"/>
    </row>
    <row r="19" spans="1:19">
      <c r="A19" s="19" t="s">
        <v>162</v>
      </c>
      <c r="B19" s="20"/>
      <c r="C19" s="21" t="s">
        <v>6082</v>
      </c>
      <c r="D19" s="21"/>
      <c r="E19" s="21"/>
      <c r="F19" s="21"/>
      <c r="G19" s="21"/>
      <c r="H19" s="21"/>
      <c r="I19" s="21"/>
      <c r="J19" s="21"/>
      <c r="K19" s="44" t="s">
        <v>6070</v>
      </c>
      <c r="L19" s="44" t="s">
        <v>6071</v>
      </c>
      <c r="M19" s="47" t="s">
        <v>1971</v>
      </c>
      <c r="N19" s="48" t="s">
        <v>6072</v>
      </c>
      <c r="O19" s="48"/>
      <c r="P19" s="48"/>
      <c r="Q19" s="48"/>
      <c r="R19" s="48"/>
      <c r="S19" s="48"/>
    </row>
    <row r="20" spans="1:19">
      <c r="A20" s="19"/>
      <c r="B20" s="22" t="s">
        <v>6073</v>
      </c>
      <c r="C20" s="23" t="s">
        <v>5781</v>
      </c>
      <c r="D20" s="23" t="s">
        <v>6075</v>
      </c>
      <c r="E20" s="24" t="s">
        <v>2944</v>
      </c>
      <c r="F20" s="23" t="s">
        <v>366</v>
      </c>
      <c r="G20" s="23" t="s">
        <v>3002</v>
      </c>
      <c r="H20" s="23" t="s">
        <v>6076</v>
      </c>
      <c r="I20" s="23" t="s">
        <v>6077</v>
      </c>
      <c r="J20" s="23" t="s">
        <v>4629</v>
      </c>
      <c r="K20" s="44"/>
      <c r="L20" s="44"/>
      <c r="M20" s="47"/>
      <c r="N20" s="23" t="s">
        <v>3002</v>
      </c>
      <c r="O20" s="23" t="s">
        <v>6076</v>
      </c>
      <c r="P20" s="23" t="s">
        <v>6077</v>
      </c>
      <c r="Q20" s="23" t="s">
        <v>6078</v>
      </c>
      <c r="R20" s="23" t="s">
        <v>6079</v>
      </c>
      <c r="S20" s="23" t="s">
        <v>2031</v>
      </c>
    </row>
    <row r="21" spans="1:19">
      <c r="A21" s="25">
        <v>1</v>
      </c>
      <c r="B21" s="26"/>
      <c r="C21" s="30"/>
      <c r="D21" s="30"/>
      <c r="E21" s="30"/>
      <c r="F21" s="32">
        <f t="shared" ref="F21:F29" si="2">SUM(G21:J21)</f>
        <v>0</v>
      </c>
      <c r="G21" s="30"/>
      <c r="H21" s="30"/>
      <c r="I21" s="30"/>
      <c r="J21" s="30"/>
      <c r="K21" s="30"/>
      <c r="L21" s="30"/>
      <c r="M21" s="32">
        <f>SUM(N21:S21)</f>
        <v>0</v>
      </c>
      <c r="N21" s="30"/>
      <c r="O21" s="30"/>
      <c r="P21" s="30"/>
      <c r="Q21" s="30"/>
      <c r="R21" s="30"/>
      <c r="S21" s="30"/>
    </row>
    <row r="22" spans="1:19">
      <c r="A22" s="25">
        <v>2</v>
      </c>
      <c r="B22" s="26"/>
      <c r="C22" s="30"/>
      <c r="D22" s="30"/>
      <c r="E22" s="30"/>
      <c r="F22" s="32">
        <f t="shared" si="2"/>
        <v>0</v>
      </c>
      <c r="G22" s="30"/>
      <c r="H22" s="30"/>
      <c r="I22" s="30"/>
      <c r="J22" s="30"/>
      <c r="K22" s="30"/>
      <c r="L22" s="30"/>
      <c r="M22" s="32">
        <f t="shared" ref="M22:M32" si="3">SUM(N22:S22)</f>
        <v>0</v>
      </c>
      <c r="N22" s="30"/>
      <c r="O22" s="30"/>
      <c r="P22" s="30"/>
      <c r="Q22" s="30"/>
      <c r="R22" s="30"/>
      <c r="S22" s="30"/>
    </row>
    <row r="23" spans="1:19">
      <c r="A23" s="25">
        <v>3</v>
      </c>
      <c r="B23" s="26"/>
      <c r="C23" s="30"/>
      <c r="D23" s="30"/>
      <c r="E23" s="30"/>
      <c r="F23" s="32">
        <f t="shared" si="2"/>
        <v>0</v>
      </c>
      <c r="G23" s="30"/>
      <c r="H23" s="30"/>
      <c r="I23" s="30"/>
      <c r="J23" s="30"/>
      <c r="K23" s="30"/>
      <c r="L23" s="30"/>
      <c r="M23" s="32">
        <f t="shared" si="3"/>
        <v>0</v>
      </c>
      <c r="N23" s="30"/>
      <c r="O23" s="30"/>
      <c r="P23" s="30"/>
      <c r="Q23" s="30"/>
      <c r="R23" s="30"/>
      <c r="S23" s="30"/>
    </row>
    <row r="24" spans="1:19">
      <c r="A24" s="25">
        <v>4</v>
      </c>
      <c r="B24" s="26"/>
      <c r="C24" s="30"/>
      <c r="D24" s="30"/>
      <c r="E24" s="30"/>
      <c r="F24" s="32">
        <f t="shared" si="2"/>
        <v>0</v>
      </c>
      <c r="G24" s="30"/>
      <c r="H24" s="30"/>
      <c r="I24" s="30"/>
      <c r="J24" s="30"/>
      <c r="K24" s="30"/>
      <c r="L24" s="30"/>
      <c r="M24" s="32">
        <f t="shared" si="3"/>
        <v>0</v>
      </c>
      <c r="N24" s="30"/>
      <c r="O24" s="30"/>
      <c r="P24" s="30"/>
      <c r="Q24" s="30"/>
      <c r="R24" s="30"/>
      <c r="S24" s="30"/>
    </row>
    <row r="25" spans="1:19">
      <c r="A25" s="25">
        <v>5</v>
      </c>
      <c r="B25" s="26"/>
      <c r="C25" s="30"/>
      <c r="D25" s="30"/>
      <c r="E25" s="30"/>
      <c r="F25" s="32">
        <f t="shared" si="2"/>
        <v>0</v>
      </c>
      <c r="G25" s="30"/>
      <c r="H25" s="30"/>
      <c r="I25" s="30"/>
      <c r="J25" s="30"/>
      <c r="K25" s="30"/>
      <c r="L25" s="30"/>
      <c r="M25" s="32">
        <f t="shared" si="3"/>
        <v>0</v>
      </c>
      <c r="N25" s="30"/>
      <c r="O25" s="30"/>
      <c r="P25" s="30"/>
      <c r="Q25" s="30"/>
      <c r="R25" s="30"/>
      <c r="S25" s="30"/>
    </row>
    <row r="26" spans="1:19">
      <c r="A26" s="25">
        <v>6</v>
      </c>
      <c r="B26" s="26"/>
      <c r="C26" s="30"/>
      <c r="D26" s="30"/>
      <c r="E26" s="30"/>
      <c r="F26" s="32">
        <f t="shared" si="2"/>
        <v>0</v>
      </c>
      <c r="G26" s="30"/>
      <c r="H26" s="30"/>
      <c r="I26" s="30"/>
      <c r="J26" s="30"/>
      <c r="K26" s="30"/>
      <c r="L26" s="30"/>
      <c r="M26" s="32">
        <f t="shared" si="3"/>
        <v>0</v>
      </c>
      <c r="N26" s="30"/>
      <c r="O26" s="30"/>
      <c r="P26" s="30"/>
      <c r="Q26" s="30"/>
      <c r="R26" s="30"/>
      <c r="S26" s="30"/>
    </row>
    <row r="27" spans="1:19">
      <c r="A27" s="25">
        <v>7</v>
      </c>
      <c r="B27" s="26"/>
      <c r="C27" s="30"/>
      <c r="D27" s="30"/>
      <c r="E27" s="30"/>
      <c r="F27" s="32">
        <f t="shared" si="2"/>
        <v>0</v>
      </c>
      <c r="G27" s="30"/>
      <c r="H27" s="30"/>
      <c r="I27" s="30"/>
      <c r="J27" s="30"/>
      <c r="K27" s="30"/>
      <c r="L27" s="30"/>
      <c r="M27" s="32">
        <f t="shared" si="3"/>
        <v>0</v>
      </c>
      <c r="N27" s="30"/>
      <c r="O27" s="30"/>
      <c r="P27" s="30"/>
      <c r="Q27" s="30"/>
      <c r="R27" s="30"/>
      <c r="S27" s="30"/>
    </row>
    <row r="28" spans="1:19">
      <c r="A28" s="25">
        <v>8</v>
      </c>
      <c r="B28" s="26"/>
      <c r="C28" s="30"/>
      <c r="D28" s="30"/>
      <c r="E28" s="30"/>
      <c r="F28" s="32">
        <f t="shared" si="2"/>
        <v>0</v>
      </c>
      <c r="G28" s="30"/>
      <c r="H28" s="30"/>
      <c r="I28" s="30"/>
      <c r="J28" s="30"/>
      <c r="K28" s="30"/>
      <c r="L28" s="30"/>
      <c r="M28" s="32">
        <f t="shared" si="3"/>
        <v>0</v>
      </c>
      <c r="N28" s="30"/>
      <c r="O28" s="30"/>
      <c r="P28" s="30"/>
      <c r="Q28" s="30"/>
      <c r="R28" s="30"/>
      <c r="S28" s="30"/>
    </row>
    <row r="29" spans="1:19">
      <c r="A29" s="25">
        <v>9</v>
      </c>
      <c r="B29" s="26"/>
      <c r="C29" s="30"/>
      <c r="D29" s="30"/>
      <c r="E29" s="30"/>
      <c r="F29" s="32">
        <f t="shared" si="2"/>
        <v>0</v>
      </c>
      <c r="G29" s="30"/>
      <c r="H29" s="30"/>
      <c r="I29" s="30"/>
      <c r="J29" s="30"/>
      <c r="K29" s="30"/>
      <c r="L29" s="30"/>
      <c r="M29" s="32">
        <f t="shared" si="3"/>
        <v>0</v>
      </c>
      <c r="N29" s="30"/>
      <c r="O29" s="30"/>
      <c r="P29" s="30"/>
      <c r="Q29" s="30"/>
      <c r="R29" s="30"/>
      <c r="S29" s="30"/>
    </row>
    <row r="30" spans="1:19">
      <c r="A30" s="25">
        <v>10</v>
      </c>
      <c r="B30" s="26"/>
      <c r="C30" s="30"/>
      <c r="D30" s="30"/>
      <c r="E30" s="30"/>
      <c r="F30" s="32"/>
      <c r="G30" s="30"/>
      <c r="H30" s="30"/>
      <c r="I30" s="30"/>
      <c r="J30" s="30"/>
      <c r="K30" s="30"/>
      <c r="L30" s="30"/>
      <c r="M30" s="32">
        <f t="shared" si="3"/>
        <v>0</v>
      </c>
      <c r="N30" s="30"/>
      <c r="O30" s="30"/>
      <c r="P30" s="30"/>
      <c r="Q30" s="30"/>
      <c r="R30" s="30"/>
      <c r="S30" s="30"/>
    </row>
    <row r="31" spans="1:19">
      <c r="A31" s="25" t="s">
        <v>4638</v>
      </c>
      <c r="B31" s="26"/>
      <c r="C31" s="30"/>
      <c r="D31" s="30"/>
      <c r="E31" s="30"/>
      <c r="F31" s="32"/>
      <c r="G31" s="30"/>
      <c r="H31" s="30"/>
      <c r="I31" s="30"/>
      <c r="J31" s="30"/>
      <c r="K31" s="30"/>
      <c r="L31" s="30"/>
      <c r="M31" s="32">
        <f t="shared" si="3"/>
        <v>0</v>
      </c>
      <c r="N31" s="30"/>
      <c r="O31" s="30"/>
      <c r="P31" s="30"/>
      <c r="Q31" s="30"/>
      <c r="R31" s="30"/>
      <c r="S31" s="30"/>
    </row>
    <row r="32" spans="1:19">
      <c r="A32" s="25"/>
      <c r="B32" s="31"/>
      <c r="C32" s="32"/>
      <c r="D32" s="32"/>
      <c r="E32" s="32"/>
      <c r="F32" s="32">
        <f>SUM(G32:J32)</f>
        <v>0</v>
      </c>
      <c r="G32" s="32"/>
      <c r="H32" s="32"/>
      <c r="I32" s="32"/>
      <c r="J32" s="32"/>
      <c r="K32" s="32"/>
      <c r="L32" s="32"/>
      <c r="M32" s="32">
        <f t="shared" si="3"/>
        <v>0</v>
      </c>
      <c r="N32" s="30"/>
      <c r="O32" s="30"/>
      <c r="P32" s="30"/>
      <c r="Q32" s="30"/>
      <c r="R32" s="30"/>
      <c r="S32" s="30"/>
    </row>
    <row r="34" spans="1:3">
      <c r="A34" s="15" t="s">
        <v>6083</v>
      </c>
      <c r="B34" s="16"/>
      <c r="C34" s="36"/>
    </row>
    <row r="35" spans="1:7">
      <c r="A35" s="19" t="s">
        <v>162</v>
      </c>
      <c r="B35" s="37" t="s">
        <v>6084</v>
      </c>
      <c r="C35" s="37" t="s">
        <v>433</v>
      </c>
      <c r="D35" s="38" t="s">
        <v>2474</v>
      </c>
      <c r="E35" s="38" t="s">
        <v>366</v>
      </c>
      <c r="F35" s="38" t="s">
        <v>354</v>
      </c>
      <c r="G35" s="39"/>
    </row>
    <row r="36" spans="1:7">
      <c r="A36" s="19"/>
      <c r="B36" s="40"/>
      <c r="C36" s="40"/>
      <c r="D36" s="40"/>
      <c r="E36" s="40"/>
      <c r="F36" s="40"/>
      <c r="G36" s="41"/>
    </row>
    <row r="37" spans="1:7">
      <c r="A37" s="25">
        <v>1</v>
      </c>
      <c r="B37" s="30"/>
      <c r="C37" s="30"/>
      <c r="D37" s="30"/>
      <c r="E37" s="30"/>
      <c r="F37" s="30"/>
      <c r="G37" s="42"/>
    </row>
    <row r="38" spans="1:7">
      <c r="A38" s="25">
        <v>2</v>
      </c>
      <c r="B38" s="30"/>
      <c r="C38" s="30"/>
      <c r="D38" s="30"/>
      <c r="E38" s="30"/>
      <c r="F38" s="30"/>
      <c r="G38" s="42"/>
    </row>
    <row r="39" spans="1:7">
      <c r="A39" s="25">
        <v>3</v>
      </c>
      <c r="B39" s="30"/>
      <c r="C39" s="30"/>
      <c r="D39" s="30"/>
      <c r="E39" s="30"/>
      <c r="F39" s="30"/>
      <c r="G39" s="42"/>
    </row>
    <row r="40" spans="1:7">
      <c r="A40" s="25">
        <v>4</v>
      </c>
      <c r="B40" s="30"/>
      <c r="C40" s="30"/>
      <c r="D40" s="30"/>
      <c r="E40" s="30"/>
      <c r="F40" s="30"/>
      <c r="G40" s="42"/>
    </row>
    <row r="41" spans="1:7">
      <c r="A41" s="25">
        <v>5</v>
      </c>
      <c r="B41" s="30"/>
      <c r="C41" s="30"/>
      <c r="D41" s="30"/>
      <c r="E41" s="30"/>
      <c r="F41" s="30"/>
      <c r="G41" s="42"/>
    </row>
    <row r="42" spans="1:7">
      <c r="A42" s="25">
        <v>6</v>
      </c>
      <c r="B42" s="30"/>
      <c r="C42" s="30"/>
      <c r="D42" s="30"/>
      <c r="E42" s="30"/>
      <c r="F42" s="30"/>
      <c r="G42" s="42"/>
    </row>
    <row r="43" spans="1:7">
      <c r="A43" s="25">
        <v>7</v>
      </c>
      <c r="B43" s="30"/>
      <c r="C43" s="30"/>
      <c r="D43" s="30"/>
      <c r="E43" s="30"/>
      <c r="F43" s="30"/>
      <c r="G43" s="42"/>
    </row>
    <row r="44" spans="1:7">
      <c r="A44" s="25">
        <v>8</v>
      </c>
      <c r="B44" s="30"/>
      <c r="C44" s="30"/>
      <c r="D44" s="30"/>
      <c r="E44" s="30"/>
      <c r="F44" s="30"/>
      <c r="G44" s="42"/>
    </row>
    <row r="45" spans="1:7">
      <c r="A45" s="25">
        <v>9</v>
      </c>
      <c r="B45" s="30"/>
      <c r="C45" s="30"/>
      <c r="D45" s="30"/>
      <c r="E45" s="30"/>
      <c r="F45" s="30"/>
      <c r="G45" s="42"/>
    </row>
    <row r="46" spans="1:7">
      <c r="A46" s="25">
        <v>10</v>
      </c>
      <c r="B46" s="30"/>
      <c r="C46" s="30"/>
      <c r="D46" s="30"/>
      <c r="E46" s="30"/>
      <c r="F46" s="30"/>
      <c r="G46" s="42"/>
    </row>
    <row r="47" spans="1:7">
      <c r="A47" s="25" t="s">
        <v>4638</v>
      </c>
      <c r="B47" s="30"/>
      <c r="C47" s="30"/>
      <c r="D47" s="30"/>
      <c r="E47" s="30"/>
      <c r="F47" s="30"/>
      <c r="G47" s="42"/>
    </row>
    <row r="48" spans="1:7">
      <c r="A48" s="43"/>
      <c r="B48" s="32"/>
      <c r="C48" s="32"/>
      <c r="D48" s="32"/>
      <c r="E48" s="32"/>
      <c r="F48" s="32"/>
      <c r="G48" s="42"/>
    </row>
  </sheetData>
  <mergeCells count="14">
    <mergeCell ref="C3:L3"/>
    <mergeCell ref="M3:O3"/>
    <mergeCell ref="S3:X3"/>
    <mergeCell ref="C19:J19"/>
    <mergeCell ref="N19:S19"/>
    <mergeCell ref="A3:A4"/>
    <mergeCell ref="A19:A20"/>
    <mergeCell ref="A35:A36"/>
    <mergeCell ref="K19:K20"/>
    <mergeCell ref="L19:L20"/>
    <mergeCell ref="M19:M20"/>
    <mergeCell ref="P3:P4"/>
    <mergeCell ref="Q3:Q4"/>
    <mergeCell ref="R3:R4"/>
  </mergeCells>
  <pageMargins left="0.7" right="0.7" top="0.75" bottom="0.75" header="0.3" footer="0.3"/>
  <pageSetup paperSize="9" orientation="portrait"/>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L5"/>
  <sheetViews>
    <sheetView workbookViewId="0">
      <selection activeCell="L14" sqref="L14"/>
    </sheetView>
  </sheetViews>
  <sheetFormatPr defaultColWidth="9" defaultRowHeight="14.25" outlineLevelRow="4"/>
  <cols>
    <col min="1" max="1" width="8.375" customWidth="1"/>
    <col min="2" max="2" width="10.5" customWidth="1"/>
    <col min="3" max="3" width="11.5" customWidth="1"/>
  </cols>
  <sheetData>
    <row r="1" spans="1:12">
      <c r="A1" s="11" t="s">
        <v>1721</v>
      </c>
      <c r="B1" s="11" t="s">
        <v>6085</v>
      </c>
      <c r="C1" s="11"/>
      <c r="D1" s="12" t="s">
        <v>162</v>
      </c>
      <c r="E1" s="12" t="s">
        <v>1722</v>
      </c>
      <c r="F1" s="12" t="s">
        <v>1723</v>
      </c>
      <c r="G1" s="12" t="s">
        <v>1722</v>
      </c>
      <c r="H1" s="12" t="s">
        <v>1724</v>
      </c>
      <c r="I1" s="12" t="s">
        <v>1719</v>
      </c>
      <c r="J1" s="12" t="s">
        <v>6086</v>
      </c>
      <c r="K1" s="12" t="s">
        <v>6087</v>
      </c>
      <c r="L1" s="12" t="s">
        <v>1721</v>
      </c>
    </row>
    <row r="2" spans="1:3">
      <c r="A2" s="11"/>
      <c r="B2" s="11"/>
      <c r="C2" s="11"/>
    </row>
    <row r="3" spans="1:3">
      <c r="A3" s="11" t="s">
        <v>6088</v>
      </c>
      <c r="B3" s="11" t="s">
        <v>6089</v>
      </c>
      <c r="C3" s="11" t="s">
        <v>6090</v>
      </c>
    </row>
    <row r="4" spans="1:3">
      <c r="A4" s="13" t="s">
        <v>6085</v>
      </c>
      <c r="B4" s="14"/>
      <c r="C4" s="14"/>
    </row>
    <row r="5" spans="1:3">
      <c r="A5" s="13" t="s">
        <v>6091</v>
      </c>
      <c r="B5" s="14"/>
      <c r="C5" s="14"/>
    </row>
  </sheetData>
  <pageMargins left="0.7" right="0.7" top="0.75" bottom="0.75" header="0.3" footer="0.3"/>
  <pageSetup paperSize="9" orientation="portrait"/>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G21"/>
  <sheetViews>
    <sheetView workbookViewId="0">
      <selection activeCell="A1" sqref="A1:G21"/>
    </sheetView>
  </sheetViews>
  <sheetFormatPr defaultColWidth="9" defaultRowHeight="14.25" outlineLevelCol="6"/>
  <cols>
    <col min="1" max="1" width="42.125" customWidth="1"/>
    <col min="2" max="2" width="10.5" customWidth="1"/>
    <col min="4" max="4" width="9.625" customWidth="1"/>
    <col min="7" max="7" width="10.5" customWidth="1"/>
  </cols>
  <sheetData>
    <row r="1" spans="1:7">
      <c r="A1" s="1" t="s">
        <v>1114</v>
      </c>
      <c r="B1" s="2" t="s">
        <v>3810</v>
      </c>
      <c r="C1" s="2" t="s">
        <v>3811</v>
      </c>
      <c r="D1" s="2" t="s">
        <v>672</v>
      </c>
      <c r="E1" s="2" t="s">
        <v>673</v>
      </c>
      <c r="F1" s="2" t="s">
        <v>3812</v>
      </c>
      <c r="G1" s="2" t="s">
        <v>3813</v>
      </c>
    </row>
    <row r="2" spans="1:7">
      <c r="A2" s="3" t="s">
        <v>9</v>
      </c>
      <c r="B2" s="4">
        <v>81600000</v>
      </c>
      <c r="C2" s="5">
        <f t="shared" ref="C2:C20" si="0">IFERROR(ROUND(B2/$F$2443,4),0)</f>
        <v>0</v>
      </c>
      <c r="D2" s="6">
        <v>0</v>
      </c>
      <c r="E2" s="6"/>
      <c r="F2" s="7">
        <f>B2+D2-E2</f>
        <v>81600000</v>
      </c>
      <c r="G2" s="5">
        <f t="shared" ref="G2:G20" si="1">IFERROR(ROUND(F2/$J$2443,4),0)</f>
        <v>0</v>
      </c>
    </row>
    <row r="3" spans="1:7">
      <c r="A3" s="3" t="s">
        <v>3814</v>
      </c>
      <c r="B3" s="8">
        <v>17658000</v>
      </c>
      <c r="C3" s="5">
        <f t="shared" si="0"/>
        <v>0</v>
      </c>
      <c r="D3" s="6">
        <v>0</v>
      </c>
      <c r="E3" s="6"/>
      <c r="F3" s="7">
        <f t="shared" ref="F3:F20" si="2">B3+D3-E3</f>
        <v>17658000</v>
      </c>
      <c r="G3" s="5">
        <f t="shared" si="1"/>
        <v>0</v>
      </c>
    </row>
    <row r="4" spans="1:7">
      <c r="A4" s="9" t="s">
        <v>3815</v>
      </c>
      <c r="B4" s="8">
        <v>8400000</v>
      </c>
      <c r="C4" s="5">
        <f t="shared" si="0"/>
        <v>0</v>
      </c>
      <c r="D4" s="6">
        <v>0</v>
      </c>
      <c r="E4" s="6"/>
      <c r="F4" s="7">
        <f t="shared" si="2"/>
        <v>8400000</v>
      </c>
      <c r="G4" s="5">
        <f t="shared" si="1"/>
        <v>0</v>
      </c>
    </row>
    <row r="5" spans="1:7">
      <c r="A5" s="3" t="s">
        <v>3816</v>
      </c>
      <c r="B5" s="8">
        <v>6000000</v>
      </c>
      <c r="C5" s="5">
        <f t="shared" si="0"/>
        <v>0</v>
      </c>
      <c r="D5" s="6">
        <v>0</v>
      </c>
      <c r="E5" s="6"/>
      <c r="F5" s="7">
        <f t="shared" si="2"/>
        <v>6000000</v>
      </c>
      <c r="G5" s="5">
        <f t="shared" si="1"/>
        <v>0</v>
      </c>
    </row>
    <row r="6" spans="1:7">
      <c r="A6" s="3" t="s">
        <v>3817</v>
      </c>
      <c r="B6" s="8">
        <v>6000000</v>
      </c>
      <c r="C6" s="5">
        <f t="shared" si="0"/>
        <v>0</v>
      </c>
      <c r="D6" s="6">
        <v>0</v>
      </c>
      <c r="E6" s="6"/>
      <c r="F6" s="7">
        <f t="shared" si="2"/>
        <v>6000000</v>
      </c>
      <c r="G6" s="5">
        <f t="shared" si="1"/>
        <v>0</v>
      </c>
    </row>
    <row r="7" spans="1:7">
      <c r="A7" s="3" t="s">
        <v>3818</v>
      </c>
      <c r="B7" s="8">
        <v>192000</v>
      </c>
      <c r="C7" s="5">
        <f t="shared" si="0"/>
        <v>0</v>
      </c>
      <c r="D7" s="6">
        <v>500000</v>
      </c>
      <c r="E7" s="6"/>
      <c r="F7" s="7">
        <f t="shared" si="2"/>
        <v>692000</v>
      </c>
      <c r="G7" s="5">
        <f t="shared" si="1"/>
        <v>0</v>
      </c>
    </row>
    <row r="8" spans="1:7">
      <c r="A8" s="3" t="s">
        <v>3819</v>
      </c>
      <c r="B8" s="8">
        <v>150000</v>
      </c>
      <c r="C8" s="5">
        <f t="shared" si="0"/>
        <v>0</v>
      </c>
      <c r="D8" s="6">
        <v>0</v>
      </c>
      <c r="E8" s="6"/>
      <c r="F8" s="7">
        <f t="shared" si="2"/>
        <v>150000</v>
      </c>
      <c r="G8" s="5">
        <f t="shared" si="1"/>
        <v>0</v>
      </c>
    </row>
    <row r="9" spans="1:7">
      <c r="A9" s="3" t="s">
        <v>6092</v>
      </c>
      <c r="B9" s="8">
        <v>0</v>
      </c>
      <c r="C9" s="5">
        <f t="shared" si="0"/>
        <v>0</v>
      </c>
      <c r="D9" s="6">
        <v>1000000</v>
      </c>
      <c r="E9" s="6"/>
      <c r="F9" s="7">
        <f t="shared" si="2"/>
        <v>1000000</v>
      </c>
      <c r="G9" s="5">
        <f t="shared" si="1"/>
        <v>0</v>
      </c>
    </row>
    <row r="10" spans="1:7">
      <c r="A10" s="3" t="s">
        <v>6093</v>
      </c>
      <c r="B10" s="8">
        <v>0</v>
      </c>
      <c r="C10" s="5">
        <f t="shared" si="0"/>
        <v>0</v>
      </c>
      <c r="D10" s="6">
        <v>1000000</v>
      </c>
      <c r="E10" s="6"/>
      <c r="F10" s="7">
        <f t="shared" si="2"/>
        <v>1000000</v>
      </c>
      <c r="G10" s="5">
        <f t="shared" si="1"/>
        <v>0</v>
      </c>
    </row>
    <row r="11" spans="1:7">
      <c r="A11" s="3" t="s">
        <v>6094</v>
      </c>
      <c r="B11" s="8">
        <v>0</v>
      </c>
      <c r="C11" s="5">
        <f t="shared" si="0"/>
        <v>0</v>
      </c>
      <c r="D11" s="6">
        <v>1000000</v>
      </c>
      <c r="E11" s="6"/>
      <c r="F11" s="7">
        <f t="shared" si="2"/>
        <v>1000000</v>
      </c>
      <c r="G11" s="5">
        <f t="shared" si="1"/>
        <v>0</v>
      </c>
    </row>
    <row r="12" spans="1:7">
      <c r="A12" s="3" t="s">
        <v>6095</v>
      </c>
      <c r="B12" s="8">
        <v>0</v>
      </c>
      <c r="C12" s="5">
        <f t="shared" si="0"/>
        <v>0</v>
      </c>
      <c r="D12" s="6">
        <v>4384600</v>
      </c>
      <c r="E12" s="6"/>
      <c r="F12" s="7">
        <f t="shared" si="2"/>
        <v>4384600</v>
      </c>
      <c r="G12" s="5">
        <f t="shared" si="1"/>
        <v>0</v>
      </c>
    </row>
    <row r="13" spans="1:7">
      <c r="A13" s="3" t="s">
        <v>6096</v>
      </c>
      <c r="B13" s="8">
        <v>0</v>
      </c>
      <c r="C13" s="5">
        <f t="shared" si="0"/>
        <v>0</v>
      </c>
      <c r="D13" s="6">
        <v>290000</v>
      </c>
      <c r="E13" s="6"/>
      <c r="F13" s="7">
        <f t="shared" si="2"/>
        <v>290000</v>
      </c>
      <c r="G13" s="5">
        <f t="shared" si="1"/>
        <v>0</v>
      </c>
    </row>
    <row r="14" spans="1:7">
      <c r="A14" s="3" t="s">
        <v>6097</v>
      </c>
      <c r="B14" s="8">
        <v>0</v>
      </c>
      <c r="C14" s="5">
        <f t="shared" si="0"/>
        <v>0</v>
      </c>
      <c r="D14" s="6">
        <v>430000</v>
      </c>
      <c r="E14" s="6"/>
      <c r="F14" s="7">
        <f t="shared" si="2"/>
        <v>430000</v>
      </c>
      <c r="G14" s="5">
        <f t="shared" si="1"/>
        <v>0</v>
      </c>
    </row>
    <row r="15" spans="1:7">
      <c r="A15" s="3" t="s">
        <v>6098</v>
      </c>
      <c r="B15" s="8">
        <v>0</v>
      </c>
      <c r="C15" s="5">
        <f t="shared" si="0"/>
        <v>0</v>
      </c>
      <c r="D15" s="6">
        <v>1330000</v>
      </c>
      <c r="E15" s="6"/>
      <c r="F15" s="7">
        <f t="shared" si="2"/>
        <v>1330000</v>
      </c>
      <c r="G15" s="5">
        <f t="shared" si="1"/>
        <v>0</v>
      </c>
    </row>
    <row r="16" spans="1:7">
      <c r="A16" s="3" t="s">
        <v>6099</v>
      </c>
      <c r="B16" s="8">
        <v>0</v>
      </c>
      <c r="C16" s="5">
        <f t="shared" si="0"/>
        <v>0</v>
      </c>
      <c r="D16" s="6">
        <v>1000000</v>
      </c>
      <c r="E16" s="6"/>
      <c r="F16" s="7">
        <f t="shared" si="2"/>
        <v>1000000</v>
      </c>
      <c r="G16" s="5">
        <f t="shared" si="1"/>
        <v>0</v>
      </c>
    </row>
    <row r="17" spans="1:7">
      <c r="A17" s="3" t="s">
        <v>6100</v>
      </c>
      <c r="B17" s="8">
        <v>0</v>
      </c>
      <c r="C17" s="5">
        <f t="shared" si="0"/>
        <v>0</v>
      </c>
      <c r="D17" s="6">
        <v>1000000</v>
      </c>
      <c r="E17" s="6"/>
      <c r="F17" s="7">
        <f t="shared" si="2"/>
        <v>1000000</v>
      </c>
      <c r="G17" s="5">
        <f t="shared" si="1"/>
        <v>0</v>
      </c>
    </row>
    <row r="18" spans="1:7">
      <c r="A18" s="3" t="s">
        <v>6101</v>
      </c>
      <c r="B18" s="8">
        <v>0</v>
      </c>
      <c r="C18" s="5">
        <f t="shared" si="0"/>
        <v>0</v>
      </c>
      <c r="D18" s="6">
        <v>1000000</v>
      </c>
      <c r="E18" s="6"/>
      <c r="F18" s="7">
        <f t="shared" si="2"/>
        <v>1000000</v>
      </c>
      <c r="G18" s="5">
        <f t="shared" si="1"/>
        <v>0</v>
      </c>
    </row>
    <row r="19" spans="1:7">
      <c r="A19" s="3" t="s">
        <v>6102</v>
      </c>
      <c r="B19" s="8">
        <v>0</v>
      </c>
      <c r="C19" s="5">
        <f t="shared" si="0"/>
        <v>0</v>
      </c>
      <c r="D19" s="6">
        <v>1000000</v>
      </c>
      <c r="E19" s="6"/>
      <c r="F19" s="7">
        <f t="shared" si="2"/>
        <v>1000000</v>
      </c>
      <c r="G19" s="5">
        <f t="shared" si="1"/>
        <v>0</v>
      </c>
    </row>
    <row r="20" spans="1:7">
      <c r="A20" s="3" t="s">
        <v>6103</v>
      </c>
      <c r="B20" s="8">
        <v>0</v>
      </c>
      <c r="C20" s="5">
        <f t="shared" si="0"/>
        <v>0</v>
      </c>
      <c r="D20" s="6">
        <v>3865400</v>
      </c>
      <c r="E20" s="6"/>
      <c r="F20" s="7">
        <f t="shared" si="2"/>
        <v>3865400</v>
      </c>
      <c r="G20" s="5">
        <f t="shared" si="1"/>
        <v>0</v>
      </c>
    </row>
    <row r="21" spans="1:7">
      <c r="A21" s="10" t="s">
        <v>2021</v>
      </c>
      <c r="B21" s="7">
        <f>SUM(B2:B20)</f>
        <v>120000000</v>
      </c>
      <c r="C21" s="5">
        <f t="shared" ref="C21:G21" si="3">SUM(C2:C20)</f>
        <v>0</v>
      </c>
      <c r="D21" s="7">
        <f t="shared" si="3"/>
        <v>17800000</v>
      </c>
      <c r="E21" s="7">
        <f t="shared" si="3"/>
        <v>0</v>
      </c>
      <c r="F21" s="7">
        <f t="shared" si="3"/>
        <v>137800000</v>
      </c>
      <c r="G21" s="5">
        <f t="shared" si="3"/>
        <v>0</v>
      </c>
    </row>
  </sheetData>
  <conditionalFormatting sqref="A1:A21">
    <cfRule type="containsText" dxfId="6" priority="1" operator="between" text="文字描述">
      <formula>NOT(ISERROR(SEARCH("文字描述",A1)))</formula>
    </cfRule>
  </conditionalFormatting>
  <pageMargins left="0.7" right="0.7" top="0.75" bottom="0.75" header="0.3" footer="0.3"/>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61</vt:i4>
      </vt:variant>
    </vt:vector>
  </HeadingPairs>
  <TitlesOfParts>
    <vt:vector size="61" baseType="lpstr">
      <vt:lpstr>参数表</vt:lpstr>
      <vt:lpstr>月度审定利润表</vt:lpstr>
      <vt:lpstr>月度审定现流表</vt:lpstr>
      <vt:lpstr>未审资负表</vt:lpstr>
      <vt:lpstr>未审利润表</vt:lpstr>
      <vt:lpstr>未审现流表</vt:lpstr>
      <vt:lpstr>未审权益表</vt:lpstr>
      <vt:lpstr>本月审定利润表</vt:lpstr>
      <vt:lpstr>本月审定现流表</vt:lpstr>
      <vt:lpstr>未审附注之流动资产</vt:lpstr>
      <vt:lpstr>未审附注之非流动资产</vt:lpstr>
      <vt:lpstr>未审附注之负债及权益</vt:lpstr>
      <vt:lpstr>未审附注之利润及利润分配</vt:lpstr>
      <vt:lpstr>未审附注及报表核对</vt:lpstr>
      <vt:lpstr>资负表及利润表调整分录</vt:lpstr>
      <vt:lpstr>现流表调整分录</vt:lpstr>
      <vt:lpstr>资产负债表对比-0603</vt:lpstr>
      <vt:lpstr>利润表对比-0603</vt:lpstr>
      <vt:lpstr>利润表核对</vt:lpstr>
      <vt:lpstr>资产负债表核对</vt:lpstr>
      <vt:lpstr>审定资负表</vt:lpstr>
      <vt:lpstr>审定利润表</vt:lpstr>
      <vt:lpstr>审定现流表</vt:lpstr>
      <vt:lpstr>审定权益表</vt:lpstr>
      <vt:lpstr>审定附注之流动资产</vt:lpstr>
      <vt:lpstr>审定附注之非流动资产</vt:lpstr>
      <vt:lpstr>审定附注之负债及权益</vt:lpstr>
      <vt:lpstr>审定附注之利润及利润分配</vt:lpstr>
      <vt:lpstr>审定报表及附注核对</vt:lpstr>
      <vt:lpstr>试算平衡表</vt:lpstr>
      <vt:lpstr>报表附注合并用</vt:lpstr>
      <vt:lpstr>审定打印版1</vt:lpstr>
      <vt:lpstr>审定打印版2</vt:lpstr>
      <vt:lpstr>审定打印版3</vt:lpstr>
      <vt:lpstr>审定打印版4</vt:lpstr>
      <vt:lpstr>附注、报表核对</vt:lpstr>
      <vt:lpstr>现流表勾稽</vt:lpstr>
      <vt:lpstr>附注其他核对</vt:lpstr>
      <vt:lpstr>报表分析（合理性复核）</vt:lpstr>
      <vt:lpstr>报表附注</vt:lpstr>
      <vt:lpstr>管理费用披露</vt:lpstr>
      <vt:lpstr>销售费用披露</vt:lpstr>
      <vt:lpstr>财务费用披露</vt:lpstr>
      <vt:lpstr>现金流量表项目测试</vt:lpstr>
      <vt:lpstr>管理费用构成</vt:lpstr>
      <vt:lpstr>销售费用构成</vt:lpstr>
      <vt:lpstr>报表附注合并期初用</vt:lpstr>
      <vt:lpstr>1.管理费用</vt:lpstr>
      <vt:lpstr>2.销售费用</vt:lpstr>
      <vt:lpstr>3.借款</vt:lpstr>
      <vt:lpstr>4、非经常性损益</vt:lpstr>
      <vt:lpstr>5、所得税调整</vt:lpstr>
      <vt:lpstr>5在建工程</vt:lpstr>
      <vt:lpstr>6长摊</vt:lpstr>
      <vt:lpstr>7固定资产</vt:lpstr>
      <vt:lpstr>8无形资产</vt:lpstr>
      <vt:lpstr>固定资产清理</vt:lpstr>
      <vt:lpstr>内部往来账龄</vt:lpstr>
      <vt:lpstr>透视表</vt:lpstr>
      <vt:lpstr>9.实收资本</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Vonnie</cp:lastModifiedBy>
  <dcterms:created xsi:type="dcterms:W3CDTF">1996-12-17T01:32:00Z</dcterms:created>
  <cp:lastPrinted>2008-01-08T13:28:00Z</cp:lastPrinted>
  <dcterms:modified xsi:type="dcterms:W3CDTF">2019-08-27T02:03:27Z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